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filterPrivacy="1" updateLinks="always" codeName="ThisWorkbook" defaultThemeVersion="124226"/>
  <xr:revisionPtr revIDLastSave="0" documentId="13_ncr:1_{AA9D9CA4-046B-4BED-A3E9-6FFB6601E575}" xr6:coauthVersionLast="47" xr6:coauthVersionMax="47" xr10:uidLastSave="{00000000-0000-0000-0000-000000000000}"/>
  <bookViews>
    <workbookView xWindow="28680" yWindow="-120" windowWidth="29040" windowHeight="15840" tabRatio="709" activeTab="3" xr2:uid="{00000000-000D-0000-FFFF-FFFF00000000}"/>
  </bookViews>
  <sheets>
    <sheet name="Source of Data" sheetId="17" r:id="rId1"/>
    <sheet name="Summary" sheetId="6" r:id="rId2"/>
    <sheet name="Security of Supply Summary" sheetId="13" r:id="rId3"/>
    <sheet name="Switching Diagram Tables-Major" sheetId="15" r:id="rId4"/>
    <sheet name="Switching Diagram Tables-Field" sheetId="20" state="hidden" r:id="rId5"/>
    <sheet name=" " sheetId="14" r:id="rId6"/>
    <sheet name="ABY_Region" sheetId="7" r:id="rId7"/>
    <sheet name="BPD_Region" sheetId="10" r:id="rId8"/>
    <sheet name="STU_Region" sheetId="11" r:id="rId9"/>
    <sheet name="TIM_Region" sheetId="12" r:id="rId10"/>
    <sheet name="TKA_Region" sheetId="8" r:id="rId11"/>
    <sheet name="TMK_Region" sheetId="9" r:id="rId12"/>
    <sheet name="TWZ_Region" sheetId="3" r:id="rId13"/>
    <sheet name="  " sheetId="16" r:id="rId14"/>
    <sheet name="Dropdown List" sheetId="4" r:id="rId15"/>
    <sheet name="Protection Data" sheetId="19" r:id="rId16"/>
  </sheets>
  <externalReferences>
    <externalReference r:id="rId17"/>
  </externalReferences>
  <definedNames>
    <definedName name="_xlnm._FilterDatabase" localSheetId="6" hidden="1">ABY_Region!$A$3:$AD$32</definedName>
    <definedName name="_xlnm._FilterDatabase" localSheetId="7" hidden="1">BPD_Region!$A$3:$AD$46</definedName>
    <definedName name="_xlnm._FilterDatabase" localSheetId="0" hidden="1">'Source of Data'!$A$1:$G$1101</definedName>
    <definedName name="_xlnm._FilterDatabase" localSheetId="8" hidden="1">STU_Region!$A$3:$AD$35</definedName>
    <definedName name="_xlnm._FilterDatabase" localSheetId="3" hidden="1">'Switching Diagram Tables-Major'!$B$6:$AL$388</definedName>
    <definedName name="_xlnm._FilterDatabase" localSheetId="9" hidden="1">TIM_Region!$A$3:$AD$144</definedName>
    <definedName name="_xlnm._FilterDatabase" localSheetId="10" hidden="1">TKA_Region!$A$3:$AD$86</definedName>
    <definedName name="_xlnm._FilterDatabase" localSheetId="11" hidden="1">TMK_Region!$A$3:$AD$84</definedName>
    <definedName name="_xlnm._FilterDatabase" localSheetId="12" hidden="1">TWZ_Region!$A$3:$AD$29</definedName>
    <definedName name="DistributionFeeder">'Dropdown List'!$E$21:$E$26</definedName>
    <definedName name="ExternalData_1" localSheetId="15" hidden="1">'Protection Data'!$C$1:$K$382</definedName>
    <definedName name="_xlnm.Print_Area" localSheetId="3">'Switching Diagram Tables-Major'!$AN$5:$AZ$78</definedName>
    <definedName name="SubTransmission">'Dropdown List'!$E$3:$E$8</definedName>
    <definedName name="ZoneSubstation">'Dropdown List'!$E$15:$E$20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L188" i="12" l="1"/>
  <c r="BK188" i="12"/>
  <c r="BJ188" i="12"/>
  <c r="BI188" i="12"/>
  <c r="AR188" i="12"/>
  <c r="BH188" i="12" s="1"/>
  <c r="BE188" i="12" s="1"/>
  <c r="AE188" i="12"/>
  <c r="BA188" i="12" s="1"/>
  <c r="AC188" i="12"/>
  <c r="AZ188" i="12" s="1"/>
  <c r="AA188" i="12"/>
  <c r="Y188" i="12"/>
  <c r="AY188" i="12" s="1"/>
  <c r="W188" i="12"/>
  <c r="AX188" i="12" s="1"/>
  <c r="U188" i="12"/>
  <c r="AW188" i="12" s="1"/>
  <c r="S188" i="12"/>
  <c r="AV188" i="12" s="1"/>
  <c r="Q188" i="12"/>
  <c r="AU188" i="12" s="1"/>
  <c r="O188" i="12"/>
  <c r="AT188" i="12" s="1"/>
  <c r="B188" i="12"/>
  <c r="A188" i="12"/>
  <c r="AS188" i="12" l="1"/>
  <c r="BB188" i="12" s="1"/>
  <c r="BF188" i="12" s="1"/>
  <c r="AR245" i="12"/>
  <c r="BL244" i="12"/>
  <c r="BK244" i="12"/>
  <c r="BJ244" i="12"/>
  <c r="BI244" i="12"/>
  <c r="AR244" i="12"/>
  <c r="BH244" i="12" s="1"/>
  <c r="BE244" i="12" s="1"/>
  <c r="AE244" i="12"/>
  <c r="BA244" i="12" s="1"/>
  <c r="AC244" i="12"/>
  <c r="AZ244" i="12" s="1"/>
  <c r="AA244" i="12"/>
  <c r="Y244" i="12"/>
  <c r="AY244" i="12" s="1"/>
  <c r="W244" i="12"/>
  <c r="AX244" i="12" s="1"/>
  <c r="U244" i="12"/>
  <c r="AW244" i="12" s="1"/>
  <c r="S244" i="12"/>
  <c r="AV244" i="12" s="1"/>
  <c r="Q244" i="12"/>
  <c r="AU244" i="12" s="1"/>
  <c r="O244" i="12"/>
  <c r="AT244" i="12" s="1"/>
  <c r="B244" i="12"/>
  <c r="A244" i="12"/>
  <c r="BG188" i="12" l="1"/>
  <c r="BD188" i="12" s="1"/>
  <c r="BC188" i="12"/>
  <c r="AS244" i="12"/>
  <c r="BB244" i="12" s="1"/>
  <c r="BF244" i="12" s="1"/>
  <c r="BL285" i="12"/>
  <c r="BK285" i="12"/>
  <c r="BJ285" i="12"/>
  <c r="BI285" i="12"/>
  <c r="AR285" i="12"/>
  <c r="BH285" i="12" s="1"/>
  <c r="BE285" i="12" s="1"/>
  <c r="AE285" i="12"/>
  <c r="BA285" i="12" s="1"/>
  <c r="AC285" i="12"/>
  <c r="AZ285" i="12" s="1"/>
  <c r="AA285" i="12"/>
  <c r="Y285" i="12"/>
  <c r="AY285" i="12" s="1"/>
  <c r="W285" i="12"/>
  <c r="AX285" i="12" s="1"/>
  <c r="U285" i="12"/>
  <c r="AW285" i="12" s="1"/>
  <c r="S285" i="12"/>
  <c r="AV285" i="12" s="1"/>
  <c r="Q285" i="12"/>
  <c r="AU285" i="12" s="1"/>
  <c r="O285" i="12"/>
  <c r="AT285" i="12" s="1"/>
  <c r="B285" i="12"/>
  <c r="A285" i="12"/>
  <c r="BG244" i="12" l="1"/>
  <c r="BD244" i="12" s="1"/>
  <c r="BC244" i="12"/>
  <c r="AS285" i="12"/>
  <c r="BB285" i="12" s="1"/>
  <c r="BF285" i="12" s="1"/>
  <c r="BK403" i="12"/>
  <c r="BJ403" i="12"/>
  <c r="BI403" i="12"/>
  <c r="AR403" i="12"/>
  <c r="BH403" i="12" s="1"/>
  <c r="AE403" i="12"/>
  <c r="BA403" i="12" s="1"/>
  <c r="AC403" i="12"/>
  <c r="AZ403" i="12" s="1"/>
  <c r="AA403" i="12"/>
  <c r="Y403" i="12"/>
  <c r="AY403" i="12" s="1"/>
  <c r="W403" i="12"/>
  <c r="AX403" i="12" s="1"/>
  <c r="U403" i="12"/>
  <c r="AW403" i="12" s="1"/>
  <c r="M403" i="12"/>
  <c r="S403" i="12" s="1"/>
  <c r="AV403" i="12" s="1"/>
  <c r="BK404" i="12"/>
  <c r="BJ404" i="12"/>
  <c r="BI404" i="12"/>
  <c r="AR404" i="12"/>
  <c r="BH404" i="12" s="1"/>
  <c r="AE404" i="12"/>
  <c r="BA404" i="12" s="1"/>
  <c r="AC404" i="12"/>
  <c r="AZ404" i="12" s="1"/>
  <c r="AA404" i="12"/>
  <c r="Y404" i="12"/>
  <c r="AY404" i="12" s="1"/>
  <c r="W404" i="12"/>
  <c r="AX404" i="12" s="1"/>
  <c r="U404" i="12"/>
  <c r="AW404" i="12" s="1"/>
  <c r="M404" i="12"/>
  <c r="BL404" i="12" s="1"/>
  <c r="BK407" i="12"/>
  <c r="BJ407" i="12"/>
  <c r="BI407" i="12"/>
  <c r="AR407" i="12"/>
  <c r="BH407" i="12" s="1"/>
  <c r="AE407" i="12"/>
  <c r="BA407" i="12" s="1"/>
  <c r="AC407" i="12"/>
  <c r="AZ407" i="12" s="1"/>
  <c r="AA407" i="12"/>
  <c r="Y407" i="12"/>
  <c r="AY407" i="12" s="1"/>
  <c r="W407" i="12"/>
  <c r="AX407" i="12" s="1"/>
  <c r="U407" i="12"/>
  <c r="AW407" i="12" s="1"/>
  <c r="M407" i="12"/>
  <c r="S407" i="12" s="1"/>
  <c r="AV407" i="12" s="1"/>
  <c r="BK410" i="12"/>
  <c r="BJ410" i="12"/>
  <c r="BI410" i="12"/>
  <c r="AR410" i="12"/>
  <c r="BH410" i="12" s="1"/>
  <c r="AE410" i="12"/>
  <c r="BA410" i="12" s="1"/>
  <c r="AC410" i="12"/>
  <c r="AZ410" i="12" s="1"/>
  <c r="AA410" i="12"/>
  <c r="Y410" i="12"/>
  <c r="AY410" i="12" s="1"/>
  <c r="W410" i="12"/>
  <c r="AX410" i="12" s="1"/>
  <c r="U410" i="12"/>
  <c r="AW410" i="12" s="1"/>
  <c r="M410" i="12"/>
  <c r="BL410" i="12" s="1"/>
  <c r="BK413" i="12"/>
  <c r="BJ413" i="12"/>
  <c r="BI413" i="12"/>
  <c r="AR413" i="12"/>
  <c r="BH413" i="12" s="1"/>
  <c r="AE413" i="12"/>
  <c r="BA413" i="12" s="1"/>
  <c r="AC413" i="12"/>
  <c r="AZ413" i="12" s="1"/>
  <c r="AA413" i="12"/>
  <c r="Y413" i="12"/>
  <c r="AY413" i="12" s="1"/>
  <c r="W413" i="12"/>
  <c r="AX413" i="12" s="1"/>
  <c r="U413" i="12"/>
  <c r="AW413" i="12" s="1"/>
  <c r="O413" i="12"/>
  <c r="AT413" i="12" s="1"/>
  <c r="M413" i="12"/>
  <c r="BL413" i="12" s="1"/>
  <c r="BK412" i="12"/>
  <c r="BJ412" i="12"/>
  <c r="BI412" i="12"/>
  <c r="AR412" i="12"/>
  <c r="BH412" i="12" s="1"/>
  <c r="AE412" i="12"/>
  <c r="BA412" i="12" s="1"/>
  <c r="AC412" i="12"/>
  <c r="AZ412" i="12" s="1"/>
  <c r="AA412" i="12"/>
  <c r="Y412" i="12"/>
  <c r="AY412" i="12" s="1"/>
  <c r="W412" i="12"/>
  <c r="AX412" i="12" s="1"/>
  <c r="U412" i="12"/>
  <c r="AW412" i="12" s="1"/>
  <c r="M412" i="12"/>
  <c r="Q412" i="12" s="1"/>
  <c r="AU412" i="12" s="1"/>
  <c r="A415" i="12"/>
  <c r="B415" i="12"/>
  <c r="O415" i="12"/>
  <c r="AT415" i="12" s="1"/>
  <c r="Q415" i="12"/>
  <c r="AU415" i="12" s="1"/>
  <c r="S415" i="12"/>
  <c r="AV415" i="12" s="1"/>
  <c r="U415" i="12"/>
  <c r="AW415" i="12" s="1"/>
  <c r="W415" i="12"/>
  <c r="AX415" i="12" s="1"/>
  <c r="Y415" i="12"/>
  <c r="AY415" i="12" s="1"/>
  <c r="AA415" i="12"/>
  <c r="AC415" i="12"/>
  <c r="AZ415" i="12" s="1"/>
  <c r="AE415" i="12"/>
  <c r="BA415" i="12" s="1"/>
  <c r="AR415" i="12"/>
  <c r="AS415" i="12" s="1"/>
  <c r="BB415" i="12" s="1"/>
  <c r="BI415" i="12"/>
  <c r="BJ415" i="12"/>
  <c r="BK415" i="12"/>
  <c r="BL415" i="12"/>
  <c r="B412" i="12" l="1"/>
  <c r="A404" i="12"/>
  <c r="BL412" i="12"/>
  <c r="BL407" i="12"/>
  <c r="A403" i="12"/>
  <c r="S413" i="12"/>
  <c r="AV413" i="12" s="1"/>
  <c r="BE407" i="12"/>
  <c r="O403" i="12"/>
  <c r="AT403" i="12" s="1"/>
  <c r="Q413" i="12"/>
  <c r="AU413" i="12" s="1"/>
  <c r="Q403" i="12"/>
  <c r="AU403" i="12" s="1"/>
  <c r="BE412" i="12"/>
  <c r="B407" i="12"/>
  <c r="O407" i="12"/>
  <c r="AT407" i="12" s="1"/>
  <c r="Q407" i="12"/>
  <c r="AU407" i="12" s="1"/>
  <c r="BG285" i="12"/>
  <c r="BD285" i="12" s="1"/>
  <c r="BC285" i="12"/>
  <c r="BE403" i="12"/>
  <c r="BL403" i="12"/>
  <c r="B403" i="12"/>
  <c r="AS403" i="12"/>
  <c r="BB403" i="12" s="1"/>
  <c r="B404" i="12"/>
  <c r="AS404" i="12"/>
  <c r="BB404" i="12" s="1"/>
  <c r="BE404" i="12"/>
  <c r="O404" i="12"/>
  <c r="AT404" i="12" s="1"/>
  <c r="Q404" i="12"/>
  <c r="AU404" i="12" s="1"/>
  <c r="S404" i="12"/>
  <c r="AV404" i="12" s="1"/>
  <c r="AS407" i="12"/>
  <c r="BB407" i="12" s="1"/>
  <c r="A407" i="12"/>
  <c r="A410" i="12"/>
  <c r="B410" i="12"/>
  <c r="AS410" i="12"/>
  <c r="BB410" i="12" s="1"/>
  <c r="BE410" i="12"/>
  <c r="O410" i="12"/>
  <c r="AT410" i="12" s="1"/>
  <c r="Q410" i="12"/>
  <c r="AU410" i="12" s="1"/>
  <c r="S410" i="12"/>
  <c r="AV410" i="12" s="1"/>
  <c r="AS412" i="12"/>
  <c r="BB412" i="12" s="1"/>
  <c r="BE413" i="12"/>
  <c r="A413" i="12"/>
  <c r="B413" i="12"/>
  <c r="AS413" i="12"/>
  <c r="BB413" i="12" s="1"/>
  <c r="A412" i="12"/>
  <c r="O412" i="12"/>
  <c r="AT412" i="12" s="1"/>
  <c r="S412" i="12"/>
  <c r="AV412" i="12" s="1"/>
  <c r="BH415" i="12"/>
  <c r="BE415" i="12" s="1"/>
  <c r="BF415" i="12"/>
  <c r="BL152" i="12"/>
  <c r="BK152" i="12"/>
  <c r="BJ152" i="12"/>
  <c r="BI152" i="12"/>
  <c r="AR152" i="12"/>
  <c r="BH152" i="12" s="1"/>
  <c r="BE152" i="12" s="1"/>
  <c r="AE152" i="12"/>
  <c r="BA152" i="12" s="1"/>
  <c r="AC152" i="12"/>
  <c r="AZ152" i="12" s="1"/>
  <c r="AA152" i="12"/>
  <c r="Y152" i="12"/>
  <c r="AY152" i="12" s="1"/>
  <c r="W152" i="12"/>
  <c r="AX152" i="12" s="1"/>
  <c r="U152" i="12"/>
  <c r="AW152" i="12" s="1"/>
  <c r="S152" i="12"/>
  <c r="AV152" i="12" s="1"/>
  <c r="Q152" i="12"/>
  <c r="AU152" i="12" s="1"/>
  <c r="O152" i="12"/>
  <c r="AT152" i="12" s="1"/>
  <c r="B152" i="12"/>
  <c r="A152" i="12"/>
  <c r="BL151" i="12"/>
  <c r="BK151" i="12"/>
  <c r="BJ151" i="12"/>
  <c r="BI151" i="12"/>
  <c r="AR151" i="12"/>
  <c r="BH151" i="12" s="1"/>
  <c r="BE151" i="12" s="1"/>
  <c r="AE151" i="12"/>
  <c r="BA151" i="12" s="1"/>
  <c r="AC151" i="12"/>
  <c r="AZ151" i="12" s="1"/>
  <c r="AA151" i="12"/>
  <c r="Y151" i="12"/>
  <c r="AY151" i="12" s="1"/>
  <c r="W151" i="12"/>
  <c r="AX151" i="12" s="1"/>
  <c r="U151" i="12"/>
  <c r="AW151" i="12" s="1"/>
  <c r="S151" i="12"/>
  <c r="AV151" i="12" s="1"/>
  <c r="Q151" i="12"/>
  <c r="AU151" i="12" s="1"/>
  <c r="O151" i="12"/>
  <c r="AT151" i="12" s="1"/>
  <c r="B151" i="12"/>
  <c r="A151" i="12"/>
  <c r="BF413" i="12" l="1"/>
  <c r="BG413" i="12" s="1"/>
  <c r="BD413" i="12" s="1"/>
  <c r="BF407" i="12"/>
  <c r="BG407" i="12" s="1"/>
  <c r="BD407" i="12" s="1"/>
  <c r="BF403" i="12"/>
  <c r="BG403" i="12" s="1"/>
  <c r="BD403" i="12" s="1"/>
  <c r="BF404" i="12"/>
  <c r="BC404" i="12" s="1"/>
  <c r="BF410" i="12"/>
  <c r="BG410" i="12" s="1"/>
  <c r="BD410" i="12" s="1"/>
  <c r="BF412" i="12"/>
  <c r="BC415" i="12"/>
  <c r="BG415" i="12"/>
  <c r="BD415" i="12" s="1"/>
  <c r="AS151" i="12"/>
  <c r="BB151" i="12" s="1"/>
  <c r="BF151" i="12" s="1"/>
  <c r="AS152" i="12"/>
  <c r="BB152" i="12" s="1"/>
  <c r="BF152" i="12" s="1"/>
  <c r="BC413" i="12" l="1"/>
  <c r="BC407" i="12"/>
  <c r="BC403" i="12"/>
  <c r="BG404" i="12"/>
  <c r="BD404" i="12" s="1"/>
  <c r="BC410" i="12"/>
  <c r="BG412" i="12"/>
  <c r="BD412" i="12" s="1"/>
  <c r="BC412" i="12"/>
  <c r="BG152" i="12"/>
  <c r="BD152" i="12" s="1"/>
  <c r="BC152" i="12"/>
  <c r="BG151" i="12"/>
  <c r="BD151" i="12" s="1"/>
  <c r="BC151" i="12"/>
  <c r="AR65" i="12" l="1"/>
  <c r="Y61" i="12"/>
  <c r="Y62" i="12"/>
  <c r="Y63" i="12"/>
  <c r="AY63" i="12" s="1"/>
  <c r="Y64" i="12"/>
  <c r="AY64" i="12" s="1"/>
  <c r="Y65" i="12"/>
  <c r="AY65" i="12" s="1"/>
  <c r="BL63" i="12"/>
  <c r="BK63" i="12"/>
  <c r="BJ63" i="12"/>
  <c r="BI63" i="12"/>
  <c r="AR63" i="12"/>
  <c r="AE63" i="12"/>
  <c r="BA63" i="12" s="1"/>
  <c r="AC63" i="12"/>
  <c r="AZ63" i="12" s="1"/>
  <c r="AA63" i="12"/>
  <c r="W63" i="12"/>
  <c r="AX63" i="12" s="1"/>
  <c r="U63" i="12"/>
  <c r="AW63" i="12" s="1"/>
  <c r="S63" i="12"/>
  <c r="AV63" i="12" s="1"/>
  <c r="Q63" i="12"/>
  <c r="AU63" i="12" s="1"/>
  <c r="O63" i="12"/>
  <c r="AT63" i="12" s="1"/>
  <c r="B63" i="12"/>
  <c r="A63" i="12"/>
  <c r="BL64" i="12"/>
  <c r="BK64" i="12"/>
  <c r="BJ64" i="12"/>
  <c r="BI64" i="12"/>
  <c r="AR64" i="12"/>
  <c r="AE64" i="12"/>
  <c r="BA64" i="12" s="1"/>
  <c r="AC64" i="12"/>
  <c r="AZ64" i="12" s="1"/>
  <c r="AA64" i="12"/>
  <c r="W64" i="12"/>
  <c r="AX64" i="12" s="1"/>
  <c r="U64" i="12"/>
  <c r="AW64" i="12" s="1"/>
  <c r="S64" i="12"/>
  <c r="AV64" i="12" s="1"/>
  <c r="Q64" i="12"/>
  <c r="AU64" i="12" s="1"/>
  <c r="O64" i="12"/>
  <c r="AT64" i="12" s="1"/>
  <c r="B64" i="12"/>
  <c r="A64" i="12"/>
  <c r="BL65" i="12"/>
  <c r="BK65" i="12"/>
  <c r="BJ65" i="12"/>
  <c r="BI65" i="12"/>
  <c r="AE65" i="12"/>
  <c r="BA65" i="12" s="1"/>
  <c r="AC65" i="12"/>
  <c r="AZ65" i="12" s="1"/>
  <c r="AA65" i="12"/>
  <c r="W65" i="12"/>
  <c r="AX65" i="12" s="1"/>
  <c r="U65" i="12"/>
  <c r="AW65" i="12" s="1"/>
  <c r="S65" i="12"/>
  <c r="AV65" i="12" s="1"/>
  <c r="Q65" i="12"/>
  <c r="AU65" i="12" s="1"/>
  <c r="O65" i="12"/>
  <c r="AT65" i="12" s="1"/>
  <c r="B65" i="12"/>
  <c r="A65" i="12"/>
  <c r="BH65" i="12" l="1"/>
  <c r="BE65" i="12" s="1"/>
  <c r="BH64" i="12"/>
  <c r="BE64" i="12" s="1"/>
  <c r="BH63" i="12"/>
  <c r="BE63" i="12" s="1"/>
  <c r="AS65" i="12"/>
  <c r="BB65" i="12" s="1"/>
  <c r="BF65" i="12" s="1"/>
  <c r="AS64" i="12"/>
  <c r="BB64" i="12" s="1"/>
  <c r="BF64" i="12" s="1"/>
  <c r="AS63" i="12"/>
  <c r="BB63" i="12" s="1"/>
  <c r="BF63" i="12" s="1"/>
  <c r="AE386" i="15"/>
  <c r="AC386" i="15"/>
  <c r="AK54" i="15"/>
  <c r="AI54" i="15"/>
  <c r="AD9" i="15"/>
  <c r="AE9" i="15" s="1"/>
  <c r="BG63" i="12" l="1"/>
  <c r="BD63" i="12" s="1"/>
  <c r="BC63" i="12"/>
  <c r="BG64" i="12"/>
  <c r="BD64" i="12" s="1"/>
  <c r="BC64" i="12"/>
  <c r="BG65" i="12"/>
  <c r="BD65" i="12" s="1"/>
  <c r="BC65" i="12"/>
  <c r="B5" i="3"/>
  <c r="A5" i="3"/>
  <c r="B78" i="3"/>
  <c r="B77" i="3"/>
  <c r="B57" i="3"/>
  <c r="AJ387" i="15" l="1"/>
  <c r="AK387" i="15" s="1"/>
  <c r="AH387" i="15"/>
  <c r="AI387" i="15" s="1"/>
  <c r="AJ386" i="15"/>
  <c r="AK386" i="15" s="1"/>
  <c r="AH386" i="15"/>
  <c r="AI386" i="15" s="1"/>
  <c r="AJ385" i="15"/>
  <c r="AK385" i="15" s="1"/>
  <c r="AH385" i="15"/>
  <c r="AI385" i="15" s="1"/>
  <c r="AJ384" i="15"/>
  <c r="AK384" i="15" s="1"/>
  <c r="AH384" i="15"/>
  <c r="AI384" i="15" s="1"/>
  <c r="AJ378" i="15"/>
  <c r="AH378" i="15"/>
  <c r="AI378" i="15" s="1"/>
  <c r="AJ365" i="15"/>
  <c r="AK365" i="15" s="1"/>
  <c r="AH365" i="15"/>
  <c r="AI365" i="15" s="1"/>
  <c r="AJ358" i="15"/>
  <c r="AK358" i="15" s="1"/>
  <c r="AH358" i="15"/>
  <c r="AI358" i="15" s="1"/>
  <c r="AJ357" i="15"/>
  <c r="AH357" i="15"/>
  <c r="AI357" i="15" s="1"/>
  <c r="AJ336" i="15"/>
  <c r="AK336" i="15" s="1"/>
  <c r="AH336" i="15"/>
  <c r="AI336" i="15" s="1"/>
  <c r="AJ335" i="15"/>
  <c r="AH335" i="15"/>
  <c r="AI335" i="15" s="1"/>
  <c r="AJ329" i="15"/>
  <c r="AH329" i="15"/>
  <c r="AJ292" i="15"/>
  <c r="AK292" i="15" s="1"/>
  <c r="AH292" i="15"/>
  <c r="AI292" i="15" s="1"/>
  <c r="AJ274" i="15"/>
  <c r="AK274" i="15" s="1"/>
  <c r="AH274" i="15"/>
  <c r="AI274" i="15" s="1"/>
  <c r="AJ273" i="15"/>
  <c r="AK273" i="15" s="1"/>
  <c r="AH273" i="15"/>
  <c r="AI273" i="15" s="1"/>
  <c r="AJ272" i="15"/>
  <c r="AK272" i="15" s="1"/>
  <c r="AH272" i="15"/>
  <c r="AI272" i="15" s="1"/>
  <c r="AJ271" i="15"/>
  <c r="AH271" i="15"/>
  <c r="AI271" i="15" s="1"/>
  <c r="AJ265" i="15"/>
  <c r="AK265" i="15" s="1"/>
  <c r="AH265" i="15"/>
  <c r="AI265" i="15" s="1"/>
  <c r="AJ264" i="15"/>
  <c r="AK264" i="15" s="1"/>
  <c r="AH264" i="15"/>
  <c r="AI264" i="15" s="1"/>
  <c r="AJ237" i="15"/>
  <c r="AK237" i="15" s="1"/>
  <c r="AH237" i="15"/>
  <c r="AI237" i="15" s="1"/>
  <c r="AJ236" i="15"/>
  <c r="AK236" i="15" s="1"/>
  <c r="AH236" i="15"/>
  <c r="AI236" i="15" s="1"/>
  <c r="AJ234" i="15"/>
  <c r="AH234" i="15"/>
  <c r="AI234" i="15" s="1"/>
  <c r="AJ198" i="15"/>
  <c r="AK198" i="15" s="1"/>
  <c r="AH198" i="15"/>
  <c r="AI198" i="15" s="1"/>
  <c r="AJ197" i="15"/>
  <c r="AK197" i="15" s="1"/>
  <c r="AH197" i="15"/>
  <c r="AI197" i="15" s="1"/>
  <c r="AJ196" i="15"/>
  <c r="AK196" i="15" s="1"/>
  <c r="AH196" i="15"/>
  <c r="AI196" i="15" s="1"/>
  <c r="AJ195" i="15"/>
  <c r="AK195" i="15" s="1"/>
  <c r="AH195" i="15"/>
  <c r="AI195" i="15" s="1"/>
  <c r="AJ194" i="15"/>
  <c r="AK194" i="15" s="1"/>
  <c r="AH194" i="15"/>
  <c r="AI194" i="15" s="1"/>
  <c r="AJ193" i="15"/>
  <c r="AK193" i="15" s="1"/>
  <c r="AH193" i="15"/>
  <c r="AI193" i="15" s="1"/>
  <c r="AJ192" i="15"/>
  <c r="AH192" i="15"/>
  <c r="AI192" i="15" s="1"/>
  <c r="AJ184" i="15"/>
  <c r="AK184" i="15" s="1"/>
  <c r="AH184" i="15"/>
  <c r="AI184" i="15" s="1"/>
  <c r="AJ183" i="15"/>
  <c r="AK183" i="15" s="1"/>
  <c r="AH183" i="15"/>
  <c r="AI183" i="15" s="1"/>
  <c r="AJ161" i="15"/>
  <c r="AK161" i="15" s="1"/>
  <c r="AH161" i="15"/>
  <c r="AI161" i="15" s="1"/>
  <c r="AJ153" i="15"/>
  <c r="AK153" i="15" s="1"/>
  <c r="AH153" i="15"/>
  <c r="AI153" i="15" s="1"/>
  <c r="AJ152" i="15"/>
  <c r="AK152" i="15" s="1"/>
  <c r="AH152" i="15"/>
  <c r="AI152" i="15" s="1"/>
  <c r="AJ139" i="15"/>
  <c r="AK139" i="15" s="1"/>
  <c r="AH139" i="15"/>
  <c r="AI139" i="15" s="1"/>
  <c r="AJ138" i="15"/>
  <c r="AK138" i="15" s="1"/>
  <c r="AH138" i="15"/>
  <c r="AI138" i="15" s="1"/>
  <c r="AJ109" i="15"/>
  <c r="AK109" i="15" s="1"/>
  <c r="AH109" i="15"/>
  <c r="AI109" i="15" s="1"/>
  <c r="AJ106" i="15"/>
  <c r="AK106" i="15" s="1"/>
  <c r="AH106" i="15"/>
  <c r="AI106" i="15" s="1"/>
  <c r="AJ103" i="15"/>
  <c r="AK103" i="15" s="1"/>
  <c r="AH103" i="15"/>
  <c r="AI103" i="15" s="1"/>
  <c r="AJ100" i="15"/>
  <c r="AK100" i="15" s="1"/>
  <c r="AH100" i="15"/>
  <c r="AI100" i="15" s="1"/>
  <c r="AJ96" i="15"/>
  <c r="AK96" i="15" s="1"/>
  <c r="AH96" i="15"/>
  <c r="AI96" i="15" s="1"/>
  <c r="AJ93" i="15"/>
  <c r="AK93" i="15" s="1"/>
  <c r="AH93" i="15"/>
  <c r="AI93" i="15" s="1"/>
  <c r="AJ90" i="15"/>
  <c r="AK90" i="15" s="1"/>
  <c r="AH90" i="15"/>
  <c r="AI90" i="15" s="1"/>
  <c r="AJ60" i="15"/>
  <c r="AK60" i="15" s="1"/>
  <c r="AH60" i="15"/>
  <c r="AI60" i="15" s="1"/>
  <c r="AJ59" i="15"/>
  <c r="AK59" i="15" s="1"/>
  <c r="AH59" i="15"/>
  <c r="AI59" i="15" s="1"/>
  <c r="AJ34" i="15"/>
  <c r="AK34" i="15" s="1"/>
  <c r="AH34" i="15"/>
  <c r="AI34" i="15" s="1"/>
  <c r="AD384" i="15"/>
  <c r="AE384" i="15" s="1"/>
  <c r="AB384" i="15"/>
  <c r="AC384" i="15" s="1"/>
  <c r="AD378" i="15"/>
  <c r="AB378" i="15"/>
  <c r="AC378" i="15" s="1"/>
  <c r="AD365" i="15"/>
  <c r="AE365" i="15" s="1"/>
  <c r="AB365" i="15"/>
  <c r="AC365" i="15" s="1"/>
  <c r="AD345" i="15"/>
  <c r="AE345" i="15" s="1"/>
  <c r="AB345" i="15"/>
  <c r="AC345" i="15" s="1"/>
  <c r="AD344" i="15"/>
  <c r="AE344" i="15" s="1"/>
  <c r="AB344" i="15"/>
  <c r="AC344" i="15" s="1"/>
  <c r="AD343" i="15"/>
  <c r="AE343" i="15" s="1"/>
  <c r="AB343" i="15"/>
  <c r="AC343" i="15" s="1"/>
  <c r="AD336" i="15"/>
  <c r="AE336" i="15" s="1"/>
  <c r="AB336" i="15"/>
  <c r="AC336" i="15" s="1"/>
  <c r="AD335" i="15"/>
  <c r="AB335" i="15"/>
  <c r="AC335" i="15" s="1"/>
  <c r="AD329" i="15"/>
  <c r="AB329" i="15"/>
  <c r="AD317" i="15"/>
  <c r="AE317" i="15" s="1"/>
  <c r="AB317" i="15"/>
  <c r="AC317" i="15" s="1"/>
  <c r="AD316" i="15"/>
  <c r="AE316" i="15" s="1"/>
  <c r="AB316" i="15"/>
  <c r="AC316" i="15" s="1"/>
  <c r="AD292" i="15"/>
  <c r="AE292" i="15" s="1"/>
  <c r="AB292" i="15"/>
  <c r="AC292" i="15" s="1"/>
  <c r="AD282" i="15"/>
  <c r="AE282" i="15" s="1"/>
  <c r="AB282" i="15"/>
  <c r="AC282" i="15" s="1"/>
  <c r="AD276" i="15"/>
  <c r="AE276" i="15" s="1"/>
  <c r="AB276" i="15"/>
  <c r="AC276" i="15" s="1"/>
  <c r="AD274" i="15"/>
  <c r="AE274" i="15" s="1"/>
  <c r="AB274" i="15"/>
  <c r="AC274" i="15" s="1"/>
  <c r="AD273" i="15"/>
  <c r="AE273" i="15" s="1"/>
  <c r="AB273" i="15"/>
  <c r="AC273" i="15" s="1"/>
  <c r="AD272" i="15"/>
  <c r="AE272" i="15" s="1"/>
  <c r="AB272" i="15"/>
  <c r="AC272" i="15" s="1"/>
  <c r="AD271" i="15"/>
  <c r="AB271" i="15"/>
  <c r="AC271" i="15" s="1"/>
  <c r="AD265" i="15"/>
  <c r="AE265" i="15" s="1"/>
  <c r="AB265" i="15"/>
  <c r="AC265" i="15" s="1"/>
  <c r="AD264" i="15"/>
  <c r="AE264" i="15" s="1"/>
  <c r="AB264" i="15"/>
  <c r="AC264" i="15" s="1"/>
  <c r="AD237" i="15"/>
  <c r="AE237" i="15" s="1"/>
  <c r="AB237" i="15"/>
  <c r="AC237" i="15" s="1"/>
  <c r="AD236" i="15"/>
  <c r="AE236" i="15" s="1"/>
  <c r="AB236" i="15"/>
  <c r="AC236" i="15" s="1"/>
  <c r="AD234" i="15"/>
  <c r="AB234" i="15"/>
  <c r="AC234" i="15" s="1"/>
  <c r="AD210" i="15"/>
  <c r="AE210" i="15" s="1"/>
  <c r="AB210" i="15"/>
  <c r="AC210" i="15" s="1"/>
  <c r="AD207" i="15"/>
  <c r="AE207" i="15" s="1"/>
  <c r="AB207" i="15"/>
  <c r="AC207" i="15" s="1"/>
  <c r="AD206" i="15"/>
  <c r="AE206" i="15" s="1"/>
  <c r="AB206" i="15"/>
  <c r="AC206" i="15" s="1"/>
  <c r="AD198" i="15"/>
  <c r="AE198" i="15" s="1"/>
  <c r="AB198" i="15"/>
  <c r="AC198" i="15" s="1"/>
  <c r="AD197" i="15"/>
  <c r="AE197" i="15" s="1"/>
  <c r="AB197" i="15"/>
  <c r="AC197" i="15" s="1"/>
  <c r="AD196" i="15"/>
  <c r="AE196" i="15" s="1"/>
  <c r="AB196" i="15"/>
  <c r="AC196" i="15" s="1"/>
  <c r="AD195" i="15"/>
  <c r="AE195" i="15" s="1"/>
  <c r="AB195" i="15"/>
  <c r="AC195" i="15" s="1"/>
  <c r="AD194" i="15"/>
  <c r="AE194" i="15" s="1"/>
  <c r="AB194" i="15"/>
  <c r="AC194" i="15" s="1"/>
  <c r="AD193" i="15"/>
  <c r="AE193" i="15" s="1"/>
  <c r="AB193" i="15"/>
  <c r="AC193" i="15" s="1"/>
  <c r="AD192" i="15"/>
  <c r="AB192" i="15"/>
  <c r="AC192" i="15" s="1"/>
  <c r="AD184" i="15"/>
  <c r="AE184" i="15" s="1"/>
  <c r="AB184" i="15"/>
  <c r="AC184" i="15" s="1"/>
  <c r="AD183" i="15"/>
  <c r="AE183" i="15" s="1"/>
  <c r="AB183" i="15"/>
  <c r="AC183" i="15" s="1"/>
  <c r="AD161" i="15"/>
  <c r="AE161" i="15" s="1"/>
  <c r="AB161" i="15"/>
  <c r="AC161" i="15" s="1"/>
  <c r="AD153" i="15"/>
  <c r="AE153" i="15" s="1"/>
  <c r="AB153" i="15"/>
  <c r="AC153" i="15" s="1"/>
  <c r="AD152" i="15"/>
  <c r="AE152" i="15" s="1"/>
  <c r="AB152" i="15"/>
  <c r="AC152" i="15" s="1"/>
  <c r="AD139" i="15"/>
  <c r="AE139" i="15" s="1"/>
  <c r="AB139" i="15"/>
  <c r="AC139" i="15" s="1"/>
  <c r="AD138" i="15"/>
  <c r="AE138" i="15" s="1"/>
  <c r="AB138" i="15"/>
  <c r="AC138" i="15" s="1"/>
  <c r="AD109" i="15"/>
  <c r="AE109" i="15" s="1"/>
  <c r="AB109" i="15"/>
  <c r="AC109" i="15" s="1"/>
  <c r="AD106" i="15"/>
  <c r="AE106" i="15" s="1"/>
  <c r="AB106" i="15"/>
  <c r="AC106" i="15" s="1"/>
  <c r="AD103" i="15"/>
  <c r="AE103" i="15" s="1"/>
  <c r="AB103" i="15"/>
  <c r="AC103" i="15" s="1"/>
  <c r="AD100" i="15"/>
  <c r="AE100" i="15" s="1"/>
  <c r="AB100" i="15"/>
  <c r="AC100" i="15" s="1"/>
  <c r="AD96" i="15"/>
  <c r="AE96" i="15" s="1"/>
  <c r="AB96" i="15"/>
  <c r="AC96" i="15" s="1"/>
  <c r="AD93" i="15"/>
  <c r="AE93" i="15" s="1"/>
  <c r="AB93" i="15"/>
  <c r="AC93" i="15" s="1"/>
  <c r="AD90" i="15"/>
  <c r="AE90" i="15" s="1"/>
  <c r="AB90" i="15"/>
  <c r="AC90" i="15" s="1"/>
  <c r="AD75" i="15"/>
  <c r="AE75" i="15" s="1"/>
  <c r="AB75" i="15"/>
  <c r="AC75" i="15" s="1"/>
  <c r="AD74" i="15"/>
  <c r="AE74" i="15" s="1"/>
  <c r="AB74" i="15"/>
  <c r="AC74" i="15" s="1"/>
  <c r="AD73" i="15"/>
  <c r="AE73" i="15" s="1"/>
  <c r="AB73" i="15"/>
  <c r="AC73" i="15" s="1"/>
  <c r="AD58" i="15"/>
  <c r="AE58" i="15" s="1"/>
  <c r="AB58" i="15"/>
  <c r="AC58" i="15" s="1"/>
  <c r="AD57" i="15"/>
  <c r="AE57" i="15" s="1"/>
  <c r="AB57" i="15"/>
  <c r="AC57" i="15" s="1"/>
  <c r="AD56" i="15"/>
  <c r="AE56" i="15" s="1"/>
  <c r="AB56" i="15"/>
  <c r="AC56" i="15" s="1"/>
  <c r="AD45" i="15"/>
  <c r="AE45" i="15" s="1"/>
  <c r="AB45" i="15"/>
  <c r="AC45" i="15" s="1"/>
  <c r="AD44" i="15"/>
  <c r="AE44" i="15" s="1"/>
  <c r="AB44" i="15"/>
  <c r="AC44" i="15" s="1"/>
  <c r="AD34" i="15"/>
  <c r="AE34" i="15" s="1"/>
  <c r="AB34" i="15"/>
  <c r="AC34" i="15" s="1"/>
  <c r="AH10" i="15"/>
  <c r="AI10" i="15" s="1"/>
  <c r="AJ10" i="15"/>
  <c r="AK10" i="15" s="1"/>
  <c r="AJ9" i="15"/>
  <c r="AH9" i="15"/>
  <c r="AD10" i="15"/>
  <c r="AB10" i="15"/>
  <c r="AC10" i="15" s="1"/>
  <c r="AB9" i="15"/>
  <c r="AC9" i="15" s="1"/>
  <c r="AE10" i="15" l="1"/>
  <c r="AE271" i="15"/>
  <c r="AE378" i="15"/>
  <c r="AC199" i="15"/>
  <c r="AB330" i="15"/>
  <c r="AC329" i="15"/>
  <c r="AC330" i="15" s="1"/>
  <c r="AE192" i="15"/>
  <c r="AE199" i="15" s="1"/>
  <c r="AD199" i="15"/>
  <c r="AE329" i="15"/>
  <c r="AE330" i="15" s="1"/>
  <c r="AD330" i="15"/>
  <c r="AK9" i="15"/>
  <c r="AE335" i="15"/>
  <c r="AK234" i="15"/>
  <c r="AK378" i="15"/>
  <c r="AK357" i="15"/>
  <c r="AI199" i="15"/>
  <c r="AH330" i="15"/>
  <c r="AI329" i="15"/>
  <c r="AI330" i="15" s="1"/>
  <c r="AJ330" i="15"/>
  <c r="AK329" i="15"/>
  <c r="AK330" i="15" s="1"/>
  <c r="AK271" i="15"/>
  <c r="AI9" i="15"/>
  <c r="AK335" i="15"/>
  <c r="AE234" i="15"/>
  <c r="AJ199" i="15"/>
  <c r="AK192" i="15"/>
  <c r="AK199" i="15" s="1"/>
  <c r="AB199" i="15"/>
  <c r="AH199" i="15"/>
  <c r="E18" i="13"/>
  <c r="E46" i="13"/>
  <c r="E70" i="13"/>
  <c r="E72" i="13"/>
  <c r="E198" i="13"/>
  <c r="A52" i="19" l="1"/>
  <c r="AA384" i="15" l="1"/>
  <c r="AA386" i="15"/>
  <c r="AA365" i="15"/>
  <c r="AA344" i="15"/>
  <c r="AA316" i="15"/>
  <c r="AA317" i="15"/>
  <c r="Y290" i="15"/>
  <c r="Y291" i="15"/>
  <c r="Y292" i="15"/>
  <c r="Y293" i="15"/>
  <c r="Y294" i="15"/>
  <c r="Y295" i="15"/>
  <c r="Y296" i="15"/>
  <c r="AA207" i="15"/>
  <c r="AA210" i="15"/>
  <c r="X374" i="15"/>
  <c r="X353" i="15"/>
  <c r="X331" i="15"/>
  <c r="X325" i="15"/>
  <c r="X308" i="15"/>
  <c r="X298" i="15"/>
  <c r="Y289" i="15"/>
  <c r="Y288" i="15"/>
  <c r="X284" i="15"/>
  <c r="X267" i="15"/>
  <c r="Y263" i="15"/>
  <c r="Y262" i="15"/>
  <c r="X258" i="15"/>
  <c r="Y256" i="15"/>
  <c r="Y255" i="15"/>
  <c r="X251" i="15"/>
  <c r="X243" i="15"/>
  <c r="X230" i="15"/>
  <c r="X219" i="15"/>
  <c r="AA206" i="15"/>
  <c r="X200" i="15"/>
  <c r="Y195" i="15"/>
  <c r="Y196" i="15"/>
  <c r="AG196" i="15"/>
  <c r="Y197" i="15"/>
  <c r="AG197" i="15"/>
  <c r="Y198" i="15"/>
  <c r="AG198" i="15"/>
  <c r="Y194" i="15"/>
  <c r="Y193" i="15"/>
  <c r="Y192" i="15"/>
  <c r="X188" i="15"/>
  <c r="AA183" i="15"/>
  <c r="AG183" i="15"/>
  <c r="AA184" i="15"/>
  <c r="AG184" i="15"/>
  <c r="X163" i="15"/>
  <c r="Y148" i="15"/>
  <c r="Y149" i="15"/>
  <c r="Y150" i="15"/>
  <c r="Y151" i="15"/>
  <c r="Y152" i="15"/>
  <c r="AA152" i="15"/>
  <c r="Y153" i="15"/>
  <c r="AA153" i="15"/>
  <c r="Y154" i="15"/>
  <c r="Y155" i="15"/>
  <c r="Y156" i="15"/>
  <c r="Y157" i="15"/>
  <c r="Y158" i="15"/>
  <c r="Y159" i="15"/>
  <c r="Y160" i="15"/>
  <c r="Y161" i="15"/>
  <c r="AA161" i="15"/>
  <c r="Y147" i="15"/>
  <c r="Y146" i="15"/>
  <c r="Y145" i="15"/>
  <c r="X141" i="15"/>
  <c r="AA138" i="15"/>
  <c r="AA139" i="15"/>
  <c r="X116" i="15"/>
  <c r="AA96" i="15"/>
  <c r="AA103" i="15"/>
  <c r="AA109" i="15"/>
  <c r="AA90" i="15"/>
  <c r="Y85" i="15"/>
  <c r="Y84" i="15"/>
  <c r="X80" i="15"/>
  <c r="Y77" i="15"/>
  <c r="Y78" i="15"/>
  <c r="Y76" i="15"/>
  <c r="Y75" i="15"/>
  <c r="Y74" i="15"/>
  <c r="Y73" i="15"/>
  <c r="Y72" i="15"/>
  <c r="Y71" i="15"/>
  <c r="Y70" i="15"/>
  <c r="X66" i="15"/>
  <c r="Y61" i="15"/>
  <c r="Y62" i="15"/>
  <c r="Y63" i="15"/>
  <c r="Y64" i="15"/>
  <c r="Y60" i="15"/>
  <c r="Y59" i="15"/>
  <c r="AA58" i="15"/>
  <c r="AA57" i="15"/>
  <c r="AA56" i="15"/>
  <c r="Y56" i="15"/>
  <c r="Y55" i="15"/>
  <c r="Y54" i="15"/>
  <c r="X50" i="15"/>
  <c r="AA45" i="15"/>
  <c r="AA44" i="15"/>
  <c r="AA34" i="15"/>
  <c r="AG34" i="15"/>
  <c r="Y36" i="15"/>
  <c r="Y35" i="15"/>
  <c r="X37" i="15"/>
  <c r="X27" i="15"/>
  <c r="X21" i="15"/>
  <c r="Y21" i="15" s="1"/>
  <c r="X22" i="15"/>
  <c r="Y22" i="15" s="1"/>
  <c r="X23" i="15"/>
  <c r="Y23" i="15" s="1"/>
  <c r="X24" i="15"/>
  <c r="Y24" i="15" s="1"/>
  <c r="X25" i="15"/>
  <c r="Y25" i="15" s="1"/>
  <c r="X20" i="15"/>
  <c r="X16" i="15"/>
  <c r="X5" i="15"/>
  <c r="X14" i="15"/>
  <c r="Y14" i="15" s="1"/>
  <c r="X13" i="15"/>
  <c r="Y13" i="15" s="1"/>
  <c r="X12" i="15"/>
  <c r="X11" i="15"/>
  <c r="Y9" i="15"/>
  <c r="X10" i="15"/>
  <c r="Y10" i="15" s="1"/>
  <c r="AP29" i="15" l="1"/>
  <c r="AY18" i="15"/>
  <c r="AR18" i="15"/>
  <c r="AX18" i="15"/>
  <c r="AS18" i="15"/>
  <c r="AP18" i="15"/>
  <c r="AV18" i="15"/>
  <c r="AU18" i="15"/>
  <c r="AO29" i="15"/>
  <c r="AO18" i="15"/>
  <c r="AY29" i="15"/>
  <c r="AX29" i="15"/>
  <c r="AV29" i="15"/>
  <c r="AR29" i="15"/>
  <c r="AU29" i="15"/>
  <c r="AS29" i="15"/>
  <c r="G18" i="13"/>
  <c r="G46" i="13"/>
  <c r="G72" i="13"/>
  <c r="G148" i="13"/>
  <c r="G198" i="13"/>
  <c r="AQ18" i="15" l="1"/>
  <c r="AW29" i="15"/>
  <c r="AW18" i="15"/>
  <c r="AZ29" i="15"/>
  <c r="AQ29" i="15"/>
  <c r="AZ18" i="15"/>
  <c r="AT29" i="15"/>
  <c r="AT18" i="15"/>
  <c r="A57" i="3"/>
  <c r="O57" i="3"/>
  <c r="AT57" i="3" s="1"/>
  <c r="Q57" i="3"/>
  <c r="AU57" i="3" s="1"/>
  <c r="S57" i="3"/>
  <c r="AV57" i="3" s="1"/>
  <c r="U57" i="3"/>
  <c r="AW57" i="3" s="1"/>
  <c r="W57" i="3"/>
  <c r="AX57" i="3" s="1"/>
  <c r="Y57" i="3"/>
  <c r="AY57" i="3" s="1"/>
  <c r="AA57" i="3"/>
  <c r="AC57" i="3"/>
  <c r="AZ57" i="3" s="1"/>
  <c r="AE57" i="3"/>
  <c r="BA57" i="3" s="1"/>
  <c r="AR57" i="3"/>
  <c r="AS57" i="3" s="1"/>
  <c r="BB57" i="3" s="1"/>
  <c r="BI57" i="3"/>
  <c r="BJ57" i="3"/>
  <c r="BK57" i="3"/>
  <c r="BL57" i="3"/>
  <c r="A77" i="3"/>
  <c r="A78" i="3"/>
  <c r="U78" i="3"/>
  <c r="AW78" i="3" s="1"/>
  <c r="AR77" i="3"/>
  <c r="AS77" i="3" s="1"/>
  <c r="BB77" i="3" s="1"/>
  <c r="AE77" i="3"/>
  <c r="BA77" i="3" s="1"/>
  <c r="AC77" i="3"/>
  <c r="AZ77" i="3" s="1"/>
  <c r="AA77" i="3"/>
  <c r="Y77" i="3"/>
  <c r="AY77" i="3" s="1"/>
  <c r="W77" i="3"/>
  <c r="AX77" i="3" s="1"/>
  <c r="U77" i="3"/>
  <c r="AW77" i="3" s="1"/>
  <c r="S77" i="3"/>
  <c r="AV77" i="3" s="1"/>
  <c r="Q77" i="3"/>
  <c r="AU77" i="3" s="1"/>
  <c r="O77" i="3"/>
  <c r="AT77" i="3" s="1"/>
  <c r="BI77" i="3"/>
  <c r="BJ77" i="3"/>
  <c r="BK77" i="3"/>
  <c r="BL77" i="3"/>
  <c r="O78" i="3"/>
  <c r="AT78" i="3" s="1"/>
  <c r="Q78" i="3"/>
  <c r="AU78" i="3" s="1"/>
  <c r="S78" i="3"/>
  <c r="AV78" i="3" s="1"/>
  <c r="W78" i="3"/>
  <c r="AX78" i="3" s="1"/>
  <c r="Y78" i="3"/>
  <c r="AY78" i="3" s="1"/>
  <c r="AA78" i="3"/>
  <c r="AC78" i="3"/>
  <c r="AZ78" i="3" s="1"/>
  <c r="AE78" i="3"/>
  <c r="BA78" i="3" s="1"/>
  <c r="AR78" i="3"/>
  <c r="AS78" i="3" s="1"/>
  <c r="BB78" i="3" s="1"/>
  <c r="BI78" i="3"/>
  <c r="BJ78" i="3"/>
  <c r="BK78" i="3"/>
  <c r="BL78" i="3"/>
  <c r="BH57" i="3" l="1"/>
  <c r="BE57" i="3" s="1"/>
  <c r="BF57" i="3"/>
  <c r="BC57" i="3" s="1"/>
  <c r="BH78" i="3"/>
  <c r="BE78" i="3" s="1"/>
  <c r="BF77" i="3"/>
  <c r="BH77" i="3"/>
  <c r="BE77" i="3" s="1"/>
  <c r="BF78" i="3"/>
  <c r="BG57" i="3" l="1"/>
  <c r="BD57" i="3" s="1"/>
  <c r="BG77" i="3"/>
  <c r="BD77" i="3" s="1"/>
  <c r="BC77" i="3"/>
  <c r="BG78" i="3"/>
  <c r="BD78" i="3" s="1"/>
  <c r="BC78" i="3"/>
  <c r="M119" i="9" l="1"/>
  <c r="BL119" i="9" s="1"/>
  <c r="M120" i="9"/>
  <c r="B120" i="9" s="1"/>
  <c r="Q120" i="9"/>
  <c r="AU120" i="9" s="1"/>
  <c r="S120" i="9"/>
  <c r="AV120" i="9" s="1"/>
  <c r="U120" i="9"/>
  <c r="AW120" i="9" s="1"/>
  <c r="W120" i="9"/>
  <c r="AX120" i="9" s="1"/>
  <c r="Y120" i="9"/>
  <c r="AY120" i="9" s="1"/>
  <c r="AA120" i="9"/>
  <c r="AC120" i="9"/>
  <c r="AZ120" i="9" s="1"/>
  <c r="AE120" i="9"/>
  <c r="BA120" i="9" s="1"/>
  <c r="AR120" i="9"/>
  <c r="AS120" i="9" s="1"/>
  <c r="BB120" i="9" s="1"/>
  <c r="BI120" i="9"/>
  <c r="BJ120" i="9"/>
  <c r="BK120" i="9"/>
  <c r="O119" i="9"/>
  <c r="AT119" i="9" s="1"/>
  <c r="Q119" i="9"/>
  <c r="AU119" i="9" s="1"/>
  <c r="U119" i="9"/>
  <c r="AW119" i="9" s="1"/>
  <c r="W119" i="9"/>
  <c r="AX119" i="9" s="1"/>
  <c r="Y119" i="9"/>
  <c r="AY119" i="9" s="1"/>
  <c r="AA119" i="9"/>
  <c r="AC119" i="9"/>
  <c r="AZ119" i="9" s="1"/>
  <c r="AE119" i="9"/>
  <c r="BA119" i="9" s="1"/>
  <c r="AR119" i="9"/>
  <c r="AS119" i="9" s="1"/>
  <c r="BB119" i="9" s="1"/>
  <c r="BI119" i="9"/>
  <c r="BJ119" i="9"/>
  <c r="BK119" i="9"/>
  <c r="M129" i="9"/>
  <c r="S129" i="9" s="1"/>
  <c r="AV129" i="9" s="1"/>
  <c r="O129" i="9"/>
  <c r="AT129" i="9" s="1"/>
  <c r="Q129" i="9"/>
  <c r="AU129" i="9" s="1"/>
  <c r="U129" i="9"/>
  <c r="AW129" i="9" s="1"/>
  <c r="W129" i="9"/>
  <c r="AX129" i="9" s="1"/>
  <c r="Y129" i="9"/>
  <c r="AY129" i="9" s="1"/>
  <c r="AA129" i="9"/>
  <c r="AC129" i="9"/>
  <c r="AZ129" i="9" s="1"/>
  <c r="AE129" i="9"/>
  <c r="BA129" i="9" s="1"/>
  <c r="AR129" i="9"/>
  <c r="AS129" i="9" s="1"/>
  <c r="BB129" i="9" s="1"/>
  <c r="BI129" i="9"/>
  <c r="BJ129" i="9"/>
  <c r="BK129" i="9"/>
  <c r="M128" i="9"/>
  <c r="BL128" i="9" s="1"/>
  <c r="Q128" i="9"/>
  <c r="AU128" i="9" s="1"/>
  <c r="S128" i="9"/>
  <c r="AV128" i="9" s="1"/>
  <c r="U128" i="9"/>
  <c r="AW128" i="9" s="1"/>
  <c r="W128" i="9"/>
  <c r="AX128" i="9" s="1"/>
  <c r="Y128" i="9"/>
  <c r="AY128" i="9" s="1"/>
  <c r="AA128" i="9"/>
  <c r="AC128" i="9"/>
  <c r="AZ128" i="9" s="1"/>
  <c r="AE128" i="9"/>
  <c r="BA128" i="9" s="1"/>
  <c r="AR128" i="9"/>
  <c r="AS128" i="9" s="1"/>
  <c r="BB128" i="9" s="1"/>
  <c r="BI128" i="9"/>
  <c r="BJ128" i="9"/>
  <c r="BK128" i="9"/>
  <c r="O120" i="9" l="1"/>
  <c r="AT120" i="9" s="1"/>
  <c r="BF120" i="9" s="1"/>
  <c r="BL120" i="9"/>
  <c r="A120" i="9"/>
  <c r="A129" i="9"/>
  <c r="A119" i="9"/>
  <c r="B119" i="9"/>
  <c r="S119" i="9"/>
  <c r="AV119" i="9" s="1"/>
  <c r="BF119" i="9" s="1"/>
  <c r="B129" i="9"/>
  <c r="BH120" i="9"/>
  <c r="BE120" i="9" s="1"/>
  <c r="BH119" i="9"/>
  <c r="BE119" i="9" s="1"/>
  <c r="O128" i="9"/>
  <c r="AT128" i="9" s="1"/>
  <c r="BF128" i="9" s="1"/>
  <c r="A128" i="9"/>
  <c r="B128" i="9"/>
  <c r="BL129" i="9"/>
  <c r="BH129" i="9"/>
  <c r="BE129" i="9" s="1"/>
  <c r="BF129" i="9"/>
  <c r="BH128" i="9"/>
  <c r="BE128" i="9" s="1"/>
  <c r="B36" i="10"/>
  <c r="A36" i="10"/>
  <c r="O36" i="10"/>
  <c r="AT36" i="10" s="1"/>
  <c r="Q36" i="10"/>
  <c r="AU36" i="10" s="1"/>
  <c r="S36" i="10"/>
  <c r="AV36" i="10" s="1"/>
  <c r="U36" i="10"/>
  <c r="AW36" i="10" s="1"/>
  <c r="W36" i="10"/>
  <c r="AX36" i="10" s="1"/>
  <c r="Y36" i="10"/>
  <c r="AY36" i="10" s="1"/>
  <c r="AA36" i="10"/>
  <c r="AC36" i="10"/>
  <c r="AZ36" i="10" s="1"/>
  <c r="AE36" i="10"/>
  <c r="BA36" i="10" s="1"/>
  <c r="AR36" i="10"/>
  <c r="BH36" i="10" s="1"/>
  <c r="BI36" i="10"/>
  <c r="BJ36" i="10"/>
  <c r="BK36" i="10"/>
  <c r="BL36" i="10"/>
  <c r="BG120" i="9" l="1"/>
  <c r="BD120" i="9" s="1"/>
  <c r="BC120" i="9"/>
  <c r="BG119" i="9"/>
  <c r="BD119" i="9" s="1"/>
  <c r="BC119" i="9"/>
  <c r="BG129" i="9"/>
  <c r="BD129" i="9" s="1"/>
  <c r="BC129" i="9"/>
  <c r="BG128" i="9"/>
  <c r="BD128" i="9" s="1"/>
  <c r="BC128" i="9"/>
  <c r="AS36" i="10"/>
  <c r="BB36" i="10" s="1"/>
  <c r="BF36" i="10" s="1"/>
  <c r="BG36" i="10" s="1"/>
  <c r="B23" i="8"/>
  <c r="O234" i="15"/>
  <c r="A381" i="19"/>
  <c r="O320" i="15"/>
  <c r="O316" i="15"/>
  <c r="BC36" i="10" l="1"/>
  <c r="O313" i="15"/>
  <c r="O312" i="15"/>
  <c r="O282" i="15"/>
  <c r="O281" i="15"/>
  <c r="O280" i="15"/>
  <c r="O279" i="15"/>
  <c r="O278" i="15"/>
  <c r="O277" i="15"/>
  <c r="O276" i="15"/>
  <c r="O275" i="15"/>
  <c r="O274" i="15"/>
  <c r="O273" i="15"/>
  <c r="O272" i="15"/>
  <c r="O271" i="15"/>
  <c r="O209" i="15"/>
  <c r="O208" i="15"/>
  <c r="O207" i="15"/>
  <c r="O206" i="15"/>
  <c r="O205" i="15"/>
  <c r="O204" i="15"/>
  <c r="O193" i="15"/>
  <c r="O192" i="15"/>
  <c r="S426" i="12" l="1"/>
  <c r="Q426" i="12"/>
  <c r="O426" i="12"/>
  <c r="S424" i="12"/>
  <c r="Q424" i="12"/>
  <c r="O424" i="12"/>
  <c r="S418" i="12"/>
  <c r="Q418" i="12"/>
  <c r="O418" i="12"/>
  <c r="S416" i="12"/>
  <c r="Q416" i="12"/>
  <c r="O416" i="12"/>
  <c r="S146" i="12"/>
  <c r="Q146" i="12"/>
  <c r="O146" i="12"/>
  <c r="S136" i="12"/>
  <c r="Q136" i="12"/>
  <c r="O136" i="12"/>
  <c r="S48" i="12"/>
  <c r="Q48" i="12"/>
  <c r="O48" i="12"/>
  <c r="O387" i="20" l="1"/>
  <c r="D387" i="20"/>
  <c r="O386" i="20"/>
  <c r="G386" i="20"/>
  <c r="H386" i="20" s="1"/>
  <c r="D386" i="20"/>
  <c r="O385" i="20"/>
  <c r="D385" i="20"/>
  <c r="O384" i="20"/>
  <c r="G384" i="20"/>
  <c r="H384" i="20" s="1"/>
  <c r="D384" i="20"/>
  <c r="O383" i="20"/>
  <c r="D383" i="20"/>
  <c r="O382" i="20"/>
  <c r="D382" i="20"/>
  <c r="O381" i="20"/>
  <c r="D381" i="20"/>
  <c r="O380" i="20"/>
  <c r="D380" i="20"/>
  <c r="O379" i="20"/>
  <c r="D379" i="20"/>
  <c r="O378" i="20"/>
  <c r="D378" i="20"/>
  <c r="J377" i="20"/>
  <c r="I377" i="20"/>
  <c r="H377" i="20"/>
  <c r="G377" i="20"/>
  <c r="F377" i="20"/>
  <c r="E377" i="20"/>
  <c r="D377" i="20"/>
  <c r="M376" i="20"/>
  <c r="L376" i="20"/>
  <c r="I376" i="20"/>
  <c r="G376" i="20"/>
  <c r="D376" i="20"/>
  <c r="V375" i="20"/>
  <c r="U375" i="20"/>
  <c r="T375" i="20"/>
  <c r="S375" i="20"/>
  <c r="R375" i="20"/>
  <c r="Q375" i="20"/>
  <c r="P375" i="20"/>
  <c r="O375" i="20"/>
  <c r="L375" i="20"/>
  <c r="K375" i="20"/>
  <c r="G375" i="20"/>
  <c r="F375" i="20"/>
  <c r="E375" i="20"/>
  <c r="D375" i="20"/>
  <c r="C375" i="20"/>
  <c r="B375" i="20"/>
  <c r="O372" i="20"/>
  <c r="D372" i="20"/>
  <c r="O371" i="20"/>
  <c r="D371" i="20"/>
  <c r="O370" i="20"/>
  <c r="D370" i="20"/>
  <c r="O369" i="20"/>
  <c r="D369" i="20"/>
  <c r="O368" i="20"/>
  <c r="D368" i="20"/>
  <c r="O367" i="20"/>
  <c r="D367" i="20"/>
  <c r="O366" i="20"/>
  <c r="D366" i="20"/>
  <c r="O365" i="20"/>
  <c r="D365" i="20"/>
  <c r="O364" i="20"/>
  <c r="D364" i="20"/>
  <c r="O363" i="20"/>
  <c r="D363" i="20"/>
  <c r="O362" i="20"/>
  <c r="D362" i="20"/>
  <c r="O361" i="20"/>
  <c r="D361" i="20"/>
  <c r="O360" i="20"/>
  <c r="D360" i="20"/>
  <c r="O359" i="20"/>
  <c r="D359" i="20"/>
  <c r="O358" i="20"/>
  <c r="D358" i="20"/>
  <c r="O357" i="20"/>
  <c r="D357" i="20"/>
  <c r="J356" i="20"/>
  <c r="I356" i="20"/>
  <c r="H356" i="20"/>
  <c r="G356" i="20"/>
  <c r="I355" i="20"/>
  <c r="G355" i="20"/>
  <c r="G354" i="20"/>
  <c r="O351" i="20"/>
  <c r="D351" i="20"/>
  <c r="O350" i="20"/>
  <c r="D350" i="20"/>
  <c r="O349" i="20"/>
  <c r="D349" i="20"/>
  <c r="O348" i="20"/>
  <c r="D348" i="20"/>
  <c r="O347" i="20"/>
  <c r="D347" i="20"/>
  <c r="O346" i="20"/>
  <c r="D346" i="20"/>
  <c r="O345" i="20"/>
  <c r="D345" i="20"/>
  <c r="O344" i="20"/>
  <c r="D344" i="20"/>
  <c r="O343" i="20"/>
  <c r="D343" i="20"/>
  <c r="O342" i="20"/>
  <c r="D342" i="20"/>
  <c r="O341" i="20"/>
  <c r="D341" i="20"/>
  <c r="O340" i="20"/>
  <c r="D340" i="20"/>
  <c r="O339" i="20"/>
  <c r="D339" i="20"/>
  <c r="O338" i="20"/>
  <c r="D338" i="20"/>
  <c r="O337" i="20"/>
  <c r="D337" i="20"/>
  <c r="O336" i="20"/>
  <c r="D336" i="20"/>
  <c r="O335" i="20"/>
  <c r="D335" i="20"/>
  <c r="J334" i="20"/>
  <c r="I334" i="20"/>
  <c r="H334" i="20"/>
  <c r="G334" i="20"/>
  <c r="F334" i="20"/>
  <c r="E334" i="20"/>
  <c r="D334" i="20"/>
  <c r="M333" i="20"/>
  <c r="L333" i="20"/>
  <c r="I333" i="20"/>
  <c r="G333" i="20"/>
  <c r="D333" i="20"/>
  <c r="V332" i="20"/>
  <c r="U332" i="20"/>
  <c r="T332" i="20"/>
  <c r="S332" i="20"/>
  <c r="R332" i="20"/>
  <c r="Q332" i="20"/>
  <c r="P332" i="20"/>
  <c r="O332" i="20"/>
  <c r="L332" i="20"/>
  <c r="K332" i="20"/>
  <c r="G332" i="20"/>
  <c r="F332" i="20"/>
  <c r="E332" i="20"/>
  <c r="D332" i="20"/>
  <c r="C332" i="20"/>
  <c r="B332" i="20"/>
  <c r="O329" i="20"/>
  <c r="D329" i="20"/>
  <c r="J328" i="20"/>
  <c r="I328" i="20"/>
  <c r="H328" i="20"/>
  <c r="G328" i="20"/>
  <c r="F328" i="20"/>
  <c r="E328" i="20"/>
  <c r="D328" i="20"/>
  <c r="M327" i="20"/>
  <c r="L327" i="20"/>
  <c r="I327" i="20"/>
  <c r="G327" i="20"/>
  <c r="D327" i="20"/>
  <c r="V326" i="20"/>
  <c r="U326" i="20"/>
  <c r="T326" i="20"/>
  <c r="S326" i="20"/>
  <c r="R326" i="20"/>
  <c r="Q326" i="20"/>
  <c r="P326" i="20"/>
  <c r="O326" i="20"/>
  <c r="L326" i="20"/>
  <c r="K326" i="20"/>
  <c r="G326" i="20"/>
  <c r="F326" i="20"/>
  <c r="E326" i="20"/>
  <c r="D326" i="20"/>
  <c r="C326" i="20"/>
  <c r="B326" i="20"/>
  <c r="O323" i="20"/>
  <c r="D323" i="20"/>
  <c r="O322" i="20"/>
  <c r="D322" i="20"/>
  <c r="O321" i="20"/>
  <c r="D321" i="20"/>
  <c r="O320" i="20"/>
  <c r="D320" i="20"/>
  <c r="O319" i="20"/>
  <c r="D319" i="20"/>
  <c r="O318" i="20"/>
  <c r="D318" i="20"/>
  <c r="O317" i="20"/>
  <c r="D317" i="20"/>
  <c r="O316" i="20"/>
  <c r="D316" i="20"/>
  <c r="O315" i="20"/>
  <c r="D315" i="20"/>
  <c r="O314" i="20"/>
  <c r="D314" i="20"/>
  <c r="O313" i="20"/>
  <c r="D313" i="20"/>
  <c r="O312" i="20"/>
  <c r="D312" i="20"/>
  <c r="J311" i="20"/>
  <c r="I311" i="20"/>
  <c r="H311" i="20"/>
  <c r="G311" i="20"/>
  <c r="F311" i="20"/>
  <c r="E311" i="20"/>
  <c r="D311" i="20"/>
  <c r="M310" i="20"/>
  <c r="L310" i="20"/>
  <c r="I310" i="20"/>
  <c r="G310" i="20"/>
  <c r="D310" i="20"/>
  <c r="V309" i="20"/>
  <c r="U309" i="20"/>
  <c r="T309" i="20"/>
  <c r="S309" i="20"/>
  <c r="R309" i="20"/>
  <c r="Q309" i="20"/>
  <c r="P309" i="20"/>
  <c r="O309" i="20"/>
  <c r="L309" i="20"/>
  <c r="K309" i="20"/>
  <c r="G309" i="20"/>
  <c r="F309" i="20"/>
  <c r="E309" i="20"/>
  <c r="D309" i="20"/>
  <c r="C309" i="20"/>
  <c r="B309" i="20"/>
  <c r="O306" i="20"/>
  <c r="D306" i="20"/>
  <c r="O305" i="20"/>
  <c r="D305" i="20"/>
  <c r="O304" i="20"/>
  <c r="D304" i="20"/>
  <c r="O303" i="20"/>
  <c r="D303" i="20"/>
  <c r="O302" i="20"/>
  <c r="D302" i="20"/>
  <c r="J301" i="20"/>
  <c r="I301" i="20"/>
  <c r="H301" i="20"/>
  <c r="G301" i="20"/>
  <c r="F301" i="20"/>
  <c r="E301" i="20"/>
  <c r="D301" i="20"/>
  <c r="M300" i="20"/>
  <c r="L300" i="20"/>
  <c r="I300" i="20"/>
  <c r="G300" i="20"/>
  <c r="D300" i="20"/>
  <c r="V299" i="20"/>
  <c r="U299" i="20"/>
  <c r="T299" i="20"/>
  <c r="S299" i="20"/>
  <c r="R299" i="20"/>
  <c r="Q299" i="20"/>
  <c r="P299" i="20"/>
  <c r="O299" i="20"/>
  <c r="L299" i="20"/>
  <c r="K299" i="20"/>
  <c r="G299" i="20"/>
  <c r="F299" i="20"/>
  <c r="E299" i="20"/>
  <c r="D299" i="20"/>
  <c r="C299" i="20"/>
  <c r="B299" i="20"/>
  <c r="O296" i="20"/>
  <c r="D296" i="20"/>
  <c r="O295" i="20"/>
  <c r="D295" i="20"/>
  <c r="O294" i="20"/>
  <c r="D294" i="20"/>
  <c r="O293" i="20"/>
  <c r="D293" i="20"/>
  <c r="O292" i="20"/>
  <c r="D292" i="20"/>
  <c r="O291" i="20"/>
  <c r="D291" i="20"/>
  <c r="O290" i="20"/>
  <c r="D290" i="20"/>
  <c r="O289" i="20"/>
  <c r="D289" i="20"/>
  <c r="O288" i="20"/>
  <c r="D288" i="20"/>
  <c r="J287" i="20"/>
  <c r="I287" i="20"/>
  <c r="H287" i="20"/>
  <c r="G287" i="20"/>
  <c r="F287" i="20"/>
  <c r="E287" i="20"/>
  <c r="D287" i="20"/>
  <c r="M286" i="20"/>
  <c r="L286" i="20"/>
  <c r="I286" i="20"/>
  <c r="G286" i="20"/>
  <c r="D286" i="20"/>
  <c r="V285" i="20"/>
  <c r="U285" i="20"/>
  <c r="T285" i="20"/>
  <c r="S285" i="20"/>
  <c r="R285" i="20"/>
  <c r="Q285" i="20"/>
  <c r="P285" i="20"/>
  <c r="O285" i="20"/>
  <c r="L285" i="20"/>
  <c r="K285" i="20"/>
  <c r="G285" i="20"/>
  <c r="F285" i="20"/>
  <c r="E285" i="20"/>
  <c r="D285" i="20"/>
  <c r="C285" i="20"/>
  <c r="B285" i="20"/>
  <c r="O282" i="20"/>
  <c r="D282" i="20"/>
  <c r="O281" i="20"/>
  <c r="D281" i="20"/>
  <c r="O280" i="20"/>
  <c r="D280" i="20"/>
  <c r="O279" i="20"/>
  <c r="D279" i="20"/>
  <c r="O278" i="20"/>
  <c r="D278" i="20"/>
  <c r="O277" i="20"/>
  <c r="D277" i="20"/>
  <c r="O276" i="20"/>
  <c r="D276" i="20"/>
  <c r="O275" i="20"/>
  <c r="D275" i="20"/>
  <c r="O274" i="20"/>
  <c r="D274" i="20"/>
  <c r="O273" i="20"/>
  <c r="D273" i="20"/>
  <c r="O272" i="20"/>
  <c r="D272" i="20"/>
  <c r="O271" i="20"/>
  <c r="D271" i="20"/>
  <c r="J270" i="20"/>
  <c r="I270" i="20"/>
  <c r="H270" i="20"/>
  <c r="G270" i="20"/>
  <c r="F270" i="20"/>
  <c r="E270" i="20"/>
  <c r="D270" i="20"/>
  <c r="M269" i="20"/>
  <c r="L269" i="20"/>
  <c r="I269" i="20"/>
  <c r="G269" i="20"/>
  <c r="D269" i="20"/>
  <c r="V268" i="20"/>
  <c r="U268" i="20"/>
  <c r="T268" i="20"/>
  <c r="S268" i="20"/>
  <c r="R268" i="20"/>
  <c r="Q268" i="20"/>
  <c r="P268" i="20"/>
  <c r="O268" i="20"/>
  <c r="L268" i="20"/>
  <c r="K268" i="20"/>
  <c r="G268" i="20"/>
  <c r="F268" i="20"/>
  <c r="E268" i="20"/>
  <c r="D268" i="20"/>
  <c r="C268" i="20"/>
  <c r="B268" i="20"/>
  <c r="O265" i="20"/>
  <c r="D265" i="20"/>
  <c r="O264" i="20"/>
  <c r="D264" i="20"/>
  <c r="O263" i="20"/>
  <c r="D263" i="20"/>
  <c r="O262" i="20"/>
  <c r="D262" i="20"/>
  <c r="J261" i="20"/>
  <c r="I261" i="20"/>
  <c r="H261" i="20"/>
  <c r="G261" i="20"/>
  <c r="F261" i="20"/>
  <c r="E261" i="20"/>
  <c r="D261" i="20"/>
  <c r="M260" i="20"/>
  <c r="L260" i="20"/>
  <c r="I260" i="20"/>
  <c r="G260" i="20"/>
  <c r="D260" i="20"/>
  <c r="V259" i="20"/>
  <c r="U259" i="20"/>
  <c r="T259" i="20"/>
  <c r="S259" i="20"/>
  <c r="R259" i="20"/>
  <c r="Q259" i="20"/>
  <c r="P259" i="20"/>
  <c r="O259" i="20"/>
  <c r="L259" i="20"/>
  <c r="K259" i="20"/>
  <c r="G259" i="20"/>
  <c r="F259" i="20"/>
  <c r="E259" i="20"/>
  <c r="D259" i="20"/>
  <c r="C259" i="20"/>
  <c r="B259" i="20"/>
  <c r="O256" i="20"/>
  <c r="D256" i="20"/>
  <c r="O255" i="20"/>
  <c r="D255" i="20"/>
  <c r="J254" i="20"/>
  <c r="I254" i="20"/>
  <c r="H254" i="20"/>
  <c r="G254" i="20"/>
  <c r="F254" i="20"/>
  <c r="E254" i="20"/>
  <c r="D254" i="20"/>
  <c r="M253" i="20"/>
  <c r="L253" i="20"/>
  <c r="I253" i="20"/>
  <c r="G253" i="20"/>
  <c r="D253" i="20"/>
  <c r="V252" i="20"/>
  <c r="U252" i="20"/>
  <c r="T252" i="20"/>
  <c r="S252" i="20"/>
  <c r="R252" i="20"/>
  <c r="Q252" i="20"/>
  <c r="P252" i="20"/>
  <c r="O252" i="20"/>
  <c r="L252" i="20"/>
  <c r="K252" i="20"/>
  <c r="G252" i="20"/>
  <c r="F252" i="20"/>
  <c r="E252" i="20"/>
  <c r="D252" i="20"/>
  <c r="C252" i="20"/>
  <c r="B252" i="20"/>
  <c r="O249" i="20"/>
  <c r="D249" i="20"/>
  <c r="O248" i="20"/>
  <c r="D248" i="20"/>
  <c r="O247" i="20"/>
  <c r="D247" i="20"/>
  <c r="J246" i="20"/>
  <c r="I246" i="20"/>
  <c r="H246" i="20"/>
  <c r="G246" i="20"/>
  <c r="F246" i="20"/>
  <c r="E246" i="20"/>
  <c r="D246" i="20"/>
  <c r="M245" i="20"/>
  <c r="L245" i="20"/>
  <c r="I245" i="20"/>
  <c r="G245" i="20"/>
  <c r="D245" i="20"/>
  <c r="V244" i="20"/>
  <c r="U244" i="20"/>
  <c r="T244" i="20"/>
  <c r="S244" i="20"/>
  <c r="R244" i="20"/>
  <c r="Q244" i="20"/>
  <c r="P244" i="20"/>
  <c r="O244" i="20"/>
  <c r="L244" i="20"/>
  <c r="K244" i="20"/>
  <c r="G244" i="20"/>
  <c r="F244" i="20"/>
  <c r="E244" i="20"/>
  <c r="D244" i="20"/>
  <c r="C244" i="20"/>
  <c r="B244" i="20"/>
  <c r="O241" i="20"/>
  <c r="D241" i="20"/>
  <c r="O240" i="20"/>
  <c r="D240" i="20"/>
  <c r="O239" i="20"/>
  <c r="D239" i="20"/>
  <c r="O238" i="20"/>
  <c r="D238" i="20"/>
  <c r="O237" i="20"/>
  <c r="D237" i="20"/>
  <c r="O236" i="20"/>
  <c r="D236" i="20"/>
  <c r="O235" i="20"/>
  <c r="D235" i="20"/>
  <c r="O234" i="20"/>
  <c r="D234" i="20"/>
  <c r="J233" i="20"/>
  <c r="I233" i="20"/>
  <c r="H233" i="20"/>
  <c r="G233" i="20"/>
  <c r="F233" i="20"/>
  <c r="E233" i="20"/>
  <c r="D233" i="20"/>
  <c r="M232" i="20"/>
  <c r="L232" i="20"/>
  <c r="I232" i="20"/>
  <c r="G232" i="20"/>
  <c r="D232" i="20"/>
  <c r="V231" i="20"/>
  <c r="U231" i="20"/>
  <c r="T231" i="20"/>
  <c r="S231" i="20"/>
  <c r="R231" i="20"/>
  <c r="Q231" i="20"/>
  <c r="P231" i="20"/>
  <c r="O231" i="20"/>
  <c r="L231" i="20"/>
  <c r="K231" i="20"/>
  <c r="G231" i="20"/>
  <c r="F231" i="20"/>
  <c r="E231" i="20"/>
  <c r="D231" i="20"/>
  <c r="C231" i="20"/>
  <c r="B231" i="20"/>
  <c r="O228" i="20"/>
  <c r="D228" i="20"/>
  <c r="O227" i="20"/>
  <c r="D227" i="20"/>
  <c r="O226" i="20"/>
  <c r="D226" i="20"/>
  <c r="O225" i="20"/>
  <c r="D225" i="20"/>
  <c r="O224" i="20"/>
  <c r="D224" i="20"/>
  <c r="O223" i="20"/>
  <c r="D223" i="20"/>
  <c r="J222" i="20"/>
  <c r="I222" i="20"/>
  <c r="H222" i="20"/>
  <c r="G222" i="20"/>
  <c r="F222" i="20"/>
  <c r="E222" i="20"/>
  <c r="D222" i="20"/>
  <c r="M221" i="20"/>
  <c r="L221" i="20"/>
  <c r="I221" i="20"/>
  <c r="G221" i="20"/>
  <c r="D221" i="20"/>
  <c r="V220" i="20"/>
  <c r="U220" i="20"/>
  <c r="T220" i="20"/>
  <c r="S220" i="20"/>
  <c r="R220" i="20"/>
  <c r="Q220" i="20"/>
  <c r="P220" i="20"/>
  <c r="O220" i="20"/>
  <c r="L220" i="20"/>
  <c r="K220" i="20"/>
  <c r="G220" i="20"/>
  <c r="F220" i="20"/>
  <c r="E220" i="20"/>
  <c r="D220" i="20"/>
  <c r="C220" i="20"/>
  <c r="B220" i="20"/>
  <c r="O217" i="20"/>
  <c r="D217" i="20"/>
  <c r="O216" i="20"/>
  <c r="D216" i="20"/>
  <c r="O215" i="20"/>
  <c r="D215" i="20"/>
  <c r="O214" i="20"/>
  <c r="D214" i="20"/>
  <c r="O213" i="20"/>
  <c r="D213" i="20"/>
  <c r="O212" i="20"/>
  <c r="D212" i="20"/>
  <c r="O211" i="20"/>
  <c r="D211" i="20"/>
  <c r="O210" i="20"/>
  <c r="D210" i="20"/>
  <c r="O209" i="20"/>
  <c r="D209" i="20"/>
  <c r="O208" i="20"/>
  <c r="D208" i="20"/>
  <c r="O207" i="20"/>
  <c r="D207" i="20"/>
  <c r="O206" i="20"/>
  <c r="D206" i="20"/>
  <c r="O205" i="20"/>
  <c r="D205" i="20"/>
  <c r="O204" i="20"/>
  <c r="D204" i="20"/>
  <c r="J203" i="20"/>
  <c r="I203" i="20"/>
  <c r="H203" i="20"/>
  <c r="G203" i="20"/>
  <c r="F203" i="20"/>
  <c r="E203" i="20"/>
  <c r="D203" i="20"/>
  <c r="M202" i="20"/>
  <c r="L202" i="20"/>
  <c r="I202" i="20"/>
  <c r="G202" i="20"/>
  <c r="D202" i="20"/>
  <c r="V201" i="20"/>
  <c r="U201" i="20"/>
  <c r="T201" i="20"/>
  <c r="S201" i="20"/>
  <c r="R201" i="20"/>
  <c r="Q201" i="20"/>
  <c r="P201" i="20"/>
  <c r="O201" i="20"/>
  <c r="L201" i="20"/>
  <c r="K201" i="20"/>
  <c r="G201" i="20"/>
  <c r="F201" i="20"/>
  <c r="E201" i="20"/>
  <c r="D201" i="20"/>
  <c r="C201" i="20"/>
  <c r="B201" i="20"/>
  <c r="O198" i="20"/>
  <c r="D198" i="20"/>
  <c r="O197" i="20"/>
  <c r="D197" i="20"/>
  <c r="O196" i="20"/>
  <c r="D196" i="20"/>
  <c r="O195" i="20"/>
  <c r="D195" i="20"/>
  <c r="O194" i="20"/>
  <c r="D194" i="20"/>
  <c r="O193" i="20"/>
  <c r="D193" i="20"/>
  <c r="O192" i="20"/>
  <c r="D192" i="20"/>
  <c r="J191" i="20"/>
  <c r="I191" i="20"/>
  <c r="H191" i="20"/>
  <c r="G191" i="20"/>
  <c r="F191" i="20"/>
  <c r="E191" i="20"/>
  <c r="D191" i="20"/>
  <c r="M190" i="20"/>
  <c r="L190" i="20"/>
  <c r="I190" i="20"/>
  <c r="G190" i="20"/>
  <c r="D190" i="20"/>
  <c r="V189" i="20"/>
  <c r="U189" i="20"/>
  <c r="T189" i="20"/>
  <c r="S189" i="20"/>
  <c r="R189" i="20"/>
  <c r="Q189" i="20"/>
  <c r="P189" i="20"/>
  <c r="O189" i="20"/>
  <c r="L189" i="20"/>
  <c r="K189" i="20"/>
  <c r="G189" i="20"/>
  <c r="F189" i="20"/>
  <c r="E189" i="20"/>
  <c r="D189" i="20"/>
  <c r="C189" i="20"/>
  <c r="B189" i="20"/>
  <c r="O186" i="20"/>
  <c r="D186" i="20"/>
  <c r="O185" i="20"/>
  <c r="D185" i="20"/>
  <c r="O184" i="20"/>
  <c r="I184" i="20"/>
  <c r="J184" i="20" s="1"/>
  <c r="G184" i="20"/>
  <c r="H184" i="20" s="1"/>
  <c r="D184" i="20"/>
  <c r="O183" i="20"/>
  <c r="I183" i="20"/>
  <c r="J183" i="20" s="1"/>
  <c r="G183" i="20"/>
  <c r="H183" i="20" s="1"/>
  <c r="D183" i="20"/>
  <c r="O182" i="20"/>
  <c r="D182" i="20"/>
  <c r="O181" i="20"/>
  <c r="D181" i="20"/>
  <c r="O180" i="20"/>
  <c r="D180" i="20"/>
  <c r="O179" i="20"/>
  <c r="D179" i="20"/>
  <c r="O178" i="20"/>
  <c r="D178" i="20"/>
  <c r="O177" i="20"/>
  <c r="D177" i="20"/>
  <c r="O176" i="20"/>
  <c r="D176" i="20"/>
  <c r="O175" i="20"/>
  <c r="D175" i="20"/>
  <c r="O174" i="20"/>
  <c r="D174" i="20"/>
  <c r="O173" i="20"/>
  <c r="D173" i="20"/>
  <c r="O172" i="20"/>
  <c r="D172" i="20"/>
  <c r="O171" i="20"/>
  <c r="D171" i="20"/>
  <c r="O170" i="20"/>
  <c r="D170" i="20"/>
  <c r="O169" i="20"/>
  <c r="D169" i="20"/>
  <c r="O168" i="20"/>
  <c r="D168" i="20"/>
  <c r="O167" i="20"/>
  <c r="D167" i="20"/>
  <c r="J166" i="20"/>
  <c r="I166" i="20"/>
  <c r="H166" i="20"/>
  <c r="G166" i="20"/>
  <c r="F166" i="20"/>
  <c r="E166" i="20"/>
  <c r="D166" i="20"/>
  <c r="M165" i="20"/>
  <c r="L165" i="20"/>
  <c r="I165" i="20"/>
  <c r="G165" i="20"/>
  <c r="D165" i="20"/>
  <c r="V164" i="20"/>
  <c r="U164" i="20"/>
  <c r="T164" i="20"/>
  <c r="S164" i="20"/>
  <c r="R164" i="20"/>
  <c r="Q164" i="20"/>
  <c r="P164" i="20"/>
  <c r="O164" i="20"/>
  <c r="L164" i="20"/>
  <c r="K164" i="20"/>
  <c r="G164" i="20"/>
  <c r="F164" i="20"/>
  <c r="E164" i="20"/>
  <c r="D164" i="20"/>
  <c r="C164" i="20"/>
  <c r="B164" i="20"/>
  <c r="O161" i="20"/>
  <c r="D161" i="20"/>
  <c r="O160" i="20"/>
  <c r="D160" i="20"/>
  <c r="O159" i="20"/>
  <c r="D159" i="20"/>
  <c r="O158" i="20"/>
  <c r="D158" i="20"/>
  <c r="O157" i="20"/>
  <c r="D157" i="20"/>
  <c r="O156" i="20"/>
  <c r="D156" i="20"/>
  <c r="O155" i="20"/>
  <c r="D155" i="20"/>
  <c r="O154" i="20"/>
  <c r="D154" i="20"/>
  <c r="O153" i="20"/>
  <c r="D153" i="20"/>
  <c r="O152" i="20"/>
  <c r="D152" i="20"/>
  <c r="O151" i="20"/>
  <c r="D151" i="20"/>
  <c r="O150" i="20"/>
  <c r="D150" i="20"/>
  <c r="O149" i="20"/>
  <c r="D149" i="20"/>
  <c r="O148" i="20"/>
  <c r="D148" i="20"/>
  <c r="O147" i="20"/>
  <c r="D147" i="20"/>
  <c r="O146" i="20"/>
  <c r="D146" i="20"/>
  <c r="O145" i="20"/>
  <c r="D145" i="20"/>
  <c r="J144" i="20"/>
  <c r="I144" i="20"/>
  <c r="H144" i="20"/>
  <c r="G144" i="20"/>
  <c r="F144" i="20"/>
  <c r="E144" i="20"/>
  <c r="D144" i="20"/>
  <c r="M143" i="20"/>
  <c r="L143" i="20"/>
  <c r="I143" i="20"/>
  <c r="G143" i="20"/>
  <c r="D143" i="20"/>
  <c r="V142" i="20"/>
  <c r="U142" i="20"/>
  <c r="T142" i="20"/>
  <c r="S142" i="20"/>
  <c r="R142" i="20"/>
  <c r="Q142" i="20"/>
  <c r="P142" i="20"/>
  <c r="O142" i="20"/>
  <c r="L142" i="20"/>
  <c r="K142" i="20"/>
  <c r="G142" i="20"/>
  <c r="F142" i="20"/>
  <c r="E142" i="20"/>
  <c r="D142" i="20"/>
  <c r="C142" i="20"/>
  <c r="B142" i="20"/>
  <c r="O139" i="20"/>
  <c r="D139" i="20"/>
  <c r="O138" i="20"/>
  <c r="D138" i="20"/>
  <c r="O137" i="20"/>
  <c r="D137" i="20"/>
  <c r="O136" i="20"/>
  <c r="D136" i="20"/>
  <c r="O135" i="20"/>
  <c r="D135" i="20"/>
  <c r="O134" i="20"/>
  <c r="D134" i="20"/>
  <c r="O133" i="20"/>
  <c r="D133" i="20"/>
  <c r="O132" i="20"/>
  <c r="D132" i="20"/>
  <c r="O131" i="20"/>
  <c r="D131" i="20"/>
  <c r="O130" i="20"/>
  <c r="D130" i="20"/>
  <c r="O129" i="20"/>
  <c r="D129" i="20"/>
  <c r="O128" i="20"/>
  <c r="D128" i="20"/>
  <c r="O127" i="20"/>
  <c r="D127" i="20"/>
  <c r="O126" i="20"/>
  <c r="D126" i="20"/>
  <c r="O125" i="20"/>
  <c r="D125" i="20"/>
  <c r="O124" i="20"/>
  <c r="D124" i="20"/>
  <c r="O123" i="20"/>
  <c r="D123" i="20"/>
  <c r="O122" i="20"/>
  <c r="D122" i="20"/>
  <c r="O121" i="20"/>
  <c r="D121" i="20"/>
  <c r="O120" i="20"/>
  <c r="D120" i="20"/>
  <c r="J119" i="20"/>
  <c r="I119" i="20"/>
  <c r="H119" i="20"/>
  <c r="G119" i="20"/>
  <c r="F119" i="20"/>
  <c r="E119" i="20"/>
  <c r="D119" i="20"/>
  <c r="M118" i="20"/>
  <c r="L118" i="20"/>
  <c r="I118" i="20"/>
  <c r="G118" i="20"/>
  <c r="D118" i="20"/>
  <c r="V117" i="20"/>
  <c r="U117" i="20"/>
  <c r="T117" i="20"/>
  <c r="S117" i="20"/>
  <c r="R117" i="20"/>
  <c r="Q117" i="20"/>
  <c r="P117" i="20"/>
  <c r="O117" i="20"/>
  <c r="L117" i="20"/>
  <c r="K117" i="20"/>
  <c r="G117" i="20"/>
  <c r="F117" i="20"/>
  <c r="E117" i="20"/>
  <c r="D117" i="20"/>
  <c r="C117" i="20"/>
  <c r="B117" i="20"/>
  <c r="O114" i="20"/>
  <c r="D114" i="20"/>
  <c r="O113" i="20"/>
  <c r="D113" i="20"/>
  <c r="O112" i="20"/>
  <c r="D112" i="20"/>
  <c r="O111" i="20"/>
  <c r="D111" i="20"/>
  <c r="O110" i="20"/>
  <c r="D110" i="20"/>
  <c r="O109" i="20"/>
  <c r="D109" i="20"/>
  <c r="O108" i="20"/>
  <c r="D108" i="20"/>
  <c r="O107" i="20"/>
  <c r="D107" i="20"/>
  <c r="O106" i="20"/>
  <c r="D106" i="20"/>
  <c r="O105" i="20"/>
  <c r="D105" i="20"/>
  <c r="O104" i="20"/>
  <c r="D104" i="20"/>
  <c r="O103" i="20"/>
  <c r="D103" i="20"/>
  <c r="O102" i="20"/>
  <c r="D102" i="20"/>
  <c r="O101" i="20"/>
  <c r="D101" i="20"/>
  <c r="O100" i="20"/>
  <c r="D100" i="20"/>
  <c r="O99" i="20"/>
  <c r="D99" i="20"/>
  <c r="O98" i="20"/>
  <c r="D98" i="20"/>
  <c r="O97" i="20"/>
  <c r="D97" i="20"/>
  <c r="O96" i="20"/>
  <c r="D96" i="20"/>
  <c r="O95" i="20"/>
  <c r="D95" i="20"/>
  <c r="O94" i="20"/>
  <c r="D94" i="20"/>
  <c r="O93" i="20"/>
  <c r="D93" i="20"/>
  <c r="O92" i="20"/>
  <c r="D92" i="20"/>
  <c r="O91" i="20"/>
  <c r="D91" i="20"/>
  <c r="O90" i="20"/>
  <c r="D90" i="20"/>
  <c r="O89" i="20"/>
  <c r="D89" i="20"/>
  <c r="O88" i="20"/>
  <c r="D88" i="20"/>
  <c r="O87" i="20"/>
  <c r="D87" i="20"/>
  <c r="O86" i="20"/>
  <c r="D86" i="20"/>
  <c r="O85" i="20"/>
  <c r="D85" i="20"/>
  <c r="O84" i="20"/>
  <c r="D84" i="20"/>
  <c r="J83" i="20"/>
  <c r="I83" i="20"/>
  <c r="H83" i="20"/>
  <c r="G83" i="20"/>
  <c r="F83" i="20"/>
  <c r="E83" i="20"/>
  <c r="D83" i="20"/>
  <c r="M82" i="20"/>
  <c r="L82" i="20"/>
  <c r="I82" i="20"/>
  <c r="G82" i="20"/>
  <c r="D82" i="20"/>
  <c r="V81" i="20"/>
  <c r="U81" i="20"/>
  <c r="T81" i="20"/>
  <c r="S81" i="20"/>
  <c r="R81" i="20"/>
  <c r="Q81" i="20"/>
  <c r="P81" i="20"/>
  <c r="O81" i="20"/>
  <c r="L81" i="20"/>
  <c r="K81" i="20"/>
  <c r="G81" i="20"/>
  <c r="F81" i="20"/>
  <c r="E81" i="20"/>
  <c r="D81" i="20"/>
  <c r="C81" i="20"/>
  <c r="B81" i="20"/>
  <c r="O78" i="20"/>
  <c r="D78" i="20"/>
  <c r="O77" i="20"/>
  <c r="D77" i="20"/>
  <c r="O76" i="20"/>
  <c r="D76" i="20"/>
  <c r="O75" i="20"/>
  <c r="D75" i="20"/>
  <c r="O74" i="20"/>
  <c r="D74" i="20"/>
  <c r="O73" i="20"/>
  <c r="D73" i="20"/>
  <c r="O72" i="20"/>
  <c r="D72" i="20"/>
  <c r="O71" i="20"/>
  <c r="D71" i="20"/>
  <c r="O70" i="20"/>
  <c r="D70" i="20"/>
  <c r="J69" i="20"/>
  <c r="I69" i="20"/>
  <c r="H69" i="20"/>
  <c r="G69" i="20"/>
  <c r="F69" i="20"/>
  <c r="E69" i="20"/>
  <c r="D69" i="20"/>
  <c r="M68" i="20"/>
  <c r="L68" i="20"/>
  <c r="I68" i="20"/>
  <c r="G68" i="20"/>
  <c r="D68" i="20"/>
  <c r="V67" i="20"/>
  <c r="U67" i="20"/>
  <c r="T67" i="20"/>
  <c r="S67" i="20"/>
  <c r="R67" i="20"/>
  <c r="Q67" i="20"/>
  <c r="P67" i="20"/>
  <c r="O67" i="20"/>
  <c r="L67" i="20"/>
  <c r="K67" i="20"/>
  <c r="G67" i="20"/>
  <c r="F67" i="20"/>
  <c r="E67" i="20"/>
  <c r="D67" i="20"/>
  <c r="C67" i="20"/>
  <c r="B67" i="20"/>
  <c r="O64" i="20"/>
  <c r="D64" i="20"/>
  <c r="O63" i="20"/>
  <c r="D63" i="20"/>
  <c r="O62" i="20"/>
  <c r="D62" i="20"/>
  <c r="O61" i="20"/>
  <c r="D61" i="20"/>
  <c r="O60" i="20"/>
  <c r="D60" i="20"/>
  <c r="O59" i="20"/>
  <c r="D59" i="20"/>
  <c r="J58" i="20"/>
  <c r="D58" i="20"/>
  <c r="J57" i="20"/>
  <c r="D57" i="20"/>
  <c r="O56" i="20"/>
  <c r="J56" i="20"/>
  <c r="D56" i="20"/>
  <c r="O55" i="20"/>
  <c r="D55" i="20"/>
  <c r="O54" i="20"/>
  <c r="D54" i="20"/>
  <c r="J53" i="20"/>
  <c r="I53" i="20"/>
  <c r="H53" i="20"/>
  <c r="G53" i="20"/>
  <c r="F53" i="20"/>
  <c r="E53" i="20"/>
  <c r="D53" i="20"/>
  <c r="M52" i="20"/>
  <c r="L52" i="20"/>
  <c r="I52" i="20"/>
  <c r="G52" i="20"/>
  <c r="D52" i="20"/>
  <c r="V51" i="20"/>
  <c r="U51" i="20"/>
  <c r="T51" i="20"/>
  <c r="S51" i="20"/>
  <c r="R51" i="20"/>
  <c r="Q51" i="20"/>
  <c r="P51" i="20"/>
  <c r="O51" i="20"/>
  <c r="L51" i="20"/>
  <c r="K51" i="20"/>
  <c r="G51" i="20"/>
  <c r="F51" i="20"/>
  <c r="E51" i="20"/>
  <c r="D51" i="20"/>
  <c r="C51" i="20"/>
  <c r="B51" i="20"/>
  <c r="O48" i="20"/>
  <c r="D48" i="20"/>
  <c r="O47" i="20"/>
  <c r="D47" i="20"/>
  <c r="O46" i="20"/>
  <c r="D46" i="20"/>
  <c r="O45" i="20"/>
  <c r="D45" i="20"/>
  <c r="O44" i="20"/>
  <c r="D44" i="20"/>
  <c r="O43" i="20"/>
  <c r="D43" i="20"/>
  <c r="O42" i="20"/>
  <c r="D42" i="20"/>
  <c r="O41" i="20"/>
  <c r="D41" i="20"/>
  <c r="J40" i="20"/>
  <c r="I40" i="20"/>
  <c r="H40" i="20"/>
  <c r="G40" i="20"/>
  <c r="F40" i="20"/>
  <c r="E40" i="20"/>
  <c r="D40" i="20"/>
  <c r="M39" i="20"/>
  <c r="L39" i="20"/>
  <c r="I39" i="20"/>
  <c r="G39" i="20"/>
  <c r="D39" i="20"/>
  <c r="V38" i="20"/>
  <c r="U38" i="20"/>
  <c r="T38" i="20"/>
  <c r="S38" i="20"/>
  <c r="R38" i="20"/>
  <c r="Q38" i="20"/>
  <c r="P38" i="20"/>
  <c r="O38" i="20"/>
  <c r="L38" i="20"/>
  <c r="K38" i="20"/>
  <c r="G38" i="20"/>
  <c r="F38" i="20"/>
  <c r="E38" i="20"/>
  <c r="D38" i="20"/>
  <c r="C38" i="20"/>
  <c r="B38" i="20"/>
  <c r="O36" i="20"/>
  <c r="D36" i="20"/>
  <c r="O35" i="20"/>
  <c r="D35" i="20"/>
  <c r="O34" i="20"/>
  <c r="I34" i="20"/>
  <c r="J34" i="20" s="1"/>
  <c r="G34" i="20"/>
  <c r="H34" i="20" s="1"/>
  <c r="D34" i="20"/>
  <c r="O33" i="20"/>
  <c r="D33" i="20"/>
  <c r="O32" i="20"/>
  <c r="D32" i="20"/>
  <c r="O31" i="20"/>
  <c r="D31" i="20"/>
  <c r="J30" i="20"/>
  <c r="I30" i="20"/>
  <c r="H30" i="20"/>
  <c r="G30" i="20"/>
  <c r="F30" i="20"/>
  <c r="F356" i="20" s="1"/>
  <c r="E30" i="20"/>
  <c r="E356" i="20" s="1"/>
  <c r="D30" i="20"/>
  <c r="D356" i="20" s="1"/>
  <c r="M29" i="20"/>
  <c r="M355" i="20" s="1"/>
  <c r="L29" i="20"/>
  <c r="L355" i="20" s="1"/>
  <c r="I29" i="20"/>
  <c r="G29" i="20"/>
  <c r="D29" i="20"/>
  <c r="D355" i="20" s="1"/>
  <c r="V28" i="20"/>
  <c r="V354" i="20" s="1"/>
  <c r="U28" i="20"/>
  <c r="U354" i="20" s="1"/>
  <c r="T28" i="20"/>
  <c r="T354" i="20" s="1"/>
  <c r="S28" i="20"/>
  <c r="S354" i="20" s="1"/>
  <c r="R28" i="20"/>
  <c r="R354" i="20" s="1"/>
  <c r="Q28" i="20"/>
  <c r="Q354" i="20" s="1"/>
  <c r="P28" i="20"/>
  <c r="P354" i="20" s="1"/>
  <c r="O28" i="20"/>
  <c r="O354" i="20" s="1"/>
  <c r="L28" i="20"/>
  <c r="L354" i="20" s="1"/>
  <c r="K28" i="20"/>
  <c r="K354" i="20" s="1"/>
  <c r="G28" i="20"/>
  <c r="F28" i="20"/>
  <c r="F354" i="20" s="1"/>
  <c r="E28" i="20"/>
  <c r="E354" i="20" s="1"/>
  <c r="D28" i="20"/>
  <c r="D354" i="20" s="1"/>
  <c r="C28" i="20"/>
  <c r="C354" i="20" s="1"/>
  <c r="B28" i="20"/>
  <c r="B354" i="20" s="1"/>
  <c r="O25" i="20"/>
  <c r="D25" i="20"/>
  <c r="O24" i="20"/>
  <c r="D24" i="20"/>
  <c r="O23" i="20"/>
  <c r="D23" i="20"/>
  <c r="O22" i="20"/>
  <c r="D22" i="20"/>
  <c r="O21" i="20"/>
  <c r="D21" i="20"/>
  <c r="O20" i="20"/>
  <c r="D20" i="20"/>
  <c r="J19" i="20"/>
  <c r="I19" i="20"/>
  <c r="H19" i="20"/>
  <c r="G19" i="20"/>
  <c r="F19" i="20"/>
  <c r="E19" i="20"/>
  <c r="D19" i="20"/>
  <c r="M18" i="20"/>
  <c r="L18" i="20"/>
  <c r="I18" i="20"/>
  <c r="G18" i="20"/>
  <c r="D18" i="20"/>
  <c r="V17" i="20"/>
  <c r="U17" i="20"/>
  <c r="T17" i="20"/>
  <c r="S17" i="20"/>
  <c r="R17" i="20"/>
  <c r="Q17" i="20"/>
  <c r="P17" i="20"/>
  <c r="O17" i="20"/>
  <c r="L17" i="20"/>
  <c r="K17" i="20"/>
  <c r="G17" i="20"/>
  <c r="F17" i="20"/>
  <c r="E17" i="20"/>
  <c r="D17" i="20"/>
  <c r="C17" i="20"/>
  <c r="B17" i="20"/>
  <c r="O14" i="20"/>
  <c r="D14" i="20"/>
  <c r="O13" i="20"/>
  <c r="D13" i="20"/>
  <c r="O12" i="20"/>
  <c r="D12" i="20"/>
  <c r="O11" i="20"/>
  <c r="D11" i="20"/>
  <c r="O10" i="20"/>
  <c r="D10" i="20"/>
  <c r="O9" i="20"/>
  <c r="D9" i="20"/>
  <c r="O168" i="15" l="1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67" i="15"/>
  <c r="B164" i="15"/>
  <c r="C164" i="15"/>
  <c r="D164" i="15"/>
  <c r="E164" i="15"/>
  <c r="F164" i="15"/>
  <c r="G164" i="15"/>
  <c r="K164" i="15"/>
  <c r="L164" i="15"/>
  <c r="O164" i="15"/>
  <c r="P164" i="15"/>
  <c r="Q164" i="15"/>
  <c r="R164" i="15"/>
  <c r="S164" i="15"/>
  <c r="T164" i="15"/>
  <c r="U164" i="15"/>
  <c r="V164" i="15"/>
  <c r="D165" i="15"/>
  <c r="G165" i="15"/>
  <c r="I165" i="15"/>
  <c r="L165" i="15"/>
  <c r="M165" i="15"/>
  <c r="D166" i="15"/>
  <c r="E166" i="15"/>
  <c r="F166" i="15"/>
  <c r="G166" i="15"/>
  <c r="H166" i="15"/>
  <c r="I166" i="15"/>
  <c r="J166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45" i="15"/>
  <c r="B142" i="15"/>
  <c r="C142" i="15"/>
  <c r="D142" i="15"/>
  <c r="E142" i="15"/>
  <c r="F142" i="15"/>
  <c r="G142" i="15"/>
  <c r="K142" i="15"/>
  <c r="L142" i="15"/>
  <c r="O142" i="15"/>
  <c r="P142" i="15"/>
  <c r="Q142" i="15"/>
  <c r="R142" i="15"/>
  <c r="S142" i="15"/>
  <c r="T142" i="15"/>
  <c r="U142" i="15"/>
  <c r="V142" i="15"/>
  <c r="D143" i="15"/>
  <c r="G143" i="15"/>
  <c r="I143" i="15"/>
  <c r="L143" i="15"/>
  <c r="M143" i="15"/>
  <c r="D144" i="15"/>
  <c r="E144" i="15"/>
  <c r="F144" i="15"/>
  <c r="G144" i="15"/>
  <c r="H144" i="15"/>
  <c r="I144" i="15"/>
  <c r="J144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O121" i="15" l="1"/>
  <c r="O122" i="15"/>
  <c r="O123" i="15"/>
  <c r="O124" i="15"/>
  <c r="O125" i="15"/>
  <c r="O126" i="15"/>
  <c r="O127" i="15"/>
  <c r="O128" i="15"/>
  <c r="O138" i="15"/>
  <c r="O139" i="15"/>
  <c r="O129" i="15"/>
  <c r="O130" i="15"/>
  <c r="O131" i="15"/>
  <c r="O132" i="15"/>
  <c r="O133" i="15"/>
  <c r="O134" i="15"/>
  <c r="O135" i="15"/>
  <c r="O136" i="15"/>
  <c r="O137" i="15"/>
  <c r="O120" i="15"/>
  <c r="D122" i="15"/>
  <c r="D123" i="15"/>
  <c r="D124" i="15"/>
  <c r="D125" i="15"/>
  <c r="D126" i="15"/>
  <c r="D127" i="15"/>
  <c r="D128" i="15"/>
  <c r="D138" i="15"/>
  <c r="D139" i="15"/>
  <c r="D129" i="15"/>
  <c r="D130" i="15"/>
  <c r="D131" i="15"/>
  <c r="D132" i="15"/>
  <c r="D133" i="15"/>
  <c r="D134" i="15"/>
  <c r="B117" i="15"/>
  <c r="C117" i="15"/>
  <c r="D117" i="15"/>
  <c r="E117" i="15"/>
  <c r="F117" i="15"/>
  <c r="G117" i="15"/>
  <c r="K117" i="15"/>
  <c r="L117" i="15"/>
  <c r="O117" i="15"/>
  <c r="P117" i="15"/>
  <c r="Q117" i="15"/>
  <c r="R117" i="15"/>
  <c r="S117" i="15"/>
  <c r="T117" i="15"/>
  <c r="U117" i="15"/>
  <c r="V117" i="15"/>
  <c r="D118" i="15"/>
  <c r="G118" i="15"/>
  <c r="I118" i="15"/>
  <c r="L118" i="15"/>
  <c r="M118" i="15"/>
  <c r="D119" i="15"/>
  <c r="E119" i="15"/>
  <c r="F119" i="15"/>
  <c r="G119" i="15"/>
  <c r="H119" i="15"/>
  <c r="I119" i="15"/>
  <c r="J119" i="15"/>
  <c r="D137" i="15"/>
  <c r="D136" i="15"/>
  <c r="D135" i="15"/>
  <c r="D121" i="15"/>
  <c r="D120" i="15"/>
  <c r="G34" i="15"/>
  <c r="G375" i="15"/>
  <c r="G376" i="15"/>
  <c r="I376" i="15"/>
  <c r="G377" i="15"/>
  <c r="H377" i="15"/>
  <c r="I377" i="15"/>
  <c r="J377" i="15"/>
  <c r="G354" i="15"/>
  <c r="G355" i="15"/>
  <c r="I355" i="15"/>
  <c r="G356" i="15"/>
  <c r="H356" i="15"/>
  <c r="I356" i="15"/>
  <c r="J356" i="15"/>
  <c r="G332" i="15"/>
  <c r="G333" i="15"/>
  <c r="I333" i="15"/>
  <c r="G334" i="15"/>
  <c r="H334" i="15"/>
  <c r="I334" i="15"/>
  <c r="J334" i="15"/>
  <c r="G326" i="15"/>
  <c r="G327" i="15"/>
  <c r="I327" i="15"/>
  <c r="G328" i="15"/>
  <c r="H328" i="15"/>
  <c r="I328" i="15"/>
  <c r="J328" i="15"/>
  <c r="G309" i="15"/>
  <c r="G310" i="15"/>
  <c r="I310" i="15"/>
  <c r="G311" i="15"/>
  <c r="H311" i="15"/>
  <c r="I311" i="15"/>
  <c r="J311" i="15"/>
  <c r="G299" i="15"/>
  <c r="G300" i="15"/>
  <c r="I300" i="15"/>
  <c r="G301" i="15"/>
  <c r="H301" i="15"/>
  <c r="I301" i="15"/>
  <c r="J301" i="15"/>
  <c r="G285" i="15"/>
  <c r="G286" i="15"/>
  <c r="I286" i="15"/>
  <c r="G287" i="15"/>
  <c r="H287" i="15"/>
  <c r="I287" i="15"/>
  <c r="J287" i="15"/>
  <c r="G268" i="15"/>
  <c r="G269" i="15"/>
  <c r="I269" i="15"/>
  <c r="G270" i="15"/>
  <c r="H270" i="15"/>
  <c r="I270" i="15"/>
  <c r="J270" i="15"/>
  <c r="G259" i="15"/>
  <c r="G260" i="15"/>
  <c r="I260" i="15"/>
  <c r="G261" i="15"/>
  <c r="H261" i="15"/>
  <c r="I261" i="15"/>
  <c r="J261" i="15"/>
  <c r="G252" i="15"/>
  <c r="G253" i="15"/>
  <c r="I253" i="15"/>
  <c r="G254" i="15"/>
  <c r="H254" i="15"/>
  <c r="I254" i="15"/>
  <c r="J254" i="15"/>
  <c r="G244" i="15"/>
  <c r="G245" i="15"/>
  <c r="I245" i="15"/>
  <c r="G246" i="15"/>
  <c r="H246" i="15"/>
  <c r="I246" i="15"/>
  <c r="J246" i="15"/>
  <c r="G231" i="15"/>
  <c r="G232" i="15"/>
  <c r="I232" i="15"/>
  <c r="G233" i="15"/>
  <c r="H233" i="15"/>
  <c r="I233" i="15"/>
  <c r="J233" i="15"/>
  <c r="G220" i="15"/>
  <c r="G221" i="15"/>
  <c r="I221" i="15"/>
  <c r="G222" i="15"/>
  <c r="H222" i="15"/>
  <c r="I222" i="15"/>
  <c r="J222" i="15"/>
  <c r="G201" i="15"/>
  <c r="G202" i="15"/>
  <c r="I202" i="15"/>
  <c r="G203" i="15"/>
  <c r="H203" i="15"/>
  <c r="I203" i="15"/>
  <c r="J203" i="15"/>
  <c r="G189" i="15"/>
  <c r="G190" i="15"/>
  <c r="I190" i="15"/>
  <c r="G191" i="15"/>
  <c r="H191" i="15"/>
  <c r="I191" i="15"/>
  <c r="J191" i="15"/>
  <c r="G81" i="15"/>
  <c r="G82" i="15"/>
  <c r="I82" i="15"/>
  <c r="G83" i="15"/>
  <c r="H83" i="15"/>
  <c r="I83" i="15"/>
  <c r="J83" i="15"/>
  <c r="G67" i="15"/>
  <c r="G68" i="15"/>
  <c r="I68" i="15"/>
  <c r="G69" i="15"/>
  <c r="H69" i="15"/>
  <c r="I69" i="15"/>
  <c r="J69" i="15"/>
  <c r="G51" i="15"/>
  <c r="G52" i="15"/>
  <c r="I52" i="15"/>
  <c r="G53" i="15"/>
  <c r="H53" i="15"/>
  <c r="I53" i="15"/>
  <c r="J53" i="15"/>
  <c r="G38" i="15"/>
  <c r="G39" i="15"/>
  <c r="I39" i="15"/>
  <c r="G40" i="15"/>
  <c r="H40" i="15"/>
  <c r="I40" i="15"/>
  <c r="J40" i="15"/>
  <c r="G28" i="15"/>
  <c r="G29" i="15"/>
  <c r="I29" i="15"/>
  <c r="G30" i="15"/>
  <c r="H30" i="15"/>
  <c r="I30" i="15"/>
  <c r="J30" i="15"/>
  <c r="G17" i="15"/>
  <c r="G18" i="15"/>
  <c r="I18" i="15"/>
  <c r="G19" i="15"/>
  <c r="H19" i="15"/>
  <c r="I19" i="15"/>
  <c r="J19" i="15"/>
  <c r="H34" i="15" l="1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84" i="15"/>
  <c r="N132" i="8"/>
  <c r="N131" i="8"/>
  <c r="N83" i="8"/>
  <c r="N82" i="8"/>
  <c r="N165" i="8"/>
  <c r="N160" i="8"/>
  <c r="N159" i="8"/>
  <c r="N64" i="8"/>
  <c r="N63" i="8"/>
  <c r="N20" i="8"/>
  <c r="N19" i="8"/>
  <c r="N12" i="8"/>
  <c r="N11" i="8"/>
  <c r="N24" i="9"/>
  <c r="N11" i="9"/>
  <c r="N395" i="12"/>
  <c r="N363" i="12"/>
  <c r="N357" i="12"/>
  <c r="N356" i="12"/>
  <c r="N322" i="12"/>
  <c r="N321" i="12"/>
  <c r="N320" i="12"/>
  <c r="N319" i="12"/>
  <c r="N34" i="12"/>
  <c r="N33" i="12"/>
  <c r="N23" i="12"/>
  <c r="N22" i="12"/>
  <c r="N24" i="10"/>
  <c r="P24" i="10" s="1"/>
  <c r="R24" i="10" s="1"/>
  <c r="N22" i="10"/>
  <c r="P22" i="10" s="1"/>
  <c r="R22" i="10" s="1"/>
  <c r="N78" i="10"/>
  <c r="P78" i="10" s="1"/>
  <c r="R78" i="10" s="1"/>
  <c r="N77" i="10"/>
  <c r="P77" i="10" s="1"/>
  <c r="R77" i="10" s="1"/>
  <c r="N21" i="10"/>
  <c r="P21" i="10" s="1"/>
  <c r="R21" i="10" s="1"/>
  <c r="N19" i="10"/>
  <c r="P19" i="10" s="1"/>
  <c r="R19" i="10" s="1"/>
  <c r="O198" i="15"/>
  <c r="O197" i="15"/>
  <c r="O196" i="15"/>
  <c r="O195" i="15"/>
  <c r="O194" i="15"/>
  <c r="O224" i="15" l="1"/>
  <c r="O225" i="15"/>
  <c r="O226" i="15"/>
  <c r="O227" i="15"/>
  <c r="O228" i="15"/>
  <c r="O223" i="15"/>
  <c r="B220" i="15"/>
  <c r="C220" i="15"/>
  <c r="D220" i="15"/>
  <c r="E220" i="15"/>
  <c r="F220" i="15"/>
  <c r="K220" i="15"/>
  <c r="L220" i="15"/>
  <c r="O220" i="15"/>
  <c r="P220" i="15"/>
  <c r="Q220" i="15"/>
  <c r="R220" i="15"/>
  <c r="S220" i="15"/>
  <c r="T220" i="15"/>
  <c r="U220" i="15"/>
  <c r="V220" i="15"/>
  <c r="D221" i="15"/>
  <c r="L221" i="15"/>
  <c r="M221" i="15"/>
  <c r="D222" i="15"/>
  <c r="E222" i="15"/>
  <c r="F222" i="15"/>
  <c r="D228" i="15"/>
  <c r="D227" i="15"/>
  <c r="D226" i="15"/>
  <c r="D225" i="15"/>
  <c r="D224" i="15"/>
  <c r="D223" i="15"/>
  <c r="O211" i="15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O217" i="15"/>
  <c r="O216" i="15"/>
  <c r="O215" i="15"/>
  <c r="O214" i="15"/>
  <c r="O213" i="15"/>
  <c r="O212" i="15"/>
  <c r="O210" i="15"/>
  <c r="B201" i="15"/>
  <c r="C201" i="15"/>
  <c r="D201" i="15"/>
  <c r="E201" i="15"/>
  <c r="F201" i="15"/>
  <c r="K201" i="15"/>
  <c r="L201" i="15"/>
  <c r="O201" i="15"/>
  <c r="P201" i="15"/>
  <c r="Q201" i="15"/>
  <c r="R201" i="15"/>
  <c r="S201" i="15"/>
  <c r="T201" i="15"/>
  <c r="U201" i="15"/>
  <c r="V201" i="15"/>
  <c r="D202" i="15"/>
  <c r="L202" i="15"/>
  <c r="M202" i="15"/>
  <c r="D203" i="15"/>
  <c r="E203" i="15"/>
  <c r="F203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193" i="15" l="1"/>
  <c r="D192" i="15"/>
  <c r="B189" i="15"/>
  <c r="C189" i="15"/>
  <c r="D189" i="15"/>
  <c r="E189" i="15"/>
  <c r="F189" i="15"/>
  <c r="K189" i="15"/>
  <c r="L189" i="15"/>
  <c r="O189" i="15"/>
  <c r="P189" i="15"/>
  <c r="Q189" i="15"/>
  <c r="R189" i="15"/>
  <c r="S189" i="15"/>
  <c r="T189" i="15"/>
  <c r="U189" i="15"/>
  <c r="V189" i="15"/>
  <c r="D190" i="15"/>
  <c r="L190" i="15"/>
  <c r="M190" i="15"/>
  <c r="D191" i="15"/>
  <c r="E191" i="15"/>
  <c r="F191" i="15"/>
  <c r="D198" i="15"/>
  <c r="D197" i="15"/>
  <c r="D196" i="15"/>
  <c r="D195" i="15"/>
  <c r="D194" i="15"/>
  <c r="O329" i="15"/>
  <c r="A30" i="12" l="1"/>
  <c r="A31" i="12"/>
  <c r="A32" i="12"/>
  <c r="A33" i="12"/>
  <c r="A34" i="12"/>
  <c r="A35" i="12"/>
  <c r="A36" i="12"/>
  <c r="A37" i="12"/>
  <c r="A38" i="12"/>
  <c r="A29" i="12"/>
  <c r="A18" i="12"/>
  <c r="A19" i="12"/>
  <c r="A20" i="12"/>
  <c r="A21" i="12"/>
  <c r="A22" i="12"/>
  <c r="A23" i="12"/>
  <c r="A24" i="12"/>
  <c r="A25" i="12"/>
  <c r="A26" i="12"/>
  <c r="A27" i="12"/>
  <c r="A28" i="12"/>
  <c r="A17" i="12"/>
  <c r="A6" i="12"/>
  <c r="A7" i="12"/>
  <c r="A8" i="12"/>
  <c r="A9" i="12"/>
  <c r="A10" i="12"/>
  <c r="A11" i="12"/>
  <c r="A12" i="12"/>
  <c r="A13" i="12"/>
  <c r="A14" i="12"/>
  <c r="A15" i="12"/>
  <c r="A16" i="12"/>
  <c r="A5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A39" i="12"/>
  <c r="B39" i="12"/>
  <c r="A40" i="12"/>
  <c r="B40" i="12"/>
  <c r="A41" i="12"/>
  <c r="B41" i="12"/>
  <c r="A42" i="12"/>
  <c r="B42" i="12"/>
  <c r="A43" i="12"/>
  <c r="B43" i="12"/>
  <c r="A44" i="12"/>
  <c r="B44" i="12"/>
  <c r="A45" i="12"/>
  <c r="B45" i="12"/>
  <c r="A46" i="12"/>
  <c r="B46" i="12"/>
  <c r="A47" i="12"/>
  <c r="B47" i="12"/>
  <c r="A48" i="12"/>
  <c r="B48" i="12"/>
  <c r="A49" i="12"/>
  <c r="B49" i="12"/>
  <c r="A50" i="12"/>
  <c r="B50" i="12"/>
  <c r="A51" i="12"/>
  <c r="B51" i="12"/>
  <c r="A52" i="12"/>
  <c r="B52" i="12"/>
  <c r="A53" i="12"/>
  <c r="B53" i="12"/>
  <c r="A54" i="12"/>
  <c r="B54" i="12"/>
  <c r="A55" i="12"/>
  <c r="B55" i="12"/>
  <c r="A56" i="12"/>
  <c r="B56" i="12"/>
  <c r="A57" i="12"/>
  <c r="B57" i="12"/>
  <c r="A58" i="12"/>
  <c r="B58" i="12"/>
  <c r="A59" i="12"/>
  <c r="B59" i="12"/>
  <c r="A60" i="12"/>
  <c r="B60" i="12"/>
  <c r="A61" i="12"/>
  <c r="B61" i="12"/>
  <c r="A62" i="12"/>
  <c r="B62" i="12"/>
  <c r="A66" i="12"/>
  <c r="B66" i="12"/>
  <c r="A67" i="12"/>
  <c r="B67" i="12"/>
  <c r="A68" i="12"/>
  <c r="B68" i="12"/>
  <c r="A69" i="12"/>
  <c r="B69" i="12"/>
  <c r="A70" i="12"/>
  <c r="B70" i="12"/>
  <c r="A71" i="12"/>
  <c r="B71" i="12"/>
  <c r="A72" i="12"/>
  <c r="B72" i="12"/>
  <c r="A73" i="12"/>
  <c r="B73" i="12"/>
  <c r="A74" i="12"/>
  <c r="B74" i="12"/>
  <c r="A75" i="12"/>
  <c r="B75" i="12"/>
  <c r="A76" i="12"/>
  <c r="B76" i="12"/>
  <c r="A77" i="12"/>
  <c r="B77" i="12"/>
  <c r="A78" i="12"/>
  <c r="B78" i="12"/>
  <c r="A79" i="12"/>
  <c r="B79" i="12"/>
  <c r="A80" i="12"/>
  <c r="B80" i="12"/>
  <c r="A81" i="12"/>
  <c r="B81" i="12"/>
  <c r="A82" i="12"/>
  <c r="B82" i="12"/>
  <c r="A83" i="12"/>
  <c r="B83" i="12"/>
  <c r="A84" i="12"/>
  <c r="B84" i="12"/>
  <c r="A85" i="12"/>
  <c r="B85" i="12"/>
  <c r="A86" i="12"/>
  <c r="B86" i="12"/>
  <c r="A87" i="12"/>
  <c r="B87" i="12"/>
  <c r="A88" i="12"/>
  <c r="B88" i="12"/>
  <c r="A89" i="12"/>
  <c r="B89" i="12"/>
  <c r="A90" i="12"/>
  <c r="B90" i="12"/>
  <c r="A91" i="12"/>
  <c r="B91" i="12"/>
  <c r="A92" i="12"/>
  <c r="B92" i="12"/>
  <c r="A93" i="12"/>
  <c r="B93" i="12"/>
  <c r="A94" i="12"/>
  <c r="B94" i="12"/>
  <c r="A95" i="12"/>
  <c r="B95" i="12"/>
  <c r="A96" i="12"/>
  <c r="B96" i="12"/>
  <c r="A97" i="12"/>
  <c r="B97" i="12"/>
  <c r="A98" i="12"/>
  <c r="B98" i="12"/>
  <c r="A99" i="12"/>
  <c r="B99" i="12"/>
  <c r="A100" i="12"/>
  <c r="B100" i="12"/>
  <c r="A101" i="12"/>
  <c r="B101" i="12"/>
  <c r="A102" i="12"/>
  <c r="B102" i="12"/>
  <c r="A103" i="12"/>
  <c r="B103" i="12"/>
  <c r="A104" i="12"/>
  <c r="B104" i="12"/>
  <c r="A105" i="12"/>
  <c r="B105" i="12"/>
  <c r="A106" i="12"/>
  <c r="B106" i="12"/>
  <c r="A107" i="12"/>
  <c r="B107" i="12"/>
  <c r="A108" i="12"/>
  <c r="B108" i="12"/>
  <c r="A109" i="12"/>
  <c r="B109" i="12"/>
  <c r="A110" i="12"/>
  <c r="B110" i="12"/>
  <c r="A111" i="12"/>
  <c r="B111" i="12"/>
  <c r="A112" i="12"/>
  <c r="B112" i="12"/>
  <c r="A113" i="12"/>
  <c r="B113" i="12"/>
  <c r="A114" i="12"/>
  <c r="B114" i="12"/>
  <c r="A115" i="12"/>
  <c r="B115" i="12"/>
  <c r="A116" i="12"/>
  <c r="B116" i="12"/>
  <c r="A117" i="12"/>
  <c r="B117" i="12"/>
  <c r="A118" i="12"/>
  <c r="B118" i="12"/>
  <c r="A119" i="12"/>
  <c r="B119" i="12"/>
  <c r="A120" i="12"/>
  <c r="B120" i="12"/>
  <c r="A121" i="12"/>
  <c r="B121" i="12"/>
  <c r="A122" i="12"/>
  <c r="B122" i="12"/>
  <c r="A123" i="12"/>
  <c r="B123" i="12"/>
  <c r="A124" i="12"/>
  <c r="B124" i="12"/>
  <c r="A125" i="12"/>
  <c r="B125" i="12"/>
  <c r="A126" i="12"/>
  <c r="B126" i="12"/>
  <c r="A127" i="12"/>
  <c r="B127" i="12"/>
  <c r="A128" i="12"/>
  <c r="B128" i="12"/>
  <c r="A129" i="12"/>
  <c r="B129" i="12"/>
  <c r="A130" i="12"/>
  <c r="B130" i="12"/>
  <c r="A131" i="12"/>
  <c r="B131" i="12"/>
  <c r="A132" i="12"/>
  <c r="B132" i="12"/>
  <c r="A133" i="12"/>
  <c r="B133" i="12"/>
  <c r="A134" i="12"/>
  <c r="B134" i="12"/>
  <c r="A135" i="12"/>
  <c r="B135" i="12"/>
  <c r="A136" i="12"/>
  <c r="B136" i="12"/>
  <c r="A137" i="12"/>
  <c r="B137" i="12"/>
  <c r="A138" i="12"/>
  <c r="B138" i="12"/>
  <c r="A139" i="12"/>
  <c r="B139" i="12"/>
  <c r="A140" i="12"/>
  <c r="B140" i="12"/>
  <c r="A141" i="12"/>
  <c r="B141" i="12"/>
  <c r="A142" i="12"/>
  <c r="B142" i="12"/>
  <c r="A143" i="12"/>
  <c r="B143" i="12"/>
  <c r="A144" i="12"/>
  <c r="B144" i="12"/>
  <c r="A145" i="12"/>
  <c r="B145" i="12"/>
  <c r="A146" i="12"/>
  <c r="B146" i="12"/>
  <c r="A147" i="12"/>
  <c r="B147" i="12"/>
  <c r="A148" i="12"/>
  <c r="B148" i="12"/>
  <c r="A149" i="12"/>
  <c r="B149" i="12"/>
  <c r="A150" i="12"/>
  <c r="B150" i="12"/>
  <c r="A153" i="12"/>
  <c r="B153" i="12"/>
  <c r="A154" i="12"/>
  <c r="B154" i="12"/>
  <c r="A155" i="12"/>
  <c r="B155" i="12"/>
  <c r="A156" i="12"/>
  <c r="B156" i="12"/>
  <c r="A157" i="12"/>
  <c r="B157" i="12"/>
  <c r="A158" i="12"/>
  <c r="B158" i="12"/>
  <c r="A159" i="12"/>
  <c r="B159" i="12"/>
  <c r="A160" i="12"/>
  <c r="B160" i="12"/>
  <c r="A161" i="12"/>
  <c r="B161" i="12"/>
  <c r="A162" i="12"/>
  <c r="B162" i="12"/>
  <c r="A163" i="12"/>
  <c r="B163" i="12"/>
  <c r="A164" i="12"/>
  <c r="B164" i="12"/>
  <c r="A165" i="12"/>
  <c r="B165" i="12"/>
  <c r="A166" i="12"/>
  <c r="B166" i="12"/>
  <c r="A167" i="12"/>
  <c r="B167" i="12"/>
  <c r="A168" i="12"/>
  <c r="B168" i="12"/>
  <c r="A169" i="12"/>
  <c r="B169" i="12"/>
  <c r="A170" i="12"/>
  <c r="B170" i="12"/>
  <c r="A171" i="12"/>
  <c r="B171" i="12"/>
  <c r="A172" i="12"/>
  <c r="B172" i="12"/>
  <c r="A173" i="12"/>
  <c r="B173" i="12"/>
  <c r="A174" i="12"/>
  <c r="B174" i="12"/>
  <c r="A175" i="12"/>
  <c r="B175" i="12"/>
  <c r="A176" i="12"/>
  <c r="B176" i="12"/>
  <c r="A177" i="12"/>
  <c r="B177" i="12"/>
  <c r="A178" i="12"/>
  <c r="B178" i="12"/>
  <c r="A179" i="12"/>
  <c r="B179" i="12"/>
  <c r="A180" i="12"/>
  <c r="B180" i="12"/>
  <c r="A181" i="12"/>
  <c r="B181" i="12"/>
  <c r="A182" i="12"/>
  <c r="B182" i="12"/>
  <c r="A183" i="12"/>
  <c r="B183" i="12"/>
  <c r="A184" i="12"/>
  <c r="B184" i="12"/>
  <c r="A185" i="12"/>
  <c r="B185" i="12"/>
  <c r="A186" i="12"/>
  <c r="B186" i="12"/>
  <c r="A187" i="12"/>
  <c r="B187" i="12"/>
  <c r="A189" i="12"/>
  <c r="B189" i="12"/>
  <c r="A190" i="12"/>
  <c r="B190" i="12"/>
  <c r="A191" i="12"/>
  <c r="B191" i="12"/>
  <c r="A192" i="12"/>
  <c r="B192" i="12"/>
  <c r="A193" i="12"/>
  <c r="B193" i="12"/>
  <c r="A194" i="12"/>
  <c r="B194" i="12"/>
  <c r="A195" i="12"/>
  <c r="B195" i="12"/>
  <c r="A196" i="12"/>
  <c r="B196" i="12"/>
  <c r="A197" i="12"/>
  <c r="B197" i="12"/>
  <c r="A198" i="12"/>
  <c r="B198" i="12"/>
  <c r="A199" i="12"/>
  <c r="B199" i="12"/>
  <c r="A200" i="12"/>
  <c r="B200" i="12"/>
  <c r="A201" i="12"/>
  <c r="B201" i="12"/>
  <c r="A202" i="12"/>
  <c r="B202" i="12"/>
  <c r="A203" i="12"/>
  <c r="B203" i="12"/>
  <c r="A204" i="12"/>
  <c r="B204" i="12"/>
  <c r="A205" i="12"/>
  <c r="B205" i="12"/>
  <c r="A206" i="12"/>
  <c r="B206" i="12"/>
  <c r="A207" i="12"/>
  <c r="B207" i="12"/>
  <c r="A208" i="12"/>
  <c r="B208" i="12"/>
  <c r="A209" i="12"/>
  <c r="B209" i="12"/>
  <c r="A210" i="12"/>
  <c r="B210" i="12"/>
  <c r="A211" i="12"/>
  <c r="B211" i="12"/>
  <c r="A212" i="12"/>
  <c r="B212" i="12"/>
  <c r="A213" i="12"/>
  <c r="B213" i="12"/>
  <c r="A214" i="12"/>
  <c r="B214" i="12"/>
  <c r="A215" i="12"/>
  <c r="B215" i="12"/>
  <c r="A216" i="12"/>
  <c r="B216" i="12"/>
  <c r="A217" i="12"/>
  <c r="B217" i="12"/>
  <c r="A218" i="12"/>
  <c r="B218" i="12"/>
  <c r="A219" i="12"/>
  <c r="B219" i="12"/>
  <c r="A220" i="12"/>
  <c r="B220" i="12"/>
  <c r="A221" i="12"/>
  <c r="B221" i="12"/>
  <c r="A222" i="12"/>
  <c r="B222" i="12"/>
  <c r="A223" i="12"/>
  <c r="B223" i="12"/>
  <c r="A224" i="12"/>
  <c r="B224" i="12"/>
  <c r="A225" i="12"/>
  <c r="B225" i="12"/>
  <c r="A226" i="12"/>
  <c r="B226" i="12"/>
  <c r="A227" i="12"/>
  <c r="B227" i="12"/>
  <c r="A228" i="12"/>
  <c r="B228" i="12"/>
  <c r="A229" i="12"/>
  <c r="B229" i="12"/>
  <c r="A230" i="12"/>
  <c r="B230" i="12"/>
  <c r="A231" i="12"/>
  <c r="B231" i="12"/>
  <c r="A232" i="12"/>
  <c r="B232" i="12"/>
  <c r="A233" i="12"/>
  <c r="B233" i="12"/>
  <c r="A234" i="12"/>
  <c r="B234" i="12"/>
  <c r="A235" i="12"/>
  <c r="B235" i="12"/>
  <c r="A236" i="12"/>
  <c r="B236" i="12"/>
  <c r="A237" i="12"/>
  <c r="B237" i="12"/>
  <c r="A238" i="12"/>
  <c r="B238" i="12"/>
  <c r="A239" i="12"/>
  <c r="B239" i="12"/>
  <c r="A240" i="12"/>
  <c r="B240" i="12"/>
  <c r="A241" i="12"/>
  <c r="B241" i="12"/>
  <c r="A242" i="12"/>
  <c r="B242" i="12"/>
  <c r="A243" i="12"/>
  <c r="B243" i="12"/>
  <c r="A245" i="12"/>
  <c r="B245" i="12"/>
  <c r="A246" i="12"/>
  <c r="B246" i="12"/>
  <c r="A247" i="12"/>
  <c r="B247" i="12"/>
  <c r="A248" i="12"/>
  <c r="B248" i="12"/>
  <c r="A249" i="12"/>
  <c r="B249" i="12"/>
  <c r="A250" i="12"/>
  <c r="B250" i="12"/>
  <c r="A251" i="12"/>
  <c r="B251" i="12"/>
  <c r="A252" i="12"/>
  <c r="B252" i="12"/>
  <c r="A253" i="12"/>
  <c r="B253" i="12"/>
  <c r="A254" i="12"/>
  <c r="B254" i="12"/>
  <c r="A255" i="12"/>
  <c r="B255" i="12"/>
  <c r="A256" i="12"/>
  <c r="B256" i="12"/>
  <c r="A257" i="12"/>
  <c r="B257" i="12"/>
  <c r="A258" i="12"/>
  <c r="B258" i="12"/>
  <c r="A259" i="12"/>
  <c r="B259" i="12"/>
  <c r="A260" i="12"/>
  <c r="B260" i="12"/>
  <c r="A261" i="12"/>
  <c r="B261" i="12"/>
  <c r="A262" i="12"/>
  <c r="B262" i="12"/>
  <c r="A263" i="12"/>
  <c r="B263" i="12"/>
  <c r="A264" i="12"/>
  <c r="B264" i="12"/>
  <c r="A265" i="12"/>
  <c r="B265" i="12"/>
  <c r="A266" i="12"/>
  <c r="B266" i="12"/>
  <c r="A267" i="12"/>
  <c r="B267" i="12"/>
  <c r="A268" i="12"/>
  <c r="B268" i="12"/>
  <c r="A269" i="12"/>
  <c r="B269" i="12"/>
  <c r="A270" i="12"/>
  <c r="B270" i="12"/>
  <c r="A271" i="12"/>
  <c r="B271" i="12"/>
  <c r="A272" i="12"/>
  <c r="B272" i="12"/>
  <c r="A273" i="12"/>
  <c r="B273" i="12"/>
  <c r="A274" i="12"/>
  <c r="B274" i="12"/>
  <c r="A275" i="12"/>
  <c r="B275" i="12"/>
  <c r="A276" i="12"/>
  <c r="B276" i="12"/>
  <c r="A277" i="12"/>
  <c r="B277" i="12"/>
  <c r="A278" i="12"/>
  <c r="B278" i="12"/>
  <c r="A279" i="12"/>
  <c r="B279" i="12"/>
  <c r="A280" i="12"/>
  <c r="B280" i="12"/>
  <c r="A281" i="12"/>
  <c r="B281" i="12"/>
  <c r="A282" i="12"/>
  <c r="B282" i="12"/>
  <c r="A283" i="12"/>
  <c r="B283" i="12"/>
  <c r="A284" i="12"/>
  <c r="B284" i="12"/>
  <c r="A286" i="12"/>
  <c r="B286" i="12"/>
  <c r="A287" i="12"/>
  <c r="B287" i="12"/>
  <c r="A288" i="12"/>
  <c r="B288" i="12"/>
  <c r="A289" i="12"/>
  <c r="B289" i="12"/>
  <c r="A290" i="12"/>
  <c r="B290" i="12"/>
  <c r="A291" i="12"/>
  <c r="B291" i="12"/>
  <c r="A292" i="12"/>
  <c r="B292" i="12"/>
  <c r="A293" i="12"/>
  <c r="B293" i="12"/>
  <c r="A294" i="12"/>
  <c r="B294" i="12"/>
  <c r="A295" i="12"/>
  <c r="B295" i="12"/>
  <c r="A296" i="12"/>
  <c r="B296" i="12"/>
  <c r="A297" i="12"/>
  <c r="B297" i="12"/>
  <c r="A298" i="12"/>
  <c r="B298" i="12"/>
  <c r="A299" i="12"/>
  <c r="B299" i="12"/>
  <c r="A300" i="12"/>
  <c r="B300" i="12"/>
  <c r="A301" i="12"/>
  <c r="B301" i="12"/>
  <c r="A302" i="12"/>
  <c r="B302" i="12"/>
  <c r="A303" i="12"/>
  <c r="B303" i="12"/>
  <c r="A304" i="12"/>
  <c r="B304" i="12"/>
  <c r="A305" i="12"/>
  <c r="B305" i="12"/>
  <c r="A306" i="12"/>
  <c r="B306" i="12"/>
  <c r="A307" i="12"/>
  <c r="B307" i="12"/>
  <c r="A308" i="12"/>
  <c r="B308" i="12"/>
  <c r="A309" i="12"/>
  <c r="B309" i="12"/>
  <c r="A310" i="12"/>
  <c r="B310" i="12"/>
  <c r="A311" i="12"/>
  <c r="B311" i="12"/>
  <c r="A312" i="12"/>
  <c r="B312" i="12"/>
  <c r="A313" i="12"/>
  <c r="B313" i="12"/>
  <c r="A314" i="12"/>
  <c r="B314" i="12"/>
  <c r="A315" i="12"/>
  <c r="B315" i="12"/>
  <c r="A316" i="12"/>
  <c r="B316" i="12"/>
  <c r="A317" i="12"/>
  <c r="B317" i="12"/>
  <c r="A318" i="12"/>
  <c r="B318" i="12"/>
  <c r="A319" i="12"/>
  <c r="B319" i="12"/>
  <c r="A320" i="12"/>
  <c r="B320" i="12"/>
  <c r="A321" i="12"/>
  <c r="B321" i="12"/>
  <c r="A322" i="12"/>
  <c r="B322" i="12"/>
  <c r="A323" i="12"/>
  <c r="B323" i="12"/>
  <c r="A324" i="12"/>
  <c r="B324" i="12"/>
  <c r="A325" i="12"/>
  <c r="B325" i="12"/>
  <c r="A326" i="12"/>
  <c r="B326" i="12"/>
  <c r="A327" i="12"/>
  <c r="B327" i="12"/>
  <c r="A328" i="12"/>
  <c r="B328" i="12"/>
  <c r="A329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A384" i="12"/>
  <c r="B384" i="12"/>
  <c r="A385" i="12"/>
  <c r="B385" i="12"/>
  <c r="A386" i="12"/>
  <c r="B386" i="12"/>
  <c r="A387" i="12"/>
  <c r="B387" i="12"/>
  <c r="A388" i="12"/>
  <c r="B388" i="12"/>
  <c r="A389" i="12"/>
  <c r="B389" i="12"/>
  <c r="A390" i="12"/>
  <c r="B390" i="12"/>
  <c r="A391" i="12"/>
  <c r="B391" i="12"/>
  <c r="A392" i="12"/>
  <c r="B392" i="12"/>
  <c r="A393" i="12"/>
  <c r="B393" i="12"/>
  <c r="A394" i="12"/>
  <c r="B394" i="12"/>
  <c r="A395" i="12"/>
  <c r="B395" i="12"/>
  <c r="A416" i="12"/>
  <c r="B416" i="12"/>
  <c r="A417" i="12"/>
  <c r="B417" i="12"/>
  <c r="A418" i="12"/>
  <c r="B418" i="12"/>
  <c r="A419" i="12"/>
  <c r="B419" i="12"/>
  <c r="A420" i="12"/>
  <c r="B420" i="12"/>
  <c r="A421" i="12"/>
  <c r="B421" i="12"/>
  <c r="A422" i="12"/>
  <c r="B422" i="12"/>
  <c r="A423" i="12"/>
  <c r="B423" i="12"/>
  <c r="A424" i="12"/>
  <c r="B424" i="12"/>
  <c r="A425" i="12"/>
  <c r="B425" i="12"/>
  <c r="A426" i="12"/>
  <c r="B426" i="12"/>
  <c r="A427" i="12"/>
  <c r="B427" i="12"/>
  <c r="BL117" i="12"/>
  <c r="BK117" i="12"/>
  <c r="BJ117" i="12"/>
  <c r="BI117" i="12"/>
  <c r="AR117" i="12"/>
  <c r="AS117" i="12" s="1"/>
  <c r="BB117" i="12" s="1"/>
  <c r="AE117" i="12"/>
  <c r="BA117" i="12" s="1"/>
  <c r="AC117" i="12"/>
  <c r="AZ117" i="12" s="1"/>
  <c r="AA117" i="12"/>
  <c r="Y117" i="12"/>
  <c r="AY117" i="12" s="1"/>
  <c r="W117" i="12"/>
  <c r="AX117" i="12" s="1"/>
  <c r="U117" i="12"/>
  <c r="AW117" i="12" s="1"/>
  <c r="S117" i="12"/>
  <c r="AV117" i="12" s="1"/>
  <c r="Q117" i="12"/>
  <c r="AU117" i="12" s="1"/>
  <c r="O117" i="12"/>
  <c r="AT117" i="12" s="1"/>
  <c r="BL116" i="12"/>
  <c r="BK116" i="12"/>
  <c r="BJ116" i="12"/>
  <c r="BI116" i="12"/>
  <c r="AR116" i="12"/>
  <c r="AS116" i="12" s="1"/>
  <c r="BB116" i="12" s="1"/>
  <c r="AE116" i="12"/>
  <c r="BA116" i="12" s="1"/>
  <c r="AC116" i="12"/>
  <c r="AZ116" i="12" s="1"/>
  <c r="AA116" i="12"/>
  <c r="Y116" i="12"/>
  <c r="AY116" i="12" s="1"/>
  <c r="W116" i="12"/>
  <c r="AX116" i="12" s="1"/>
  <c r="U116" i="12"/>
  <c r="AW116" i="12" s="1"/>
  <c r="S116" i="12"/>
  <c r="AV116" i="12" s="1"/>
  <c r="Q116" i="12"/>
  <c r="AU116" i="12" s="1"/>
  <c r="O116" i="12"/>
  <c r="AT116" i="12" s="1"/>
  <c r="BL115" i="12"/>
  <c r="BK115" i="12"/>
  <c r="BJ115" i="12"/>
  <c r="BI115" i="12"/>
  <c r="AR115" i="12"/>
  <c r="AS115" i="12" s="1"/>
  <c r="BB115" i="12" s="1"/>
  <c r="AE115" i="12"/>
  <c r="BA115" i="12" s="1"/>
  <c r="AC115" i="12"/>
  <c r="AZ115" i="12" s="1"/>
  <c r="AA115" i="12"/>
  <c r="Y115" i="12"/>
  <c r="AY115" i="12" s="1"/>
  <c r="W115" i="12"/>
  <c r="AX115" i="12" s="1"/>
  <c r="U115" i="12"/>
  <c r="AW115" i="12" s="1"/>
  <c r="S115" i="12"/>
  <c r="AV115" i="12" s="1"/>
  <c r="Q115" i="12"/>
  <c r="AU115" i="12" s="1"/>
  <c r="O115" i="12"/>
  <c r="AT115" i="12" s="1"/>
  <c r="BL114" i="12"/>
  <c r="BK114" i="12"/>
  <c r="BJ114" i="12"/>
  <c r="BI114" i="12"/>
  <c r="AR114" i="12"/>
  <c r="AS114" i="12" s="1"/>
  <c r="BB114" i="12" s="1"/>
  <c r="AE114" i="12"/>
  <c r="BA114" i="12" s="1"/>
  <c r="AC114" i="12"/>
  <c r="AZ114" i="12" s="1"/>
  <c r="AA114" i="12"/>
  <c r="W114" i="12"/>
  <c r="AX114" i="12" s="1"/>
  <c r="U114" i="12"/>
  <c r="AW114" i="12" s="1"/>
  <c r="S114" i="12"/>
  <c r="AV114" i="12" s="1"/>
  <c r="Q114" i="12"/>
  <c r="AU114" i="12" s="1"/>
  <c r="O114" i="12"/>
  <c r="AT114" i="12" s="1"/>
  <c r="BL98" i="12"/>
  <c r="BK98" i="12"/>
  <c r="BJ98" i="12"/>
  <c r="BI98" i="12"/>
  <c r="AR98" i="12"/>
  <c r="AS98" i="12" s="1"/>
  <c r="BB98" i="12" s="1"/>
  <c r="AE98" i="12"/>
  <c r="BA98" i="12" s="1"/>
  <c r="AC98" i="12"/>
  <c r="AZ98" i="12" s="1"/>
  <c r="AA98" i="12"/>
  <c r="Y98" i="12"/>
  <c r="AY98" i="12" s="1"/>
  <c r="W98" i="12"/>
  <c r="AX98" i="12" s="1"/>
  <c r="U98" i="12"/>
  <c r="AW98" i="12" s="1"/>
  <c r="S98" i="12"/>
  <c r="AV98" i="12" s="1"/>
  <c r="Q98" i="12"/>
  <c r="AU98" i="12" s="1"/>
  <c r="O98" i="12"/>
  <c r="AT98" i="12" s="1"/>
  <c r="BL97" i="12"/>
  <c r="BK97" i="12"/>
  <c r="BJ97" i="12"/>
  <c r="BI97" i="12"/>
  <c r="AR97" i="12"/>
  <c r="AS97" i="12" s="1"/>
  <c r="BB97" i="12" s="1"/>
  <c r="AE97" i="12"/>
  <c r="BA97" i="12" s="1"/>
  <c r="AC97" i="12"/>
  <c r="AZ97" i="12" s="1"/>
  <c r="AA97" i="12"/>
  <c r="Y97" i="12"/>
  <c r="AY97" i="12" s="1"/>
  <c r="W97" i="12"/>
  <c r="AX97" i="12" s="1"/>
  <c r="U97" i="12"/>
  <c r="AW97" i="12" s="1"/>
  <c r="S97" i="12"/>
  <c r="AV97" i="12" s="1"/>
  <c r="Q97" i="12"/>
  <c r="AU97" i="12" s="1"/>
  <c r="O97" i="12"/>
  <c r="AT97" i="12" s="1"/>
  <c r="BL96" i="12"/>
  <c r="BK96" i="12"/>
  <c r="BJ96" i="12"/>
  <c r="BI96" i="12"/>
  <c r="AR96" i="12"/>
  <c r="AS96" i="12" s="1"/>
  <c r="BB96" i="12" s="1"/>
  <c r="AE96" i="12"/>
  <c r="BA96" i="12" s="1"/>
  <c r="AC96" i="12"/>
  <c r="AZ96" i="12" s="1"/>
  <c r="AA96" i="12"/>
  <c r="Y96" i="12"/>
  <c r="AY96" i="12" s="1"/>
  <c r="W96" i="12"/>
  <c r="AX96" i="12" s="1"/>
  <c r="U96" i="12"/>
  <c r="AW96" i="12" s="1"/>
  <c r="S96" i="12"/>
  <c r="AV96" i="12" s="1"/>
  <c r="Q96" i="12"/>
  <c r="AU96" i="12" s="1"/>
  <c r="O96" i="12"/>
  <c r="AT96" i="12" s="1"/>
  <c r="BL95" i="12"/>
  <c r="BK95" i="12"/>
  <c r="BJ95" i="12"/>
  <c r="BI95" i="12"/>
  <c r="AR95" i="12"/>
  <c r="AS95" i="12" s="1"/>
  <c r="BB95" i="12" s="1"/>
  <c r="AE95" i="12"/>
  <c r="BA95" i="12" s="1"/>
  <c r="AC95" i="12"/>
  <c r="AZ95" i="12" s="1"/>
  <c r="AA95" i="12"/>
  <c r="W95" i="12"/>
  <c r="AX95" i="12" s="1"/>
  <c r="U95" i="12"/>
  <c r="AW95" i="12" s="1"/>
  <c r="S95" i="12"/>
  <c r="AV95" i="12" s="1"/>
  <c r="Q95" i="12"/>
  <c r="AU95" i="12" s="1"/>
  <c r="O95" i="12"/>
  <c r="AT95" i="12" s="1"/>
  <c r="BL94" i="12"/>
  <c r="BK94" i="12"/>
  <c r="BJ94" i="12"/>
  <c r="BI94" i="12"/>
  <c r="AR94" i="12"/>
  <c r="BH94" i="12" s="1"/>
  <c r="BE94" i="12" s="1"/>
  <c r="AE94" i="12"/>
  <c r="BA94" i="12" s="1"/>
  <c r="AC94" i="12"/>
  <c r="AZ94" i="12" s="1"/>
  <c r="AA94" i="12"/>
  <c r="Y94" i="12"/>
  <c r="AY94" i="12" s="1"/>
  <c r="W94" i="12"/>
  <c r="AX94" i="12" s="1"/>
  <c r="U94" i="12"/>
  <c r="AW94" i="12" s="1"/>
  <c r="S94" i="12"/>
  <c r="AV94" i="12" s="1"/>
  <c r="Q94" i="12"/>
  <c r="AU94" i="12" s="1"/>
  <c r="O94" i="12"/>
  <c r="AT94" i="12" s="1"/>
  <c r="BL93" i="12"/>
  <c r="BK93" i="12"/>
  <c r="BJ93" i="12"/>
  <c r="BI93" i="12"/>
  <c r="AR93" i="12"/>
  <c r="BH93" i="12" s="1"/>
  <c r="BE93" i="12" s="1"/>
  <c r="AE93" i="12"/>
  <c r="BA93" i="12" s="1"/>
  <c r="AC93" i="12"/>
  <c r="AZ93" i="12" s="1"/>
  <c r="AA93" i="12"/>
  <c r="Y93" i="12"/>
  <c r="AY93" i="12" s="1"/>
  <c r="W93" i="12"/>
  <c r="AX93" i="12" s="1"/>
  <c r="U93" i="12"/>
  <c r="AW93" i="12" s="1"/>
  <c r="S93" i="12"/>
  <c r="AV93" i="12" s="1"/>
  <c r="Q93" i="12"/>
  <c r="AU93" i="12" s="1"/>
  <c r="O93" i="12"/>
  <c r="AT93" i="12" s="1"/>
  <c r="BL92" i="12"/>
  <c r="BK92" i="12"/>
  <c r="BJ92" i="12"/>
  <c r="BI92" i="12"/>
  <c r="AR92" i="12"/>
  <c r="BH92" i="12" s="1"/>
  <c r="BE92" i="12" s="1"/>
  <c r="AE92" i="12"/>
  <c r="BA92" i="12" s="1"/>
  <c r="AC92" i="12"/>
  <c r="AZ92" i="12" s="1"/>
  <c r="AA92" i="12"/>
  <c r="Y92" i="12"/>
  <c r="AY92" i="12" s="1"/>
  <c r="W92" i="12"/>
  <c r="AX92" i="12" s="1"/>
  <c r="U92" i="12"/>
  <c r="AW92" i="12" s="1"/>
  <c r="S92" i="12"/>
  <c r="AV92" i="12" s="1"/>
  <c r="Q92" i="12"/>
  <c r="AU92" i="12" s="1"/>
  <c r="O92" i="12"/>
  <c r="AT92" i="12" s="1"/>
  <c r="BL91" i="12"/>
  <c r="BK91" i="12"/>
  <c r="BJ91" i="12"/>
  <c r="BI91" i="12"/>
  <c r="AR91" i="12"/>
  <c r="AS91" i="12" s="1"/>
  <c r="BB91" i="12" s="1"/>
  <c r="AE91" i="12"/>
  <c r="BA91" i="12" s="1"/>
  <c r="AC91" i="12"/>
  <c r="AZ91" i="12" s="1"/>
  <c r="AA91" i="12"/>
  <c r="W91" i="12"/>
  <c r="AX91" i="12" s="1"/>
  <c r="U91" i="12"/>
  <c r="AW91" i="12" s="1"/>
  <c r="S91" i="12"/>
  <c r="AV91" i="12" s="1"/>
  <c r="Q91" i="12"/>
  <c r="AU91" i="12" s="1"/>
  <c r="O91" i="12"/>
  <c r="AT91" i="12" s="1"/>
  <c r="BL90" i="12"/>
  <c r="BK90" i="12"/>
  <c r="BJ90" i="12"/>
  <c r="BI90" i="12"/>
  <c r="AR90" i="12"/>
  <c r="BH90" i="12" s="1"/>
  <c r="BE90" i="12" s="1"/>
  <c r="AE90" i="12"/>
  <c r="BA90" i="12" s="1"/>
  <c r="AC90" i="12"/>
  <c r="AZ90" i="12" s="1"/>
  <c r="AA90" i="12"/>
  <c r="Y90" i="12"/>
  <c r="AY90" i="12" s="1"/>
  <c r="W90" i="12"/>
  <c r="AX90" i="12" s="1"/>
  <c r="U90" i="12"/>
  <c r="AW90" i="12" s="1"/>
  <c r="S90" i="12"/>
  <c r="AV90" i="12" s="1"/>
  <c r="Q90" i="12"/>
  <c r="AU90" i="12" s="1"/>
  <c r="O90" i="12"/>
  <c r="AT90" i="12" s="1"/>
  <c r="BL89" i="12"/>
  <c r="BK89" i="12"/>
  <c r="BJ89" i="12"/>
  <c r="BI89" i="12"/>
  <c r="AR89" i="12"/>
  <c r="AS89" i="12" s="1"/>
  <c r="BB89" i="12" s="1"/>
  <c r="AE89" i="12"/>
  <c r="BA89" i="12" s="1"/>
  <c r="AC89" i="12"/>
  <c r="AZ89" i="12" s="1"/>
  <c r="AA89" i="12"/>
  <c r="Y89" i="12"/>
  <c r="AY89" i="12" s="1"/>
  <c r="W89" i="12"/>
  <c r="AX89" i="12" s="1"/>
  <c r="U89" i="12"/>
  <c r="AW89" i="12" s="1"/>
  <c r="S89" i="12"/>
  <c r="AV89" i="12" s="1"/>
  <c r="Q89" i="12"/>
  <c r="AU89" i="12" s="1"/>
  <c r="O89" i="12"/>
  <c r="AT89" i="12" s="1"/>
  <c r="BL88" i="12"/>
  <c r="BK88" i="12"/>
  <c r="BJ88" i="12"/>
  <c r="BI88" i="12"/>
  <c r="AR88" i="12"/>
  <c r="AS88" i="12" s="1"/>
  <c r="BB88" i="12" s="1"/>
  <c r="AE88" i="12"/>
  <c r="BA88" i="12" s="1"/>
  <c r="AC88" i="12"/>
  <c r="AZ88" i="12" s="1"/>
  <c r="AA88" i="12"/>
  <c r="W88" i="12"/>
  <c r="AX88" i="12" s="1"/>
  <c r="U88" i="12"/>
  <c r="AW88" i="12" s="1"/>
  <c r="S88" i="12"/>
  <c r="AV88" i="12" s="1"/>
  <c r="Q88" i="12"/>
  <c r="AU88" i="12" s="1"/>
  <c r="O88" i="12"/>
  <c r="AT88" i="12" s="1"/>
  <c r="B81" i="15"/>
  <c r="C81" i="15"/>
  <c r="D81" i="15"/>
  <c r="E81" i="15"/>
  <c r="F81" i="15"/>
  <c r="K81" i="15"/>
  <c r="L81" i="15"/>
  <c r="O81" i="15"/>
  <c r="P81" i="15"/>
  <c r="Q81" i="15"/>
  <c r="R81" i="15"/>
  <c r="S81" i="15"/>
  <c r="T81" i="15"/>
  <c r="U81" i="15"/>
  <c r="V81" i="15"/>
  <c r="D82" i="15"/>
  <c r="L82" i="15"/>
  <c r="M82" i="15"/>
  <c r="D83" i="15"/>
  <c r="E83" i="15"/>
  <c r="F83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O379" i="15"/>
  <c r="O387" i="15"/>
  <c r="O386" i="15"/>
  <c r="O385" i="15"/>
  <c r="O384" i="15"/>
  <c r="O383" i="15"/>
  <c r="O382" i="15"/>
  <c r="O381" i="15"/>
  <c r="O380" i="15"/>
  <c r="O378" i="15"/>
  <c r="D384" i="15"/>
  <c r="B375" i="15"/>
  <c r="C375" i="15"/>
  <c r="D375" i="15"/>
  <c r="E375" i="15"/>
  <c r="F375" i="15"/>
  <c r="K375" i="15"/>
  <c r="L375" i="15"/>
  <c r="O375" i="15"/>
  <c r="P375" i="15"/>
  <c r="Q375" i="15"/>
  <c r="R375" i="15"/>
  <c r="S375" i="15"/>
  <c r="T375" i="15"/>
  <c r="U375" i="15"/>
  <c r="V375" i="15"/>
  <c r="D376" i="15"/>
  <c r="L376" i="15"/>
  <c r="M376" i="15"/>
  <c r="D377" i="15"/>
  <c r="E377" i="15"/>
  <c r="F377" i="15"/>
  <c r="D387" i="15"/>
  <c r="D386" i="15"/>
  <c r="D385" i="15"/>
  <c r="D383" i="15"/>
  <c r="D382" i="15"/>
  <c r="D381" i="15"/>
  <c r="D380" i="15"/>
  <c r="D379" i="15"/>
  <c r="D378" i="15"/>
  <c r="A313" i="9"/>
  <c r="A312" i="9"/>
  <c r="A311" i="9"/>
  <c r="A303" i="9"/>
  <c r="A302" i="9"/>
  <c r="A301" i="9"/>
  <c r="O372" i="15"/>
  <c r="O371" i="15"/>
  <c r="O370" i="15"/>
  <c r="O369" i="15"/>
  <c r="O368" i="15"/>
  <c r="O367" i="15"/>
  <c r="O366" i="15"/>
  <c r="O365" i="15"/>
  <c r="O364" i="15"/>
  <c r="O363" i="15"/>
  <c r="O362" i="15"/>
  <c r="O361" i="15"/>
  <c r="O360" i="15"/>
  <c r="O359" i="15"/>
  <c r="O358" i="15"/>
  <c r="O357" i="15"/>
  <c r="D372" i="15"/>
  <c r="D371" i="15"/>
  <c r="D370" i="15"/>
  <c r="D369" i="15"/>
  <c r="D368" i="15"/>
  <c r="D367" i="15"/>
  <c r="D366" i="15"/>
  <c r="D365" i="15"/>
  <c r="D364" i="15"/>
  <c r="D363" i="15"/>
  <c r="D362" i="15"/>
  <c r="D361" i="15"/>
  <c r="D360" i="15"/>
  <c r="D359" i="15"/>
  <c r="D358" i="15"/>
  <c r="D357" i="15"/>
  <c r="O335" i="15"/>
  <c r="O336" i="15"/>
  <c r="D335" i="15"/>
  <c r="D336" i="15"/>
  <c r="A249" i="9"/>
  <c r="A248" i="9"/>
  <c r="A247" i="9"/>
  <c r="A234" i="9"/>
  <c r="A233" i="9"/>
  <c r="A232" i="9"/>
  <c r="O351" i="15"/>
  <c r="O350" i="15"/>
  <c r="O349" i="15"/>
  <c r="O348" i="15"/>
  <c r="O347" i="15"/>
  <c r="O346" i="15"/>
  <c r="O345" i="15"/>
  <c r="O344" i="15"/>
  <c r="O343" i="15"/>
  <c r="O342" i="15"/>
  <c r="O341" i="15"/>
  <c r="O340" i="15"/>
  <c r="O339" i="15"/>
  <c r="O338" i="15"/>
  <c r="O337" i="15"/>
  <c r="B332" i="15"/>
  <c r="C332" i="15"/>
  <c r="D332" i="15"/>
  <c r="E332" i="15"/>
  <c r="F332" i="15"/>
  <c r="K332" i="15"/>
  <c r="L332" i="15"/>
  <c r="O332" i="15"/>
  <c r="P332" i="15"/>
  <c r="Q332" i="15"/>
  <c r="R332" i="15"/>
  <c r="S332" i="15"/>
  <c r="T332" i="15"/>
  <c r="U332" i="15"/>
  <c r="V332" i="15"/>
  <c r="D333" i="15"/>
  <c r="L333" i="15"/>
  <c r="M333" i="15"/>
  <c r="D334" i="15"/>
  <c r="E334" i="15"/>
  <c r="F334" i="15"/>
  <c r="D345" i="15"/>
  <c r="D346" i="15"/>
  <c r="D347" i="15"/>
  <c r="D351" i="15"/>
  <c r="D350" i="15"/>
  <c r="D349" i="15"/>
  <c r="D348" i="15"/>
  <c r="D344" i="15"/>
  <c r="D343" i="15"/>
  <c r="D342" i="15"/>
  <c r="D341" i="15"/>
  <c r="D340" i="15"/>
  <c r="D339" i="15"/>
  <c r="D338" i="15"/>
  <c r="D337" i="15"/>
  <c r="BK219" i="9"/>
  <c r="BL221" i="9"/>
  <c r="BK221" i="9"/>
  <c r="BJ221" i="9"/>
  <c r="BI221" i="9"/>
  <c r="AR221" i="9"/>
  <c r="AE221" i="9"/>
  <c r="BA221" i="9" s="1"/>
  <c r="AC221" i="9"/>
  <c r="AZ221" i="9" s="1"/>
  <c r="AA221" i="9"/>
  <c r="W5" i="9"/>
  <c r="W6" i="9"/>
  <c r="W7" i="9"/>
  <c r="W8" i="9"/>
  <c r="W9" i="9"/>
  <c r="W10" i="9"/>
  <c r="W11" i="9"/>
  <c r="W14" i="9"/>
  <c r="W17" i="9"/>
  <c r="W18" i="9"/>
  <c r="W19" i="9"/>
  <c r="W20" i="9"/>
  <c r="W21" i="9"/>
  <c r="W22" i="9"/>
  <c r="W23" i="9"/>
  <c r="W24" i="9"/>
  <c r="W27" i="9"/>
  <c r="W39" i="9"/>
  <c r="W41" i="9"/>
  <c r="W43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1" i="9"/>
  <c r="W102" i="9"/>
  <c r="W103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21" i="9"/>
  <c r="W122" i="9"/>
  <c r="W123" i="9"/>
  <c r="W124" i="9"/>
  <c r="W125" i="9"/>
  <c r="W126" i="9"/>
  <c r="W127" i="9"/>
  <c r="W130" i="9"/>
  <c r="W131" i="9"/>
  <c r="W132" i="9"/>
  <c r="W133" i="9"/>
  <c r="W134" i="9"/>
  <c r="W135" i="9"/>
  <c r="W136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AX221" i="9" s="1"/>
  <c r="W222" i="9"/>
  <c r="W224" i="9"/>
  <c r="W225" i="9"/>
  <c r="W227" i="9"/>
  <c r="W228" i="9"/>
  <c r="W229" i="9"/>
  <c r="W230" i="9"/>
  <c r="W231" i="9"/>
  <c r="W232" i="9"/>
  <c r="W233" i="9"/>
  <c r="W234" i="9"/>
  <c r="W236" i="9"/>
  <c r="W237" i="9"/>
  <c r="W238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8" i="9"/>
  <c r="W289" i="9"/>
  <c r="W290" i="9"/>
  <c r="W291" i="9"/>
  <c r="W292" i="9"/>
  <c r="W294" i="9"/>
  <c r="W295" i="9"/>
  <c r="W296" i="9"/>
  <c r="W297" i="9"/>
  <c r="W298" i="9"/>
  <c r="W299" i="9"/>
  <c r="W300" i="9"/>
  <c r="W301" i="9"/>
  <c r="W302" i="9"/>
  <c r="W303" i="9"/>
  <c r="W305" i="9"/>
  <c r="W306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U5" i="9"/>
  <c r="U6" i="9"/>
  <c r="U7" i="9"/>
  <c r="U8" i="9"/>
  <c r="U9" i="9"/>
  <c r="U10" i="9"/>
  <c r="U11" i="9"/>
  <c r="U14" i="9"/>
  <c r="U17" i="9"/>
  <c r="U18" i="9"/>
  <c r="U19" i="9"/>
  <c r="U20" i="9"/>
  <c r="U21" i="9"/>
  <c r="U22" i="9"/>
  <c r="U23" i="9"/>
  <c r="U24" i="9"/>
  <c r="U27" i="9"/>
  <c r="U39" i="9"/>
  <c r="U41" i="9"/>
  <c r="U43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1" i="9"/>
  <c r="U102" i="9"/>
  <c r="U103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21" i="9"/>
  <c r="U122" i="9"/>
  <c r="U123" i="9"/>
  <c r="U124" i="9"/>
  <c r="U125" i="9"/>
  <c r="U126" i="9"/>
  <c r="U127" i="9"/>
  <c r="U130" i="9"/>
  <c r="U131" i="9"/>
  <c r="U132" i="9"/>
  <c r="U133" i="9"/>
  <c r="U134" i="9"/>
  <c r="U135" i="9"/>
  <c r="U136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AW221" i="9" s="1"/>
  <c r="U222" i="9"/>
  <c r="U224" i="9"/>
  <c r="U225" i="9"/>
  <c r="U227" i="9"/>
  <c r="U228" i="9"/>
  <c r="U229" i="9"/>
  <c r="U230" i="9"/>
  <c r="U231" i="9"/>
  <c r="U232" i="9"/>
  <c r="U233" i="9"/>
  <c r="U234" i="9"/>
  <c r="U236" i="9"/>
  <c r="U237" i="9"/>
  <c r="U238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8" i="9"/>
  <c r="U289" i="9"/>
  <c r="U290" i="9"/>
  <c r="U291" i="9"/>
  <c r="U292" i="9"/>
  <c r="U294" i="9"/>
  <c r="U295" i="9"/>
  <c r="U296" i="9"/>
  <c r="U297" i="9"/>
  <c r="U298" i="9"/>
  <c r="U299" i="9"/>
  <c r="U300" i="9"/>
  <c r="U301" i="9"/>
  <c r="U302" i="9"/>
  <c r="U303" i="9"/>
  <c r="U305" i="9"/>
  <c r="U306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S5" i="9"/>
  <c r="S6" i="9"/>
  <c r="S7" i="9"/>
  <c r="S8" i="9"/>
  <c r="S9" i="9"/>
  <c r="S10" i="9"/>
  <c r="S11" i="9"/>
  <c r="S18" i="9"/>
  <c r="S19" i="9"/>
  <c r="S20" i="9"/>
  <c r="S21" i="9"/>
  <c r="S22" i="9"/>
  <c r="S23" i="9"/>
  <c r="S24" i="9"/>
  <c r="S46" i="9"/>
  <c r="S47" i="9"/>
  <c r="S49" i="9"/>
  <c r="S50" i="9"/>
  <c r="S51" i="9"/>
  <c r="S53" i="9"/>
  <c r="S54" i="9"/>
  <c r="S55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8" i="9"/>
  <c r="S112" i="9"/>
  <c r="S113" i="9"/>
  <c r="S116" i="9"/>
  <c r="S118" i="9"/>
  <c r="S122" i="9"/>
  <c r="S124" i="9"/>
  <c r="S126" i="9"/>
  <c r="S132" i="9"/>
  <c r="S134" i="9"/>
  <c r="S143" i="9"/>
  <c r="S145" i="9"/>
  <c r="S150" i="9"/>
  <c r="S151" i="9"/>
  <c r="S152" i="9"/>
  <c r="S153" i="9"/>
  <c r="S154" i="9"/>
  <c r="S164" i="9"/>
  <c r="S178" i="9"/>
  <c r="S191" i="9"/>
  <c r="S198" i="9"/>
  <c r="S200" i="9"/>
  <c r="S201" i="9"/>
  <c r="S211" i="9"/>
  <c r="S219" i="9"/>
  <c r="S220" i="9"/>
  <c r="S221" i="9"/>
  <c r="AV221" i="9" s="1"/>
  <c r="S222" i="9"/>
  <c r="S231" i="9"/>
  <c r="S232" i="9"/>
  <c r="S233" i="9"/>
  <c r="S234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300" i="9"/>
  <c r="S301" i="9"/>
  <c r="S302" i="9"/>
  <c r="S303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Q5" i="9"/>
  <c r="Q6" i="9"/>
  <c r="Q7" i="9"/>
  <c r="Q8" i="9"/>
  <c r="Q9" i="9"/>
  <c r="Q10" i="9"/>
  <c r="Q11" i="9"/>
  <c r="Q12" i="9"/>
  <c r="Q18" i="9"/>
  <c r="Q19" i="9"/>
  <c r="Q20" i="9"/>
  <c r="Q21" i="9"/>
  <c r="Q22" i="9"/>
  <c r="Q23" i="9"/>
  <c r="Q24" i="9"/>
  <c r="Q25" i="9"/>
  <c r="Q46" i="9"/>
  <c r="Q47" i="9"/>
  <c r="Q49" i="9"/>
  <c r="Q50" i="9"/>
  <c r="Q51" i="9"/>
  <c r="Q53" i="9"/>
  <c r="Q54" i="9"/>
  <c r="Q55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2" i="9"/>
  <c r="Q95" i="9"/>
  <c r="Q96" i="9"/>
  <c r="Q97" i="9"/>
  <c r="Q99" i="9"/>
  <c r="Q103" i="9"/>
  <c r="Q107" i="9"/>
  <c r="Q108" i="9"/>
  <c r="Q112" i="9"/>
  <c r="Q113" i="9"/>
  <c r="Q116" i="9"/>
  <c r="Q118" i="9"/>
  <c r="Q121" i="9"/>
  <c r="Q122" i="9"/>
  <c r="Q123" i="9"/>
  <c r="Q124" i="9"/>
  <c r="Q126" i="9"/>
  <c r="Q132" i="9"/>
  <c r="Q134" i="9"/>
  <c r="Q135" i="9"/>
  <c r="Q139" i="9"/>
  <c r="Q140" i="9"/>
  <c r="Q142" i="9"/>
  <c r="Q143" i="9"/>
  <c r="Q145" i="9"/>
  <c r="Q146" i="9"/>
  <c r="Q148" i="9"/>
  <c r="Q149" i="9"/>
  <c r="Q150" i="9"/>
  <c r="Q151" i="9"/>
  <c r="Q152" i="9"/>
  <c r="Q153" i="9"/>
  <c r="Q154" i="9"/>
  <c r="Q160" i="9"/>
  <c r="Q164" i="9"/>
  <c r="Q165" i="9"/>
  <c r="Q168" i="9"/>
  <c r="Q170" i="9"/>
  <c r="Q174" i="9"/>
  <c r="Q175" i="9"/>
  <c r="Q176" i="9"/>
  <c r="Q178" i="9"/>
  <c r="Q179" i="9"/>
  <c r="Q180" i="9"/>
  <c r="Q181" i="9"/>
  <c r="Q183" i="9"/>
  <c r="Q187" i="9"/>
  <c r="Q188" i="9"/>
  <c r="Q189" i="9"/>
  <c r="Q191" i="9"/>
  <c r="Q192" i="9"/>
  <c r="Q193" i="9"/>
  <c r="Q194" i="9"/>
  <c r="Q196" i="9"/>
  <c r="Q198" i="9"/>
  <c r="Q200" i="9"/>
  <c r="Q201" i="9"/>
  <c r="Q207" i="9"/>
  <c r="Q211" i="9"/>
  <c r="Q212" i="9"/>
  <c r="Q216" i="9"/>
  <c r="Q218" i="9"/>
  <c r="Q219" i="9"/>
  <c r="Q220" i="9"/>
  <c r="Q221" i="9"/>
  <c r="AU221" i="9" s="1"/>
  <c r="Q222" i="9"/>
  <c r="Q225" i="9"/>
  <c r="Q228" i="9"/>
  <c r="Q231" i="9"/>
  <c r="Q232" i="9"/>
  <c r="Q233" i="9"/>
  <c r="Q234" i="9"/>
  <c r="Q237" i="9"/>
  <c r="Q238" i="9"/>
  <c r="Q241" i="9"/>
  <c r="Q242" i="9"/>
  <c r="Q243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60" i="9"/>
  <c r="Q261" i="9"/>
  <c r="Q262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81" i="9"/>
  <c r="Q282" i="9"/>
  <c r="Q283" i="9"/>
  <c r="Q284" i="9"/>
  <c r="Q285" i="9"/>
  <c r="Q286" i="9"/>
  <c r="Q289" i="9"/>
  <c r="Q290" i="9"/>
  <c r="Q291" i="9"/>
  <c r="Q295" i="9"/>
  <c r="Q296" i="9"/>
  <c r="Q297" i="9"/>
  <c r="Q300" i="9"/>
  <c r="Q301" i="9"/>
  <c r="Q302" i="9"/>
  <c r="Q303" i="9"/>
  <c r="Q310" i="9"/>
  <c r="Q311" i="9"/>
  <c r="Q312" i="9"/>
  <c r="Q313" i="9"/>
  <c r="Q314" i="9"/>
  <c r="Q315" i="9"/>
  <c r="Q316" i="9"/>
  <c r="Q317" i="9"/>
  <c r="Q318" i="9"/>
  <c r="Q319" i="9"/>
  <c r="Q320" i="9"/>
  <c r="Q321" i="9"/>
  <c r="Q322" i="9"/>
  <c r="Q323" i="9"/>
  <c r="Q324" i="9"/>
  <c r="Q325" i="9"/>
  <c r="Q326" i="9"/>
  <c r="Q327" i="9"/>
  <c r="Q328" i="9"/>
  <c r="Q329" i="9"/>
  <c r="Q330" i="9"/>
  <c r="Q331" i="9"/>
  <c r="Q332" i="9"/>
  <c r="Q333" i="9"/>
  <c r="Q334" i="9"/>
  <c r="Q335" i="9"/>
  <c r="Q336" i="9"/>
  <c r="Q337" i="9"/>
  <c r="Q338" i="9"/>
  <c r="Q339" i="9"/>
  <c r="Q340" i="9"/>
  <c r="Q341" i="9"/>
  <c r="Q342" i="9"/>
  <c r="Q343" i="9"/>
  <c r="Q344" i="9"/>
  <c r="Q345" i="9"/>
  <c r="Q346" i="9"/>
  <c r="Q347" i="9"/>
  <c r="Q348" i="9"/>
  <c r="O5" i="9"/>
  <c r="O6" i="9"/>
  <c r="O7" i="9"/>
  <c r="O8" i="9"/>
  <c r="O9" i="9"/>
  <c r="O10" i="9"/>
  <c r="O11" i="9"/>
  <c r="O18" i="9"/>
  <c r="O19" i="9"/>
  <c r="O20" i="9"/>
  <c r="O21" i="9"/>
  <c r="O22" i="9"/>
  <c r="O23" i="9"/>
  <c r="O24" i="9"/>
  <c r="O49" i="9"/>
  <c r="O53" i="9"/>
  <c r="O54" i="9"/>
  <c r="O55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8" i="9"/>
  <c r="O116" i="9"/>
  <c r="O118" i="9"/>
  <c r="O122" i="9"/>
  <c r="O124" i="9"/>
  <c r="O126" i="9"/>
  <c r="O132" i="9"/>
  <c r="O134" i="9"/>
  <c r="O143" i="9"/>
  <c r="O145" i="9"/>
  <c r="O150" i="9"/>
  <c r="O151" i="9"/>
  <c r="O152" i="9"/>
  <c r="O164" i="9"/>
  <c r="O178" i="9"/>
  <c r="O191" i="9"/>
  <c r="O198" i="9"/>
  <c r="O211" i="9"/>
  <c r="O219" i="9"/>
  <c r="O220" i="9"/>
  <c r="O221" i="9"/>
  <c r="AT221" i="9" s="1"/>
  <c r="O222" i="9"/>
  <c r="O233" i="9"/>
  <c r="O234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302" i="9"/>
  <c r="O303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BH219" i="9"/>
  <c r="BE219" i="9" s="1"/>
  <c r="BH220" i="9"/>
  <c r="BE220" i="9" s="1"/>
  <c r="BH222" i="9"/>
  <c r="BE222" i="9" s="1"/>
  <c r="BF219" i="9"/>
  <c r="BG219" i="9" s="1"/>
  <c r="BD219" i="9" s="1"/>
  <c r="BF220" i="9"/>
  <c r="BG220" i="9" s="1"/>
  <c r="BD220" i="9" s="1"/>
  <c r="BF222" i="9"/>
  <c r="BG222" i="9" s="1"/>
  <c r="BD222" i="9" s="1"/>
  <c r="A219" i="9"/>
  <c r="A220" i="9"/>
  <c r="A221" i="9"/>
  <c r="A222" i="9"/>
  <c r="B326" i="15"/>
  <c r="C326" i="15"/>
  <c r="D326" i="15"/>
  <c r="E326" i="15"/>
  <c r="F326" i="15"/>
  <c r="K326" i="15"/>
  <c r="L326" i="15"/>
  <c r="O326" i="15"/>
  <c r="P326" i="15"/>
  <c r="Q326" i="15"/>
  <c r="R326" i="15"/>
  <c r="S326" i="15"/>
  <c r="T326" i="15"/>
  <c r="U326" i="15"/>
  <c r="V326" i="15"/>
  <c r="D327" i="15"/>
  <c r="L327" i="15"/>
  <c r="M327" i="15"/>
  <c r="D328" i="15"/>
  <c r="E328" i="15"/>
  <c r="F328" i="15"/>
  <c r="D329" i="15"/>
  <c r="F93" i="15" l="1"/>
  <c r="AG93" i="15" s="1"/>
  <c r="F100" i="15"/>
  <c r="AG100" i="15" s="1"/>
  <c r="F106" i="15"/>
  <c r="AG106" i="15" s="1"/>
  <c r="AS94" i="12"/>
  <c r="BB94" i="12" s="1"/>
  <c r="BF94" i="12" s="1"/>
  <c r="BF115" i="12"/>
  <c r="BF116" i="12"/>
  <c r="BF117" i="12"/>
  <c r="BH115" i="12"/>
  <c r="BE115" i="12" s="1"/>
  <c r="BH116" i="12"/>
  <c r="BE116" i="12" s="1"/>
  <c r="BH117" i="12"/>
  <c r="BE117" i="12" s="1"/>
  <c r="AS92" i="12"/>
  <c r="BB92" i="12" s="1"/>
  <c r="BF92" i="12" s="1"/>
  <c r="AS90" i="12"/>
  <c r="BB90" i="12" s="1"/>
  <c r="BF90" i="12" s="1"/>
  <c r="AS93" i="12"/>
  <c r="BB93" i="12" s="1"/>
  <c r="BF93" i="12" s="1"/>
  <c r="BF96" i="12"/>
  <c r="BF89" i="12"/>
  <c r="BF97" i="12"/>
  <c r="BF98" i="12"/>
  <c r="BH89" i="12"/>
  <c r="BE89" i="12" s="1"/>
  <c r="BH96" i="12"/>
  <c r="BE96" i="12" s="1"/>
  <c r="BH97" i="12"/>
  <c r="BE97" i="12" s="1"/>
  <c r="BH98" i="12"/>
  <c r="BE98" i="12" s="1"/>
  <c r="AS221" i="9"/>
  <c r="BB221" i="9" s="1"/>
  <c r="N47" i="3"/>
  <c r="N46" i="3"/>
  <c r="N74" i="7"/>
  <c r="R74" i="7" s="1"/>
  <c r="S74" i="7" s="1"/>
  <c r="Q5" i="7"/>
  <c r="Q6" i="7"/>
  <c r="Q7" i="7"/>
  <c r="Q8" i="7"/>
  <c r="Q9" i="7"/>
  <c r="Q10" i="7"/>
  <c r="Q11" i="7"/>
  <c r="Q12" i="7"/>
  <c r="Q17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9" i="7"/>
  <c r="Q70" i="7"/>
  <c r="Q71" i="7"/>
  <c r="Q72" i="7"/>
  <c r="Q73" i="7"/>
  <c r="Q76" i="7"/>
  <c r="Q85" i="7"/>
  <c r="Q86" i="7"/>
  <c r="Q89" i="7"/>
  <c r="Q90" i="7"/>
  <c r="Q94" i="7"/>
  <c r="Q95" i="7"/>
  <c r="Q96" i="7"/>
  <c r="Q98" i="7"/>
  <c r="S5" i="7"/>
  <c r="S6" i="7"/>
  <c r="S7" i="7"/>
  <c r="S8" i="7"/>
  <c r="S9" i="7"/>
  <c r="S10" i="7"/>
  <c r="S11" i="7"/>
  <c r="S12" i="7"/>
  <c r="S17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9" i="7"/>
  <c r="S70" i="7"/>
  <c r="S71" i="7"/>
  <c r="S72" i="7"/>
  <c r="S73" i="7"/>
  <c r="S85" i="7"/>
  <c r="S89" i="7"/>
  <c r="O323" i="15"/>
  <c r="O322" i="15"/>
  <c r="O321" i="15"/>
  <c r="O317" i="15"/>
  <c r="O315" i="15"/>
  <c r="O318" i="15"/>
  <c r="O319" i="15"/>
  <c r="O314" i="15"/>
  <c r="D316" i="15"/>
  <c r="D317" i="15"/>
  <c r="D318" i="15"/>
  <c r="D319" i="15"/>
  <c r="D320" i="15"/>
  <c r="B309" i="15"/>
  <c r="C309" i="15"/>
  <c r="D309" i="15"/>
  <c r="E309" i="15"/>
  <c r="F309" i="15"/>
  <c r="K309" i="15"/>
  <c r="L309" i="15"/>
  <c r="O309" i="15"/>
  <c r="P309" i="15"/>
  <c r="Q309" i="15"/>
  <c r="R309" i="15"/>
  <c r="S309" i="15"/>
  <c r="T309" i="15"/>
  <c r="U309" i="15"/>
  <c r="V309" i="15"/>
  <c r="D310" i="15"/>
  <c r="L310" i="15"/>
  <c r="M310" i="15"/>
  <c r="D311" i="15"/>
  <c r="E311" i="15"/>
  <c r="F311" i="15"/>
  <c r="D323" i="15"/>
  <c r="D322" i="15"/>
  <c r="D321" i="15"/>
  <c r="D315" i="15"/>
  <c r="D314" i="15"/>
  <c r="D313" i="15"/>
  <c r="D312" i="15"/>
  <c r="O303" i="15"/>
  <c r="O304" i="15"/>
  <c r="O305" i="15"/>
  <c r="O306" i="15"/>
  <c r="O302" i="15"/>
  <c r="B299" i="15"/>
  <c r="C299" i="15"/>
  <c r="D299" i="15"/>
  <c r="E299" i="15"/>
  <c r="F299" i="15"/>
  <c r="K299" i="15"/>
  <c r="L299" i="15"/>
  <c r="O299" i="15"/>
  <c r="P299" i="15"/>
  <c r="Q299" i="15"/>
  <c r="R299" i="15"/>
  <c r="S299" i="15"/>
  <c r="T299" i="15"/>
  <c r="U299" i="15"/>
  <c r="V299" i="15"/>
  <c r="D300" i="15"/>
  <c r="L300" i="15"/>
  <c r="M300" i="15"/>
  <c r="D301" i="15"/>
  <c r="E301" i="15"/>
  <c r="F301" i="15"/>
  <c r="D306" i="15"/>
  <c r="D305" i="15"/>
  <c r="D304" i="15"/>
  <c r="D303" i="15"/>
  <c r="D302" i="15"/>
  <c r="O289" i="15"/>
  <c r="O290" i="15"/>
  <c r="O291" i="15"/>
  <c r="O292" i="15"/>
  <c r="O293" i="15"/>
  <c r="O294" i="15"/>
  <c r="O295" i="15"/>
  <c r="O296" i="15"/>
  <c r="O288" i="15"/>
  <c r="B285" i="15"/>
  <c r="C285" i="15"/>
  <c r="D285" i="15"/>
  <c r="E285" i="15"/>
  <c r="F285" i="15"/>
  <c r="K285" i="15"/>
  <c r="L285" i="15"/>
  <c r="O285" i="15"/>
  <c r="P285" i="15"/>
  <c r="Q285" i="15"/>
  <c r="R285" i="15"/>
  <c r="S285" i="15"/>
  <c r="T285" i="15"/>
  <c r="U285" i="15"/>
  <c r="V285" i="15"/>
  <c r="D286" i="15"/>
  <c r="L286" i="15"/>
  <c r="M286" i="15"/>
  <c r="D287" i="15"/>
  <c r="E287" i="15"/>
  <c r="F287" i="15"/>
  <c r="D296" i="15"/>
  <c r="D295" i="15"/>
  <c r="D294" i="15"/>
  <c r="D293" i="15"/>
  <c r="D292" i="15"/>
  <c r="D291" i="15"/>
  <c r="D290" i="15"/>
  <c r="D289" i="15"/>
  <c r="D288" i="15"/>
  <c r="J58" i="15"/>
  <c r="J57" i="15"/>
  <c r="J56" i="15"/>
  <c r="B268" i="15"/>
  <c r="C268" i="15"/>
  <c r="D268" i="15"/>
  <c r="E268" i="15"/>
  <c r="F268" i="15"/>
  <c r="K268" i="15"/>
  <c r="L268" i="15"/>
  <c r="D269" i="15"/>
  <c r="L269" i="15"/>
  <c r="M269" i="15"/>
  <c r="D270" i="15"/>
  <c r="E270" i="15"/>
  <c r="F270" i="15"/>
  <c r="B259" i="15"/>
  <c r="C259" i="15"/>
  <c r="D259" i="15"/>
  <c r="E259" i="15"/>
  <c r="F259" i="15"/>
  <c r="K259" i="15"/>
  <c r="L259" i="15"/>
  <c r="D260" i="15"/>
  <c r="L260" i="15"/>
  <c r="M260" i="15"/>
  <c r="D261" i="15"/>
  <c r="E261" i="15"/>
  <c r="F261" i="15"/>
  <c r="B252" i="15"/>
  <c r="C252" i="15"/>
  <c r="D252" i="15"/>
  <c r="E252" i="15"/>
  <c r="F252" i="15"/>
  <c r="K252" i="15"/>
  <c r="L252" i="15"/>
  <c r="D253" i="15"/>
  <c r="L253" i="15"/>
  <c r="M253" i="15"/>
  <c r="D254" i="15"/>
  <c r="E254" i="15"/>
  <c r="F254" i="15"/>
  <c r="B244" i="15"/>
  <c r="C244" i="15"/>
  <c r="D244" i="15"/>
  <c r="E244" i="15"/>
  <c r="F244" i="15"/>
  <c r="K244" i="15"/>
  <c r="L244" i="15"/>
  <c r="D245" i="15"/>
  <c r="L245" i="15"/>
  <c r="M245" i="15"/>
  <c r="D246" i="15"/>
  <c r="E246" i="15"/>
  <c r="F246" i="15"/>
  <c r="B231" i="15"/>
  <c r="C231" i="15"/>
  <c r="D231" i="15"/>
  <c r="E231" i="15"/>
  <c r="F231" i="15"/>
  <c r="K231" i="15"/>
  <c r="L231" i="15"/>
  <c r="D232" i="15"/>
  <c r="L232" i="15"/>
  <c r="M232" i="15"/>
  <c r="D233" i="15"/>
  <c r="E233" i="15"/>
  <c r="F233" i="15"/>
  <c r="B67" i="15"/>
  <c r="C67" i="15"/>
  <c r="D67" i="15"/>
  <c r="E67" i="15"/>
  <c r="F67" i="15"/>
  <c r="K67" i="15"/>
  <c r="L67" i="15"/>
  <c r="D68" i="15"/>
  <c r="L68" i="15"/>
  <c r="M68" i="15"/>
  <c r="D69" i="15"/>
  <c r="E69" i="15"/>
  <c r="F69" i="15"/>
  <c r="B51" i="15"/>
  <c r="C51" i="15"/>
  <c r="D51" i="15"/>
  <c r="E51" i="15"/>
  <c r="F51" i="15"/>
  <c r="K51" i="15"/>
  <c r="L51" i="15"/>
  <c r="D52" i="15"/>
  <c r="L52" i="15"/>
  <c r="M52" i="15"/>
  <c r="D53" i="15"/>
  <c r="E53" i="15"/>
  <c r="F53" i="15"/>
  <c r="B38" i="15"/>
  <c r="C38" i="15"/>
  <c r="D38" i="15"/>
  <c r="E38" i="15"/>
  <c r="F38" i="15"/>
  <c r="K38" i="15"/>
  <c r="L38" i="15"/>
  <c r="D39" i="15"/>
  <c r="L39" i="15"/>
  <c r="M39" i="15"/>
  <c r="D40" i="15"/>
  <c r="E40" i="15"/>
  <c r="F40" i="15"/>
  <c r="B28" i="15"/>
  <c r="B354" i="15" s="1"/>
  <c r="C28" i="15"/>
  <c r="C354" i="15" s="1"/>
  <c r="D28" i="15"/>
  <c r="D354" i="15" s="1"/>
  <c r="E28" i="15"/>
  <c r="E354" i="15" s="1"/>
  <c r="F28" i="15"/>
  <c r="F354" i="15" s="1"/>
  <c r="K28" i="15"/>
  <c r="K354" i="15" s="1"/>
  <c r="L28" i="15"/>
  <c r="L354" i="15" s="1"/>
  <c r="D29" i="15"/>
  <c r="D355" i="15" s="1"/>
  <c r="L29" i="15"/>
  <c r="L355" i="15" s="1"/>
  <c r="M29" i="15"/>
  <c r="M355" i="15" s="1"/>
  <c r="D30" i="15"/>
  <c r="D356" i="15" s="1"/>
  <c r="E30" i="15"/>
  <c r="E356" i="15" s="1"/>
  <c r="F30" i="15"/>
  <c r="F356" i="15" s="1"/>
  <c r="BG117" i="12" l="1"/>
  <c r="BD117" i="12" s="1"/>
  <c r="BC117" i="12"/>
  <c r="BG116" i="12"/>
  <c r="BD116" i="12" s="1"/>
  <c r="BC116" i="12"/>
  <c r="BG115" i="12"/>
  <c r="BD115" i="12" s="1"/>
  <c r="BC115" i="12"/>
  <c r="BG93" i="12"/>
  <c r="BD93" i="12" s="1"/>
  <c r="BC93" i="12"/>
  <c r="BG90" i="12"/>
  <c r="BD90" i="12" s="1"/>
  <c r="BC90" i="12"/>
  <c r="BG92" i="12"/>
  <c r="BD92" i="12" s="1"/>
  <c r="BC92" i="12"/>
  <c r="BG97" i="12"/>
  <c r="BD97" i="12" s="1"/>
  <c r="BC97" i="12"/>
  <c r="BG89" i="12"/>
  <c r="BD89" i="12" s="1"/>
  <c r="BC89" i="12"/>
  <c r="BG94" i="12"/>
  <c r="BD94" i="12" s="1"/>
  <c r="BC94" i="12"/>
  <c r="BG98" i="12"/>
  <c r="BD98" i="12" s="1"/>
  <c r="BC98" i="12"/>
  <c r="BG96" i="12"/>
  <c r="BD96" i="12" s="1"/>
  <c r="BC96" i="12"/>
  <c r="P74" i="7"/>
  <c r="Q74" i="7" s="1"/>
  <c r="D14" i="15" l="1"/>
  <c r="D13" i="15"/>
  <c r="D12" i="15"/>
  <c r="D11" i="15"/>
  <c r="D10" i="15"/>
  <c r="D9" i="15"/>
  <c r="D25" i="15"/>
  <c r="D24" i="15"/>
  <c r="D23" i="15"/>
  <c r="D22" i="15"/>
  <c r="D21" i="15"/>
  <c r="D20" i="15"/>
  <c r="D36" i="15"/>
  <c r="D35" i="15"/>
  <c r="D34" i="15"/>
  <c r="D33" i="15"/>
  <c r="D32" i="15"/>
  <c r="D31" i="15"/>
  <c r="D48" i="15"/>
  <c r="D47" i="15"/>
  <c r="D46" i="15"/>
  <c r="D45" i="15"/>
  <c r="D44" i="15"/>
  <c r="D43" i="15"/>
  <c r="D42" i="15"/>
  <c r="D41" i="15"/>
  <c r="D64" i="15"/>
  <c r="D63" i="15"/>
  <c r="D62" i="15"/>
  <c r="D61" i="15"/>
  <c r="D60" i="15"/>
  <c r="D59" i="15"/>
  <c r="D58" i="15"/>
  <c r="D57" i="15"/>
  <c r="D56" i="15"/>
  <c r="D55" i="15"/>
  <c r="D54" i="15"/>
  <c r="D78" i="15"/>
  <c r="D77" i="15"/>
  <c r="D76" i="15"/>
  <c r="D75" i="15"/>
  <c r="D74" i="15"/>
  <c r="D73" i="15"/>
  <c r="D72" i="15"/>
  <c r="D71" i="15"/>
  <c r="D70" i="15"/>
  <c r="D241" i="15"/>
  <c r="D240" i="15"/>
  <c r="D239" i="15"/>
  <c r="D238" i="15"/>
  <c r="D237" i="15"/>
  <c r="D236" i="15"/>
  <c r="D235" i="15"/>
  <c r="D234" i="15"/>
  <c r="D249" i="15"/>
  <c r="D248" i="15"/>
  <c r="D247" i="15"/>
  <c r="D256" i="15"/>
  <c r="D255" i="15"/>
  <c r="D265" i="15"/>
  <c r="D264" i="15"/>
  <c r="D263" i="15"/>
  <c r="D262" i="15"/>
  <c r="D272" i="15"/>
  <c r="D271" i="15"/>
  <c r="D274" i="15"/>
  <c r="D275" i="15"/>
  <c r="D276" i="15"/>
  <c r="D277" i="15"/>
  <c r="D278" i="15"/>
  <c r="D279" i="15"/>
  <c r="D280" i="15"/>
  <c r="D281" i="15"/>
  <c r="D282" i="15"/>
  <c r="D273" i="15"/>
  <c r="A6" i="9"/>
  <c r="A5" i="9"/>
  <c r="A18" i="9"/>
  <c r="A19" i="9"/>
  <c r="AX11" i="9"/>
  <c r="AX12" i="9"/>
  <c r="AX24" i="9"/>
  <c r="AX25" i="9"/>
  <c r="AX46" i="9"/>
  <c r="AX47" i="9"/>
  <c r="AX50" i="9"/>
  <c r="AX51" i="9"/>
  <c r="AX112" i="9"/>
  <c r="AX113" i="9"/>
  <c r="AX153" i="9"/>
  <c r="AX154" i="9"/>
  <c r="AX200" i="9"/>
  <c r="AX201" i="9"/>
  <c r="AX231" i="9"/>
  <c r="AX232" i="9"/>
  <c r="AX246" i="9"/>
  <c r="AX247" i="9"/>
  <c r="AX282" i="9"/>
  <c r="AX300" i="9"/>
  <c r="AX301" i="9"/>
  <c r="AX310" i="9"/>
  <c r="AX311" i="9"/>
  <c r="AW11" i="9"/>
  <c r="AW12" i="9"/>
  <c r="AW24" i="9"/>
  <c r="AW25" i="9"/>
  <c r="AW46" i="9"/>
  <c r="AW47" i="9"/>
  <c r="AW50" i="9"/>
  <c r="AW51" i="9"/>
  <c r="AW112" i="9"/>
  <c r="AW113" i="9"/>
  <c r="AW153" i="9"/>
  <c r="AW154" i="9"/>
  <c r="AW200" i="9"/>
  <c r="AW201" i="9"/>
  <c r="AW231" i="9"/>
  <c r="AW232" i="9"/>
  <c r="AW246" i="9"/>
  <c r="AW247" i="9"/>
  <c r="AW282" i="9"/>
  <c r="AW300" i="9"/>
  <c r="AW301" i="9"/>
  <c r="AW310" i="9"/>
  <c r="AW311" i="9"/>
  <c r="A24" i="9"/>
  <c r="A23" i="9"/>
  <c r="A22" i="9"/>
  <c r="A21" i="9"/>
  <c r="A20" i="9"/>
  <c r="A11" i="9"/>
  <c r="A10" i="9"/>
  <c r="A9" i="9"/>
  <c r="A8" i="9"/>
  <c r="A7" i="9"/>
  <c r="R268" i="15"/>
  <c r="R259" i="15"/>
  <c r="R252" i="15"/>
  <c r="R244" i="15"/>
  <c r="R231" i="15"/>
  <c r="R67" i="15"/>
  <c r="R51" i="15"/>
  <c r="R38" i="15"/>
  <c r="R28" i="15"/>
  <c r="R354" i="15" s="1"/>
  <c r="R17" i="15"/>
  <c r="S17" i="15"/>
  <c r="T17" i="15"/>
  <c r="AX12" i="7"/>
  <c r="AX17" i="7"/>
  <c r="AX39" i="7"/>
  <c r="AX40" i="7"/>
  <c r="AX67" i="7"/>
  <c r="AX68" i="7"/>
  <c r="AX74" i="7"/>
  <c r="AX75" i="7"/>
  <c r="AW12" i="7"/>
  <c r="AW17" i="7"/>
  <c r="AW39" i="7"/>
  <c r="AW40" i="7"/>
  <c r="AW67" i="7"/>
  <c r="AW68" i="7"/>
  <c r="AW74" i="7"/>
  <c r="AW75" i="7"/>
  <c r="O268" i="15"/>
  <c r="P268" i="15"/>
  <c r="Q268" i="15"/>
  <c r="S268" i="15"/>
  <c r="T268" i="15"/>
  <c r="U268" i="15"/>
  <c r="V268" i="15"/>
  <c r="BH79" i="3" l="1"/>
  <c r="BE79" i="3" s="1"/>
  <c r="BH16" i="12"/>
  <c r="BE16" i="12" s="1"/>
  <c r="BH27" i="12"/>
  <c r="BE27" i="12" s="1"/>
  <c r="BH28" i="12"/>
  <c r="BE28" i="12" s="1"/>
  <c r="BH37" i="12"/>
  <c r="BE37" i="12" s="1"/>
  <c r="BH38" i="12"/>
  <c r="BE38" i="12" s="1"/>
  <c r="O236" i="15"/>
  <c r="O237" i="15"/>
  <c r="BL169" i="8" l="1"/>
  <c r="BK169" i="8"/>
  <c r="BJ169" i="8"/>
  <c r="BI169" i="8"/>
  <c r="AR169" i="8"/>
  <c r="AS169" i="8" s="1"/>
  <c r="BB169" i="8" s="1"/>
  <c r="AE169" i="8"/>
  <c r="BA169" i="8" s="1"/>
  <c r="AC169" i="8"/>
  <c r="AZ169" i="8" s="1"/>
  <c r="AA169" i="8"/>
  <c r="Y169" i="8"/>
  <c r="AY169" i="8" s="1"/>
  <c r="W169" i="8"/>
  <c r="AX169" i="8" s="1"/>
  <c r="U169" i="8"/>
  <c r="AW169" i="8" s="1"/>
  <c r="S169" i="8"/>
  <c r="AV169" i="8" s="1"/>
  <c r="Q169" i="8"/>
  <c r="AU169" i="8" s="1"/>
  <c r="O169" i="8"/>
  <c r="AT169" i="8" s="1"/>
  <c r="B169" i="8"/>
  <c r="A169" i="8"/>
  <c r="BL168" i="8"/>
  <c r="BK168" i="8"/>
  <c r="BJ168" i="8"/>
  <c r="BI168" i="8"/>
  <c r="AR168" i="8"/>
  <c r="BH168" i="8" s="1"/>
  <c r="BE168" i="8" s="1"/>
  <c r="AE168" i="8"/>
  <c r="BA168" i="8" s="1"/>
  <c r="AC168" i="8"/>
  <c r="AZ168" i="8" s="1"/>
  <c r="AA168" i="8"/>
  <c r="Y168" i="8"/>
  <c r="AY168" i="8" s="1"/>
  <c r="W168" i="8"/>
  <c r="AX168" i="8" s="1"/>
  <c r="U168" i="8"/>
  <c r="AW168" i="8" s="1"/>
  <c r="S168" i="8"/>
  <c r="AV168" i="8" s="1"/>
  <c r="Q168" i="8"/>
  <c r="AU168" i="8" s="1"/>
  <c r="O168" i="8"/>
  <c r="AT168" i="8" s="1"/>
  <c r="B168" i="8"/>
  <c r="A168" i="8"/>
  <c r="BL167" i="8"/>
  <c r="BK167" i="8"/>
  <c r="BJ167" i="8"/>
  <c r="BI167" i="8"/>
  <c r="AR167" i="8"/>
  <c r="AS167" i="8" s="1"/>
  <c r="BB167" i="8" s="1"/>
  <c r="AE167" i="8"/>
  <c r="BA167" i="8" s="1"/>
  <c r="AC167" i="8"/>
  <c r="AZ167" i="8" s="1"/>
  <c r="AA167" i="8"/>
  <c r="Y167" i="8"/>
  <c r="AY167" i="8" s="1"/>
  <c r="W167" i="8"/>
  <c r="AX167" i="8" s="1"/>
  <c r="U167" i="8"/>
  <c r="AW167" i="8" s="1"/>
  <c r="S167" i="8"/>
  <c r="AV167" i="8" s="1"/>
  <c r="Q167" i="8"/>
  <c r="AU167" i="8" s="1"/>
  <c r="O167" i="8"/>
  <c r="AT167" i="8" s="1"/>
  <c r="B167" i="8"/>
  <c r="A167" i="8"/>
  <c r="BL166" i="8"/>
  <c r="BK166" i="8"/>
  <c r="BJ166" i="8"/>
  <c r="BI166" i="8"/>
  <c r="AR166" i="8"/>
  <c r="BH166" i="8" s="1"/>
  <c r="BE166" i="8" s="1"/>
  <c r="AE166" i="8"/>
  <c r="BA166" i="8" s="1"/>
  <c r="AC166" i="8"/>
  <c r="AZ166" i="8" s="1"/>
  <c r="AA166" i="8"/>
  <c r="Y166" i="8"/>
  <c r="AY166" i="8" s="1"/>
  <c r="W166" i="8"/>
  <c r="AX166" i="8" s="1"/>
  <c r="U166" i="8"/>
  <c r="AW166" i="8" s="1"/>
  <c r="S166" i="8"/>
  <c r="AV166" i="8" s="1"/>
  <c r="Q166" i="8"/>
  <c r="AU166" i="8" s="1"/>
  <c r="O166" i="8"/>
  <c r="AT166" i="8" s="1"/>
  <c r="B166" i="8"/>
  <c r="A166" i="8"/>
  <c r="BL165" i="8"/>
  <c r="BK165" i="8"/>
  <c r="BJ165" i="8"/>
  <c r="BI165" i="8"/>
  <c r="AV165" i="8"/>
  <c r="AU165" i="8"/>
  <c r="AT165" i="8"/>
  <c r="AR165" i="8"/>
  <c r="BH165" i="8" s="1"/>
  <c r="BE165" i="8" s="1"/>
  <c r="AE165" i="8"/>
  <c r="BA165" i="8" s="1"/>
  <c r="AC165" i="8"/>
  <c r="AZ165" i="8" s="1"/>
  <c r="AA165" i="8"/>
  <c r="Y165" i="8"/>
  <c r="AY165" i="8" s="1"/>
  <c r="W165" i="8"/>
  <c r="AX165" i="8" s="1"/>
  <c r="U165" i="8"/>
  <c r="AW165" i="8" s="1"/>
  <c r="S165" i="8"/>
  <c r="Q165" i="8"/>
  <c r="O165" i="8"/>
  <c r="B165" i="8"/>
  <c r="A165" i="8"/>
  <c r="O259" i="15"/>
  <c r="P259" i="15"/>
  <c r="Q259" i="15"/>
  <c r="S259" i="15"/>
  <c r="T259" i="15"/>
  <c r="U259" i="15"/>
  <c r="V259" i="15"/>
  <c r="O252" i="15"/>
  <c r="P252" i="15"/>
  <c r="Q252" i="15"/>
  <c r="S252" i="15"/>
  <c r="T252" i="15"/>
  <c r="U252" i="15"/>
  <c r="V252" i="15"/>
  <c r="O244" i="15"/>
  <c r="P244" i="15"/>
  <c r="Q244" i="15"/>
  <c r="S244" i="15"/>
  <c r="T244" i="15"/>
  <c r="U244" i="15"/>
  <c r="V244" i="15"/>
  <c r="O231" i="15"/>
  <c r="P231" i="15"/>
  <c r="Q231" i="15"/>
  <c r="S231" i="15"/>
  <c r="T231" i="15"/>
  <c r="U231" i="15"/>
  <c r="V231" i="15"/>
  <c r="O67" i="15"/>
  <c r="P67" i="15"/>
  <c r="Q67" i="15"/>
  <c r="S67" i="15"/>
  <c r="T67" i="15"/>
  <c r="U67" i="15"/>
  <c r="V67" i="15"/>
  <c r="O51" i="15"/>
  <c r="P51" i="15"/>
  <c r="Q51" i="15"/>
  <c r="S51" i="15"/>
  <c r="T51" i="15"/>
  <c r="U51" i="15"/>
  <c r="V51" i="15"/>
  <c r="O38" i="15"/>
  <c r="P38" i="15"/>
  <c r="Q38" i="15"/>
  <c r="S38" i="15"/>
  <c r="T38" i="15"/>
  <c r="U38" i="15"/>
  <c r="V38" i="15"/>
  <c r="O28" i="15"/>
  <c r="O354" i="15" s="1"/>
  <c r="P28" i="15"/>
  <c r="P354" i="15" s="1"/>
  <c r="Q28" i="15"/>
  <c r="Q354" i="15" s="1"/>
  <c r="S28" i="15"/>
  <c r="S354" i="15" s="1"/>
  <c r="T28" i="15"/>
  <c r="T354" i="15" s="1"/>
  <c r="U28" i="15"/>
  <c r="U354" i="15" s="1"/>
  <c r="V28" i="15"/>
  <c r="V354" i="15" s="1"/>
  <c r="O17" i="15"/>
  <c r="P17" i="15"/>
  <c r="Q17" i="15"/>
  <c r="U17" i="15"/>
  <c r="V17" i="15"/>
  <c r="O235" i="15"/>
  <c r="BL24" i="8"/>
  <c r="BK24" i="8"/>
  <c r="BJ24" i="8"/>
  <c r="BI24" i="8"/>
  <c r="AR24" i="8"/>
  <c r="AS24" i="8" s="1"/>
  <c r="BB24" i="8" s="1"/>
  <c r="AE24" i="8"/>
  <c r="BA24" i="8" s="1"/>
  <c r="AC24" i="8"/>
  <c r="AZ24" i="8" s="1"/>
  <c r="AA24" i="8"/>
  <c r="Y24" i="8"/>
  <c r="AY24" i="8" s="1"/>
  <c r="W24" i="8"/>
  <c r="AX24" i="8" s="1"/>
  <c r="U24" i="8"/>
  <c r="AW24" i="8" s="1"/>
  <c r="S24" i="8"/>
  <c r="AV24" i="8" s="1"/>
  <c r="Q24" i="8"/>
  <c r="AU24" i="8" s="1"/>
  <c r="O24" i="8"/>
  <c r="AT24" i="8" s="1"/>
  <c r="B24" i="8"/>
  <c r="A24" i="8"/>
  <c r="BL23" i="8"/>
  <c r="BK23" i="8"/>
  <c r="BJ23" i="8"/>
  <c r="BI23" i="8"/>
  <c r="AR23" i="8"/>
  <c r="AS23" i="8" s="1"/>
  <c r="BB23" i="8" s="1"/>
  <c r="AE23" i="8"/>
  <c r="BA23" i="8" s="1"/>
  <c r="AC23" i="8"/>
  <c r="AZ23" i="8" s="1"/>
  <c r="AA23" i="8"/>
  <c r="Y23" i="8"/>
  <c r="AY23" i="8" s="1"/>
  <c r="W23" i="8"/>
  <c r="AX23" i="8" s="1"/>
  <c r="U23" i="8"/>
  <c r="AW23" i="8" s="1"/>
  <c r="S23" i="8"/>
  <c r="AV23" i="8" s="1"/>
  <c r="Q23" i="8"/>
  <c r="AU23" i="8" s="1"/>
  <c r="O23" i="8"/>
  <c r="AT23" i="8" s="1"/>
  <c r="A23" i="8"/>
  <c r="A112" i="19"/>
  <c r="A113" i="19"/>
  <c r="A114" i="19"/>
  <c r="A115" i="19"/>
  <c r="A116" i="19"/>
  <c r="A111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72" i="19"/>
  <c r="A356" i="19"/>
  <c r="A357" i="19"/>
  <c r="A358" i="19"/>
  <c r="A359" i="19"/>
  <c r="A360" i="19"/>
  <c r="A361" i="19"/>
  <c r="A362" i="19"/>
  <c r="A363" i="19"/>
  <c r="A364" i="19"/>
  <c r="A365" i="19"/>
  <c r="A366" i="19"/>
  <c r="A367" i="19"/>
  <c r="A368" i="19"/>
  <c r="A369" i="19"/>
  <c r="A370" i="19"/>
  <c r="A371" i="19"/>
  <c r="A372" i="19"/>
  <c r="A373" i="19"/>
  <c r="A355" i="19"/>
  <c r="A382" i="19"/>
  <c r="A374" i="19"/>
  <c r="A375" i="19"/>
  <c r="A376" i="19"/>
  <c r="A377" i="19"/>
  <c r="A378" i="19"/>
  <c r="A379" i="19"/>
  <c r="A380" i="19"/>
  <c r="L374" i="19" l="1"/>
  <c r="L376" i="19"/>
  <c r="L370" i="19"/>
  <c r="L367" i="19"/>
  <c r="L86" i="19"/>
  <c r="L362" i="19"/>
  <c r="L92" i="19"/>
  <c r="L372" i="19"/>
  <c r="L115" i="19"/>
  <c r="L76" i="19"/>
  <c r="L94" i="19"/>
  <c r="L88" i="19"/>
  <c r="L99" i="19"/>
  <c r="L83" i="19"/>
  <c r="L78" i="19"/>
  <c r="L91" i="19"/>
  <c r="L75" i="19"/>
  <c r="L359" i="19"/>
  <c r="L369" i="19"/>
  <c r="L377" i="19"/>
  <c r="L379" i="19"/>
  <c r="L365" i="19"/>
  <c r="L97" i="19"/>
  <c r="L81" i="19"/>
  <c r="L363" i="19"/>
  <c r="L95" i="19"/>
  <c r="L79" i="19"/>
  <c r="L375" i="19"/>
  <c r="L361" i="19"/>
  <c r="L93" i="19"/>
  <c r="L77" i="19"/>
  <c r="L382" i="19"/>
  <c r="L89" i="19"/>
  <c r="L85" i="19"/>
  <c r="L114" i="19"/>
  <c r="L101" i="19"/>
  <c r="L378" i="19"/>
  <c r="L364" i="19"/>
  <c r="L96" i="19"/>
  <c r="L80" i="19"/>
  <c r="L360" i="19"/>
  <c r="L358" i="19"/>
  <c r="L90" i="19"/>
  <c r="L74" i="19"/>
  <c r="L373" i="19"/>
  <c r="L357" i="19"/>
  <c r="L73" i="19"/>
  <c r="L356" i="19"/>
  <c r="L371" i="19"/>
  <c r="L87" i="19"/>
  <c r="L368" i="19"/>
  <c r="L100" i="19"/>
  <c r="L84" i="19"/>
  <c r="L113" i="19"/>
  <c r="L112" i="19"/>
  <c r="L380" i="19"/>
  <c r="L366" i="19"/>
  <c r="L98" i="19"/>
  <c r="L82" i="19"/>
  <c r="AS165" i="8"/>
  <c r="BB165" i="8" s="1"/>
  <c r="BF165" i="8" s="1"/>
  <c r="BG165" i="8" s="1"/>
  <c r="AS166" i="8"/>
  <c r="BB166" i="8" s="1"/>
  <c r="BF166" i="8" s="1"/>
  <c r="BG166" i="8" s="1"/>
  <c r="BH169" i="8"/>
  <c r="BE169" i="8" s="1"/>
  <c r="AS168" i="8"/>
  <c r="BB168" i="8" s="1"/>
  <c r="BF168" i="8" s="1"/>
  <c r="BG168" i="8" s="1"/>
  <c r="BF167" i="8"/>
  <c r="BG167" i="8" s="1"/>
  <c r="BF169" i="8"/>
  <c r="BG169" i="8" s="1"/>
  <c r="BH167" i="8"/>
  <c r="BE167" i="8" s="1"/>
  <c r="BH23" i="8"/>
  <c r="BE23" i="8" s="1"/>
  <c r="BH24" i="8"/>
  <c r="BE24" i="8" s="1"/>
  <c r="BF23" i="8"/>
  <c r="BG23" i="8" s="1"/>
  <c r="BF24" i="8"/>
  <c r="BG24" i="8" s="1"/>
  <c r="BC165" i="8" l="1"/>
  <c r="BD165" i="8"/>
  <c r="BD166" i="8"/>
  <c r="BC166" i="8"/>
  <c r="BD169" i="8"/>
  <c r="BC169" i="8"/>
  <c r="BD168" i="8"/>
  <c r="BC168" i="8"/>
  <c r="BD167" i="8"/>
  <c r="BC167" i="8"/>
  <c r="BD23" i="8"/>
  <c r="BC23" i="8"/>
  <c r="BD24" i="8"/>
  <c r="BC24" i="8"/>
  <c r="B81" i="3" l="1"/>
  <c r="A81" i="3"/>
  <c r="B80" i="3"/>
  <c r="A80" i="3"/>
  <c r="B79" i="3"/>
  <c r="A79" i="3"/>
  <c r="B76" i="3"/>
  <c r="A76" i="3"/>
  <c r="B75" i="3"/>
  <c r="A75" i="3"/>
  <c r="B74" i="3"/>
  <c r="A74" i="3"/>
  <c r="B73" i="3"/>
  <c r="A73" i="3"/>
  <c r="B72" i="3"/>
  <c r="A72" i="3"/>
  <c r="B71" i="3"/>
  <c r="A71" i="3"/>
  <c r="B70" i="3"/>
  <c r="A70" i="3"/>
  <c r="B69" i="3"/>
  <c r="A69" i="3"/>
  <c r="B68" i="3"/>
  <c r="A68" i="3"/>
  <c r="B67" i="3"/>
  <c r="A67" i="3"/>
  <c r="B66" i="3"/>
  <c r="A66" i="3"/>
  <c r="B65" i="3"/>
  <c r="A65" i="3"/>
  <c r="B64" i="3"/>
  <c r="A64" i="3"/>
  <c r="B63" i="3"/>
  <c r="A63" i="3"/>
  <c r="B62" i="3"/>
  <c r="A62" i="3"/>
  <c r="B61" i="3"/>
  <c r="A61" i="3"/>
  <c r="B60" i="3"/>
  <c r="A60" i="3"/>
  <c r="B59" i="3"/>
  <c r="A59" i="3"/>
  <c r="B58" i="3"/>
  <c r="A58" i="3"/>
  <c r="B56" i="3"/>
  <c r="A56" i="3"/>
  <c r="B55" i="3"/>
  <c r="A55" i="3"/>
  <c r="B54" i="3"/>
  <c r="A54" i="3"/>
  <c r="B53" i="3"/>
  <c r="A53" i="3"/>
  <c r="B52" i="3"/>
  <c r="A52" i="3"/>
  <c r="B51" i="3"/>
  <c r="A51" i="3"/>
  <c r="B50" i="3"/>
  <c r="A50" i="3"/>
  <c r="B49" i="3"/>
  <c r="A49" i="3"/>
  <c r="B48" i="3"/>
  <c r="A48" i="3"/>
  <c r="B47" i="3"/>
  <c r="A47" i="3"/>
  <c r="B46" i="3"/>
  <c r="A46" i="3"/>
  <c r="B45" i="3"/>
  <c r="A45" i="3"/>
  <c r="B44" i="3"/>
  <c r="A44" i="3"/>
  <c r="B43" i="3"/>
  <c r="A43" i="3"/>
  <c r="B42" i="3"/>
  <c r="A42" i="3"/>
  <c r="B41" i="3"/>
  <c r="A41" i="3"/>
  <c r="B40" i="3"/>
  <c r="A40" i="3"/>
  <c r="B39" i="3"/>
  <c r="A39" i="3"/>
  <c r="B38" i="3"/>
  <c r="A38" i="3"/>
  <c r="B37" i="3"/>
  <c r="A37" i="3"/>
  <c r="B36" i="3"/>
  <c r="A36" i="3"/>
  <c r="B35" i="3"/>
  <c r="A35" i="3"/>
  <c r="B34" i="3"/>
  <c r="A34" i="3"/>
  <c r="B33" i="3"/>
  <c r="A33" i="3"/>
  <c r="B32" i="3"/>
  <c r="A32" i="3"/>
  <c r="B31" i="3"/>
  <c r="A31" i="3"/>
  <c r="B30" i="3"/>
  <c r="A30" i="3"/>
  <c r="B29" i="3"/>
  <c r="A29" i="3"/>
  <c r="B28" i="3"/>
  <c r="A28" i="3"/>
  <c r="B27" i="3"/>
  <c r="A27" i="3"/>
  <c r="B26" i="3"/>
  <c r="A26" i="3"/>
  <c r="B25" i="3"/>
  <c r="A25" i="3"/>
  <c r="B24" i="3"/>
  <c r="A24" i="3"/>
  <c r="B23" i="3"/>
  <c r="A23" i="3"/>
  <c r="B22" i="3"/>
  <c r="A22" i="3"/>
  <c r="B21" i="3"/>
  <c r="A21" i="3"/>
  <c r="B20" i="3"/>
  <c r="A20" i="3"/>
  <c r="B19" i="3"/>
  <c r="A19" i="3"/>
  <c r="B18" i="3"/>
  <c r="A18" i="3"/>
  <c r="B17" i="3"/>
  <c r="A17" i="3"/>
  <c r="B16" i="3"/>
  <c r="A16" i="3"/>
  <c r="B15" i="3"/>
  <c r="A15" i="3"/>
  <c r="B14" i="3"/>
  <c r="A14" i="3"/>
  <c r="B13" i="3"/>
  <c r="A13" i="3"/>
  <c r="B12" i="3"/>
  <c r="A12" i="3"/>
  <c r="B11" i="3"/>
  <c r="A11" i="3"/>
  <c r="B10" i="3"/>
  <c r="A10" i="3"/>
  <c r="B9" i="3"/>
  <c r="A9" i="3"/>
  <c r="B8" i="3"/>
  <c r="A8" i="3"/>
  <c r="B7" i="3"/>
  <c r="A7" i="3"/>
  <c r="B6" i="3"/>
  <c r="A6" i="3"/>
  <c r="B5" i="9"/>
  <c r="B6" i="9"/>
  <c r="B7" i="9"/>
  <c r="B8" i="9"/>
  <c r="B9" i="9"/>
  <c r="B10" i="9"/>
  <c r="B11" i="9"/>
  <c r="B18" i="9"/>
  <c r="B19" i="9"/>
  <c r="B20" i="9"/>
  <c r="B21" i="9"/>
  <c r="B22" i="9"/>
  <c r="B23" i="9"/>
  <c r="B24" i="9"/>
  <c r="A47" i="9"/>
  <c r="B47" i="9"/>
  <c r="A48" i="9"/>
  <c r="B48" i="9"/>
  <c r="A49" i="9"/>
  <c r="B49" i="9"/>
  <c r="A51" i="9"/>
  <c r="B51" i="9"/>
  <c r="A52" i="9"/>
  <c r="B52" i="9"/>
  <c r="A53" i="9"/>
  <c r="B53" i="9"/>
  <c r="A54" i="9"/>
  <c r="B54" i="9"/>
  <c r="A55" i="9"/>
  <c r="B55" i="9"/>
  <c r="A56" i="9"/>
  <c r="B56" i="9"/>
  <c r="A57" i="9"/>
  <c r="B57" i="9"/>
  <c r="A58" i="9"/>
  <c r="B58" i="9"/>
  <c r="A59" i="9"/>
  <c r="B59" i="9"/>
  <c r="A60" i="9"/>
  <c r="B60" i="9"/>
  <c r="A61" i="9"/>
  <c r="B61" i="9"/>
  <c r="A62" i="9"/>
  <c r="B62" i="9"/>
  <c r="A63" i="9"/>
  <c r="B63" i="9"/>
  <c r="A64" i="9"/>
  <c r="B64" i="9"/>
  <c r="A65" i="9"/>
  <c r="B65" i="9"/>
  <c r="A66" i="9"/>
  <c r="B66" i="9"/>
  <c r="A67" i="9"/>
  <c r="B67" i="9"/>
  <c r="A68" i="9"/>
  <c r="B68" i="9"/>
  <c r="A69" i="9"/>
  <c r="B69" i="9"/>
  <c r="A70" i="9"/>
  <c r="B70" i="9"/>
  <c r="A71" i="9"/>
  <c r="B71" i="9"/>
  <c r="A72" i="9"/>
  <c r="B72" i="9"/>
  <c r="A73" i="9"/>
  <c r="B73" i="9"/>
  <c r="A74" i="9"/>
  <c r="B74" i="9"/>
  <c r="A75" i="9"/>
  <c r="B75" i="9"/>
  <c r="A76" i="9"/>
  <c r="B76" i="9"/>
  <c r="A77" i="9"/>
  <c r="B77" i="9"/>
  <c r="A78" i="9"/>
  <c r="B78" i="9"/>
  <c r="A79" i="9"/>
  <c r="B79" i="9"/>
  <c r="A80" i="9"/>
  <c r="B80" i="9"/>
  <c r="A81" i="9"/>
  <c r="B81" i="9"/>
  <c r="A82" i="9"/>
  <c r="B82" i="9"/>
  <c r="A83" i="9"/>
  <c r="B83" i="9"/>
  <c r="A84" i="9"/>
  <c r="B84" i="9"/>
  <c r="A85" i="9"/>
  <c r="B85" i="9"/>
  <c r="A86" i="9"/>
  <c r="B86" i="9"/>
  <c r="A87" i="9"/>
  <c r="B87" i="9"/>
  <c r="A88" i="9"/>
  <c r="B88" i="9"/>
  <c r="A89" i="9"/>
  <c r="B89" i="9"/>
  <c r="A90" i="9"/>
  <c r="B90" i="9"/>
  <c r="A91" i="9"/>
  <c r="B91" i="9"/>
  <c r="A92" i="9"/>
  <c r="B92" i="9"/>
  <c r="A93" i="9"/>
  <c r="B93" i="9"/>
  <c r="A94" i="9"/>
  <c r="B94" i="9"/>
  <c r="A95" i="9"/>
  <c r="B95" i="9"/>
  <c r="A96" i="9"/>
  <c r="B96" i="9"/>
  <c r="A97" i="9"/>
  <c r="B97" i="9"/>
  <c r="A98" i="9"/>
  <c r="B98" i="9"/>
  <c r="A99" i="9"/>
  <c r="B99" i="9"/>
  <c r="B232" i="9"/>
  <c r="B233" i="9"/>
  <c r="B234" i="9"/>
  <c r="B247" i="9"/>
  <c r="B248" i="9"/>
  <c r="B249" i="9"/>
  <c r="A250" i="9"/>
  <c r="B250" i="9"/>
  <c r="A251" i="9"/>
  <c r="B251" i="9"/>
  <c r="A252" i="9"/>
  <c r="B252" i="9"/>
  <c r="A253" i="9"/>
  <c r="B253" i="9"/>
  <c r="A254" i="9"/>
  <c r="B254" i="9"/>
  <c r="A255" i="9"/>
  <c r="B255" i="9"/>
  <c r="A256" i="9"/>
  <c r="B256" i="9"/>
  <c r="A257" i="9"/>
  <c r="B257" i="9"/>
  <c r="A258" i="9"/>
  <c r="B258" i="9"/>
  <c r="A259" i="9"/>
  <c r="B259" i="9"/>
  <c r="A260" i="9"/>
  <c r="B260" i="9"/>
  <c r="A261" i="9"/>
  <c r="B261" i="9"/>
  <c r="A262" i="9"/>
  <c r="B262" i="9"/>
  <c r="A263" i="9"/>
  <c r="B263" i="9"/>
  <c r="A264" i="9"/>
  <c r="B264" i="9"/>
  <c r="A265" i="9"/>
  <c r="B265" i="9"/>
  <c r="A266" i="9"/>
  <c r="B266" i="9"/>
  <c r="A267" i="9"/>
  <c r="B267" i="9"/>
  <c r="A268" i="9"/>
  <c r="B268" i="9"/>
  <c r="A269" i="9"/>
  <c r="B269" i="9"/>
  <c r="A270" i="9"/>
  <c r="B270" i="9"/>
  <c r="A271" i="9"/>
  <c r="B271" i="9"/>
  <c r="A272" i="9"/>
  <c r="B272" i="9"/>
  <c r="A273" i="9"/>
  <c r="B273" i="9"/>
  <c r="A274" i="9"/>
  <c r="B274" i="9"/>
  <c r="A275" i="9"/>
  <c r="B275" i="9"/>
  <c r="A276" i="9"/>
  <c r="B276" i="9"/>
  <c r="A277" i="9"/>
  <c r="B277" i="9"/>
  <c r="A278" i="9"/>
  <c r="B278" i="9"/>
  <c r="A279" i="9"/>
  <c r="B279" i="9"/>
  <c r="A280" i="9"/>
  <c r="B280" i="9"/>
  <c r="A281" i="9"/>
  <c r="B281" i="9"/>
  <c r="A282" i="9"/>
  <c r="B282" i="9"/>
  <c r="A283" i="9"/>
  <c r="B283" i="9"/>
  <c r="A284" i="9"/>
  <c r="B284" i="9"/>
  <c r="A285" i="9"/>
  <c r="B285" i="9"/>
  <c r="A286" i="9"/>
  <c r="B286" i="9"/>
  <c r="B301" i="9"/>
  <c r="B302" i="9"/>
  <c r="B303" i="9"/>
  <c r="B311" i="9"/>
  <c r="B312" i="9"/>
  <c r="B313" i="9"/>
  <c r="A314" i="9"/>
  <c r="B314" i="9"/>
  <c r="A315" i="9"/>
  <c r="B315" i="9"/>
  <c r="A316" i="9"/>
  <c r="B316" i="9"/>
  <c r="A317" i="9"/>
  <c r="B317" i="9"/>
  <c r="A318" i="9"/>
  <c r="B318" i="9"/>
  <c r="A319" i="9"/>
  <c r="B319" i="9"/>
  <c r="A320" i="9"/>
  <c r="B320" i="9"/>
  <c r="A321" i="9"/>
  <c r="B321" i="9"/>
  <c r="A322" i="9"/>
  <c r="B322" i="9"/>
  <c r="A323" i="9"/>
  <c r="B323" i="9"/>
  <c r="A324" i="9"/>
  <c r="B324" i="9"/>
  <c r="A325" i="9"/>
  <c r="B325" i="9"/>
  <c r="A326" i="9"/>
  <c r="B326" i="9"/>
  <c r="A327" i="9"/>
  <c r="B327" i="9"/>
  <c r="A328" i="9"/>
  <c r="B328" i="9"/>
  <c r="A329" i="9"/>
  <c r="B329" i="9"/>
  <c r="A330" i="9"/>
  <c r="B330" i="9"/>
  <c r="A331" i="9"/>
  <c r="B331" i="9"/>
  <c r="A332" i="9"/>
  <c r="B332" i="9"/>
  <c r="A333" i="9"/>
  <c r="B333" i="9"/>
  <c r="A334" i="9"/>
  <c r="B334" i="9"/>
  <c r="A335" i="9"/>
  <c r="B335" i="9"/>
  <c r="A336" i="9"/>
  <c r="B336" i="9"/>
  <c r="A337" i="9"/>
  <c r="B337" i="9"/>
  <c r="A338" i="9"/>
  <c r="B338" i="9"/>
  <c r="A339" i="9"/>
  <c r="B339" i="9"/>
  <c r="A340" i="9"/>
  <c r="B340" i="9"/>
  <c r="A341" i="9"/>
  <c r="B341" i="9"/>
  <c r="A342" i="9"/>
  <c r="B342" i="9"/>
  <c r="A343" i="9"/>
  <c r="B343" i="9"/>
  <c r="A344" i="9"/>
  <c r="B344" i="9"/>
  <c r="A345" i="9"/>
  <c r="B345" i="9"/>
  <c r="A346" i="9"/>
  <c r="B346" i="9"/>
  <c r="A347" i="9"/>
  <c r="B347" i="9"/>
  <c r="A348" i="9"/>
  <c r="B348" i="9"/>
  <c r="F47" i="10"/>
  <c r="F41" i="10"/>
  <c r="F59" i="10"/>
  <c r="F53" i="10"/>
  <c r="A30" i="19"/>
  <c r="A29" i="19"/>
  <c r="C15" i="6"/>
  <c r="D15" i="6" s="1"/>
  <c r="E15" i="6" s="1"/>
  <c r="F15" i="6" s="1"/>
  <c r="A5" i="8"/>
  <c r="B5" i="8"/>
  <c r="A6" i="8"/>
  <c r="B6" i="8"/>
  <c r="A7" i="8"/>
  <c r="B7" i="8"/>
  <c r="A8" i="8"/>
  <c r="B8" i="8"/>
  <c r="A9" i="8"/>
  <c r="B9" i="8"/>
  <c r="A10" i="8"/>
  <c r="B10" i="8"/>
  <c r="A11" i="8"/>
  <c r="B11" i="8"/>
  <c r="A12" i="8"/>
  <c r="B12" i="8"/>
  <c r="A13" i="8"/>
  <c r="B13" i="8"/>
  <c r="A14" i="8"/>
  <c r="B14" i="8"/>
  <c r="A15" i="8"/>
  <c r="B15" i="8"/>
  <c r="A16" i="8"/>
  <c r="B16" i="8"/>
  <c r="A17" i="8"/>
  <c r="B17" i="8"/>
  <c r="A18" i="8"/>
  <c r="B18" i="8"/>
  <c r="A19" i="8"/>
  <c r="B19" i="8"/>
  <c r="A20" i="8"/>
  <c r="B20" i="8"/>
  <c r="A21" i="8"/>
  <c r="B21" i="8"/>
  <c r="A22" i="8"/>
  <c r="B22" i="8"/>
  <c r="A25" i="8"/>
  <c r="B25" i="8"/>
  <c r="A26" i="8"/>
  <c r="B26" i="8"/>
  <c r="A27" i="8"/>
  <c r="B27" i="8"/>
  <c r="A28" i="8"/>
  <c r="B28" i="8"/>
  <c r="A29" i="8"/>
  <c r="B29" i="8"/>
  <c r="A30" i="8"/>
  <c r="B30" i="8"/>
  <c r="A31" i="8"/>
  <c r="B31" i="8"/>
  <c r="A32" i="8"/>
  <c r="B32" i="8"/>
  <c r="A33" i="8"/>
  <c r="B33" i="8"/>
  <c r="A34" i="8"/>
  <c r="B34" i="8"/>
  <c r="A35" i="8"/>
  <c r="B35" i="8"/>
  <c r="A36" i="8"/>
  <c r="B36" i="8"/>
  <c r="A37" i="8"/>
  <c r="B37" i="8"/>
  <c r="A38" i="8"/>
  <c r="B38" i="8"/>
  <c r="A39" i="8"/>
  <c r="B39" i="8"/>
  <c r="A40" i="8"/>
  <c r="B40" i="8"/>
  <c r="A41" i="8"/>
  <c r="B41" i="8"/>
  <c r="A42" i="8"/>
  <c r="B42" i="8"/>
  <c r="A43" i="8"/>
  <c r="B43" i="8"/>
  <c r="A44" i="8"/>
  <c r="B44" i="8"/>
  <c r="A45" i="8"/>
  <c r="B45" i="8"/>
  <c r="A46" i="8"/>
  <c r="B46" i="8"/>
  <c r="A47" i="8"/>
  <c r="B47" i="8"/>
  <c r="A48" i="8"/>
  <c r="B48" i="8"/>
  <c r="A49" i="8"/>
  <c r="B49" i="8"/>
  <c r="A50" i="8"/>
  <c r="B50" i="8"/>
  <c r="A51" i="8"/>
  <c r="B51" i="8"/>
  <c r="A52" i="8"/>
  <c r="B52" i="8"/>
  <c r="A53" i="8"/>
  <c r="B53" i="8"/>
  <c r="A54" i="8"/>
  <c r="B54" i="8"/>
  <c r="A55" i="8"/>
  <c r="B55" i="8"/>
  <c r="A56" i="8"/>
  <c r="B56" i="8"/>
  <c r="A57" i="8"/>
  <c r="B57" i="8"/>
  <c r="A58" i="8"/>
  <c r="B58" i="8"/>
  <c r="A59" i="8"/>
  <c r="B59" i="8"/>
  <c r="A60" i="8"/>
  <c r="B60" i="8"/>
  <c r="A61" i="8"/>
  <c r="B61" i="8"/>
  <c r="A62" i="8"/>
  <c r="B62" i="8"/>
  <c r="A63" i="8"/>
  <c r="B63" i="8"/>
  <c r="A64" i="8"/>
  <c r="B64" i="8"/>
  <c r="A65" i="8"/>
  <c r="B65" i="8"/>
  <c r="A66" i="8"/>
  <c r="B66" i="8"/>
  <c r="A97" i="8"/>
  <c r="B97" i="8"/>
  <c r="A99" i="8"/>
  <c r="B99" i="8"/>
  <c r="A105" i="8"/>
  <c r="B105" i="8"/>
  <c r="A106" i="8"/>
  <c r="B106" i="8"/>
  <c r="A67" i="8"/>
  <c r="B67" i="8"/>
  <c r="A73" i="8"/>
  <c r="B73" i="8"/>
  <c r="A100" i="8"/>
  <c r="B100" i="8"/>
  <c r="A173" i="8"/>
  <c r="B173" i="8"/>
  <c r="A138" i="8"/>
  <c r="B138" i="8"/>
  <c r="A140" i="8"/>
  <c r="B140" i="8"/>
  <c r="A77" i="8"/>
  <c r="B77" i="8"/>
  <c r="A78" i="8"/>
  <c r="B78" i="8"/>
  <c r="A79" i="8"/>
  <c r="B79" i="8"/>
  <c r="A80" i="8"/>
  <c r="B80" i="8"/>
  <c r="A81" i="8"/>
  <c r="B81" i="8"/>
  <c r="A82" i="8"/>
  <c r="B82" i="8"/>
  <c r="A83" i="8"/>
  <c r="B83" i="8"/>
  <c r="A84" i="8"/>
  <c r="B84" i="8"/>
  <c r="A85" i="8"/>
  <c r="B85" i="8"/>
  <c r="A86" i="8"/>
  <c r="B86" i="8"/>
  <c r="A87" i="8"/>
  <c r="B87" i="8"/>
  <c r="A175" i="8"/>
  <c r="B175" i="8"/>
  <c r="A89" i="8"/>
  <c r="B89" i="8"/>
  <c r="A95" i="8"/>
  <c r="B95" i="8"/>
  <c r="A101" i="8"/>
  <c r="B101" i="8"/>
  <c r="A109" i="8"/>
  <c r="B109" i="8"/>
  <c r="A92" i="8"/>
  <c r="B92" i="8"/>
  <c r="A114" i="8"/>
  <c r="B114" i="8"/>
  <c r="A115" i="8"/>
  <c r="B115" i="8"/>
  <c r="A116" i="8"/>
  <c r="B116" i="8"/>
  <c r="A117" i="8"/>
  <c r="B117" i="8"/>
  <c r="A118" i="8"/>
  <c r="B118" i="8"/>
  <c r="A119" i="8"/>
  <c r="B119" i="8"/>
  <c r="A120" i="8"/>
  <c r="B120" i="8"/>
  <c r="A121" i="8"/>
  <c r="B121" i="8"/>
  <c r="A122" i="8"/>
  <c r="B122" i="8"/>
  <c r="A123" i="8"/>
  <c r="B123" i="8"/>
  <c r="A124" i="8"/>
  <c r="B124" i="8"/>
  <c r="A125" i="8"/>
  <c r="B125" i="8"/>
  <c r="A126" i="8"/>
  <c r="B126" i="8"/>
  <c r="A127" i="8"/>
  <c r="B127" i="8"/>
  <c r="A128" i="8"/>
  <c r="B128" i="8"/>
  <c r="A129" i="8"/>
  <c r="B129" i="8"/>
  <c r="A130" i="8"/>
  <c r="B130" i="8"/>
  <c r="A131" i="8"/>
  <c r="B131" i="8"/>
  <c r="A132" i="8"/>
  <c r="B132" i="8"/>
  <c r="A133" i="8"/>
  <c r="B133" i="8"/>
  <c r="A134" i="8"/>
  <c r="B134" i="8"/>
  <c r="A135" i="8"/>
  <c r="B135" i="8"/>
  <c r="A136" i="8"/>
  <c r="B136" i="8"/>
  <c r="A112" i="8"/>
  <c r="B112" i="8"/>
  <c r="A88" i="8"/>
  <c r="B88" i="8"/>
  <c r="A94" i="8"/>
  <c r="B94" i="8"/>
  <c r="A108" i="8"/>
  <c r="B108" i="8"/>
  <c r="A93" i="8"/>
  <c r="B93" i="8"/>
  <c r="A113" i="8"/>
  <c r="B113" i="8"/>
  <c r="A72" i="8"/>
  <c r="B72" i="8"/>
  <c r="A76" i="8"/>
  <c r="B76" i="8"/>
  <c r="A69" i="8"/>
  <c r="B69" i="8"/>
  <c r="A71" i="8"/>
  <c r="B71" i="8"/>
  <c r="A141" i="8"/>
  <c r="B141" i="8"/>
  <c r="A142" i="8"/>
  <c r="B142" i="8"/>
  <c r="A143" i="8"/>
  <c r="B143" i="8"/>
  <c r="A144" i="8"/>
  <c r="B144" i="8"/>
  <c r="A145" i="8"/>
  <c r="B145" i="8"/>
  <c r="A146" i="8"/>
  <c r="B146" i="8"/>
  <c r="A147" i="8"/>
  <c r="B147" i="8"/>
  <c r="A148" i="8"/>
  <c r="B148" i="8"/>
  <c r="A149" i="8"/>
  <c r="B149" i="8"/>
  <c r="A150" i="8"/>
  <c r="B150" i="8"/>
  <c r="A151" i="8"/>
  <c r="B151" i="8"/>
  <c r="A152" i="8"/>
  <c r="B152" i="8"/>
  <c r="A153" i="8"/>
  <c r="B153" i="8"/>
  <c r="A154" i="8"/>
  <c r="B154" i="8"/>
  <c r="A155" i="8"/>
  <c r="B155" i="8"/>
  <c r="A156" i="8"/>
  <c r="B156" i="8"/>
  <c r="A157" i="8"/>
  <c r="B157" i="8"/>
  <c r="A158" i="8"/>
  <c r="B158" i="8"/>
  <c r="A159" i="8"/>
  <c r="B159" i="8"/>
  <c r="A160" i="8"/>
  <c r="B160" i="8"/>
  <c r="A161" i="8"/>
  <c r="B161" i="8"/>
  <c r="A162" i="8"/>
  <c r="B162" i="8"/>
  <c r="A163" i="8"/>
  <c r="B163" i="8"/>
  <c r="A164" i="8"/>
  <c r="B164" i="8"/>
  <c r="A170" i="8"/>
  <c r="B170" i="8"/>
  <c r="A75" i="8"/>
  <c r="B75" i="8"/>
  <c r="A98" i="8"/>
  <c r="B98" i="8"/>
  <c r="A107" i="8"/>
  <c r="B107" i="8"/>
  <c r="A110" i="8"/>
  <c r="B110" i="8"/>
  <c r="A137" i="8"/>
  <c r="B137" i="8"/>
  <c r="A139" i="8"/>
  <c r="B139" i="8"/>
  <c r="A172" i="8"/>
  <c r="B172" i="8"/>
  <c r="A174" i="8"/>
  <c r="B174" i="8"/>
  <c r="A68" i="8"/>
  <c r="B68" i="8"/>
  <c r="A74" i="8"/>
  <c r="B74" i="8"/>
  <c r="A171" i="8"/>
  <c r="B171" i="8"/>
  <c r="A70" i="8"/>
  <c r="B70" i="8"/>
  <c r="A90" i="8"/>
  <c r="B90" i="8"/>
  <c r="A91" i="8"/>
  <c r="B91" i="8"/>
  <c r="A96" i="8"/>
  <c r="B96" i="8"/>
  <c r="A102" i="8"/>
  <c r="B102" i="8"/>
  <c r="A103" i="8"/>
  <c r="B103" i="8"/>
  <c r="A104" i="8"/>
  <c r="B104" i="8"/>
  <c r="A111" i="8"/>
  <c r="B111" i="8"/>
  <c r="A13" i="11"/>
  <c r="A10" i="11"/>
  <c r="A7" i="11"/>
  <c r="A5" i="11"/>
  <c r="B5" i="11"/>
  <c r="B7" i="11"/>
  <c r="B10" i="11"/>
  <c r="B13" i="11"/>
  <c r="O71" i="15"/>
  <c r="O72" i="15"/>
  <c r="O73" i="15"/>
  <c r="O74" i="15"/>
  <c r="O75" i="15"/>
  <c r="O76" i="15"/>
  <c r="O77" i="15"/>
  <c r="O78" i="15"/>
  <c r="O70" i="15"/>
  <c r="O263" i="15"/>
  <c r="O264" i="15"/>
  <c r="O265" i="15"/>
  <c r="O262" i="15"/>
  <c r="O256" i="15"/>
  <c r="O255" i="15"/>
  <c r="O249" i="15"/>
  <c r="O248" i="15"/>
  <c r="O247" i="15"/>
  <c r="O239" i="15"/>
  <c r="O240" i="15"/>
  <c r="O241" i="15"/>
  <c r="O238" i="15"/>
  <c r="F256" i="15" l="1"/>
  <c r="F234" i="15"/>
  <c r="AG234" i="15" s="1"/>
  <c r="F235" i="15"/>
  <c r="F271" i="15"/>
  <c r="AG271" i="15" s="1"/>
  <c r="A47" i="19"/>
  <c r="A48" i="19"/>
  <c r="A49" i="19"/>
  <c r="A50" i="19"/>
  <c r="A51" i="19"/>
  <c r="A36" i="19"/>
  <c r="A37" i="19"/>
  <c r="O59" i="15"/>
  <c r="O60" i="15"/>
  <c r="N80" i="10"/>
  <c r="BL80" i="10"/>
  <c r="BK80" i="10"/>
  <c r="BJ80" i="10"/>
  <c r="BI80" i="10"/>
  <c r="AE80" i="10"/>
  <c r="BA80" i="10" s="1"/>
  <c r="AC80" i="10"/>
  <c r="AZ80" i="10" s="1"/>
  <c r="AA80" i="10"/>
  <c r="Y80" i="10"/>
  <c r="AY80" i="10" s="1"/>
  <c r="W80" i="10"/>
  <c r="AX80" i="10" s="1"/>
  <c r="U80" i="10"/>
  <c r="AW80" i="10" s="1"/>
  <c r="B80" i="10"/>
  <c r="A80" i="10"/>
  <c r="O54" i="15"/>
  <c r="A5" i="10"/>
  <c r="B5" i="10"/>
  <c r="A6" i="10"/>
  <c r="B6" i="10"/>
  <c r="A7" i="10"/>
  <c r="B7" i="10"/>
  <c r="A8" i="10"/>
  <c r="B8" i="10"/>
  <c r="A9" i="10"/>
  <c r="B9" i="10"/>
  <c r="A10" i="10"/>
  <c r="B10" i="10"/>
  <c r="A11" i="10"/>
  <c r="B11" i="10"/>
  <c r="A12" i="10"/>
  <c r="B12" i="10"/>
  <c r="A13" i="10"/>
  <c r="B13" i="10"/>
  <c r="A14" i="10"/>
  <c r="B14" i="10"/>
  <c r="A15" i="10"/>
  <c r="B15" i="10"/>
  <c r="A16" i="10"/>
  <c r="B16" i="10"/>
  <c r="A17" i="10"/>
  <c r="B17" i="10"/>
  <c r="A18" i="10"/>
  <c r="B18" i="10"/>
  <c r="A19" i="10"/>
  <c r="B19" i="10"/>
  <c r="A21" i="10"/>
  <c r="B21" i="10"/>
  <c r="A22" i="10"/>
  <c r="B22" i="10"/>
  <c r="A24" i="10"/>
  <c r="B24" i="10"/>
  <c r="A35" i="10"/>
  <c r="B35" i="10"/>
  <c r="A37" i="10"/>
  <c r="B37" i="10"/>
  <c r="A61" i="10"/>
  <c r="B61" i="10"/>
  <c r="A62" i="10"/>
  <c r="B62" i="10"/>
  <c r="A63" i="10"/>
  <c r="B63" i="10"/>
  <c r="A64" i="10"/>
  <c r="B64" i="10"/>
  <c r="A65" i="10"/>
  <c r="B65" i="10"/>
  <c r="A66" i="10"/>
  <c r="B66" i="10"/>
  <c r="A67" i="10"/>
  <c r="B67" i="10"/>
  <c r="A68" i="10"/>
  <c r="B68" i="10"/>
  <c r="A69" i="10"/>
  <c r="B69" i="10"/>
  <c r="A70" i="10"/>
  <c r="B70" i="10"/>
  <c r="A71" i="10"/>
  <c r="B71" i="10"/>
  <c r="A72" i="10"/>
  <c r="B72" i="10"/>
  <c r="A73" i="10"/>
  <c r="B73" i="10"/>
  <c r="A74" i="10"/>
  <c r="B74" i="10"/>
  <c r="A75" i="10"/>
  <c r="B75" i="10"/>
  <c r="A76" i="10"/>
  <c r="B76" i="10"/>
  <c r="A77" i="10"/>
  <c r="B77" i="10"/>
  <c r="A78" i="10"/>
  <c r="B78" i="10"/>
  <c r="A79" i="10"/>
  <c r="B79" i="10"/>
  <c r="BL76" i="10"/>
  <c r="BK76" i="10"/>
  <c r="BJ76" i="10"/>
  <c r="BI76" i="10"/>
  <c r="AR76" i="10"/>
  <c r="AS76" i="10" s="1"/>
  <c r="BB76" i="10" s="1"/>
  <c r="AE76" i="10"/>
  <c r="BA76" i="10" s="1"/>
  <c r="AC76" i="10"/>
  <c r="AZ76" i="10" s="1"/>
  <c r="AA76" i="10"/>
  <c r="W76" i="10"/>
  <c r="AX76" i="10" s="1"/>
  <c r="U76" i="10"/>
  <c r="AW76" i="10" s="1"/>
  <c r="S76" i="10"/>
  <c r="AV76" i="10" s="1"/>
  <c r="Q76" i="10"/>
  <c r="AU76" i="10" s="1"/>
  <c r="O76" i="10"/>
  <c r="AT76" i="10" s="1"/>
  <c r="BL75" i="10"/>
  <c r="BK75" i="10"/>
  <c r="BJ75" i="10"/>
  <c r="BI75" i="10"/>
  <c r="AR75" i="10"/>
  <c r="AE75" i="10"/>
  <c r="BA75" i="10" s="1"/>
  <c r="AC75" i="10"/>
  <c r="AZ75" i="10" s="1"/>
  <c r="AA75" i="10"/>
  <c r="Y75" i="10"/>
  <c r="AY75" i="10" s="1"/>
  <c r="W75" i="10"/>
  <c r="AX75" i="10" s="1"/>
  <c r="U75" i="10"/>
  <c r="AW75" i="10" s="1"/>
  <c r="S75" i="10"/>
  <c r="AV75" i="10" s="1"/>
  <c r="Q75" i="10"/>
  <c r="AU75" i="10" s="1"/>
  <c r="O75" i="10"/>
  <c r="AT75" i="10" s="1"/>
  <c r="BL74" i="10"/>
  <c r="BK74" i="10"/>
  <c r="BJ74" i="10"/>
  <c r="BI74" i="10"/>
  <c r="AR74" i="10"/>
  <c r="AE74" i="10"/>
  <c r="BA74" i="10" s="1"/>
  <c r="AC74" i="10"/>
  <c r="AZ74" i="10" s="1"/>
  <c r="AA74" i="10"/>
  <c r="Y74" i="10"/>
  <c r="AY74" i="10" s="1"/>
  <c r="W74" i="10"/>
  <c r="AX74" i="10" s="1"/>
  <c r="U74" i="10"/>
  <c r="AW74" i="10" s="1"/>
  <c r="S74" i="10"/>
  <c r="AV74" i="10" s="1"/>
  <c r="Q74" i="10"/>
  <c r="AU74" i="10" s="1"/>
  <c r="O74" i="10"/>
  <c r="AT74" i="10" s="1"/>
  <c r="BL73" i="10"/>
  <c r="BK73" i="10"/>
  <c r="BJ73" i="10"/>
  <c r="BI73" i="10"/>
  <c r="AR73" i="10"/>
  <c r="AE73" i="10"/>
  <c r="BA73" i="10" s="1"/>
  <c r="AC73" i="10"/>
  <c r="AZ73" i="10" s="1"/>
  <c r="AA73" i="10"/>
  <c r="Y73" i="10"/>
  <c r="AY73" i="10" s="1"/>
  <c r="W73" i="10"/>
  <c r="AX73" i="10" s="1"/>
  <c r="U73" i="10"/>
  <c r="AW73" i="10" s="1"/>
  <c r="S73" i="10"/>
  <c r="AV73" i="10" s="1"/>
  <c r="Q73" i="10"/>
  <c r="AU73" i="10" s="1"/>
  <c r="O73" i="10"/>
  <c r="AT73" i="10" s="1"/>
  <c r="BL72" i="10"/>
  <c r="BK72" i="10"/>
  <c r="BJ72" i="10"/>
  <c r="BI72" i="10"/>
  <c r="AR72" i="10"/>
  <c r="AE72" i="10"/>
  <c r="BA72" i="10" s="1"/>
  <c r="AC72" i="10"/>
  <c r="AZ72" i="10" s="1"/>
  <c r="AA72" i="10"/>
  <c r="Y72" i="10"/>
  <c r="AY72" i="10" s="1"/>
  <c r="W72" i="10"/>
  <c r="AX72" i="10" s="1"/>
  <c r="U72" i="10"/>
  <c r="AW72" i="10" s="1"/>
  <c r="S72" i="10"/>
  <c r="AV72" i="10" s="1"/>
  <c r="Q72" i="10"/>
  <c r="AU72" i="10" s="1"/>
  <c r="O72" i="10"/>
  <c r="AT72" i="10" s="1"/>
  <c r="O67" i="10"/>
  <c r="AT67" i="10" s="1"/>
  <c r="Q67" i="10"/>
  <c r="AU67" i="10" s="1"/>
  <c r="S67" i="10"/>
  <c r="AV67" i="10" s="1"/>
  <c r="U67" i="10"/>
  <c r="AW67" i="10" s="1"/>
  <c r="W67" i="10"/>
  <c r="AX67" i="10" s="1"/>
  <c r="Y67" i="10"/>
  <c r="AY67" i="10" s="1"/>
  <c r="AA67" i="10"/>
  <c r="AC67" i="10"/>
  <c r="AZ67" i="10" s="1"/>
  <c r="AE67" i="10"/>
  <c r="BA67" i="10" s="1"/>
  <c r="AR67" i="10"/>
  <c r="BI67" i="10"/>
  <c r="BJ67" i="10"/>
  <c r="BK67" i="10"/>
  <c r="BL67" i="10"/>
  <c r="O68" i="10"/>
  <c r="AT68" i="10" s="1"/>
  <c r="Q68" i="10"/>
  <c r="AU68" i="10" s="1"/>
  <c r="S68" i="10"/>
  <c r="AV68" i="10" s="1"/>
  <c r="U68" i="10"/>
  <c r="AW68" i="10" s="1"/>
  <c r="W68" i="10"/>
  <c r="AX68" i="10" s="1"/>
  <c r="Y68" i="10"/>
  <c r="AY68" i="10" s="1"/>
  <c r="AA68" i="10"/>
  <c r="AC68" i="10"/>
  <c r="AZ68" i="10" s="1"/>
  <c r="AE68" i="10"/>
  <c r="BA68" i="10" s="1"/>
  <c r="AR68" i="10"/>
  <c r="BI68" i="10"/>
  <c r="BJ68" i="10"/>
  <c r="BK68" i="10"/>
  <c r="BL68" i="10"/>
  <c r="O69" i="10"/>
  <c r="AT69" i="10" s="1"/>
  <c r="Q69" i="10"/>
  <c r="AU69" i="10" s="1"/>
  <c r="S69" i="10"/>
  <c r="AV69" i="10" s="1"/>
  <c r="U69" i="10"/>
  <c r="AW69" i="10" s="1"/>
  <c r="W69" i="10"/>
  <c r="AX69" i="10" s="1"/>
  <c r="Y69" i="10"/>
  <c r="AY69" i="10" s="1"/>
  <c r="AA69" i="10"/>
  <c r="AC69" i="10"/>
  <c r="AZ69" i="10" s="1"/>
  <c r="AE69" i="10"/>
  <c r="BA69" i="10" s="1"/>
  <c r="AR69" i="10"/>
  <c r="BI69" i="10"/>
  <c r="BJ69" i="10"/>
  <c r="BK69" i="10"/>
  <c r="BL69" i="10"/>
  <c r="O70" i="10"/>
  <c r="AT70" i="10" s="1"/>
  <c r="Q70" i="10"/>
  <c r="AU70" i="10" s="1"/>
  <c r="S70" i="10"/>
  <c r="AV70" i="10" s="1"/>
  <c r="U70" i="10"/>
  <c r="AW70" i="10" s="1"/>
  <c r="W70" i="10"/>
  <c r="AX70" i="10" s="1"/>
  <c r="Y70" i="10"/>
  <c r="AY70" i="10" s="1"/>
  <c r="AA70" i="10"/>
  <c r="AC70" i="10"/>
  <c r="AZ70" i="10" s="1"/>
  <c r="AE70" i="10"/>
  <c r="BA70" i="10" s="1"/>
  <c r="AR70" i="10"/>
  <c r="BI70" i="10"/>
  <c r="BJ70" i="10"/>
  <c r="BK70" i="10"/>
  <c r="BL70" i="10"/>
  <c r="O71" i="10"/>
  <c r="AT71" i="10" s="1"/>
  <c r="Q71" i="10"/>
  <c r="AU71" i="10" s="1"/>
  <c r="S71" i="10"/>
  <c r="AV71" i="10" s="1"/>
  <c r="U71" i="10"/>
  <c r="AW71" i="10" s="1"/>
  <c r="W71" i="10"/>
  <c r="AX71" i="10" s="1"/>
  <c r="AA71" i="10"/>
  <c r="AC71" i="10"/>
  <c r="AZ71" i="10" s="1"/>
  <c r="AE71" i="10"/>
  <c r="BA71" i="10" s="1"/>
  <c r="AR71" i="10"/>
  <c r="AS71" i="10" s="1"/>
  <c r="BB71" i="10" s="1"/>
  <c r="BI71" i="10"/>
  <c r="BJ71" i="10"/>
  <c r="BK71" i="10"/>
  <c r="BL71" i="10"/>
  <c r="O55" i="15"/>
  <c r="O56" i="15"/>
  <c r="O61" i="15"/>
  <c r="O62" i="15"/>
  <c r="O63" i="15"/>
  <c r="O64" i="15"/>
  <c r="BK28" i="10"/>
  <c r="BJ28" i="10"/>
  <c r="BI28" i="10"/>
  <c r="AR28" i="10"/>
  <c r="AE28" i="10"/>
  <c r="BA28" i="10" s="1"/>
  <c r="AC28" i="10"/>
  <c r="AZ28" i="10" s="1"/>
  <c r="AA28" i="10"/>
  <c r="Y28" i="10"/>
  <c r="AY28" i="10" s="1"/>
  <c r="W28" i="10"/>
  <c r="AX28" i="10" s="1"/>
  <c r="M28" i="10"/>
  <c r="U28" i="10" s="1"/>
  <c r="AW28" i="10" s="1"/>
  <c r="BK26" i="10"/>
  <c r="BJ26" i="10"/>
  <c r="BI26" i="10"/>
  <c r="AR26" i="10"/>
  <c r="AE26" i="10"/>
  <c r="BA26" i="10" s="1"/>
  <c r="AC26" i="10"/>
  <c r="AZ26" i="10" s="1"/>
  <c r="AA26" i="10"/>
  <c r="Y26" i="10"/>
  <c r="AY26" i="10" s="1"/>
  <c r="W26" i="10"/>
  <c r="AX26" i="10" s="1"/>
  <c r="M26" i="10"/>
  <c r="BL26" i="10" s="1"/>
  <c r="A31" i="19"/>
  <c r="A32" i="19"/>
  <c r="A33" i="19"/>
  <c r="A34" i="19"/>
  <c r="A35" i="19"/>
  <c r="A28" i="19"/>
  <c r="A27" i="19"/>
  <c r="A26" i="19"/>
  <c r="A25" i="19"/>
  <c r="A24" i="19"/>
  <c r="A2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38" i="19"/>
  <c r="A39" i="19"/>
  <c r="A40" i="19"/>
  <c r="A41" i="19"/>
  <c r="A42" i="19"/>
  <c r="A43" i="19"/>
  <c r="A44" i="19"/>
  <c r="A45" i="19"/>
  <c r="A46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103" i="19"/>
  <c r="A104" i="19"/>
  <c r="A105" i="19"/>
  <c r="A106" i="19"/>
  <c r="A107" i="19"/>
  <c r="A108" i="19"/>
  <c r="A109" i="19"/>
  <c r="A110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A170" i="19"/>
  <c r="A171" i="19"/>
  <c r="A172" i="19"/>
  <c r="A173" i="19"/>
  <c r="A174" i="19"/>
  <c r="A175" i="19"/>
  <c r="A176" i="19"/>
  <c r="A177" i="19"/>
  <c r="A178" i="19"/>
  <c r="A179" i="19"/>
  <c r="A180" i="19"/>
  <c r="A181" i="19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A206" i="19"/>
  <c r="A207" i="19"/>
  <c r="A208" i="19"/>
  <c r="A209" i="19"/>
  <c r="A210" i="19"/>
  <c r="A211" i="19"/>
  <c r="A212" i="19"/>
  <c r="A213" i="19"/>
  <c r="A214" i="19"/>
  <c r="A215" i="19"/>
  <c r="A216" i="19"/>
  <c r="A217" i="19"/>
  <c r="A218" i="19"/>
  <c r="A219" i="19"/>
  <c r="A220" i="19"/>
  <c r="A221" i="19"/>
  <c r="A222" i="19"/>
  <c r="A223" i="19"/>
  <c r="A224" i="19"/>
  <c r="A225" i="19"/>
  <c r="A226" i="19"/>
  <c r="A227" i="19"/>
  <c r="A228" i="19"/>
  <c r="A229" i="19"/>
  <c r="A230" i="19"/>
  <c r="A231" i="19"/>
  <c r="A232" i="19"/>
  <c r="A233" i="19"/>
  <c r="A234" i="19"/>
  <c r="A235" i="19"/>
  <c r="A236" i="19"/>
  <c r="A237" i="19"/>
  <c r="A238" i="19"/>
  <c r="A239" i="19"/>
  <c r="A240" i="19"/>
  <c r="A241" i="19"/>
  <c r="A242" i="19"/>
  <c r="A243" i="19"/>
  <c r="A244" i="19"/>
  <c r="A245" i="19"/>
  <c r="A246" i="19"/>
  <c r="A247" i="19"/>
  <c r="A248" i="19"/>
  <c r="A249" i="19"/>
  <c r="A250" i="19"/>
  <c r="A251" i="19"/>
  <c r="A252" i="19"/>
  <c r="A253" i="19"/>
  <c r="A254" i="19"/>
  <c r="A255" i="19"/>
  <c r="A256" i="19"/>
  <c r="A257" i="19"/>
  <c r="A258" i="19"/>
  <c r="A259" i="19"/>
  <c r="A260" i="19"/>
  <c r="A261" i="19"/>
  <c r="A262" i="19"/>
  <c r="A263" i="19"/>
  <c r="A264" i="19"/>
  <c r="A265" i="19"/>
  <c r="A266" i="19"/>
  <c r="A267" i="19"/>
  <c r="A268" i="19"/>
  <c r="A269" i="19"/>
  <c r="A270" i="19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A319" i="19"/>
  <c r="A320" i="19"/>
  <c r="A321" i="19"/>
  <c r="A322" i="19"/>
  <c r="A323" i="19"/>
  <c r="A324" i="19"/>
  <c r="A325" i="19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A343" i="19"/>
  <c r="A344" i="19"/>
  <c r="A345" i="19"/>
  <c r="A346" i="19"/>
  <c r="A347" i="19"/>
  <c r="A348" i="19"/>
  <c r="A349" i="19"/>
  <c r="A350" i="19"/>
  <c r="A351" i="19"/>
  <c r="A352" i="19"/>
  <c r="A353" i="19"/>
  <c r="A354" i="19"/>
  <c r="O42" i="15"/>
  <c r="O43" i="15"/>
  <c r="O44" i="15"/>
  <c r="O45" i="15"/>
  <c r="O46" i="15"/>
  <c r="O47" i="15"/>
  <c r="O48" i="15"/>
  <c r="O41" i="15"/>
  <c r="O35" i="15"/>
  <c r="O36" i="15"/>
  <c r="O32" i="15"/>
  <c r="O33" i="15"/>
  <c r="O34" i="15"/>
  <c r="O31" i="15"/>
  <c r="BL18" i="10"/>
  <c r="BK18" i="10"/>
  <c r="BJ18" i="10"/>
  <c r="BI18" i="10"/>
  <c r="AR18" i="10"/>
  <c r="AS18" i="10" s="1"/>
  <c r="BB18" i="10" s="1"/>
  <c r="AE18" i="10"/>
  <c r="BA18" i="10" s="1"/>
  <c r="AC18" i="10"/>
  <c r="AZ18" i="10" s="1"/>
  <c r="AA18" i="10"/>
  <c r="W18" i="10"/>
  <c r="AX18" i="10" s="1"/>
  <c r="U18" i="10"/>
  <c r="AW18" i="10" s="1"/>
  <c r="S18" i="10"/>
  <c r="AV18" i="10" s="1"/>
  <c r="Q18" i="10"/>
  <c r="AU18" i="10" s="1"/>
  <c r="O18" i="10"/>
  <c r="AT18" i="10" s="1"/>
  <c r="BL17" i="10"/>
  <c r="BK17" i="10"/>
  <c r="BJ17" i="10"/>
  <c r="BI17" i="10"/>
  <c r="AR17" i="10"/>
  <c r="AS17" i="10" s="1"/>
  <c r="BB17" i="10" s="1"/>
  <c r="AE17" i="10"/>
  <c r="BA17" i="10" s="1"/>
  <c r="AC17" i="10"/>
  <c r="AZ17" i="10" s="1"/>
  <c r="AA17" i="10"/>
  <c r="W17" i="10"/>
  <c r="AX17" i="10" s="1"/>
  <c r="U17" i="10"/>
  <c r="AW17" i="10" s="1"/>
  <c r="S17" i="10"/>
  <c r="AV17" i="10" s="1"/>
  <c r="Q17" i="10"/>
  <c r="AU17" i="10" s="1"/>
  <c r="O17" i="10"/>
  <c r="AT17" i="10" s="1"/>
  <c r="BL16" i="10"/>
  <c r="BK16" i="10"/>
  <c r="BJ16" i="10"/>
  <c r="BI16" i="10"/>
  <c r="AR16" i="10"/>
  <c r="AE16" i="10"/>
  <c r="BA16" i="10" s="1"/>
  <c r="AC16" i="10"/>
  <c r="AZ16" i="10" s="1"/>
  <c r="AA16" i="10"/>
  <c r="Y16" i="10"/>
  <c r="AY16" i="10" s="1"/>
  <c r="W16" i="10"/>
  <c r="AX16" i="10" s="1"/>
  <c r="U16" i="10"/>
  <c r="AW16" i="10" s="1"/>
  <c r="S16" i="10"/>
  <c r="AV16" i="10" s="1"/>
  <c r="Q16" i="10"/>
  <c r="AU16" i="10" s="1"/>
  <c r="O16" i="10"/>
  <c r="AT16" i="10" s="1"/>
  <c r="BL15" i="10"/>
  <c r="BK15" i="10"/>
  <c r="BJ15" i="10"/>
  <c r="BI15" i="10"/>
  <c r="AR15" i="10"/>
  <c r="AE15" i="10"/>
  <c r="BA15" i="10" s="1"/>
  <c r="AC15" i="10"/>
  <c r="AZ15" i="10" s="1"/>
  <c r="AA15" i="10"/>
  <c r="Y15" i="10"/>
  <c r="AY15" i="10" s="1"/>
  <c r="W15" i="10"/>
  <c r="AX15" i="10" s="1"/>
  <c r="U15" i="10"/>
  <c r="AW15" i="10" s="1"/>
  <c r="S15" i="10"/>
  <c r="AV15" i="10" s="1"/>
  <c r="Q15" i="10"/>
  <c r="AU15" i="10" s="1"/>
  <c r="O15" i="10"/>
  <c r="AT15" i="10" s="1"/>
  <c r="BL14" i="10"/>
  <c r="BK14" i="10"/>
  <c r="BJ14" i="10"/>
  <c r="BI14" i="10"/>
  <c r="AR14" i="10"/>
  <c r="AE14" i="10"/>
  <c r="BA14" i="10" s="1"/>
  <c r="AC14" i="10"/>
  <c r="AZ14" i="10" s="1"/>
  <c r="AA14" i="10"/>
  <c r="Y14" i="10"/>
  <c r="AY14" i="10" s="1"/>
  <c r="W14" i="10"/>
  <c r="AX14" i="10" s="1"/>
  <c r="U14" i="10"/>
  <c r="AW14" i="10" s="1"/>
  <c r="S14" i="10"/>
  <c r="AV14" i="10" s="1"/>
  <c r="Q14" i="10"/>
  <c r="AU14" i="10" s="1"/>
  <c r="O14" i="10"/>
  <c r="AT14" i="10" s="1"/>
  <c r="BL13" i="10"/>
  <c r="BK13" i="10"/>
  <c r="BJ13" i="10"/>
  <c r="BI13" i="10"/>
  <c r="AR13" i="10"/>
  <c r="AE13" i="10"/>
  <c r="BA13" i="10" s="1"/>
  <c r="AC13" i="10"/>
  <c r="AZ13" i="10" s="1"/>
  <c r="AA13" i="10"/>
  <c r="Y13" i="10"/>
  <c r="AY13" i="10" s="1"/>
  <c r="W13" i="10"/>
  <c r="AX13" i="10" s="1"/>
  <c r="U13" i="10"/>
  <c r="AW13" i="10" s="1"/>
  <c r="S13" i="10"/>
  <c r="AV13" i="10" s="1"/>
  <c r="Q13" i="10"/>
  <c r="AU13" i="10" s="1"/>
  <c r="O13" i="10"/>
  <c r="AT13" i="10" s="1"/>
  <c r="BL12" i="10"/>
  <c r="BK12" i="10"/>
  <c r="BJ12" i="10"/>
  <c r="BI12" i="10"/>
  <c r="AR12" i="10"/>
  <c r="AE12" i="10"/>
  <c r="BA12" i="10" s="1"/>
  <c r="AC12" i="10"/>
  <c r="AZ12" i="10" s="1"/>
  <c r="AA12" i="10"/>
  <c r="Y12" i="10"/>
  <c r="AY12" i="10" s="1"/>
  <c r="W12" i="10"/>
  <c r="AX12" i="10" s="1"/>
  <c r="U12" i="10"/>
  <c r="AW12" i="10" s="1"/>
  <c r="S12" i="10"/>
  <c r="AV12" i="10" s="1"/>
  <c r="Q12" i="10"/>
  <c r="AU12" i="10" s="1"/>
  <c r="O12" i="10"/>
  <c r="AT12" i="10" s="1"/>
  <c r="O20" i="15"/>
  <c r="O25" i="15"/>
  <c r="O24" i="15"/>
  <c r="O23" i="15"/>
  <c r="O22" i="15"/>
  <c r="O21" i="15"/>
  <c r="B17" i="15"/>
  <c r="C17" i="15"/>
  <c r="D17" i="15"/>
  <c r="E17" i="15"/>
  <c r="F17" i="15"/>
  <c r="K17" i="15"/>
  <c r="L17" i="15"/>
  <c r="D18" i="15"/>
  <c r="L18" i="15"/>
  <c r="M18" i="15"/>
  <c r="D19" i="15"/>
  <c r="E19" i="15"/>
  <c r="F19" i="15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AG235" i="15" l="1"/>
  <c r="AJ235" i="15"/>
  <c r="AH235" i="15"/>
  <c r="AI235" i="15" s="1"/>
  <c r="AG256" i="15"/>
  <c r="AH256" i="15"/>
  <c r="AI256" i="15" s="1"/>
  <c r="AJ256" i="15"/>
  <c r="AK256" i="15" s="1"/>
  <c r="X74" i="3"/>
  <c r="L241" i="19"/>
  <c r="L217" i="19"/>
  <c r="L193" i="19"/>
  <c r="L169" i="19"/>
  <c r="L329" i="19"/>
  <c r="L233" i="19"/>
  <c r="L209" i="19"/>
  <c r="L185" i="19"/>
  <c r="L161" i="19"/>
  <c r="L46" i="19"/>
  <c r="L225" i="19"/>
  <c r="L201" i="19"/>
  <c r="L153" i="19"/>
  <c r="L177" i="19"/>
  <c r="L333" i="19"/>
  <c r="L317" i="19"/>
  <c r="F386" i="15"/>
  <c r="L237" i="19"/>
  <c r="L221" i="19"/>
  <c r="L205" i="19"/>
  <c r="L189" i="19"/>
  <c r="L173" i="19"/>
  <c r="L141" i="19"/>
  <c r="L2" i="19"/>
  <c r="L28" i="19"/>
  <c r="L345" i="19"/>
  <c r="L297" i="19"/>
  <c r="L281" i="19"/>
  <c r="L249" i="19"/>
  <c r="L137" i="19"/>
  <c r="L129" i="19"/>
  <c r="L107" i="19"/>
  <c r="L68" i="19"/>
  <c r="L38" i="19"/>
  <c r="L8" i="19"/>
  <c r="L347" i="19"/>
  <c r="L299" i="19"/>
  <c r="L251" i="19"/>
  <c r="L203" i="19"/>
  <c r="L155" i="19"/>
  <c r="L70" i="19"/>
  <c r="F385" i="15"/>
  <c r="AG385" i="15" s="1"/>
  <c r="F264" i="15"/>
  <c r="AG264" i="15" s="1"/>
  <c r="L315" i="19"/>
  <c r="L267" i="19"/>
  <c r="L219" i="19"/>
  <c r="L171" i="19"/>
  <c r="L123" i="19"/>
  <c r="L18" i="19"/>
  <c r="F384" i="15"/>
  <c r="F265" i="15"/>
  <c r="AG265" i="15" s="1"/>
  <c r="L313" i="19"/>
  <c r="L265" i="19"/>
  <c r="L157" i="19"/>
  <c r="L145" i="19"/>
  <c r="L121" i="19"/>
  <c r="L60" i="19"/>
  <c r="L16" i="19"/>
  <c r="L31" i="19"/>
  <c r="F20" i="15"/>
  <c r="L331" i="19"/>
  <c r="L283" i="19"/>
  <c r="L235" i="19"/>
  <c r="L187" i="19"/>
  <c r="L139" i="19"/>
  <c r="L54" i="19"/>
  <c r="L351" i="19"/>
  <c r="L335" i="19"/>
  <c r="L319" i="19"/>
  <c r="L303" i="19"/>
  <c r="L287" i="19"/>
  <c r="L271" i="19"/>
  <c r="L255" i="19"/>
  <c r="L239" i="19"/>
  <c r="L223" i="19"/>
  <c r="L207" i="19"/>
  <c r="L191" i="19"/>
  <c r="L175" i="19"/>
  <c r="L159" i="19"/>
  <c r="L143" i="19"/>
  <c r="L127" i="19"/>
  <c r="L105" i="19"/>
  <c r="L58" i="19"/>
  <c r="L22" i="19"/>
  <c r="L6" i="19"/>
  <c r="L349" i="19"/>
  <c r="L301" i="19"/>
  <c r="L285" i="19"/>
  <c r="L269" i="19"/>
  <c r="L253" i="19"/>
  <c r="F255" i="15" s="1"/>
  <c r="L125" i="19"/>
  <c r="L56" i="19"/>
  <c r="L20" i="19"/>
  <c r="L4" i="19"/>
  <c r="X24" i="7" s="1"/>
  <c r="L243" i="19"/>
  <c r="L227" i="19"/>
  <c r="L211" i="19"/>
  <c r="L195" i="19"/>
  <c r="L179" i="19"/>
  <c r="L163" i="19"/>
  <c r="L147" i="19"/>
  <c r="L337" i="19"/>
  <c r="L305" i="19"/>
  <c r="L289" i="19"/>
  <c r="L273" i="19"/>
  <c r="L353" i="19"/>
  <c r="L321" i="19"/>
  <c r="L257" i="19"/>
  <c r="L49" i="19"/>
  <c r="L343" i="19"/>
  <c r="L327" i="19"/>
  <c r="L311" i="19"/>
  <c r="L295" i="19"/>
  <c r="L279" i="19"/>
  <c r="L263" i="19"/>
  <c r="L247" i="19"/>
  <c r="L231" i="19"/>
  <c r="L215" i="19"/>
  <c r="L199" i="19"/>
  <c r="L183" i="19"/>
  <c r="L167" i="19"/>
  <c r="L151" i="19"/>
  <c r="L135" i="19"/>
  <c r="L27" i="19"/>
  <c r="L294" i="19"/>
  <c r="L65" i="19"/>
  <c r="L43" i="19"/>
  <c r="L13" i="19"/>
  <c r="L340" i="19"/>
  <c r="L324" i="19"/>
  <c r="L308" i="19"/>
  <c r="L292" i="19"/>
  <c r="L276" i="19"/>
  <c r="L260" i="19"/>
  <c r="L244" i="19"/>
  <c r="F236" i="15" s="1"/>
  <c r="AG236" i="15" s="1"/>
  <c r="L228" i="19"/>
  <c r="L212" i="19"/>
  <c r="L196" i="19"/>
  <c r="L180" i="19"/>
  <c r="L164" i="19"/>
  <c r="L148" i="19"/>
  <c r="L132" i="19"/>
  <c r="L63" i="19"/>
  <c r="L41" i="19"/>
  <c r="L11" i="19"/>
  <c r="L34" i="19"/>
  <c r="L25" i="19"/>
  <c r="L119" i="19"/>
  <c r="L66" i="19"/>
  <c r="L44" i="19"/>
  <c r="L14" i="19"/>
  <c r="L339" i="19"/>
  <c r="L323" i="19"/>
  <c r="L307" i="19"/>
  <c r="L291" i="19"/>
  <c r="L275" i="19"/>
  <c r="L259" i="19"/>
  <c r="F263" i="15" s="1"/>
  <c r="L131" i="19"/>
  <c r="L109" i="19"/>
  <c r="L62" i="19"/>
  <c r="L40" i="19"/>
  <c r="L10" i="19"/>
  <c r="L33" i="19"/>
  <c r="L354" i="19"/>
  <c r="L355" i="19"/>
  <c r="L338" i="19"/>
  <c r="L322" i="19"/>
  <c r="L306" i="19"/>
  <c r="L290" i="19"/>
  <c r="L274" i="19"/>
  <c r="L258" i="19"/>
  <c r="F262" i="15" s="1"/>
  <c r="L242" i="19"/>
  <c r="L226" i="19"/>
  <c r="L210" i="19"/>
  <c r="L194" i="19"/>
  <c r="L178" i="19"/>
  <c r="L162" i="19"/>
  <c r="L146" i="19"/>
  <c r="L130" i="19"/>
  <c r="L108" i="19"/>
  <c r="L61" i="19"/>
  <c r="L39" i="19"/>
  <c r="L9" i="19"/>
  <c r="L32" i="19"/>
  <c r="L352" i="19"/>
  <c r="L336" i="19"/>
  <c r="L320" i="19"/>
  <c r="L304" i="19"/>
  <c r="L288" i="19"/>
  <c r="L272" i="19"/>
  <c r="L256" i="19"/>
  <c r="L240" i="19"/>
  <c r="L224" i="19"/>
  <c r="L208" i="19"/>
  <c r="L192" i="19"/>
  <c r="L176" i="19"/>
  <c r="L160" i="19"/>
  <c r="L144" i="19"/>
  <c r="L128" i="19"/>
  <c r="L106" i="19"/>
  <c r="L59" i="19"/>
  <c r="L23" i="19"/>
  <c r="L7" i="19"/>
  <c r="L110" i="19"/>
  <c r="L111" i="19"/>
  <c r="L350" i="19"/>
  <c r="L334" i="19"/>
  <c r="L318" i="19"/>
  <c r="L302" i="19"/>
  <c r="L286" i="19"/>
  <c r="L270" i="19"/>
  <c r="L254" i="19"/>
  <c r="L238" i="19"/>
  <c r="L222" i="19"/>
  <c r="L206" i="19"/>
  <c r="L190" i="19"/>
  <c r="L174" i="19"/>
  <c r="L158" i="19"/>
  <c r="L142" i="19"/>
  <c r="L126" i="19"/>
  <c r="L104" i="19"/>
  <c r="L57" i="19"/>
  <c r="L21" i="19"/>
  <c r="L5" i="19"/>
  <c r="X42" i="7" s="1"/>
  <c r="L37" i="19"/>
  <c r="L103" i="19"/>
  <c r="L102" i="19"/>
  <c r="L36" i="19"/>
  <c r="L348" i="19"/>
  <c r="L332" i="19"/>
  <c r="L316" i="19"/>
  <c r="L300" i="19"/>
  <c r="L284" i="19"/>
  <c r="L268" i="19"/>
  <c r="L252" i="19"/>
  <c r="L236" i="19"/>
  <c r="L220" i="19"/>
  <c r="L204" i="19"/>
  <c r="L188" i="19"/>
  <c r="L172" i="19"/>
  <c r="L156" i="19"/>
  <c r="L140" i="19"/>
  <c r="L124" i="19"/>
  <c r="L71" i="19"/>
  <c r="L72" i="19"/>
  <c r="L55" i="19"/>
  <c r="L19" i="19"/>
  <c r="L3" i="19"/>
  <c r="L52" i="19"/>
  <c r="L51" i="19"/>
  <c r="L346" i="19"/>
  <c r="L330" i="19"/>
  <c r="L314" i="19"/>
  <c r="L298" i="19"/>
  <c r="L282" i="19"/>
  <c r="L266" i="19"/>
  <c r="L250" i="19"/>
  <c r="X114" i="8" s="1"/>
  <c r="L234" i="19"/>
  <c r="L218" i="19"/>
  <c r="L202" i="19"/>
  <c r="L186" i="19"/>
  <c r="L170" i="19"/>
  <c r="L154" i="19"/>
  <c r="L138" i="19"/>
  <c r="L122" i="19"/>
  <c r="L69" i="19"/>
  <c r="L53" i="19"/>
  <c r="L17" i="19"/>
  <c r="L24" i="19"/>
  <c r="L50" i="19"/>
  <c r="L344" i="19"/>
  <c r="L328" i="19"/>
  <c r="L312" i="19"/>
  <c r="L296" i="19"/>
  <c r="L280" i="19"/>
  <c r="L264" i="19"/>
  <c r="L248" i="19"/>
  <c r="L232" i="19"/>
  <c r="L216" i="19"/>
  <c r="L200" i="19"/>
  <c r="L184" i="19"/>
  <c r="L168" i="19"/>
  <c r="L152" i="19"/>
  <c r="L136" i="19"/>
  <c r="L120" i="19"/>
  <c r="L67" i="19"/>
  <c r="L45" i="19"/>
  <c r="L15" i="19"/>
  <c r="L26" i="19"/>
  <c r="L48" i="19"/>
  <c r="L47" i="19"/>
  <c r="L342" i="19"/>
  <c r="L326" i="19"/>
  <c r="L310" i="19"/>
  <c r="L278" i="19"/>
  <c r="L262" i="19"/>
  <c r="L246" i="19"/>
  <c r="L230" i="19"/>
  <c r="L214" i="19"/>
  <c r="L198" i="19"/>
  <c r="L182" i="19"/>
  <c r="L166" i="19"/>
  <c r="L150" i="19"/>
  <c r="L134" i="19"/>
  <c r="L118" i="19"/>
  <c r="L30" i="19"/>
  <c r="L341" i="19"/>
  <c r="L325" i="19"/>
  <c r="L309" i="19"/>
  <c r="L293" i="19"/>
  <c r="L277" i="19"/>
  <c r="L261" i="19"/>
  <c r="L245" i="19"/>
  <c r="L229" i="19"/>
  <c r="L213" i="19"/>
  <c r="L197" i="19"/>
  <c r="L181" i="19"/>
  <c r="L165" i="19"/>
  <c r="L149" i="19"/>
  <c r="L133" i="19"/>
  <c r="L117" i="19"/>
  <c r="L116" i="19"/>
  <c r="L64" i="19"/>
  <c r="L42" i="19"/>
  <c r="L12" i="19"/>
  <c r="L35" i="19"/>
  <c r="L29" i="19"/>
  <c r="F320" i="20"/>
  <c r="F319" i="20"/>
  <c r="F138" i="20"/>
  <c r="F273" i="20"/>
  <c r="F315" i="20"/>
  <c r="F329" i="20"/>
  <c r="F265" i="20"/>
  <c r="F317" i="20"/>
  <c r="F194" i="20"/>
  <c r="F274" i="20"/>
  <c r="F234" i="20"/>
  <c r="F323" i="20"/>
  <c r="F316" i="20"/>
  <c r="F153" i="20"/>
  <c r="F322" i="20"/>
  <c r="F318" i="20"/>
  <c r="F321" i="20"/>
  <c r="F379" i="20"/>
  <c r="F272" i="20"/>
  <c r="F385" i="20"/>
  <c r="F10" i="20"/>
  <c r="F9" i="20"/>
  <c r="F195" i="20"/>
  <c r="F271" i="20"/>
  <c r="F139" i="20"/>
  <c r="F264" i="20"/>
  <c r="F379" i="15"/>
  <c r="X221" i="9"/>
  <c r="AS13" i="10"/>
  <c r="BB13" i="10" s="1"/>
  <c r="BF13" i="10" s="1"/>
  <c r="BH13" i="10"/>
  <c r="BE13" i="10" s="1"/>
  <c r="AS15" i="10"/>
  <c r="BB15" i="10" s="1"/>
  <c r="BF15" i="10" s="1"/>
  <c r="BH15" i="10"/>
  <c r="BE15" i="10" s="1"/>
  <c r="AS14" i="10"/>
  <c r="BB14" i="10" s="1"/>
  <c r="BF14" i="10" s="1"/>
  <c r="BH14" i="10"/>
  <c r="BE14" i="10" s="1"/>
  <c r="AS75" i="10"/>
  <c r="BB75" i="10" s="1"/>
  <c r="BF75" i="10" s="1"/>
  <c r="BG75" i="10" s="1"/>
  <c r="BH75" i="10"/>
  <c r="BE75" i="10" s="1"/>
  <c r="AS74" i="10"/>
  <c r="BB74" i="10" s="1"/>
  <c r="BF74" i="10" s="1"/>
  <c r="BH74" i="10"/>
  <c r="BE74" i="10" s="1"/>
  <c r="AS12" i="10"/>
  <c r="BB12" i="10" s="1"/>
  <c r="BF12" i="10" s="1"/>
  <c r="BH12" i="10"/>
  <c r="BE12" i="10" s="1"/>
  <c r="AS28" i="10"/>
  <c r="BB28" i="10" s="1"/>
  <c r="BH28" i="10"/>
  <c r="BE28" i="10" s="1"/>
  <c r="AS68" i="10"/>
  <c r="BB68" i="10" s="1"/>
  <c r="BF68" i="10" s="1"/>
  <c r="BG68" i="10" s="1"/>
  <c r="BH68" i="10"/>
  <c r="BE68" i="10" s="1"/>
  <c r="AS72" i="10"/>
  <c r="BB72" i="10" s="1"/>
  <c r="BF72" i="10" s="1"/>
  <c r="BH72" i="10"/>
  <c r="BE72" i="10" s="1"/>
  <c r="AS69" i="10"/>
  <c r="BB69" i="10" s="1"/>
  <c r="BF69" i="10" s="1"/>
  <c r="BG69" i="10" s="1"/>
  <c r="BH69" i="10"/>
  <c r="BE69" i="10" s="1"/>
  <c r="AS67" i="10"/>
  <c r="BB67" i="10" s="1"/>
  <c r="BF67" i="10" s="1"/>
  <c r="BH67" i="10"/>
  <c r="BE67" i="10" s="1"/>
  <c r="AS70" i="10"/>
  <c r="BB70" i="10" s="1"/>
  <c r="BF70" i="10" s="1"/>
  <c r="BH70" i="10"/>
  <c r="BE70" i="10" s="1"/>
  <c r="AS73" i="10"/>
  <c r="BB73" i="10" s="1"/>
  <c r="BF73" i="10" s="1"/>
  <c r="BH73" i="10"/>
  <c r="BE73" i="10" s="1"/>
  <c r="AS26" i="10"/>
  <c r="BB26" i="10" s="1"/>
  <c r="BH26" i="10"/>
  <c r="BE26" i="10" s="1"/>
  <c r="AS16" i="10"/>
  <c r="BB16" i="10" s="1"/>
  <c r="BF16" i="10" s="1"/>
  <c r="BH16" i="10"/>
  <c r="BE16" i="10" s="1"/>
  <c r="O80" i="10"/>
  <c r="AT80" i="10" s="1"/>
  <c r="X144" i="9"/>
  <c r="X37" i="3"/>
  <c r="B28" i="10"/>
  <c r="P80" i="10"/>
  <c r="Q80" i="10" s="1"/>
  <c r="AU80" i="10" s="1"/>
  <c r="A28" i="10"/>
  <c r="B26" i="10"/>
  <c r="A26" i="10"/>
  <c r="O26" i="10"/>
  <c r="AT26" i="10" s="1"/>
  <c r="S28" i="10"/>
  <c r="AV28" i="10" s="1"/>
  <c r="Q26" i="10"/>
  <c r="AU26" i="10" s="1"/>
  <c r="Q28" i="10"/>
  <c r="AU28" i="10" s="1"/>
  <c r="O28" i="10"/>
  <c r="AT28" i="10" s="1"/>
  <c r="BL28" i="10"/>
  <c r="S26" i="10"/>
  <c r="AV26" i="10" s="1"/>
  <c r="U26" i="10"/>
  <c r="AW26" i="10" s="1"/>
  <c r="AK235" i="15" l="1"/>
  <c r="AG379" i="15"/>
  <c r="AJ379" i="15"/>
  <c r="AH379" i="15"/>
  <c r="AI379" i="15" s="1"/>
  <c r="AG263" i="15"/>
  <c r="AJ263" i="15"/>
  <c r="AK263" i="15" s="1"/>
  <c r="AH263" i="15"/>
  <c r="AI263" i="15" s="1"/>
  <c r="AG20" i="15"/>
  <c r="AJ20" i="15"/>
  <c r="AH20" i="15"/>
  <c r="AI20" i="15" s="1"/>
  <c r="AG262" i="15"/>
  <c r="AJ262" i="15"/>
  <c r="AH262" i="15"/>
  <c r="AG255" i="15"/>
  <c r="AJ255" i="15"/>
  <c r="AH255" i="15"/>
  <c r="G384" i="15"/>
  <c r="H384" i="15" s="1"/>
  <c r="AG384" i="15"/>
  <c r="G386" i="15"/>
  <c r="H386" i="15" s="1"/>
  <c r="AG386" i="15"/>
  <c r="I139" i="20"/>
  <c r="J139" i="20" s="1"/>
  <c r="G139" i="20"/>
  <c r="H139" i="20" s="1"/>
  <c r="G317" i="20"/>
  <c r="H317" i="20" s="1"/>
  <c r="I317" i="20"/>
  <c r="J317" i="20" s="1"/>
  <c r="F378" i="15"/>
  <c r="AG378" i="15" s="1"/>
  <c r="F378" i="20"/>
  <c r="I138" i="20"/>
  <c r="J138" i="20" s="1"/>
  <c r="G138" i="20"/>
  <c r="H138" i="20" s="1"/>
  <c r="I153" i="20"/>
  <c r="J153" i="20" s="1"/>
  <c r="G153" i="20"/>
  <c r="H153" i="20" s="1"/>
  <c r="I316" i="20"/>
  <c r="J316" i="20" s="1"/>
  <c r="G316" i="20"/>
  <c r="H316" i="20" s="1"/>
  <c r="I183" i="15"/>
  <c r="J183" i="15" s="1"/>
  <c r="G183" i="15"/>
  <c r="H183" i="15" s="1"/>
  <c r="G184" i="15"/>
  <c r="H184" i="15" s="1"/>
  <c r="I184" i="15"/>
  <c r="J184" i="15" s="1"/>
  <c r="Y221" i="9"/>
  <c r="AY221" i="9" s="1"/>
  <c r="BF221" i="9" s="1"/>
  <c r="BH221" i="9"/>
  <c r="BE221" i="9" s="1"/>
  <c r="BG16" i="10"/>
  <c r="BD16" i="10" s="1"/>
  <c r="BG70" i="10"/>
  <c r="BD70" i="10" s="1"/>
  <c r="BG67" i="10"/>
  <c r="BD67" i="10" s="1"/>
  <c r="BG12" i="10"/>
  <c r="BD12" i="10" s="1"/>
  <c r="BG14" i="10"/>
  <c r="BD14" i="10" s="1"/>
  <c r="BG15" i="10"/>
  <c r="BD15" i="10" s="1"/>
  <c r="BG73" i="10"/>
  <c r="BD73" i="10" s="1"/>
  <c r="BG72" i="10"/>
  <c r="BD72" i="10" s="1"/>
  <c r="BG74" i="10"/>
  <c r="BD74" i="10" s="1"/>
  <c r="BG13" i="10"/>
  <c r="BD13" i="10" s="1"/>
  <c r="BD69" i="10"/>
  <c r="BC75" i="10"/>
  <c r="BD75" i="10"/>
  <c r="BD68" i="10"/>
  <c r="R80" i="10"/>
  <c r="S80" i="10" s="1"/>
  <c r="AV80" i="10" s="1"/>
  <c r="BC73" i="10"/>
  <c r="BC74" i="10"/>
  <c r="BC72" i="10"/>
  <c r="BF28" i="10"/>
  <c r="BG28" i="10" s="1"/>
  <c r="BC69" i="10"/>
  <c r="BC68" i="10"/>
  <c r="BC70" i="10"/>
  <c r="BC67" i="10"/>
  <c r="BF26" i="10"/>
  <c r="BG26" i="10" s="1"/>
  <c r="BC16" i="10"/>
  <c r="BC12" i="10"/>
  <c r="BC15" i="10"/>
  <c r="BC13" i="10"/>
  <c r="BC14" i="10"/>
  <c r="AJ266" i="15" l="1"/>
  <c r="AV24" i="15" s="1"/>
  <c r="AK262" i="15"/>
  <c r="AK266" i="15" s="1"/>
  <c r="AY24" i="15" s="1"/>
  <c r="AH266" i="15"/>
  <c r="AU24" i="15" s="1"/>
  <c r="AI262" i="15"/>
  <c r="AI266" i="15" s="1"/>
  <c r="AX24" i="15" s="1"/>
  <c r="AK379" i="15"/>
  <c r="AK20" i="15"/>
  <c r="AH257" i="15"/>
  <c r="AU23" i="15" s="1"/>
  <c r="AI255" i="15"/>
  <c r="AI257" i="15" s="1"/>
  <c r="AX23" i="15" s="1"/>
  <c r="AJ257" i="15"/>
  <c r="AV23" i="15" s="1"/>
  <c r="AK255" i="15"/>
  <c r="AK257" i="15" s="1"/>
  <c r="AY23" i="15" s="1"/>
  <c r="BG221" i="9"/>
  <c r="BD221" i="9" s="1"/>
  <c r="BC221" i="9"/>
  <c r="BD28" i="10"/>
  <c r="BD26" i="10"/>
  <c r="AR80" i="10"/>
  <c r="AS80" i="10" s="1"/>
  <c r="BB80" i="10" s="1"/>
  <c r="BF80" i="10" s="1"/>
  <c r="BC28" i="10"/>
  <c r="BC26" i="10"/>
  <c r="AZ24" i="15" l="1"/>
  <c r="AW24" i="15"/>
  <c r="AZ23" i="15"/>
  <c r="AW23" i="15"/>
  <c r="BG80" i="10"/>
  <c r="BD80" i="10" s="1"/>
  <c r="BH80" i="10"/>
  <c r="BE80" i="10" s="1"/>
  <c r="BC80" i="10"/>
  <c r="A5" i="7" l="1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O9" i="15" l="1"/>
  <c r="F9" i="15" s="1"/>
  <c r="AG9" i="15" s="1"/>
  <c r="O11" i="15" l="1"/>
  <c r="O12" i="15"/>
  <c r="O13" i="15"/>
  <c r="O14" i="15"/>
  <c r="O10" i="15"/>
  <c r="F10" i="15" s="1"/>
  <c r="AG10" i="15" s="1"/>
  <c r="H15" i="6"/>
  <c r="I15" i="6"/>
  <c r="J15" i="6"/>
  <c r="K15" i="6"/>
  <c r="G15" i="6"/>
  <c r="F360" i="20" l="1"/>
  <c r="F361" i="20"/>
  <c r="F372" i="20"/>
  <c r="Y61" i="10"/>
  <c r="AY61" i="10" s="1"/>
  <c r="O5" i="10"/>
  <c r="AT5" i="10" s="1"/>
  <c r="Q5" i="10"/>
  <c r="AU5" i="10" s="1"/>
  <c r="S5" i="10"/>
  <c r="AV5" i="10" s="1"/>
  <c r="U5" i="10"/>
  <c r="AW5" i="10" s="1"/>
  <c r="W5" i="10"/>
  <c r="AX5" i="10" s="1"/>
  <c r="Y5" i="10"/>
  <c r="AY5" i="10" s="1"/>
  <c r="AA5" i="10"/>
  <c r="AC5" i="10"/>
  <c r="AZ5" i="10" s="1"/>
  <c r="AE5" i="10"/>
  <c r="BA5" i="10" s="1"/>
  <c r="AR5" i="10"/>
  <c r="BI5" i="10"/>
  <c r="BJ5" i="10"/>
  <c r="BK5" i="10"/>
  <c r="BL5" i="10"/>
  <c r="O6" i="10"/>
  <c r="AT6" i="10" s="1"/>
  <c r="Q6" i="10"/>
  <c r="AU6" i="10" s="1"/>
  <c r="S6" i="10"/>
  <c r="AV6" i="10" s="1"/>
  <c r="U6" i="10"/>
  <c r="AW6" i="10" s="1"/>
  <c r="W6" i="10"/>
  <c r="AX6" i="10" s="1"/>
  <c r="Y6" i="10"/>
  <c r="AY6" i="10" s="1"/>
  <c r="AA6" i="10"/>
  <c r="AC6" i="10"/>
  <c r="AZ6" i="10" s="1"/>
  <c r="AE6" i="10"/>
  <c r="BA6" i="10" s="1"/>
  <c r="AR6" i="10"/>
  <c r="BI6" i="10"/>
  <c r="BJ6" i="10"/>
  <c r="BK6" i="10"/>
  <c r="BL6" i="10"/>
  <c r="O7" i="10"/>
  <c r="AT7" i="10" s="1"/>
  <c r="Q7" i="10"/>
  <c r="AU7" i="10" s="1"/>
  <c r="S7" i="10"/>
  <c r="AV7" i="10" s="1"/>
  <c r="U7" i="10"/>
  <c r="AW7" i="10" s="1"/>
  <c r="W7" i="10"/>
  <c r="AX7" i="10" s="1"/>
  <c r="Y7" i="10"/>
  <c r="AY7" i="10" s="1"/>
  <c r="AA7" i="10"/>
  <c r="AC7" i="10"/>
  <c r="AZ7" i="10" s="1"/>
  <c r="AE7" i="10"/>
  <c r="BA7" i="10" s="1"/>
  <c r="AR7" i="10"/>
  <c r="BI7" i="10"/>
  <c r="BJ7" i="10"/>
  <c r="BK7" i="10"/>
  <c r="BL7" i="10"/>
  <c r="O8" i="10"/>
  <c r="AT8" i="10" s="1"/>
  <c r="Q8" i="10"/>
  <c r="AU8" i="10" s="1"/>
  <c r="S8" i="10"/>
  <c r="AV8" i="10" s="1"/>
  <c r="U8" i="10"/>
  <c r="AW8" i="10" s="1"/>
  <c r="W8" i="10"/>
  <c r="AX8" i="10" s="1"/>
  <c r="Y8" i="10"/>
  <c r="AY8" i="10" s="1"/>
  <c r="AA8" i="10"/>
  <c r="AC8" i="10"/>
  <c r="AZ8" i="10" s="1"/>
  <c r="AE8" i="10"/>
  <c r="BA8" i="10" s="1"/>
  <c r="AR8" i="10"/>
  <c r="BI8" i="10"/>
  <c r="BJ8" i="10"/>
  <c r="BK8" i="10"/>
  <c r="BL8" i="10"/>
  <c r="O9" i="10"/>
  <c r="AT9" i="10" s="1"/>
  <c r="Q9" i="10"/>
  <c r="AU9" i="10" s="1"/>
  <c r="S9" i="10"/>
  <c r="AV9" i="10" s="1"/>
  <c r="U9" i="10"/>
  <c r="AW9" i="10" s="1"/>
  <c r="W9" i="10"/>
  <c r="AX9" i="10" s="1"/>
  <c r="Y9" i="10"/>
  <c r="AY9" i="10" s="1"/>
  <c r="AA9" i="10"/>
  <c r="AC9" i="10"/>
  <c r="AZ9" i="10" s="1"/>
  <c r="AE9" i="10"/>
  <c r="BA9" i="10" s="1"/>
  <c r="AR9" i="10"/>
  <c r="BI9" i="10"/>
  <c r="BJ9" i="10"/>
  <c r="BK9" i="10"/>
  <c r="BL9" i="10"/>
  <c r="O10" i="10"/>
  <c r="AT10" i="10" s="1"/>
  <c r="Q10" i="10"/>
  <c r="AU10" i="10" s="1"/>
  <c r="S10" i="10"/>
  <c r="AV10" i="10" s="1"/>
  <c r="U10" i="10"/>
  <c r="AW10" i="10" s="1"/>
  <c r="W10" i="10"/>
  <c r="AA10" i="10"/>
  <c r="AC10" i="10"/>
  <c r="AZ10" i="10" s="1"/>
  <c r="AE10" i="10"/>
  <c r="BA10" i="10" s="1"/>
  <c r="AR10" i="10"/>
  <c r="AS10" i="10" s="1"/>
  <c r="BB10" i="10" s="1"/>
  <c r="BI10" i="10"/>
  <c r="BJ10" i="10"/>
  <c r="BK10" i="10"/>
  <c r="BL10" i="10"/>
  <c r="O11" i="10"/>
  <c r="AT11" i="10" s="1"/>
  <c r="Q11" i="10"/>
  <c r="AU11" i="10" s="1"/>
  <c r="S11" i="10"/>
  <c r="AV11" i="10" s="1"/>
  <c r="U11" i="10"/>
  <c r="AW11" i="10" s="1"/>
  <c r="W11" i="10"/>
  <c r="AA11" i="10"/>
  <c r="AC11" i="10"/>
  <c r="AZ11" i="10" s="1"/>
  <c r="AE11" i="10"/>
  <c r="BA11" i="10" s="1"/>
  <c r="AR11" i="10"/>
  <c r="AS11" i="10" s="1"/>
  <c r="BI11" i="10"/>
  <c r="BJ11" i="10"/>
  <c r="BK11" i="10"/>
  <c r="BL11" i="10"/>
  <c r="O19" i="10"/>
  <c r="Q19" i="10"/>
  <c r="S19" i="10"/>
  <c r="U19" i="10"/>
  <c r="AW19" i="10" s="1"/>
  <c r="W19" i="10"/>
  <c r="AX19" i="10" s="1"/>
  <c r="Y19" i="10"/>
  <c r="AY19" i="10" s="1"/>
  <c r="AA19" i="10"/>
  <c r="AC19" i="10"/>
  <c r="AZ19" i="10" s="1"/>
  <c r="AE19" i="10"/>
  <c r="BA19" i="10" s="1"/>
  <c r="AR19" i="10"/>
  <c r="AT19" i="10"/>
  <c r="AU19" i="10"/>
  <c r="AV19" i="10"/>
  <c r="BI19" i="10"/>
  <c r="BJ19" i="10"/>
  <c r="BK19" i="10"/>
  <c r="BL19" i="10"/>
  <c r="U20" i="10"/>
  <c r="AW20" i="10" s="1"/>
  <c r="W20" i="10"/>
  <c r="AX20" i="10" s="1"/>
  <c r="Y20" i="10"/>
  <c r="AY20" i="10" s="1"/>
  <c r="AA20" i="10"/>
  <c r="AC20" i="10"/>
  <c r="AZ20" i="10" s="1"/>
  <c r="AE20" i="10"/>
  <c r="BA20" i="10" s="1"/>
  <c r="AR20" i="10"/>
  <c r="AT20" i="10"/>
  <c r="AU20" i="10"/>
  <c r="AV20" i="10"/>
  <c r="BI20" i="10"/>
  <c r="BJ20" i="10"/>
  <c r="BK20" i="10"/>
  <c r="O21" i="10"/>
  <c r="Q21" i="10"/>
  <c r="S21" i="10"/>
  <c r="U21" i="10"/>
  <c r="AW21" i="10" s="1"/>
  <c r="W21" i="10"/>
  <c r="AX21" i="10" s="1"/>
  <c r="Y21" i="10"/>
  <c r="AY21" i="10" s="1"/>
  <c r="AA21" i="10"/>
  <c r="AC21" i="10"/>
  <c r="AZ21" i="10" s="1"/>
  <c r="AE21" i="10"/>
  <c r="BA21" i="10" s="1"/>
  <c r="AR21" i="10"/>
  <c r="AT21" i="10"/>
  <c r="AU21" i="10"/>
  <c r="AV21" i="10"/>
  <c r="BI21" i="10"/>
  <c r="BJ21" i="10"/>
  <c r="BK21" i="10"/>
  <c r="BL21" i="10"/>
  <c r="O22" i="10"/>
  <c r="Q22" i="10"/>
  <c r="S22" i="10"/>
  <c r="U22" i="10"/>
  <c r="AW22" i="10" s="1"/>
  <c r="W22" i="10"/>
  <c r="AX22" i="10" s="1"/>
  <c r="Y22" i="10"/>
  <c r="AY22" i="10" s="1"/>
  <c r="AA22" i="10"/>
  <c r="AC22" i="10"/>
  <c r="AZ22" i="10" s="1"/>
  <c r="AE22" i="10"/>
  <c r="BA22" i="10" s="1"/>
  <c r="AR22" i="10"/>
  <c r="AT22" i="10"/>
  <c r="AU22" i="10"/>
  <c r="AV22" i="10"/>
  <c r="BI22" i="10"/>
  <c r="BJ22" i="10"/>
  <c r="BK22" i="10"/>
  <c r="BL22" i="10"/>
  <c r="U23" i="10"/>
  <c r="AW23" i="10" s="1"/>
  <c r="W23" i="10"/>
  <c r="AX23" i="10" s="1"/>
  <c r="Y23" i="10"/>
  <c r="AY23" i="10" s="1"/>
  <c r="AA23" i="10"/>
  <c r="AC23" i="10"/>
  <c r="AZ23" i="10" s="1"/>
  <c r="AE23" i="10"/>
  <c r="BA23" i="10" s="1"/>
  <c r="AR23" i="10"/>
  <c r="AT23" i="10"/>
  <c r="AU23" i="10"/>
  <c r="AV23" i="10"/>
  <c r="BI23" i="10"/>
  <c r="BJ23" i="10"/>
  <c r="BK23" i="10"/>
  <c r="O24" i="10"/>
  <c r="Q24" i="10"/>
  <c r="S24" i="10"/>
  <c r="U24" i="10"/>
  <c r="AW24" i="10" s="1"/>
  <c r="W24" i="10"/>
  <c r="AX24" i="10" s="1"/>
  <c r="Y24" i="10"/>
  <c r="AY24" i="10" s="1"/>
  <c r="AA24" i="10"/>
  <c r="AC24" i="10"/>
  <c r="AZ24" i="10" s="1"/>
  <c r="AE24" i="10"/>
  <c r="BA24" i="10" s="1"/>
  <c r="AR24" i="10"/>
  <c r="AT24" i="10"/>
  <c r="AU24" i="10"/>
  <c r="AV24" i="10"/>
  <c r="BI24" i="10"/>
  <c r="BJ24" i="10"/>
  <c r="BK24" i="10"/>
  <c r="BL24" i="10"/>
  <c r="W25" i="10"/>
  <c r="AA25" i="10"/>
  <c r="AC25" i="10"/>
  <c r="AZ25" i="10" s="1"/>
  <c r="AE25" i="10"/>
  <c r="BA25" i="10" s="1"/>
  <c r="AR25" i="10"/>
  <c r="AS25" i="10" s="1"/>
  <c r="BI25" i="10"/>
  <c r="BJ25" i="10"/>
  <c r="BK25" i="10"/>
  <c r="W27" i="10"/>
  <c r="AA27" i="10"/>
  <c r="AC27" i="10"/>
  <c r="AZ27" i="10" s="1"/>
  <c r="AE27" i="10"/>
  <c r="BA27" i="10" s="1"/>
  <c r="AR27" i="10"/>
  <c r="AS27" i="10" s="1"/>
  <c r="BI27" i="10"/>
  <c r="BJ27" i="10"/>
  <c r="BK27" i="10"/>
  <c r="U29" i="10"/>
  <c r="AW29" i="10" s="1"/>
  <c r="W29" i="10"/>
  <c r="AA29" i="10"/>
  <c r="AC29" i="10"/>
  <c r="AZ29" i="10" s="1"/>
  <c r="AR29" i="10"/>
  <c r="AS29" i="10" s="1"/>
  <c r="BI29" i="10"/>
  <c r="BJ29" i="10"/>
  <c r="BK29" i="10"/>
  <c r="U30" i="10"/>
  <c r="AW30" i="10" s="1"/>
  <c r="W30" i="10"/>
  <c r="AX30" i="10" s="1"/>
  <c r="Y30" i="10"/>
  <c r="AY30" i="10" s="1"/>
  <c r="AA30" i="10"/>
  <c r="AC30" i="10"/>
  <c r="AZ30" i="10" s="1"/>
  <c r="AE30" i="10"/>
  <c r="BA30" i="10" s="1"/>
  <c r="AR30" i="10"/>
  <c r="BH30" i="10" s="1"/>
  <c r="BI30" i="10"/>
  <c r="BJ30" i="10"/>
  <c r="BK30" i="10"/>
  <c r="U31" i="10"/>
  <c r="AW31" i="10" s="1"/>
  <c r="W31" i="10"/>
  <c r="AX31" i="10" s="1"/>
  <c r="Y31" i="10"/>
  <c r="AY31" i="10" s="1"/>
  <c r="AA31" i="10"/>
  <c r="AC31" i="10"/>
  <c r="AZ31" i="10" s="1"/>
  <c r="AE31" i="10"/>
  <c r="BA31" i="10" s="1"/>
  <c r="AR31" i="10"/>
  <c r="BH31" i="10" s="1"/>
  <c r="BI31" i="10"/>
  <c r="BJ31" i="10"/>
  <c r="BK31" i="10"/>
  <c r="U32" i="10"/>
  <c r="AW32" i="10" s="1"/>
  <c r="W32" i="10"/>
  <c r="AX32" i="10" s="1"/>
  <c r="Y32" i="10"/>
  <c r="AY32" i="10" s="1"/>
  <c r="AA32" i="10"/>
  <c r="AC32" i="10"/>
  <c r="AZ32" i="10" s="1"/>
  <c r="AE32" i="10"/>
  <c r="BA32" i="10" s="1"/>
  <c r="AR32" i="10"/>
  <c r="BI32" i="10"/>
  <c r="BJ32" i="10"/>
  <c r="BK32" i="10"/>
  <c r="Q33" i="10"/>
  <c r="AU33" i="10" s="1"/>
  <c r="U33" i="10"/>
  <c r="AW33" i="10" s="1"/>
  <c r="W33" i="10"/>
  <c r="AX33" i="10" s="1"/>
  <c r="Y33" i="10"/>
  <c r="AY33" i="10" s="1"/>
  <c r="AA33" i="10"/>
  <c r="AC33" i="10"/>
  <c r="AZ33" i="10" s="1"/>
  <c r="AE33" i="10"/>
  <c r="BA33" i="10" s="1"/>
  <c r="AR33" i="10"/>
  <c r="BI33" i="10"/>
  <c r="BJ33" i="10"/>
  <c r="BK33" i="10"/>
  <c r="U34" i="10"/>
  <c r="AW34" i="10" s="1"/>
  <c r="W34" i="10"/>
  <c r="AX34" i="10" s="1"/>
  <c r="Y34" i="10"/>
  <c r="AY34" i="10" s="1"/>
  <c r="AA34" i="10"/>
  <c r="AC34" i="10"/>
  <c r="AZ34" i="10" s="1"/>
  <c r="AE34" i="10"/>
  <c r="BA34" i="10" s="1"/>
  <c r="AR34" i="10"/>
  <c r="BI34" i="10"/>
  <c r="BJ34" i="10"/>
  <c r="BK34" i="10"/>
  <c r="U35" i="10"/>
  <c r="AW35" i="10" s="1"/>
  <c r="W35" i="10"/>
  <c r="AX35" i="10" s="1"/>
  <c r="Y35" i="10"/>
  <c r="AY35" i="10" s="1"/>
  <c r="AA35" i="10"/>
  <c r="AC35" i="10"/>
  <c r="AZ35" i="10" s="1"/>
  <c r="AE35" i="10"/>
  <c r="BA35" i="10" s="1"/>
  <c r="AR35" i="10"/>
  <c r="AT35" i="10"/>
  <c r="AU35" i="10"/>
  <c r="AV35" i="10"/>
  <c r="BI35" i="10"/>
  <c r="BJ35" i="10"/>
  <c r="BK35" i="10"/>
  <c r="BL35" i="10"/>
  <c r="O37" i="10"/>
  <c r="AT37" i="10" s="1"/>
  <c r="Q37" i="10"/>
  <c r="AU37" i="10" s="1"/>
  <c r="S37" i="10"/>
  <c r="AV37" i="10" s="1"/>
  <c r="U37" i="10"/>
  <c r="AW37" i="10" s="1"/>
  <c r="W37" i="10"/>
  <c r="AX37" i="10" s="1"/>
  <c r="Y37" i="10"/>
  <c r="AY37" i="10" s="1"/>
  <c r="AA37" i="10"/>
  <c r="AC37" i="10"/>
  <c r="AZ37" i="10" s="1"/>
  <c r="AE37" i="10"/>
  <c r="BA37" i="10" s="1"/>
  <c r="AR37" i="10"/>
  <c r="BI37" i="10"/>
  <c r="BJ37" i="10"/>
  <c r="BK37" i="10"/>
  <c r="BL37" i="10"/>
  <c r="U38" i="10"/>
  <c r="AW38" i="10" s="1"/>
  <c r="W38" i="10"/>
  <c r="AA38" i="10"/>
  <c r="AC38" i="10"/>
  <c r="AZ38" i="10" s="1"/>
  <c r="AR38" i="10"/>
  <c r="AS38" i="10" s="1"/>
  <c r="BI38" i="10"/>
  <c r="BJ38" i="10"/>
  <c r="BK38" i="10"/>
  <c r="U39" i="10"/>
  <c r="AW39" i="10" s="1"/>
  <c r="W39" i="10"/>
  <c r="AX39" i="10" s="1"/>
  <c r="Y39" i="10"/>
  <c r="AY39" i="10" s="1"/>
  <c r="AA39" i="10"/>
  <c r="AC39" i="10"/>
  <c r="AZ39" i="10" s="1"/>
  <c r="AE39" i="10"/>
  <c r="BA39" i="10" s="1"/>
  <c r="AR39" i="10"/>
  <c r="BH39" i="10" s="1"/>
  <c r="BI39" i="10"/>
  <c r="BJ39" i="10"/>
  <c r="BK39" i="10"/>
  <c r="U40" i="10"/>
  <c r="AW40" i="10" s="1"/>
  <c r="W40" i="10"/>
  <c r="AX40" i="10" s="1"/>
  <c r="Y40" i="10"/>
  <c r="AY40" i="10" s="1"/>
  <c r="AA40" i="10"/>
  <c r="AC40" i="10"/>
  <c r="AZ40" i="10" s="1"/>
  <c r="AE40" i="10"/>
  <c r="BA40" i="10" s="1"/>
  <c r="AR40" i="10"/>
  <c r="BH40" i="10" s="1"/>
  <c r="BI40" i="10"/>
  <c r="BJ40" i="10"/>
  <c r="BK40" i="10"/>
  <c r="U42" i="10"/>
  <c r="AW42" i="10" s="1"/>
  <c r="W42" i="10"/>
  <c r="AX42" i="10" s="1"/>
  <c r="Y42" i="10"/>
  <c r="AY42" i="10" s="1"/>
  <c r="AA42" i="10"/>
  <c r="AC42" i="10"/>
  <c r="AZ42" i="10" s="1"/>
  <c r="AE42" i="10"/>
  <c r="BA42" i="10" s="1"/>
  <c r="AR42" i="10"/>
  <c r="BI42" i="10"/>
  <c r="BJ42" i="10"/>
  <c r="BK42" i="10"/>
  <c r="Q41" i="10"/>
  <c r="AU41" i="10" s="1"/>
  <c r="U41" i="10"/>
  <c r="AW41" i="10" s="1"/>
  <c r="W41" i="10"/>
  <c r="AX41" i="10" s="1"/>
  <c r="Y41" i="10"/>
  <c r="AY41" i="10" s="1"/>
  <c r="AA41" i="10"/>
  <c r="AC41" i="10"/>
  <c r="AZ41" i="10" s="1"/>
  <c r="AE41" i="10"/>
  <c r="BA41" i="10" s="1"/>
  <c r="AR41" i="10"/>
  <c r="BI41" i="10"/>
  <c r="BJ41" i="10"/>
  <c r="BK41" i="10"/>
  <c r="U43" i="10"/>
  <c r="AW43" i="10" s="1"/>
  <c r="W43" i="10"/>
  <c r="AA43" i="10"/>
  <c r="AC43" i="10"/>
  <c r="AZ43" i="10" s="1"/>
  <c r="AR43" i="10"/>
  <c r="AS43" i="10" s="1"/>
  <c r="BI43" i="10"/>
  <c r="BJ43" i="10"/>
  <c r="BK43" i="10"/>
  <c r="U44" i="10"/>
  <c r="AW44" i="10" s="1"/>
  <c r="W44" i="10"/>
  <c r="AX44" i="10" s="1"/>
  <c r="Y44" i="10"/>
  <c r="AY44" i="10" s="1"/>
  <c r="AA44" i="10"/>
  <c r="AC44" i="10"/>
  <c r="AZ44" i="10" s="1"/>
  <c r="AE44" i="10"/>
  <c r="BA44" i="10" s="1"/>
  <c r="AR44" i="10"/>
  <c r="BH44" i="10" s="1"/>
  <c r="BI44" i="10"/>
  <c r="BJ44" i="10"/>
  <c r="BK44" i="10"/>
  <c r="U45" i="10"/>
  <c r="AW45" i="10" s="1"/>
  <c r="W45" i="10"/>
  <c r="AX45" i="10" s="1"/>
  <c r="Y45" i="10"/>
  <c r="AY45" i="10" s="1"/>
  <c r="AA45" i="10"/>
  <c r="AC45" i="10"/>
  <c r="AZ45" i="10" s="1"/>
  <c r="AE45" i="10"/>
  <c r="BA45" i="10" s="1"/>
  <c r="AR45" i="10"/>
  <c r="BH45" i="10" s="1"/>
  <c r="BI45" i="10"/>
  <c r="BJ45" i="10"/>
  <c r="BK45" i="10"/>
  <c r="U46" i="10"/>
  <c r="AW46" i="10" s="1"/>
  <c r="W46" i="10"/>
  <c r="AX46" i="10" s="1"/>
  <c r="Y46" i="10"/>
  <c r="AY46" i="10" s="1"/>
  <c r="AA46" i="10"/>
  <c r="AC46" i="10"/>
  <c r="AZ46" i="10" s="1"/>
  <c r="AE46" i="10"/>
  <c r="BA46" i="10" s="1"/>
  <c r="AR46" i="10"/>
  <c r="BH46" i="10" s="1"/>
  <c r="BI46" i="10"/>
  <c r="BJ46" i="10"/>
  <c r="BK46" i="10"/>
  <c r="U48" i="10"/>
  <c r="AW48" i="10" s="1"/>
  <c r="W48" i="10"/>
  <c r="AX48" i="10" s="1"/>
  <c r="Y48" i="10"/>
  <c r="AY48" i="10" s="1"/>
  <c r="AA48" i="10"/>
  <c r="AC48" i="10"/>
  <c r="AZ48" i="10" s="1"/>
  <c r="AE48" i="10"/>
  <c r="BA48" i="10" s="1"/>
  <c r="AR48" i="10"/>
  <c r="BI48" i="10"/>
  <c r="BJ48" i="10"/>
  <c r="BK48" i="10"/>
  <c r="Q47" i="10"/>
  <c r="AU47" i="10" s="1"/>
  <c r="U47" i="10"/>
  <c r="AW47" i="10" s="1"/>
  <c r="W47" i="10"/>
  <c r="AX47" i="10" s="1"/>
  <c r="Y47" i="10"/>
  <c r="AY47" i="10" s="1"/>
  <c r="AA47" i="10"/>
  <c r="AC47" i="10"/>
  <c r="AZ47" i="10" s="1"/>
  <c r="AE47" i="10"/>
  <c r="BA47" i="10" s="1"/>
  <c r="AR47" i="10"/>
  <c r="BI47" i="10"/>
  <c r="BJ47" i="10"/>
  <c r="BK47" i="10"/>
  <c r="U49" i="10"/>
  <c r="AW49" i="10" s="1"/>
  <c r="W49" i="10"/>
  <c r="AA49" i="10"/>
  <c r="AC49" i="10"/>
  <c r="AZ49" i="10" s="1"/>
  <c r="AR49" i="10"/>
  <c r="AS49" i="10" s="1"/>
  <c r="BI49" i="10"/>
  <c r="BJ49" i="10"/>
  <c r="BK49" i="10"/>
  <c r="U50" i="10"/>
  <c r="AW50" i="10" s="1"/>
  <c r="W50" i="10"/>
  <c r="AX50" i="10" s="1"/>
  <c r="Y50" i="10"/>
  <c r="AY50" i="10" s="1"/>
  <c r="AA50" i="10"/>
  <c r="AC50" i="10"/>
  <c r="AZ50" i="10" s="1"/>
  <c r="AE50" i="10"/>
  <c r="BA50" i="10" s="1"/>
  <c r="AR50" i="10"/>
  <c r="BH50" i="10" s="1"/>
  <c r="BI50" i="10"/>
  <c r="BJ50" i="10"/>
  <c r="BK50" i="10"/>
  <c r="U51" i="10"/>
  <c r="AW51" i="10" s="1"/>
  <c r="W51" i="10"/>
  <c r="AX51" i="10" s="1"/>
  <c r="Y51" i="10"/>
  <c r="AY51" i="10" s="1"/>
  <c r="AA51" i="10"/>
  <c r="AC51" i="10"/>
  <c r="AZ51" i="10" s="1"/>
  <c r="AE51" i="10"/>
  <c r="BA51" i="10" s="1"/>
  <c r="AR51" i="10"/>
  <c r="BH51" i="10" s="1"/>
  <c r="BI51" i="10"/>
  <c r="BJ51" i="10"/>
  <c r="BK51" i="10"/>
  <c r="U52" i="10"/>
  <c r="AW52" i="10" s="1"/>
  <c r="W52" i="10"/>
  <c r="AX52" i="10" s="1"/>
  <c r="Y52" i="10"/>
  <c r="AY52" i="10" s="1"/>
  <c r="AA52" i="10"/>
  <c r="AC52" i="10"/>
  <c r="AZ52" i="10" s="1"/>
  <c r="AE52" i="10"/>
  <c r="BA52" i="10" s="1"/>
  <c r="AR52" i="10"/>
  <c r="BH52" i="10" s="1"/>
  <c r="BI52" i="10"/>
  <c r="BJ52" i="10"/>
  <c r="BK52" i="10"/>
  <c r="U54" i="10"/>
  <c r="AW54" i="10" s="1"/>
  <c r="W54" i="10"/>
  <c r="AX54" i="10" s="1"/>
  <c r="Y54" i="10"/>
  <c r="AY54" i="10" s="1"/>
  <c r="AA54" i="10"/>
  <c r="AC54" i="10"/>
  <c r="AZ54" i="10" s="1"/>
  <c r="AE54" i="10"/>
  <c r="BA54" i="10" s="1"/>
  <c r="AR54" i="10"/>
  <c r="BI54" i="10"/>
  <c r="BJ54" i="10"/>
  <c r="BK54" i="10"/>
  <c r="Q53" i="10"/>
  <c r="AU53" i="10" s="1"/>
  <c r="U53" i="10"/>
  <c r="AW53" i="10" s="1"/>
  <c r="W53" i="10"/>
  <c r="AX53" i="10" s="1"/>
  <c r="Y53" i="10"/>
  <c r="AY53" i="10" s="1"/>
  <c r="AA53" i="10"/>
  <c r="AC53" i="10"/>
  <c r="AZ53" i="10" s="1"/>
  <c r="AE53" i="10"/>
  <c r="BA53" i="10" s="1"/>
  <c r="AR53" i="10"/>
  <c r="BI53" i="10"/>
  <c r="BJ53" i="10"/>
  <c r="BK53" i="10"/>
  <c r="U55" i="10"/>
  <c r="AW55" i="10" s="1"/>
  <c r="W55" i="10"/>
  <c r="AA55" i="10"/>
  <c r="AC55" i="10"/>
  <c r="AZ55" i="10" s="1"/>
  <c r="AR55" i="10"/>
  <c r="AS55" i="10" s="1"/>
  <c r="BI55" i="10"/>
  <c r="BJ55" i="10"/>
  <c r="BK55" i="10"/>
  <c r="U56" i="10"/>
  <c r="AW56" i="10" s="1"/>
  <c r="W56" i="10"/>
  <c r="AX56" i="10" s="1"/>
  <c r="Y56" i="10"/>
  <c r="AY56" i="10" s="1"/>
  <c r="AA56" i="10"/>
  <c r="AC56" i="10"/>
  <c r="AZ56" i="10" s="1"/>
  <c r="AE56" i="10"/>
  <c r="BA56" i="10" s="1"/>
  <c r="AR56" i="10"/>
  <c r="BH56" i="10" s="1"/>
  <c r="BI56" i="10"/>
  <c r="BJ56" i="10"/>
  <c r="BK56" i="10"/>
  <c r="U57" i="10"/>
  <c r="AW57" i="10" s="1"/>
  <c r="W57" i="10"/>
  <c r="AX57" i="10" s="1"/>
  <c r="Y57" i="10"/>
  <c r="AY57" i="10" s="1"/>
  <c r="AA57" i="10"/>
  <c r="AC57" i="10"/>
  <c r="AZ57" i="10" s="1"/>
  <c r="AE57" i="10"/>
  <c r="BA57" i="10" s="1"/>
  <c r="AR57" i="10"/>
  <c r="BH57" i="10" s="1"/>
  <c r="BI57" i="10"/>
  <c r="BJ57" i="10"/>
  <c r="BK57" i="10"/>
  <c r="U58" i="10"/>
  <c r="AW58" i="10" s="1"/>
  <c r="W58" i="10"/>
  <c r="AX58" i="10" s="1"/>
  <c r="Y58" i="10"/>
  <c r="AY58" i="10" s="1"/>
  <c r="AA58" i="10"/>
  <c r="AC58" i="10"/>
  <c r="AZ58" i="10" s="1"/>
  <c r="AE58" i="10"/>
  <c r="BA58" i="10" s="1"/>
  <c r="AR58" i="10"/>
  <c r="BH58" i="10" s="1"/>
  <c r="BI58" i="10"/>
  <c r="BJ58" i="10"/>
  <c r="BK58" i="10"/>
  <c r="U60" i="10"/>
  <c r="AW60" i="10" s="1"/>
  <c r="W60" i="10"/>
  <c r="AX60" i="10" s="1"/>
  <c r="Y60" i="10"/>
  <c r="AY60" i="10" s="1"/>
  <c r="AA60" i="10"/>
  <c r="AC60" i="10"/>
  <c r="AZ60" i="10" s="1"/>
  <c r="AE60" i="10"/>
  <c r="BA60" i="10" s="1"/>
  <c r="AR60" i="10"/>
  <c r="BI60" i="10"/>
  <c r="BJ60" i="10"/>
  <c r="BK60" i="10"/>
  <c r="Q59" i="10"/>
  <c r="AU59" i="10" s="1"/>
  <c r="U59" i="10"/>
  <c r="AW59" i="10" s="1"/>
  <c r="W59" i="10"/>
  <c r="AX59" i="10" s="1"/>
  <c r="Y59" i="10"/>
  <c r="AY59" i="10" s="1"/>
  <c r="AA59" i="10"/>
  <c r="AC59" i="10"/>
  <c r="AZ59" i="10" s="1"/>
  <c r="AE59" i="10"/>
  <c r="BA59" i="10" s="1"/>
  <c r="AR59" i="10"/>
  <c r="BI59" i="10"/>
  <c r="BJ59" i="10"/>
  <c r="BK59" i="10"/>
  <c r="O61" i="10"/>
  <c r="Q61" i="10"/>
  <c r="AU61" i="10" s="1"/>
  <c r="S61" i="10"/>
  <c r="U61" i="10"/>
  <c r="AW61" i="10" s="1"/>
  <c r="W61" i="10"/>
  <c r="AX61" i="10" s="1"/>
  <c r="AA61" i="10"/>
  <c r="AC61" i="10"/>
  <c r="AZ61" i="10" s="1"/>
  <c r="AE61" i="10"/>
  <c r="BA61" i="10" s="1"/>
  <c r="AR61" i="10"/>
  <c r="BI61" i="10"/>
  <c r="BJ61" i="10"/>
  <c r="BK61" i="10"/>
  <c r="BL61" i="10"/>
  <c r="O62" i="10"/>
  <c r="AT62" i="10" s="1"/>
  <c r="Q62" i="10"/>
  <c r="AU62" i="10" s="1"/>
  <c r="S62" i="10"/>
  <c r="AV62" i="10" s="1"/>
  <c r="U62" i="10"/>
  <c r="AW62" i="10" s="1"/>
  <c r="W62" i="10"/>
  <c r="AA62" i="10"/>
  <c r="AC62" i="10"/>
  <c r="AZ62" i="10" s="1"/>
  <c r="AE62" i="10"/>
  <c r="BA62" i="10" s="1"/>
  <c r="AR62" i="10"/>
  <c r="AS62" i="10" s="1"/>
  <c r="BB62" i="10" s="1"/>
  <c r="BI62" i="10"/>
  <c r="BJ62" i="10"/>
  <c r="BK62" i="10"/>
  <c r="BL62" i="10"/>
  <c r="O63" i="10"/>
  <c r="AT63" i="10" s="1"/>
  <c r="Q63" i="10"/>
  <c r="AU63" i="10" s="1"/>
  <c r="S63" i="10"/>
  <c r="AV63" i="10" s="1"/>
  <c r="U63" i="10"/>
  <c r="AW63" i="10" s="1"/>
  <c r="W63" i="10"/>
  <c r="AX63" i="10" s="1"/>
  <c r="Y63" i="10"/>
  <c r="AY63" i="10" s="1"/>
  <c r="AA63" i="10"/>
  <c r="AC63" i="10"/>
  <c r="AZ63" i="10" s="1"/>
  <c r="AE63" i="10"/>
  <c r="BA63" i="10" s="1"/>
  <c r="AR63" i="10"/>
  <c r="BI63" i="10"/>
  <c r="BJ63" i="10"/>
  <c r="BK63" i="10"/>
  <c r="BL63" i="10"/>
  <c r="O64" i="10"/>
  <c r="AT64" i="10" s="1"/>
  <c r="Q64" i="10"/>
  <c r="AU64" i="10" s="1"/>
  <c r="S64" i="10"/>
  <c r="AV64" i="10" s="1"/>
  <c r="U64" i="10"/>
  <c r="AW64" i="10" s="1"/>
  <c r="W64" i="10"/>
  <c r="AX64" i="10" s="1"/>
  <c r="Y64" i="10"/>
  <c r="AY64" i="10" s="1"/>
  <c r="AA64" i="10"/>
  <c r="AC64" i="10"/>
  <c r="AZ64" i="10" s="1"/>
  <c r="AE64" i="10"/>
  <c r="BA64" i="10" s="1"/>
  <c r="AR64" i="10"/>
  <c r="BI64" i="10"/>
  <c r="BJ64" i="10"/>
  <c r="BK64" i="10"/>
  <c r="BL64" i="10"/>
  <c r="O65" i="10"/>
  <c r="AT65" i="10" s="1"/>
  <c r="Q65" i="10"/>
  <c r="AU65" i="10" s="1"/>
  <c r="S65" i="10"/>
  <c r="AV65" i="10" s="1"/>
  <c r="U65" i="10"/>
  <c r="AW65" i="10" s="1"/>
  <c r="W65" i="10"/>
  <c r="AA65" i="10"/>
  <c r="AC65" i="10"/>
  <c r="AZ65" i="10" s="1"/>
  <c r="AE65" i="10"/>
  <c r="BA65" i="10" s="1"/>
  <c r="AR65" i="10"/>
  <c r="AS65" i="10" s="1"/>
  <c r="BI65" i="10"/>
  <c r="BJ65" i="10"/>
  <c r="BK65" i="10"/>
  <c r="BL65" i="10"/>
  <c r="O66" i="10"/>
  <c r="AT66" i="10" s="1"/>
  <c r="Q66" i="10"/>
  <c r="AU66" i="10" s="1"/>
  <c r="S66" i="10"/>
  <c r="AV66" i="10" s="1"/>
  <c r="U66" i="10"/>
  <c r="AW66" i="10" s="1"/>
  <c r="W66" i="10"/>
  <c r="AX66" i="10" s="1"/>
  <c r="Y66" i="10"/>
  <c r="AY66" i="10" s="1"/>
  <c r="AA66" i="10"/>
  <c r="AC66" i="10"/>
  <c r="AZ66" i="10" s="1"/>
  <c r="AE66" i="10"/>
  <c r="BA66" i="10" s="1"/>
  <c r="AR66" i="10"/>
  <c r="BI66" i="10"/>
  <c r="BJ66" i="10"/>
  <c r="BK66" i="10"/>
  <c r="BL66" i="10"/>
  <c r="O77" i="10"/>
  <c r="Q77" i="10"/>
  <c r="S77" i="10"/>
  <c r="U77" i="10"/>
  <c r="AW77" i="10" s="1"/>
  <c r="W77" i="10"/>
  <c r="AX77" i="10" s="1"/>
  <c r="Y77" i="10"/>
  <c r="AY77" i="10" s="1"/>
  <c r="AA77" i="10"/>
  <c r="AC77" i="10"/>
  <c r="AZ77" i="10" s="1"/>
  <c r="AE77" i="10"/>
  <c r="BA77" i="10" s="1"/>
  <c r="AR77" i="10"/>
  <c r="AT77" i="10"/>
  <c r="AU77" i="10"/>
  <c r="AV77" i="10"/>
  <c r="BI77" i="10"/>
  <c r="BJ77" i="10"/>
  <c r="BK77" i="10"/>
  <c r="BL77" i="10"/>
  <c r="S78" i="10"/>
  <c r="U78" i="10"/>
  <c r="AW78" i="10" s="1"/>
  <c r="W78" i="10"/>
  <c r="AX78" i="10" s="1"/>
  <c r="Y78" i="10"/>
  <c r="AY78" i="10" s="1"/>
  <c r="AA78" i="10"/>
  <c r="AC78" i="10"/>
  <c r="AZ78" i="10" s="1"/>
  <c r="AE78" i="10"/>
  <c r="BA78" i="10" s="1"/>
  <c r="AR78" i="10"/>
  <c r="AT78" i="10"/>
  <c r="AU78" i="10"/>
  <c r="AV78" i="10"/>
  <c r="BI78" i="10"/>
  <c r="BJ78" i="10"/>
  <c r="BK78" i="10"/>
  <c r="U79" i="10"/>
  <c r="AW79" i="10" s="1"/>
  <c r="W79" i="10"/>
  <c r="AA79" i="10"/>
  <c r="AC79" i="10"/>
  <c r="AZ79" i="10" s="1"/>
  <c r="AE79" i="10"/>
  <c r="BA79" i="10" s="1"/>
  <c r="AR79" i="10"/>
  <c r="AS79" i="10" s="1"/>
  <c r="BI79" i="10"/>
  <c r="BJ79" i="10"/>
  <c r="BK79" i="10"/>
  <c r="U81" i="10"/>
  <c r="AW81" i="10" s="1"/>
  <c r="W81" i="10"/>
  <c r="AA81" i="10"/>
  <c r="AC81" i="10"/>
  <c r="AZ81" i="10" s="1"/>
  <c r="AE81" i="10"/>
  <c r="BA81" i="10" s="1"/>
  <c r="AR81" i="10"/>
  <c r="AS81" i="10" s="1"/>
  <c r="BI81" i="10"/>
  <c r="BJ81" i="10"/>
  <c r="BK81" i="10"/>
  <c r="U82" i="10"/>
  <c r="AW82" i="10" s="1"/>
  <c r="W82" i="10"/>
  <c r="AA82" i="10"/>
  <c r="AC82" i="10"/>
  <c r="AZ82" i="10" s="1"/>
  <c r="AE82" i="10"/>
  <c r="BA82" i="10" s="1"/>
  <c r="AR82" i="10"/>
  <c r="AS82" i="10" s="1"/>
  <c r="BI82" i="10"/>
  <c r="BJ82" i="10"/>
  <c r="BK82" i="10"/>
  <c r="U83" i="10"/>
  <c r="AW83" i="10" s="1"/>
  <c r="W83" i="10"/>
  <c r="AX83" i="10" s="1"/>
  <c r="Y83" i="10"/>
  <c r="AY83" i="10" s="1"/>
  <c r="AA83" i="10"/>
  <c r="AC83" i="10"/>
  <c r="AZ83" i="10" s="1"/>
  <c r="AE83" i="10"/>
  <c r="BA83" i="10" s="1"/>
  <c r="AR83" i="10"/>
  <c r="BH83" i="10" s="1"/>
  <c r="BE83" i="10" s="1"/>
  <c r="BI83" i="10"/>
  <c r="BJ83" i="10"/>
  <c r="BK83" i="10"/>
  <c r="U84" i="10"/>
  <c r="AW84" i="10" s="1"/>
  <c r="W84" i="10"/>
  <c r="AX84" i="10" s="1"/>
  <c r="Y84" i="10"/>
  <c r="AY84" i="10" s="1"/>
  <c r="AA84" i="10"/>
  <c r="AC84" i="10"/>
  <c r="AZ84" i="10" s="1"/>
  <c r="AE84" i="10"/>
  <c r="BA84" i="10" s="1"/>
  <c r="AR84" i="10"/>
  <c r="BH84" i="10" s="1"/>
  <c r="BE84" i="10" s="1"/>
  <c r="BI84" i="10"/>
  <c r="BJ84" i="10"/>
  <c r="BK84" i="10"/>
  <c r="U85" i="10"/>
  <c r="AW85" i="10" s="1"/>
  <c r="W85" i="10"/>
  <c r="AA85" i="10"/>
  <c r="AC85" i="10"/>
  <c r="AZ85" i="10" s="1"/>
  <c r="AE85" i="10"/>
  <c r="BA85" i="10" s="1"/>
  <c r="AR85" i="10"/>
  <c r="AS85" i="10" s="1"/>
  <c r="BI85" i="10"/>
  <c r="BJ85" i="10"/>
  <c r="BK85" i="10"/>
  <c r="U86" i="10"/>
  <c r="AW86" i="10" s="1"/>
  <c r="W86" i="10"/>
  <c r="AX86" i="10" s="1"/>
  <c r="Y86" i="10"/>
  <c r="AY86" i="10" s="1"/>
  <c r="AA86" i="10"/>
  <c r="AC86" i="10"/>
  <c r="AZ86" i="10" s="1"/>
  <c r="AE86" i="10"/>
  <c r="BA86" i="10" s="1"/>
  <c r="AR86" i="10"/>
  <c r="BH86" i="10" s="1"/>
  <c r="BE86" i="10" s="1"/>
  <c r="BI86" i="10"/>
  <c r="BJ86" i="10"/>
  <c r="BK86" i="10"/>
  <c r="U87" i="10"/>
  <c r="AW87" i="10" s="1"/>
  <c r="W87" i="10"/>
  <c r="AX87" i="10" s="1"/>
  <c r="Y87" i="10"/>
  <c r="AY87" i="10" s="1"/>
  <c r="AA87" i="10"/>
  <c r="AC87" i="10"/>
  <c r="AZ87" i="10" s="1"/>
  <c r="AE87" i="10"/>
  <c r="BA87" i="10" s="1"/>
  <c r="AR87" i="10"/>
  <c r="BH87" i="10" s="1"/>
  <c r="BE87" i="10" s="1"/>
  <c r="BI87" i="10"/>
  <c r="BJ87" i="10"/>
  <c r="BK87" i="10"/>
  <c r="U88" i="10"/>
  <c r="AW88" i="10" s="1"/>
  <c r="W88" i="10"/>
  <c r="AA88" i="10"/>
  <c r="AC88" i="10"/>
  <c r="AZ88" i="10" s="1"/>
  <c r="AE88" i="10"/>
  <c r="BA88" i="10" s="1"/>
  <c r="AR88" i="10"/>
  <c r="AS88" i="10" s="1"/>
  <c r="BI88" i="10"/>
  <c r="BJ88" i="10"/>
  <c r="BK88" i="10"/>
  <c r="U89" i="10"/>
  <c r="AW89" i="10" s="1"/>
  <c r="W89" i="10"/>
  <c r="AX89" i="10" s="1"/>
  <c r="Y89" i="10"/>
  <c r="AY89" i="10" s="1"/>
  <c r="AA89" i="10"/>
  <c r="AC89" i="10"/>
  <c r="AZ89" i="10" s="1"/>
  <c r="AE89" i="10"/>
  <c r="BA89" i="10" s="1"/>
  <c r="AR89" i="10"/>
  <c r="BH89" i="10" s="1"/>
  <c r="BE89" i="10" s="1"/>
  <c r="BI89" i="10"/>
  <c r="BJ89" i="10"/>
  <c r="BK89" i="10"/>
  <c r="U90" i="10"/>
  <c r="AW90" i="10" s="1"/>
  <c r="W90" i="10"/>
  <c r="AX90" i="10" s="1"/>
  <c r="Y90" i="10"/>
  <c r="AY90" i="10" s="1"/>
  <c r="AA90" i="10"/>
  <c r="AC90" i="10"/>
  <c r="AZ90" i="10" s="1"/>
  <c r="AE90" i="10"/>
  <c r="BA90" i="10" s="1"/>
  <c r="AR90" i="10"/>
  <c r="BH90" i="10" s="1"/>
  <c r="BE90" i="10" s="1"/>
  <c r="BI90" i="10"/>
  <c r="BJ90" i="10"/>
  <c r="BK90" i="10"/>
  <c r="U91" i="10"/>
  <c r="AW91" i="10" s="1"/>
  <c r="W91" i="10"/>
  <c r="AA91" i="10"/>
  <c r="AC91" i="10"/>
  <c r="AZ91" i="10" s="1"/>
  <c r="AE91" i="10"/>
  <c r="BA91" i="10" s="1"/>
  <c r="AR91" i="10"/>
  <c r="AS91" i="10" s="1"/>
  <c r="BI91" i="10"/>
  <c r="BJ91" i="10"/>
  <c r="BK91" i="10"/>
  <c r="U92" i="10"/>
  <c r="AW92" i="10" s="1"/>
  <c r="W92" i="10"/>
  <c r="AX92" i="10" s="1"/>
  <c r="Y92" i="10"/>
  <c r="AY92" i="10" s="1"/>
  <c r="AA92" i="10"/>
  <c r="AC92" i="10"/>
  <c r="AZ92" i="10" s="1"/>
  <c r="AE92" i="10"/>
  <c r="BA92" i="10" s="1"/>
  <c r="AR92" i="10"/>
  <c r="BH92" i="10" s="1"/>
  <c r="BE92" i="10" s="1"/>
  <c r="BI92" i="10"/>
  <c r="BJ92" i="10"/>
  <c r="BK92" i="10"/>
  <c r="U93" i="10"/>
  <c r="AW93" i="10" s="1"/>
  <c r="W93" i="10"/>
  <c r="AX93" i="10" s="1"/>
  <c r="Y93" i="10"/>
  <c r="AY93" i="10" s="1"/>
  <c r="AA93" i="10"/>
  <c r="AC93" i="10"/>
  <c r="AZ93" i="10" s="1"/>
  <c r="AE93" i="10"/>
  <c r="BA93" i="10" s="1"/>
  <c r="AR93" i="10"/>
  <c r="BH93" i="10" s="1"/>
  <c r="BE93" i="10" s="1"/>
  <c r="BI93" i="10"/>
  <c r="BJ93" i="10"/>
  <c r="BK93" i="10"/>
  <c r="F346" i="20" l="1"/>
  <c r="F335" i="20"/>
  <c r="F290" i="20"/>
  <c r="F281" i="20"/>
  <c r="F280" i="20"/>
  <c r="F302" i="20"/>
  <c r="F182" i="20"/>
  <c r="F180" i="20"/>
  <c r="F175" i="20"/>
  <c r="F168" i="20"/>
  <c r="F155" i="20"/>
  <c r="AS77" i="10"/>
  <c r="BB77" i="10" s="1"/>
  <c r="BH77" i="10"/>
  <c r="BE77" i="10" s="1"/>
  <c r="AS8" i="10"/>
  <c r="BB8" i="10" s="1"/>
  <c r="BH8" i="10"/>
  <c r="BE8" i="10" s="1"/>
  <c r="AS78" i="10"/>
  <c r="BB78" i="10" s="1"/>
  <c r="BH78" i="10"/>
  <c r="BE78" i="10" s="1"/>
  <c r="AS48" i="10"/>
  <c r="BH48" i="10"/>
  <c r="AS41" i="10"/>
  <c r="BB41" i="10" s="1"/>
  <c r="BH41" i="10"/>
  <c r="AS9" i="10"/>
  <c r="BB9" i="10" s="1"/>
  <c r="BH9" i="10"/>
  <c r="BE9" i="10" s="1"/>
  <c r="AS37" i="10"/>
  <c r="BB37" i="10" s="1"/>
  <c r="BH37" i="10"/>
  <c r="BE37" i="10" s="1"/>
  <c r="AS32" i="10"/>
  <c r="BH32" i="10"/>
  <c r="AS35" i="10"/>
  <c r="BB35" i="10" s="1"/>
  <c r="BH35" i="10"/>
  <c r="BE35" i="10" s="1"/>
  <c r="AS61" i="10"/>
  <c r="BB61" i="10" s="1"/>
  <c r="BH61" i="10"/>
  <c r="BE61" i="10" s="1"/>
  <c r="AS53" i="10"/>
  <c r="BB53" i="10" s="1"/>
  <c r="BH53" i="10"/>
  <c r="AS33" i="10"/>
  <c r="BB33" i="10" s="1"/>
  <c r="BH33" i="10"/>
  <c r="AS64" i="10"/>
  <c r="BB64" i="10" s="1"/>
  <c r="BH64" i="10"/>
  <c r="BE64" i="10" s="1"/>
  <c r="AS60" i="10"/>
  <c r="BH60" i="10"/>
  <c r="AS19" i="10"/>
  <c r="BB19" i="10" s="1"/>
  <c r="BH19" i="10"/>
  <c r="BE19" i="10" s="1"/>
  <c r="AS5" i="10"/>
  <c r="BB5" i="10" s="1"/>
  <c r="BH5" i="10"/>
  <c r="AS47" i="10"/>
  <c r="BB47" i="10" s="1"/>
  <c r="BH47" i="10"/>
  <c r="AS22" i="10"/>
  <c r="BB22" i="10" s="1"/>
  <c r="BH22" i="10"/>
  <c r="BE22" i="10" s="1"/>
  <c r="AS63" i="10"/>
  <c r="BB63" i="10" s="1"/>
  <c r="BH63" i="10"/>
  <c r="BE63" i="10" s="1"/>
  <c r="AS42" i="10"/>
  <c r="BH42" i="10"/>
  <c r="AS21" i="10"/>
  <c r="BB21" i="10" s="1"/>
  <c r="BH21" i="10"/>
  <c r="BE21" i="10" s="1"/>
  <c r="AS20" i="10"/>
  <c r="BB20" i="10" s="1"/>
  <c r="AS6" i="10"/>
  <c r="BB6" i="10" s="1"/>
  <c r="BH6" i="10"/>
  <c r="BE6" i="10" s="1"/>
  <c r="AS54" i="10"/>
  <c r="BH54" i="10"/>
  <c r="AS24" i="10"/>
  <c r="BB24" i="10" s="1"/>
  <c r="BH24" i="10"/>
  <c r="BE24" i="10" s="1"/>
  <c r="AS23" i="10"/>
  <c r="BB23" i="10" s="1"/>
  <c r="AS66" i="10"/>
  <c r="BB66" i="10" s="1"/>
  <c r="BH66" i="10"/>
  <c r="BE66" i="10" s="1"/>
  <c r="AS59" i="10"/>
  <c r="BB59" i="10" s="1"/>
  <c r="BH59" i="10"/>
  <c r="AS34" i="10"/>
  <c r="BH34" i="10"/>
  <c r="AS7" i="10"/>
  <c r="BB7" i="10" s="1"/>
  <c r="BH7" i="10"/>
  <c r="BE7" i="10" s="1"/>
  <c r="BB11" i="10"/>
  <c r="BB65" i="10"/>
  <c r="F173" i="20"/>
  <c r="F89" i="20"/>
  <c r="F152" i="20"/>
  <c r="F279" i="20"/>
  <c r="F171" i="20"/>
  <c r="F159" i="20"/>
  <c r="F371" i="20"/>
  <c r="F367" i="20"/>
  <c r="F357" i="20"/>
  <c r="F111" i="20"/>
  <c r="F216" i="20"/>
  <c r="F90" i="20"/>
  <c r="F369" i="20"/>
  <c r="F359" i="20"/>
  <c r="F345" i="20"/>
  <c r="F41" i="20"/>
  <c r="F358" i="20"/>
  <c r="F342" i="20"/>
  <c r="F295" i="20"/>
  <c r="F227" i="20"/>
  <c r="F170" i="20"/>
  <c r="F212" i="20"/>
  <c r="F181" i="20"/>
  <c r="F174" i="20"/>
  <c r="F362" i="20"/>
  <c r="F348" i="20"/>
  <c r="F338" i="20"/>
  <c r="F282" i="20"/>
  <c r="F104" i="20"/>
  <c r="F86" i="20"/>
  <c r="X346" i="9"/>
  <c r="F96" i="20"/>
  <c r="F370" i="20"/>
  <c r="F179" i="20"/>
  <c r="F172" i="20"/>
  <c r="F160" i="20"/>
  <c r="F217" i="20"/>
  <c r="F224" i="20"/>
  <c r="F215" i="20"/>
  <c r="F31" i="20"/>
  <c r="X203" i="9"/>
  <c r="F368" i="20"/>
  <c r="F239" i="20"/>
  <c r="F158" i="20"/>
  <c r="F149" i="20"/>
  <c r="F225" i="20"/>
  <c r="F213" i="20"/>
  <c r="F93" i="20"/>
  <c r="F74" i="20"/>
  <c r="F313" i="20"/>
  <c r="F304" i="20"/>
  <c r="F366" i="20"/>
  <c r="X331" i="9"/>
  <c r="F365" i="20"/>
  <c r="F176" i="20"/>
  <c r="F156" i="20"/>
  <c r="F147" i="20"/>
  <c r="F223" i="20"/>
  <c r="F208" i="20"/>
  <c r="F85" i="20"/>
  <c r="F94" i="20"/>
  <c r="F303" i="20"/>
  <c r="F364" i="20"/>
  <c r="F350" i="20"/>
  <c r="F340" i="20"/>
  <c r="F291" i="20"/>
  <c r="F84" i="20"/>
  <c r="F363" i="20"/>
  <c r="F339" i="20"/>
  <c r="F241" i="20"/>
  <c r="X289" i="12"/>
  <c r="F175" i="15" s="1"/>
  <c r="X268" i="12"/>
  <c r="F168" i="15" s="1"/>
  <c r="X303" i="12"/>
  <c r="F180" i="15" s="1"/>
  <c r="F247" i="20"/>
  <c r="X317" i="9"/>
  <c r="X270" i="9"/>
  <c r="X223" i="9"/>
  <c r="X151" i="9"/>
  <c r="X35" i="9"/>
  <c r="X267" i="9"/>
  <c r="X213" i="9"/>
  <c r="X208" i="9"/>
  <c r="X137" i="9"/>
  <c r="X239" i="9"/>
  <c r="X166" i="9"/>
  <c r="X235" i="9"/>
  <c r="X161" i="9"/>
  <c r="X95" i="9"/>
  <c r="X157" i="9"/>
  <c r="X320" i="9"/>
  <c r="X36" i="9"/>
  <c r="X204" i="9"/>
  <c r="X312" i="12"/>
  <c r="F182" i="15" s="1"/>
  <c r="X100" i="8"/>
  <c r="F240" i="15" s="1"/>
  <c r="AG180" i="15" l="1"/>
  <c r="AJ180" i="15"/>
  <c r="AK180" i="15" s="1"/>
  <c r="AH180" i="15"/>
  <c r="AI180" i="15" s="1"/>
  <c r="AG175" i="15"/>
  <c r="AJ175" i="15"/>
  <c r="AK175" i="15" s="1"/>
  <c r="AH175" i="15"/>
  <c r="AI175" i="15" s="1"/>
  <c r="AG168" i="15"/>
  <c r="AJ168" i="15"/>
  <c r="AK168" i="15" s="1"/>
  <c r="AH168" i="15"/>
  <c r="AI168" i="15" s="1"/>
  <c r="AG240" i="15"/>
  <c r="AJ240" i="15"/>
  <c r="AK240" i="15" s="1"/>
  <c r="AH240" i="15"/>
  <c r="AI240" i="15" s="1"/>
  <c r="AG182" i="15"/>
  <c r="AJ182" i="15"/>
  <c r="AK182" i="15" s="1"/>
  <c r="AH182" i="15"/>
  <c r="AI182" i="15" s="1"/>
  <c r="X337" i="9"/>
  <c r="F63" i="20"/>
  <c r="F178" i="20"/>
  <c r="F59" i="20"/>
  <c r="F288" i="20"/>
  <c r="F70" i="20"/>
  <c r="F108" i="20"/>
  <c r="F137" i="20"/>
  <c r="F129" i="20"/>
  <c r="X184" i="9"/>
  <c r="F276" i="20"/>
  <c r="F21" i="20"/>
  <c r="F106" i="20"/>
  <c r="F64" i="20"/>
  <c r="F292" i="20"/>
  <c r="E292" i="20" s="1"/>
  <c r="F177" i="20"/>
  <c r="F235" i="20"/>
  <c r="F92" i="20"/>
  <c r="F237" i="20"/>
  <c r="F277" i="20"/>
  <c r="F23" i="20"/>
  <c r="F32" i="20"/>
  <c r="F103" i="20"/>
  <c r="F110" i="20"/>
  <c r="F44" i="20"/>
  <c r="F100" i="20"/>
  <c r="F312" i="20"/>
  <c r="F351" i="20"/>
  <c r="F102" i="20"/>
  <c r="F296" i="20"/>
  <c r="F35" i="20"/>
  <c r="F54" i="20"/>
  <c r="F20" i="20"/>
  <c r="F48" i="20"/>
  <c r="F236" i="20"/>
  <c r="F238" i="20"/>
  <c r="F255" i="20"/>
  <c r="F249" i="20"/>
  <c r="F205" i="20"/>
  <c r="I365" i="20"/>
  <c r="J365" i="20" s="1"/>
  <c r="G365" i="20"/>
  <c r="H365" i="20" s="1"/>
  <c r="F293" i="20"/>
  <c r="F343" i="20"/>
  <c r="X226" i="9"/>
  <c r="F275" i="20"/>
  <c r="F206" i="20"/>
  <c r="F72" i="20"/>
  <c r="F214" i="20"/>
  <c r="X88" i="12"/>
  <c r="F95" i="15" s="1"/>
  <c r="F95" i="20"/>
  <c r="F45" i="20"/>
  <c r="F42" i="20"/>
  <c r="F185" i="20"/>
  <c r="F76" i="20"/>
  <c r="F289" i="20"/>
  <c r="F306" i="20"/>
  <c r="F341" i="20"/>
  <c r="F210" i="20"/>
  <c r="X287" i="9"/>
  <c r="F278" i="20"/>
  <c r="F77" i="20"/>
  <c r="F24" i="20"/>
  <c r="F337" i="20"/>
  <c r="F112" i="20"/>
  <c r="F101" i="20"/>
  <c r="F240" i="20"/>
  <c r="F336" i="20"/>
  <c r="F73" i="20"/>
  <c r="F46" i="20"/>
  <c r="F109" i="20"/>
  <c r="F36" i="20"/>
  <c r="F347" i="20"/>
  <c r="X95" i="12"/>
  <c r="F98" i="20"/>
  <c r="F114" i="20"/>
  <c r="F127" i="20"/>
  <c r="F161" i="20"/>
  <c r="F43" i="20"/>
  <c r="BE5" i="10"/>
  <c r="F107" i="20"/>
  <c r="F344" i="20"/>
  <c r="F193" i="20"/>
  <c r="F105" i="20"/>
  <c r="F56" i="20"/>
  <c r="F207" i="20"/>
  <c r="F135" i="20"/>
  <c r="F60" i="20"/>
  <c r="F99" i="20"/>
  <c r="F78" i="20"/>
  <c r="F228" i="20"/>
  <c r="F294" i="20"/>
  <c r="F150" i="20"/>
  <c r="G96" i="20"/>
  <c r="H96" i="20" s="1"/>
  <c r="I96" i="20"/>
  <c r="J96" i="20" s="1"/>
  <c r="F122" i="20"/>
  <c r="F125" i="20"/>
  <c r="I90" i="20"/>
  <c r="J90" i="20" s="1"/>
  <c r="G90" i="20"/>
  <c r="H90" i="20" s="1"/>
  <c r="F209" i="20"/>
  <c r="F61" i="20"/>
  <c r="X91" i="12"/>
  <c r="F97" i="20"/>
  <c r="F132" i="20"/>
  <c r="F211" i="20"/>
  <c r="F120" i="20"/>
  <c r="F87" i="20"/>
  <c r="F25" i="20"/>
  <c r="F130" i="20"/>
  <c r="F133" i="20"/>
  <c r="F91" i="20"/>
  <c r="F192" i="20"/>
  <c r="F204" i="20"/>
  <c r="F226" i="20"/>
  <c r="F126" i="20"/>
  <c r="F71" i="20"/>
  <c r="F128" i="20"/>
  <c r="F145" i="20"/>
  <c r="F148" i="20"/>
  <c r="F186" i="20"/>
  <c r="F123" i="20"/>
  <c r="F349" i="20"/>
  <c r="F124" i="20"/>
  <c r="F113" i="20"/>
  <c r="F47" i="20"/>
  <c r="F134" i="20"/>
  <c r="F22" i="20"/>
  <c r="F136" i="20"/>
  <c r="F154" i="20"/>
  <c r="F157" i="20"/>
  <c r="F314" i="20"/>
  <c r="F305" i="20"/>
  <c r="F131" i="20"/>
  <c r="F262" i="20"/>
  <c r="F88" i="20"/>
  <c r="X67" i="8"/>
  <c r="F248" i="15" s="1"/>
  <c r="F248" i="20"/>
  <c r="F62" i="20"/>
  <c r="F263" i="20"/>
  <c r="F169" i="20"/>
  <c r="F75" i="20"/>
  <c r="F33" i="20"/>
  <c r="F151" i="20"/>
  <c r="F256" i="20"/>
  <c r="F167" i="20"/>
  <c r="F146" i="20"/>
  <c r="F55" i="20"/>
  <c r="F121" i="20"/>
  <c r="X224" i="12"/>
  <c r="F148" i="15" s="1"/>
  <c r="X217" i="12"/>
  <c r="F145" i="15" s="1"/>
  <c r="X276" i="12"/>
  <c r="X243" i="12"/>
  <c r="F155" i="15" s="1"/>
  <c r="X274" i="12"/>
  <c r="X292" i="12"/>
  <c r="F176" i="15" s="1"/>
  <c r="X252" i="12"/>
  <c r="F158" i="15" s="1"/>
  <c r="X261" i="12"/>
  <c r="F160" i="15" s="1"/>
  <c r="X283" i="12"/>
  <c r="F174" i="15" s="1"/>
  <c r="X277" i="12"/>
  <c r="F172" i="15" s="1"/>
  <c r="X306" i="12"/>
  <c r="F181" i="15" s="1"/>
  <c r="X302" i="12"/>
  <c r="X239" i="12"/>
  <c r="F152" i="15" s="1"/>
  <c r="AG152" i="15" s="1"/>
  <c r="X227" i="12"/>
  <c r="F149" i="15" s="1"/>
  <c r="X247" i="12"/>
  <c r="F156" i="15" s="1"/>
  <c r="X280" i="12"/>
  <c r="F173" i="15" s="1"/>
  <c r="X255" i="12"/>
  <c r="F159" i="15" s="1"/>
  <c r="X156" i="9"/>
  <c r="X365" i="12"/>
  <c r="X394" i="12"/>
  <c r="X367" i="12"/>
  <c r="X361" i="12"/>
  <c r="X405" i="12"/>
  <c r="X374" i="12"/>
  <c r="X372" i="12"/>
  <c r="X401" i="12"/>
  <c r="X408" i="12"/>
  <c r="X114" i="12"/>
  <c r="F104" i="15" s="1"/>
  <c r="X87" i="8"/>
  <c r="F237" i="15" s="1"/>
  <c r="AG237" i="15" s="1"/>
  <c r="X283" i="9"/>
  <c r="X276" i="9"/>
  <c r="X234" i="9"/>
  <c r="X249" i="9"/>
  <c r="X111" i="9"/>
  <c r="X117" i="9"/>
  <c r="X198" i="9"/>
  <c r="X17" i="10"/>
  <c r="X262" i="9"/>
  <c r="X61" i="8"/>
  <c r="F247" i="15" s="1"/>
  <c r="X88" i="9"/>
  <c r="X303" i="9"/>
  <c r="X307" i="9"/>
  <c r="X133" i="9"/>
  <c r="X340" i="9"/>
  <c r="X53" i="9"/>
  <c r="X34" i="9"/>
  <c r="X49" i="9"/>
  <c r="X108" i="8"/>
  <c r="F241" i="15" s="1"/>
  <c r="X259" i="9"/>
  <c r="X37" i="9"/>
  <c r="X18" i="10"/>
  <c r="X343" i="9"/>
  <c r="X293" i="9"/>
  <c r="X279" i="9"/>
  <c r="X253" i="9"/>
  <c r="X314" i="9"/>
  <c r="X313" i="9"/>
  <c r="X15" i="11"/>
  <c r="X94" i="8"/>
  <c r="F239" i="15" s="1"/>
  <c r="X273" i="9"/>
  <c r="X30" i="9"/>
  <c r="X114" i="9"/>
  <c r="X171" i="9"/>
  <c r="X324" i="9"/>
  <c r="X73" i="8"/>
  <c r="F249" i="15" s="1"/>
  <c r="X400" i="12"/>
  <c r="X31" i="9"/>
  <c r="X100" i="9"/>
  <c r="X219" i="12"/>
  <c r="F146" i="15" s="1"/>
  <c r="X265" i="12"/>
  <c r="F167" i="15" s="1"/>
  <c r="X236" i="12"/>
  <c r="F151" i="15" s="1"/>
  <c r="X79" i="8"/>
  <c r="X104" i="9"/>
  <c r="X42" i="9"/>
  <c r="X334" i="9"/>
  <c r="X325" i="12"/>
  <c r="X258" i="12"/>
  <c r="X353" i="12"/>
  <c r="X369" i="12"/>
  <c r="X44" i="9"/>
  <c r="X33" i="9"/>
  <c r="X241" i="12"/>
  <c r="F154" i="15" s="1"/>
  <c r="X40" i="9"/>
  <c r="X339" i="12"/>
  <c r="X125" i="9"/>
  <c r="X88" i="8"/>
  <c r="F238" i="15" s="1"/>
  <c r="X327" i="9"/>
  <c r="X354" i="12"/>
  <c r="X230" i="12"/>
  <c r="F150" i="15" s="1"/>
  <c r="X80" i="9"/>
  <c r="X317" i="12"/>
  <c r="X297" i="12"/>
  <c r="F177" i="15" s="1"/>
  <c r="X271" i="12"/>
  <c r="F169" i="15" s="1"/>
  <c r="X378" i="12"/>
  <c r="X256" i="9"/>
  <c r="X358" i="12"/>
  <c r="X411" i="12"/>
  <c r="X222" i="12"/>
  <c r="F147" i="15" s="1"/>
  <c r="X300" i="12"/>
  <c r="X250" i="12"/>
  <c r="F157" i="15" s="1"/>
  <c r="X250" i="9"/>
  <c r="X263" i="12"/>
  <c r="X301" i="12"/>
  <c r="X72" i="9"/>
  <c r="X54" i="9"/>
  <c r="X63" i="9"/>
  <c r="X275" i="12"/>
  <c r="X71" i="10"/>
  <c r="X76" i="10"/>
  <c r="X233" i="12"/>
  <c r="X32" i="9"/>
  <c r="X304" i="9"/>
  <c r="X38" i="9"/>
  <c r="X107" i="12"/>
  <c r="F102" i="15" s="1"/>
  <c r="X74" i="12"/>
  <c r="F94" i="15" s="1"/>
  <c r="X118" i="12"/>
  <c r="X155" i="12"/>
  <c r="F120" i="15" s="1"/>
  <c r="X27" i="10"/>
  <c r="X180" i="12"/>
  <c r="F128" i="15" s="1"/>
  <c r="X58" i="12"/>
  <c r="X60" i="12"/>
  <c r="F88" i="15" s="1"/>
  <c r="X88" i="10"/>
  <c r="X43" i="10"/>
  <c r="X82" i="10"/>
  <c r="X29" i="10"/>
  <c r="X110" i="12"/>
  <c r="X35" i="11"/>
  <c r="X83" i="7"/>
  <c r="X186" i="12"/>
  <c r="F129" i="15" s="1"/>
  <c r="X77" i="12"/>
  <c r="X102" i="12"/>
  <c r="F101" i="15" s="1"/>
  <c r="X192" i="12"/>
  <c r="X197" i="12"/>
  <c r="F133" i="15" s="1"/>
  <c r="X160" i="12"/>
  <c r="F122" i="15" s="1"/>
  <c r="X53" i="3"/>
  <c r="X38" i="10"/>
  <c r="X26" i="7"/>
  <c r="X195" i="12"/>
  <c r="F132" i="15" s="1"/>
  <c r="X43" i="3"/>
  <c r="X65" i="10"/>
  <c r="X25" i="7"/>
  <c r="X153" i="12"/>
  <c r="X56" i="12"/>
  <c r="F87" i="15" s="1"/>
  <c r="X55" i="10"/>
  <c r="X62" i="10"/>
  <c r="X162" i="12"/>
  <c r="F11" i="15"/>
  <c r="X189" i="12"/>
  <c r="F130" i="15" s="1"/>
  <c r="X145" i="12"/>
  <c r="F114" i="15" s="1"/>
  <c r="X54" i="12"/>
  <c r="F86" i="15" s="1"/>
  <c r="X40" i="11"/>
  <c r="X25" i="10"/>
  <c r="X81" i="10"/>
  <c r="BH81" i="10" s="1"/>
  <c r="X66" i="3"/>
  <c r="X66" i="12"/>
  <c r="F89" i="15" s="1"/>
  <c r="X144" i="12"/>
  <c r="X99" i="12"/>
  <c r="F99" i="15" s="1"/>
  <c r="X53" i="12"/>
  <c r="X49" i="10"/>
  <c r="X168" i="12"/>
  <c r="F125" i="15" s="1"/>
  <c r="X69" i="12"/>
  <c r="X10" i="10"/>
  <c r="X135" i="12"/>
  <c r="X84" i="12"/>
  <c r="X47" i="12"/>
  <c r="F85" i="15" s="1"/>
  <c r="X29" i="11"/>
  <c r="X11" i="10"/>
  <c r="X126" i="12"/>
  <c r="F110" i="15" s="1"/>
  <c r="X164" i="12"/>
  <c r="F123" i="15" s="1"/>
  <c r="X204" i="12"/>
  <c r="F134" i="15" s="1"/>
  <c r="X176" i="12"/>
  <c r="X133" i="12"/>
  <c r="F112" i="15" s="1"/>
  <c r="X80" i="12"/>
  <c r="X46" i="12"/>
  <c r="X25" i="11"/>
  <c r="X79" i="10"/>
  <c r="X85" i="10"/>
  <c r="X91" i="7"/>
  <c r="X211" i="12"/>
  <c r="F383" i="15"/>
  <c r="X79" i="7"/>
  <c r="X123" i="12"/>
  <c r="F108" i="15" s="1"/>
  <c r="X73" i="7"/>
  <c r="X60" i="3"/>
  <c r="X172" i="12"/>
  <c r="F127" i="15" s="1"/>
  <c r="X131" i="12"/>
  <c r="X39" i="12"/>
  <c r="F84" i="15" s="1"/>
  <c r="X21" i="11"/>
  <c r="X87" i="7"/>
  <c r="X215" i="12"/>
  <c r="F137" i="15" s="1"/>
  <c r="X166" i="12"/>
  <c r="F124" i="15" s="1"/>
  <c r="X129" i="12"/>
  <c r="X80" i="3"/>
  <c r="F387" i="15" s="1"/>
  <c r="AG387" i="15" s="1"/>
  <c r="X16" i="11"/>
  <c r="X91" i="10"/>
  <c r="X71" i="12"/>
  <c r="F92" i="15" s="1"/>
  <c r="X207" i="12"/>
  <c r="F135" i="15" s="1"/>
  <c r="X120" i="12"/>
  <c r="F107" i="15" s="1"/>
  <c r="AG127" i="15" l="1"/>
  <c r="AJ127" i="15"/>
  <c r="AK127" i="15" s="1"/>
  <c r="AH127" i="15"/>
  <c r="AI127" i="15" s="1"/>
  <c r="AG134" i="15"/>
  <c r="AJ134" i="15"/>
  <c r="AK134" i="15" s="1"/>
  <c r="AH134" i="15"/>
  <c r="AI134" i="15" s="1"/>
  <c r="AG132" i="15"/>
  <c r="AJ132" i="15"/>
  <c r="AK132" i="15" s="1"/>
  <c r="AH132" i="15"/>
  <c r="AI132" i="15" s="1"/>
  <c r="AG104" i="15"/>
  <c r="AJ104" i="15"/>
  <c r="AK104" i="15" s="1"/>
  <c r="AH104" i="15"/>
  <c r="AI104" i="15" s="1"/>
  <c r="AG123" i="15"/>
  <c r="AJ123" i="15"/>
  <c r="AK123" i="15" s="1"/>
  <c r="AH123" i="15"/>
  <c r="AI123" i="15" s="1"/>
  <c r="AG88" i="15"/>
  <c r="AJ88" i="15"/>
  <c r="AK88" i="15" s="1"/>
  <c r="AH88" i="15"/>
  <c r="AI88" i="15" s="1"/>
  <c r="AG150" i="15"/>
  <c r="AJ150" i="15"/>
  <c r="AK150" i="15" s="1"/>
  <c r="AH150" i="15"/>
  <c r="AI150" i="15" s="1"/>
  <c r="AG181" i="15"/>
  <c r="AJ181" i="15"/>
  <c r="AK181" i="15" s="1"/>
  <c r="AH181" i="15"/>
  <c r="AI181" i="15" s="1"/>
  <c r="AG107" i="15"/>
  <c r="AH107" i="15"/>
  <c r="AI107" i="15" s="1"/>
  <c r="AJ107" i="15"/>
  <c r="AK107" i="15" s="1"/>
  <c r="AG110" i="15"/>
  <c r="AJ110" i="15"/>
  <c r="AK110" i="15" s="1"/>
  <c r="AH110" i="15"/>
  <c r="AI110" i="15" s="1"/>
  <c r="AG172" i="15"/>
  <c r="AJ172" i="15"/>
  <c r="AK172" i="15" s="1"/>
  <c r="AH172" i="15"/>
  <c r="AI172" i="15" s="1"/>
  <c r="BH88" i="12"/>
  <c r="BE88" i="12" s="1"/>
  <c r="AG128" i="15"/>
  <c r="AH128" i="15"/>
  <c r="AI128" i="15" s="1"/>
  <c r="AJ128" i="15"/>
  <c r="AK128" i="15" s="1"/>
  <c r="AG151" i="15"/>
  <c r="AJ151" i="15"/>
  <c r="AK151" i="15" s="1"/>
  <c r="AH151" i="15"/>
  <c r="AI151" i="15" s="1"/>
  <c r="AG247" i="15"/>
  <c r="AJ247" i="15"/>
  <c r="AH247" i="15"/>
  <c r="AI247" i="15" s="1"/>
  <c r="AG174" i="15"/>
  <c r="AJ174" i="15"/>
  <c r="AK174" i="15" s="1"/>
  <c r="AH174" i="15"/>
  <c r="AI174" i="15" s="1"/>
  <c r="AG177" i="15"/>
  <c r="AJ177" i="15"/>
  <c r="AK177" i="15" s="1"/>
  <c r="AH177" i="15"/>
  <c r="AI177" i="15" s="1"/>
  <c r="AG239" i="15"/>
  <c r="AJ239" i="15"/>
  <c r="AK239" i="15" s="1"/>
  <c r="AH239" i="15"/>
  <c r="AI239" i="15" s="1"/>
  <c r="AG238" i="15"/>
  <c r="AH238" i="15"/>
  <c r="AI238" i="15" s="1"/>
  <c r="AJ238" i="15"/>
  <c r="AG167" i="15"/>
  <c r="AJ167" i="15"/>
  <c r="AH167" i="15"/>
  <c r="AG160" i="15"/>
  <c r="AJ160" i="15"/>
  <c r="AK160" i="15" s="1"/>
  <c r="AH160" i="15"/>
  <c r="AI160" i="15" s="1"/>
  <c r="AG89" i="15"/>
  <c r="AJ89" i="15"/>
  <c r="AK89" i="15" s="1"/>
  <c r="AH89" i="15"/>
  <c r="AI89" i="15" s="1"/>
  <c r="AG120" i="15"/>
  <c r="AH120" i="15"/>
  <c r="AJ120" i="15"/>
  <c r="AG146" i="15"/>
  <c r="AJ146" i="15"/>
  <c r="AK146" i="15" s="1"/>
  <c r="AH146" i="15"/>
  <c r="AI146" i="15" s="1"/>
  <c r="AG158" i="15"/>
  <c r="AJ158" i="15"/>
  <c r="AK158" i="15" s="1"/>
  <c r="AH158" i="15"/>
  <c r="AI158" i="15" s="1"/>
  <c r="AG108" i="15"/>
  <c r="AJ108" i="15"/>
  <c r="AK108" i="15" s="1"/>
  <c r="AH108" i="15"/>
  <c r="AI108" i="15" s="1"/>
  <c r="AG133" i="15"/>
  <c r="AJ133" i="15"/>
  <c r="AK133" i="15" s="1"/>
  <c r="AH133" i="15"/>
  <c r="AI133" i="15" s="1"/>
  <c r="AG130" i="15"/>
  <c r="AJ130" i="15"/>
  <c r="AK130" i="15" s="1"/>
  <c r="AH130" i="15"/>
  <c r="AI130" i="15" s="1"/>
  <c r="AG157" i="15"/>
  <c r="AJ157" i="15"/>
  <c r="AK157" i="15" s="1"/>
  <c r="AH157" i="15"/>
  <c r="AI157" i="15" s="1"/>
  <c r="AG176" i="15"/>
  <c r="AJ176" i="15"/>
  <c r="AK176" i="15" s="1"/>
  <c r="AH176" i="15"/>
  <c r="AI176" i="15" s="1"/>
  <c r="AG112" i="15"/>
  <c r="AJ112" i="15"/>
  <c r="AK112" i="15" s="1"/>
  <c r="AH112" i="15"/>
  <c r="AI112" i="15" s="1"/>
  <c r="AG92" i="15"/>
  <c r="AJ92" i="15"/>
  <c r="AK92" i="15" s="1"/>
  <c r="AH92" i="15"/>
  <c r="AI92" i="15" s="1"/>
  <c r="AG85" i="15"/>
  <c r="AJ85" i="15"/>
  <c r="AK85" i="15" s="1"/>
  <c r="AH85" i="15"/>
  <c r="AI85" i="15" s="1"/>
  <c r="AJ383" i="15"/>
  <c r="AK383" i="15" s="1"/>
  <c r="AH383" i="15"/>
  <c r="AI383" i="15" s="1"/>
  <c r="AG11" i="15"/>
  <c r="AH11" i="15"/>
  <c r="AJ11" i="15"/>
  <c r="AG101" i="15"/>
  <c r="AJ101" i="15"/>
  <c r="AK101" i="15" s="1"/>
  <c r="AH101" i="15"/>
  <c r="AI101" i="15" s="1"/>
  <c r="AG94" i="15"/>
  <c r="AJ94" i="15"/>
  <c r="AK94" i="15" s="1"/>
  <c r="AH94" i="15"/>
  <c r="AI94" i="15" s="1"/>
  <c r="Y88" i="12"/>
  <c r="AY88" i="12" s="1"/>
  <c r="BF88" i="12" s="1"/>
  <c r="BG88" i="12" s="1"/>
  <c r="BD88" i="12" s="1"/>
  <c r="AG102" i="15"/>
  <c r="AJ102" i="15"/>
  <c r="AK102" i="15" s="1"/>
  <c r="AH102" i="15"/>
  <c r="AI102" i="15" s="1"/>
  <c r="AG147" i="15"/>
  <c r="AJ147" i="15"/>
  <c r="AK147" i="15" s="1"/>
  <c r="AH147" i="15"/>
  <c r="AI147" i="15" s="1"/>
  <c r="AG154" i="15"/>
  <c r="AJ154" i="15"/>
  <c r="AK154" i="15" s="1"/>
  <c r="AH154" i="15"/>
  <c r="AI154" i="15" s="1"/>
  <c r="AG155" i="15"/>
  <c r="AJ155" i="15"/>
  <c r="AK155" i="15" s="1"/>
  <c r="AH155" i="15"/>
  <c r="AI155" i="15" s="1"/>
  <c r="AG248" i="15"/>
  <c r="AJ248" i="15"/>
  <c r="AK248" i="15" s="1"/>
  <c r="AH248" i="15"/>
  <c r="AI248" i="15" s="1"/>
  <c r="AG135" i="15"/>
  <c r="AJ135" i="15"/>
  <c r="AK135" i="15" s="1"/>
  <c r="AH135" i="15"/>
  <c r="AI135" i="15" s="1"/>
  <c r="AG114" i="15"/>
  <c r="AJ114" i="15"/>
  <c r="AK114" i="15" s="1"/>
  <c r="AH114" i="15"/>
  <c r="AI114" i="15" s="1"/>
  <c r="AG129" i="15"/>
  <c r="AJ129" i="15"/>
  <c r="AK129" i="15" s="1"/>
  <c r="AH129" i="15"/>
  <c r="AI129" i="15" s="1"/>
  <c r="AG249" i="15"/>
  <c r="AJ249" i="15"/>
  <c r="AK249" i="15" s="1"/>
  <c r="AH249" i="15"/>
  <c r="AI249" i="15" s="1"/>
  <c r="AG84" i="15"/>
  <c r="AJ84" i="15"/>
  <c r="AH84" i="15"/>
  <c r="AI84" i="15" s="1"/>
  <c r="AG124" i="15"/>
  <c r="AJ124" i="15"/>
  <c r="AK124" i="15" s="1"/>
  <c r="AH124" i="15"/>
  <c r="AI124" i="15" s="1"/>
  <c r="AG125" i="15"/>
  <c r="AJ125" i="15"/>
  <c r="AK125" i="15" s="1"/>
  <c r="AH125" i="15"/>
  <c r="AI125" i="15" s="1"/>
  <c r="AG241" i="15"/>
  <c r="AJ241" i="15"/>
  <c r="AK241" i="15" s="1"/>
  <c r="AH241" i="15"/>
  <c r="AI241" i="15" s="1"/>
  <c r="AG145" i="15"/>
  <c r="AJ145" i="15"/>
  <c r="AH145" i="15"/>
  <c r="AG95" i="15"/>
  <c r="AJ95" i="15"/>
  <c r="AK95" i="15" s="1"/>
  <c r="AH95" i="15"/>
  <c r="AI95" i="15" s="1"/>
  <c r="AG86" i="15"/>
  <c r="AJ86" i="15"/>
  <c r="AK86" i="15" s="1"/>
  <c r="AH86" i="15"/>
  <c r="AI86" i="15" s="1"/>
  <c r="AG137" i="15"/>
  <c r="AJ137" i="15"/>
  <c r="AK137" i="15" s="1"/>
  <c r="AH137" i="15"/>
  <c r="AI137" i="15" s="1"/>
  <c r="AG87" i="15"/>
  <c r="AJ87" i="15"/>
  <c r="AK87" i="15" s="1"/>
  <c r="AH87" i="15"/>
  <c r="AI87" i="15" s="1"/>
  <c r="AG159" i="15"/>
  <c r="AJ159" i="15"/>
  <c r="AK159" i="15" s="1"/>
  <c r="AH159" i="15"/>
  <c r="AI159" i="15" s="1"/>
  <c r="AG148" i="15"/>
  <c r="AJ148" i="15"/>
  <c r="AK148" i="15" s="1"/>
  <c r="AH148" i="15"/>
  <c r="AI148" i="15" s="1"/>
  <c r="AG173" i="15"/>
  <c r="AJ173" i="15"/>
  <c r="AK173" i="15" s="1"/>
  <c r="AH173" i="15"/>
  <c r="AI173" i="15" s="1"/>
  <c r="AG149" i="15"/>
  <c r="AH149" i="15"/>
  <c r="AI149" i="15" s="1"/>
  <c r="AJ149" i="15"/>
  <c r="AK149" i="15" s="1"/>
  <c r="AG122" i="15"/>
  <c r="AJ122" i="15"/>
  <c r="AK122" i="15" s="1"/>
  <c r="AH122" i="15"/>
  <c r="AI122" i="15" s="1"/>
  <c r="AG99" i="15"/>
  <c r="AH99" i="15"/>
  <c r="AI99" i="15" s="1"/>
  <c r="AJ99" i="15"/>
  <c r="AK99" i="15" s="1"/>
  <c r="AG169" i="15"/>
  <c r="AJ169" i="15"/>
  <c r="AK169" i="15" s="1"/>
  <c r="AH169" i="15"/>
  <c r="AI169" i="15" s="1"/>
  <c r="AG156" i="15"/>
  <c r="AJ156" i="15"/>
  <c r="AK156" i="15" s="1"/>
  <c r="AH156" i="15"/>
  <c r="AI156" i="15" s="1"/>
  <c r="F192" i="15"/>
  <c r="AG192" i="15" s="1"/>
  <c r="F91" i="15"/>
  <c r="BH18" i="10"/>
  <c r="BE18" i="10" s="1"/>
  <c r="F41" i="15"/>
  <c r="Y95" i="12"/>
  <c r="AY95" i="12" s="1"/>
  <c r="BF95" i="12" s="1"/>
  <c r="BG95" i="12" s="1"/>
  <c r="BD95" i="12" s="1"/>
  <c r="F98" i="15"/>
  <c r="Y17" i="10"/>
  <c r="AY17" i="10" s="1"/>
  <c r="BF17" i="10" s="1"/>
  <c r="BG17" i="10" s="1"/>
  <c r="BD17" i="10" s="1"/>
  <c r="F31" i="15"/>
  <c r="BH91" i="12"/>
  <c r="BE91" i="12" s="1"/>
  <c r="F97" i="15"/>
  <c r="F105" i="15"/>
  <c r="F193" i="15"/>
  <c r="AG193" i="15" s="1"/>
  <c r="Y91" i="12"/>
  <c r="AY91" i="12" s="1"/>
  <c r="BF91" i="12" s="1"/>
  <c r="BC91" i="12" s="1"/>
  <c r="BH95" i="12"/>
  <c r="BE95" i="12" s="1"/>
  <c r="F11" i="20"/>
  <c r="G44" i="20"/>
  <c r="H44" i="20" s="1"/>
  <c r="I44" i="20"/>
  <c r="J44" i="20" s="1"/>
  <c r="F387" i="20"/>
  <c r="F12" i="15"/>
  <c r="F12" i="20"/>
  <c r="G344" i="20"/>
  <c r="H344" i="20" s="1"/>
  <c r="I344" i="20"/>
  <c r="J344" i="20" s="1"/>
  <c r="I45" i="20"/>
  <c r="J45" i="20" s="1"/>
  <c r="G45" i="20"/>
  <c r="H45" i="20" s="1"/>
  <c r="I210" i="20"/>
  <c r="J210" i="20" s="1"/>
  <c r="G210" i="20"/>
  <c r="H210" i="20" s="1"/>
  <c r="AG383" i="15"/>
  <c r="F383" i="20"/>
  <c r="G103" i="20"/>
  <c r="H103" i="20" s="1"/>
  <c r="I103" i="20"/>
  <c r="J103" i="20" s="1"/>
  <c r="I292" i="20"/>
  <c r="J292" i="20" s="1"/>
  <c r="G292" i="20"/>
  <c r="H292" i="20" s="1"/>
  <c r="F13" i="15"/>
  <c r="F13" i="20"/>
  <c r="F382" i="15"/>
  <c r="F382" i="20"/>
  <c r="G206" i="20"/>
  <c r="H206" i="20" s="1"/>
  <c r="I206" i="20"/>
  <c r="J206" i="20" s="1"/>
  <c r="F381" i="15"/>
  <c r="F381" i="20"/>
  <c r="F14" i="15"/>
  <c r="F14" i="20"/>
  <c r="F380" i="15"/>
  <c r="F380" i="20"/>
  <c r="I207" i="20"/>
  <c r="J207" i="20" s="1"/>
  <c r="G207" i="20"/>
  <c r="H207" i="20" s="1"/>
  <c r="I109" i="20"/>
  <c r="J109" i="20" s="1"/>
  <c r="G109" i="20"/>
  <c r="H109" i="20" s="1"/>
  <c r="G56" i="20"/>
  <c r="H56" i="20" s="1"/>
  <c r="F57" i="20"/>
  <c r="BH17" i="10"/>
  <c r="BE17" i="10" s="1"/>
  <c r="Y18" i="10"/>
  <c r="AY18" i="10" s="1"/>
  <c r="BF18" i="10" s="1"/>
  <c r="BC18" i="10" s="1"/>
  <c r="Y114" i="12"/>
  <c r="AY114" i="12" s="1"/>
  <c r="BF114" i="12" s="1"/>
  <c r="BH114" i="12"/>
  <c r="BE114" i="12" s="1"/>
  <c r="BH82" i="10"/>
  <c r="BE82" i="10" s="1"/>
  <c r="BH76" i="10"/>
  <c r="BE76" i="10" s="1"/>
  <c r="BH88" i="10"/>
  <c r="BE88" i="10" s="1"/>
  <c r="BH25" i="10"/>
  <c r="BH38" i="10"/>
  <c r="BH27" i="10"/>
  <c r="BH85" i="10"/>
  <c r="BE85" i="10" s="1"/>
  <c r="BH62" i="10"/>
  <c r="BE62" i="10" s="1"/>
  <c r="BH79" i="10"/>
  <c r="BE79" i="10" s="1"/>
  <c r="BH55" i="10"/>
  <c r="BH43" i="10"/>
  <c r="BH49" i="10"/>
  <c r="BH91" i="10"/>
  <c r="BE91" i="10" s="1"/>
  <c r="BH29" i="10"/>
  <c r="Y65" i="10"/>
  <c r="AY65" i="10" s="1"/>
  <c r="BH65" i="10"/>
  <c r="BE65" i="10" s="1"/>
  <c r="Y71" i="10"/>
  <c r="AY71" i="10" s="1"/>
  <c r="BF71" i="10" s="1"/>
  <c r="BG71" i="10" s="1"/>
  <c r="BH71" i="10"/>
  <c r="BE71" i="10" s="1"/>
  <c r="Y10" i="10"/>
  <c r="AY10" i="10" s="1"/>
  <c r="BH10" i="10"/>
  <c r="Y11" i="10"/>
  <c r="AY11" i="10" s="1"/>
  <c r="BH11" i="10"/>
  <c r="BE11" i="10" s="1"/>
  <c r="Y76" i="10"/>
  <c r="AY76" i="10" s="1"/>
  <c r="BF76" i="10" s="1"/>
  <c r="BG76" i="10" s="1"/>
  <c r="Y62" i="10"/>
  <c r="AY62" i="10" s="1"/>
  <c r="AX11" i="10"/>
  <c r="AX10" i="10"/>
  <c r="AX62" i="10"/>
  <c r="AX65" i="10"/>
  <c r="BC88" i="12" l="1"/>
  <c r="AI250" i="15"/>
  <c r="AX22" i="15" s="1"/>
  <c r="AK84" i="15"/>
  <c r="AI167" i="15"/>
  <c r="AJ250" i="15"/>
  <c r="AV22" i="15" s="1"/>
  <c r="AK247" i="15"/>
  <c r="AK250" i="15" s="1"/>
  <c r="AY22" i="15" s="1"/>
  <c r="AK167" i="15"/>
  <c r="AH162" i="15"/>
  <c r="AU16" i="15" s="1"/>
  <c r="AI145" i="15"/>
  <c r="AI162" i="15" s="1"/>
  <c r="AX16" i="15" s="1"/>
  <c r="AK238" i="15"/>
  <c r="AK242" i="15" s="1"/>
  <c r="AY21" i="15" s="1"/>
  <c r="AJ242" i="15"/>
  <c r="AV21" i="15" s="1"/>
  <c r="AJ162" i="15"/>
  <c r="AV16" i="15" s="1"/>
  <c r="AK145" i="15"/>
  <c r="AK162" i="15" s="1"/>
  <c r="AY16" i="15" s="1"/>
  <c r="AK11" i="15"/>
  <c r="AI242" i="15"/>
  <c r="AX21" i="15" s="1"/>
  <c r="AI11" i="15"/>
  <c r="AK120" i="15"/>
  <c r="AI120" i="15"/>
  <c r="AH250" i="15"/>
  <c r="AU22" i="15" s="1"/>
  <c r="AH242" i="15"/>
  <c r="AU21" i="15" s="1"/>
  <c r="AG41" i="15"/>
  <c r="AJ41" i="15"/>
  <c r="AH41" i="15"/>
  <c r="AI41" i="15" s="1"/>
  <c r="AG382" i="15"/>
  <c r="AJ382" i="15"/>
  <c r="AK382" i="15" s="1"/>
  <c r="AH382" i="15"/>
  <c r="AI382" i="15" s="1"/>
  <c r="AG12" i="15"/>
  <c r="AH12" i="15"/>
  <c r="AI12" i="15" s="1"/>
  <c r="AJ12" i="15"/>
  <c r="AK12" i="15" s="1"/>
  <c r="AG91" i="15"/>
  <c r="AH91" i="15"/>
  <c r="AI91" i="15" s="1"/>
  <c r="AJ91" i="15"/>
  <c r="AK91" i="15" s="1"/>
  <c r="AG13" i="15"/>
  <c r="AH13" i="15"/>
  <c r="AI13" i="15" s="1"/>
  <c r="AJ13" i="15"/>
  <c r="AK13" i="15" s="1"/>
  <c r="BC95" i="12"/>
  <c r="AG380" i="15"/>
  <c r="AJ380" i="15"/>
  <c r="AH380" i="15"/>
  <c r="AI380" i="15" s="1"/>
  <c r="AG105" i="15"/>
  <c r="AJ105" i="15"/>
  <c r="AK105" i="15" s="1"/>
  <c r="AH105" i="15"/>
  <c r="AI105" i="15" s="1"/>
  <c r="AG97" i="15"/>
  <c r="AJ97" i="15"/>
  <c r="AK97" i="15" s="1"/>
  <c r="AH97" i="15"/>
  <c r="AI97" i="15" s="1"/>
  <c r="AG14" i="15"/>
  <c r="AJ14" i="15"/>
  <c r="AK14" i="15" s="1"/>
  <c r="AH14" i="15"/>
  <c r="AI14" i="15" s="1"/>
  <c r="AG31" i="15"/>
  <c r="AH31" i="15"/>
  <c r="AI31" i="15" s="1"/>
  <c r="AJ31" i="15"/>
  <c r="AK31" i="15" s="1"/>
  <c r="AG381" i="15"/>
  <c r="AH381" i="15"/>
  <c r="AI381" i="15" s="1"/>
  <c r="AJ381" i="15"/>
  <c r="AK381" i="15" s="1"/>
  <c r="AG98" i="15"/>
  <c r="AJ98" i="15"/>
  <c r="AK98" i="15" s="1"/>
  <c r="AH98" i="15"/>
  <c r="AI98" i="15" s="1"/>
  <c r="BG91" i="12"/>
  <c r="BD91" i="12" s="1"/>
  <c r="BC17" i="10"/>
  <c r="BG18" i="10"/>
  <c r="BD18" i="10" s="1"/>
  <c r="BE10" i="10"/>
  <c r="G57" i="20"/>
  <c r="H57" i="20" s="1"/>
  <c r="F58" i="20"/>
  <c r="G58" i="20" s="1"/>
  <c r="H58" i="20" s="1"/>
  <c r="BG114" i="12"/>
  <c r="BD114" i="12" s="1"/>
  <c r="BC114" i="12"/>
  <c r="BD76" i="10"/>
  <c r="BC71" i="10"/>
  <c r="BD71" i="10"/>
  <c r="BC76" i="10"/>
  <c r="BF65" i="10"/>
  <c r="BF62" i="10"/>
  <c r="BF10" i="10"/>
  <c r="BF11" i="10"/>
  <c r="AZ21" i="15" l="1"/>
  <c r="AW16" i="15"/>
  <c r="AW22" i="15"/>
  <c r="AZ16" i="15"/>
  <c r="AW21" i="15"/>
  <c r="AZ22" i="15"/>
  <c r="AI388" i="15"/>
  <c r="AX32" i="15" s="1"/>
  <c r="AK380" i="15"/>
  <c r="AK388" i="15" s="1"/>
  <c r="AY32" i="15" s="1"/>
  <c r="AJ388" i="15"/>
  <c r="AV32" i="15" s="1"/>
  <c r="AH15" i="15"/>
  <c r="AU9" i="15" s="1"/>
  <c r="AI15" i="15"/>
  <c r="AX9" i="15" s="1"/>
  <c r="AK41" i="15"/>
  <c r="AJ15" i="15"/>
  <c r="AV9" i="15" s="1"/>
  <c r="AK15" i="15"/>
  <c r="AY9" i="15" s="1"/>
  <c r="AH388" i="15"/>
  <c r="AU32" i="15" s="1"/>
  <c r="BG62" i="10"/>
  <c r="BD62" i="10" s="1"/>
  <c r="BG11" i="10"/>
  <c r="BD11" i="10" s="1"/>
  <c r="BG65" i="10"/>
  <c r="BD65" i="10" s="1"/>
  <c r="BG10" i="10"/>
  <c r="BD10" i="10" s="1"/>
  <c r="BC65" i="10"/>
  <c r="BC11" i="10"/>
  <c r="BC10" i="10"/>
  <c r="BC62" i="10"/>
  <c r="AW32" i="15" l="1"/>
  <c r="AZ9" i="15"/>
  <c r="AW9" i="15"/>
  <c r="AZ32" i="15"/>
  <c r="O129" i="8"/>
  <c r="O386" i="12" l="1"/>
  <c r="AT386" i="12" s="1"/>
  <c r="Q386" i="12"/>
  <c r="AU386" i="12" s="1"/>
  <c r="S386" i="12"/>
  <c r="AV386" i="12" s="1"/>
  <c r="U386" i="12"/>
  <c r="AW386" i="12" s="1"/>
  <c r="W386" i="12"/>
  <c r="AX386" i="12" s="1"/>
  <c r="Y386" i="12"/>
  <c r="AY386" i="12" s="1"/>
  <c r="AA386" i="12"/>
  <c r="AC386" i="12"/>
  <c r="AZ386" i="12" s="1"/>
  <c r="AE386" i="12"/>
  <c r="BA386" i="12" s="1"/>
  <c r="AR386" i="12"/>
  <c r="BI386" i="12"/>
  <c r="BJ386" i="12"/>
  <c r="BK386" i="12"/>
  <c r="BL386" i="12"/>
  <c r="O387" i="12"/>
  <c r="AT387" i="12" s="1"/>
  <c r="Q387" i="12"/>
  <c r="AU387" i="12" s="1"/>
  <c r="S387" i="12"/>
  <c r="AV387" i="12" s="1"/>
  <c r="U387" i="12"/>
  <c r="AW387" i="12" s="1"/>
  <c r="W387" i="12"/>
  <c r="AX387" i="12" s="1"/>
  <c r="Y387" i="12"/>
  <c r="AY387" i="12" s="1"/>
  <c r="AA387" i="12"/>
  <c r="AC387" i="12"/>
  <c r="AZ387" i="12" s="1"/>
  <c r="AE387" i="12"/>
  <c r="BA387" i="12" s="1"/>
  <c r="AR387" i="12"/>
  <c r="BI387" i="12"/>
  <c r="BJ387" i="12"/>
  <c r="BK387" i="12"/>
  <c r="BL387" i="12"/>
  <c r="AS386" i="12" l="1"/>
  <c r="BB386" i="12" s="1"/>
  <c r="BF386" i="12" s="1"/>
  <c r="BG386" i="12" s="1"/>
  <c r="BH386" i="12"/>
  <c r="BE386" i="12" s="1"/>
  <c r="AS387" i="12"/>
  <c r="BB387" i="12" s="1"/>
  <c r="BF387" i="12" s="1"/>
  <c r="BG387" i="12" s="1"/>
  <c r="BH387" i="12"/>
  <c r="BE387" i="12" s="1"/>
  <c r="R56" i="9"/>
  <c r="S56" i="9" s="1"/>
  <c r="P56" i="9"/>
  <c r="Q56" i="9" s="1"/>
  <c r="N56" i="9"/>
  <c r="O56" i="9" s="1"/>
  <c r="BC386" i="12" l="1"/>
  <c r="BD386" i="12"/>
  <c r="BC387" i="12"/>
  <c r="BD387" i="12"/>
  <c r="BK64" i="9"/>
  <c r="BJ64" i="9"/>
  <c r="BI64" i="9"/>
  <c r="AR64" i="9"/>
  <c r="BH64" i="9" s="1"/>
  <c r="BE64" i="9" s="1"/>
  <c r="AE64" i="9"/>
  <c r="BA64" i="9" s="1"/>
  <c r="AC64" i="9"/>
  <c r="AZ64" i="9" s="1"/>
  <c r="AA64" i="9"/>
  <c r="Y64" i="9"/>
  <c r="AY64" i="9" s="1"/>
  <c r="AX64" i="9"/>
  <c r="AW64" i="9"/>
  <c r="BL64" i="9"/>
  <c r="AR56" i="9"/>
  <c r="BH56" i="9" s="1"/>
  <c r="BE56" i="9" s="1"/>
  <c r="BK55" i="9"/>
  <c r="BJ55" i="9"/>
  <c r="BI55" i="9"/>
  <c r="AR55" i="9"/>
  <c r="BH55" i="9" s="1"/>
  <c r="BE55" i="9" s="1"/>
  <c r="AE55" i="9"/>
  <c r="BA55" i="9" s="1"/>
  <c r="AC55" i="9"/>
  <c r="AZ55" i="9" s="1"/>
  <c r="AA55" i="9"/>
  <c r="Y55" i="9"/>
  <c r="AY55" i="9" s="1"/>
  <c r="AX55" i="9"/>
  <c r="AW55" i="9"/>
  <c r="BL55" i="9"/>
  <c r="AS64" i="9" l="1"/>
  <c r="BB64" i="9" s="1"/>
  <c r="AS55" i="9"/>
  <c r="BB55" i="9" s="1"/>
  <c r="AT64" i="9"/>
  <c r="AU64" i="9"/>
  <c r="AV64" i="9"/>
  <c r="AT55" i="9"/>
  <c r="AU55" i="9"/>
  <c r="AV55" i="9"/>
  <c r="BF64" i="9" l="1"/>
  <c r="BG64" i="9" s="1"/>
  <c r="BD64" i="9" s="1"/>
  <c r="BF55" i="9"/>
  <c r="BG55" i="9" s="1"/>
  <c r="BD55" i="9" s="1"/>
  <c r="BC55" i="9" l="1"/>
  <c r="BC64" i="9"/>
  <c r="AR150" i="12"/>
  <c r="AE150" i="12"/>
  <c r="BA150" i="12" s="1"/>
  <c r="AC150" i="12"/>
  <c r="AZ150" i="12" s="1"/>
  <c r="AA150" i="12"/>
  <c r="Y150" i="12"/>
  <c r="AY150" i="12" s="1"/>
  <c r="W150" i="12"/>
  <c r="AX150" i="12" s="1"/>
  <c r="U150" i="12"/>
  <c r="AW150" i="12" s="1"/>
  <c r="S150" i="12"/>
  <c r="AV150" i="12" s="1"/>
  <c r="Q150" i="12"/>
  <c r="AU150" i="12" s="1"/>
  <c r="O150" i="12"/>
  <c r="AT150" i="12" s="1"/>
  <c r="AR149" i="12"/>
  <c r="AE149" i="12"/>
  <c r="BA149" i="12" s="1"/>
  <c r="AC149" i="12"/>
  <c r="AZ149" i="12" s="1"/>
  <c r="AA149" i="12"/>
  <c r="Y149" i="12"/>
  <c r="AY149" i="12" s="1"/>
  <c r="W149" i="12"/>
  <c r="AX149" i="12" s="1"/>
  <c r="U149" i="12"/>
  <c r="AW149" i="12" s="1"/>
  <c r="S149" i="12"/>
  <c r="AV149" i="12" s="1"/>
  <c r="Q149" i="12"/>
  <c r="AU149" i="12" s="1"/>
  <c r="O149" i="12"/>
  <c r="AT149" i="12" s="1"/>
  <c r="AR142" i="12"/>
  <c r="AE142" i="12"/>
  <c r="BA142" i="12" s="1"/>
  <c r="AC142" i="12"/>
  <c r="AZ142" i="12" s="1"/>
  <c r="AA142" i="12"/>
  <c r="Y142" i="12"/>
  <c r="AY142" i="12" s="1"/>
  <c r="W142" i="12"/>
  <c r="AX142" i="12" s="1"/>
  <c r="U142" i="12"/>
  <c r="AW142" i="12" s="1"/>
  <c r="S142" i="12"/>
  <c r="AV142" i="12" s="1"/>
  <c r="Q142" i="12"/>
  <c r="AU142" i="12" s="1"/>
  <c r="O142" i="12"/>
  <c r="AT142" i="12" s="1"/>
  <c r="O141" i="12"/>
  <c r="AT141" i="12" s="1"/>
  <c r="Q141" i="12"/>
  <c r="AU141" i="12" s="1"/>
  <c r="S141" i="12"/>
  <c r="AV141" i="12" s="1"/>
  <c r="U141" i="12"/>
  <c r="AW141" i="12" s="1"/>
  <c r="W141" i="12"/>
  <c r="AX141" i="12" s="1"/>
  <c r="Y141" i="12"/>
  <c r="AY141" i="12" s="1"/>
  <c r="AA141" i="12"/>
  <c r="AC141" i="12"/>
  <c r="AZ141" i="12" s="1"/>
  <c r="AE141" i="12"/>
  <c r="BA141" i="12" s="1"/>
  <c r="AR141" i="12"/>
  <c r="BI141" i="12"/>
  <c r="BJ141" i="12"/>
  <c r="BK141" i="12"/>
  <c r="BL141" i="12"/>
  <c r="AE140" i="12"/>
  <c r="BA140" i="12" s="1"/>
  <c r="AC140" i="12"/>
  <c r="AZ140" i="12" s="1"/>
  <c r="AA140" i="12"/>
  <c r="Y140" i="12"/>
  <c r="AY140" i="12" s="1"/>
  <c r="W140" i="12"/>
  <c r="AX140" i="12" s="1"/>
  <c r="U140" i="12"/>
  <c r="AW140" i="12" s="1"/>
  <c r="S140" i="12"/>
  <c r="AV140" i="12" s="1"/>
  <c r="Q140" i="12"/>
  <c r="AU140" i="12" s="1"/>
  <c r="O140" i="12"/>
  <c r="AT140" i="12" s="1"/>
  <c r="AR140" i="12"/>
  <c r="AR139" i="12"/>
  <c r="AE139" i="12"/>
  <c r="BA139" i="12" s="1"/>
  <c r="AC139" i="12"/>
  <c r="AZ139" i="12" s="1"/>
  <c r="AA139" i="12"/>
  <c r="Y139" i="12"/>
  <c r="AY139" i="12" s="1"/>
  <c r="W139" i="12"/>
  <c r="AX139" i="12" s="1"/>
  <c r="U139" i="12"/>
  <c r="AW139" i="12" s="1"/>
  <c r="S139" i="12"/>
  <c r="AV139" i="12" s="1"/>
  <c r="Q139" i="12"/>
  <c r="AU139" i="12" s="1"/>
  <c r="O139" i="12"/>
  <c r="AT139" i="12" s="1"/>
  <c r="BI139" i="12"/>
  <c r="BJ139" i="12"/>
  <c r="BK139" i="12"/>
  <c r="BL139" i="12"/>
  <c r="BI140" i="12"/>
  <c r="BJ140" i="12"/>
  <c r="BK140" i="12"/>
  <c r="BL140" i="12"/>
  <c r="BI142" i="12"/>
  <c r="BJ142" i="12"/>
  <c r="BK142" i="12"/>
  <c r="BL142" i="12"/>
  <c r="BL138" i="12"/>
  <c r="BK138" i="12"/>
  <c r="BJ138" i="12"/>
  <c r="BI138" i="12"/>
  <c r="AR138" i="12"/>
  <c r="AE138" i="12"/>
  <c r="BA138" i="12" s="1"/>
  <c r="AC138" i="12"/>
  <c r="AZ138" i="12" s="1"/>
  <c r="AA138" i="12"/>
  <c r="Y138" i="12"/>
  <c r="AY138" i="12" s="1"/>
  <c r="W138" i="12"/>
  <c r="AX138" i="12" s="1"/>
  <c r="U138" i="12"/>
  <c r="AW138" i="12" s="1"/>
  <c r="S138" i="12"/>
  <c r="AV138" i="12" s="1"/>
  <c r="Q138" i="12"/>
  <c r="AU138" i="12" s="1"/>
  <c r="O138" i="12"/>
  <c r="AT138" i="12" s="1"/>
  <c r="BL137" i="12"/>
  <c r="BK137" i="12"/>
  <c r="BJ137" i="12"/>
  <c r="BI137" i="12"/>
  <c r="AR137" i="12"/>
  <c r="AE137" i="12"/>
  <c r="BA137" i="12" s="1"/>
  <c r="AC137" i="12"/>
  <c r="AZ137" i="12" s="1"/>
  <c r="AA137" i="12"/>
  <c r="Y137" i="12"/>
  <c r="AY137" i="12" s="1"/>
  <c r="W137" i="12"/>
  <c r="AX137" i="12" s="1"/>
  <c r="U137" i="12"/>
  <c r="AW137" i="12" s="1"/>
  <c r="S137" i="12"/>
  <c r="AV137" i="12" s="1"/>
  <c r="Q137" i="12"/>
  <c r="AU137" i="12" s="1"/>
  <c r="O137" i="12"/>
  <c r="AT137" i="12" s="1"/>
  <c r="BL136" i="12"/>
  <c r="BK136" i="12"/>
  <c r="BJ136" i="12"/>
  <c r="BI136" i="12"/>
  <c r="AR136" i="12"/>
  <c r="AE136" i="12"/>
  <c r="BA136" i="12" s="1"/>
  <c r="AC136" i="12"/>
  <c r="AZ136" i="12" s="1"/>
  <c r="AA136" i="12"/>
  <c r="Y136" i="12"/>
  <c r="AY136" i="12" s="1"/>
  <c r="W136" i="12"/>
  <c r="AX136" i="12" s="1"/>
  <c r="U136" i="12"/>
  <c r="AW136" i="12" s="1"/>
  <c r="AV136" i="12"/>
  <c r="AU136" i="12"/>
  <c r="AT136" i="12"/>
  <c r="BL135" i="12"/>
  <c r="BK135" i="12"/>
  <c r="BJ135" i="12"/>
  <c r="BI135" i="12"/>
  <c r="AR135" i="12"/>
  <c r="AE135" i="12"/>
  <c r="BA135" i="12" s="1"/>
  <c r="AC135" i="12"/>
  <c r="AZ135" i="12" s="1"/>
  <c r="AA135" i="12"/>
  <c r="Y135" i="12"/>
  <c r="AY135" i="12" s="1"/>
  <c r="W135" i="12"/>
  <c r="AX135" i="12" s="1"/>
  <c r="U135" i="12"/>
  <c r="AW135" i="12" s="1"/>
  <c r="S135" i="12"/>
  <c r="AV135" i="12" s="1"/>
  <c r="Q135" i="12"/>
  <c r="AU135" i="12" s="1"/>
  <c r="O135" i="12"/>
  <c r="AT135" i="12" s="1"/>
  <c r="O143" i="12"/>
  <c r="AT143" i="12" s="1"/>
  <c r="Q143" i="12"/>
  <c r="AU143" i="12" s="1"/>
  <c r="S143" i="12"/>
  <c r="AV143" i="12" s="1"/>
  <c r="U143" i="12"/>
  <c r="AW143" i="12" s="1"/>
  <c r="W143" i="12"/>
  <c r="AX143" i="12" s="1"/>
  <c r="Y143" i="12"/>
  <c r="AY143" i="12" s="1"/>
  <c r="AA143" i="12"/>
  <c r="AC143" i="12"/>
  <c r="AZ143" i="12" s="1"/>
  <c r="AE143" i="12"/>
  <c r="BA143" i="12" s="1"/>
  <c r="AR143" i="12"/>
  <c r="BI143" i="12"/>
  <c r="BJ143" i="12"/>
  <c r="BK143" i="12"/>
  <c r="BL143" i="12"/>
  <c r="O148" i="12"/>
  <c r="AT148" i="12" s="1"/>
  <c r="Q148" i="12"/>
  <c r="AU148" i="12" s="1"/>
  <c r="S148" i="12"/>
  <c r="AV148" i="12" s="1"/>
  <c r="U148" i="12"/>
  <c r="AW148" i="12" s="1"/>
  <c r="W148" i="12"/>
  <c r="AX148" i="12" s="1"/>
  <c r="Y148" i="12"/>
  <c r="AY148" i="12" s="1"/>
  <c r="AA148" i="12"/>
  <c r="AC148" i="12"/>
  <c r="AZ148" i="12" s="1"/>
  <c r="AE148" i="12"/>
  <c r="BA148" i="12" s="1"/>
  <c r="AR148" i="12"/>
  <c r="BI148" i="12"/>
  <c r="BJ148" i="12"/>
  <c r="BK148" i="12"/>
  <c r="BL148" i="12"/>
  <c r="BI149" i="12"/>
  <c r="BJ149" i="12"/>
  <c r="BK149" i="12"/>
  <c r="BL149" i="12"/>
  <c r="BI150" i="12"/>
  <c r="BJ150" i="12"/>
  <c r="BK150" i="12"/>
  <c r="BL150" i="12"/>
  <c r="BL147" i="12"/>
  <c r="BK147" i="12"/>
  <c r="BJ147" i="12"/>
  <c r="BI147" i="12"/>
  <c r="AR147" i="12"/>
  <c r="AE147" i="12"/>
  <c r="BA147" i="12" s="1"/>
  <c r="AC147" i="12"/>
  <c r="AZ147" i="12" s="1"/>
  <c r="AA147" i="12"/>
  <c r="Y147" i="12"/>
  <c r="AY147" i="12" s="1"/>
  <c r="W147" i="12"/>
  <c r="AX147" i="12" s="1"/>
  <c r="U147" i="12"/>
  <c r="AW147" i="12" s="1"/>
  <c r="S147" i="12"/>
  <c r="AV147" i="12" s="1"/>
  <c r="Q147" i="12"/>
  <c r="AU147" i="12" s="1"/>
  <c r="O147" i="12"/>
  <c r="AT147" i="12" s="1"/>
  <c r="BL146" i="12"/>
  <c r="BK146" i="12"/>
  <c r="BJ146" i="12"/>
  <c r="BI146" i="12"/>
  <c r="AR146" i="12"/>
  <c r="AE146" i="12"/>
  <c r="BA146" i="12" s="1"/>
  <c r="AC146" i="12"/>
  <c r="AZ146" i="12" s="1"/>
  <c r="AA146" i="12"/>
  <c r="Y146" i="12"/>
  <c r="AY146" i="12" s="1"/>
  <c r="W146" i="12"/>
  <c r="AX146" i="12" s="1"/>
  <c r="U146" i="12"/>
  <c r="AW146" i="12" s="1"/>
  <c r="AV146" i="12"/>
  <c r="AU146" i="12"/>
  <c r="AT146" i="12"/>
  <c r="O42" i="12"/>
  <c r="AT42" i="12" s="1"/>
  <c r="Q42" i="12"/>
  <c r="AU42" i="12" s="1"/>
  <c r="S42" i="12"/>
  <c r="AV42" i="12" s="1"/>
  <c r="U42" i="12"/>
  <c r="AW42" i="12" s="1"/>
  <c r="W42" i="12"/>
  <c r="AX42" i="12" s="1"/>
  <c r="Y42" i="12"/>
  <c r="AY42" i="12" s="1"/>
  <c r="AA42" i="12"/>
  <c r="AC42" i="12"/>
  <c r="AZ42" i="12" s="1"/>
  <c r="AE42" i="12"/>
  <c r="BA42" i="12" s="1"/>
  <c r="AR42" i="12"/>
  <c r="BI42" i="12"/>
  <c r="BJ42" i="12"/>
  <c r="BK42" i="12"/>
  <c r="BL42" i="12"/>
  <c r="O50" i="12"/>
  <c r="AT50" i="12" s="1"/>
  <c r="Q50" i="12"/>
  <c r="AU50" i="12" s="1"/>
  <c r="S50" i="12"/>
  <c r="AV50" i="12" s="1"/>
  <c r="U50" i="12"/>
  <c r="AW50" i="12" s="1"/>
  <c r="W50" i="12"/>
  <c r="AX50" i="12" s="1"/>
  <c r="Y50" i="12"/>
  <c r="AY50" i="12" s="1"/>
  <c r="AA50" i="12"/>
  <c r="AC50" i="12"/>
  <c r="AZ50" i="12" s="1"/>
  <c r="AE50" i="12"/>
  <c r="BA50" i="12" s="1"/>
  <c r="AR50" i="12"/>
  <c r="BI50" i="12"/>
  <c r="BJ50" i="12"/>
  <c r="BK50" i="12"/>
  <c r="BL50" i="12"/>
  <c r="AR48" i="12"/>
  <c r="AE48" i="12"/>
  <c r="BA48" i="12" s="1"/>
  <c r="AC48" i="12"/>
  <c r="AZ48" i="12" s="1"/>
  <c r="AA48" i="12"/>
  <c r="Y48" i="12"/>
  <c r="AY48" i="12" s="1"/>
  <c r="W48" i="12"/>
  <c r="AX48" i="12" s="1"/>
  <c r="U48" i="12"/>
  <c r="AW48" i="12" s="1"/>
  <c r="AV48" i="12"/>
  <c r="AU48" i="12"/>
  <c r="AT48" i="12"/>
  <c r="BI48" i="12"/>
  <c r="BJ48" i="12"/>
  <c r="BK48" i="12"/>
  <c r="BL48" i="12"/>
  <c r="AS42" i="12" l="1"/>
  <c r="BB42" i="12" s="1"/>
  <c r="BH42" i="12"/>
  <c r="BE42" i="12" s="1"/>
  <c r="AS143" i="12"/>
  <c r="BB143" i="12" s="1"/>
  <c r="BH143" i="12"/>
  <c r="BE143" i="12" s="1"/>
  <c r="AS147" i="12"/>
  <c r="BB147" i="12" s="1"/>
  <c r="BF147" i="12" s="1"/>
  <c r="BG147" i="12" s="1"/>
  <c r="BH147" i="12"/>
  <c r="BE147" i="12" s="1"/>
  <c r="AS141" i="12"/>
  <c r="BB141" i="12" s="1"/>
  <c r="BF141" i="12" s="1"/>
  <c r="BG141" i="12" s="1"/>
  <c r="BH141" i="12"/>
  <c r="BE141" i="12" s="1"/>
  <c r="AS148" i="12"/>
  <c r="BB148" i="12" s="1"/>
  <c r="BF148" i="12" s="1"/>
  <c r="BG148" i="12" s="1"/>
  <c r="BH148" i="12"/>
  <c r="BE148" i="12" s="1"/>
  <c r="AS135" i="12"/>
  <c r="BB135" i="12" s="1"/>
  <c r="BF135" i="12" s="1"/>
  <c r="BG135" i="12" s="1"/>
  <c r="BH135" i="12"/>
  <c r="BE135" i="12" s="1"/>
  <c r="AS139" i="12"/>
  <c r="BB139" i="12" s="1"/>
  <c r="BF139" i="12" s="1"/>
  <c r="BG139" i="12" s="1"/>
  <c r="BH139" i="12"/>
  <c r="BE139" i="12" s="1"/>
  <c r="AS140" i="12"/>
  <c r="BB140" i="12" s="1"/>
  <c r="BF140" i="12" s="1"/>
  <c r="BG140" i="12" s="1"/>
  <c r="BH140" i="12"/>
  <c r="BE140" i="12" s="1"/>
  <c r="AS142" i="12"/>
  <c r="BB142" i="12" s="1"/>
  <c r="BF142" i="12" s="1"/>
  <c r="BG142" i="12" s="1"/>
  <c r="BH142" i="12"/>
  <c r="BE142" i="12" s="1"/>
  <c r="AS146" i="12"/>
  <c r="BB146" i="12" s="1"/>
  <c r="BF146" i="12" s="1"/>
  <c r="BG146" i="12" s="1"/>
  <c r="BH146" i="12"/>
  <c r="BE146" i="12" s="1"/>
  <c r="AS136" i="12"/>
  <c r="BB136" i="12" s="1"/>
  <c r="BF136" i="12" s="1"/>
  <c r="BG136" i="12" s="1"/>
  <c r="BH136" i="12"/>
  <c r="BE136" i="12" s="1"/>
  <c r="AS149" i="12"/>
  <c r="BB149" i="12" s="1"/>
  <c r="BF149" i="12" s="1"/>
  <c r="BG149" i="12" s="1"/>
  <c r="BH149" i="12"/>
  <c r="BE149" i="12" s="1"/>
  <c r="AS48" i="12"/>
  <c r="BB48" i="12" s="1"/>
  <c r="BF48" i="12" s="1"/>
  <c r="BG48" i="12" s="1"/>
  <c r="BH48" i="12"/>
  <c r="BE48" i="12" s="1"/>
  <c r="AS138" i="12"/>
  <c r="BB138" i="12" s="1"/>
  <c r="BF138" i="12" s="1"/>
  <c r="BG138" i="12" s="1"/>
  <c r="BH138" i="12"/>
  <c r="BE138" i="12" s="1"/>
  <c r="AS150" i="12"/>
  <c r="BB150" i="12" s="1"/>
  <c r="BF150" i="12" s="1"/>
  <c r="BG150" i="12" s="1"/>
  <c r="BH150" i="12"/>
  <c r="BE150" i="12" s="1"/>
  <c r="AS50" i="12"/>
  <c r="BB50" i="12" s="1"/>
  <c r="BF50" i="12" s="1"/>
  <c r="BG50" i="12" s="1"/>
  <c r="BH50" i="12"/>
  <c r="BE50" i="12" s="1"/>
  <c r="AS137" i="12"/>
  <c r="BB137" i="12" s="1"/>
  <c r="BF137" i="12" s="1"/>
  <c r="BG137" i="12" s="1"/>
  <c r="BH137" i="12"/>
  <c r="BE137" i="12" s="1"/>
  <c r="BF42" i="12"/>
  <c r="BG42" i="12" s="1"/>
  <c r="BF143" i="12"/>
  <c r="BG143" i="12" s="1"/>
  <c r="BD146" i="12" l="1"/>
  <c r="BD148" i="12"/>
  <c r="BD135" i="12"/>
  <c r="BC142" i="12"/>
  <c r="BD142" i="12"/>
  <c r="BC42" i="12"/>
  <c r="BD42" i="12"/>
  <c r="BC48" i="12"/>
  <c r="BD48" i="12"/>
  <c r="BD141" i="12"/>
  <c r="BC135" i="12"/>
  <c r="BC141" i="12"/>
  <c r="BC139" i="12"/>
  <c r="BD139" i="12"/>
  <c r="BC140" i="12"/>
  <c r="BD140" i="12"/>
  <c r="BD137" i="12"/>
  <c r="BC137" i="12"/>
  <c r="BC136" i="12"/>
  <c r="BD136" i="12"/>
  <c r="BD138" i="12"/>
  <c r="BC138" i="12"/>
  <c r="BC146" i="12"/>
  <c r="BC143" i="12"/>
  <c r="BD143" i="12"/>
  <c r="BC148" i="12"/>
  <c r="BC149" i="12"/>
  <c r="BD149" i="12"/>
  <c r="BD150" i="12"/>
  <c r="BC150" i="12"/>
  <c r="BD147" i="12"/>
  <c r="BC147" i="12"/>
  <c r="BC50" i="12"/>
  <c r="BD50" i="12"/>
  <c r="Q44" i="12" l="1"/>
  <c r="AU44" i="12" s="1"/>
  <c r="O44" i="12"/>
  <c r="AT44" i="12" s="1"/>
  <c r="S44" i="12"/>
  <c r="AV44" i="12" s="1"/>
  <c r="U44" i="12"/>
  <c r="AW44" i="12" s="1"/>
  <c r="W44" i="12"/>
  <c r="AX44" i="12" s="1"/>
  <c r="Y44" i="12"/>
  <c r="AY44" i="12" s="1"/>
  <c r="AA44" i="12"/>
  <c r="AC44" i="12"/>
  <c r="AZ44" i="12" s="1"/>
  <c r="AE44" i="12"/>
  <c r="BA44" i="12" s="1"/>
  <c r="AR44" i="12"/>
  <c r="BI44" i="12"/>
  <c r="BJ44" i="12"/>
  <c r="BK44" i="12"/>
  <c r="BL44" i="12"/>
  <c r="O45" i="12"/>
  <c r="AT45" i="12" s="1"/>
  <c r="Q45" i="12"/>
  <c r="AU45" i="12" s="1"/>
  <c r="S45" i="12"/>
  <c r="AV45" i="12" s="1"/>
  <c r="U45" i="12"/>
  <c r="AW45" i="12" s="1"/>
  <c r="W45" i="12"/>
  <c r="AX45" i="12" s="1"/>
  <c r="Y45" i="12"/>
  <c r="AY45" i="12" s="1"/>
  <c r="AA45" i="12"/>
  <c r="AC45" i="12"/>
  <c r="AZ45" i="12" s="1"/>
  <c r="AE45" i="12"/>
  <c r="BA45" i="12" s="1"/>
  <c r="AR45" i="12"/>
  <c r="BI45" i="12"/>
  <c r="BJ45" i="12"/>
  <c r="BK45" i="12"/>
  <c r="BL45" i="12"/>
  <c r="O49" i="12"/>
  <c r="AT49" i="12" s="1"/>
  <c r="Q49" i="12"/>
  <c r="AU49" i="12" s="1"/>
  <c r="S49" i="12"/>
  <c r="AV49" i="12" s="1"/>
  <c r="U49" i="12"/>
  <c r="AW49" i="12" s="1"/>
  <c r="W49" i="12"/>
  <c r="AX49" i="12" s="1"/>
  <c r="Y49" i="12"/>
  <c r="AY49" i="12" s="1"/>
  <c r="AA49" i="12"/>
  <c r="AC49" i="12"/>
  <c r="AZ49" i="12" s="1"/>
  <c r="AE49" i="12"/>
  <c r="BA49" i="12" s="1"/>
  <c r="AR49" i="12"/>
  <c r="BI49" i="12"/>
  <c r="BJ49" i="12"/>
  <c r="BK49" i="12"/>
  <c r="BL49" i="12"/>
  <c r="O51" i="12"/>
  <c r="AT51" i="12" s="1"/>
  <c r="Q51" i="12"/>
  <c r="AU51" i="12" s="1"/>
  <c r="S51" i="12"/>
  <c r="AV51" i="12" s="1"/>
  <c r="U51" i="12"/>
  <c r="AW51" i="12" s="1"/>
  <c r="W51" i="12"/>
  <c r="AX51" i="12" s="1"/>
  <c r="Y51" i="12"/>
  <c r="AY51" i="12" s="1"/>
  <c r="AA51" i="12"/>
  <c r="AC51" i="12"/>
  <c r="AZ51" i="12" s="1"/>
  <c r="AE51" i="12"/>
  <c r="BA51" i="12" s="1"/>
  <c r="AR51" i="12"/>
  <c r="BI51" i="12"/>
  <c r="BJ51" i="12"/>
  <c r="BK51" i="12"/>
  <c r="BL51" i="12"/>
  <c r="O52" i="12"/>
  <c r="AT52" i="12" s="1"/>
  <c r="Q52" i="12"/>
  <c r="AU52" i="12" s="1"/>
  <c r="S52" i="12"/>
  <c r="AV52" i="12" s="1"/>
  <c r="U52" i="12"/>
  <c r="AW52" i="12" s="1"/>
  <c r="W52" i="12"/>
  <c r="AX52" i="12" s="1"/>
  <c r="Y52" i="12"/>
  <c r="AY52" i="12" s="1"/>
  <c r="AA52" i="12"/>
  <c r="AC52" i="12"/>
  <c r="AZ52" i="12" s="1"/>
  <c r="AE52" i="12"/>
  <c r="BA52" i="12" s="1"/>
  <c r="AR52" i="12"/>
  <c r="BI52" i="12"/>
  <c r="BJ52" i="12"/>
  <c r="BK52" i="12"/>
  <c r="BL52" i="12"/>
  <c r="O41" i="12"/>
  <c r="AT41" i="12" s="1"/>
  <c r="Q41" i="12"/>
  <c r="AU41" i="12" s="1"/>
  <c r="S41" i="12"/>
  <c r="AV41" i="12" s="1"/>
  <c r="U41" i="12"/>
  <c r="AW41" i="12" s="1"/>
  <c r="W41" i="12"/>
  <c r="AX41" i="12" s="1"/>
  <c r="Y41" i="12"/>
  <c r="AY41" i="12" s="1"/>
  <c r="AA41" i="12"/>
  <c r="AC41" i="12"/>
  <c r="AZ41" i="12" s="1"/>
  <c r="AE41" i="12"/>
  <c r="BA41" i="12" s="1"/>
  <c r="AR41" i="12"/>
  <c r="BI41" i="12"/>
  <c r="BJ41" i="12"/>
  <c r="BK41" i="12"/>
  <c r="BL41" i="12"/>
  <c r="O40" i="12"/>
  <c r="AT40" i="12" s="1"/>
  <c r="Q40" i="12"/>
  <c r="AU40" i="12" s="1"/>
  <c r="S40" i="12"/>
  <c r="AV40" i="12" s="1"/>
  <c r="U40" i="12"/>
  <c r="AW40" i="12" s="1"/>
  <c r="W40" i="12"/>
  <c r="AX40" i="12" s="1"/>
  <c r="Y40" i="12"/>
  <c r="AY40" i="12" s="1"/>
  <c r="AA40" i="12"/>
  <c r="AC40" i="12"/>
  <c r="AZ40" i="12" s="1"/>
  <c r="AE40" i="12"/>
  <c r="BA40" i="12" s="1"/>
  <c r="AR40" i="12"/>
  <c r="BI40" i="12"/>
  <c r="BJ40" i="12"/>
  <c r="BK40" i="12"/>
  <c r="BL40" i="12"/>
  <c r="O43" i="12"/>
  <c r="AT43" i="12" s="1"/>
  <c r="Q43" i="12"/>
  <c r="AU43" i="12" s="1"/>
  <c r="S43" i="12"/>
  <c r="AV43" i="12" s="1"/>
  <c r="U43" i="12"/>
  <c r="AW43" i="12" s="1"/>
  <c r="W43" i="12"/>
  <c r="AX43" i="12" s="1"/>
  <c r="Y43" i="12"/>
  <c r="AY43" i="12" s="1"/>
  <c r="AA43" i="12"/>
  <c r="AC43" i="12"/>
  <c r="AZ43" i="12" s="1"/>
  <c r="AE43" i="12"/>
  <c r="BA43" i="12" s="1"/>
  <c r="AR43" i="12"/>
  <c r="BI43" i="12"/>
  <c r="BJ43" i="12"/>
  <c r="BK43" i="12"/>
  <c r="BL43" i="12"/>
  <c r="AS41" i="12" l="1"/>
  <c r="BB41" i="12" s="1"/>
  <c r="BH41" i="12"/>
  <c r="BE41" i="12" s="1"/>
  <c r="AS44" i="12"/>
  <c r="BB44" i="12" s="1"/>
  <c r="BF44" i="12" s="1"/>
  <c r="BG44" i="12" s="1"/>
  <c r="BH44" i="12"/>
  <c r="BE44" i="12" s="1"/>
  <c r="AS45" i="12"/>
  <c r="BB45" i="12" s="1"/>
  <c r="BF45" i="12" s="1"/>
  <c r="BG45" i="12" s="1"/>
  <c r="BH45" i="12"/>
  <c r="BE45" i="12" s="1"/>
  <c r="AS40" i="12"/>
  <c r="BB40" i="12" s="1"/>
  <c r="BF40" i="12" s="1"/>
  <c r="BG40" i="12" s="1"/>
  <c r="BH40" i="12"/>
  <c r="BE40" i="12" s="1"/>
  <c r="AS49" i="12"/>
  <c r="BB49" i="12" s="1"/>
  <c r="BF49" i="12" s="1"/>
  <c r="BG49" i="12" s="1"/>
  <c r="BH49" i="12"/>
  <c r="BE49" i="12" s="1"/>
  <c r="AS51" i="12"/>
  <c r="BB51" i="12" s="1"/>
  <c r="BF51" i="12" s="1"/>
  <c r="BG51" i="12" s="1"/>
  <c r="BH51" i="12"/>
  <c r="BE51" i="12" s="1"/>
  <c r="AS43" i="12"/>
  <c r="BB43" i="12" s="1"/>
  <c r="BF43" i="12" s="1"/>
  <c r="BG43" i="12" s="1"/>
  <c r="BH43" i="12"/>
  <c r="BE43" i="12" s="1"/>
  <c r="AS52" i="12"/>
  <c r="BB52" i="12" s="1"/>
  <c r="BF52" i="12" s="1"/>
  <c r="BG52" i="12" s="1"/>
  <c r="BH52" i="12"/>
  <c r="BE52" i="12" s="1"/>
  <c r="BF41" i="12"/>
  <c r="BG41" i="12" s="1"/>
  <c r="BL326" i="12"/>
  <c r="BK326" i="12"/>
  <c r="BJ326" i="12"/>
  <c r="BI326" i="12"/>
  <c r="AR326" i="12"/>
  <c r="AE326" i="12"/>
  <c r="BA326" i="12" s="1"/>
  <c r="AC326" i="12"/>
  <c r="AZ326" i="12" s="1"/>
  <c r="AA326" i="12"/>
  <c r="Y326" i="12"/>
  <c r="AY326" i="12" s="1"/>
  <c r="W326" i="12"/>
  <c r="AX326" i="12" s="1"/>
  <c r="U326" i="12"/>
  <c r="AW326" i="12" s="1"/>
  <c r="S326" i="12"/>
  <c r="AV326" i="12" s="1"/>
  <c r="Q326" i="12"/>
  <c r="AU326" i="12" s="1"/>
  <c r="O326" i="12"/>
  <c r="AT326" i="12" s="1"/>
  <c r="BL325" i="12"/>
  <c r="BK325" i="12"/>
  <c r="BJ325" i="12"/>
  <c r="BI325" i="12"/>
  <c r="AR325" i="12"/>
  <c r="AE325" i="12"/>
  <c r="BA325" i="12" s="1"/>
  <c r="AC325" i="12"/>
  <c r="AZ325" i="12" s="1"/>
  <c r="AA325" i="12"/>
  <c r="Y325" i="12"/>
  <c r="AY325" i="12" s="1"/>
  <c r="W325" i="12"/>
  <c r="AX325" i="12" s="1"/>
  <c r="U325" i="12"/>
  <c r="AW325" i="12" s="1"/>
  <c r="S325" i="12"/>
  <c r="AV325" i="12" s="1"/>
  <c r="Q325" i="12"/>
  <c r="AU325" i="12" s="1"/>
  <c r="O325" i="12"/>
  <c r="AT325" i="12" s="1"/>
  <c r="BL318" i="12"/>
  <c r="BK318" i="12"/>
  <c r="BJ318" i="12"/>
  <c r="BI318" i="12"/>
  <c r="AR318" i="12"/>
  <c r="AE318" i="12"/>
  <c r="BA318" i="12" s="1"/>
  <c r="AC318" i="12"/>
  <c r="AZ318" i="12" s="1"/>
  <c r="AA318" i="12"/>
  <c r="Y318" i="12"/>
  <c r="AY318" i="12" s="1"/>
  <c r="W318" i="12"/>
  <c r="AX318" i="12" s="1"/>
  <c r="U318" i="12"/>
  <c r="AW318" i="12" s="1"/>
  <c r="S318" i="12"/>
  <c r="AV318" i="12" s="1"/>
  <c r="Q318" i="12"/>
  <c r="AU318" i="12" s="1"/>
  <c r="O318" i="12"/>
  <c r="AT318" i="12" s="1"/>
  <c r="BL317" i="12"/>
  <c r="BK317" i="12"/>
  <c r="BJ317" i="12"/>
  <c r="BI317" i="12"/>
  <c r="AR317" i="12"/>
  <c r="AE317" i="12"/>
  <c r="BA317" i="12" s="1"/>
  <c r="AC317" i="12"/>
  <c r="AZ317" i="12" s="1"/>
  <c r="AA317" i="12"/>
  <c r="Y317" i="12"/>
  <c r="AY317" i="12" s="1"/>
  <c r="W317" i="12"/>
  <c r="AX317" i="12" s="1"/>
  <c r="U317" i="12"/>
  <c r="AW317" i="12" s="1"/>
  <c r="S317" i="12"/>
  <c r="AV317" i="12" s="1"/>
  <c r="Q317" i="12"/>
  <c r="AU317" i="12" s="1"/>
  <c r="O317" i="12"/>
  <c r="AT317" i="12" s="1"/>
  <c r="AS326" i="12" l="1"/>
  <c r="BB326" i="12" s="1"/>
  <c r="BF326" i="12" s="1"/>
  <c r="BG326" i="12" s="1"/>
  <c r="BH326" i="12"/>
  <c r="BE326" i="12" s="1"/>
  <c r="AS317" i="12"/>
  <c r="BB317" i="12" s="1"/>
  <c r="BF317" i="12" s="1"/>
  <c r="BG317" i="12" s="1"/>
  <c r="BH317" i="12"/>
  <c r="BE317" i="12" s="1"/>
  <c r="AS325" i="12"/>
  <c r="BB325" i="12" s="1"/>
  <c r="BF325" i="12" s="1"/>
  <c r="BG325" i="12" s="1"/>
  <c r="BH325" i="12"/>
  <c r="BE325" i="12" s="1"/>
  <c r="AS318" i="12"/>
  <c r="BB318" i="12" s="1"/>
  <c r="BF318" i="12" s="1"/>
  <c r="BG318" i="12" s="1"/>
  <c r="BH318" i="12"/>
  <c r="BE318" i="12" s="1"/>
  <c r="BD43" i="12"/>
  <c r="BC45" i="12"/>
  <c r="BD45" i="12"/>
  <c r="BC44" i="12"/>
  <c r="BD44" i="12"/>
  <c r="BC49" i="12"/>
  <c r="BD49" i="12"/>
  <c r="BC51" i="12"/>
  <c r="BD51" i="12"/>
  <c r="BC43" i="12"/>
  <c r="BC52" i="12"/>
  <c r="BD52" i="12"/>
  <c r="BC41" i="12"/>
  <c r="BD41" i="12"/>
  <c r="BC40" i="12"/>
  <c r="BD40" i="12"/>
  <c r="BC326" i="12" l="1"/>
  <c r="BD326" i="12"/>
  <c r="BD325" i="12"/>
  <c r="BC325" i="12"/>
  <c r="BC317" i="12"/>
  <c r="BD317" i="12"/>
  <c r="BD318" i="12"/>
  <c r="BC318" i="12"/>
  <c r="AX12" i="11" l="1"/>
  <c r="AW12" i="11"/>
  <c r="AX10" i="11"/>
  <c r="AW10" i="11"/>
  <c r="AX7" i="11"/>
  <c r="AW7" i="11"/>
  <c r="AX5" i="11"/>
  <c r="AW5" i="11"/>
  <c r="Y36" i="12" l="1"/>
  <c r="BK238" i="9" l="1"/>
  <c r="BJ238" i="9"/>
  <c r="BI238" i="9"/>
  <c r="AR238" i="9"/>
  <c r="BH238" i="9" s="1"/>
  <c r="AE238" i="9"/>
  <c r="BA238" i="9" s="1"/>
  <c r="AC238" i="9"/>
  <c r="AZ238" i="9" s="1"/>
  <c r="AA238" i="9"/>
  <c r="Y238" i="9"/>
  <c r="AY238" i="9" s="1"/>
  <c r="AX238" i="9"/>
  <c r="AW238" i="9"/>
  <c r="AU238" i="9"/>
  <c r="M238" i="9"/>
  <c r="BK237" i="9"/>
  <c r="BJ237" i="9"/>
  <c r="BI237" i="9"/>
  <c r="AR237" i="9"/>
  <c r="BH237" i="9" s="1"/>
  <c r="AE237" i="9"/>
  <c r="BA237" i="9" s="1"/>
  <c r="AC237" i="9"/>
  <c r="AZ237" i="9" s="1"/>
  <c r="AA237" i="9"/>
  <c r="Y237" i="9"/>
  <c r="AY237" i="9" s="1"/>
  <c r="AX237" i="9"/>
  <c r="AW237" i="9"/>
  <c r="AU237" i="9"/>
  <c r="M237" i="9"/>
  <c r="BK236" i="9"/>
  <c r="BJ236" i="9"/>
  <c r="BI236" i="9"/>
  <c r="AR236" i="9"/>
  <c r="BH236" i="9" s="1"/>
  <c r="AE236" i="9"/>
  <c r="BA236" i="9" s="1"/>
  <c r="AC236" i="9"/>
  <c r="AZ236" i="9" s="1"/>
  <c r="AA236" i="9"/>
  <c r="Y236" i="9"/>
  <c r="AY236" i="9" s="1"/>
  <c r="AX236" i="9"/>
  <c r="AW236" i="9"/>
  <c r="M236" i="9"/>
  <c r="BK235" i="9"/>
  <c r="BJ235" i="9"/>
  <c r="BI235" i="9"/>
  <c r="AR235" i="9"/>
  <c r="AS235" i="9" s="1"/>
  <c r="BB235" i="9" s="1"/>
  <c r="Z235" i="9"/>
  <c r="M235" i="9"/>
  <c r="BK306" i="9"/>
  <c r="BJ306" i="9"/>
  <c r="BI306" i="9"/>
  <c r="AR306" i="9"/>
  <c r="BH306" i="9" s="1"/>
  <c r="AC306" i="9"/>
  <c r="AZ306" i="9" s="1"/>
  <c r="AX306" i="9"/>
  <c r="AW306" i="9"/>
  <c r="M306" i="9"/>
  <c r="BK305" i="9"/>
  <c r="BJ305" i="9"/>
  <c r="BI305" i="9"/>
  <c r="AR305" i="9"/>
  <c r="BH305" i="9" s="1"/>
  <c r="AE305" i="9"/>
  <c r="BA305" i="9" s="1"/>
  <c r="AC305" i="9"/>
  <c r="AZ305" i="9" s="1"/>
  <c r="AA305" i="9"/>
  <c r="Y305" i="9"/>
  <c r="AY305" i="9" s="1"/>
  <c r="AX305" i="9"/>
  <c r="AW305" i="9"/>
  <c r="M305" i="9"/>
  <c r="BK304" i="9"/>
  <c r="BJ304" i="9"/>
  <c r="BI304" i="9"/>
  <c r="AR304" i="9"/>
  <c r="AS304" i="9" s="1"/>
  <c r="BB304" i="9" s="1"/>
  <c r="Z304" i="9"/>
  <c r="M304" i="9"/>
  <c r="O238" i="9" l="1"/>
  <c r="AT238" i="9" s="1"/>
  <c r="S238" i="9"/>
  <c r="AV238" i="9" s="1"/>
  <c r="Q305" i="9"/>
  <c r="AU305" i="9" s="1"/>
  <c r="O305" i="9"/>
  <c r="AT305" i="9" s="1"/>
  <c r="S305" i="9"/>
  <c r="AV305" i="9" s="1"/>
  <c r="O237" i="9"/>
  <c r="S237" i="9"/>
  <c r="O236" i="9"/>
  <c r="AT236" i="9" s="1"/>
  <c r="S236" i="9"/>
  <c r="AV236" i="9" s="1"/>
  <c r="Q236" i="9"/>
  <c r="AU236" i="9" s="1"/>
  <c r="W235" i="9"/>
  <c r="AX235" i="9" s="1"/>
  <c r="O235" i="9"/>
  <c r="AT235" i="9" s="1"/>
  <c r="U235" i="9"/>
  <c r="AW235" i="9" s="1"/>
  <c r="S235" i="9"/>
  <c r="AV235" i="9" s="1"/>
  <c r="Q235" i="9"/>
  <c r="AU235" i="9" s="1"/>
  <c r="Q304" i="9"/>
  <c r="AU304" i="9" s="1"/>
  <c r="O304" i="9"/>
  <c r="AT304" i="9" s="1"/>
  <c r="W304" i="9"/>
  <c r="U304" i="9"/>
  <c r="AW304" i="9" s="1"/>
  <c r="S304" i="9"/>
  <c r="AV304" i="9" s="1"/>
  <c r="Q306" i="9"/>
  <c r="AU306" i="9" s="1"/>
  <c r="O306" i="9"/>
  <c r="AT306" i="9" s="1"/>
  <c r="S306" i="9"/>
  <c r="AV306" i="9" s="1"/>
  <c r="BE238" i="9"/>
  <c r="BE305" i="9"/>
  <c r="BH235" i="9"/>
  <c r="BE235" i="9" s="1"/>
  <c r="BE237" i="9"/>
  <c r="BE236" i="9"/>
  <c r="BH304" i="9"/>
  <c r="BE304" i="9" s="1"/>
  <c r="BE306" i="9"/>
  <c r="AS237" i="9"/>
  <c r="BB237" i="9" s="1"/>
  <c r="AS306" i="9"/>
  <c r="BB306" i="9" s="1"/>
  <c r="AS238" i="9"/>
  <c r="BB238" i="9" s="1"/>
  <c r="A238" i="9"/>
  <c r="B238" i="9"/>
  <c r="A237" i="9"/>
  <c r="B237" i="9"/>
  <c r="B305" i="9"/>
  <c r="A305" i="9"/>
  <c r="A235" i="9"/>
  <c r="B235" i="9"/>
  <c r="A236" i="9"/>
  <c r="B236" i="9"/>
  <c r="A304" i="9"/>
  <c r="B304" i="9"/>
  <c r="A306" i="9"/>
  <c r="B306" i="9"/>
  <c r="BL238" i="9"/>
  <c r="BL237" i="9"/>
  <c r="BL236" i="9"/>
  <c r="BL304" i="9"/>
  <c r="BL306" i="9"/>
  <c r="AS305" i="9"/>
  <c r="BB305" i="9" s="1"/>
  <c r="Y235" i="9"/>
  <c r="AY235" i="9" s="1"/>
  <c r="AT237" i="9"/>
  <c r="Y306" i="9"/>
  <c r="AY306" i="9" s="1"/>
  <c r="AA235" i="9"/>
  <c r="AC235" i="9"/>
  <c r="AZ235" i="9" s="1"/>
  <c r="AS236" i="9"/>
  <c r="BB236" i="9" s="1"/>
  <c r="AE304" i="9"/>
  <c r="BA304" i="9" s="1"/>
  <c r="AE235" i="9"/>
  <c r="BA235" i="9" s="1"/>
  <c r="AX304" i="9"/>
  <c r="Y304" i="9"/>
  <c r="AY304" i="9" s="1"/>
  <c r="AA304" i="9"/>
  <c r="BL235" i="9"/>
  <c r="AC304" i="9"/>
  <c r="AZ304" i="9" s="1"/>
  <c r="AV237" i="9"/>
  <c r="AA306" i="9"/>
  <c r="AE306" i="9"/>
  <c r="BA306" i="9" s="1"/>
  <c r="BL305" i="9"/>
  <c r="BK292" i="9"/>
  <c r="BJ292" i="9"/>
  <c r="BI292" i="9"/>
  <c r="AR292" i="9"/>
  <c r="BH292" i="9" s="1"/>
  <c r="AE292" i="9"/>
  <c r="BA292" i="9" s="1"/>
  <c r="AC292" i="9"/>
  <c r="AZ292" i="9" s="1"/>
  <c r="AA292" i="9"/>
  <c r="Y292" i="9"/>
  <c r="AY292" i="9" s="1"/>
  <c r="AX292" i="9"/>
  <c r="AW292" i="9"/>
  <c r="M292" i="9"/>
  <c r="BK291" i="9"/>
  <c r="BJ291" i="9"/>
  <c r="BI291" i="9"/>
  <c r="AR291" i="9"/>
  <c r="BH291" i="9" s="1"/>
  <c r="AE291" i="9"/>
  <c r="BA291" i="9" s="1"/>
  <c r="AC291" i="9"/>
  <c r="AZ291" i="9" s="1"/>
  <c r="AA291" i="9"/>
  <c r="Y291" i="9"/>
  <c r="AY291" i="9" s="1"/>
  <c r="AX291" i="9"/>
  <c r="AW291" i="9"/>
  <c r="AU291" i="9"/>
  <c r="M291" i="9"/>
  <c r="BK290" i="9"/>
  <c r="BJ290" i="9"/>
  <c r="BI290" i="9"/>
  <c r="AR290" i="9"/>
  <c r="BH290" i="9" s="1"/>
  <c r="AE290" i="9"/>
  <c r="BA290" i="9" s="1"/>
  <c r="AC290" i="9"/>
  <c r="AZ290" i="9" s="1"/>
  <c r="AA290" i="9"/>
  <c r="Y290" i="9"/>
  <c r="AY290" i="9" s="1"/>
  <c r="AX290" i="9"/>
  <c r="AW290" i="9"/>
  <c r="AU290" i="9"/>
  <c r="M290" i="9"/>
  <c r="BK289" i="9"/>
  <c r="BJ289" i="9"/>
  <c r="BI289" i="9"/>
  <c r="AR289" i="9"/>
  <c r="BH289" i="9" s="1"/>
  <c r="AE289" i="9"/>
  <c r="BA289" i="9" s="1"/>
  <c r="AC289" i="9"/>
  <c r="AZ289" i="9" s="1"/>
  <c r="AA289" i="9"/>
  <c r="Y289" i="9"/>
  <c r="AY289" i="9" s="1"/>
  <c r="AX289" i="9"/>
  <c r="AW289" i="9"/>
  <c r="AU289" i="9"/>
  <c r="M289" i="9"/>
  <c r="BK288" i="9"/>
  <c r="BJ288" i="9"/>
  <c r="BI288" i="9"/>
  <c r="AR288" i="9"/>
  <c r="BH288" i="9" s="1"/>
  <c r="AE288" i="9"/>
  <c r="BA288" i="9" s="1"/>
  <c r="AC288" i="9"/>
  <c r="AZ288" i="9" s="1"/>
  <c r="AA288" i="9"/>
  <c r="Y288" i="9"/>
  <c r="AY288" i="9" s="1"/>
  <c r="AX288" i="9"/>
  <c r="AW288" i="9"/>
  <c r="M288" i="9"/>
  <c r="BK287" i="9"/>
  <c r="BJ287" i="9"/>
  <c r="BI287" i="9"/>
  <c r="AR287" i="9"/>
  <c r="AS287" i="9" s="1"/>
  <c r="BB287" i="9" s="1"/>
  <c r="Z287" i="9"/>
  <c r="M287" i="9"/>
  <c r="BK225" i="9"/>
  <c r="BJ225" i="9"/>
  <c r="BI225" i="9"/>
  <c r="AR225" i="9"/>
  <c r="BH225" i="9" s="1"/>
  <c r="AE225" i="9"/>
  <c r="BA225" i="9" s="1"/>
  <c r="AC225" i="9"/>
  <c r="AZ225" i="9" s="1"/>
  <c r="AA225" i="9"/>
  <c r="Y225" i="9"/>
  <c r="AY225" i="9" s="1"/>
  <c r="AX225" i="9"/>
  <c r="AW225" i="9"/>
  <c r="AU225" i="9"/>
  <c r="M225" i="9"/>
  <c r="BK224" i="9"/>
  <c r="BJ224" i="9"/>
  <c r="BI224" i="9"/>
  <c r="AR224" i="9"/>
  <c r="BH224" i="9" s="1"/>
  <c r="AE224" i="9"/>
  <c r="BA224" i="9" s="1"/>
  <c r="AC224" i="9"/>
  <c r="AZ224" i="9" s="1"/>
  <c r="AA224" i="9"/>
  <c r="Y224" i="9"/>
  <c r="AY224" i="9" s="1"/>
  <c r="AX224" i="9"/>
  <c r="AW224" i="9"/>
  <c r="M224" i="9"/>
  <c r="BK223" i="9"/>
  <c r="BJ223" i="9"/>
  <c r="BI223" i="9"/>
  <c r="AR223" i="9"/>
  <c r="AS223" i="9" s="1"/>
  <c r="BB223" i="9" s="1"/>
  <c r="Z223" i="9"/>
  <c r="M223" i="9"/>
  <c r="BK183" i="9"/>
  <c r="BJ183" i="9"/>
  <c r="BI183" i="9"/>
  <c r="AR183" i="9"/>
  <c r="BH183" i="9" s="1"/>
  <c r="AE183" i="9"/>
  <c r="BA183" i="9" s="1"/>
  <c r="AC183" i="9"/>
  <c r="AZ183" i="9" s="1"/>
  <c r="AA183" i="9"/>
  <c r="Y183" i="9"/>
  <c r="AY183" i="9" s="1"/>
  <c r="AX183" i="9"/>
  <c r="AW183" i="9"/>
  <c r="AU183" i="9"/>
  <c r="M183" i="9"/>
  <c r="BK182" i="9"/>
  <c r="BJ182" i="9"/>
  <c r="BI182" i="9"/>
  <c r="AR182" i="9"/>
  <c r="BH182" i="9" s="1"/>
  <c r="AE182" i="9"/>
  <c r="BA182" i="9" s="1"/>
  <c r="AC182" i="9"/>
  <c r="AZ182" i="9" s="1"/>
  <c r="AA182" i="9"/>
  <c r="Y182" i="9"/>
  <c r="AY182" i="9" s="1"/>
  <c r="AX182" i="9"/>
  <c r="AW182" i="9"/>
  <c r="M182" i="9"/>
  <c r="BK181" i="9"/>
  <c r="BJ181" i="9"/>
  <c r="BI181" i="9"/>
  <c r="AR181" i="9"/>
  <c r="BH181" i="9" s="1"/>
  <c r="AE181" i="9"/>
  <c r="BA181" i="9" s="1"/>
  <c r="AC181" i="9"/>
  <c r="AZ181" i="9" s="1"/>
  <c r="AA181" i="9"/>
  <c r="Y181" i="9"/>
  <c r="AY181" i="9" s="1"/>
  <c r="AX181" i="9"/>
  <c r="AW181" i="9"/>
  <c r="AU181" i="9"/>
  <c r="M181" i="9"/>
  <c r="BK180" i="9"/>
  <c r="BJ180" i="9"/>
  <c r="BI180" i="9"/>
  <c r="AR180" i="9"/>
  <c r="BH180" i="9" s="1"/>
  <c r="AE180" i="9"/>
  <c r="BA180" i="9" s="1"/>
  <c r="AC180" i="9"/>
  <c r="AZ180" i="9" s="1"/>
  <c r="AA180" i="9"/>
  <c r="Y180" i="9"/>
  <c r="AY180" i="9" s="1"/>
  <c r="AX180" i="9"/>
  <c r="AW180" i="9"/>
  <c r="AU180" i="9"/>
  <c r="M180" i="9"/>
  <c r="BK179" i="9"/>
  <c r="BJ179" i="9"/>
  <c r="BI179" i="9"/>
  <c r="AR179" i="9"/>
  <c r="BH179" i="9" s="1"/>
  <c r="AE179" i="9"/>
  <c r="BA179" i="9" s="1"/>
  <c r="AC179" i="9"/>
  <c r="AZ179" i="9" s="1"/>
  <c r="AA179" i="9"/>
  <c r="Y179" i="9"/>
  <c r="AY179" i="9" s="1"/>
  <c r="AX179" i="9"/>
  <c r="AW179" i="9"/>
  <c r="AU179" i="9"/>
  <c r="M179" i="9"/>
  <c r="BK178" i="9"/>
  <c r="BJ178" i="9"/>
  <c r="BI178" i="9"/>
  <c r="AR178" i="9"/>
  <c r="BH178" i="9" s="1"/>
  <c r="AE178" i="9"/>
  <c r="BA178" i="9" s="1"/>
  <c r="AC178" i="9"/>
  <c r="AZ178" i="9" s="1"/>
  <c r="AA178" i="9"/>
  <c r="Y178" i="9"/>
  <c r="AY178" i="9" s="1"/>
  <c r="AX178" i="9"/>
  <c r="AW178" i="9"/>
  <c r="AV178" i="9"/>
  <c r="AU178" i="9"/>
  <c r="AT178" i="9"/>
  <c r="M178" i="9"/>
  <c r="BK177" i="9"/>
  <c r="BJ177" i="9"/>
  <c r="BI177" i="9"/>
  <c r="AR177" i="9"/>
  <c r="BH177" i="9" s="1"/>
  <c r="AE177" i="9"/>
  <c r="BA177" i="9" s="1"/>
  <c r="AC177" i="9"/>
  <c r="AZ177" i="9" s="1"/>
  <c r="AA177" i="9"/>
  <c r="Y177" i="9"/>
  <c r="AY177" i="9" s="1"/>
  <c r="AX177" i="9"/>
  <c r="AW177" i="9"/>
  <c r="M177" i="9"/>
  <c r="BK176" i="9"/>
  <c r="BJ176" i="9"/>
  <c r="BI176" i="9"/>
  <c r="AR176" i="9"/>
  <c r="BH176" i="9" s="1"/>
  <c r="AE176" i="9"/>
  <c r="BA176" i="9" s="1"/>
  <c r="AC176" i="9"/>
  <c r="AZ176" i="9" s="1"/>
  <c r="AA176" i="9"/>
  <c r="Y176" i="9"/>
  <c r="AY176" i="9" s="1"/>
  <c r="AX176" i="9"/>
  <c r="AW176" i="9"/>
  <c r="AU176" i="9"/>
  <c r="M176" i="9"/>
  <c r="BK175" i="9"/>
  <c r="BJ175" i="9"/>
  <c r="BI175" i="9"/>
  <c r="AR175" i="9"/>
  <c r="BH175" i="9" s="1"/>
  <c r="AE175" i="9"/>
  <c r="BA175" i="9" s="1"/>
  <c r="AC175" i="9"/>
  <c r="AZ175" i="9" s="1"/>
  <c r="AA175" i="9"/>
  <c r="Y175" i="9"/>
  <c r="AY175" i="9" s="1"/>
  <c r="AX175" i="9"/>
  <c r="AW175" i="9"/>
  <c r="AU175" i="9"/>
  <c r="M175" i="9"/>
  <c r="BK174" i="9"/>
  <c r="BJ174" i="9"/>
  <c r="BI174" i="9"/>
  <c r="AR174" i="9"/>
  <c r="BH174" i="9" s="1"/>
  <c r="AE174" i="9"/>
  <c r="BA174" i="9" s="1"/>
  <c r="AC174" i="9"/>
  <c r="AZ174" i="9" s="1"/>
  <c r="AA174" i="9"/>
  <c r="Y174" i="9"/>
  <c r="AY174" i="9" s="1"/>
  <c r="AX174" i="9"/>
  <c r="AW174" i="9"/>
  <c r="AU174" i="9"/>
  <c r="M174" i="9"/>
  <c r="BK173" i="9"/>
  <c r="BJ173" i="9"/>
  <c r="BI173" i="9"/>
  <c r="AR173" i="9"/>
  <c r="BH173" i="9" s="1"/>
  <c r="AE173" i="9"/>
  <c r="BA173" i="9" s="1"/>
  <c r="AC173" i="9"/>
  <c r="AZ173" i="9" s="1"/>
  <c r="AA173" i="9"/>
  <c r="Y173" i="9"/>
  <c r="AY173" i="9" s="1"/>
  <c r="AX173" i="9"/>
  <c r="AW173" i="9"/>
  <c r="M173" i="9"/>
  <c r="BK172" i="9"/>
  <c r="BJ172" i="9"/>
  <c r="BI172" i="9"/>
  <c r="AR172" i="9"/>
  <c r="BH172" i="9" s="1"/>
  <c r="AE172" i="9"/>
  <c r="BA172" i="9" s="1"/>
  <c r="AC172" i="9"/>
  <c r="AZ172" i="9" s="1"/>
  <c r="AA172" i="9"/>
  <c r="Y172" i="9"/>
  <c r="AY172" i="9" s="1"/>
  <c r="AX172" i="9"/>
  <c r="AW172" i="9"/>
  <c r="M172" i="9"/>
  <c r="BK171" i="9"/>
  <c r="BJ171" i="9"/>
  <c r="BI171" i="9"/>
  <c r="AR171" i="9"/>
  <c r="AS171" i="9" s="1"/>
  <c r="BB171" i="9" s="1"/>
  <c r="Z171" i="9"/>
  <c r="M171" i="9"/>
  <c r="BK103" i="9"/>
  <c r="BJ103" i="9"/>
  <c r="BI103" i="9"/>
  <c r="AR103" i="9"/>
  <c r="BH103" i="9" s="1"/>
  <c r="AE103" i="9"/>
  <c r="BA103" i="9" s="1"/>
  <c r="AC103" i="9"/>
  <c r="AZ103" i="9" s="1"/>
  <c r="AA103" i="9"/>
  <c r="Y103" i="9"/>
  <c r="AY103" i="9" s="1"/>
  <c r="AX103" i="9"/>
  <c r="AW103" i="9"/>
  <c r="AU103" i="9"/>
  <c r="M103" i="9"/>
  <c r="BK102" i="9"/>
  <c r="BJ102" i="9"/>
  <c r="BI102" i="9"/>
  <c r="AR102" i="9"/>
  <c r="BH102" i="9" s="1"/>
  <c r="AE102" i="9"/>
  <c r="BA102" i="9" s="1"/>
  <c r="AC102" i="9"/>
  <c r="AZ102" i="9" s="1"/>
  <c r="AA102" i="9"/>
  <c r="Y102" i="9"/>
  <c r="AY102" i="9" s="1"/>
  <c r="AX102" i="9"/>
  <c r="AW102" i="9"/>
  <c r="M102" i="9"/>
  <c r="BK101" i="9"/>
  <c r="BJ101" i="9"/>
  <c r="BI101" i="9"/>
  <c r="AR101" i="9"/>
  <c r="BH101" i="9" s="1"/>
  <c r="AE101" i="9"/>
  <c r="BA101" i="9" s="1"/>
  <c r="AC101" i="9"/>
  <c r="AZ101" i="9" s="1"/>
  <c r="AA101" i="9"/>
  <c r="Y101" i="9"/>
  <c r="AY101" i="9" s="1"/>
  <c r="AX101" i="9"/>
  <c r="AW101" i="9"/>
  <c r="M101" i="9"/>
  <c r="BK100" i="9"/>
  <c r="BJ100" i="9"/>
  <c r="BI100" i="9"/>
  <c r="AR100" i="9"/>
  <c r="AS100" i="9" s="1"/>
  <c r="BB100" i="9" s="1"/>
  <c r="Z100" i="9"/>
  <c r="M100" i="9"/>
  <c r="BK41" i="9"/>
  <c r="BJ41" i="9"/>
  <c r="BI41" i="9"/>
  <c r="AR41" i="9"/>
  <c r="BH41" i="9" s="1"/>
  <c r="AE41" i="9"/>
  <c r="BA41" i="9" s="1"/>
  <c r="AC41" i="9"/>
  <c r="AZ41" i="9" s="1"/>
  <c r="AA41" i="9"/>
  <c r="Y41" i="9"/>
  <c r="AY41" i="9" s="1"/>
  <c r="AX41" i="9"/>
  <c r="AW41" i="9"/>
  <c r="M41" i="9"/>
  <c r="BK40" i="9"/>
  <c r="BJ40" i="9"/>
  <c r="BI40" i="9"/>
  <c r="AR40" i="9"/>
  <c r="AS40" i="9" s="1"/>
  <c r="BB40" i="9" s="1"/>
  <c r="Z40" i="9"/>
  <c r="M40" i="9"/>
  <c r="BK39" i="9"/>
  <c r="BJ39" i="9"/>
  <c r="BI39" i="9"/>
  <c r="AR39" i="9"/>
  <c r="BH39" i="9" s="1"/>
  <c r="AE39" i="9"/>
  <c r="BA39" i="9" s="1"/>
  <c r="AC39" i="9"/>
  <c r="AZ39" i="9" s="1"/>
  <c r="AA39" i="9"/>
  <c r="Y39" i="9"/>
  <c r="AY39" i="9" s="1"/>
  <c r="AX39" i="9"/>
  <c r="AW39" i="9"/>
  <c r="M39" i="9"/>
  <c r="BK38" i="9"/>
  <c r="BJ38" i="9"/>
  <c r="BI38" i="9"/>
  <c r="AR38" i="9"/>
  <c r="AS38" i="9" s="1"/>
  <c r="BB38" i="9" s="1"/>
  <c r="Z38" i="9"/>
  <c r="M38" i="9"/>
  <c r="BH171" i="9" l="1"/>
  <c r="BE171" i="9" s="1"/>
  <c r="BH38" i="9"/>
  <c r="BE38" i="9" s="1"/>
  <c r="S182" i="9"/>
  <c r="AV182" i="9" s="1"/>
  <c r="Q182" i="9"/>
  <c r="AU182" i="9" s="1"/>
  <c r="O182" i="9"/>
  <c r="AT182" i="9" s="1"/>
  <c r="O290" i="9"/>
  <c r="S290" i="9"/>
  <c r="AV290" i="9" s="1"/>
  <c r="Q177" i="9"/>
  <c r="AU177" i="9" s="1"/>
  <c r="O177" i="9"/>
  <c r="AT177" i="9" s="1"/>
  <c r="S177" i="9"/>
  <c r="AV177" i="9" s="1"/>
  <c r="O173" i="9"/>
  <c r="AT173" i="9" s="1"/>
  <c r="S173" i="9"/>
  <c r="AV173" i="9" s="1"/>
  <c r="Q173" i="9"/>
  <c r="AU173" i="9" s="1"/>
  <c r="O181" i="9"/>
  <c r="AT181" i="9" s="1"/>
  <c r="S181" i="9"/>
  <c r="AV181" i="9" s="1"/>
  <c r="O287" i="9"/>
  <c r="AT287" i="9" s="1"/>
  <c r="W287" i="9"/>
  <c r="AX287" i="9" s="1"/>
  <c r="U287" i="9"/>
  <c r="AW287" i="9" s="1"/>
  <c r="Q287" i="9"/>
  <c r="AU287" i="9" s="1"/>
  <c r="S287" i="9"/>
  <c r="AV287" i="9" s="1"/>
  <c r="W171" i="9"/>
  <c r="AX171" i="9" s="1"/>
  <c r="U171" i="9"/>
  <c r="AW171" i="9" s="1"/>
  <c r="O171" i="9"/>
  <c r="AT171" i="9" s="1"/>
  <c r="S171" i="9"/>
  <c r="AV171" i="9" s="1"/>
  <c r="Q171" i="9"/>
  <c r="AU171" i="9" s="1"/>
  <c r="S289" i="9"/>
  <c r="AV289" i="9" s="1"/>
  <c r="O289" i="9"/>
  <c r="AT289" i="9" s="1"/>
  <c r="S103" i="9"/>
  <c r="AV103" i="9" s="1"/>
  <c r="O103" i="9"/>
  <c r="AT103" i="9" s="1"/>
  <c r="O176" i="9"/>
  <c r="AT176" i="9" s="1"/>
  <c r="S176" i="9"/>
  <c r="AV176" i="9" s="1"/>
  <c r="W223" i="9"/>
  <c r="AX223" i="9" s="1"/>
  <c r="O223" i="9"/>
  <c r="AT223" i="9" s="1"/>
  <c r="U223" i="9"/>
  <c r="AW223" i="9" s="1"/>
  <c r="S223" i="9"/>
  <c r="AV223" i="9" s="1"/>
  <c r="Q223" i="9"/>
  <c r="AU223" i="9" s="1"/>
  <c r="BE180" i="9"/>
  <c r="O180" i="9"/>
  <c r="AT180" i="9" s="1"/>
  <c r="S180" i="9"/>
  <c r="BH223" i="9"/>
  <c r="BE223" i="9" s="1"/>
  <c r="BE225" i="9"/>
  <c r="S225" i="9"/>
  <c r="AV225" i="9" s="1"/>
  <c r="O225" i="9"/>
  <c r="Q292" i="9"/>
  <c r="AU292" i="9" s="1"/>
  <c r="S292" i="9"/>
  <c r="AV292" i="9" s="1"/>
  <c r="O292" i="9"/>
  <c r="AT292" i="9" s="1"/>
  <c r="S39" i="9"/>
  <c r="AV39" i="9" s="1"/>
  <c r="O39" i="9"/>
  <c r="AT39" i="9" s="1"/>
  <c r="Q39" i="9"/>
  <c r="AU39" i="9" s="1"/>
  <c r="Q288" i="9"/>
  <c r="O288" i="9"/>
  <c r="AT288" i="9" s="1"/>
  <c r="S288" i="9"/>
  <c r="AV288" i="9" s="1"/>
  <c r="O174" i="9"/>
  <c r="AT174" i="9" s="1"/>
  <c r="S174" i="9"/>
  <c r="AV174" i="9" s="1"/>
  <c r="Q41" i="9"/>
  <c r="AU41" i="9" s="1"/>
  <c r="O41" i="9"/>
  <c r="AT41" i="9" s="1"/>
  <c r="S41" i="9"/>
  <c r="AV41" i="9" s="1"/>
  <c r="S101" i="9"/>
  <c r="AV101" i="9" s="1"/>
  <c r="O101" i="9"/>
  <c r="AT101" i="9" s="1"/>
  <c r="Q101" i="9"/>
  <c r="AU101" i="9" s="1"/>
  <c r="W38" i="9"/>
  <c r="AX38" i="9" s="1"/>
  <c r="U38" i="9"/>
  <c r="AW38" i="9" s="1"/>
  <c r="S38" i="9"/>
  <c r="AV38" i="9" s="1"/>
  <c r="Q38" i="9"/>
  <c r="AU38" i="9" s="1"/>
  <c r="O38" i="9"/>
  <c r="AT38" i="9" s="1"/>
  <c r="O172" i="9"/>
  <c r="S172" i="9"/>
  <c r="AV172" i="9" s="1"/>
  <c r="Q172" i="9"/>
  <c r="AU172" i="9" s="1"/>
  <c r="O40" i="9"/>
  <c r="AT40" i="9" s="1"/>
  <c r="W40" i="9"/>
  <c r="AX40" i="9" s="1"/>
  <c r="U40" i="9"/>
  <c r="AW40" i="9" s="1"/>
  <c r="S40" i="9"/>
  <c r="AV40" i="9" s="1"/>
  <c r="Q40" i="9"/>
  <c r="AU40" i="9" s="1"/>
  <c r="BH40" i="9"/>
  <c r="BE40" i="9" s="1"/>
  <c r="W100" i="9"/>
  <c r="AX100" i="9" s="1"/>
  <c r="U100" i="9"/>
  <c r="AW100" i="9" s="1"/>
  <c r="S100" i="9"/>
  <c r="AV100" i="9" s="1"/>
  <c r="O100" i="9"/>
  <c r="AT100" i="9" s="1"/>
  <c r="Q100" i="9"/>
  <c r="AU100" i="9" s="1"/>
  <c r="O175" i="9"/>
  <c r="AT175" i="9" s="1"/>
  <c r="S175" i="9"/>
  <c r="AV175" i="9" s="1"/>
  <c r="O183" i="9"/>
  <c r="AT183" i="9" s="1"/>
  <c r="S183" i="9"/>
  <c r="AV183" i="9" s="1"/>
  <c r="S102" i="9"/>
  <c r="AV102" i="9" s="1"/>
  <c r="O102" i="9"/>
  <c r="AT102" i="9" s="1"/>
  <c r="Q102" i="9"/>
  <c r="AU102" i="9" s="1"/>
  <c r="S179" i="9"/>
  <c r="AV179" i="9" s="1"/>
  <c r="O179" i="9"/>
  <c r="AT179" i="9" s="1"/>
  <c r="Q224" i="9"/>
  <c r="AU224" i="9" s="1"/>
  <c r="O224" i="9"/>
  <c r="AT224" i="9" s="1"/>
  <c r="S224" i="9"/>
  <c r="AV224" i="9" s="1"/>
  <c r="S291" i="9"/>
  <c r="AV291" i="9" s="1"/>
  <c r="O291" i="9"/>
  <c r="AT291" i="9" s="1"/>
  <c r="BE292" i="9"/>
  <c r="BE288" i="9"/>
  <c r="BE175" i="9"/>
  <c r="BE183" i="9"/>
  <c r="BE179" i="9"/>
  <c r="BE224" i="9"/>
  <c r="BE291" i="9"/>
  <c r="BE103" i="9"/>
  <c r="BE176" i="9"/>
  <c r="BE39" i="9"/>
  <c r="BF305" i="9"/>
  <c r="BG305" i="9" s="1"/>
  <c r="BD305" i="9" s="1"/>
  <c r="BE172" i="9"/>
  <c r="BF304" i="9"/>
  <c r="BG304" i="9" s="1"/>
  <c r="BD304" i="9" s="1"/>
  <c r="BH100" i="9"/>
  <c r="BE100" i="9" s="1"/>
  <c r="BE102" i="9"/>
  <c r="BE178" i="9"/>
  <c r="BE174" i="9"/>
  <c r="BF236" i="9"/>
  <c r="BG236" i="9" s="1"/>
  <c r="BD236" i="9" s="1"/>
  <c r="BE41" i="9"/>
  <c r="BE182" i="9"/>
  <c r="BF238" i="9"/>
  <c r="BG238" i="9" s="1"/>
  <c r="BD238" i="9" s="1"/>
  <c r="BE101" i="9"/>
  <c r="BE290" i="9"/>
  <c r="BE177" i="9"/>
  <c r="BE173" i="9"/>
  <c r="BE181" i="9"/>
  <c r="BF237" i="9"/>
  <c r="BG237" i="9" s="1"/>
  <c r="BD237" i="9" s="1"/>
  <c r="BH287" i="9"/>
  <c r="BE287" i="9" s="1"/>
  <c r="BE289" i="9"/>
  <c r="BF306" i="9"/>
  <c r="BG306" i="9" s="1"/>
  <c r="BD306" i="9" s="1"/>
  <c r="BF235" i="9"/>
  <c r="BG235" i="9" s="1"/>
  <c r="BD235" i="9" s="1"/>
  <c r="AS174" i="9"/>
  <c r="BB174" i="9" s="1"/>
  <c r="AS182" i="9"/>
  <c r="BB182" i="9" s="1"/>
  <c r="AS173" i="9"/>
  <c r="BB173" i="9" s="1"/>
  <c r="AS178" i="9"/>
  <c r="BB178" i="9" s="1"/>
  <c r="AS181" i="9"/>
  <c r="BB181" i="9" s="1"/>
  <c r="AS289" i="9"/>
  <c r="BB289" i="9" s="1"/>
  <c r="AS103" i="9"/>
  <c r="BB103" i="9" s="1"/>
  <c r="AS176" i="9"/>
  <c r="BB176" i="9" s="1"/>
  <c r="AS180" i="9"/>
  <c r="BB180" i="9" s="1"/>
  <c r="AS225" i="9"/>
  <c r="BB225" i="9" s="1"/>
  <c r="AS290" i="9"/>
  <c r="BB290" i="9" s="1"/>
  <c r="AS291" i="9"/>
  <c r="BB291" i="9" s="1"/>
  <c r="AS102" i="9"/>
  <c r="BB102" i="9" s="1"/>
  <c r="AS175" i="9"/>
  <c r="BB175" i="9" s="1"/>
  <c r="AS183" i="9"/>
  <c r="BB183" i="9" s="1"/>
  <c r="AS179" i="9"/>
  <c r="BB179" i="9" s="1"/>
  <c r="A174" i="9"/>
  <c r="B174" i="9"/>
  <c r="A224" i="9"/>
  <c r="B224" i="9"/>
  <c r="A291" i="9"/>
  <c r="B291" i="9"/>
  <c r="A182" i="9"/>
  <c r="B182" i="9"/>
  <c r="A101" i="9"/>
  <c r="B101" i="9"/>
  <c r="A290" i="9"/>
  <c r="B290" i="9"/>
  <c r="A171" i="9"/>
  <c r="B171" i="9"/>
  <c r="A177" i="9"/>
  <c r="B177" i="9"/>
  <c r="A178" i="9"/>
  <c r="B178" i="9"/>
  <c r="B173" i="9"/>
  <c r="A173" i="9"/>
  <c r="B181" i="9"/>
  <c r="A181" i="9"/>
  <c r="A287" i="9"/>
  <c r="B287" i="9"/>
  <c r="B41" i="9"/>
  <c r="A41" i="9"/>
  <c r="B289" i="9"/>
  <c r="A289" i="9"/>
  <c r="A176" i="9"/>
  <c r="B176" i="9"/>
  <c r="A223" i="9"/>
  <c r="B223" i="9"/>
  <c r="A180" i="9"/>
  <c r="B180" i="9"/>
  <c r="B225" i="9"/>
  <c r="A225" i="9"/>
  <c r="A39" i="9"/>
  <c r="B39" i="9"/>
  <c r="A103" i="9"/>
  <c r="B103" i="9"/>
  <c r="A172" i="9"/>
  <c r="B172" i="9"/>
  <c r="A292" i="9"/>
  <c r="B292" i="9"/>
  <c r="A38" i="9"/>
  <c r="B38" i="9"/>
  <c r="A40" i="9"/>
  <c r="B40" i="9"/>
  <c r="A288" i="9"/>
  <c r="B288" i="9"/>
  <c r="A100" i="9"/>
  <c r="B100" i="9"/>
  <c r="A175" i="9"/>
  <c r="B175" i="9"/>
  <c r="A183" i="9"/>
  <c r="B183" i="9"/>
  <c r="A102" i="9"/>
  <c r="B102" i="9"/>
  <c r="A179" i="9"/>
  <c r="B179" i="9"/>
  <c r="AE223" i="9"/>
  <c r="BA223" i="9" s="1"/>
  <c r="BL176" i="9"/>
  <c r="BL180" i="9"/>
  <c r="AT225" i="9"/>
  <c r="BL172" i="9"/>
  <c r="BL292" i="9"/>
  <c r="BL288" i="9"/>
  <c r="BL175" i="9"/>
  <c r="BL183" i="9"/>
  <c r="BL100" i="9"/>
  <c r="BL102" i="9"/>
  <c r="BL179" i="9"/>
  <c r="BL291" i="9"/>
  <c r="BL224" i="9"/>
  <c r="BL178" i="9"/>
  <c r="BL182" i="9"/>
  <c r="BL41" i="9"/>
  <c r="BL101" i="9"/>
  <c r="BL290" i="9"/>
  <c r="BL103" i="9"/>
  <c r="BL171" i="9"/>
  <c r="BL177" i="9"/>
  <c r="BL174" i="9"/>
  <c r="BL173" i="9"/>
  <c r="BL181" i="9"/>
  <c r="AE287" i="9"/>
  <c r="BA287" i="9" s="1"/>
  <c r="BL40" i="9"/>
  <c r="BL289" i="9"/>
  <c r="BL225" i="9"/>
  <c r="AE40" i="9"/>
  <c r="BA40" i="9" s="1"/>
  <c r="AA223" i="9"/>
  <c r="Y40" i="9"/>
  <c r="AY40" i="9" s="1"/>
  <c r="AA40" i="9"/>
  <c r="AS177" i="9"/>
  <c r="BB177" i="9" s="1"/>
  <c r="AS224" i="9"/>
  <c r="BB224" i="9" s="1"/>
  <c r="AA287" i="9"/>
  <c r="Y100" i="9"/>
  <c r="AY100" i="9" s="1"/>
  <c r="AA100" i="9"/>
  <c r="AS292" i="9"/>
  <c r="BB292" i="9" s="1"/>
  <c r="AE100" i="9"/>
  <c r="BA100" i="9" s="1"/>
  <c r="AA38" i="9"/>
  <c r="BL39" i="9"/>
  <c r="AC100" i="9"/>
  <c r="AZ100" i="9" s="1"/>
  <c r="AT290" i="9"/>
  <c r="AS101" i="9"/>
  <c r="BB101" i="9" s="1"/>
  <c r="AS288" i="9"/>
  <c r="BB288" i="9" s="1"/>
  <c r="Y171" i="9"/>
  <c r="AY171" i="9" s="1"/>
  <c r="AS39" i="9"/>
  <c r="BB39" i="9" s="1"/>
  <c r="AA171" i="9"/>
  <c r="BL287" i="9"/>
  <c r="AC171" i="9"/>
  <c r="AZ171" i="9" s="1"/>
  <c r="AE171" i="9"/>
  <c r="BA171" i="9" s="1"/>
  <c r="AS172" i="9"/>
  <c r="BB172" i="9" s="1"/>
  <c r="Y287" i="9"/>
  <c r="AY287" i="9" s="1"/>
  <c r="AU288" i="9"/>
  <c r="AC40" i="9"/>
  <c r="AZ40" i="9" s="1"/>
  <c r="AC287" i="9"/>
  <c r="AZ287" i="9" s="1"/>
  <c r="Y38" i="9"/>
  <c r="AY38" i="9" s="1"/>
  <c r="AS41" i="9"/>
  <c r="BB41" i="9" s="1"/>
  <c r="Y223" i="9"/>
  <c r="AY223" i="9" s="1"/>
  <c r="BL223" i="9"/>
  <c r="AC223" i="9"/>
  <c r="AZ223" i="9" s="1"/>
  <c r="AT172" i="9"/>
  <c r="AV180" i="9"/>
  <c r="AC38" i="9"/>
  <c r="AZ38" i="9" s="1"/>
  <c r="AE38" i="9"/>
  <c r="BA38" i="9" s="1"/>
  <c r="BL38" i="9"/>
  <c r="BF40" i="9" l="1"/>
  <c r="BG40" i="9" s="1"/>
  <c r="BD40" i="9" s="1"/>
  <c r="BF180" i="9"/>
  <c r="BG180" i="9" s="1"/>
  <c r="BD180" i="9" s="1"/>
  <c r="BF174" i="9"/>
  <c r="BG174" i="9" s="1"/>
  <c r="BD174" i="9" s="1"/>
  <c r="BF183" i="9"/>
  <c r="BG183" i="9" s="1"/>
  <c r="BD183" i="9" s="1"/>
  <c r="BF103" i="9"/>
  <c r="BG103" i="9" s="1"/>
  <c r="BD103" i="9" s="1"/>
  <c r="BF292" i="9"/>
  <c r="BG292" i="9" s="1"/>
  <c r="BD292" i="9" s="1"/>
  <c r="BF177" i="9"/>
  <c r="BG177" i="9" s="1"/>
  <c r="BD177" i="9" s="1"/>
  <c r="BF287" i="9"/>
  <c r="BG287" i="9" s="1"/>
  <c r="BD287" i="9" s="1"/>
  <c r="BF223" i="9"/>
  <c r="BG223" i="9" s="1"/>
  <c r="BD223" i="9" s="1"/>
  <c r="BF41" i="9"/>
  <c r="BG41" i="9" s="1"/>
  <c r="BD41" i="9" s="1"/>
  <c r="BF100" i="9"/>
  <c r="BG100" i="9" s="1"/>
  <c r="BD100" i="9" s="1"/>
  <c r="BF39" i="9"/>
  <c r="BG39" i="9" s="1"/>
  <c r="BD39" i="9" s="1"/>
  <c r="BF38" i="9"/>
  <c r="BG38" i="9" s="1"/>
  <c r="BD38" i="9" s="1"/>
  <c r="BF224" i="9"/>
  <c r="BG224" i="9" s="1"/>
  <c r="BD224" i="9" s="1"/>
  <c r="BF178" i="9"/>
  <c r="BG178" i="9" s="1"/>
  <c r="BD178" i="9" s="1"/>
  <c r="BF291" i="9"/>
  <c r="BG291" i="9" s="1"/>
  <c r="BF182" i="9"/>
  <c r="BG182" i="9" s="1"/>
  <c r="BD182" i="9" s="1"/>
  <c r="BF102" i="9"/>
  <c r="BG102" i="9" s="1"/>
  <c r="BD102" i="9" s="1"/>
  <c r="BF181" i="9"/>
  <c r="BG181" i="9" s="1"/>
  <c r="BD181" i="9" s="1"/>
  <c r="BF171" i="9"/>
  <c r="BG171" i="9" s="1"/>
  <c r="BD171" i="9" s="1"/>
  <c r="BF288" i="9"/>
  <c r="BG288" i="9" s="1"/>
  <c r="BD288" i="9" s="1"/>
  <c r="BF176" i="9"/>
  <c r="BG176" i="9" s="1"/>
  <c r="BD176" i="9" s="1"/>
  <c r="BF290" i="9"/>
  <c r="BG290" i="9" s="1"/>
  <c r="BD290" i="9" s="1"/>
  <c r="BF175" i="9"/>
  <c r="BG175" i="9" s="1"/>
  <c r="BD175" i="9" s="1"/>
  <c r="BF101" i="9"/>
  <c r="BG101" i="9" s="1"/>
  <c r="BF172" i="9"/>
  <c r="BG172" i="9" s="1"/>
  <c r="BD172" i="9" s="1"/>
  <c r="BF173" i="9"/>
  <c r="BG173" i="9" s="1"/>
  <c r="BD173" i="9" s="1"/>
  <c r="BF289" i="9"/>
  <c r="BG289" i="9" s="1"/>
  <c r="BF179" i="9"/>
  <c r="BG179" i="9" s="1"/>
  <c r="BD179" i="9" s="1"/>
  <c r="BF225" i="9"/>
  <c r="BG225" i="9" s="1"/>
  <c r="BD225" i="9" s="1"/>
  <c r="BC238" i="9"/>
  <c r="BC237" i="9"/>
  <c r="BC304" i="9"/>
  <c r="BC235" i="9"/>
  <c r="BC306" i="9"/>
  <c r="BC236" i="9"/>
  <c r="BC305" i="9"/>
  <c r="BC178" i="9" l="1"/>
  <c r="BD101" i="9"/>
  <c r="BD291" i="9"/>
  <c r="BD289" i="9"/>
  <c r="BC172" i="9"/>
  <c r="BC292" i="9"/>
  <c r="BC103" i="9"/>
  <c r="BC290" i="9"/>
  <c r="BC179" i="9"/>
  <c r="BC180" i="9"/>
  <c r="BC40" i="9"/>
  <c r="BC177" i="9"/>
  <c r="BC224" i="9"/>
  <c r="BC41" i="9"/>
  <c r="BC225" i="9"/>
  <c r="BC183" i="9"/>
  <c r="BC182" i="9"/>
  <c r="BC39" i="9"/>
  <c r="BC176" i="9"/>
  <c r="BC173" i="9"/>
  <c r="BC100" i="9"/>
  <c r="BC171" i="9"/>
  <c r="BC287" i="9"/>
  <c r="BC291" i="9"/>
  <c r="BC289" i="9"/>
  <c r="BC223" i="9"/>
  <c r="BC288" i="9"/>
  <c r="BC175" i="9"/>
  <c r="BC174" i="9"/>
  <c r="BC101" i="9"/>
  <c r="BC38" i="9"/>
  <c r="BC181" i="9"/>
  <c r="BC102" i="9"/>
  <c r="O15" i="12" l="1"/>
  <c r="AT15" i="12" s="1"/>
  <c r="Q15" i="12"/>
  <c r="AU15" i="12" s="1"/>
  <c r="S15" i="12"/>
  <c r="AV15" i="12" s="1"/>
  <c r="U15" i="12"/>
  <c r="AW15" i="12" s="1"/>
  <c r="W15" i="12"/>
  <c r="AX15" i="12" s="1"/>
  <c r="Y15" i="12"/>
  <c r="AY15" i="12" s="1"/>
  <c r="AA15" i="12"/>
  <c r="AC15" i="12"/>
  <c r="AZ15" i="12" s="1"/>
  <c r="AE15" i="12"/>
  <c r="BA15" i="12" s="1"/>
  <c r="AR15" i="12"/>
  <c r="BI15" i="12"/>
  <c r="BJ15" i="12"/>
  <c r="BK15" i="12"/>
  <c r="BL15" i="12"/>
  <c r="O12" i="12"/>
  <c r="AT12" i="12" s="1"/>
  <c r="Q12" i="12"/>
  <c r="AU12" i="12" s="1"/>
  <c r="S12" i="12"/>
  <c r="AV12" i="12" s="1"/>
  <c r="U12" i="12"/>
  <c r="AW12" i="12" s="1"/>
  <c r="W12" i="12"/>
  <c r="AX12" i="12" s="1"/>
  <c r="Y12" i="12"/>
  <c r="AY12" i="12" s="1"/>
  <c r="AA12" i="12"/>
  <c r="AC12" i="12"/>
  <c r="AZ12" i="12" s="1"/>
  <c r="AE12" i="12"/>
  <c r="BA12" i="12" s="1"/>
  <c r="AR12" i="12"/>
  <c r="BI12" i="12"/>
  <c r="BJ12" i="12"/>
  <c r="BK12" i="12"/>
  <c r="BL12" i="12"/>
  <c r="O13" i="12"/>
  <c r="AT13" i="12" s="1"/>
  <c r="Q13" i="12"/>
  <c r="AU13" i="12" s="1"/>
  <c r="S13" i="12"/>
  <c r="AV13" i="12" s="1"/>
  <c r="U13" i="12"/>
  <c r="AW13" i="12" s="1"/>
  <c r="W13" i="12"/>
  <c r="AX13" i="12" s="1"/>
  <c r="Y13" i="12"/>
  <c r="AY13" i="12" s="1"/>
  <c r="AA13" i="12"/>
  <c r="AC13" i="12"/>
  <c r="AZ13" i="12" s="1"/>
  <c r="AE13" i="12"/>
  <c r="BA13" i="12" s="1"/>
  <c r="AR13" i="12"/>
  <c r="BI13" i="12"/>
  <c r="BJ13" i="12"/>
  <c r="BK13" i="12"/>
  <c r="BL13" i="12"/>
  <c r="O8" i="12"/>
  <c r="AT8" i="12" s="1"/>
  <c r="Q8" i="12"/>
  <c r="AU8" i="12" s="1"/>
  <c r="S8" i="12"/>
  <c r="AV8" i="12" s="1"/>
  <c r="U8" i="12"/>
  <c r="AW8" i="12" s="1"/>
  <c r="W8" i="12"/>
  <c r="AX8" i="12" s="1"/>
  <c r="Y8" i="12"/>
  <c r="AY8" i="12" s="1"/>
  <c r="AA8" i="12"/>
  <c r="AC8" i="12"/>
  <c r="AZ8" i="12" s="1"/>
  <c r="AE8" i="12"/>
  <c r="BA8" i="12" s="1"/>
  <c r="AR8" i="12"/>
  <c r="BI8" i="12"/>
  <c r="BJ8" i="12"/>
  <c r="BK8" i="12"/>
  <c r="BL8" i="12"/>
  <c r="O6" i="12"/>
  <c r="AT6" i="12" s="1"/>
  <c r="Q6" i="12"/>
  <c r="AU6" i="12" s="1"/>
  <c r="S6" i="12"/>
  <c r="AV6" i="12" s="1"/>
  <c r="U6" i="12"/>
  <c r="AW6" i="12" s="1"/>
  <c r="W6" i="12"/>
  <c r="AX6" i="12" s="1"/>
  <c r="Y6" i="12"/>
  <c r="AY6" i="12" s="1"/>
  <c r="AA6" i="12"/>
  <c r="AC6" i="12"/>
  <c r="AZ6" i="12" s="1"/>
  <c r="AE6" i="12"/>
  <c r="BA6" i="12" s="1"/>
  <c r="AR6" i="12"/>
  <c r="BI6" i="12"/>
  <c r="BJ6" i="12"/>
  <c r="BK6" i="12"/>
  <c r="BL6" i="12"/>
  <c r="AS15" i="12" l="1"/>
  <c r="BB15" i="12" s="1"/>
  <c r="BF15" i="12" s="1"/>
  <c r="BG15" i="12" s="1"/>
  <c r="BH15" i="12"/>
  <c r="BE15" i="12" s="1"/>
  <c r="AS12" i="12"/>
  <c r="BB12" i="12" s="1"/>
  <c r="BF12" i="12" s="1"/>
  <c r="BG12" i="12" s="1"/>
  <c r="BH12" i="12"/>
  <c r="BE12" i="12" s="1"/>
  <c r="AS13" i="12"/>
  <c r="BB13" i="12" s="1"/>
  <c r="BF13" i="12" s="1"/>
  <c r="BG13" i="12" s="1"/>
  <c r="BH13" i="12"/>
  <c r="BE13" i="12" s="1"/>
  <c r="AS8" i="12"/>
  <c r="BB8" i="12" s="1"/>
  <c r="BF8" i="12" s="1"/>
  <c r="BG8" i="12" s="1"/>
  <c r="BH8" i="12"/>
  <c r="BE8" i="12" s="1"/>
  <c r="AS6" i="12"/>
  <c r="BB6" i="12" s="1"/>
  <c r="BF6" i="12" s="1"/>
  <c r="BG6" i="12" s="1"/>
  <c r="BH6" i="12"/>
  <c r="BE6" i="12" s="1"/>
  <c r="BL37" i="12"/>
  <c r="BK37" i="12"/>
  <c r="BJ37" i="12"/>
  <c r="BI37" i="12"/>
  <c r="AS37" i="12"/>
  <c r="BB37" i="12" s="1"/>
  <c r="AE37" i="12"/>
  <c r="BA37" i="12" s="1"/>
  <c r="AC37" i="12"/>
  <c r="AZ37" i="12" s="1"/>
  <c r="AA37" i="12"/>
  <c r="Y37" i="12"/>
  <c r="AY37" i="12" s="1"/>
  <c r="W37" i="12"/>
  <c r="AX37" i="12" s="1"/>
  <c r="U37" i="12"/>
  <c r="AW37" i="12" s="1"/>
  <c r="S37" i="12"/>
  <c r="AV37" i="12" s="1"/>
  <c r="Q37" i="12"/>
  <c r="AU37" i="12" s="1"/>
  <c r="O37" i="12"/>
  <c r="AT37" i="12" s="1"/>
  <c r="BL27" i="12"/>
  <c r="BK27" i="12"/>
  <c r="BJ27" i="12"/>
  <c r="BI27" i="12"/>
  <c r="AS27" i="12"/>
  <c r="BB27" i="12" s="1"/>
  <c r="AE27" i="12"/>
  <c r="BA27" i="12" s="1"/>
  <c r="AC27" i="12"/>
  <c r="AZ27" i="12" s="1"/>
  <c r="AA27" i="12"/>
  <c r="Y27" i="12"/>
  <c r="AY27" i="12" s="1"/>
  <c r="W27" i="12"/>
  <c r="AX27" i="12" s="1"/>
  <c r="U27" i="12"/>
  <c r="AW27" i="12" s="1"/>
  <c r="S27" i="12"/>
  <c r="AV27" i="12" s="1"/>
  <c r="Q27" i="12"/>
  <c r="AU27" i="12" s="1"/>
  <c r="O27" i="12"/>
  <c r="AT27" i="12" s="1"/>
  <c r="BL19" i="12"/>
  <c r="BK19" i="12"/>
  <c r="BJ19" i="12"/>
  <c r="BI19" i="12"/>
  <c r="AR19" i="12"/>
  <c r="AE19" i="12"/>
  <c r="BA19" i="12" s="1"/>
  <c r="AC19" i="12"/>
  <c r="AZ19" i="12" s="1"/>
  <c r="AA19" i="12"/>
  <c r="Y19" i="12"/>
  <c r="AY19" i="12" s="1"/>
  <c r="W19" i="12"/>
  <c r="AX19" i="12" s="1"/>
  <c r="U19" i="12"/>
  <c r="AW19" i="12" s="1"/>
  <c r="S19" i="12"/>
  <c r="AV19" i="12" s="1"/>
  <c r="Q19" i="12"/>
  <c r="AU19" i="12" s="1"/>
  <c r="O19" i="12"/>
  <c r="AT19" i="12" s="1"/>
  <c r="BL21" i="12"/>
  <c r="BK21" i="12"/>
  <c r="BJ21" i="12"/>
  <c r="BI21" i="12"/>
  <c r="AR21" i="12"/>
  <c r="AE21" i="12"/>
  <c r="BA21" i="12" s="1"/>
  <c r="AC21" i="12"/>
  <c r="AZ21" i="12" s="1"/>
  <c r="AA21" i="12"/>
  <c r="Y21" i="12"/>
  <c r="AY21" i="12" s="1"/>
  <c r="W21" i="12"/>
  <c r="AX21" i="12" s="1"/>
  <c r="U21" i="12"/>
  <c r="AW21" i="12" s="1"/>
  <c r="S21" i="12"/>
  <c r="AV21" i="12" s="1"/>
  <c r="Q21" i="12"/>
  <c r="AU21" i="12" s="1"/>
  <c r="O21" i="12"/>
  <c r="AT21" i="12" s="1"/>
  <c r="BL20" i="12"/>
  <c r="BK20" i="12"/>
  <c r="BJ20" i="12"/>
  <c r="BI20" i="12"/>
  <c r="AR20" i="12"/>
  <c r="AE20" i="12"/>
  <c r="BA20" i="12" s="1"/>
  <c r="AC20" i="12"/>
  <c r="AZ20" i="12" s="1"/>
  <c r="AA20" i="12"/>
  <c r="Y20" i="12"/>
  <c r="AY20" i="12" s="1"/>
  <c r="W20" i="12"/>
  <c r="AX20" i="12" s="1"/>
  <c r="U20" i="12"/>
  <c r="AW20" i="12" s="1"/>
  <c r="S20" i="12"/>
  <c r="AV20" i="12" s="1"/>
  <c r="Q20" i="12"/>
  <c r="AU20" i="12" s="1"/>
  <c r="O20" i="12"/>
  <c r="AT20" i="12" s="1"/>
  <c r="BL32" i="12"/>
  <c r="BK32" i="12"/>
  <c r="BJ32" i="12"/>
  <c r="BI32" i="12"/>
  <c r="AR32" i="12"/>
  <c r="AE32" i="12"/>
  <c r="BA32" i="12" s="1"/>
  <c r="AC32" i="12"/>
  <c r="AZ32" i="12" s="1"/>
  <c r="AA32" i="12"/>
  <c r="Y32" i="12"/>
  <c r="AY32" i="12" s="1"/>
  <c r="W32" i="12"/>
  <c r="AX32" i="12" s="1"/>
  <c r="U32" i="12"/>
  <c r="AW32" i="12" s="1"/>
  <c r="S32" i="12"/>
  <c r="AV32" i="12" s="1"/>
  <c r="Q32" i="12"/>
  <c r="AU32" i="12" s="1"/>
  <c r="O32" i="12"/>
  <c r="AT32" i="12" s="1"/>
  <c r="BL31" i="12"/>
  <c r="BK31" i="12"/>
  <c r="BJ31" i="12"/>
  <c r="BI31" i="12"/>
  <c r="AR31" i="12"/>
  <c r="AE31" i="12"/>
  <c r="BA31" i="12" s="1"/>
  <c r="AC31" i="12"/>
  <c r="AZ31" i="12" s="1"/>
  <c r="AA31" i="12"/>
  <c r="Y31" i="12"/>
  <c r="AY31" i="12" s="1"/>
  <c r="W31" i="12"/>
  <c r="AX31" i="12" s="1"/>
  <c r="U31" i="12"/>
  <c r="AW31" i="12" s="1"/>
  <c r="S31" i="12"/>
  <c r="AV31" i="12" s="1"/>
  <c r="Q31" i="12"/>
  <c r="AU31" i="12" s="1"/>
  <c r="O31" i="12"/>
  <c r="AT31" i="12" s="1"/>
  <c r="BL30" i="12"/>
  <c r="BK30" i="12"/>
  <c r="BJ30" i="12"/>
  <c r="BI30" i="12"/>
  <c r="AR30" i="12"/>
  <c r="AE30" i="12"/>
  <c r="BA30" i="12" s="1"/>
  <c r="AC30" i="12"/>
  <c r="AZ30" i="12" s="1"/>
  <c r="AA30" i="12"/>
  <c r="Y30" i="12"/>
  <c r="AY30" i="12" s="1"/>
  <c r="W30" i="12"/>
  <c r="AX30" i="12" s="1"/>
  <c r="U30" i="12"/>
  <c r="AW30" i="12" s="1"/>
  <c r="S30" i="12"/>
  <c r="AV30" i="12" s="1"/>
  <c r="Q30" i="12"/>
  <c r="AU30" i="12" s="1"/>
  <c r="O30" i="12"/>
  <c r="AT30" i="12" s="1"/>
  <c r="BL29" i="12"/>
  <c r="BK29" i="12"/>
  <c r="BJ29" i="12"/>
  <c r="BI29" i="12"/>
  <c r="AR29" i="12"/>
  <c r="AE29" i="12"/>
  <c r="BA29" i="12" s="1"/>
  <c r="AC29" i="12"/>
  <c r="AZ29" i="12" s="1"/>
  <c r="AA29" i="12"/>
  <c r="Y29" i="12"/>
  <c r="AY29" i="12" s="1"/>
  <c r="W29" i="12"/>
  <c r="AX29" i="12" s="1"/>
  <c r="U29" i="12"/>
  <c r="AW29" i="12" s="1"/>
  <c r="S29" i="12"/>
  <c r="AV29" i="12" s="1"/>
  <c r="Q29" i="12"/>
  <c r="AU29" i="12" s="1"/>
  <c r="O29" i="12"/>
  <c r="AT29" i="12" s="1"/>
  <c r="AS19" i="12" l="1"/>
  <c r="BB19" i="12" s="1"/>
  <c r="BF19" i="12" s="1"/>
  <c r="BG19" i="12" s="1"/>
  <c r="BH19" i="12"/>
  <c r="BE19" i="12" s="1"/>
  <c r="AS21" i="12"/>
  <c r="BB21" i="12" s="1"/>
  <c r="BH21" i="12"/>
  <c r="BE21" i="12" s="1"/>
  <c r="AS20" i="12"/>
  <c r="BB20" i="12" s="1"/>
  <c r="BF20" i="12" s="1"/>
  <c r="BG20" i="12" s="1"/>
  <c r="BH20" i="12"/>
  <c r="BE20" i="12" s="1"/>
  <c r="AS32" i="12"/>
  <c r="BB32" i="12" s="1"/>
  <c r="BF32" i="12" s="1"/>
  <c r="BG32" i="12" s="1"/>
  <c r="BH32" i="12"/>
  <c r="BE32" i="12" s="1"/>
  <c r="AS31" i="12"/>
  <c r="BB31" i="12" s="1"/>
  <c r="BF31" i="12" s="1"/>
  <c r="BG31" i="12" s="1"/>
  <c r="BH31" i="12"/>
  <c r="BE31" i="12" s="1"/>
  <c r="AS30" i="12"/>
  <c r="BB30" i="12" s="1"/>
  <c r="BF30" i="12" s="1"/>
  <c r="BG30" i="12" s="1"/>
  <c r="BH30" i="12"/>
  <c r="BE30" i="12" s="1"/>
  <c r="AS29" i="12"/>
  <c r="BB29" i="12" s="1"/>
  <c r="BF29" i="12" s="1"/>
  <c r="BG29" i="12" s="1"/>
  <c r="BH29" i="12"/>
  <c r="BE29" i="12" s="1"/>
  <c r="BF21" i="12"/>
  <c r="BG21" i="12" s="1"/>
  <c r="BF27" i="12"/>
  <c r="BG27" i="12" s="1"/>
  <c r="BF37" i="12"/>
  <c r="BG37" i="12" s="1"/>
  <c r="BC8" i="12"/>
  <c r="BD8" i="12"/>
  <c r="BC13" i="12"/>
  <c r="BD13" i="12"/>
  <c r="BC12" i="12"/>
  <c r="BD12" i="12"/>
  <c r="BC15" i="12"/>
  <c r="BD15" i="12"/>
  <c r="BC6" i="12"/>
  <c r="BD6" i="12"/>
  <c r="BD37" i="12" l="1"/>
  <c r="BD31" i="12"/>
  <c r="BC37" i="12"/>
  <c r="BD27" i="12"/>
  <c r="BC27" i="12"/>
  <c r="BD19" i="12"/>
  <c r="BC19" i="12"/>
  <c r="BD21" i="12"/>
  <c r="BC21" i="12"/>
  <c r="BD20" i="12"/>
  <c r="BC20" i="12"/>
  <c r="BD32" i="12"/>
  <c r="BC32" i="12"/>
  <c r="BC31" i="12"/>
  <c r="BD30" i="12"/>
  <c r="BC30" i="12"/>
  <c r="BD29" i="12"/>
  <c r="BC29" i="12"/>
  <c r="U36" i="8" l="1"/>
  <c r="W36" i="8"/>
  <c r="U37" i="8"/>
  <c r="W37" i="8"/>
  <c r="O36" i="8" l="1"/>
  <c r="AT36" i="8" s="1"/>
  <c r="Q36" i="8"/>
  <c r="AU36" i="8" s="1"/>
  <c r="S36" i="8"/>
  <c r="AV36" i="8" s="1"/>
  <c r="AW36" i="8"/>
  <c r="Y36" i="8"/>
  <c r="AY36" i="8" s="1"/>
  <c r="AA36" i="8"/>
  <c r="AC36" i="8"/>
  <c r="AZ36" i="8" s="1"/>
  <c r="AE36" i="8"/>
  <c r="BA36" i="8" s="1"/>
  <c r="AR36" i="8"/>
  <c r="BH36" i="8" s="1"/>
  <c r="BE36" i="8" s="1"/>
  <c r="AX36" i="8"/>
  <c r="BI36" i="8"/>
  <c r="BJ36" i="8"/>
  <c r="BK36" i="8"/>
  <c r="BL36" i="8"/>
  <c r="Y35" i="8"/>
  <c r="AY35" i="8" s="1"/>
  <c r="AA35" i="8"/>
  <c r="AC35" i="8"/>
  <c r="AZ35" i="8" s="1"/>
  <c r="AE35" i="8"/>
  <c r="BA35" i="8" s="1"/>
  <c r="AR35" i="8"/>
  <c r="BH35" i="8" s="1"/>
  <c r="BE35" i="8" s="1"/>
  <c r="U35" i="8"/>
  <c r="AW35" i="8" s="1"/>
  <c r="W35" i="8"/>
  <c r="AX35" i="8" s="1"/>
  <c r="O35" i="8"/>
  <c r="AT35" i="8" s="1"/>
  <c r="Q35" i="8"/>
  <c r="AU35" i="8" s="1"/>
  <c r="S35" i="8"/>
  <c r="AV35" i="8" s="1"/>
  <c r="BI35" i="8"/>
  <c r="BJ35" i="8"/>
  <c r="BK35" i="8"/>
  <c r="BL35" i="8"/>
  <c r="AS36" i="8" l="1"/>
  <c r="BB36" i="8" s="1"/>
  <c r="BF36" i="8" s="1"/>
  <c r="BG36" i="8" s="1"/>
  <c r="AS35" i="8"/>
  <c r="BB35" i="8" s="1"/>
  <c r="BF35" i="8" s="1"/>
  <c r="BG35" i="8" s="1"/>
  <c r="BD35" i="8" l="1"/>
  <c r="BC36" i="8"/>
  <c r="BD36" i="8"/>
  <c r="BC35" i="8"/>
  <c r="BL223" i="12"/>
  <c r="BK223" i="12"/>
  <c r="BJ223" i="12"/>
  <c r="BI223" i="12"/>
  <c r="AR223" i="12"/>
  <c r="AE223" i="12"/>
  <c r="BA223" i="12" s="1"/>
  <c r="AC223" i="12"/>
  <c r="AZ223" i="12" s="1"/>
  <c r="AA223" i="12"/>
  <c r="Y223" i="12"/>
  <c r="AY223" i="12" s="1"/>
  <c r="W223" i="12"/>
  <c r="AX223" i="12" s="1"/>
  <c r="U223" i="12"/>
  <c r="AW223" i="12" s="1"/>
  <c r="S223" i="12"/>
  <c r="AV223" i="12" s="1"/>
  <c r="Q223" i="12"/>
  <c r="AU223" i="12" s="1"/>
  <c r="O223" i="12"/>
  <c r="AT223" i="12" s="1"/>
  <c r="BL222" i="12"/>
  <c r="BK222" i="12"/>
  <c r="BJ222" i="12"/>
  <c r="BI222" i="12"/>
  <c r="AR222" i="12"/>
  <c r="AE222" i="12"/>
  <c r="BA222" i="12" s="1"/>
  <c r="AC222" i="12"/>
  <c r="AZ222" i="12" s="1"/>
  <c r="AA222" i="12"/>
  <c r="Y222" i="12"/>
  <c r="AY222" i="12" s="1"/>
  <c r="W222" i="12"/>
  <c r="AX222" i="12" s="1"/>
  <c r="U222" i="12"/>
  <c r="AW222" i="12" s="1"/>
  <c r="S222" i="12"/>
  <c r="AV222" i="12" s="1"/>
  <c r="Q222" i="12"/>
  <c r="AU222" i="12" s="1"/>
  <c r="O222" i="12"/>
  <c r="AT222" i="12" s="1"/>
  <c r="BL249" i="12"/>
  <c r="BK249" i="12"/>
  <c r="BJ249" i="12"/>
  <c r="BI249" i="12"/>
  <c r="AR249" i="12"/>
  <c r="AE249" i="12"/>
  <c r="BA249" i="12" s="1"/>
  <c r="AC249" i="12"/>
  <c r="AZ249" i="12" s="1"/>
  <c r="AA249" i="12"/>
  <c r="Y249" i="12"/>
  <c r="AY249" i="12" s="1"/>
  <c r="W249" i="12"/>
  <c r="AX249" i="12" s="1"/>
  <c r="U249" i="12"/>
  <c r="AW249" i="12" s="1"/>
  <c r="S249" i="12"/>
  <c r="AV249" i="12" s="1"/>
  <c r="Q249" i="12"/>
  <c r="AU249" i="12" s="1"/>
  <c r="O249" i="12"/>
  <c r="AT249" i="12" s="1"/>
  <c r="BL248" i="12"/>
  <c r="BK248" i="12"/>
  <c r="BJ248" i="12"/>
  <c r="BI248" i="12"/>
  <c r="AR248" i="12"/>
  <c r="AE248" i="12"/>
  <c r="BA248" i="12" s="1"/>
  <c r="AC248" i="12"/>
  <c r="AZ248" i="12" s="1"/>
  <c r="AA248" i="12"/>
  <c r="Y248" i="12"/>
  <c r="AY248" i="12" s="1"/>
  <c r="W248" i="12"/>
  <c r="AX248" i="12" s="1"/>
  <c r="U248" i="12"/>
  <c r="AW248" i="12" s="1"/>
  <c r="S248" i="12"/>
  <c r="AV248" i="12" s="1"/>
  <c r="Q248" i="12"/>
  <c r="AU248" i="12" s="1"/>
  <c r="O248" i="12"/>
  <c r="AT248" i="12" s="1"/>
  <c r="AS223" i="12" l="1"/>
  <c r="BB223" i="12" s="1"/>
  <c r="BF223" i="12" s="1"/>
  <c r="BG223" i="12" s="1"/>
  <c r="BH223" i="12"/>
  <c r="BE223" i="12" s="1"/>
  <c r="AS222" i="12"/>
  <c r="BB222" i="12" s="1"/>
  <c r="BF222" i="12" s="1"/>
  <c r="BG222" i="12" s="1"/>
  <c r="BH222" i="12"/>
  <c r="BE222" i="12" s="1"/>
  <c r="AS249" i="12"/>
  <c r="BB249" i="12" s="1"/>
  <c r="BF249" i="12" s="1"/>
  <c r="BG249" i="12" s="1"/>
  <c r="BH249" i="12"/>
  <c r="BE249" i="12" s="1"/>
  <c r="AS248" i="12"/>
  <c r="BB248" i="12" s="1"/>
  <c r="BF248" i="12" s="1"/>
  <c r="BG248" i="12" s="1"/>
  <c r="BH248" i="12"/>
  <c r="BE248" i="12" s="1"/>
  <c r="BD248" i="12" l="1"/>
  <c r="BC222" i="12"/>
  <c r="BD222" i="12"/>
  <c r="BC248" i="12"/>
  <c r="BD223" i="12"/>
  <c r="BC223" i="12"/>
  <c r="BD249" i="12"/>
  <c r="BC249" i="12"/>
  <c r="BL22" i="7" l="1"/>
  <c r="BK22" i="7"/>
  <c r="BJ22" i="7"/>
  <c r="BI22" i="7"/>
  <c r="AR22" i="7"/>
  <c r="AE22" i="7"/>
  <c r="BA22" i="7" s="1"/>
  <c r="AC22" i="7"/>
  <c r="AZ22" i="7" s="1"/>
  <c r="AA22" i="7"/>
  <c r="Y22" i="7"/>
  <c r="AY22" i="7" s="1"/>
  <c r="W22" i="7"/>
  <c r="AX22" i="7" s="1"/>
  <c r="U22" i="7"/>
  <c r="AW22" i="7" s="1"/>
  <c r="AV22" i="7"/>
  <c r="AU22" i="7"/>
  <c r="O22" i="7"/>
  <c r="AT22" i="7" s="1"/>
  <c r="V21" i="7"/>
  <c r="AS22" i="7" l="1"/>
  <c r="BB22" i="7" s="1"/>
  <c r="BF22" i="7" s="1"/>
  <c r="BH22" i="7"/>
  <c r="BE22" i="7" s="1"/>
  <c r="O24" i="12"/>
  <c r="AT24" i="12" s="1"/>
  <c r="Q24" i="12"/>
  <c r="AU24" i="12" s="1"/>
  <c r="S24" i="12"/>
  <c r="AV24" i="12" s="1"/>
  <c r="U24" i="12"/>
  <c r="AW24" i="12" s="1"/>
  <c r="W24" i="12"/>
  <c r="AX24" i="12" s="1"/>
  <c r="Y24" i="12"/>
  <c r="AY24" i="12" s="1"/>
  <c r="AA24" i="12"/>
  <c r="AC24" i="12"/>
  <c r="AZ24" i="12" s="1"/>
  <c r="AE24" i="12"/>
  <c r="BA24" i="12" s="1"/>
  <c r="AR24" i="12"/>
  <c r="BI24" i="12"/>
  <c r="BJ24" i="12"/>
  <c r="BK24" i="12"/>
  <c r="BL24" i="12"/>
  <c r="S26" i="12"/>
  <c r="AV26" i="12" s="1"/>
  <c r="Q26" i="12"/>
  <c r="AU26" i="12" s="1"/>
  <c r="O26" i="12"/>
  <c r="AT26" i="12" s="1"/>
  <c r="AE25" i="12"/>
  <c r="AC25" i="12"/>
  <c r="AA25" i="12"/>
  <c r="Y25" i="12"/>
  <c r="U26" i="12"/>
  <c r="AW26" i="12" s="1"/>
  <c r="W26" i="12"/>
  <c r="AX26" i="12" s="1"/>
  <c r="Y26" i="12"/>
  <c r="AY26" i="12" s="1"/>
  <c r="AA26" i="12"/>
  <c r="AC26" i="12"/>
  <c r="AZ26" i="12" s="1"/>
  <c r="AE26" i="12"/>
  <c r="BA26" i="12" s="1"/>
  <c r="AR26" i="12"/>
  <c r="BI26" i="12"/>
  <c r="BJ26" i="12"/>
  <c r="BK26" i="12"/>
  <c r="BL26" i="12"/>
  <c r="O17" i="12"/>
  <c r="AT17" i="12" s="1"/>
  <c r="Q17" i="12"/>
  <c r="AU17" i="12" s="1"/>
  <c r="S17" i="12"/>
  <c r="AV17" i="12" s="1"/>
  <c r="U17" i="12"/>
  <c r="AW17" i="12" s="1"/>
  <c r="W17" i="12"/>
  <c r="AX17" i="12" s="1"/>
  <c r="Y17" i="12"/>
  <c r="AY17" i="12" s="1"/>
  <c r="AA17" i="12"/>
  <c r="AC17" i="12"/>
  <c r="AZ17" i="12" s="1"/>
  <c r="AE17" i="12"/>
  <c r="BA17" i="12" s="1"/>
  <c r="AR17" i="12"/>
  <c r="BI17" i="12"/>
  <c r="BJ17" i="12"/>
  <c r="BK17" i="12"/>
  <c r="BL17" i="12"/>
  <c r="O18" i="12"/>
  <c r="AT18" i="12" s="1"/>
  <c r="Q18" i="12"/>
  <c r="AU18" i="12" s="1"/>
  <c r="S18" i="12"/>
  <c r="AV18" i="12" s="1"/>
  <c r="U18" i="12"/>
  <c r="AW18" i="12" s="1"/>
  <c r="W18" i="12"/>
  <c r="AX18" i="12" s="1"/>
  <c r="Y18" i="12"/>
  <c r="AY18" i="12" s="1"/>
  <c r="AA18" i="12"/>
  <c r="AC18" i="12"/>
  <c r="AZ18" i="12" s="1"/>
  <c r="AE18" i="12"/>
  <c r="BA18" i="12" s="1"/>
  <c r="AR18" i="12"/>
  <c r="BI18" i="12"/>
  <c r="BJ18" i="12"/>
  <c r="BK18" i="12"/>
  <c r="BL18" i="12"/>
  <c r="BG22" i="7" l="1"/>
  <c r="BD22" i="7" s="1"/>
  <c r="AS18" i="12"/>
  <c r="BB18" i="12" s="1"/>
  <c r="BH18" i="12"/>
  <c r="BE18" i="12" s="1"/>
  <c r="AS26" i="12"/>
  <c r="BB26" i="12" s="1"/>
  <c r="BF26" i="12" s="1"/>
  <c r="BG26" i="12" s="1"/>
  <c r="BH26" i="12"/>
  <c r="BE26" i="12" s="1"/>
  <c r="AS17" i="12"/>
  <c r="BB17" i="12" s="1"/>
  <c r="BF17" i="12" s="1"/>
  <c r="BG17" i="12" s="1"/>
  <c r="BH17" i="12"/>
  <c r="BE17" i="12" s="1"/>
  <c r="AS24" i="12"/>
  <c r="BB24" i="12" s="1"/>
  <c r="BF24" i="12" s="1"/>
  <c r="BG24" i="12" s="1"/>
  <c r="BH24" i="12"/>
  <c r="BE24" i="12" s="1"/>
  <c r="BF18" i="12"/>
  <c r="BG18" i="12" s="1"/>
  <c r="BC22" i="7"/>
  <c r="W79" i="3"/>
  <c r="Y79" i="3"/>
  <c r="AY79" i="3" s="1"/>
  <c r="AA79" i="3"/>
  <c r="AC79" i="3"/>
  <c r="AE79" i="3"/>
  <c r="Q79" i="3"/>
  <c r="S79" i="3"/>
  <c r="U79" i="3"/>
  <c r="O79" i="3"/>
  <c r="O66" i="3"/>
  <c r="BF79" i="3" l="1"/>
  <c r="BG79" i="3" s="1"/>
  <c r="BC17" i="12"/>
  <c r="BC26" i="12"/>
  <c r="BD18" i="12"/>
  <c r="BC24" i="12"/>
  <c r="BD24" i="12"/>
  <c r="BD26" i="12"/>
  <c r="BD17" i="12"/>
  <c r="BC18" i="12"/>
  <c r="BL7" i="12"/>
  <c r="BK7" i="12"/>
  <c r="BJ7" i="12"/>
  <c r="BI7" i="12"/>
  <c r="AR7" i="12"/>
  <c r="AE7" i="12"/>
  <c r="BA7" i="12" s="1"/>
  <c r="AC7" i="12"/>
  <c r="AZ7" i="12" s="1"/>
  <c r="AA7" i="12"/>
  <c r="Y7" i="12"/>
  <c r="AY7" i="12" s="1"/>
  <c r="W7" i="12"/>
  <c r="AX7" i="12" s="1"/>
  <c r="U7" i="12"/>
  <c r="AW7" i="12" s="1"/>
  <c r="S7" i="12"/>
  <c r="AV7" i="12" s="1"/>
  <c r="Q7" i="12"/>
  <c r="AU7" i="12" s="1"/>
  <c r="O7" i="12"/>
  <c r="AT7" i="12" s="1"/>
  <c r="BL9" i="12"/>
  <c r="BK9" i="12"/>
  <c r="BJ9" i="12"/>
  <c r="BI9" i="12"/>
  <c r="AV9" i="12"/>
  <c r="AU9" i="12"/>
  <c r="AT9" i="12"/>
  <c r="AR9" i="12"/>
  <c r="AE9" i="12"/>
  <c r="BA9" i="12" s="1"/>
  <c r="AC9" i="12"/>
  <c r="AZ9" i="12" s="1"/>
  <c r="AA9" i="12"/>
  <c r="Y9" i="12"/>
  <c r="AY9" i="12" s="1"/>
  <c r="W9" i="12"/>
  <c r="AX9" i="12" s="1"/>
  <c r="U9" i="12"/>
  <c r="AW9" i="12" s="1"/>
  <c r="S9" i="12"/>
  <c r="Q9" i="12"/>
  <c r="O9" i="12"/>
  <c r="BL11" i="12"/>
  <c r="BK11" i="12"/>
  <c r="BJ11" i="12"/>
  <c r="BI11" i="12"/>
  <c r="AR11" i="12"/>
  <c r="AE11" i="12"/>
  <c r="BA11" i="12" s="1"/>
  <c r="AC11" i="12"/>
  <c r="AZ11" i="12" s="1"/>
  <c r="AA11" i="12"/>
  <c r="Y11" i="12"/>
  <c r="AY11" i="12" s="1"/>
  <c r="W11" i="12"/>
  <c r="AX11" i="12" s="1"/>
  <c r="U11" i="12"/>
  <c r="AW11" i="12" s="1"/>
  <c r="S11" i="12"/>
  <c r="AV11" i="12" s="1"/>
  <c r="Q11" i="12"/>
  <c r="AU11" i="12" s="1"/>
  <c r="O11" i="12"/>
  <c r="AT11" i="12" s="1"/>
  <c r="BD79" i="3" l="1"/>
  <c r="AS7" i="12"/>
  <c r="BB7" i="12" s="1"/>
  <c r="BF7" i="12" s="1"/>
  <c r="BG7" i="12" s="1"/>
  <c r="BH7" i="12"/>
  <c r="BE7" i="12" s="1"/>
  <c r="AS11" i="12"/>
  <c r="BB11" i="12" s="1"/>
  <c r="BF11" i="12" s="1"/>
  <c r="BG11" i="12" s="1"/>
  <c r="BH11" i="12"/>
  <c r="BE11" i="12" s="1"/>
  <c r="AS9" i="12"/>
  <c r="BB9" i="12" s="1"/>
  <c r="BF9" i="12" s="1"/>
  <c r="BG9" i="12" s="1"/>
  <c r="BH9" i="12"/>
  <c r="BE9" i="12" s="1"/>
  <c r="BC79" i="3"/>
  <c r="BD11" i="12" l="1"/>
  <c r="BD7" i="12"/>
  <c r="BC7" i="12"/>
  <c r="BD9" i="12"/>
  <c r="BC9" i="12"/>
  <c r="BC11" i="12"/>
  <c r="M34" i="11"/>
  <c r="M31" i="11"/>
  <c r="U31" i="11"/>
  <c r="AW31" i="11" s="1"/>
  <c r="W31" i="11"/>
  <c r="AX31" i="11" s="1"/>
  <c r="Y31" i="11"/>
  <c r="AY31" i="11" s="1"/>
  <c r="AA31" i="11"/>
  <c r="AC31" i="11"/>
  <c r="AZ31" i="11" s="1"/>
  <c r="AE31" i="11"/>
  <c r="BA31" i="11" s="1"/>
  <c r="AR31" i="11"/>
  <c r="BI31" i="11"/>
  <c r="BJ31" i="11"/>
  <c r="BK31" i="11"/>
  <c r="BK33" i="11"/>
  <c r="BJ33" i="11"/>
  <c r="BI33" i="11"/>
  <c r="AR33" i="11"/>
  <c r="BH33" i="11" s="1"/>
  <c r="AE33" i="11"/>
  <c r="BA33" i="11" s="1"/>
  <c r="AC33" i="11"/>
  <c r="AZ33" i="11" s="1"/>
  <c r="AA33" i="11"/>
  <c r="Y33" i="11"/>
  <c r="AY33" i="11" s="1"/>
  <c r="W33" i="11"/>
  <c r="AX33" i="11" s="1"/>
  <c r="U33" i="11"/>
  <c r="AW33" i="11" s="1"/>
  <c r="M33" i="11"/>
  <c r="Q34" i="11"/>
  <c r="AU34" i="11" s="1"/>
  <c r="U34" i="11"/>
  <c r="AW34" i="11" s="1"/>
  <c r="W34" i="11"/>
  <c r="AX34" i="11" s="1"/>
  <c r="Y34" i="11"/>
  <c r="AY34" i="11" s="1"/>
  <c r="AA34" i="11"/>
  <c r="AC34" i="11"/>
  <c r="AZ34" i="11" s="1"/>
  <c r="AE34" i="11"/>
  <c r="BA34" i="11" s="1"/>
  <c r="AR34" i="11"/>
  <c r="BI34" i="11"/>
  <c r="BJ34" i="11"/>
  <c r="BK34" i="11"/>
  <c r="BE33" i="11" l="1"/>
  <c r="AS31" i="11"/>
  <c r="BB31" i="11" s="1"/>
  <c r="BH31" i="11"/>
  <c r="BE31" i="11" s="1"/>
  <c r="AS34" i="11"/>
  <c r="BB34" i="11" s="1"/>
  <c r="BH34" i="11"/>
  <c r="BE34" i="11" s="1"/>
  <c r="A31" i="11"/>
  <c r="B31" i="11"/>
  <c r="A34" i="11"/>
  <c r="B34" i="11"/>
  <c r="A33" i="11"/>
  <c r="B33" i="11"/>
  <c r="BL33" i="11"/>
  <c r="O31" i="11"/>
  <c r="AT31" i="11" s="1"/>
  <c r="O34" i="11"/>
  <c r="AT34" i="11" s="1"/>
  <c r="S31" i="11"/>
  <c r="AV31" i="11" s="1"/>
  <c r="Q31" i="11"/>
  <c r="AU31" i="11" s="1"/>
  <c r="BL31" i="11"/>
  <c r="S34" i="11"/>
  <c r="AV34" i="11" s="1"/>
  <c r="BL34" i="11"/>
  <c r="AS33" i="11"/>
  <c r="BB33" i="11" s="1"/>
  <c r="O33" i="11"/>
  <c r="AT33" i="11" s="1"/>
  <c r="Q33" i="11"/>
  <c r="AU33" i="11" s="1"/>
  <c r="S33" i="11"/>
  <c r="AV33" i="11" s="1"/>
  <c r="M12" i="11"/>
  <c r="Y12" i="11"/>
  <c r="AY12" i="11" s="1"/>
  <c r="AA12" i="11"/>
  <c r="AC12" i="11"/>
  <c r="AZ12" i="11" s="1"/>
  <c r="AE12" i="11"/>
  <c r="BA12" i="11" s="1"/>
  <c r="AR12" i="11"/>
  <c r="AT12" i="11"/>
  <c r="AU12" i="11"/>
  <c r="AV12" i="11"/>
  <c r="BI12" i="11"/>
  <c r="BJ12" i="11"/>
  <c r="BK12" i="11"/>
  <c r="O7" i="11"/>
  <c r="Q7" i="11"/>
  <c r="S7" i="11"/>
  <c r="AV7" i="11" s="1"/>
  <c r="U7" i="11"/>
  <c r="W7" i="11"/>
  <c r="Y7" i="11"/>
  <c r="AY7" i="11" s="1"/>
  <c r="AA7" i="11"/>
  <c r="AC7" i="11"/>
  <c r="AZ7" i="11" s="1"/>
  <c r="AE7" i="11"/>
  <c r="BA7" i="11" s="1"/>
  <c r="AR7" i="11"/>
  <c r="AT7" i="11"/>
  <c r="AU7" i="11"/>
  <c r="BI7" i="11"/>
  <c r="BJ7" i="11"/>
  <c r="BK7" i="11"/>
  <c r="BL7" i="11"/>
  <c r="AS12" i="11" l="1"/>
  <c r="BB12" i="11" s="1"/>
  <c r="BH12" i="11"/>
  <c r="BE12" i="11" s="1"/>
  <c r="AS7" i="11"/>
  <c r="BB7" i="11" s="1"/>
  <c r="BF7" i="11" s="1"/>
  <c r="BG7" i="11" s="1"/>
  <c r="BH7" i="11"/>
  <c r="BE7" i="11" s="1"/>
  <c r="BF34" i="11"/>
  <c r="BG34" i="11" s="1"/>
  <c r="A12" i="11"/>
  <c r="B12" i="11"/>
  <c r="S12" i="11"/>
  <c r="BF31" i="11"/>
  <c r="BG31" i="11" s="1"/>
  <c r="BL12" i="11"/>
  <c r="W12" i="11"/>
  <c r="U12" i="11"/>
  <c r="Q12" i="11"/>
  <c r="O12" i="11"/>
  <c r="BF33" i="11"/>
  <c r="BG33" i="11" s="1"/>
  <c r="M54" i="10"/>
  <c r="BE54" i="10" s="1"/>
  <c r="M60" i="10"/>
  <c r="BE60" i="10" s="1"/>
  <c r="M48" i="10"/>
  <c r="BE48" i="10" s="1"/>
  <c r="M42" i="10"/>
  <c r="BE42" i="10" s="1"/>
  <c r="M34" i="10"/>
  <c r="BE34" i="10" s="1"/>
  <c r="M32" i="10"/>
  <c r="BE32" i="10" s="1"/>
  <c r="BD31" i="11" l="1"/>
  <c r="BD34" i="11"/>
  <c r="BC34" i="11"/>
  <c r="BC7" i="11"/>
  <c r="BD7" i="11"/>
  <c r="BC33" i="11"/>
  <c r="BD33" i="11"/>
  <c r="BC31" i="11"/>
  <c r="B60" i="10"/>
  <c r="A60" i="10"/>
  <c r="A32" i="10"/>
  <c r="B32" i="10"/>
  <c r="A54" i="10"/>
  <c r="B54" i="10"/>
  <c r="A34" i="10"/>
  <c r="B34" i="10"/>
  <c r="A48" i="10"/>
  <c r="B48" i="10"/>
  <c r="A42" i="10"/>
  <c r="B42" i="10"/>
  <c r="O54" i="10"/>
  <c r="AT54" i="10" s="1"/>
  <c r="Q54" i="10"/>
  <c r="AU54" i="10" s="1"/>
  <c r="BB54" i="10" s="1"/>
  <c r="S54" i="10"/>
  <c r="AV54" i="10" s="1"/>
  <c r="BL54" i="10"/>
  <c r="Q32" i="10"/>
  <c r="AU32" i="10" s="1"/>
  <c r="BB32" i="10" s="1"/>
  <c r="S32" i="10"/>
  <c r="AV32" i="10" s="1"/>
  <c r="BL32" i="10"/>
  <c r="O32" i="10"/>
  <c r="AT32" i="10" s="1"/>
  <c r="O34" i="10"/>
  <c r="AT34" i="10" s="1"/>
  <c r="Q34" i="10"/>
  <c r="AU34" i="10" s="1"/>
  <c r="BB34" i="10" s="1"/>
  <c r="S34" i="10"/>
  <c r="AV34" i="10" s="1"/>
  <c r="BL34" i="10"/>
  <c r="Q42" i="10"/>
  <c r="AU42" i="10" s="1"/>
  <c r="BB42" i="10" s="1"/>
  <c r="S42" i="10"/>
  <c r="AV42" i="10" s="1"/>
  <c r="BL42" i="10"/>
  <c r="O42" i="10"/>
  <c r="AT42" i="10" s="1"/>
  <c r="O48" i="10"/>
  <c r="AT48" i="10" s="1"/>
  <c r="Q48" i="10"/>
  <c r="AU48" i="10" s="1"/>
  <c r="BB48" i="10" s="1"/>
  <c r="S48" i="10"/>
  <c r="AV48" i="10" s="1"/>
  <c r="BL48" i="10"/>
  <c r="O60" i="10"/>
  <c r="AT60" i="10" s="1"/>
  <c r="Q60" i="10"/>
  <c r="AU60" i="10" s="1"/>
  <c r="BB60" i="10" s="1"/>
  <c r="S60" i="10"/>
  <c r="AV60" i="10" s="1"/>
  <c r="BL60" i="10"/>
  <c r="BF12" i="11"/>
  <c r="BG12" i="11" s="1"/>
  <c r="BC12" i="11" l="1"/>
  <c r="BD12" i="11"/>
  <c r="O80" i="3"/>
  <c r="Q80" i="3"/>
  <c r="S80" i="3"/>
  <c r="U80" i="3"/>
  <c r="W80" i="3"/>
  <c r="AX80" i="3" s="1"/>
  <c r="Y80" i="3"/>
  <c r="AY80" i="3" s="1"/>
  <c r="AA80" i="3"/>
  <c r="AC80" i="3"/>
  <c r="AZ80" i="3" s="1"/>
  <c r="AE80" i="3"/>
  <c r="BA80" i="3" s="1"/>
  <c r="AR80" i="3"/>
  <c r="BI80" i="3"/>
  <c r="BJ80" i="3"/>
  <c r="BK80" i="3"/>
  <c r="BL80" i="3"/>
  <c r="O81" i="3"/>
  <c r="AT81" i="3" s="1"/>
  <c r="Q81" i="3"/>
  <c r="AU81" i="3" s="1"/>
  <c r="S81" i="3"/>
  <c r="AV81" i="3" s="1"/>
  <c r="U81" i="3"/>
  <c r="AW81" i="3" s="1"/>
  <c r="W81" i="3"/>
  <c r="AX81" i="3" s="1"/>
  <c r="Y81" i="3"/>
  <c r="AY81" i="3" s="1"/>
  <c r="AA81" i="3"/>
  <c r="AC81" i="3"/>
  <c r="AZ81" i="3" s="1"/>
  <c r="AE81" i="3"/>
  <c r="BA81" i="3" s="1"/>
  <c r="AR81" i="3"/>
  <c r="BI81" i="3"/>
  <c r="BJ81" i="3"/>
  <c r="BK81" i="3"/>
  <c r="BL81" i="3"/>
  <c r="AS80" i="3" l="1"/>
  <c r="BB80" i="3" s="1"/>
  <c r="BF80" i="3" s="1"/>
  <c r="BG80" i="3" s="1"/>
  <c r="BH80" i="3"/>
  <c r="BE80" i="3" s="1"/>
  <c r="AS81" i="3"/>
  <c r="BB81" i="3" s="1"/>
  <c r="BF81" i="3" s="1"/>
  <c r="BG81" i="3" s="1"/>
  <c r="BH81" i="3"/>
  <c r="BE81" i="3" s="1"/>
  <c r="BD81" i="3" l="1"/>
  <c r="BC80" i="3"/>
  <c r="BC81" i="3"/>
  <c r="BD80" i="3"/>
  <c r="AC264" i="12" l="1"/>
  <c r="BL263" i="12"/>
  <c r="BK263" i="12"/>
  <c r="BJ263" i="12"/>
  <c r="BI263" i="12"/>
  <c r="AR263" i="12"/>
  <c r="AE263" i="12"/>
  <c r="BA263" i="12" s="1"/>
  <c r="AC263" i="12"/>
  <c r="AZ263" i="12" s="1"/>
  <c r="AA263" i="12"/>
  <c r="Y263" i="12"/>
  <c r="AY263" i="12" s="1"/>
  <c r="W263" i="12"/>
  <c r="AX263" i="12" s="1"/>
  <c r="U263" i="12"/>
  <c r="AW263" i="12" s="1"/>
  <c r="S263" i="12"/>
  <c r="AV263" i="12" s="1"/>
  <c r="Q263" i="12"/>
  <c r="AU263" i="12" s="1"/>
  <c r="O263" i="12"/>
  <c r="AT263" i="12" s="1"/>
  <c r="BL314" i="12"/>
  <c r="BK314" i="12"/>
  <c r="BJ314" i="12"/>
  <c r="BI314" i="12"/>
  <c r="AR314" i="12"/>
  <c r="AE314" i="12"/>
  <c r="BA314" i="12" s="1"/>
  <c r="AC314" i="12"/>
  <c r="AZ314" i="12" s="1"/>
  <c r="AA314" i="12"/>
  <c r="Y314" i="12"/>
  <c r="AY314" i="12" s="1"/>
  <c r="W314" i="12"/>
  <c r="AX314" i="12" s="1"/>
  <c r="U314" i="12"/>
  <c r="AW314" i="12" s="1"/>
  <c r="S314" i="12"/>
  <c r="AV314" i="12" s="1"/>
  <c r="Q314" i="12"/>
  <c r="AU314" i="12" s="1"/>
  <c r="O314" i="12"/>
  <c r="AT314" i="12" s="1"/>
  <c r="O184" i="12"/>
  <c r="AT184" i="12" s="1"/>
  <c r="Q184" i="12"/>
  <c r="AU184" i="12" s="1"/>
  <c r="S184" i="12"/>
  <c r="AV184" i="12" s="1"/>
  <c r="U184" i="12"/>
  <c r="AW184" i="12" s="1"/>
  <c r="W184" i="12"/>
  <c r="AX184" i="12" s="1"/>
  <c r="Y184" i="12"/>
  <c r="AY184" i="12" s="1"/>
  <c r="AA184" i="12"/>
  <c r="AC184" i="12"/>
  <c r="AZ184" i="12" s="1"/>
  <c r="AE184" i="12"/>
  <c r="BA184" i="12" s="1"/>
  <c r="AR184" i="12"/>
  <c r="BI184" i="12"/>
  <c r="BJ184" i="12"/>
  <c r="BK184" i="12"/>
  <c r="BL184" i="12"/>
  <c r="AS184" i="12" l="1"/>
  <c r="BB184" i="12" s="1"/>
  <c r="BF184" i="12" s="1"/>
  <c r="BG184" i="12" s="1"/>
  <c r="BH184" i="12"/>
  <c r="BE184" i="12" s="1"/>
  <c r="AS263" i="12"/>
  <c r="BB263" i="12" s="1"/>
  <c r="BF263" i="12" s="1"/>
  <c r="BG263" i="12" s="1"/>
  <c r="BH263" i="12"/>
  <c r="BE263" i="12" s="1"/>
  <c r="AS314" i="12"/>
  <c r="BB314" i="12" s="1"/>
  <c r="BF314" i="12" s="1"/>
  <c r="BG314" i="12" s="1"/>
  <c r="BH314" i="12"/>
  <c r="BE314" i="12" s="1"/>
  <c r="M59" i="10"/>
  <c r="BE59" i="10" s="1"/>
  <c r="BC184" i="12" l="1"/>
  <c r="A59" i="10"/>
  <c r="B59" i="10"/>
  <c r="O59" i="10"/>
  <c r="AT59" i="10" s="1"/>
  <c r="S59" i="10"/>
  <c r="AV59" i="10" s="1"/>
  <c r="BL59" i="10"/>
  <c r="BD263" i="12"/>
  <c r="BC263" i="12"/>
  <c r="BD314" i="12"/>
  <c r="BC314" i="12"/>
  <c r="BD184" i="12"/>
  <c r="AH75" i="8"/>
  <c r="BL75" i="8"/>
  <c r="BK75" i="8"/>
  <c r="BJ75" i="8"/>
  <c r="BI75" i="8"/>
  <c r="AR75" i="8"/>
  <c r="BH75" i="8" s="1"/>
  <c r="BE75" i="8" s="1"/>
  <c r="AE75" i="8"/>
  <c r="BA75" i="8" s="1"/>
  <c r="AC75" i="8"/>
  <c r="AZ75" i="8" s="1"/>
  <c r="AA75" i="8"/>
  <c r="Y75" i="8"/>
  <c r="AY75" i="8" s="1"/>
  <c r="W75" i="8"/>
  <c r="AX75" i="8" s="1"/>
  <c r="U75" i="8"/>
  <c r="AW75" i="8" s="1"/>
  <c r="S75" i="8"/>
  <c r="AV75" i="8" s="1"/>
  <c r="Q75" i="8"/>
  <c r="AU75" i="8" s="1"/>
  <c r="O75" i="8"/>
  <c r="AT75" i="8" s="1"/>
  <c r="BL74" i="8"/>
  <c r="BK74" i="8"/>
  <c r="BJ74" i="8"/>
  <c r="BI74" i="8"/>
  <c r="AR74" i="8"/>
  <c r="BH74" i="8" s="1"/>
  <c r="BE74" i="8" s="1"/>
  <c r="AE74" i="8"/>
  <c r="BA74" i="8" s="1"/>
  <c r="AC74" i="8"/>
  <c r="AZ74" i="8" s="1"/>
  <c r="AA74" i="8"/>
  <c r="Y74" i="8"/>
  <c r="AY74" i="8" s="1"/>
  <c r="W74" i="8"/>
  <c r="AX74" i="8" s="1"/>
  <c r="U74" i="8"/>
  <c r="AW74" i="8" s="1"/>
  <c r="S74" i="8"/>
  <c r="AV74" i="8" s="1"/>
  <c r="Q74" i="8"/>
  <c r="AU74" i="8" s="1"/>
  <c r="O74" i="8"/>
  <c r="AT74" i="8" s="1"/>
  <c r="BL68" i="8"/>
  <c r="BK68" i="8"/>
  <c r="BJ68" i="8"/>
  <c r="BI68" i="8"/>
  <c r="AR68" i="8"/>
  <c r="BH68" i="8" s="1"/>
  <c r="BE68" i="8" s="1"/>
  <c r="AE68" i="8"/>
  <c r="BA68" i="8" s="1"/>
  <c r="AC68" i="8"/>
  <c r="AZ68" i="8" s="1"/>
  <c r="AA68" i="8"/>
  <c r="Y68" i="8"/>
  <c r="AY68" i="8" s="1"/>
  <c r="W68" i="8"/>
  <c r="AX68" i="8" s="1"/>
  <c r="U68" i="8"/>
  <c r="AW68" i="8" s="1"/>
  <c r="S68" i="8"/>
  <c r="AV68" i="8" s="1"/>
  <c r="Q68" i="8"/>
  <c r="AU68" i="8" s="1"/>
  <c r="O68" i="8"/>
  <c r="AT68" i="8" s="1"/>
  <c r="BL70" i="8"/>
  <c r="BK70" i="8"/>
  <c r="BJ70" i="8"/>
  <c r="BI70" i="8"/>
  <c r="AR70" i="8"/>
  <c r="BH70" i="8" s="1"/>
  <c r="BE70" i="8" s="1"/>
  <c r="AE70" i="8"/>
  <c r="BA70" i="8" s="1"/>
  <c r="AC70" i="8"/>
  <c r="AZ70" i="8" s="1"/>
  <c r="AA70" i="8"/>
  <c r="Y70" i="8"/>
  <c r="AY70" i="8" s="1"/>
  <c r="W70" i="8"/>
  <c r="AX70" i="8" s="1"/>
  <c r="U70" i="8"/>
  <c r="AW70" i="8" s="1"/>
  <c r="S70" i="8"/>
  <c r="AV70" i="8" s="1"/>
  <c r="Q70" i="8"/>
  <c r="AU70" i="8" s="1"/>
  <c r="O70" i="8"/>
  <c r="AT70" i="8" s="1"/>
  <c r="BL69" i="8"/>
  <c r="BK69" i="8"/>
  <c r="BJ69" i="8"/>
  <c r="BI69" i="8"/>
  <c r="AR69" i="8"/>
  <c r="BH69" i="8" s="1"/>
  <c r="BE69" i="8" s="1"/>
  <c r="AE69" i="8"/>
  <c r="BA69" i="8" s="1"/>
  <c r="AC69" i="8"/>
  <c r="AZ69" i="8" s="1"/>
  <c r="AA69" i="8"/>
  <c r="Y69" i="8"/>
  <c r="AY69" i="8" s="1"/>
  <c r="W69" i="8"/>
  <c r="AX69" i="8" s="1"/>
  <c r="U69" i="8"/>
  <c r="AW69" i="8" s="1"/>
  <c r="S69" i="8"/>
  <c r="AV69" i="8" s="1"/>
  <c r="Q69" i="8"/>
  <c r="AU69" i="8" s="1"/>
  <c r="O69" i="8"/>
  <c r="AT69" i="8" s="1"/>
  <c r="BL67" i="8"/>
  <c r="BK67" i="8"/>
  <c r="BJ67" i="8"/>
  <c r="BI67" i="8"/>
  <c r="AR67" i="8"/>
  <c r="BH67" i="8" s="1"/>
  <c r="BE67" i="8" s="1"/>
  <c r="AE67" i="8"/>
  <c r="BA67" i="8" s="1"/>
  <c r="AC67" i="8"/>
  <c r="AZ67" i="8" s="1"/>
  <c r="AA67" i="8"/>
  <c r="Y67" i="8"/>
  <c r="AY67" i="8" s="1"/>
  <c r="W67" i="8"/>
  <c r="AX67" i="8" s="1"/>
  <c r="U67" i="8"/>
  <c r="AW67" i="8" s="1"/>
  <c r="S67" i="8"/>
  <c r="AV67" i="8" s="1"/>
  <c r="Q67" i="8"/>
  <c r="AU67" i="8" s="1"/>
  <c r="O67" i="8"/>
  <c r="AT67" i="8" s="1"/>
  <c r="BL66" i="8"/>
  <c r="BK66" i="8"/>
  <c r="BJ66" i="8"/>
  <c r="BI66" i="8"/>
  <c r="AR66" i="8"/>
  <c r="BH66" i="8" s="1"/>
  <c r="BE66" i="8" s="1"/>
  <c r="AE66" i="8"/>
  <c r="BA66" i="8" s="1"/>
  <c r="AC66" i="8"/>
  <c r="AZ66" i="8" s="1"/>
  <c r="AA66" i="8"/>
  <c r="Y66" i="8"/>
  <c r="AY66" i="8" s="1"/>
  <c r="W66" i="8"/>
  <c r="AX66" i="8" s="1"/>
  <c r="U66" i="8"/>
  <c r="AW66" i="8" s="1"/>
  <c r="S66" i="8"/>
  <c r="AV66" i="8" s="1"/>
  <c r="Q66" i="8"/>
  <c r="AU66" i="8" s="1"/>
  <c r="O66" i="8"/>
  <c r="AT66" i="8" s="1"/>
  <c r="BL65" i="8"/>
  <c r="BK65" i="8"/>
  <c r="BJ65" i="8"/>
  <c r="BI65" i="8"/>
  <c r="AR65" i="8"/>
  <c r="BH65" i="8" s="1"/>
  <c r="BE65" i="8" s="1"/>
  <c r="AE65" i="8"/>
  <c r="BA65" i="8" s="1"/>
  <c r="AC65" i="8"/>
  <c r="AZ65" i="8" s="1"/>
  <c r="AA65" i="8"/>
  <c r="Y65" i="8"/>
  <c r="AY65" i="8" s="1"/>
  <c r="W65" i="8"/>
  <c r="AX65" i="8" s="1"/>
  <c r="U65" i="8"/>
  <c r="AW65" i="8" s="1"/>
  <c r="S65" i="8"/>
  <c r="AV65" i="8" s="1"/>
  <c r="Q65" i="8"/>
  <c r="AU65" i="8" s="1"/>
  <c r="O65" i="8"/>
  <c r="AT65" i="8" s="1"/>
  <c r="BL62" i="8"/>
  <c r="BK62" i="8"/>
  <c r="BJ62" i="8"/>
  <c r="BI62" i="8"/>
  <c r="AR62" i="8"/>
  <c r="BH62" i="8" s="1"/>
  <c r="BE62" i="8" s="1"/>
  <c r="AE62" i="8"/>
  <c r="BA62" i="8" s="1"/>
  <c r="AC62" i="8"/>
  <c r="AZ62" i="8" s="1"/>
  <c r="AA62" i="8"/>
  <c r="Y62" i="8"/>
  <c r="AY62" i="8" s="1"/>
  <c r="W62" i="8"/>
  <c r="AX62" i="8" s="1"/>
  <c r="U62" i="8"/>
  <c r="AW62" i="8" s="1"/>
  <c r="S62" i="8"/>
  <c r="AV62" i="8" s="1"/>
  <c r="Q62" i="8"/>
  <c r="AU62" i="8" s="1"/>
  <c r="O62" i="8"/>
  <c r="AT62" i="8" s="1"/>
  <c r="BL59" i="8"/>
  <c r="BK59" i="8"/>
  <c r="BJ59" i="8"/>
  <c r="BI59" i="8"/>
  <c r="AR59" i="8"/>
  <c r="BH59" i="8" s="1"/>
  <c r="BE59" i="8" s="1"/>
  <c r="AE59" i="8"/>
  <c r="BA59" i="8" s="1"/>
  <c r="AC59" i="8"/>
  <c r="AZ59" i="8" s="1"/>
  <c r="AA59" i="8"/>
  <c r="Y59" i="8"/>
  <c r="AY59" i="8" s="1"/>
  <c r="W59" i="8"/>
  <c r="AX59" i="8" s="1"/>
  <c r="U59" i="8"/>
  <c r="AW59" i="8" s="1"/>
  <c r="S59" i="8"/>
  <c r="AV59" i="8" s="1"/>
  <c r="Q59" i="8"/>
  <c r="AU59" i="8" s="1"/>
  <c r="O59" i="8"/>
  <c r="AT59" i="8" s="1"/>
  <c r="BL174" i="8"/>
  <c r="BK174" i="8"/>
  <c r="BJ174" i="8"/>
  <c r="BI174" i="8"/>
  <c r="AR174" i="8"/>
  <c r="BH174" i="8" s="1"/>
  <c r="BE174" i="8" s="1"/>
  <c r="AE174" i="8"/>
  <c r="BA174" i="8" s="1"/>
  <c r="AC174" i="8"/>
  <c r="AZ174" i="8" s="1"/>
  <c r="AA174" i="8"/>
  <c r="Y174" i="8"/>
  <c r="AY174" i="8" s="1"/>
  <c r="W174" i="8"/>
  <c r="AX174" i="8" s="1"/>
  <c r="U174" i="8"/>
  <c r="AW174" i="8" s="1"/>
  <c r="S174" i="8"/>
  <c r="AV174" i="8" s="1"/>
  <c r="Q174" i="8"/>
  <c r="AU174" i="8" s="1"/>
  <c r="O174" i="8"/>
  <c r="AT174" i="8" s="1"/>
  <c r="BL173" i="8"/>
  <c r="BK173" i="8"/>
  <c r="BJ173" i="8"/>
  <c r="BI173" i="8"/>
  <c r="AR173" i="8"/>
  <c r="BH173" i="8" s="1"/>
  <c r="BE173" i="8" s="1"/>
  <c r="AE173" i="8"/>
  <c r="BA173" i="8" s="1"/>
  <c r="AC173" i="8"/>
  <c r="AZ173" i="8" s="1"/>
  <c r="AA173" i="8"/>
  <c r="Y173" i="8"/>
  <c r="AY173" i="8" s="1"/>
  <c r="W173" i="8"/>
  <c r="AX173" i="8" s="1"/>
  <c r="U173" i="8"/>
  <c r="AW173" i="8" s="1"/>
  <c r="S173" i="8"/>
  <c r="AV173" i="8" s="1"/>
  <c r="Q173" i="8"/>
  <c r="AU173" i="8" s="1"/>
  <c r="O173" i="8"/>
  <c r="AT173" i="8" s="1"/>
  <c r="BL172" i="8"/>
  <c r="BK172" i="8"/>
  <c r="BJ172" i="8"/>
  <c r="BI172" i="8"/>
  <c r="AR172" i="8"/>
  <c r="BH172" i="8" s="1"/>
  <c r="BE172" i="8" s="1"/>
  <c r="AE172" i="8"/>
  <c r="BA172" i="8" s="1"/>
  <c r="AC172" i="8"/>
  <c r="AZ172" i="8" s="1"/>
  <c r="AA172" i="8"/>
  <c r="Y172" i="8"/>
  <c r="AY172" i="8" s="1"/>
  <c r="W172" i="8"/>
  <c r="AX172" i="8" s="1"/>
  <c r="U172" i="8"/>
  <c r="AW172" i="8" s="1"/>
  <c r="S172" i="8"/>
  <c r="AV172" i="8" s="1"/>
  <c r="Q172" i="8"/>
  <c r="AU172" i="8" s="1"/>
  <c r="O172" i="8"/>
  <c r="AT172" i="8" s="1"/>
  <c r="BL171" i="8"/>
  <c r="BK171" i="8"/>
  <c r="BJ171" i="8"/>
  <c r="BI171" i="8"/>
  <c r="AR171" i="8"/>
  <c r="BH171" i="8" s="1"/>
  <c r="BE171" i="8" s="1"/>
  <c r="AE171" i="8"/>
  <c r="BA171" i="8" s="1"/>
  <c r="AC171" i="8"/>
  <c r="AZ171" i="8" s="1"/>
  <c r="AA171" i="8"/>
  <c r="Y171" i="8"/>
  <c r="AY171" i="8" s="1"/>
  <c r="W171" i="8"/>
  <c r="AX171" i="8" s="1"/>
  <c r="U171" i="8"/>
  <c r="AW171" i="8" s="1"/>
  <c r="S171" i="8"/>
  <c r="AV171" i="8" s="1"/>
  <c r="Q171" i="8"/>
  <c r="AU171" i="8" s="1"/>
  <c r="O171" i="8"/>
  <c r="AT171" i="8" s="1"/>
  <c r="BL170" i="8"/>
  <c r="BK170" i="8"/>
  <c r="BJ170" i="8"/>
  <c r="BI170" i="8"/>
  <c r="AR170" i="8"/>
  <c r="BH170" i="8" s="1"/>
  <c r="BE170" i="8" s="1"/>
  <c r="AE170" i="8"/>
  <c r="BA170" i="8" s="1"/>
  <c r="AC170" i="8"/>
  <c r="AZ170" i="8" s="1"/>
  <c r="AA170" i="8"/>
  <c r="Y170" i="8"/>
  <c r="AY170" i="8" s="1"/>
  <c r="W170" i="8"/>
  <c r="AX170" i="8" s="1"/>
  <c r="U170" i="8"/>
  <c r="AW170" i="8" s="1"/>
  <c r="S170" i="8"/>
  <c r="AV170" i="8" s="1"/>
  <c r="Q170" i="8"/>
  <c r="AU170" i="8" s="1"/>
  <c r="O170" i="8"/>
  <c r="AT170" i="8" s="1"/>
  <c r="BL164" i="8"/>
  <c r="BK164" i="8"/>
  <c r="BJ164" i="8"/>
  <c r="BI164" i="8"/>
  <c r="AR164" i="8"/>
  <c r="BH164" i="8" s="1"/>
  <c r="BE164" i="8" s="1"/>
  <c r="AE164" i="8"/>
  <c r="BA164" i="8" s="1"/>
  <c r="AC164" i="8"/>
  <c r="AZ164" i="8" s="1"/>
  <c r="AA164" i="8"/>
  <c r="Y164" i="8"/>
  <c r="AY164" i="8" s="1"/>
  <c r="W164" i="8"/>
  <c r="AX164" i="8" s="1"/>
  <c r="U164" i="8"/>
  <c r="AW164" i="8" s="1"/>
  <c r="S164" i="8"/>
  <c r="AV164" i="8" s="1"/>
  <c r="Q164" i="8"/>
  <c r="AU164" i="8" s="1"/>
  <c r="O164" i="8"/>
  <c r="AT164" i="8" s="1"/>
  <c r="BL163" i="8"/>
  <c r="BK163" i="8"/>
  <c r="BJ163" i="8"/>
  <c r="BI163" i="8"/>
  <c r="AR163" i="8"/>
  <c r="BH163" i="8" s="1"/>
  <c r="BE163" i="8" s="1"/>
  <c r="AE163" i="8"/>
  <c r="BA163" i="8" s="1"/>
  <c r="AC163" i="8"/>
  <c r="AZ163" i="8" s="1"/>
  <c r="AA163" i="8"/>
  <c r="Y163" i="8"/>
  <c r="AY163" i="8" s="1"/>
  <c r="W163" i="8"/>
  <c r="AX163" i="8" s="1"/>
  <c r="U163" i="8"/>
  <c r="AW163" i="8" s="1"/>
  <c r="S163" i="8"/>
  <c r="AV163" i="8" s="1"/>
  <c r="Q163" i="8"/>
  <c r="AU163" i="8" s="1"/>
  <c r="O163" i="8"/>
  <c r="AT163" i="8" s="1"/>
  <c r="BL162" i="8"/>
  <c r="BK162" i="8"/>
  <c r="BJ162" i="8"/>
  <c r="BI162" i="8"/>
  <c r="AR162" i="8"/>
  <c r="BH162" i="8" s="1"/>
  <c r="BE162" i="8" s="1"/>
  <c r="AE162" i="8"/>
  <c r="BA162" i="8" s="1"/>
  <c r="AC162" i="8"/>
  <c r="AZ162" i="8" s="1"/>
  <c r="AA162" i="8"/>
  <c r="Y162" i="8"/>
  <c r="AY162" i="8" s="1"/>
  <c r="W162" i="8"/>
  <c r="AX162" i="8" s="1"/>
  <c r="U162" i="8"/>
  <c r="AW162" i="8" s="1"/>
  <c r="S162" i="8"/>
  <c r="AV162" i="8" s="1"/>
  <c r="Q162" i="8"/>
  <c r="AU162" i="8" s="1"/>
  <c r="O162" i="8"/>
  <c r="AT162" i="8" s="1"/>
  <c r="BL161" i="8"/>
  <c r="BK161" i="8"/>
  <c r="BJ161" i="8"/>
  <c r="BI161" i="8"/>
  <c r="AR161" i="8"/>
  <c r="BH161" i="8" s="1"/>
  <c r="BE161" i="8" s="1"/>
  <c r="AE161" i="8"/>
  <c r="BA161" i="8" s="1"/>
  <c r="AC161" i="8"/>
  <c r="AZ161" i="8" s="1"/>
  <c r="AA161" i="8"/>
  <c r="Y161" i="8"/>
  <c r="AY161" i="8" s="1"/>
  <c r="W161" i="8"/>
  <c r="AX161" i="8" s="1"/>
  <c r="U161" i="8"/>
  <c r="AW161" i="8" s="1"/>
  <c r="S161" i="8"/>
  <c r="AV161" i="8" s="1"/>
  <c r="Q161" i="8"/>
  <c r="AU161" i="8" s="1"/>
  <c r="O161" i="8"/>
  <c r="AT161" i="8" s="1"/>
  <c r="BL158" i="8"/>
  <c r="BK158" i="8"/>
  <c r="BJ158" i="8"/>
  <c r="BI158" i="8"/>
  <c r="AR158" i="8"/>
  <c r="BH158" i="8" s="1"/>
  <c r="BE158" i="8" s="1"/>
  <c r="AE158" i="8"/>
  <c r="BA158" i="8" s="1"/>
  <c r="AC158" i="8"/>
  <c r="AZ158" i="8" s="1"/>
  <c r="AA158" i="8"/>
  <c r="Y158" i="8"/>
  <c r="AY158" i="8" s="1"/>
  <c r="W158" i="8"/>
  <c r="AX158" i="8" s="1"/>
  <c r="U158" i="8"/>
  <c r="AW158" i="8" s="1"/>
  <c r="S158" i="8"/>
  <c r="AV158" i="8" s="1"/>
  <c r="Q158" i="8"/>
  <c r="AU158" i="8" s="1"/>
  <c r="O158" i="8"/>
  <c r="AT158" i="8" s="1"/>
  <c r="BL157" i="8"/>
  <c r="BK157" i="8"/>
  <c r="BJ157" i="8"/>
  <c r="BI157" i="8"/>
  <c r="AR157" i="8"/>
  <c r="BH157" i="8" s="1"/>
  <c r="BE157" i="8" s="1"/>
  <c r="AE157" i="8"/>
  <c r="BA157" i="8" s="1"/>
  <c r="AC157" i="8"/>
  <c r="AZ157" i="8" s="1"/>
  <c r="AA157" i="8"/>
  <c r="Y157" i="8"/>
  <c r="AY157" i="8" s="1"/>
  <c r="W157" i="8"/>
  <c r="AX157" i="8" s="1"/>
  <c r="U157" i="8"/>
  <c r="AW157" i="8" s="1"/>
  <c r="S157" i="8"/>
  <c r="AV157" i="8" s="1"/>
  <c r="Q157" i="8"/>
  <c r="AU157" i="8" s="1"/>
  <c r="O157" i="8"/>
  <c r="AT157" i="8" s="1"/>
  <c r="BL155" i="8"/>
  <c r="BK155" i="8"/>
  <c r="BJ155" i="8"/>
  <c r="BI155" i="8"/>
  <c r="AR155" i="8"/>
  <c r="BH155" i="8" s="1"/>
  <c r="BE155" i="8" s="1"/>
  <c r="AE155" i="8"/>
  <c r="BA155" i="8" s="1"/>
  <c r="AC155" i="8"/>
  <c r="AZ155" i="8" s="1"/>
  <c r="AA155" i="8"/>
  <c r="Y155" i="8"/>
  <c r="AY155" i="8" s="1"/>
  <c r="W155" i="8"/>
  <c r="AX155" i="8" s="1"/>
  <c r="U155" i="8"/>
  <c r="AW155" i="8" s="1"/>
  <c r="S155" i="8"/>
  <c r="AV155" i="8" s="1"/>
  <c r="Q155" i="8"/>
  <c r="AU155" i="8" s="1"/>
  <c r="O155" i="8"/>
  <c r="AT155" i="8" s="1"/>
  <c r="AS162" i="8" l="1"/>
  <c r="BB162" i="8" s="1"/>
  <c r="AS59" i="8"/>
  <c r="BB59" i="8" s="1"/>
  <c r="AS74" i="8"/>
  <c r="BB74" i="8" s="1"/>
  <c r="BF74" i="8" s="1"/>
  <c r="BG74" i="8" s="1"/>
  <c r="AS161" i="8"/>
  <c r="BB161" i="8" s="1"/>
  <c r="BF161" i="8" s="1"/>
  <c r="BG161" i="8" s="1"/>
  <c r="AS174" i="8"/>
  <c r="BB174" i="8" s="1"/>
  <c r="AS68" i="8"/>
  <c r="BB68" i="8" s="1"/>
  <c r="BF68" i="8" s="1"/>
  <c r="BG68" i="8" s="1"/>
  <c r="AS158" i="8"/>
  <c r="BB158" i="8" s="1"/>
  <c r="BF158" i="8" s="1"/>
  <c r="BG158" i="8" s="1"/>
  <c r="AS173" i="8"/>
  <c r="BB173" i="8" s="1"/>
  <c r="BF173" i="8" s="1"/>
  <c r="BG173" i="8" s="1"/>
  <c r="AS70" i="8"/>
  <c r="BB70" i="8" s="1"/>
  <c r="BF70" i="8" s="1"/>
  <c r="BG70" i="8" s="1"/>
  <c r="AS172" i="8"/>
  <c r="BB172" i="8" s="1"/>
  <c r="BF172" i="8" s="1"/>
  <c r="BG172" i="8" s="1"/>
  <c r="AS69" i="8"/>
  <c r="BB69" i="8" s="1"/>
  <c r="BF69" i="8" s="1"/>
  <c r="BG69" i="8" s="1"/>
  <c r="AS155" i="8"/>
  <c r="BB155" i="8" s="1"/>
  <c r="BF155" i="8" s="1"/>
  <c r="BG155" i="8" s="1"/>
  <c r="AS171" i="8"/>
  <c r="BB171" i="8" s="1"/>
  <c r="BF171" i="8" s="1"/>
  <c r="BG171" i="8" s="1"/>
  <c r="AS67" i="8"/>
  <c r="BB67" i="8" s="1"/>
  <c r="BF67" i="8" s="1"/>
  <c r="BG67" i="8" s="1"/>
  <c r="AS170" i="8"/>
  <c r="BB170" i="8" s="1"/>
  <c r="BF170" i="8" s="1"/>
  <c r="BG170" i="8" s="1"/>
  <c r="AS66" i="8"/>
  <c r="BB66" i="8" s="1"/>
  <c r="BF66" i="8" s="1"/>
  <c r="BG66" i="8" s="1"/>
  <c r="AS164" i="8"/>
  <c r="BB164" i="8" s="1"/>
  <c r="BF164" i="8" s="1"/>
  <c r="BG164" i="8" s="1"/>
  <c r="AS65" i="8"/>
  <c r="BB65" i="8" s="1"/>
  <c r="BF65" i="8" s="1"/>
  <c r="BG65" i="8" s="1"/>
  <c r="AS163" i="8"/>
  <c r="BB163" i="8" s="1"/>
  <c r="BF163" i="8" s="1"/>
  <c r="BG163" i="8" s="1"/>
  <c r="AS62" i="8"/>
  <c r="BB62" i="8" s="1"/>
  <c r="BF62" i="8" s="1"/>
  <c r="BG62" i="8" s="1"/>
  <c r="AS75" i="8"/>
  <c r="BB75" i="8" s="1"/>
  <c r="BF75" i="8" s="1"/>
  <c r="BG75" i="8" s="1"/>
  <c r="AS157" i="8"/>
  <c r="BB157" i="8" s="1"/>
  <c r="BF157" i="8" s="1"/>
  <c r="BG157" i="8" s="1"/>
  <c r="BF162" i="8"/>
  <c r="BG162" i="8" s="1"/>
  <c r="BF59" i="8"/>
  <c r="BG59" i="8" s="1"/>
  <c r="BF174" i="8"/>
  <c r="BG174" i="8" s="1"/>
  <c r="BD66" i="8" l="1"/>
  <c r="BD171" i="8"/>
  <c r="BD155" i="8"/>
  <c r="BD69" i="8"/>
  <c r="BD172" i="8"/>
  <c r="BD70" i="8"/>
  <c r="BD161" i="8"/>
  <c r="BD174" i="8"/>
  <c r="BD158" i="8"/>
  <c r="BD74" i="8"/>
  <c r="BD68" i="8"/>
  <c r="BD164" i="8"/>
  <c r="BD170" i="8"/>
  <c r="BD65" i="8"/>
  <c r="BD75" i="8"/>
  <c r="BD67" i="8"/>
  <c r="BD59" i="8"/>
  <c r="BD162" i="8"/>
  <c r="BD157" i="8"/>
  <c r="BC163" i="8"/>
  <c r="BD163" i="8"/>
  <c r="BC62" i="8"/>
  <c r="BD62" i="8"/>
  <c r="BC173" i="8"/>
  <c r="BD173" i="8"/>
  <c r="BC74" i="8"/>
  <c r="BC75" i="8"/>
  <c r="BC68" i="8"/>
  <c r="BC70" i="8"/>
  <c r="BC69" i="8"/>
  <c r="BC67" i="8"/>
  <c r="BC66" i="8"/>
  <c r="BC65" i="8"/>
  <c r="BC59" i="8"/>
  <c r="BC174" i="8"/>
  <c r="BC172" i="8"/>
  <c r="BC171" i="8"/>
  <c r="BC170" i="8"/>
  <c r="BC164" i="8"/>
  <c r="BC162" i="8"/>
  <c r="BC161" i="8"/>
  <c r="BC158" i="8"/>
  <c r="BC157" i="8"/>
  <c r="BC155" i="8"/>
  <c r="BL156" i="8" l="1"/>
  <c r="BK156" i="8"/>
  <c r="BJ156" i="8"/>
  <c r="BI156" i="8"/>
  <c r="AR156" i="8"/>
  <c r="BH156" i="8" s="1"/>
  <c r="BE156" i="8" s="1"/>
  <c r="AE156" i="8"/>
  <c r="BA156" i="8" s="1"/>
  <c r="AC156" i="8"/>
  <c r="AZ156" i="8" s="1"/>
  <c r="AA156" i="8"/>
  <c r="Y156" i="8"/>
  <c r="AY156" i="8" s="1"/>
  <c r="W156" i="8"/>
  <c r="AX156" i="8" s="1"/>
  <c r="U156" i="8"/>
  <c r="AW156" i="8" s="1"/>
  <c r="S156" i="8"/>
  <c r="AV156" i="8" s="1"/>
  <c r="Q156" i="8"/>
  <c r="AU156" i="8" s="1"/>
  <c r="O156" i="8"/>
  <c r="AT156" i="8" s="1"/>
  <c r="BL154" i="8"/>
  <c r="BK154" i="8"/>
  <c r="BJ154" i="8"/>
  <c r="BI154" i="8"/>
  <c r="AR154" i="8"/>
  <c r="BH154" i="8" s="1"/>
  <c r="BE154" i="8" s="1"/>
  <c r="AE154" i="8"/>
  <c r="BA154" i="8" s="1"/>
  <c r="AC154" i="8"/>
  <c r="AZ154" i="8" s="1"/>
  <c r="AA154" i="8"/>
  <c r="Y154" i="8"/>
  <c r="AY154" i="8" s="1"/>
  <c r="W154" i="8"/>
  <c r="AX154" i="8" s="1"/>
  <c r="U154" i="8"/>
  <c r="AW154" i="8" s="1"/>
  <c r="S154" i="8"/>
  <c r="AV154" i="8" s="1"/>
  <c r="Q154" i="8"/>
  <c r="AU154" i="8" s="1"/>
  <c r="O154" i="8"/>
  <c r="AT154" i="8" s="1"/>
  <c r="BL153" i="8"/>
  <c r="BK153" i="8"/>
  <c r="BJ153" i="8"/>
  <c r="BI153" i="8"/>
  <c r="AR153" i="8"/>
  <c r="BH153" i="8" s="1"/>
  <c r="BE153" i="8" s="1"/>
  <c r="AE153" i="8"/>
  <c r="BA153" i="8" s="1"/>
  <c r="AC153" i="8"/>
  <c r="AZ153" i="8" s="1"/>
  <c r="AA153" i="8"/>
  <c r="Y153" i="8"/>
  <c r="AY153" i="8" s="1"/>
  <c r="W153" i="8"/>
  <c r="AX153" i="8" s="1"/>
  <c r="U153" i="8"/>
  <c r="AW153" i="8" s="1"/>
  <c r="S153" i="8"/>
  <c r="AV153" i="8" s="1"/>
  <c r="Q153" i="8"/>
  <c r="AU153" i="8" s="1"/>
  <c r="O153" i="8"/>
  <c r="AT153" i="8" s="1"/>
  <c r="O152" i="8"/>
  <c r="AT152" i="8" s="1"/>
  <c r="Q152" i="8"/>
  <c r="AU152" i="8" s="1"/>
  <c r="S152" i="8"/>
  <c r="AV152" i="8" s="1"/>
  <c r="U152" i="8"/>
  <c r="AW152" i="8" s="1"/>
  <c r="W152" i="8"/>
  <c r="AX152" i="8" s="1"/>
  <c r="Y152" i="8"/>
  <c r="AY152" i="8" s="1"/>
  <c r="AA152" i="8"/>
  <c r="AC152" i="8"/>
  <c r="AZ152" i="8" s="1"/>
  <c r="AE152" i="8"/>
  <c r="BA152" i="8" s="1"/>
  <c r="AR152" i="8"/>
  <c r="BH152" i="8" s="1"/>
  <c r="BE152" i="8" s="1"/>
  <c r="BI152" i="8"/>
  <c r="BJ152" i="8"/>
  <c r="BK152" i="8"/>
  <c r="BL152" i="8"/>
  <c r="BL146" i="8"/>
  <c r="BK146" i="8"/>
  <c r="BJ146" i="8"/>
  <c r="BI146" i="8"/>
  <c r="AR146" i="8"/>
  <c r="BH146" i="8" s="1"/>
  <c r="BE146" i="8" s="1"/>
  <c r="AE146" i="8"/>
  <c r="BA146" i="8" s="1"/>
  <c r="AC146" i="8"/>
  <c r="AZ146" i="8" s="1"/>
  <c r="AA146" i="8"/>
  <c r="Y146" i="8"/>
  <c r="AY146" i="8" s="1"/>
  <c r="W146" i="8"/>
  <c r="AX146" i="8" s="1"/>
  <c r="U146" i="8"/>
  <c r="AW146" i="8" s="1"/>
  <c r="S146" i="8"/>
  <c r="AV146" i="8" s="1"/>
  <c r="Q146" i="8"/>
  <c r="AU146" i="8" s="1"/>
  <c r="O146" i="8"/>
  <c r="AT146" i="8" s="1"/>
  <c r="BL145" i="8"/>
  <c r="BK145" i="8"/>
  <c r="BJ145" i="8"/>
  <c r="BI145" i="8"/>
  <c r="AR145" i="8"/>
  <c r="BH145" i="8" s="1"/>
  <c r="BE145" i="8" s="1"/>
  <c r="AE145" i="8"/>
  <c r="BA145" i="8" s="1"/>
  <c r="AC145" i="8"/>
  <c r="AZ145" i="8" s="1"/>
  <c r="AA145" i="8"/>
  <c r="Y145" i="8"/>
  <c r="AY145" i="8" s="1"/>
  <c r="W145" i="8"/>
  <c r="AX145" i="8" s="1"/>
  <c r="U145" i="8"/>
  <c r="AW145" i="8" s="1"/>
  <c r="S145" i="8"/>
  <c r="AV145" i="8" s="1"/>
  <c r="Q145" i="8"/>
  <c r="AU145" i="8" s="1"/>
  <c r="O145" i="8"/>
  <c r="AT145" i="8" s="1"/>
  <c r="BL144" i="8"/>
  <c r="BK144" i="8"/>
  <c r="BJ144" i="8"/>
  <c r="BI144" i="8"/>
  <c r="AR144" i="8"/>
  <c r="BH144" i="8" s="1"/>
  <c r="BE144" i="8" s="1"/>
  <c r="AE144" i="8"/>
  <c r="BA144" i="8" s="1"/>
  <c r="AC144" i="8"/>
  <c r="AZ144" i="8" s="1"/>
  <c r="AA144" i="8"/>
  <c r="Y144" i="8"/>
  <c r="AY144" i="8" s="1"/>
  <c r="W144" i="8"/>
  <c r="AX144" i="8" s="1"/>
  <c r="U144" i="8"/>
  <c r="AW144" i="8" s="1"/>
  <c r="S144" i="8"/>
  <c r="AV144" i="8" s="1"/>
  <c r="Q144" i="8"/>
  <c r="AU144" i="8" s="1"/>
  <c r="O144" i="8"/>
  <c r="AT144" i="8" s="1"/>
  <c r="BL143" i="8"/>
  <c r="BK143" i="8"/>
  <c r="BJ143" i="8"/>
  <c r="BI143" i="8"/>
  <c r="AR143" i="8"/>
  <c r="BH143" i="8" s="1"/>
  <c r="BE143" i="8" s="1"/>
  <c r="AE143" i="8"/>
  <c r="BA143" i="8" s="1"/>
  <c r="AC143" i="8"/>
  <c r="AZ143" i="8" s="1"/>
  <c r="AA143" i="8"/>
  <c r="Y143" i="8"/>
  <c r="AY143" i="8" s="1"/>
  <c r="W143" i="8"/>
  <c r="AX143" i="8" s="1"/>
  <c r="U143" i="8"/>
  <c r="AW143" i="8" s="1"/>
  <c r="S143" i="8"/>
  <c r="AV143" i="8" s="1"/>
  <c r="Q143" i="8"/>
  <c r="AU143" i="8" s="1"/>
  <c r="O143" i="8"/>
  <c r="AT143" i="8" s="1"/>
  <c r="BL142" i="8"/>
  <c r="BK142" i="8"/>
  <c r="BJ142" i="8"/>
  <c r="BI142" i="8"/>
  <c r="AR142" i="8"/>
  <c r="BH142" i="8" s="1"/>
  <c r="BE142" i="8" s="1"/>
  <c r="AE142" i="8"/>
  <c r="BA142" i="8" s="1"/>
  <c r="AC142" i="8"/>
  <c r="AZ142" i="8" s="1"/>
  <c r="AA142" i="8"/>
  <c r="Y142" i="8"/>
  <c r="AY142" i="8" s="1"/>
  <c r="W142" i="8"/>
  <c r="AX142" i="8" s="1"/>
  <c r="U142" i="8"/>
  <c r="AW142" i="8" s="1"/>
  <c r="S142" i="8"/>
  <c r="AV142" i="8" s="1"/>
  <c r="Q142" i="8"/>
  <c r="AU142" i="8" s="1"/>
  <c r="O142" i="8"/>
  <c r="AT142" i="8" s="1"/>
  <c r="BL141" i="8"/>
  <c r="BK141" i="8"/>
  <c r="BJ141" i="8"/>
  <c r="BI141" i="8"/>
  <c r="AR141" i="8"/>
  <c r="BH141" i="8" s="1"/>
  <c r="BE141" i="8" s="1"/>
  <c r="AE141" i="8"/>
  <c r="BA141" i="8" s="1"/>
  <c r="AC141" i="8"/>
  <c r="AZ141" i="8" s="1"/>
  <c r="AA141" i="8"/>
  <c r="Y141" i="8"/>
  <c r="AY141" i="8" s="1"/>
  <c r="W141" i="8"/>
  <c r="AX141" i="8" s="1"/>
  <c r="U141" i="8"/>
  <c r="AW141" i="8" s="1"/>
  <c r="S141" i="8"/>
  <c r="AV141" i="8" s="1"/>
  <c r="Q141" i="8"/>
  <c r="AU141" i="8" s="1"/>
  <c r="O141" i="8"/>
  <c r="AT141" i="8" s="1"/>
  <c r="AS146" i="8" l="1"/>
  <c r="BB146" i="8" s="1"/>
  <c r="AS143" i="8"/>
  <c r="BB143" i="8" s="1"/>
  <c r="AS145" i="8"/>
  <c r="BB145" i="8" s="1"/>
  <c r="BF145" i="8" s="1"/>
  <c r="BG145" i="8" s="1"/>
  <c r="AS144" i="8"/>
  <c r="BB144" i="8" s="1"/>
  <c r="BF144" i="8" s="1"/>
  <c r="BG144" i="8" s="1"/>
  <c r="AS142" i="8"/>
  <c r="BB142" i="8" s="1"/>
  <c r="BF142" i="8" s="1"/>
  <c r="BG142" i="8" s="1"/>
  <c r="AS156" i="8"/>
  <c r="BB156" i="8" s="1"/>
  <c r="BF156" i="8" s="1"/>
  <c r="BG156" i="8" s="1"/>
  <c r="AS152" i="8"/>
  <c r="BB152" i="8" s="1"/>
  <c r="BF152" i="8" s="1"/>
  <c r="BG152" i="8" s="1"/>
  <c r="AS154" i="8"/>
  <c r="BB154" i="8" s="1"/>
  <c r="BF154" i="8" s="1"/>
  <c r="BG154" i="8" s="1"/>
  <c r="AS141" i="8"/>
  <c r="BB141" i="8" s="1"/>
  <c r="BF141" i="8" s="1"/>
  <c r="BG141" i="8" s="1"/>
  <c r="AS153" i="8"/>
  <c r="BB153" i="8" s="1"/>
  <c r="BF153" i="8" s="1"/>
  <c r="BG153" i="8" s="1"/>
  <c r="BF143" i="8"/>
  <c r="BG143" i="8" s="1"/>
  <c r="BF146" i="8"/>
  <c r="BG146" i="8" s="1"/>
  <c r="BD145" i="8" l="1"/>
  <c r="BD143" i="8"/>
  <c r="BD142" i="8"/>
  <c r="BD141" i="8"/>
  <c r="BD154" i="8"/>
  <c r="BD146" i="8"/>
  <c r="BD156" i="8"/>
  <c r="BD153" i="8"/>
  <c r="BD144" i="8"/>
  <c r="BC152" i="8"/>
  <c r="BD152" i="8"/>
  <c r="BC144" i="8"/>
  <c r="BC156" i="8"/>
  <c r="BC154" i="8"/>
  <c r="BC141" i="8"/>
  <c r="BC153" i="8"/>
  <c r="BC146" i="8"/>
  <c r="BC143" i="8"/>
  <c r="BC142" i="8"/>
  <c r="BC145" i="8"/>
  <c r="BL257" i="12"/>
  <c r="BK257" i="12"/>
  <c r="BJ257" i="12"/>
  <c r="BI257" i="12"/>
  <c r="AR257" i="12"/>
  <c r="AE257" i="12"/>
  <c r="BA257" i="12" s="1"/>
  <c r="AC257" i="12"/>
  <c r="AZ257" i="12" s="1"/>
  <c r="AA257" i="12"/>
  <c r="Y257" i="12"/>
  <c r="AY257" i="12" s="1"/>
  <c r="W257" i="12"/>
  <c r="AX257" i="12" s="1"/>
  <c r="U257" i="12"/>
  <c r="AW257" i="12" s="1"/>
  <c r="S257" i="12"/>
  <c r="AV257" i="12" s="1"/>
  <c r="Q257" i="12"/>
  <c r="AU257" i="12" s="1"/>
  <c r="O257" i="12"/>
  <c r="AT257" i="12" s="1"/>
  <c r="BL256" i="12"/>
  <c r="BK256" i="12"/>
  <c r="BJ256" i="12"/>
  <c r="BI256" i="12"/>
  <c r="AR256" i="12"/>
  <c r="AE256" i="12"/>
  <c r="BA256" i="12" s="1"/>
  <c r="AC256" i="12"/>
  <c r="AZ256" i="12" s="1"/>
  <c r="AA256" i="12"/>
  <c r="Y256" i="12"/>
  <c r="AY256" i="12" s="1"/>
  <c r="W256" i="12"/>
  <c r="AX256" i="12" s="1"/>
  <c r="U256" i="12"/>
  <c r="AW256" i="12" s="1"/>
  <c r="S256" i="12"/>
  <c r="AV256" i="12" s="1"/>
  <c r="Q256" i="12"/>
  <c r="AU256" i="12" s="1"/>
  <c r="O256" i="12"/>
  <c r="AT256" i="12" s="1"/>
  <c r="BL255" i="12"/>
  <c r="BK255" i="12"/>
  <c r="BJ255" i="12"/>
  <c r="BI255" i="12"/>
  <c r="AR255" i="12"/>
  <c r="AE255" i="12"/>
  <c r="BA255" i="12" s="1"/>
  <c r="AC255" i="12"/>
  <c r="AZ255" i="12" s="1"/>
  <c r="AA255" i="12"/>
  <c r="Y255" i="12"/>
  <c r="AY255" i="12" s="1"/>
  <c r="W255" i="12"/>
  <c r="AX255" i="12" s="1"/>
  <c r="U255" i="12"/>
  <c r="AW255" i="12" s="1"/>
  <c r="S255" i="12"/>
  <c r="AV255" i="12" s="1"/>
  <c r="Q255" i="12"/>
  <c r="AU255" i="12" s="1"/>
  <c r="O255" i="12"/>
  <c r="AT255" i="12" s="1"/>
  <c r="BL232" i="12"/>
  <c r="BK232" i="12"/>
  <c r="BJ232" i="12"/>
  <c r="BI232" i="12"/>
  <c r="AR232" i="12"/>
  <c r="AE232" i="12"/>
  <c r="BA232" i="12" s="1"/>
  <c r="AC232" i="12"/>
  <c r="AZ232" i="12" s="1"/>
  <c r="AA232" i="12"/>
  <c r="Y232" i="12"/>
  <c r="AY232" i="12" s="1"/>
  <c r="W232" i="12"/>
  <c r="AX232" i="12" s="1"/>
  <c r="U232" i="12"/>
  <c r="AW232" i="12" s="1"/>
  <c r="S232" i="12"/>
  <c r="AV232" i="12" s="1"/>
  <c r="Q232" i="12"/>
  <c r="AU232" i="12" s="1"/>
  <c r="O232" i="12"/>
  <c r="AT232" i="12" s="1"/>
  <c r="BL231" i="12"/>
  <c r="BK231" i="12"/>
  <c r="BJ231" i="12"/>
  <c r="BI231" i="12"/>
  <c r="AR231" i="12"/>
  <c r="AE231" i="12"/>
  <c r="BA231" i="12" s="1"/>
  <c r="AC231" i="12"/>
  <c r="AZ231" i="12" s="1"/>
  <c r="AA231" i="12"/>
  <c r="Y231" i="12"/>
  <c r="AY231" i="12" s="1"/>
  <c r="W231" i="12"/>
  <c r="AX231" i="12" s="1"/>
  <c r="U231" i="12"/>
  <c r="AW231" i="12" s="1"/>
  <c r="S231" i="12"/>
  <c r="AV231" i="12" s="1"/>
  <c r="Q231" i="12"/>
  <c r="AU231" i="12" s="1"/>
  <c r="O231" i="12"/>
  <c r="AT231" i="12" s="1"/>
  <c r="BL230" i="12"/>
  <c r="BK230" i="12"/>
  <c r="BJ230" i="12"/>
  <c r="BI230" i="12"/>
  <c r="AR230" i="12"/>
  <c r="AE230" i="12"/>
  <c r="BA230" i="12" s="1"/>
  <c r="AC230" i="12"/>
  <c r="AZ230" i="12" s="1"/>
  <c r="AA230" i="12"/>
  <c r="Y230" i="12"/>
  <c r="AY230" i="12" s="1"/>
  <c r="W230" i="12"/>
  <c r="AX230" i="12" s="1"/>
  <c r="U230" i="12"/>
  <c r="AW230" i="12" s="1"/>
  <c r="S230" i="12"/>
  <c r="AV230" i="12" s="1"/>
  <c r="Q230" i="12"/>
  <c r="AU230" i="12" s="1"/>
  <c r="O230" i="12"/>
  <c r="AT230" i="12" s="1"/>
  <c r="BL191" i="12"/>
  <c r="BK191" i="12"/>
  <c r="BJ191" i="12"/>
  <c r="BI191" i="12"/>
  <c r="AR191" i="12"/>
  <c r="AE191" i="12"/>
  <c r="BA191" i="12" s="1"/>
  <c r="AC191" i="12"/>
  <c r="AZ191" i="12" s="1"/>
  <c r="AA191" i="12"/>
  <c r="Y191" i="12"/>
  <c r="AY191" i="12" s="1"/>
  <c r="W191" i="12"/>
  <c r="AX191" i="12" s="1"/>
  <c r="U191" i="12"/>
  <c r="AW191" i="12" s="1"/>
  <c r="S191" i="12"/>
  <c r="AV191" i="12" s="1"/>
  <c r="Q191" i="12"/>
  <c r="AU191" i="12" s="1"/>
  <c r="O191" i="12"/>
  <c r="AT191" i="12" s="1"/>
  <c r="BL190" i="12"/>
  <c r="BK190" i="12"/>
  <c r="BJ190" i="12"/>
  <c r="BI190" i="12"/>
  <c r="AR190" i="12"/>
  <c r="AE190" i="12"/>
  <c r="BA190" i="12" s="1"/>
  <c r="AC190" i="12"/>
  <c r="AZ190" i="12" s="1"/>
  <c r="AA190" i="12"/>
  <c r="Y190" i="12"/>
  <c r="AY190" i="12" s="1"/>
  <c r="W190" i="12"/>
  <c r="AX190" i="12" s="1"/>
  <c r="U190" i="12"/>
  <c r="AW190" i="12" s="1"/>
  <c r="S190" i="12"/>
  <c r="AV190" i="12" s="1"/>
  <c r="Q190" i="12"/>
  <c r="AU190" i="12" s="1"/>
  <c r="O190" i="12"/>
  <c r="AT190" i="12" s="1"/>
  <c r="BL189" i="12"/>
  <c r="BK189" i="12"/>
  <c r="BJ189" i="12"/>
  <c r="BI189" i="12"/>
  <c r="AR189" i="12"/>
  <c r="AE189" i="12"/>
  <c r="BA189" i="12" s="1"/>
  <c r="AC189" i="12"/>
  <c r="AZ189" i="12" s="1"/>
  <c r="AA189" i="12"/>
  <c r="Y189" i="12"/>
  <c r="AY189" i="12" s="1"/>
  <c r="W189" i="12"/>
  <c r="AX189" i="12" s="1"/>
  <c r="U189" i="12"/>
  <c r="AW189" i="12" s="1"/>
  <c r="S189" i="12"/>
  <c r="AV189" i="12" s="1"/>
  <c r="Q189" i="12"/>
  <c r="AU189" i="12" s="1"/>
  <c r="O189" i="12"/>
  <c r="AT189" i="12" s="1"/>
  <c r="O187" i="12"/>
  <c r="AT187" i="12" s="1"/>
  <c r="Q187" i="12"/>
  <c r="AU187" i="12" s="1"/>
  <c r="S187" i="12"/>
  <c r="AV187" i="12" s="1"/>
  <c r="U187" i="12"/>
  <c r="AW187" i="12" s="1"/>
  <c r="W187" i="12"/>
  <c r="AX187" i="12" s="1"/>
  <c r="Y187" i="12"/>
  <c r="AY187" i="12" s="1"/>
  <c r="AA187" i="12"/>
  <c r="AC187" i="12"/>
  <c r="AZ187" i="12" s="1"/>
  <c r="AE187" i="12"/>
  <c r="BA187" i="12" s="1"/>
  <c r="AR187" i="12"/>
  <c r="BI187" i="12"/>
  <c r="BJ187" i="12"/>
  <c r="BK187" i="12"/>
  <c r="BL187" i="12"/>
  <c r="BL210" i="12"/>
  <c r="BK210" i="12"/>
  <c r="BJ210" i="12"/>
  <c r="BI210" i="12"/>
  <c r="AR210" i="12"/>
  <c r="AE210" i="12"/>
  <c r="BA210" i="12" s="1"/>
  <c r="AC210" i="12"/>
  <c r="AZ210" i="12" s="1"/>
  <c r="AA210" i="12"/>
  <c r="Y210" i="12"/>
  <c r="AY210" i="12" s="1"/>
  <c r="W210" i="12"/>
  <c r="AX210" i="12" s="1"/>
  <c r="U210" i="12"/>
  <c r="AW210" i="12" s="1"/>
  <c r="S210" i="12"/>
  <c r="AV210" i="12" s="1"/>
  <c r="Q210" i="12"/>
  <c r="AU210" i="12" s="1"/>
  <c r="O210" i="12"/>
  <c r="AT210" i="12" s="1"/>
  <c r="BL209" i="12"/>
  <c r="BK209" i="12"/>
  <c r="BJ209" i="12"/>
  <c r="BI209" i="12"/>
  <c r="AR209" i="12"/>
  <c r="AE209" i="12"/>
  <c r="BA209" i="12" s="1"/>
  <c r="AC209" i="12"/>
  <c r="AZ209" i="12" s="1"/>
  <c r="AA209" i="12"/>
  <c r="Y209" i="12"/>
  <c r="AY209" i="12" s="1"/>
  <c r="W209" i="12"/>
  <c r="AX209" i="12" s="1"/>
  <c r="U209" i="12"/>
  <c r="AW209" i="12" s="1"/>
  <c r="S209" i="12"/>
  <c r="AV209" i="12" s="1"/>
  <c r="Q209" i="12"/>
  <c r="AU209" i="12" s="1"/>
  <c r="O209" i="12"/>
  <c r="AT209" i="12" s="1"/>
  <c r="BL208" i="12"/>
  <c r="BK208" i="12"/>
  <c r="BJ208" i="12"/>
  <c r="BI208" i="12"/>
  <c r="AR208" i="12"/>
  <c r="AE208" i="12"/>
  <c r="BA208" i="12" s="1"/>
  <c r="AC208" i="12"/>
  <c r="AZ208" i="12" s="1"/>
  <c r="AA208" i="12"/>
  <c r="Y208" i="12"/>
  <c r="AY208" i="12" s="1"/>
  <c r="W208" i="12"/>
  <c r="AX208" i="12" s="1"/>
  <c r="U208" i="12"/>
  <c r="AW208" i="12" s="1"/>
  <c r="S208" i="12"/>
  <c r="AV208" i="12" s="1"/>
  <c r="Q208" i="12"/>
  <c r="AU208" i="12" s="1"/>
  <c r="O208" i="12"/>
  <c r="AT208" i="12" s="1"/>
  <c r="BL207" i="12"/>
  <c r="BK207" i="12"/>
  <c r="BJ207" i="12"/>
  <c r="BI207" i="12"/>
  <c r="AR207" i="12"/>
  <c r="AE207" i="12"/>
  <c r="BA207" i="12" s="1"/>
  <c r="AC207" i="12"/>
  <c r="AZ207" i="12" s="1"/>
  <c r="AA207" i="12"/>
  <c r="Y207" i="12"/>
  <c r="AY207" i="12" s="1"/>
  <c r="W207" i="12"/>
  <c r="AX207" i="12" s="1"/>
  <c r="U207" i="12"/>
  <c r="AW207" i="12" s="1"/>
  <c r="S207" i="12"/>
  <c r="AV207" i="12" s="1"/>
  <c r="Q207" i="12"/>
  <c r="AU207" i="12" s="1"/>
  <c r="O207" i="12"/>
  <c r="AT207" i="12" s="1"/>
  <c r="BL175" i="12"/>
  <c r="BK175" i="12"/>
  <c r="BJ175" i="12"/>
  <c r="BI175" i="12"/>
  <c r="AR175" i="12"/>
  <c r="AE175" i="12"/>
  <c r="BA175" i="12" s="1"/>
  <c r="AC175" i="12"/>
  <c r="AZ175" i="12" s="1"/>
  <c r="AA175" i="12"/>
  <c r="Y175" i="12"/>
  <c r="AY175" i="12" s="1"/>
  <c r="W175" i="12"/>
  <c r="AX175" i="12" s="1"/>
  <c r="U175" i="12"/>
  <c r="AW175" i="12" s="1"/>
  <c r="S175" i="12"/>
  <c r="AV175" i="12" s="1"/>
  <c r="Q175" i="12"/>
  <c r="AU175" i="12" s="1"/>
  <c r="O175" i="12"/>
  <c r="AT175" i="12" s="1"/>
  <c r="BL174" i="12"/>
  <c r="BK174" i="12"/>
  <c r="BJ174" i="12"/>
  <c r="BI174" i="12"/>
  <c r="AR174" i="12"/>
  <c r="AE174" i="12"/>
  <c r="BA174" i="12" s="1"/>
  <c r="AC174" i="12"/>
  <c r="AZ174" i="12" s="1"/>
  <c r="AA174" i="12"/>
  <c r="Y174" i="12"/>
  <c r="AY174" i="12" s="1"/>
  <c r="W174" i="12"/>
  <c r="AX174" i="12" s="1"/>
  <c r="U174" i="12"/>
  <c r="AW174" i="12" s="1"/>
  <c r="S174" i="12"/>
  <c r="AV174" i="12" s="1"/>
  <c r="Q174" i="12"/>
  <c r="AU174" i="12" s="1"/>
  <c r="O174" i="12"/>
  <c r="AT174" i="12" s="1"/>
  <c r="BL173" i="12"/>
  <c r="BK173" i="12"/>
  <c r="BJ173" i="12"/>
  <c r="BI173" i="12"/>
  <c r="AR173" i="12"/>
  <c r="AE173" i="12"/>
  <c r="BA173" i="12" s="1"/>
  <c r="AC173" i="12"/>
  <c r="AZ173" i="12" s="1"/>
  <c r="AA173" i="12"/>
  <c r="Y173" i="12"/>
  <c r="AY173" i="12" s="1"/>
  <c r="W173" i="12"/>
  <c r="AX173" i="12" s="1"/>
  <c r="U173" i="12"/>
  <c r="AW173" i="12" s="1"/>
  <c r="S173" i="12"/>
  <c r="AV173" i="12" s="1"/>
  <c r="Q173" i="12"/>
  <c r="AU173" i="12" s="1"/>
  <c r="O173" i="12"/>
  <c r="AT173" i="12" s="1"/>
  <c r="BL172" i="12"/>
  <c r="BK172" i="12"/>
  <c r="BJ172" i="12"/>
  <c r="BI172" i="12"/>
  <c r="AR172" i="12"/>
  <c r="AE172" i="12"/>
  <c r="BA172" i="12" s="1"/>
  <c r="AC172" i="12"/>
  <c r="AZ172" i="12" s="1"/>
  <c r="AA172" i="12"/>
  <c r="Y172" i="12"/>
  <c r="AY172" i="12" s="1"/>
  <c r="W172" i="12"/>
  <c r="AX172" i="12" s="1"/>
  <c r="U172" i="12"/>
  <c r="AW172" i="12" s="1"/>
  <c r="S172" i="12"/>
  <c r="AV172" i="12" s="1"/>
  <c r="Q172" i="12"/>
  <c r="AU172" i="12" s="1"/>
  <c r="O172" i="12"/>
  <c r="AT172" i="12" s="1"/>
  <c r="BL161" i="12"/>
  <c r="BK161" i="12"/>
  <c r="BJ161" i="12"/>
  <c r="BI161" i="12"/>
  <c r="AR161" i="12"/>
  <c r="AE161" i="12"/>
  <c r="BA161" i="12" s="1"/>
  <c r="AC161" i="12"/>
  <c r="AZ161" i="12" s="1"/>
  <c r="AA161" i="12"/>
  <c r="Y161" i="12"/>
  <c r="AY161" i="12" s="1"/>
  <c r="W161" i="12"/>
  <c r="AX161" i="12" s="1"/>
  <c r="U161" i="12"/>
  <c r="AW161" i="12" s="1"/>
  <c r="S161" i="12"/>
  <c r="AV161" i="12" s="1"/>
  <c r="Q161" i="12"/>
  <c r="AU161" i="12" s="1"/>
  <c r="O161" i="12"/>
  <c r="AT161" i="12" s="1"/>
  <c r="BL160" i="12"/>
  <c r="BK160" i="12"/>
  <c r="BJ160" i="12"/>
  <c r="BI160" i="12"/>
  <c r="AR160" i="12"/>
  <c r="AE160" i="12"/>
  <c r="BA160" i="12" s="1"/>
  <c r="AC160" i="12"/>
  <c r="AZ160" i="12" s="1"/>
  <c r="AA160" i="12"/>
  <c r="Y160" i="12"/>
  <c r="AY160" i="12" s="1"/>
  <c r="W160" i="12"/>
  <c r="AX160" i="12" s="1"/>
  <c r="U160" i="12"/>
  <c r="AW160" i="12" s="1"/>
  <c r="S160" i="12"/>
  <c r="AV160" i="12" s="1"/>
  <c r="Q160" i="12"/>
  <c r="AU160" i="12" s="1"/>
  <c r="O160" i="12"/>
  <c r="AT160" i="12" s="1"/>
  <c r="AS230" i="12" l="1"/>
  <c r="BB230" i="12" s="1"/>
  <c r="BH230" i="12"/>
  <c r="BE230" i="12" s="1"/>
  <c r="AS175" i="12"/>
  <c r="BB175" i="12" s="1"/>
  <c r="BH175" i="12"/>
  <c r="BE175" i="12" s="1"/>
  <c r="AS187" i="12"/>
  <c r="BB187" i="12" s="1"/>
  <c r="BF187" i="12" s="1"/>
  <c r="BG187" i="12" s="1"/>
  <c r="BH187" i="12"/>
  <c r="BE187" i="12" s="1"/>
  <c r="AS174" i="12"/>
  <c r="BB174" i="12" s="1"/>
  <c r="BF174" i="12" s="1"/>
  <c r="BG174" i="12" s="1"/>
  <c r="BH174" i="12"/>
  <c r="BE174" i="12" s="1"/>
  <c r="AS190" i="12"/>
  <c r="BB190" i="12" s="1"/>
  <c r="BF190" i="12" s="1"/>
  <c r="BG190" i="12" s="1"/>
  <c r="BH190" i="12"/>
  <c r="BE190" i="12" s="1"/>
  <c r="AS173" i="12"/>
  <c r="BB173" i="12" s="1"/>
  <c r="BF173" i="12" s="1"/>
  <c r="BG173" i="12" s="1"/>
  <c r="BH173" i="12"/>
  <c r="BE173" i="12" s="1"/>
  <c r="AS189" i="12"/>
  <c r="BB189" i="12" s="1"/>
  <c r="BF189" i="12" s="1"/>
  <c r="BG189" i="12" s="1"/>
  <c r="BH189" i="12"/>
  <c r="BE189" i="12" s="1"/>
  <c r="AS257" i="12"/>
  <c r="BB257" i="12" s="1"/>
  <c r="BF257" i="12" s="1"/>
  <c r="BG257" i="12" s="1"/>
  <c r="BH257" i="12"/>
  <c r="BE257" i="12" s="1"/>
  <c r="AS191" i="12"/>
  <c r="BB191" i="12" s="1"/>
  <c r="BF191" i="12" s="1"/>
  <c r="BG191" i="12" s="1"/>
  <c r="BH191" i="12"/>
  <c r="BE191" i="12" s="1"/>
  <c r="AS172" i="12"/>
  <c r="BB172" i="12" s="1"/>
  <c r="BF172" i="12" s="1"/>
  <c r="BG172" i="12" s="1"/>
  <c r="BH172" i="12"/>
  <c r="BE172" i="12" s="1"/>
  <c r="AS256" i="12"/>
  <c r="BB256" i="12" s="1"/>
  <c r="BF256" i="12" s="1"/>
  <c r="BG256" i="12" s="1"/>
  <c r="BH256" i="12"/>
  <c r="BE256" i="12" s="1"/>
  <c r="AS161" i="12"/>
  <c r="BB161" i="12" s="1"/>
  <c r="BF161" i="12" s="1"/>
  <c r="BG161" i="12" s="1"/>
  <c r="BH161" i="12"/>
  <c r="BE161" i="12" s="1"/>
  <c r="AS210" i="12"/>
  <c r="BB210" i="12" s="1"/>
  <c r="BF210" i="12" s="1"/>
  <c r="BG210" i="12" s="1"/>
  <c r="BH210" i="12"/>
  <c r="BE210" i="12" s="1"/>
  <c r="AS255" i="12"/>
  <c r="BB255" i="12" s="1"/>
  <c r="BF255" i="12" s="1"/>
  <c r="BG255" i="12" s="1"/>
  <c r="BH255" i="12"/>
  <c r="BE255" i="12" s="1"/>
  <c r="AS207" i="12"/>
  <c r="BB207" i="12" s="1"/>
  <c r="BF207" i="12" s="1"/>
  <c r="BG207" i="12" s="1"/>
  <c r="BH207" i="12"/>
  <c r="BE207" i="12" s="1"/>
  <c r="AS209" i="12"/>
  <c r="BB209" i="12" s="1"/>
  <c r="BF209" i="12" s="1"/>
  <c r="BG209" i="12" s="1"/>
  <c r="BH209" i="12"/>
  <c r="BE209" i="12" s="1"/>
  <c r="AS232" i="12"/>
  <c r="BB232" i="12" s="1"/>
  <c r="BF232" i="12" s="1"/>
  <c r="BG232" i="12" s="1"/>
  <c r="BH232" i="12"/>
  <c r="BE232" i="12" s="1"/>
  <c r="AS160" i="12"/>
  <c r="BB160" i="12" s="1"/>
  <c r="BF160" i="12" s="1"/>
  <c r="BG160" i="12" s="1"/>
  <c r="BH160" i="12"/>
  <c r="BE160" i="12" s="1"/>
  <c r="AS208" i="12"/>
  <c r="BB208" i="12" s="1"/>
  <c r="BF208" i="12" s="1"/>
  <c r="BG208" i="12" s="1"/>
  <c r="BH208" i="12"/>
  <c r="BE208" i="12" s="1"/>
  <c r="AS231" i="12"/>
  <c r="BB231" i="12" s="1"/>
  <c r="BF231" i="12" s="1"/>
  <c r="BG231" i="12" s="1"/>
  <c r="BH231" i="12"/>
  <c r="BE231" i="12" s="1"/>
  <c r="BF175" i="12"/>
  <c r="BG175" i="12" s="1"/>
  <c r="BF230" i="12"/>
  <c r="BG230" i="12" s="1"/>
  <c r="BL130" i="12"/>
  <c r="BK130" i="12"/>
  <c r="BJ130" i="12"/>
  <c r="BI130" i="12"/>
  <c r="AR130" i="12"/>
  <c r="AE130" i="12"/>
  <c r="BA130" i="12" s="1"/>
  <c r="AC130" i="12"/>
  <c r="AZ130" i="12" s="1"/>
  <c r="AA130" i="12"/>
  <c r="Y130" i="12"/>
  <c r="AY130" i="12" s="1"/>
  <c r="W130" i="12"/>
  <c r="AX130" i="12" s="1"/>
  <c r="U130" i="12"/>
  <c r="AW130" i="12" s="1"/>
  <c r="S130" i="12"/>
  <c r="AV130" i="12" s="1"/>
  <c r="Q130" i="12"/>
  <c r="AU130" i="12" s="1"/>
  <c r="O130" i="12"/>
  <c r="AT130" i="12" s="1"/>
  <c r="BL129" i="12"/>
  <c r="BK129" i="12"/>
  <c r="BJ129" i="12"/>
  <c r="BI129" i="12"/>
  <c r="AR129" i="12"/>
  <c r="AE129" i="12"/>
  <c r="BA129" i="12" s="1"/>
  <c r="AC129" i="12"/>
  <c r="AZ129" i="12" s="1"/>
  <c r="AA129" i="12"/>
  <c r="Y129" i="12"/>
  <c r="AY129" i="12" s="1"/>
  <c r="W129" i="12"/>
  <c r="AX129" i="12" s="1"/>
  <c r="U129" i="12"/>
  <c r="AW129" i="12" s="1"/>
  <c r="S129" i="12"/>
  <c r="AV129" i="12" s="1"/>
  <c r="Q129" i="12"/>
  <c r="AU129" i="12" s="1"/>
  <c r="O129" i="12"/>
  <c r="AT129" i="12" s="1"/>
  <c r="BL59" i="12"/>
  <c r="BK59" i="12"/>
  <c r="BJ59" i="12"/>
  <c r="BI59" i="12"/>
  <c r="AR59" i="12"/>
  <c r="AE59" i="12"/>
  <c r="BA59" i="12" s="1"/>
  <c r="AC59" i="12"/>
  <c r="AZ59" i="12" s="1"/>
  <c r="AA59" i="12"/>
  <c r="Y59" i="12"/>
  <c r="AY59" i="12" s="1"/>
  <c r="W59" i="12"/>
  <c r="AX59" i="12" s="1"/>
  <c r="U59" i="12"/>
  <c r="AW59" i="12" s="1"/>
  <c r="S59" i="12"/>
  <c r="AV59" i="12" s="1"/>
  <c r="Q59" i="12"/>
  <c r="AU59" i="12" s="1"/>
  <c r="O59" i="12"/>
  <c r="AT59" i="12" s="1"/>
  <c r="BL58" i="12"/>
  <c r="BK58" i="12"/>
  <c r="BJ58" i="12"/>
  <c r="BI58" i="12"/>
  <c r="AR58" i="12"/>
  <c r="AE58" i="12"/>
  <c r="BA58" i="12" s="1"/>
  <c r="AC58" i="12"/>
  <c r="AZ58" i="12" s="1"/>
  <c r="AA58" i="12"/>
  <c r="Y58" i="12"/>
  <c r="AY58" i="12" s="1"/>
  <c r="W58" i="12"/>
  <c r="AX58" i="12" s="1"/>
  <c r="U58" i="12"/>
  <c r="AW58" i="12" s="1"/>
  <c r="S58" i="12"/>
  <c r="AV58" i="12" s="1"/>
  <c r="Q58" i="12"/>
  <c r="AU58" i="12" s="1"/>
  <c r="O58" i="12"/>
  <c r="AT58" i="12" s="1"/>
  <c r="AS59" i="12" l="1"/>
  <c r="BB59" i="12" s="1"/>
  <c r="BF59" i="12" s="1"/>
  <c r="BG59" i="12" s="1"/>
  <c r="BH59" i="12"/>
  <c r="BE59" i="12" s="1"/>
  <c r="AS58" i="12"/>
  <c r="BB58" i="12" s="1"/>
  <c r="BF58" i="12" s="1"/>
  <c r="BG58" i="12" s="1"/>
  <c r="BH58" i="12"/>
  <c r="BE58" i="12" s="1"/>
  <c r="AS130" i="12"/>
  <c r="BB130" i="12" s="1"/>
  <c r="BF130" i="12" s="1"/>
  <c r="BG130" i="12" s="1"/>
  <c r="BH130" i="12"/>
  <c r="BE130" i="12" s="1"/>
  <c r="AS129" i="12"/>
  <c r="BB129" i="12" s="1"/>
  <c r="BF129" i="12" s="1"/>
  <c r="BG129" i="12" s="1"/>
  <c r="BH129" i="12"/>
  <c r="BE129" i="12" s="1"/>
  <c r="BC172" i="12"/>
  <c r="BD172" i="12"/>
  <c r="BC231" i="12"/>
  <c r="BD231" i="12"/>
  <c r="BC160" i="12"/>
  <c r="BC173" i="12"/>
  <c r="BD173" i="12"/>
  <c r="BC255" i="12"/>
  <c r="BD255" i="12"/>
  <c r="BD257" i="12"/>
  <c r="BC257" i="12"/>
  <c r="BC256" i="12"/>
  <c r="BD256" i="12"/>
  <c r="BC230" i="12"/>
  <c r="BD230" i="12"/>
  <c r="BD232" i="12"/>
  <c r="BC232" i="12"/>
  <c r="BD190" i="12"/>
  <c r="BC190" i="12"/>
  <c r="BC189" i="12"/>
  <c r="BD189" i="12"/>
  <c r="BD191" i="12"/>
  <c r="BC191" i="12"/>
  <c r="BC187" i="12"/>
  <c r="BD187" i="12"/>
  <c r="BD160" i="12"/>
  <c r="BD210" i="12"/>
  <c r="BC210" i="12"/>
  <c r="BD207" i="12"/>
  <c r="BC207" i="12"/>
  <c r="BC208" i="12"/>
  <c r="BD208" i="12"/>
  <c r="BC209" i="12"/>
  <c r="BD209" i="12"/>
  <c r="BD175" i="12"/>
  <c r="BC175" i="12"/>
  <c r="BD174" i="12"/>
  <c r="BC174" i="12"/>
  <c r="BD161" i="12"/>
  <c r="BC161" i="12"/>
  <c r="O82" i="12"/>
  <c r="BD130" i="12" l="1"/>
  <c r="BC130" i="12"/>
  <c r="BC129" i="12"/>
  <c r="BD129" i="12"/>
  <c r="BD59" i="12"/>
  <c r="BC59" i="12"/>
  <c r="BD58" i="12"/>
  <c r="BC58" i="12"/>
  <c r="BL134" i="12"/>
  <c r="BK134" i="12"/>
  <c r="BJ134" i="12"/>
  <c r="BI134" i="12"/>
  <c r="AR134" i="12"/>
  <c r="AE134" i="12"/>
  <c r="BA134" i="12" s="1"/>
  <c r="AC134" i="12"/>
  <c r="AZ134" i="12" s="1"/>
  <c r="AA134" i="12"/>
  <c r="Y134" i="12"/>
  <c r="AY134" i="12" s="1"/>
  <c r="W134" i="12"/>
  <c r="AX134" i="12" s="1"/>
  <c r="U134" i="12"/>
  <c r="AW134" i="12" s="1"/>
  <c r="S134" i="12"/>
  <c r="AV134" i="12" s="1"/>
  <c r="Q134" i="12"/>
  <c r="AU134" i="12" s="1"/>
  <c r="O134" i="12"/>
  <c r="AT134" i="12" s="1"/>
  <c r="BL55" i="12"/>
  <c r="BK55" i="12"/>
  <c r="BJ55" i="12"/>
  <c r="BI55" i="12"/>
  <c r="AR55" i="12"/>
  <c r="AE55" i="12"/>
  <c r="BA55" i="12" s="1"/>
  <c r="AC55" i="12"/>
  <c r="AZ55" i="12" s="1"/>
  <c r="AA55" i="12"/>
  <c r="Y55" i="12"/>
  <c r="AY55" i="12" s="1"/>
  <c r="W55" i="12"/>
  <c r="AX55" i="12" s="1"/>
  <c r="U55" i="12"/>
  <c r="AW55" i="12" s="1"/>
  <c r="S55" i="12"/>
  <c r="AV55" i="12" s="1"/>
  <c r="Q55" i="12"/>
  <c r="AU55" i="12" s="1"/>
  <c r="O55" i="12"/>
  <c r="AT55" i="12" s="1"/>
  <c r="AS134" i="12" l="1"/>
  <c r="BB134" i="12" s="1"/>
  <c r="BF134" i="12" s="1"/>
  <c r="BG134" i="12" s="1"/>
  <c r="BH134" i="12"/>
  <c r="BE134" i="12" s="1"/>
  <c r="AS55" i="12"/>
  <c r="BB55" i="12" s="1"/>
  <c r="BF55" i="12" s="1"/>
  <c r="BG55" i="12" s="1"/>
  <c r="BH55" i="12"/>
  <c r="BE55" i="12" s="1"/>
  <c r="Q79" i="12"/>
  <c r="BD134" i="12" l="1"/>
  <c r="BC134" i="12"/>
  <c r="BD55" i="12"/>
  <c r="BC55" i="12"/>
  <c r="BL145" i="12"/>
  <c r="BK145" i="12"/>
  <c r="BJ145" i="12"/>
  <c r="BI145" i="12"/>
  <c r="AR145" i="12"/>
  <c r="AE145" i="12"/>
  <c r="BA145" i="12" s="1"/>
  <c r="AC145" i="12"/>
  <c r="AZ145" i="12" s="1"/>
  <c r="AA145" i="12"/>
  <c r="Y145" i="12"/>
  <c r="AY145" i="12" s="1"/>
  <c r="W145" i="12"/>
  <c r="AX145" i="12" s="1"/>
  <c r="U145" i="12"/>
  <c r="AW145" i="12" s="1"/>
  <c r="S145" i="12"/>
  <c r="AV145" i="12" s="1"/>
  <c r="Q145" i="12"/>
  <c r="AU145" i="12" s="1"/>
  <c r="O145" i="12"/>
  <c r="AT145" i="12" s="1"/>
  <c r="BL53" i="12"/>
  <c r="BK53" i="12"/>
  <c r="BJ53" i="12"/>
  <c r="BI53" i="12"/>
  <c r="AR53" i="12"/>
  <c r="AE53" i="12"/>
  <c r="BA53" i="12" s="1"/>
  <c r="AC53" i="12"/>
  <c r="AZ53" i="12" s="1"/>
  <c r="AA53" i="12"/>
  <c r="Y53" i="12"/>
  <c r="AY53" i="12" s="1"/>
  <c r="W53" i="12"/>
  <c r="AX53" i="12" s="1"/>
  <c r="U53" i="12"/>
  <c r="AW53" i="12" s="1"/>
  <c r="S53" i="12"/>
  <c r="AV53" i="12" s="1"/>
  <c r="Q53" i="12"/>
  <c r="AU53" i="12" s="1"/>
  <c r="O53" i="12"/>
  <c r="AT53" i="12" s="1"/>
  <c r="BL46" i="12"/>
  <c r="BK46" i="12"/>
  <c r="BJ46" i="12"/>
  <c r="BI46" i="12"/>
  <c r="AR46" i="12"/>
  <c r="AE46" i="12"/>
  <c r="AC46" i="12"/>
  <c r="AA46" i="12"/>
  <c r="Y46" i="12"/>
  <c r="W46" i="12"/>
  <c r="U46" i="12"/>
  <c r="S46" i="12"/>
  <c r="AV46" i="12" s="1"/>
  <c r="Q46" i="12"/>
  <c r="AU46" i="12" s="1"/>
  <c r="O46" i="12"/>
  <c r="AS145" i="12" l="1"/>
  <c r="BB145" i="12" s="1"/>
  <c r="BH145" i="12"/>
  <c r="BE145" i="12" s="1"/>
  <c r="AS53" i="12"/>
  <c r="BB53" i="12" s="1"/>
  <c r="BF53" i="12" s="1"/>
  <c r="BG53" i="12" s="1"/>
  <c r="BH53" i="12"/>
  <c r="BE53" i="12" s="1"/>
  <c r="AS46" i="12"/>
  <c r="BB46" i="12" s="1"/>
  <c r="BH46" i="12"/>
  <c r="BE46" i="12" s="1"/>
  <c r="BF145" i="12"/>
  <c r="BG145" i="12" s="1"/>
  <c r="AW46" i="12"/>
  <c r="AY46" i="12"/>
  <c r="AZ46" i="12"/>
  <c r="BA46" i="12"/>
  <c r="AT46" i="12"/>
  <c r="AX46" i="12"/>
  <c r="BF46" i="12" l="1"/>
  <c r="BG46" i="12" s="1"/>
  <c r="BD145" i="12"/>
  <c r="BC145" i="12"/>
  <c r="BD53" i="12"/>
  <c r="BC53" i="12"/>
  <c r="BC46" i="12" l="1"/>
  <c r="BD46" i="12"/>
  <c r="O395" i="12" l="1"/>
  <c r="AW314" i="9" l="1"/>
  <c r="AX314" i="9"/>
  <c r="AC314" i="9"/>
  <c r="AZ314" i="9" s="1"/>
  <c r="AR314" i="9"/>
  <c r="AS314" i="9" s="1"/>
  <c r="AE314" i="9"/>
  <c r="BA314" i="9" s="1"/>
  <c r="AV19" i="3" l="1"/>
  <c r="AV20" i="3"/>
  <c r="AV46" i="3"/>
  <c r="AV47" i="3"/>
  <c r="AU19" i="3"/>
  <c r="AU20" i="3"/>
  <c r="AU46" i="3"/>
  <c r="AU47" i="3"/>
  <c r="AT19" i="3"/>
  <c r="AT20" i="3"/>
  <c r="AT46" i="3"/>
  <c r="AT47" i="3"/>
  <c r="AV11" i="9"/>
  <c r="AV12" i="9"/>
  <c r="AV24" i="9"/>
  <c r="AV25" i="9"/>
  <c r="AV46" i="9"/>
  <c r="AV47" i="9"/>
  <c r="AV50" i="9"/>
  <c r="AV51" i="9"/>
  <c r="AV112" i="9"/>
  <c r="AV113" i="9"/>
  <c r="AV153" i="9"/>
  <c r="AV154" i="9"/>
  <c r="AV200" i="9"/>
  <c r="AV201" i="9"/>
  <c r="AV231" i="9"/>
  <c r="AV232" i="9"/>
  <c r="AV246" i="9"/>
  <c r="AV247" i="9"/>
  <c r="AV282" i="9"/>
  <c r="AV300" i="9"/>
  <c r="AV301" i="9"/>
  <c r="AV310" i="9"/>
  <c r="AV311" i="9"/>
  <c r="AU11" i="9"/>
  <c r="AU12" i="9"/>
  <c r="AU24" i="9"/>
  <c r="AU25" i="9"/>
  <c r="AU46" i="9"/>
  <c r="AU47" i="9"/>
  <c r="AU50" i="9"/>
  <c r="AU51" i="9"/>
  <c r="AU112" i="9"/>
  <c r="AU113" i="9"/>
  <c r="AU153" i="9"/>
  <c r="AU154" i="9"/>
  <c r="AU200" i="9"/>
  <c r="AU201" i="9"/>
  <c r="AU231" i="9"/>
  <c r="AU232" i="9"/>
  <c r="AU246" i="9"/>
  <c r="AU247" i="9"/>
  <c r="AU282" i="9"/>
  <c r="AU300" i="9"/>
  <c r="AU301" i="9"/>
  <c r="AU310" i="9"/>
  <c r="AU311" i="9"/>
  <c r="AT11" i="9"/>
  <c r="AT12" i="9"/>
  <c r="AT24" i="9"/>
  <c r="AT25" i="9"/>
  <c r="AT46" i="9"/>
  <c r="AT47" i="9"/>
  <c r="AT50" i="9"/>
  <c r="AT51" i="9"/>
  <c r="AT112" i="9"/>
  <c r="AT113" i="9"/>
  <c r="AT153" i="9"/>
  <c r="AT154" i="9"/>
  <c r="AT200" i="9"/>
  <c r="AT201" i="9"/>
  <c r="AT231" i="9"/>
  <c r="AT232" i="9"/>
  <c r="AT246" i="9"/>
  <c r="AT247" i="9"/>
  <c r="AT282" i="9"/>
  <c r="AT300" i="9"/>
  <c r="AT301" i="9"/>
  <c r="AT310" i="9"/>
  <c r="AT311" i="9"/>
  <c r="AV11" i="8"/>
  <c r="AV12" i="8"/>
  <c r="AV19" i="8"/>
  <c r="AV20" i="8"/>
  <c r="AV63" i="8"/>
  <c r="AV64" i="8"/>
  <c r="AV82" i="8"/>
  <c r="AV83" i="8"/>
  <c r="AV131" i="8"/>
  <c r="AV132" i="8"/>
  <c r="AV159" i="8"/>
  <c r="AV160" i="8"/>
  <c r="AU11" i="8"/>
  <c r="AU12" i="8"/>
  <c r="AU19" i="8"/>
  <c r="AU20" i="8"/>
  <c r="AU63" i="8"/>
  <c r="AU64" i="8"/>
  <c r="AU82" i="8"/>
  <c r="AU83" i="8"/>
  <c r="AU131" i="8"/>
  <c r="AU132" i="8"/>
  <c r="AU159" i="8"/>
  <c r="AU160" i="8"/>
  <c r="AT11" i="8"/>
  <c r="AT12" i="8"/>
  <c r="AT19" i="8"/>
  <c r="AT20" i="8"/>
  <c r="AT63" i="8"/>
  <c r="AT64" i="8"/>
  <c r="AT82" i="8"/>
  <c r="AT83" i="8"/>
  <c r="AT131" i="8"/>
  <c r="AT132" i="8"/>
  <c r="AT159" i="8"/>
  <c r="AT160" i="8"/>
  <c r="AV10" i="12"/>
  <c r="AV22" i="12"/>
  <c r="AV23" i="12"/>
  <c r="AV33" i="12"/>
  <c r="AV34" i="12"/>
  <c r="AV319" i="12"/>
  <c r="AV320" i="12"/>
  <c r="AV321" i="12"/>
  <c r="AV322" i="12"/>
  <c r="AV356" i="12"/>
  <c r="AV357" i="12"/>
  <c r="AV363" i="12"/>
  <c r="AV364" i="12"/>
  <c r="AV395" i="12"/>
  <c r="AV396" i="12"/>
  <c r="AU10" i="12"/>
  <c r="AU22" i="12"/>
  <c r="AU23" i="12"/>
  <c r="AU33" i="12"/>
  <c r="AU34" i="12"/>
  <c r="AU319" i="12"/>
  <c r="AU320" i="12"/>
  <c r="AU321" i="12"/>
  <c r="AU322" i="12"/>
  <c r="AU356" i="12"/>
  <c r="AU357" i="12"/>
  <c r="AU363" i="12"/>
  <c r="AU364" i="12"/>
  <c r="AU395" i="12"/>
  <c r="AU396" i="12"/>
  <c r="AT10" i="12"/>
  <c r="AT22" i="12"/>
  <c r="AT23" i="12"/>
  <c r="AT33" i="12"/>
  <c r="AT34" i="12"/>
  <c r="AT319" i="12"/>
  <c r="AT320" i="12"/>
  <c r="AT321" i="12"/>
  <c r="AT322" i="12"/>
  <c r="AT356" i="12"/>
  <c r="AT357" i="12"/>
  <c r="AT363" i="12"/>
  <c r="AT364" i="12"/>
  <c r="AT395" i="12"/>
  <c r="AT396" i="12"/>
  <c r="AV5" i="11"/>
  <c r="AU5" i="11"/>
  <c r="AT5" i="11"/>
  <c r="AV12" i="7"/>
  <c r="AV17" i="7"/>
  <c r="AV39" i="7"/>
  <c r="AV40" i="7"/>
  <c r="AV67" i="7"/>
  <c r="AV68" i="7"/>
  <c r="AV74" i="7"/>
  <c r="AV75" i="7"/>
  <c r="AU12" i="7"/>
  <c r="AU17" i="7"/>
  <c r="AU39" i="7"/>
  <c r="AU40" i="7"/>
  <c r="AU67" i="7"/>
  <c r="AU68" i="7"/>
  <c r="AU74" i="7"/>
  <c r="AU75" i="7"/>
  <c r="AT12" i="7"/>
  <c r="AT17" i="7"/>
  <c r="AT39" i="7"/>
  <c r="AT40" i="7"/>
  <c r="AT67" i="7"/>
  <c r="AT68" i="7"/>
  <c r="AT74" i="7"/>
  <c r="AT75" i="7"/>
  <c r="BK5" i="7" l="1"/>
  <c r="BK6" i="7"/>
  <c r="BK7" i="7"/>
  <c r="BK8" i="7"/>
  <c r="BK9" i="7"/>
  <c r="BK10" i="7"/>
  <c r="BK11" i="7"/>
  <c r="BK12" i="7"/>
  <c r="BK13" i="7"/>
  <c r="BK14" i="7"/>
  <c r="BK15" i="7"/>
  <c r="BK16" i="7"/>
  <c r="BK17" i="7"/>
  <c r="BK18" i="7"/>
  <c r="BK19" i="7"/>
  <c r="BK20" i="7"/>
  <c r="BK21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47" i="7"/>
  <c r="BK48" i="7"/>
  <c r="BK49" i="7"/>
  <c r="BK50" i="7"/>
  <c r="BK51" i="7"/>
  <c r="BK52" i="7"/>
  <c r="BK53" i="7"/>
  <c r="BK54" i="7"/>
  <c r="BK55" i="7"/>
  <c r="BK56" i="7"/>
  <c r="BK57" i="7"/>
  <c r="BK58" i="7"/>
  <c r="BK59" i="7"/>
  <c r="BK60" i="7"/>
  <c r="BK61" i="7"/>
  <c r="BK62" i="7"/>
  <c r="BK63" i="7"/>
  <c r="BK64" i="7"/>
  <c r="BK65" i="7"/>
  <c r="BK66" i="7"/>
  <c r="BK67" i="7"/>
  <c r="BK68" i="7"/>
  <c r="BK69" i="7"/>
  <c r="BK70" i="7"/>
  <c r="BK71" i="7"/>
  <c r="BK72" i="7"/>
  <c r="BK73" i="7"/>
  <c r="BK74" i="7"/>
  <c r="BK75" i="7"/>
  <c r="BK76" i="7"/>
  <c r="BK77" i="7"/>
  <c r="BK78" i="7"/>
  <c r="BK79" i="7"/>
  <c r="BK80" i="7"/>
  <c r="BK81" i="7"/>
  <c r="BK82" i="7"/>
  <c r="BK83" i="7"/>
  <c r="BK84" i="7"/>
  <c r="BK85" i="7"/>
  <c r="BK86" i="7"/>
  <c r="BK87" i="7"/>
  <c r="BK88" i="7"/>
  <c r="BK89" i="7"/>
  <c r="BK90" i="7"/>
  <c r="BK91" i="7"/>
  <c r="BK92" i="7"/>
  <c r="BK93" i="7"/>
  <c r="BK94" i="7"/>
  <c r="BK95" i="7"/>
  <c r="BK96" i="7"/>
  <c r="BK97" i="7"/>
  <c r="BK98" i="7"/>
  <c r="O78" i="12" l="1"/>
  <c r="AT78" i="12" s="1"/>
  <c r="AR427" i="12" l="1"/>
  <c r="BH427" i="12" s="1"/>
  <c r="BE427" i="12" s="1"/>
  <c r="AR426" i="12"/>
  <c r="BH426" i="12" s="1"/>
  <c r="BE426" i="12" s="1"/>
  <c r="AR425" i="12"/>
  <c r="BH425" i="12" s="1"/>
  <c r="BE425" i="12" s="1"/>
  <c r="AR424" i="12"/>
  <c r="BH424" i="12" s="1"/>
  <c r="BE424" i="12" s="1"/>
  <c r="AR423" i="12"/>
  <c r="BH423" i="12" s="1"/>
  <c r="BE423" i="12" s="1"/>
  <c r="AR422" i="12"/>
  <c r="BH422" i="12" s="1"/>
  <c r="BE422" i="12" s="1"/>
  <c r="AR421" i="12"/>
  <c r="BH421" i="12" s="1"/>
  <c r="BE421" i="12" s="1"/>
  <c r="AR420" i="12"/>
  <c r="BH420" i="12" s="1"/>
  <c r="BE420" i="12" s="1"/>
  <c r="AR419" i="12"/>
  <c r="BH419" i="12" s="1"/>
  <c r="BE419" i="12" s="1"/>
  <c r="AR418" i="12"/>
  <c r="BH418" i="12" s="1"/>
  <c r="BE418" i="12" s="1"/>
  <c r="AR417" i="12"/>
  <c r="BH417" i="12" s="1"/>
  <c r="BE417" i="12" s="1"/>
  <c r="AR416" i="12"/>
  <c r="BH416" i="12" s="1"/>
  <c r="BE416" i="12" s="1"/>
  <c r="AR414" i="12"/>
  <c r="BH414" i="12" s="1"/>
  <c r="AR409" i="12"/>
  <c r="BH409" i="12" s="1"/>
  <c r="AR406" i="12"/>
  <c r="BH406" i="12" s="1"/>
  <c r="AR402" i="12"/>
  <c r="BH402" i="12" s="1"/>
  <c r="AR399" i="12"/>
  <c r="BH399" i="12" s="1"/>
  <c r="AR392" i="12"/>
  <c r="BH392" i="12" s="1"/>
  <c r="BE392" i="12" s="1"/>
  <c r="AR380" i="12"/>
  <c r="BH380" i="12" s="1"/>
  <c r="AR379" i="12"/>
  <c r="BH379" i="12" s="1"/>
  <c r="AR376" i="12"/>
  <c r="BH376" i="12" s="1"/>
  <c r="AR375" i="12"/>
  <c r="BH375" i="12" s="1"/>
  <c r="AR373" i="12"/>
  <c r="BH373" i="12" s="1"/>
  <c r="AR370" i="12"/>
  <c r="BH370" i="12" s="1"/>
  <c r="AR368" i="12"/>
  <c r="BH368" i="12" s="1"/>
  <c r="AR366" i="12"/>
  <c r="BH366" i="12" s="1"/>
  <c r="AR362" i="12"/>
  <c r="BH362" i="12" s="1"/>
  <c r="BE362" i="12" s="1"/>
  <c r="AR360" i="12"/>
  <c r="BH360" i="12" s="1"/>
  <c r="BE360" i="12" s="1"/>
  <c r="AR359" i="12"/>
  <c r="BH359" i="12" s="1"/>
  <c r="BE359" i="12" s="1"/>
  <c r="AR355" i="12"/>
  <c r="BH355" i="12" s="1"/>
  <c r="BE355" i="12" s="1"/>
  <c r="AR351" i="12"/>
  <c r="BH351" i="12" s="1"/>
  <c r="BE351" i="12" s="1"/>
  <c r="AR344" i="12"/>
  <c r="BH344" i="12" s="1"/>
  <c r="BE344" i="12" s="1"/>
  <c r="AR343" i="12"/>
  <c r="BH343" i="12" s="1"/>
  <c r="BE343" i="12" s="1"/>
  <c r="AR342" i="12"/>
  <c r="BH342" i="12" s="1"/>
  <c r="BE342" i="12" s="1"/>
  <c r="AR337" i="12"/>
  <c r="BH337" i="12" s="1"/>
  <c r="BE337" i="12" s="1"/>
  <c r="AR333" i="12"/>
  <c r="BH333" i="12" s="1"/>
  <c r="BE333" i="12" s="1"/>
  <c r="AR332" i="12"/>
  <c r="BH332" i="12" s="1"/>
  <c r="BE332" i="12" s="1"/>
  <c r="AR315" i="12"/>
  <c r="BH315" i="12" s="1"/>
  <c r="BE315" i="12" s="1"/>
  <c r="AR313" i="12"/>
  <c r="BH313" i="12" s="1"/>
  <c r="BE313" i="12" s="1"/>
  <c r="AR311" i="12"/>
  <c r="BH311" i="12" s="1"/>
  <c r="BE311" i="12" s="1"/>
  <c r="AR310" i="12"/>
  <c r="BH310" i="12" s="1"/>
  <c r="BE310" i="12" s="1"/>
  <c r="AR309" i="12"/>
  <c r="BH309" i="12" s="1"/>
  <c r="BE309" i="12" s="1"/>
  <c r="AR308" i="12"/>
  <c r="BH308" i="12" s="1"/>
  <c r="BE308" i="12" s="1"/>
  <c r="AR307" i="12"/>
  <c r="BH307" i="12" s="1"/>
  <c r="BE307" i="12" s="1"/>
  <c r="AR305" i="12"/>
  <c r="BH305" i="12" s="1"/>
  <c r="BE305" i="12" s="1"/>
  <c r="AR304" i="12"/>
  <c r="BH304" i="12" s="1"/>
  <c r="BE304" i="12" s="1"/>
  <c r="AR299" i="12"/>
  <c r="BH299" i="12" s="1"/>
  <c r="BE299" i="12" s="1"/>
  <c r="AR298" i="12"/>
  <c r="BH298" i="12" s="1"/>
  <c r="BE298" i="12" s="1"/>
  <c r="AR296" i="12"/>
  <c r="BH296" i="12" s="1"/>
  <c r="BE296" i="12" s="1"/>
  <c r="AR295" i="12"/>
  <c r="BH295" i="12" s="1"/>
  <c r="BE295" i="12" s="1"/>
  <c r="AR294" i="12"/>
  <c r="BH294" i="12" s="1"/>
  <c r="BE294" i="12" s="1"/>
  <c r="AR293" i="12"/>
  <c r="BH293" i="12" s="1"/>
  <c r="BE293" i="12" s="1"/>
  <c r="AR291" i="12"/>
  <c r="BH291" i="12" s="1"/>
  <c r="BE291" i="12" s="1"/>
  <c r="AR290" i="12"/>
  <c r="BH290" i="12" s="1"/>
  <c r="BE290" i="12" s="1"/>
  <c r="AR286" i="12"/>
  <c r="BH286" i="12" s="1"/>
  <c r="BE286" i="12" s="1"/>
  <c r="AR284" i="12"/>
  <c r="BH284" i="12" s="1"/>
  <c r="BE284" i="12" s="1"/>
  <c r="AR282" i="12"/>
  <c r="BH282" i="12" s="1"/>
  <c r="BE282" i="12" s="1"/>
  <c r="AR281" i="12"/>
  <c r="BH281" i="12" s="1"/>
  <c r="BE281" i="12" s="1"/>
  <c r="AR279" i="12"/>
  <c r="BH279" i="12" s="1"/>
  <c r="BE279" i="12" s="1"/>
  <c r="AR278" i="12"/>
  <c r="BH278" i="12" s="1"/>
  <c r="BE278" i="12" s="1"/>
  <c r="AR273" i="12"/>
  <c r="BH273" i="12" s="1"/>
  <c r="BE273" i="12" s="1"/>
  <c r="AR272" i="12"/>
  <c r="BH272" i="12" s="1"/>
  <c r="BE272" i="12" s="1"/>
  <c r="AR270" i="12"/>
  <c r="BH270" i="12" s="1"/>
  <c r="BE270" i="12" s="1"/>
  <c r="AR269" i="12"/>
  <c r="BH269" i="12" s="1"/>
  <c r="BE269" i="12" s="1"/>
  <c r="AR267" i="12"/>
  <c r="BH267" i="12" s="1"/>
  <c r="BE267" i="12" s="1"/>
  <c r="AR266" i="12"/>
  <c r="BH266" i="12" s="1"/>
  <c r="BE266" i="12" s="1"/>
  <c r="AR262" i="12"/>
  <c r="BH262" i="12" s="1"/>
  <c r="BE262" i="12" s="1"/>
  <c r="AR260" i="12"/>
  <c r="BH260" i="12" s="1"/>
  <c r="BE260" i="12" s="1"/>
  <c r="AR259" i="12"/>
  <c r="BH259" i="12" s="1"/>
  <c r="BE259" i="12" s="1"/>
  <c r="AR254" i="12"/>
  <c r="BH254" i="12" s="1"/>
  <c r="BE254" i="12" s="1"/>
  <c r="AR253" i="12"/>
  <c r="BH253" i="12" s="1"/>
  <c r="BE253" i="12" s="1"/>
  <c r="AR251" i="12"/>
  <c r="BH251" i="12" s="1"/>
  <c r="BE251" i="12" s="1"/>
  <c r="BH245" i="12"/>
  <c r="BE245" i="12" s="1"/>
  <c r="AR242" i="12"/>
  <c r="BH242" i="12" s="1"/>
  <c r="BE242" i="12" s="1"/>
  <c r="AR238" i="12"/>
  <c r="BH238" i="12" s="1"/>
  <c r="BE238" i="12" s="1"/>
  <c r="AR237" i="12"/>
  <c r="BH237" i="12" s="1"/>
  <c r="BE237" i="12" s="1"/>
  <c r="AR235" i="12"/>
  <c r="BH235" i="12" s="1"/>
  <c r="BE235" i="12" s="1"/>
  <c r="AR234" i="12"/>
  <c r="BH234" i="12" s="1"/>
  <c r="BE234" i="12" s="1"/>
  <c r="AR229" i="12"/>
  <c r="BH229" i="12" s="1"/>
  <c r="BE229" i="12" s="1"/>
  <c r="AR228" i="12"/>
  <c r="BH228" i="12" s="1"/>
  <c r="BE228" i="12" s="1"/>
  <c r="AR226" i="12"/>
  <c r="BH226" i="12" s="1"/>
  <c r="BE226" i="12" s="1"/>
  <c r="AR225" i="12"/>
  <c r="BH225" i="12" s="1"/>
  <c r="BE225" i="12" s="1"/>
  <c r="AR220" i="12"/>
  <c r="BH220" i="12" s="1"/>
  <c r="BE220" i="12" s="1"/>
  <c r="AR218" i="12"/>
  <c r="BH218" i="12" s="1"/>
  <c r="BE218" i="12" s="1"/>
  <c r="AR216" i="12"/>
  <c r="BH216" i="12" s="1"/>
  <c r="BE216" i="12" s="1"/>
  <c r="AR214" i="12"/>
  <c r="BH214" i="12" s="1"/>
  <c r="BE214" i="12" s="1"/>
  <c r="AR213" i="12"/>
  <c r="BH213" i="12" s="1"/>
  <c r="BE213" i="12" s="1"/>
  <c r="AR212" i="12"/>
  <c r="BH212" i="12" s="1"/>
  <c r="BE212" i="12" s="1"/>
  <c r="AR206" i="12"/>
  <c r="BH206" i="12" s="1"/>
  <c r="BE206" i="12" s="1"/>
  <c r="AR205" i="12"/>
  <c r="BH205" i="12" s="1"/>
  <c r="BE205" i="12" s="1"/>
  <c r="AR203" i="12"/>
  <c r="BH203" i="12" s="1"/>
  <c r="BE203" i="12" s="1"/>
  <c r="AR202" i="12"/>
  <c r="BH202" i="12" s="1"/>
  <c r="BE202" i="12" s="1"/>
  <c r="AR201" i="12"/>
  <c r="BH201" i="12" s="1"/>
  <c r="BE201" i="12" s="1"/>
  <c r="AR200" i="12"/>
  <c r="BH200" i="12" s="1"/>
  <c r="BE200" i="12" s="1"/>
  <c r="AR199" i="12"/>
  <c r="BH199" i="12" s="1"/>
  <c r="BE199" i="12" s="1"/>
  <c r="AR198" i="12"/>
  <c r="BH198" i="12" s="1"/>
  <c r="BE198" i="12" s="1"/>
  <c r="AR196" i="12"/>
  <c r="BH196" i="12" s="1"/>
  <c r="BE196" i="12" s="1"/>
  <c r="AR194" i="12"/>
  <c r="BH194" i="12" s="1"/>
  <c r="BE194" i="12" s="1"/>
  <c r="AR193" i="12"/>
  <c r="BH193" i="12" s="1"/>
  <c r="BE193" i="12" s="1"/>
  <c r="AR183" i="12"/>
  <c r="BH183" i="12" s="1"/>
  <c r="BE183" i="12" s="1"/>
  <c r="AR182" i="12"/>
  <c r="BH182" i="12" s="1"/>
  <c r="BE182" i="12" s="1"/>
  <c r="AR181" i="12"/>
  <c r="BH181" i="12" s="1"/>
  <c r="BE181" i="12" s="1"/>
  <c r="AR179" i="12"/>
  <c r="BH179" i="12" s="1"/>
  <c r="BE179" i="12" s="1"/>
  <c r="AR178" i="12"/>
  <c r="BH178" i="12" s="1"/>
  <c r="BE178" i="12" s="1"/>
  <c r="AR177" i="12"/>
  <c r="BH177" i="12" s="1"/>
  <c r="BE177" i="12" s="1"/>
  <c r="AR171" i="12"/>
  <c r="BH171" i="12" s="1"/>
  <c r="BE171" i="12" s="1"/>
  <c r="AR170" i="12"/>
  <c r="BH170" i="12" s="1"/>
  <c r="BE170" i="12" s="1"/>
  <c r="AR169" i="12"/>
  <c r="BH169" i="12" s="1"/>
  <c r="BE169" i="12" s="1"/>
  <c r="AR167" i="12"/>
  <c r="BH167" i="12" s="1"/>
  <c r="BE167" i="12" s="1"/>
  <c r="AR165" i="12"/>
  <c r="BH165" i="12" s="1"/>
  <c r="BE165" i="12" s="1"/>
  <c r="AR163" i="12"/>
  <c r="BH163" i="12" s="1"/>
  <c r="BE163" i="12" s="1"/>
  <c r="AR159" i="12"/>
  <c r="BH159" i="12" s="1"/>
  <c r="BE159" i="12" s="1"/>
  <c r="AR158" i="12"/>
  <c r="BH158" i="12" s="1"/>
  <c r="BE158" i="12" s="1"/>
  <c r="AR157" i="12"/>
  <c r="BH157" i="12" s="1"/>
  <c r="BE157" i="12" s="1"/>
  <c r="AR156" i="12"/>
  <c r="BH156" i="12" s="1"/>
  <c r="BE156" i="12" s="1"/>
  <c r="AR132" i="12"/>
  <c r="BH132" i="12" s="1"/>
  <c r="BE132" i="12" s="1"/>
  <c r="AR128" i="12"/>
  <c r="BH128" i="12" s="1"/>
  <c r="BE128" i="12" s="1"/>
  <c r="AR127" i="12"/>
  <c r="BH127" i="12" s="1"/>
  <c r="BE127" i="12" s="1"/>
  <c r="AR125" i="12"/>
  <c r="BH125" i="12" s="1"/>
  <c r="BE125" i="12" s="1"/>
  <c r="AR124" i="12"/>
  <c r="BH124" i="12" s="1"/>
  <c r="BE124" i="12" s="1"/>
  <c r="AR122" i="12"/>
  <c r="BH122" i="12" s="1"/>
  <c r="BE122" i="12" s="1"/>
  <c r="AR121" i="12"/>
  <c r="BH121" i="12" s="1"/>
  <c r="BE121" i="12" s="1"/>
  <c r="AR119" i="12"/>
  <c r="BH119" i="12" s="1"/>
  <c r="BE119" i="12" s="1"/>
  <c r="AR113" i="12"/>
  <c r="BH113" i="12" s="1"/>
  <c r="BE113" i="12" s="1"/>
  <c r="AR112" i="12"/>
  <c r="BH112" i="12" s="1"/>
  <c r="BE112" i="12" s="1"/>
  <c r="AR111" i="12"/>
  <c r="BH111" i="12" s="1"/>
  <c r="BE111" i="12" s="1"/>
  <c r="AR109" i="12"/>
  <c r="BH109" i="12" s="1"/>
  <c r="BE109" i="12" s="1"/>
  <c r="AR108" i="12"/>
  <c r="BH108" i="12" s="1"/>
  <c r="BE108" i="12" s="1"/>
  <c r="AR106" i="12"/>
  <c r="BH106" i="12" s="1"/>
  <c r="BE106" i="12" s="1"/>
  <c r="AR103" i="12"/>
  <c r="BH103" i="12" s="1"/>
  <c r="BE103" i="12" s="1"/>
  <c r="AR101" i="12"/>
  <c r="BH101" i="12" s="1"/>
  <c r="BE101" i="12" s="1"/>
  <c r="AR100" i="12"/>
  <c r="BH100" i="12" s="1"/>
  <c r="BE100" i="12" s="1"/>
  <c r="AR87" i="12"/>
  <c r="BH87" i="12" s="1"/>
  <c r="BE87" i="12" s="1"/>
  <c r="AR86" i="12"/>
  <c r="BH86" i="12" s="1"/>
  <c r="BE86" i="12" s="1"/>
  <c r="AR85" i="12"/>
  <c r="BH85" i="12" s="1"/>
  <c r="BE85" i="12" s="1"/>
  <c r="AR83" i="12"/>
  <c r="BH83" i="12" s="1"/>
  <c r="BE83" i="12" s="1"/>
  <c r="AR82" i="12"/>
  <c r="BH82" i="12" s="1"/>
  <c r="BE82" i="12" s="1"/>
  <c r="AR81" i="12"/>
  <c r="BH81" i="12" s="1"/>
  <c r="BE81" i="12" s="1"/>
  <c r="AR79" i="12"/>
  <c r="BH79" i="12" s="1"/>
  <c r="BE79" i="12" s="1"/>
  <c r="AR78" i="12"/>
  <c r="BH78" i="12" s="1"/>
  <c r="BE78" i="12" s="1"/>
  <c r="AR76" i="12"/>
  <c r="BH76" i="12" s="1"/>
  <c r="BE76" i="12" s="1"/>
  <c r="AR75" i="12"/>
  <c r="BH75" i="12" s="1"/>
  <c r="BE75" i="12" s="1"/>
  <c r="AR73" i="12"/>
  <c r="BH73" i="12" s="1"/>
  <c r="BE73" i="12" s="1"/>
  <c r="AR72" i="12"/>
  <c r="BH72" i="12" s="1"/>
  <c r="BE72" i="12" s="1"/>
  <c r="AR70" i="12"/>
  <c r="BH70" i="12" s="1"/>
  <c r="BE70" i="12" s="1"/>
  <c r="AR68" i="12"/>
  <c r="BH68" i="12" s="1"/>
  <c r="BE68" i="12" s="1"/>
  <c r="AR67" i="12"/>
  <c r="BH67" i="12" s="1"/>
  <c r="BE67" i="12" s="1"/>
  <c r="AR61" i="12"/>
  <c r="BH61" i="12" s="1"/>
  <c r="BE61" i="12" s="1"/>
  <c r="AR57" i="12"/>
  <c r="BH57" i="12" s="1"/>
  <c r="BE57" i="12" s="1"/>
  <c r="E26" i="4" l="1"/>
  <c r="E25" i="4"/>
  <c r="E24" i="4"/>
  <c r="E23" i="4"/>
  <c r="E22" i="4"/>
  <c r="E21" i="4"/>
  <c r="E20" i="4"/>
  <c r="E19" i="4"/>
  <c r="E18" i="4"/>
  <c r="E17" i="4"/>
  <c r="E16" i="4"/>
  <c r="E15" i="4"/>
  <c r="E8" i="4"/>
  <c r="E7" i="4"/>
  <c r="E6" i="4"/>
  <c r="E5" i="4"/>
  <c r="E4" i="4"/>
  <c r="E3" i="4"/>
  <c r="O15" i="8" l="1"/>
  <c r="AT15" i="8" s="1"/>
  <c r="Q15" i="8"/>
  <c r="AU15" i="8" s="1"/>
  <c r="S15" i="8"/>
  <c r="AV15" i="8" s="1"/>
  <c r="U15" i="8"/>
  <c r="AW15" i="8" s="1"/>
  <c r="W15" i="8"/>
  <c r="AX15" i="8" s="1"/>
  <c r="Y15" i="8"/>
  <c r="AY15" i="8" s="1"/>
  <c r="AA15" i="8"/>
  <c r="AC15" i="8"/>
  <c r="AZ15" i="8" s="1"/>
  <c r="AE15" i="8"/>
  <c r="BA15" i="8" s="1"/>
  <c r="AR15" i="8"/>
  <c r="BH15" i="8" s="1"/>
  <c r="BE15" i="8" s="1"/>
  <c r="BI15" i="8"/>
  <c r="BJ15" i="8"/>
  <c r="BK15" i="8"/>
  <c r="BL15" i="8"/>
  <c r="O10" i="8"/>
  <c r="AT10" i="8" s="1"/>
  <c r="Q10" i="8"/>
  <c r="AU10" i="8" s="1"/>
  <c r="S10" i="8"/>
  <c r="AV10" i="8" s="1"/>
  <c r="U10" i="8"/>
  <c r="AW10" i="8" s="1"/>
  <c r="W10" i="8"/>
  <c r="AX10" i="8" s="1"/>
  <c r="Y10" i="8"/>
  <c r="AY10" i="8" s="1"/>
  <c r="AA10" i="8"/>
  <c r="AC10" i="8"/>
  <c r="AZ10" i="8" s="1"/>
  <c r="AE10" i="8"/>
  <c r="BA10" i="8" s="1"/>
  <c r="AR10" i="8"/>
  <c r="BH10" i="8" s="1"/>
  <c r="BE10" i="8" s="1"/>
  <c r="BI10" i="8"/>
  <c r="BJ10" i="8"/>
  <c r="BK10" i="8"/>
  <c r="BL10" i="8"/>
  <c r="O13" i="8"/>
  <c r="AT13" i="8" s="1"/>
  <c r="O14" i="8"/>
  <c r="AT14" i="8" s="1"/>
  <c r="Q13" i="8"/>
  <c r="AU13" i="8" s="1"/>
  <c r="Q14" i="8"/>
  <c r="AU14" i="8" s="1"/>
  <c r="S13" i="8"/>
  <c r="AV13" i="8" s="1"/>
  <c r="S14" i="8"/>
  <c r="AV14" i="8" s="1"/>
  <c r="U13" i="8"/>
  <c r="AW13" i="8" s="1"/>
  <c r="U14" i="8"/>
  <c r="AW14" i="8" s="1"/>
  <c r="W13" i="8"/>
  <c r="AX13" i="8" s="1"/>
  <c r="W14" i="8"/>
  <c r="AX14" i="8" s="1"/>
  <c r="Y13" i="8"/>
  <c r="AY13" i="8" s="1"/>
  <c r="Y14" i="8"/>
  <c r="AY14" i="8" s="1"/>
  <c r="AA13" i="8"/>
  <c r="AA14" i="8"/>
  <c r="AC13" i="8"/>
  <c r="AZ13" i="8" s="1"/>
  <c r="AC14" i="8"/>
  <c r="AZ14" i="8" s="1"/>
  <c r="AE13" i="8"/>
  <c r="BA13" i="8" s="1"/>
  <c r="AE14" i="8"/>
  <c r="BA14" i="8" s="1"/>
  <c r="AR13" i="8"/>
  <c r="BH13" i="8" s="1"/>
  <c r="BE13" i="8" s="1"/>
  <c r="AR14" i="8"/>
  <c r="BH14" i="8" s="1"/>
  <c r="BE14" i="8" s="1"/>
  <c r="BI13" i="8"/>
  <c r="BI14" i="8"/>
  <c r="BJ13" i="8"/>
  <c r="BJ14" i="8"/>
  <c r="BK13" i="8"/>
  <c r="BK14" i="8"/>
  <c r="BL13" i="8"/>
  <c r="BL14" i="8"/>
  <c r="O9" i="8"/>
  <c r="AT9" i="8" s="1"/>
  <c r="Q9" i="8"/>
  <c r="AU9" i="8" s="1"/>
  <c r="S9" i="8"/>
  <c r="AV9" i="8" s="1"/>
  <c r="U9" i="8"/>
  <c r="AW9" i="8" s="1"/>
  <c r="W9" i="8"/>
  <c r="AX9" i="8" s="1"/>
  <c r="Y9" i="8"/>
  <c r="AY9" i="8" s="1"/>
  <c r="AA9" i="8"/>
  <c r="AC9" i="8"/>
  <c r="AZ9" i="8" s="1"/>
  <c r="AE9" i="8"/>
  <c r="BA9" i="8" s="1"/>
  <c r="AR9" i="8"/>
  <c r="BH9" i="8" s="1"/>
  <c r="BE9" i="8" s="1"/>
  <c r="BI9" i="8"/>
  <c r="BJ9" i="8"/>
  <c r="BK9" i="8"/>
  <c r="BL9" i="8"/>
  <c r="O11" i="8"/>
  <c r="O12" i="8"/>
  <c r="O16" i="8"/>
  <c r="AT16" i="8" s="1"/>
  <c r="Q11" i="8"/>
  <c r="Q12" i="8"/>
  <c r="Q16" i="8"/>
  <c r="AU16" i="8" s="1"/>
  <c r="S11" i="8"/>
  <c r="S12" i="8"/>
  <c r="S16" i="8"/>
  <c r="AV16" i="8" s="1"/>
  <c r="U11" i="8"/>
  <c r="AW11" i="8" s="1"/>
  <c r="U12" i="8"/>
  <c r="AW12" i="8" s="1"/>
  <c r="U16" i="8"/>
  <c r="AW16" i="8" s="1"/>
  <c r="W11" i="8"/>
  <c r="AX11" i="8" s="1"/>
  <c r="W12" i="8"/>
  <c r="AX12" i="8" s="1"/>
  <c r="W16" i="8"/>
  <c r="AX16" i="8" s="1"/>
  <c r="Y11" i="8"/>
  <c r="AY11" i="8" s="1"/>
  <c r="Y12" i="8"/>
  <c r="AY12" i="8" s="1"/>
  <c r="Y16" i="8"/>
  <c r="AY16" i="8" s="1"/>
  <c r="AA11" i="8"/>
  <c r="AA12" i="8"/>
  <c r="AA16" i="8"/>
  <c r="AC11" i="8"/>
  <c r="AZ11" i="8" s="1"/>
  <c r="AC12" i="8"/>
  <c r="AZ12" i="8" s="1"/>
  <c r="AC16" i="8"/>
  <c r="AZ16" i="8" s="1"/>
  <c r="AE11" i="8"/>
  <c r="BA11" i="8" s="1"/>
  <c r="AE12" i="8"/>
  <c r="BA12" i="8" s="1"/>
  <c r="AE16" i="8"/>
  <c r="BA16" i="8" s="1"/>
  <c r="AR11" i="8"/>
  <c r="BH11" i="8" s="1"/>
  <c r="BE11" i="8" s="1"/>
  <c r="AR12" i="8"/>
  <c r="BH12" i="8" s="1"/>
  <c r="BE12" i="8" s="1"/>
  <c r="AR16" i="8"/>
  <c r="BH16" i="8" s="1"/>
  <c r="BE16" i="8" s="1"/>
  <c r="BI11" i="8"/>
  <c r="BI12" i="8"/>
  <c r="BI16" i="8"/>
  <c r="BJ11" i="8"/>
  <c r="BJ12" i="8"/>
  <c r="BJ16" i="8"/>
  <c r="BK11" i="8"/>
  <c r="BK12" i="8"/>
  <c r="BK16" i="8"/>
  <c r="BL11" i="8"/>
  <c r="BL12" i="8"/>
  <c r="BL16" i="8"/>
  <c r="O6" i="8"/>
  <c r="AT6" i="8" s="1"/>
  <c r="O7" i="8"/>
  <c r="AT7" i="8" s="1"/>
  <c r="O8" i="8"/>
  <c r="AT8" i="8" s="1"/>
  <c r="Q6" i="8"/>
  <c r="AU6" i="8" s="1"/>
  <c r="Q7" i="8"/>
  <c r="AU7" i="8" s="1"/>
  <c r="Q8" i="8"/>
  <c r="AU8" i="8" s="1"/>
  <c r="S6" i="8"/>
  <c r="AV6" i="8" s="1"/>
  <c r="S7" i="8"/>
  <c r="AV7" i="8" s="1"/>
  <c r="S8" i="8"/>
  <c r="AV8" i="8" s="1"/>
  <c r="U6" i="8"/>
  <c r="AW6" i="8" s="1"/>
  <c r="U7" i="8"/>
  <c r="AW7" i="8" s="1"/>
  <c r="U8" i="8"/>
  <c r="AW8" i="8" s="1"/>
  <c r="W6" i="8"/>
  <c r="AX6" i="8" s="1"/>
  <c r="W7" i="8"/>
  <c r="AX7" i="8" s="1"/>
  <c r="W8" i="8"/>
  <c r="AX8" i="8" s="1"/>
  <c r="Y6" i="8"/>
  <c r="AY6" i="8" s="1"/>
  <c r="Y7" i="8"/>
  <c r="AY7" i="8" s="1"/>
  <c r="Y8" i="8"/>
  <c r="AY8" i="8" s="1"/>
  <c r="AA6" i="8"/>
  <c r="AA7" i="8"/>
  <c r="AA8" i="8"/>
  <c r="AC6" i="8"/>
  <c r="AZ6" i="8" s="1"/>
  <c r="AC7" i="8"/>
  <c r="AZ7" i="8" s="1"/>
  <c r="AC8" i="8"/>
  <c r="AZ8" i="8" s="1"/>
  <c r="AE6" i="8"/>
  <c r="BA6" i="8" s="1"/>
  <c r="AE7" i="8"/>
  <c r="BA7" i="8" s="1"/>
  <c r="AE8" i="8"/>
  <c r="BA8" i="8" s="1"/>
  <c r="AR6" i="8"/>
  <c r="BH6" i="8" s="1"/>
  <c r="BE6" i="8" s="1"/>
  <c r="AR7" i="8"/>
  <c r="BH7" i="8" s="1"/>
  <c r="BE7" i="8" s="1"/>
  <c r="AR8" i="8"/>
  <c r="BH8" i="8" s="1"/>
  <c r="BE8" i="8" s="1"/>
  <c r="BI6" i="8"/>
  <c r="BI7" i="8"/>
  <c r="BI8" i="8"/>
  <c r="BJ6" i="8"/>
  <c r="BJ7" i="8"/>
  <c r="BJ8" i="8"/>
  <c r="BK6" i="8"/>
  <c r="BK7" i="8"/>
  <c r="BK8" i="8"/>
  <c r="BL6" i="8"/>
  <c r="BL7" i="8"/>
  <c r="BL8" i="8"/>
  <c r="O5" i="8"/>
  <c r="AT5" i="8" s="1"/>
  <c r="Q5" i="8"/>
  <c r="AU5" i="8" s="1"/>
  <c r="S5" i="8"/>
  <c r="AV5" i="8" s="1"/>
  <c r="U5" i="8"/>
  <c r="AW5" i="8" s="1"/>
  <c r="W5" i="8"/>
  <c r="AX5" i="8" s="1"/>
  <c r="Y5" i="8"/>
  <c r="AY5" i="8" s="1"/>
  <c r="AA5" i="8"/>
  <c r="AC5" i="8"/>
  <c r="AZ5" i="8" s="1"/>
  <c r="AE5" i="8"/>
  <c r="BA5" i="8" s="1"/>
  <c r="AR5" i="8"/>
  <c r="BH5" i="8" s="1"/>
  <c r="BI5" i="8"/>
  <c r="BJ5" i="8"/>
  <c r="BK5" i="8"/>
  <c r="BL5" i="8"/>
  <c r="BE5" i="8" l="1"/>
  <c r="AS14" i="8"/>
  <c r="BB14" i="8" s="1"/>
  <c r="AS13" i="8"/>
  <c r="BB13" i="8" s="1"/>
  <c r="BF13" i="8" s="1"/>
  <c r="BG13" i="8" s="1"/>
  <c r="AS8" i="8"/>
  <c r="BB8" i="8" s="1"/>
  <c r="BF8" i="8" s="1"/>
  <c r="BG8" i="8" s="1"/>
  <c r="AS15" i="8"/>
  <c r="BB15" i="8" s="1"/>
  <c r="BF15" i="8" s="1"/>
  <c r="BG15" i="8" s="1"/>
  <c r="AS10" i="8"/>
  <c r="BB10" i="8" s="1"/>
  <c r="BF10" i="8" s="1"/>
  <c r="BG10" i="8" s="1"/>
  <c r="AS7" i="8"/>
  <c r="BB7" i="8" s="1"/>
  <c r="BF7" i="8" s="1"/>
  <c r="BG7" i="8" s="1"/>
  <c r="AS5" i="8"/>
  <c r="BB5" i="8" s="1"/>
  <c r="BF5" i="8" s="1"/>
  <c r="BG5" i="8" s="1"/>
  <c r="AS16" i="8"/>
  <c r="BB16" i="8" s="1"/>
  <c r="BF16" i="8" s="1"/>
  <c r="BG16" i="8" s="1"/>
  <c r="AS6" i="8"/>
  <c r="BB6" i="8" s="1"/>
  <c r="BF6" i="8" s="1"/>
  <c r="BG6" i="8" s="1"/>
  <c r="AS12" i="8"/>
  <c r="BB12" i="8" s="1"/>
  <c r="BF12" i="8" s="1"/>
  <c r="BG12" i="8" s="1"/>
  <c r="AS11" i="8"/>
  <c r="BB11" i="8" s="1"/>
  <c r="BF11" i="8" s="1"/>
  <c r="BG11" i="8" s="1"/>
  <c r="AS9" i="8"/>
  <c r="BB9" i="8" s="1"/>
  <c r="BF9" i="8" s="1"/>
  <c r="BG9" i="8" s="1"/>
  <c r="BF14" i="8"/>
  <c r="BG14" i="8" s="1"/>
  <c r="BD5" i="8" l="1"/>
  <c r="BD9" i="8"/>
  <c r="BD6" i="8"/>
  <c r="BD13" i="8"/>
  <c r="BD15" i="8"/>
  <c r="BD16" i="8"/>
  <c r="BD8" i="8"/>
  <c r="BD7" i="8"/>
  <c r="BD10" i="8"/>
  <c r="BC7" i="8"/>
  <c r="BC6" i="8"/>
  <c r="BC13" i="8"/>
  <c r="BC10" i="8"/>
  <c r="BC15" i="8"/>
  <c r="BC8" i="8"/>
  <c r="BC5" i="8"/>
  <c r="BC16" i="8"/>
  <c r="BC9" i="8"/>
  <c r="BD12" i="8"/>
  <c r="BD11" i="8"/>
  <c r="BD14" i="8"/>
  <c r="BC11" i="8" l="1"/>
  <c r="BC12" i="8"/>
  <c r="BC14" i="8"/>
  <c r="H72" i="13"/>
  <c r="H18" i="13"/>
  <c r="H46" i="13"/>
  <c r="E2" i="13" l="1"/>
  <c r="G1" i="13"/>
  <c r="Q345" i="12" l="1"/>
  <c r="AU345" i="12" s="1"/>
  <c r="O345" i="12"/>
  <c r="AT345" i="12" s="1"/>
  <c r="AU48" i="7"/>
  <c r="O48" i="7"/>
  <c r="AT48" i="7" s="1"/>
  <c r="O154" i="12" l="1"/>
  <c r="AT154" i="12" s="1"/>
  <c r="Q154" i="12"/>
  <c r="AU154" i="12" s="1"/>
  <c r="S154" i="12"/>
  <c r="AV154" i="12" s="1"/>
  <c r="U154" i="12"/>
  <c r="AW154" i="12" s="1"/>
  <c r="W154" i="12"/>
  <c r="AX154" i="12" s="1"/>
  <c r="Y154" i="12"/>
  <c r="AY154" i="12" s="1"/>
  <c r="AA154" i="12"/>
  <c r="AC154" i="12"/>
  <c r="AZ154" i="12" s="1"/>
  <c r="AE154" i="12"/>
  <c r="BA154" i="12" s="1"/>
  <c r="AR154" i="12"/>
  <c r="BI154" i="12"/>
  <c r="BJ154" i="12"/>
  <c r="BK154" i="12"/>
  <c r="BL154" i="12"/>
  <c r="S389" i="12"/>
  <c r="AV389" i="12" s="1"/>
  <c r="Q389" i="12"/>
  <c r="AU389" i="12" s="1"/>
  <c r="O389" i="12"/>
  <c r="AT389" i="12" s="1"/>
  <c r="S393" i="12"/>
  <c r="AV393" i="12" s="1"/>
  <c r="Q393" i="12"/>
  <c r="AU393" i="12" s="1"/>
  <c r="O393" i="12"/>
  <c r="AT393" i="12" s="1"/>
  <c r="S348" i="12"/>
  <c r="AV348" i="12" s="1"/>
  <c r="Q348" i="12"/>
  <c r="AU348" i="12" s="1"/>
  <c r="O348" i="12"/>
  <c r="AT348" i="12" s="1"/>
  <c r="S346" i="12"/>
  <c r="AV346" i="12" s="1"/>
  <c r="Q346" i="12"/>
  <c r="AU346" i="12" s="1"/>
  <c r="O346" i="12"/>
  <c r="AT346" i="12" s="1"/>
  <c r="S335" i="12"/>
  <c r="AV335" i="12" s="1"/>
  <c r="Q335" i="12"/>
  <c r="AU335" i="12" s="1"/>
  <c r="O335" i="12"/>
  <c r="AT335" i="12" s="1"/>
  <c r="S246" i="12"/>
  <c r="AV246" i="12" s="1"/>
  <c r="Q246" i="12"/>
  <c r="AU246" i="12" s="1"/>
  <c r="O246" i="12"/>
  <c r="AT246" i="12" s="1"/>
  <c r="BK76" i="3"/>
  <c r="BK75" i="3"/>
  <c r="BK74" i="3"/>
  <c r="BK73" i="3"/>
  <c r="BK72" i="3"/>
  <c r="BK71" i="3"/>
  <c r="BK70" i="3"/>
  <c r="BK69" i="3"/>
  <c r="BK68" i="3"/>
  <c r="BK67" i="3"/>
  <c r="BK66" i="3"/>
  <c r="BK65" i="3"/>
  <c r="BK64" i="3"/>
  <c r="BK63" i="3"/>
  <c r="BK62" i="3"/>
  <c r="BK61" i="3"/>
  <c r="BK60" i="3"/>
  <c r="BK59" i="3"/>
  <c r="BK58" i="3"/>
  <c r="BK56" i="3"/>
  <c r="BK55" i="3"/>
  <c r="BK54" i="3"/>
  <c r="BK53" i="3"/>
  <c r="BK52" i="3"/>
  <c r="BK51" i="3"/>
  <c r="BK50" i="3"/>
  <c r="BK49" i="3"/>
  <c r="BK48" i="3"/>
  <c r="BK47" i="3"/>
  <c r="BK46" i="3"/>
  <c r="BK45" i="3"/>
  <c r="BK44" i="3"/>
  <c r="BK43" i="3"/>
  <c r="BK42" i="3"/>
  <c r="BK41" i="3"/>
  <c r="BK40" i="3"/>
  <c r="BK39" i="3"/>
  <c r="BK38" i="3"/>
  <c r="BK37" i="3"/>
  <c r="BK36" i="3"/>
  <c r="BK35" i="3"/>
  <c r="BK34" i="3"/>
  <c r="BK33" i="3"/>
  <c r="BK32" i="3"/>
  <c r="BK31" i="3"/>
  <c r="BK30" i="3"/>
  <c r="BK29" i="3"/>
  <c r="BK28" i="3"/>
  <c r="BK27" i="3"/>
  <c r="BK26" i="3"/>
  <c r="BK25" i="3"/>
  <c r="BK24" i="3"/>
  <c r="BK23" i="3"/>
  <c r="BK22" i="3"/>
  <c r="BK21" i="3"/>
  <c r="BK20" i="3"/>
  <c r="BK19" i="3"/>
  <c r="BK18" i="3"/>
  <c r="BK17" i="3"/>
  <c r="BK16" i="3"/>
  <c r="BK15" i="3"/>
  <c r="BK14" i="3"/>
  <c r="BK13" i="3"/>
  <c r="BK12" i="3"/>
  <c r="BK11" i="3"/>
  <c r="BK10" i="3"/>
  <c r="BK9" i="3"/>
  <c r="BK8" i="3"/>
  <c r="BK7" i="3"/>
  <c r="BK6" i="3"/>
  <c r="BK5" i="3"/>
  <c r="BK348" i="9"/>
  <c r="BK347" i="9"/>
  <c r="BK346" i="9"/>
  <c r="BK345" i="9"/>
  <c r="BK344" i="9"/>
  <c r="BK343" i="9"/>
  <c r="BK342" i="9"/>
  <c r="BK341" i="9"/>
  <c r="BK340" i="9"/>
  <c r="BK339" i="9"/>
  <c r="BK338" i="9"/>
  <c r="BK337" i="9"/>
  <c r="BK336" i="9"/>
  <c r="BK335" i="9"/>
  <c r="BK334" i="9"/>
  <c r="BK333" i="9"/>
  <c r="BK332" i="9"/>
  <c r="BK331" i="9"/>
  <c r="BK330" i="9"/>
  <c r="BK329" i="9"/>
  <c r="BK328" i="9"/>
  <c r="BK327" i="9"/>
  <c r="BK326" i="9"/>
  <c r="BK325" i="9"/>
  <c r="BK324" i="9"/>
  <c r="BK323" i="9"/>
  <c r="BK322" i="9"/>
  <c r="BK321" i="9"/>
  <c r="BK320" i="9"/>
  <c r="BK319" i="9"/>
  <c r="BK318" i="9"/>
  <c r="BK317" i="9"/>
  <c r="BK316" i="9"/>
  <c r="BK315" i="9"/>
  <c r="BK313" i="9"/>
  <c r="BK312" i="9"/>
  <c r="BK311" i="9"/>
  <c r="BK310" i="9"/>
  <c r="BK309" i="9"/>
  <c r="BK308" i="9"/>
  <c r="BK307" i="9"/>
  <c r="BK303" i="9"/>
  <c r="BK302" i="9"/>
  <c r="BK301" i="9"/>
  <c r="BK300" i="9"/>
  <c r="BK299" i="9"/>
  <c r="BK298" i="9"/>
  <c r="BK297" i="9"/>
  <c r="BK296" i="9"/>
  <c r="BK295" i="9"/>
  <c r="BK294" i="9"/>
  <c r="BK293" i="9"/>
  <c r="BK286" i="9"/>
  <c r="BK285" i="9"/>
  <c r="BK284" i="9"/>
  <c r="BK283" i="9"/>
  <c r="BK282" i="9"/>
  <c r="BK281" i="9"/>
  <c r="BK280" i="9"/>
  <c r="BK279" i="9"/>
  <c r="BK278" i="9"/>
  <c r="BK277" i="9"/>
  <c r="BK276" i="9"/>
  <c r="BK275" i="9"/>
  <c r="BK274" i="9"/>
  <c r="BK273" i="9"/>
  <c r="BK272" i="9"/>
  <c r="BK271" i="9"/>
  <c r="BK270" i="9"/>
  <c r="BK269" i="9"/>
  <c r="BK268" i="9"/>
  <c r="BK267" i="9"/>
  <c r="BK266" i="9"/>
  <c r="BK265" i="9"/>
  <c r="BK264" i="9"/>
  <c r="BK263" i="9"/>
  <c r="BK262" i="9"/>
  <c r="BK261" i="9"/>
  <c r="BK260" i="9"/>
  <c r="BK259" i="9"/>
  <c r="BK258" i="9"/>
  <c r="BK257" i="9"/>
  <c r="BK256" i="9"/>
  <c r="BK255" i="9"/>
  <c r="BK254" i="9"/>
  <c r="BK253" i="9"/>
  <c r="BK252" i="9"/>
  <c r="BK251" i="9"/>
  <c r="BK250" i="9"/>
  <c r="BK249" i="9"/>
  <c r="BK248" i="9"/>
  <c r="BK247" i="9"/>
  <c r="BK246" i="9"/>
  <c r="BK245" i="9"/>
  <c r="BK244" i="9"/>
  <c r="BK243" i="9"/>
  <c r="BK242" i="9"/>
  <c r="BK241" i="9"/>
  <c r="BK240" i="9"/>
  <c r="BK239" i="9"/>
  <c r="BK234" i="9"/>
  <c r="BK233" i="9"/>
  <c r="BK232" i="9"/>
  <c r="BK231" i="9"/>
  <c r="BK230" i="9"/>
  <c r="BK229" i="9"/>
  <c r="BK228" i="9"/>
  <c r="BK227" i="9"/>
  <c r="BK226" i="9"/>
  <c r="BK218" i="9"/>
  <c r="BK217" i="9"/>
  <c r="BK216" i="9"/>
  <c r="BK215" i="9"/>
  <c r="BK214" i="9"/>
  <c r="BK213" i="9"/>
  <c r="BK212" i="9"/>
  <c r="BK211" i="9"/>
  <c r="BK210" i="9"/>
  <c r="BK209" i="9"/>
  <c r="BK208" i="9"/>
  <c r="BK207" i="9"/>
  <c r="BK206" i="9"/>
  <c r="BK205" i="9"/>
  <c r="BK204" i="9"/>
  <c r="BK203" i="9"/>
  <c r="BK202" i="9"/>
  <c r="BK201" i="9"/>
  <c r="BK200" i="9"/>
  <c r="BK199" i="9"/>
  <c r="BK198" i="9"/>
  <c r="BK197" i="9"/>
  <c r="BK196" i="9"/>
  <c r="BK195" i="9"/>
  <c r="BK194" i="9"/>
  <c r="BK193" i="9"/>
  <c r="BK192" i="9"/>
  <c r="BK191" i="9"/>
  <c r="BK190" i="9"/>
  <c r="BK189" i="9"/>
  <c r="BK188" i="9"/>
  <c r="BK187" i="9"/>
  <c r="BK186" i="9"/>
  <c r="BK185" i="9"/>
  <c r="BK184" i="9"/>
  <c r="BK170" i="9"/>
  <c r="BK169" i="9"/>
  <c r="BK168" i="9"/>
  <c r="BK167" i="9"/>
  <c r="BK166" i="9"/>
  <c r="BK165" i="9"/>
  <c r="BK164" i="9"/>
  <c r="BK163" i="9"/>
  <c r="BK162" i="9"/>
  <c r="BK161" i="9"/>
  <c r="BK160" i="9"/>
  <c r="BK159" i="9"/>
  <c r="BK158" i="9"/>
  <c r="BK157" i="9"/>
  <c r="BK156" i="9"/>
  <c r="BK155" i="9"/>
  <c r="BK154" i="9"/>
  <c r="BK153" i="9"/>
  <c r="BK152" i="9"/>
  <c r="BK151" i="9"/>
  <c r="BK150" i="9"/>
  <c r="BK149" i="9"/>
  <c r="BK148" i="9"/>
  <c r="BK147" i="9"/>
  <c r="BK146" i="9"/>
  <c r="BK145" i="9"/>
  <c r="BK144" i="9"/>
  <c r="BK143" i="9"/>
  <c r="BK142" i="9"/>
  <c r="BK141" i="9"/>
  <c r="BK140" i="9"/>
  <c r="BK139" i="9"/>
  <c r="BK138" i="9"/>
  <c r="BK137" i="9"/>
  <c r="BK136" i="9"/>
  <c r="BK135" i="9"/>
  <c r="BK134" i="9"/>
  <c r="BK133" i="9"/>
  <c r="BK132" i="9"/>
  <c r="BK131" i="9"/>
  <c r="BK130" i="9"/>
  <c r="BK127" i="9"/>
  <c r="BK126" i="9"/>
  <c r="BK125" i="9"/>
  <c r="BK124" i="9"/>
  <c r="BK123" i="9"/>
  <c r="BK122" i="9"/>
  <c r="BK121" i="9"/>
  <c r="BK118" i="9"/>
  <c r="BK117" i="9"/>
  <c r="BK116" i="9"/>
  <c r="BK115" i="9"/>
  <c r="BK114" i="9"/>
  <c r="BK113" i="9"/>
  <c r="BK112" i="9"/>
  <c r="BK111" i="9"/>
  <c r="BK110" i="9"/>
  <c r="BK109" i="9"/>
  <c r="BK108" i="9"/>
  <c r="BK107" i="9"/>
  <c r="BK106" i="9"/>
  <c r="BK105" i="9"/>
  <c r="BK104" i="9"/>
  <c r="BK99" i="9"/>
  <c r="BK98" i="9"/>
  <c r="BK97" i="9"/>
  <c r="BK96" i="9"/>
  <c r="BK95" i="9"/>
  <c r="BK94" i="9"/>
  <c r="BK93" i="9"/>
  <c r="BK92" i="9"/>
  <c r="BK91" i="9"/>
  <c r="BK90" i="9"/>
  <c r="BK89" i="9"/>
  <c r="BK88" i="9"/>
  <c r="BK87" i="9"/>
  <c r="BK86" i="9"/>
  <c r="BK85" i="9"/>
  <c r="BK84" i="9"/>
  <c r="BK83" i="9"/>
  <c r="BK82" i="9"/>
  <c r="BK81" i="9"/>
  <c r="BK80" i="9"/>
  <c r="BK79" i="9"/>
  <c r="BK78" i="9"/>
  <c r="BK77" i="9"/>
  <c r="BK76" i="9"/>
  <c r="BK75" i="9"/>
  <c r="BK74" i="9"/>
  <c r="BK73" i="9"/>
  <c r="BK72" i="9"/>
  <c r="BK71" i="9"/>
  <c r="BK70" i="9"/>
  <c r="BK69" i="9"/>
  <c r="BK68" i="9"/>
  <c r="BK67" i="9"/>
  <c r="BK66" i="9"/>
  <c r="BK65" i="9"/>
  <c r="BK63" i="9"/>
  <c r="BK62" i="9"/>
  <c r="BK61" i="9"/>
  <c r="BK60" i="9"/>
  <c r="BK59" i="9"/>
  <c r="BK58" i="9"/>
  <c r="BK57" i="9"/>
  <c r="BK56" i="9"/>
  <c r="BK54" i="9"/>
  <c r="BK53" i="9"/>
  <c r="BK52" i="9"/>
  <c r="BK51" i="9"/>
  <c r="BK50" i="9"/>
  <c r="BK49" i="9"/>
  <c r="BK48" i="9"/>
  <c r="BK47" i="9"/>
  <c r="BK46" i="9"/>
  <c r="BK45" i="9"/>
  <c r="BK44" i="9"/>
  <c r="BK43" i="9"/>
  <c r="BK42" i="9"/>
  <c r="BK37" i="9"/>
  <c r="BK36" i="9"/>
  <c r="BK35" i="9"/>
  <c r="BK34" i="9"/>
  <c r="BK33" i="9"/>
  <c r="BK32" i="9"/>
  <c r="BK31" i="9"/>
  <c r="BK30" i="9"/>
  <c r="BK29" i="9"/>
  <c r="BK28" i="9"/>
  <c r="BK27" i="9"/>
  <c r="BK26" i="9"/>
  <c r="BK25" i="9"/>
  <c r="BK24" i="9"/>
  <c r="BK23" i="9"/>
  <c r="BK22" i="9"/>
  <c r="BK21" i="9"/>
  <c r="BK20" i="9"/>
  <c r="BK19" i="9"/>
  <c r="BK18" i="9"/>
  <c r="BK17" i="9"/>
  <c r="BK16" i="9"/>
  <c r="BK15" i="9"/>
  <c r="BK14" i="9"/>
  <c r="BK13" i="9"/>
  <c r="BK12" i="9"/>
  <c r="BK11" i="9"/>
  <c r="BK10" i="9"/>
  <c r="BK9" i="9"/>
  <c r="BK8" i="9"/>
  <c r="BK7" i="9"/>
  <c r="BK6" i="9"/>
  <c r="BK5" i="9"/>
  <c r="BK113" i="8"/>
  <c r="BK112" i="8"/>
  <c r="BK111" i="8"/>
  <c r="BK110" i="8"/>
  <c r="BK109" i="8"/>
  <c r="BK108" i="8"/>
  <c r="BK106" i="8"/>
  <c r="BK107" i="8"/>
  <c r="BK105" i="8"/>
  <c r="BK104" i="8"/>
  <c r="BK103" i="8"/>
  <c r="BK102" i="8"/>
  <c r="BK101" i="8"/>
  <c r="BK100" i="8"/>
  <c r="BK175" i="8"/>
  <c r="BK160" i="8"/>
  <c r="BK159" i="8"/>
  <c r="BK151" i="8"/>
  <c r="BK150" i="8"/>
  <c r="BK149" i="8"/>
  <c r="BK148" i="8"/>
  <c r="BK147" i="8"/>
  <c r="BK99" i="8"/>
  <c r="BK98" i="8"/>
  <c r="BK97" i="8"/>
  <c r="BK96" i="8"/>
  <c r="BK95" i="8"/>
  <c r="BK94" i="8"/>
  <c r="BK140" i="8"/>
  <c r="BK139" i="8"/>
  <c r="BK138" i="8"/>
  <c r="BK137" i="8"/>
  <c r="BK136" i="8"/>
  <c r="BK135" i="8"/>
  <c r="BK134" i="8"/>
  <c r="BK133" i="8"/>
  <c r="BK132" i="8"/>
  <c r="BK131" i="8"/>
  <c r="BK130" i="8"/>
  <c r="BK129" i="8"/>
  <c r="BK128" i="8"/>
  <c r="BK127" i="8"/>
  <c r="BK126" i="8"/>
  <c r="BK125" i="8"/>
  <c r="BK124" i="8"/>
  <c r="BK123" i="8"/>
  <c r="BK122" i="8"/>
  <c r="BK121" i="8"/>
  <c r="BK120" i="8"/>
  <c r="BK119" i="8"/>
  <c r="BK118" i="8"/>
  <c r="BK117" i="8"/>
  <c r="BK116" i="8"/>
  <c r="BK115" i="8"/>
  <c r="BK114" i="8"/>
  <c r="BK93" i="8"/>
  <c r="BK92" i="8"/>
  <c r="BK91" i="8"/>
  <c r="BK90" i="8"/>
  <c r="BK89" i="8"/>
  <c r="BK88" i="8"/>
  <c r="BK87" i="8"/>
  <c r="BK86" i="8"/>
  <c r="BK85" i="8"/>
  <c r="BK84" i="8"/>
  <c r="BK83" i="8"/>
  <c r="BK82" i="8"/>
  <c r="BK81" i="8"/>
  <c r="BK80" i="8"/>
  <c r="BK79" i="8"/>
  <c r="BK78" i="8"/>
  <c r="BK77" i="8"/>
  <c r="BK76" i="8"/>
  <c r="BK73" i="8"/>
  <c r="BK72" i="8"/>
  <c r="BK71" i="8"/>
  <c r="BK64" i="8"/>
  <c r="BK63" i="8"/>
  <c r="BK61" i="8"/>
  <c r="BK60" i="8"/>
  <c r="BK58" i="8"/>
  <c r="BK57" i="8"/>
  <c r="BK56" i="8"/>
  <c r="BK55" i="8"/>
  <c r="BK54" i="8"/>
  <c r="BK53" i="8"/>
  <c r="BK52" i="8"/>
  <c r="BK51" i="8"/>
  <c r="BK50" i="8"/>
  <c r="BK49" i="8"/>
  <c r="BK48" i="8"/>
  <c r="BK47" i="8"/>
  <c r="BK46" i="8"/>
  <c r="BK45" i="8"/>
  <c r="BK44" i="8"/>
  <c r="BK43" i="8"/>
  <c r="BK42" i="8"/>
  <c r="BK41" i="8"/>
  <c r="BK40" i="8"/>
  <c r="BK39" i="8"/>
  <c r="BK38" i="8"/>
  <c r="BK37" i="8"/>
  <c r="BK34" i="8"/>
  <c r="BK33" i="8"/>
  <c r="BK32" i="8"/>
  <c r="BK31" i="8"/>
  <c r="BK30" i="8"/>
  <c r="BK29" i="8"/>
  <c r="BK28" i="8"/>
  <c r="BK27" i="8"/>
  <c r="BK26" i="8"/>
  <c r="BK25" i="8"/>
  <c r="BK22" i="8"/>
  <c r="BK21" i="8"/>
  <c r="BK20" i="8"/>
  <c r="BK19" i="8"/>
  <c r="BK18" i="8"/>
  <c r="BK17" i="8"/>
  <c r="BK427" i="12"/>
  <c r="BK426" i="12"/>
  <c r="BK425" i="12"/>
  <c r="BK424" i="12"/>
  <c r="BK423" i="12"/>
  <c r="BK422" i="12"/>
  <c r="BK421" i="12"/>
  <c r="BK420" i="12"/>
  <c r="BK419" i="12"/>
  <c r="BK418" i="12"/>
  <c r="BK417" i="12"/>
  <c r="BK416" i="12"/>
  <c r="BK414" i="12"/>
  <c r="BK411" i="12"/>
  <c r="BK409" i="12"/>
  <c r="BK408" i="12"/>
  <c r="BK406" i="12"/>
  <c r="BK405" i="12"/>
  <c r="BK402" i="12"/>
  <c r="BK401" i="12"/>
  <c r="BK400" i="12"/>
  <c r="BK399" i="12"/>
  <c r="BK398" i="12"/>
  <c r="BK397" i="12"/>
  <c r="BK396" i="12"/>
  <c r="BK395" i="12"/>
  <c r="BK394" i="12"/>
  <c r="BK393" i="12"/>
  <c r="BK392" i="12"/>
  <c r="BK391" i="12"/>
  <c r="BK390" i="12"/>
  <c r="BK389" i="12"/>
  <c r="BK388" i="12"/>
  <c r="BK385" i="12"/>
  <c r="BK384" i="12"/>
  <c r="BK383" i="12"/>
  <c r="BK382" i="12"/>
  <c r="BK381" i="12"/>
  <c r="BK380" i="12"/>
  <c r="BK379" i="12"/>
  <c r="BK378" i="12"/>
  <c r="BK377" i="12"/>
  <c r="BK376" i="12"/>
  <c r="BK375" i="12"/>
  <c r="BK374" i="12"/>
  <c r="BK373" i="12"/>
  <c r="BK372" i="12"/>
  <c r="BK371" i="12"/>
  <c r="BK370" i="12"/>
  <c r="BK369" i="12"/>
  <c r="BK368" i="12"/>
  <c r="BK367" i="12"/>
  <c r="BK366" i="12"/>
  <c r="BK365" i="12"/>
  <c r="BK364" i="12"/>
  <c r="BK363" i="12"/>
  <c r="BK362" i="12"/>
  <c r="BK361" i="12"/>
  <c r="BK360" i="12"/>
  <c r="BK359" i="12"/>
  <c r="BK358" i="12"/>
  <c r="BK357" i="12"/>
  <c r="BK356" i="12"/>
  <c r="BK355" i="12"/>
  <c r="BK354" i="12"/>
  <c r="BK353" i="12"/>
  <c r="BK352" i="12"/>
  <c r="BK351" i="12"/>
  <c r="BK350" i="12"/>
  <c r="BK349" i="12"/>
  <c r="BK348" i="12"/>
  <c r="BK347" i="12"/>
  <c r="BK346" i="12"/>
  <c r="BK345" i="12"/>
  <c r="BK344" i="12"/>
  <c r="BK343" i="12"/>
  <c r="BK342" i="12"/>
  <c r="BK341" i="12"/>
  <c r="BK340" i="12"/>
  <c r="BK339" i="12"/>
  <c r="BK338" i="12"/>
  <c r="BK337" i="12"/>
  <c r="BK336" i="12"/>
  <c r="BK335" i="12"/>
  <c r="BK334" i="12"/>
  <c r="BK333" i="12"/>
  <c r="BK332" i="12"/>
  <c r="BK331" i="12"/>
  <c r="BK330" i="12"/>
  <c r="BK329" i="12"/>
  <c r="BK328" i="12"/>
  <c r="BK327" i="12"/>
  <c r="BK324" i="12"/>
  <c r="BK323" i="12"/>
  <c r="BK322" i="12"/>
  <c r="BK321" i="12"/>
  <c r="BK320" i="12"/>
  <c r="BK319" i="12"/>
  <c r="BK316" i="12"/>
  <c r="BK315" i="12"/>
  <c r="BK313" i="12"/>
  <c r="BK312" i="12"/>
  <c r="BK311" i="12"/>
  <c r="BK310" i="12"/>
  <c r="BK309" i="12"/>
  <c r="BK308" i="12"/>
  <c r="BK307" i="12"/>
  <c r="BK306" i="12"/>
  <c r="BK305" i="12"/>
  <c r="BK304" i="12"/>
  <c r="BK303" i="12"/>
  <c r="BK302" i="12"/>
  <c r="BK301" i="12"/>
  <c r="BK300" i="12"/>
  <c r="BK299" i="12"/>
  <c r="BK298" i="12"/>
  <c r="BK297" i="12"/>
  <c r="BK296" i="12"/>
  <c r="BK295" i="12"/>
  <c r="BK294" i="12"/>
  <c r="BK293" i="12"/>
  <c r="BK292" i="12"/>
  <c r="BK291" i="12"/>
  <c r="BK290" i="12"/>
  <c r="BK289" i="12"/>
  <c r="BK288" i="12"/>
  <c r="BK287" i="12"/>
  <c r="BK286" i="12"/>
  <c r="BK284" i="12"/>
  <c r="BK283" i="12"/>
  <c r="BK282" i="12"/>
  <c r="BK281" i="12"/>
  <c r="BK280" i="12"/>
  <c r="BK279" i="12"/>
  <c r="BK278" i="12"/>
  <c r="BK277" i="12"/>
  <c r="BK276" i="12"/>
  <c r="BK275" i="12"/>
  <c r="BK274" i="12"/>
  <c r="BK273" i="12"/>
  <c r="BK272" i="12"/>
  <c r="BK271" i="12"/>
  <c r="BK270" i="12"/>
  <c r="BK269" i="12"/>
  <c r="BK268" i="12"/>
  <c r="BK267" i="12"/>
  <c r="BK266" i="12"/>
  <c r="BK265" i="12"/>
  <c r="BK264" i="12"/>
  <c r="BK262" i="12"/>
  <c r="BK261" i="12"/>
  <c r="BK260" i="12"/>
  <c r="BK259" i="12"/>
  <c r="BK258" i="12"/>
  <c r="BK254" i="12"/>
  <c r="BK253" i="12"/>
  <c r="BK252" i="12"/>
  <c r="BK251" i="12"/>
  <c r="BK250" i="12"/>
  <c r="BK247" i="12"/>
  <c r="BK246" i="12"/>
  <c r="BK245" i="12"/>
  <c r="BK243" i="12"/>
  <c r="BK242" i="12"/>
  <c r="BK241" i="12"/>
  <c r="BK240" i="12"/>
  <c r="BK239" i="12"/>
  <c r="BK238" i="12"/>
  <c r="BK237" i="12"/>
  <c r="BK236" i="12"/>
  <c r="BK235" i="12"/>
  <c r="BK234" i="12"/>
  <c r="BK233" i="12"/>
  <c r="BK229" i="12"/>
  <c r="BK228" i="12"/>
  <c r="BK227" i="12"/>
  <c r="BK226" i="12"/>
  <c r="BK225" i="12"/>
  <c r="BK224" i="12"/>
  <c r="BK221" i="12"/>
  <c r="BK220" i="12"/>
  <c r="BK219" i="12"/>
  <c r="BK218" i="12"/>
  <c r="BK217" i="12"/>
  <c r="BK216" i="12"/>
  <c r="BK215" i="12"/>
  <c r="BK214" i="12"/>
  <c r="BK213" i="12"/>
  <c r="BK212" i="12"/>
  <c r="BK211" i="12"/>
  <c r="BK206" i="12"/>
  <c r="BK205" i="12"/>
  <c r="BK204" i="12"/>
  <c r="BK203" i="12"/>
  <c r="BK202" i="12"/>
  <c r="BK201" i="12"/>
  <c r="BK200" i="12"/>
  <c r="BK199" i="12"/>
  <c r="BK198" i="12"/>
  <c r="BK197" i="12"/>
  <c r="BK196" i="12"/>
  <c r="BK195" i="12"/>
  <c r="BK194" i="12"/>
  <c r="BK193" i="12"/>
  <c r="BK192" i="12"/>
  <c r="BK186" i="12"/>
  <c r="BK185" i="12"/>
  <c r="BK183" i="12"/>
  <c r="BK182" i="12"/>
  <c r="BK181" i="12"/>
  <c r="BK180" i="12"/>
  <c r="BK179" i="12"/>
  <c r="BK178" i="12"/>
  <c r="BK177" i="12"/>
  <c r="BK176" i="12"/>
  <c r="BK171" i="12"/>
  <c r="BK170" i="12"/>
  <c r="BK169" i="12"/>
  <c r="BK168" i="12"/>
  <c r="BK167" i="12"/>
  <c r="BK166" i="12"/>
  <c r="BK165" i="12"/>
  <c r="BK164" i="12"/>
  <c r="BK163" i="12"/>
  <c r="BK162" i="12"/>
  <c r="BK159" i="12"/>
  <c r="BK158" i="12"/>
  <c r="BK157" i="12"/>
  <c r="BK156" i="12"/>
  <c r="BK155" i="12"/>
  <c r="BK153" i="12"/>
  <c r="BK144" i="12"/>
  <c r="BK133" i="12"/>
  <c r="BK132" i="12"/>
  <c r="BK131" i="12"/>
  <c r="BK128" i="12"/>
  <c r="BK127" i="12"/>
  <c r="BK126" i="12"/>
  <c r="BK125" i="12"/>
  <c r="BK124" i="12"/>
  <c r="BK123" i="12"/>
  <c r="BK122" i="12"/>
  <c r="BK121" i="12"/>
  <c r="BK120" i="12"/>
  <c r="BK119" i="12"/>
  <c r="BK118" i="12"/>
  <c r="BK113" i="12"/>
  <c r="BK112" i="12"/>
  <c r="BK111" i="12"/>
  <c r="BK110" i="12"/>
  <c r="BK109" i="12"/>
  <c r="BK108" i="12"/>
  <c r="BK107" i="12"/>
  <c r="BK106" i="12"/>
  <c r="BK105" i="12"/>
  <c r="BK104" i="12"/>
  <c r="BK103" i="12"/>
  <c r="BK102" i="12"/>
  <c r="BK101" i="12"/>
  <c r="BK100" i="12"/>
  <c r="BK99" i="12"/>
  <c r="BK87" i="12"/>
  <c r="BK86" i="12"/>
  <c r="BK85" i="12"/>
  <c r="BK84" i="12"/>
  <c r="BK83" i="12"/>
  <c r="BK82" i="12"/>
  <c r="BK81" i="12"/>
  <c r="BK80" i="12"/>
  <c r="BK79" i="12"/>
  <c r="BK78" i="12"/>
  <c r="BK77" i="12"/>
  <c r="BK76" i="12"/>
  <c r="BK75" i="12"/>
  <c r="BK74" i="12"/>
  <c r="BK73" i="12"/>
  <c r="BK72" i="12"/>
  <c r="BK71" i="12"/>
  <c r="BK70" i="12"/>
  <c r="BK69" i="12"/>
  <c r="BK68" i="12"/>
  <c r="BK67" i="12"/>
  <c r="BK66" i="12"/>
  <c r="BK62" i="12"/>
  <c r="BK61" i="12"/>
  <c r="BK60" i="12"/>
  <c r="BK57" i="12"/>
  <c r="BK56" i="12"/>
  <c r="BK54" i="12"/>
  <c r="BK47" i="12"/>
  <c r="BK39" i="12"/>
  <c r="BK38" i="12"/>
  <c r="BK36" i="12"/>
  <c r="BK35" i="12"/>
  <c r="BK34" i="12"/>
  <c r="BK33" i="12"/>
  <c r="BK28" i="12"/>
  <c r="BK25" i="12"/>
  <c r="BK23" i="12"/>
  <c r="BK22" i="12"/>
  <c r="BK16" i="12"/>
  <c r="BK14" i="12"/>
  <c r="BK10" i="12"/>
  <c r="BK5" i="12"/>
  <c r="BK41" i="11"/>
  <c r="BK40" i="11"/>
  <c r="BK39" i="11"/>
  <c r="BK38" i="11"/>
  <c r="BK37" i="11"/>
  <c r="BK36" i="11"/>
  <c r="BK35" i="11"/>
  <c r="BK32" i="11"/>
  <c r="BK30" i="11"/>
  <c r="BK29" i="11"/>
  <c r="BK28" i="11"/>
  <c r="BK27" i="11"/>
  <c r="BK26" i="11"/>
  <c r="BK25" i="11"/>
  <c r="BK24" i="11"/>
  <c r="BK23" i="11"/>
  <c r="BK22" i="11"/>
  <c r="BK21" i="11"/>
  <c r="BK20" i="11"/>
  <c r="BK19" i="11"/>
  <c r="BK18" i="11"/>
  <c r="BK17" i="11"/>
  <c r="BK16" i="11"/>
  <c r="BK15" i="11"/>
  <c r="BK14" i="11"/>
  <c r="BK13" i="11"/>
  <c r="BK11" i="11"/>
  <c r="BK10" i="11"/>
  <c r="BK9" i="11"/>
  <c r="BK8" i="11"/>
  <c r="BK6" i="11"/>
  <c r="BK5" i="11"/>
  <c r="M81" i="10"/>
  <c r="BE81" i="10" s="1"/>
  <c r="AS154" i="12" l="1"/>
  <c r="BB154" i="12" s="1"/>
  <c r="BF154" i="12" s="1"/>
  <c r="BG154" i="12" s="1"/>
  <c r="BH154" i="12"/>
  <c r="BE154" i="12" s="1"/>
  <c r="A81" i="10"/>
  <c r="B81" i="10"/>
  <c r="O81" i="10"/>
  <c r="AT81" i="10" s="1"/>
  <c r="BL81" i="10"/>
  <c r="Q81" i="10"/>
  <c r="AU81" i="10" s="1"/>
  <c r="BB81" i="10" s="1"/>
  <c r="S81" i="10"/>
  <c r="AV81" i="10" s="1"/>
  <c r="Y81" i="10"/>
  <c r="BL5" i="12"/>
  <c r="BL10" i="12"/>
  <c r="BL14" i="12"/>
  <c r="BL16" i="12"/>
  <c r="BL22" i="12"/>
  <c r="BL23" i="12"/>
  <c r="BL25" i="12"/>
  <c r="BL28" i="12"/>
  <c r="BL33" i="12"/>
  <c r="BL34" i="12"/>
  <c r="BL35" i="12"/>
  <c r="BL36" i="12"/>
  <c r="BL38" i="12"/>
  <c r="BL39" i="12"/>
  <c r="BL47" i="12"/>
  <c r="BL54" i="12"/>
  <c r="BL56" i="12"/>
  <c r="BL57" i="12"/>
  <c r="BL60" i="12"/>
  <c r="BL61" i="12"/>
  <c r="BL62" i="12"/>
  <c r="BL66" i="12"/>
  <c r="BL67" i="12"/>
  <c r="BL68" i="12"/>
  <c r="BL69" i="12"/>
  <c r="BL70" i="12"/>
  <c r="BL71" i="12"/>
  <c r="BL72" i="12"/>
  <c r="BL73" i="12"/>
  <c r="BL74" i="12"/>
  <c r="BL75" i="12"/>
  <c r="BL76" i="12"/>
  <c r="BL77" i="12"/>
  <c r="BL78" i="12"/>
  <c r="BL79" i="12"/>
  <c r="BL80" i="12"/>
  <c r="BL81" i="12"/>
  <c r="BL82" i="12"/>
  <c r="BL83" i="12"/>
  <c r="BL84" i="12"/>
  <c r="BL85" i="12"/>
  <c r="BL86" i="12"/>
  <c r="BL87" i="12"/>
  <c r="BL99" i="12"/>
  <c r="BL100" i="12"/>
  <c r="BL101" i="12"/>
  <c r="BL102" i="12"/>
  <c r="BL103" i="12"/>
  <c r="BL104" i="12"/>
  <c r="BL105" i="12"/>
  <c r="BL106" i="12"/>
  <c r="BL107" i="12"/>
  <c r="BL108" i="12"/>
  <c r="BL109" i="12"/>
  <c r="BL110" i="12"/>
  <c r="BL111" i="12"/>
  <c r="BL112" i="12"/>
  <c r="BL113" i="12"/>
  <c r="BL118" i="12"/>
  <c r="BL119" i="12"/>
  <c r="BL120" i="12"/>
  <c r="BL121" i="12"/>
  <c r="BL122" i="12"/>
  <c r="BL123" i="12"/>
  <c r="BL124" i="12"/>
  <c r="BL125" i="12"/>
  <c r="BL126" i="12"/>
  <c r="BL127" i="12"/>
  <c r="BL128" i="12"/>
  <c r="BL131" i="12"/>
  <c r="BL132" i="12"/>
  <c r="BL133" i="12"/>
  <c r="BL144" i="12"/>
  <c r="BL153" i="12"/>
  <c r="BL155" i="12"/>
  <c r="BL156" i="12"/>
  <c r="BL157" i="12"/>
  <c r="BL158" i="12"/>
  <c r="BL159" i="12"/>
  <c r="BL162" i="12"/>
  <c r="BL163" i="12"/>
  <c r="BL164" i="12"/>
  <c r="BL165" i="12"/>
  <c r="BL166" i="12"/>
  <c r="BL167" i="12"/>
  <c r="BL168" i="12"/>
  <c r="BL169" i="12"/>
  <c r="BL170" i="12"/>
  <c r="BL171" i="12"/>
  <c r="BL176" i="12"/>
  <c r="BL177" i="12"/>
  <c r="BL178" i="12"/>
  <c r="BL179" i="12"/>
  <c r="BL180" i="12"/>
  <c r="BL181" i="12"/>
  <c r="BL182" i="12"/>
  <c r="BL183" i="12"/>
  <c r="BL185" i="12"/>
  <c r="BL186" i="12"/>
  <c r="BL192" i="12"/>
  <c r="BL193" i="12"/>
  <c r="BL194" i="12"/>
  <c r="BL195" i="12"/>
  <c r="BL196" i="12"/>
  <c r="BL197" i="12"/>
  <c r="BL198" i="12"/>
  <c r="BL199" i="12"/>
  <c r="BL200" i="12"/>
  <c r="BL201" i="12"/>
  <c r="BL202" i="12"/>
  <c r="BL203" i="12"/>
  <c r="BL204" i="12"/>
  <c r="BL205" i="12"/>
  <c r="BL206" i="12"/>
  <c r="BL211" i="12"/>
  <c r="BL212" i="12"/>
  <c r="BL213" i="12"/>
  <c r="BL214" i="12"/>
  <c r="BL215" i="12"/>
  <c r="BL216" i="12"/>
  <c r="BL217" i="12"/>
  <c r="BL218" i="12"/>
  <c r="BL219" i="12"/>
  <c r="BL220" i="12"/>
  <c r="BL221" i="12"/>
  <c r="BL224" i="12"/>
  <c r="BL225" i="12"/>
  <c r="BL226" i="12"/>
  <c r="BL227" i="12"/>
  <c r="BL228" i="12"/>
  <c r="BL229" i="12"/>
  <c r="BL233" i="12"/>
  <c r="BL234" i="12"/>
  <c r="BL235" i="12"/>
  <c r="BL236" i="12"/>
  <c r="BL237" i="12"/>
  <c r="BL238" i="12"/>
  <c r="BL239" i="12"/>
  <c r="BL240" i="12"/>
  <c r="BL241" i="12"/>
  <c r="BL242" i="12"/>
  <c r="BL243" i="12"/>
  <c r="BL245" i="12"/>
  <c r="BL246" i="12"/>
  <c r="BL247" i="12"/>
  <c r="BL250" i="12"/>
  <c r="BL251" i="12"/>
  <c r="BL252" i="12"/>
  <c r="BL253" i="12"/>
  <c r="BL254" i="12"/>
  <c r="BL258" i="12"/>
  <c r="BL259" i="12"/>
  <c r="BL260" i="12"/>
  <c r="BL261" i="12"/>
  <c r="BL262" i="12"/>
  <c r="BL264" i="12"/>
  <c r="BL265" i="12"/>
  <c r="BL266" i="12"/>
  <c r="BL267" i="12"/>
  <c r="BL268" i="12"/>
  <c r="BL269" i="12"/>
  <c r="BL270" i="12"/>
  <c r="BL271" i="12"/>
  <c r="BL272" i="12"/>
  <c r="BL273" i="12"/>
  <c r="BL274" i="12"/>
  <c r="BL275" i="12"/>
  <c r="BL276" i="12"/>
  <c r="BL277" i="12"/>
  <c r="BL278" i="12"/>
  <c r="BL279" i="12"/>
  <c r="BL280" i="12"/>
  <c r="BL281" i="12"/>
  <c r="BL282" i="12"/>
  <c r="BL283" i="12"/>
  <c r="BL284" i="12"/>
  <c r="BL286" i="12"/>
  <c r="BL287" i="12"/>
  <c r="BL288" i="12"/>
  <c r="BL289" i="12"/>
  <c r="BL290" i="12"/>
  <c r="BL291" i="12"/>
  <c r="BL292" i="12"/>
  <c r="BL293" i="12"/>
  <c r="BL294" i="12"/>
  <c r="BL295" i="12"/>
  <c r="BL296" i="12"/>
  <c r="BL297" i="12"/>
  <c r="BL298" i="12"/>
  <c r="BL299" i="12"/>
  <c r="BL300" i="12"/>
  <c r="BL301" i="12"/>
  <c r="BL302" i="12"/>
  <c r="BL303" i="12"/>
  <c r="BL304" i="12"/>
  <c r="BL305" i="12"/>
  <c r="BL306" i="12"/>
  <c r="BL307" i="12"/>
  <c r="BL308" i="12"/>
  <c r="BL309" i="12"/>
  <c r="BL310" i="12"/>
  <c r="BL311" i="12"/>
  <c r="BL312" i="12"/>
  <c r="BL313" i="12"/>
  <c r="BL315" i="12"/>
  <c r="BL316" i="12"/>
  <c r="BL319" i="12"/>
  <c r="BL320" i="12"/>
  <c r="BL321" i="12"/>
  <c r="BL322" i="12"/>
  <c r="BL323" i="12"/>
  <c r="BL324" i="12"/>
  <c r="BL327" i="12"/>
  <c r="BL328" i="12"/>
  <c r="BL329" i="12"/>
  <c r="BL330" i="12"/>
  <c r="BL331" i="12"/>
  <c r="BL332" i="12"/>
  <c r="BL333" i="12"/>
  <c r="BL334" i="12"/>
  <c r="BL335" i="12"/>
  <c r="BL336" i="12"/>
  <c r="BL337" i="12"/>
  <c r="BL338" i="12"/>
  <c r="BL339" i="12"/>
  <c r="BL340" i="12"/>
  <c r="BL341" i="12"/>
  <c r="BL342" i="12"/>
  <c r="BL343" i="12"/>
  <c r="BL344" i="12"/>
  <c r="BL345" i="12"/>
  <c r="BL346" i="12"/>
  <c r="BL347" i="12"/>
  <c r="BL348" i="12"/>
  <c r="BL349" i="12"/>
  <c r="BL350" i="12"/>
  <c r="BL351" i="12"/>
  <c r="BL352" i="12"/>
  <c r="BL353" i="12"/>
  <c r="BL354" i="12"/>
  <c r="BL355" i="12"/>
  <c r="BL356" i="12"/>
  <c r="BL357" i="12"/>
  <c r="BL358" i="12"/>
  <c r="BL359" i="12"/>
  <c r="BL360" i="12"/>
  <c r="BL361" i="12"/>
  <c r="BL362" i="12"/>
  <c r="BL363" i="12"/>
  <c r="BL384" i="12"/>
  <c r="BL385" i="12"/>
  <c r="BL388" i="12"/>
  <c r="BL389" i="12"/>
  <c r="BL390" i="12"/>
  <c r="BL391" i="12"/>
  <c r="BL392" i="12"/>
  <c r="BL393" i="12"/>
  <c r="BL394" i="12"/>
  <c r="BL395" i="12"/>
  <c r="BL416" i="12"/>
  <c r="BL417" i="12"/>
  <c r="BL418" i="12"/>
  <c r="BL419" i="12"/>
  <c r="BL420" i="12"/>
  <c r="BL421" i="12"/>
  <c r="BL422" i="12"/>
  <c r="BL423" i="12"/>
  <c r="BL424" i="12"/>
  <c r="BL425" i="12"/>
  <c r="BL426" i="12"/>
  <c r="BL427" i="12"/>
  <c r="BJ5" i="12"/>
  <c r="BJ10" i="12"/>
  <c r="BJ14" i="12"/>
  <c r="BJ16" i="12"/>
  <c r="BJ22" i="12"/>
  <c r="BJ23" i="12"/>
  <c r="BJ25" i="12"/>
  <c r="BJ28" i="12"/>
  <c r="BJ33" i="12"/>
  <c r="BJ34" i="12"/>
  <c r="BJ35" i="12"/>
  <c r="BJ36" i="12"/>
  <c r="BJ38" i="12"/>
  <c r="BJ39" i="12"/>
  <c r="BJ47" i="12"/>
  <c r="BJ54" i="12"/>
  <c r="BJ56" i="12"/>
  <c r="BJ57" i="12"/>
  <c r="BJ60" i="12"/>
  <c r="BJ61" i="12"/>
  <c r="BJ62" i="12"/>
  <c r="BJ66" i="12"/>
  <c r="BJ67" i="12"/>
  <c r="BJ68" i="12"/>
  <c r="BJ69" i="12"/>
  <c r="BJ70" i="12"/>
  <c r="BJ71" i="12"/>
  <c r="BJ72" i="12"/>
  <c r="BJ73" i="12"/>
  <c r="BJ74" i="12"/>
  <c r="BJ75" i="12"/>
  <c r="BJ76" i="12"/>
  <c r="BJ77" i="12"/>
  <c r="BJ78" i="12"/>
  <c r="BJ79" i="12"/>
  <c r="BJ80" i="12"/>
  <c r="BJ81" i="12"/>
  <c r="BJ82" i="12"/>
  <c r="BJ83" i="12"/>
  <c r="BJ84" i="12"/>
  <c r="BJ85" i="12"/>
  <c r="BJ86" i="12"/>
  <c r="BJ87" i="12"/>
  <c r="BJ99" i="12"/>
  <c r="BJ100" i="12"/>
  <c r="BJ101" i="12"/>
  <c r="BJ102" i="12"/>
  <c r="BJ103" i="12"/>
  <c r="BJ104" i="12"/>
  <c r="BJ105" i="12"/>
  <c r="BJ106" i="12"/>
  <c r="BJ107" i="12"/>
  <c r="BJ108" i="12"/>
  <c r="BJ109" i="12"/>
  <c r="BJ110" i="12"/>
  <c r="BJ111" i="12"/>
  <c r="BJ112" i="12"/>
  <c r="BJ113" i="12"/>
  <c r="BJ118" i="12"/>
  <c r="BJ119" i="12"/>
  <c r="BJ120" i="12"/>
  <c r="BJ121" i="12"/>
  <c r="BJ122" i="12"/>
  <c r="BJ123" i="12"/>
  <c r="BJ124" i="12"/>
  <c r="BJ125" i="12"/>
  <c r="BJ126" i="12"/>
  <c r="BJ127" i="12"/>
  <c r="BJ128" i="12"/>
  <c r="BJ131" i="12"/>
  <c r="BJ132" i="12"/>
  <c r="BJ133" i="12"/>
  <c r="BJ144" i="12"/>
  <c r="BJ153" i="12"/>
  <c r="BJ155" i="12"/>
  <c r="BJ156" i="12"/>
  <c r="BJ157" i="12"/>
  <c r="BJ158" i="12"/>
  <c r="BJ159" i="12"/>
  <c r="BJ162" i="12"/>
  <c r="BJ163" i="12"/>
  <c r="BJ164" i="12"/>
  <c r="BJ165" i="12"/>
  <c r="BJ166" i="12"/>
  <c r="BJ167" i="12"/>
  <c r="BJ168" i="12"/>
  <c r="BJ169" i="12"/>
  <c r="BJ170" i="12"/>
  <c r="BJ171" i="12"/>
  <c r="BJ176" i="12"/>
  <c r="BJ177" i="12"/>
  <c r="BJ178" i="12"/>
  <c r="BJ179" i="12"/>
  <c r="BJ180" i="12"/>
  <c r="BJ181" i="12"/>
  <c r="BJ182" i="12"/>
  <c r="BJ183" i="12"/>
  <c r="BJ185" i="12"/>
  <c r="BJ186" i="12"/>
  <c r="BJ192" i="12"/>
  <c r="BJ193" i="12"/>
  <c r="BJ194" i="12"/>
  <c r="BJ195" i="12"/>
  <c r="BJ196" i="12"/>
  <c r="BJ197" i="12"/>
  <c r="BJ198" i="12"/>
  <c r="BJ199" i="12"/>
  <c r="BJ200" i="12"/>
  <c r="BJ201" i="12"/>
  <c r="BJ202" i="12"/>
  <c r="BJ203" i="12"/>
  <c r="BJ204" i="12"/>
  <c r="BJ205" i="12"/>
  <c r="BJ206" i="12"/>
  <c r="BJ211" i="12"/>
  <c r="BJ212" i="12"/>
  <c r="BJ213" i="12"/>
  <c r="BJ214" i="12"/>
  <c r="BJ215" i="12"/>
  <c r="BJ216" i="12"/>
  <c r="BJ217" i="12"/>
  <c r="BJ218" i="12"/>
  <c r="BJ219" i="12"/>
  <c r="BJ220" i="12"/>
  <c r="BJ221" i="12"/>
  <c r="BJ224" i="12"/>
  <c r="BJ225" i="12"/>
  <c r="BJ226" i="12"/>
  <c r="BJ227" i="12"/>
  <c r="BJ228" i="12"/>
  <c r="BJ229" i="12"/>
  <c r="BJ233" i="12"/>
  <c r="BJ234" i="12"/>
  <c r="BJ235" i="12"/>
  <c r="BJ236" i="12"/>
  <c r="BJ237" i="12"/>
  <c r="BJ238" i="12"/>
  <c r="BJ239" i="12"/>
  <c r="BJ240" i="12"/>
  <c r="BJ241" i="12"/>
  <c r="BJ242" i="12"/>
  <c r="BJ243" i="12"/>
  <c r="BJ245" i="12"/>
  <c r="BJ246" i="12"/>
  <c r="BJ247" i="12"/>
  <c r="BJ250" i="12"/>
  <c r="BJ251" i="12"/>
  <c r="BJ252" i="12"/>
  <c r="BJ253" i="12"/>
  <c r="BJ254" i="12"/>
  <c r="BJ258" i="12"/>
  <c r="BJ259" i="12"/>
  <c r="BJ260" i="12"/>
  <c r="BJ261" i="12"/>
  <c r="BJ262" i="12"/>
  <c r="BJ264" i="12"/>
  <c r="BJ265" i="12"/>
  <c r="BJ266" i="12"/>
  <c r="BJ267" i="12"/>
  <c r="BJ268" i="12"/>
  <c r="BJ269" i="12"/>
  <c r="BJ270" i="12"/>
  <c r="BJ271" i="12"/>
  <c r="BJ272" i="12"/>
  <c r="BJ273" i="12"/>
  <c r="BJ274" i="12"/>
  <c r="BJ275" i="12"/>
  <c r="BJ276" i="12"/>
  <c r="BJ277" i="12"/>
  <c r="BJ278" i="12"/>
  <c r="BJ279" i="12"/>
  <c r="BJ280" i="12"/>
  <c r="BJ281" i="12"/>
  <c r="BJ282" i="12"/>
  <c r="BJ283" i="12"/>
  <c r="BJ284" i="12"/>
  <c r="BJ286" i="12"/>
  <c r="BJ287" i="12"/>
  <c r="BJ288" i="12"/>
  <c r="BJ289" i="12"/>
  <c r="BJ290" i="12"/>
  <c r="BJ291" i="12"/>
  <c r="BJ292" i="12"/>
  <c r="BJ293" i="12"/>
  <c r="BJ294" i="12"/>
  <c r="BJ295" i="12"/>
  <c r="BJ296" i="12"/>
  <c r="BJ297" i="12"/>
  <c r="BJ298" i="12"/>
  <c r="BJ299" i="12"/>
  <c r="BJ300" i="12"/>
  <c r="BJ301" i="12"/>
  <c r="BJ302" i="12"/>
  <c r="BJ303" i="12"/>
  <c r="BJ304" i="12"/>
  <c r="BJ305" i="12"/>
  <c r="BJ306" i="12"/>
  <c r="BJ307" i="12"/>
  <c r="BJ308" i="12"/>
  <c r="BJ309" i="12"/>
  <c r="BJ310" i="12"/>
  <c r="BJ311" i="12"/>
  <c r="BJ312" i="12"/>
  <c r="BJ313" i="12"/>
  <c r="BJ315" i="12"/>
  <c r="BJ316" i="12"/>
  <c r="BJ319" i="12"/>
  <c r="BJ320" i="12"/>
  <c r="BJ321" i="12"/>
  <c r="BJ322" i="12"/>
  <c r="BJ323" i="12"/>
  <c r="BJ324" i="12"/>
  <c r="BJ327" i="12"/>
  <c r="BJ328" i="12"/>
  <c r="BJ329" i="12"/>
  <c r="BJ330" i="12"/>
  <c r="BJ331" i="12"/>
  <c r="BJ332" i="12"/>
  <c r="BJ333" i="12"/>
  <c r="BJ334" i="12"/>
  <c r="BJ335" i="12"/>
  <c r="BJ336" i="12"/>
  <c r="BJ337" i="12"/>
  <c r="BJ338" i="12"/>
  <c r="BJ339" i="12"/>
  <c r="BJ340" i="12"/>
  <c r="BJ341" i="12"/>
  <c r="BJ342" i="12"/>
  <c r="BJ343" i="12"/>
  <c r="BJ344" i="12"/>
  <c r="BJ345" i="12"/>
  <c r="BJ346" i="12"/>
  <c r="BJ347" i="12"/>
  <c r="BJ348" i="12"/>
  <c r="BJ349" i="12"/>
  <c r="BJ350" i="12"/>
  <c r="BJ351" i="12"/>
  <c r="BJ352" i="12"/>
  <c r="BJ353" i="12"/>
  <c r="BJ354" i="12"/>
  <c r="BJ355" i="12"/>
  <c r="BJ356" i="12"/>
  <c r="BJ357" i="12"/>
  <c r="BJ358" i="12"/>
  <c r="BJ359" i="12"/>
  <c r="BJ360" i="12"/>
  <c r="BJ361" i="12"/>
  <c r="BJ362" i="12"/>
  <c r="BJ363" i="12"/>
  <c r="BJ364" i="12"/>
  <c r="BJ365" i="12"/>
  <c r="BJ366" i="12"/>
  <c r="BJ367" i="12"/>
  <c r="BJ368" i="12"/>
  <c r="BJ369" i="12"/>
  <c r="BJ370" i="12"/>
  <c r="BJ371" i="12"/>
  <c r="BJ372" i="12"/>
  <c r="BJ373" i="12"/>
  <c r="BJ374" i="12"/>
  <c r="BJ375" i="12"/>
  <c r="BJ376" i="12"/>
  <c r="BJ377" i="12"/>
  <c r="BJ378" i="12"/>
  <c r="BJ379" i="12"/>
  <c r="BJ380" i="12"/>
  <c r="BJ381" i="12"/>
  <c r="BJ382" i="12"/>
  <c r="BJ383" i="12"/>
  <c r="BJ384" i="12"/>
  <c r="BJ385" i="12"/>
  <c r="BJ388" i="12"/>
  <c r="BJ389" i="12"/>
  <c r="BJ390" i="12"/>
  <c r="BJ391" i="12"/>
  <c r="BJ392" i="12"/>
  <c r="BJ393" i="12"/>
  <c r="BJ394" i="12"/>
  <c r="BJ395" i="12"/>
  <c r="BJ396" i="12"/>
  <c r="BJ397" i="12"/>
  <c r="BJ398" i="12"/>
  <c r="BJ399" i="12"/>
  <c r="BJ400" i="12"/>
  <c r="BJ401" i="12"/>
  <c r="BJ402" i="12"/>
  <c r="BJ405" i="12"/>
  <c r="BJ406" i="12"/>
  <c r="BJ408" i="12"/>
  <c r="BJ409" i="12"/>
  <c r="BJ411" i="12"/>
  <c r="BJ414" i="12"/>
  <c r="BJ416" i="12"/>
  <c r="BJ417" i="12"/>
  <c r="BJ418" i="12"/>
  <c r="BJ419" i="12"/>
  <c r="BJ420" i="12"/>
  <c r="BJ421" i="12"/>
  <c r="BJ422" i="12"/>
  <c r="BJ423" i="12"/>
  <c r="BJ424" i="12"/>
  <c r="BJ425" i="12"/>
  <c r="BJ426" i="12"/>
  <c r="BJ427" i="12"/>
  <c r="BI5" i="12"/>
  <c r="BI10" i="12"/>
  <c r="BI14" i="12"/>
  <c r="BI16" i="12"/>
  <c r="BI22" i="12"/>
  <c r="BI23" i="12"/>
  <c r="BI25" i="12"/>
  <c r="BI28" i="12"/>
  <c r="BI33" i="12"/>
  <c r="BI34" i="12"/>
  <c r="BI35" i="12"/>
  <c r="BI36" i="12"/>
  <c r="BI38" i="12"/>
  <c r="BI39" i="12"/>
  <c r="BI47" i="12"/>
  <c r="BI54" i="12"/>
  <c r="BI56" i="12"/>
  <c r="BI57" i="12"/>
  <c r="BI60" i="12"/>
  <c r="BI61" i="12"/>
  <c r="BI62" i="12"/>
  <c r="BI66" i="12"/>
  <c r="BI67" i="12"/>
  <c r="BI68" i="12"/>
  <c r="BI69" i="12"/>
  <c r="BI70" i="12"/>
  <c r="BI71" i="12"/>
  <c r="BI72" i="12"/>
  <c r="BI73" i="12"/>
  <c r="BI74" i="12"/>
  <c r="BI75" i="12"/>
  <c r="BI76" i="12"/>
  <c r="BI77" i="12"/>
  <c r="BI78" i="12"/>
  <c r="BI79" i="12"/>
  <c r="BI80" i="12"/>
  <c r="BI81" i="12"/>
  <c r="BI82" i="12"/>
  <c r="BI83" i="12"/>
  <c r="BI84" i="12"/>
  <c r="BI85" i="12"/>
  <c r="BI86" i="12"/>
  <c r="BI87" i="12"/>
  <c r="BI99" i="12"/>
  <c r="BI100" i="12"/>
  <c r="BI101" i="12"/>
  <c r="BI102" i="12"/>
  <c r="BI103" i="12"/>
  <c r="BI104" i="12"/>
  <c r="BI105" i="12"/>
  <c r="BI106" i="12"/>
  <c r="BI107" i="12"/>
  <c r="BI108" i="12"/>
  <c r="BI109" i="12"/>
  <c r="BI110" i="12"/>
  <c r="BI111" i="12"/>
  <c r="BI112" i="12"/>
  <c r="BI113" i="12"/>
  <c r="BI118" i="12"/>
  <c r="BI119" i="12"/>
  <c r="BI120" i="12"/>
  <c r="BI121" i="12"/>
  <c r="BI122" i="12"/>
  <c r="BI123" i="12"/>
  <c r="BI124" i="12"/>
  <c r="BI125" i="12"/>
  <c r="BI126" i="12"/>
  <c r="BI127" i="12"/>
  <c r="BI128" i="12"/>
  <c r="BI131" i="12"/>
  <c r="BI132" i="12"/>
  <c r="BI133" i="12"/>
  <c r="BI144" i="12"/>
  <c r="BI153" i="12"/>
  <c r="BI155" i="12"/>
  <c r="BI156" i="12"/>
  <c r="BI157" i="12"/>
  <c r="BI158" i="12"/>
  <c r="BI159" i="12"/>
  <c r="BI162" i="12"/>
  <c r="BI163" i="12"/>
  <c r="BI164" i="12"/>
  <c r="BI165" i="12"/>
  <c r="BI166" i="12"/>
  <c r="BI167" i="12"/>
  <c r="BI168" i="12"/>
  <c r="BI169" i="12"/>
  <c r="BI170" i="12"/>
  <c r="BI171" i="12"/>
  <c r="BI176" i="12"/>
  <c r="BI177" i="12"/>
  <c r="BI178" i="12"/>
  <c r="BI179" i="12"/>
  <c r="BI180" i="12"/>
  <c r="BI181" i="12"/>
  <c r="BI182" i="12"/>
  <c r="BI183" i="12"/>
  <c r="BI185" i="12"/>
  <c r="BI186" i="12"/>
  <c r="BI192" i="12"/>
  <c r="BI193" i="12"/>
  <c r="BI194" i="12"/>
  <c r="BI195" i="12"/>
  <c r="BI196" i="12"/>
  <c r="BI197" i="12"/>
  <c r="BI198" i="12"/>
  <c r="BI199" i="12"/>
  <c r="BI200" i="12"/>
  <c r="BI201" i="12"/>
  <c r="BI202" i="12"/>
  <c r="BI203" i="12"/>
  <c r="BI204" i="12"/>
  <c r="BI205" i="12"/>
  <c r="BI206" i="12"/>
  <c r="BI211" i="12"/>
  <c r="BI212" i="12"/>
  <c r="BI213" i="12"/>
  <c r="BI214" i="12"/>
  <c r="BI215" i="12"/>
  <c r="BI216" i="12"/>
  <c r="BI217" i="12"/>
  <c r="BI218" i="12"/>
  <c r="BI219" i="12"/>
  <c r="BI220" i="12"/>
  <c r="BI221" i="12"/>
  <c r="BI224" i="12"/>
  <c r="BI225" i="12"/>
  <c r="BI226" i="12"/>
  <c r="BI227" i="12"/>
  <c r="BI228" i="12"/>
  <c r="BI229" i="12"/>
  <c r="BI233" i="12"/>
  <c r="BI234" i="12"/>
  <c r="BI235" i="12"/>
  <c r="BI236" i="12"/>
  <c r="BI237" i="12"/>
  <c r="BI238" i="12"/>
  <c r="BI239" i="12"/>
  <c r="BI240" i="12"/>
  <c r="BI241" i="12"/>
  <c r="BI242" i="12"/>
  <c r="BI243" i="12"/>
  <c r="BI245" i="12"/>
  <c r="BI246" i="12"/>
  <c r="BI247" i="12"/>
  <c r="BI250" i="12"/>
  <c r="BI251" i="12"/>
  <c r="BI252" i="12"/>
  <c r="BI253" i="12"/>
  <c r="BI254" i="12"/>
  <c r="BI258" i="12"/>
  <c r="BI259" i="12"/>
  <c r="BI260" i="12"/>
  <c r="BI261" i="12"/>
  <c r="BI262" i="12"/>
  <c r="BI264" i="12"/>
  <c r="BI265" i="12"/>
  <c r="BI266" i="12"/>
  <c r="BI267" i="12"/>
  <c r="BI268" i="12"/>
  <c r="BI269" i="12"/>
  <c r="BI270" i="12"/>
  <c r="BI271" i="12"/>
  <c r="BI272" i="12"/>
  <c r="BI273" i="12"/>
  <c r="BI274" i="12"/>
  <c r="BI275" i="12"/>
  <c r="BI276" i="12"/>
  <c r="BI277" i="12"/>
  <c r="BI278" i="12"/>
  <c r="BI279" i="12"/>
  <c r="BI280" i="12"/>
  <c r="BI281" i="12"/>
  <c r="BI282" i="12"/>
  <c r="BI283" i="12"/>
  <c r="BI284" i="12"/>
  <c r="BI286" i="12"/>
  <c r="BI287" i="12"/>
  <c r="BI288" i="12"/>
  <c r="BI289" i="12"/>
  <c r="BI290" i="12"/>
  <c r="BI291" i="12"/>
  <c r="BI292" i="12"/>
  <c r="BI293" i="12"/>
  <c r="BI294" i="12"/>
  <c r="BI295" i="12"/>
  <c r="BI296" i="12"/>
  <c r="BI297" i="12"/>
  <c r="BI298" i="12"/>
  <c r="BI299" i="12"/>
  <c r="BI300" i="12"/>
  <c r="BI301" i="12"/>
  <c r="BI302" i="12"/>
  <c r="BI303" i="12"/>
  <c r="BI304" i="12"/>
  <c r="BI305" i="12"/>
  <c r="BI306" i="12"/>
  <c r="BI307" i="12"/>
  <c r="BI308" i="12"/>
  <c r="BI309" i="12"/>
  <c r="BI310" i="12"/>
  <c r="BI311" i="12"/>
  <c r="BI312" i="12"/>
  <c r="BI313" i="12"/>
  <c r="BI315" i="12"/>
  <c r="BI316" i="12"/>
  <c r="BI319" i="12"/>
  <c r="BI320" i="12"/>
  <c r="BI321" i="12"/>
  <c r="BI322" i="12"/>
  <c r="BI323" i="12"/>
  <c r="BI324" i="12"/>
  <c r="BI327" i="12"/>
  <c r="BI328" i="12"/>
  <c r="BI329" i="12"/>
  <c r="BI330" i="12"/>
  <c r="BI331" i="12"/>
  <c r="BI332" i="12"/>
  <c r="BI333" i="12"/>
  <c r="BI334" i="12"/>
  <c r="BI335" i="12"/>
  <c r="BI336" i="12"/>
  <c r="BI337" i="12"/>
  <c r="BI338" i="12"/>
  <c r="BI339" i="12"/>
  <c r="BI340" i="12"/>
  <c r="BI341" i="12"/>
  <c r="BI342" i="12"/>
  <c r="BI343" i="12"/>
  <c r="BI344" i="12"/>
  <c r="BI345" i="12"/>
  <c r="BI346" i="12"/>
  <c r="BI347" i="12"/>
  <c r="BI348" i="12"/>
  <c r="BI349" i="12"/>
  <c r="BI350" i="12"/>
  <c r="BI351" i="12"/>
  <c r="BI352" i="12"/>
  <c r="BI353" i="12"/>
  <c r="BI354" i="12"/>
  <c r="BI355" i="12"/>
  <c r="BI356" i="12"/>
  <c r="BI357" i="12"/>
  <c r="BI358" i="12"/>
  <c r="BI359" i="12"/>
  <c r="BI360" i="12"/>
  <c r="BI361" i="12"/>
  <c r="BI362" i="12"/>
  <c r="BI363" i="12"/>
  <c r="BI364" i="12"/>
  <c r="BI365" i="12"/>
  <c r="BI366" i="12"/>
  <c r="BI367" i="12"/>
  <c r="BI368" i="12"/>
  <c r="BI369" i="12"/>
  <c r="BI370" i="12"/>
  <c r="BI371" i="12"/>
  <c r="BI372" i="12"/>
  <c r="BI373" i="12"/>
  <c r="BI374" i="12"/>
  <c r="BI375" i="12"/>
  <c r="BI376" i="12"/>
  <c r="BI377" i="12"/>
  <c r="BI378" i="12"/>
  <c r="BI379" i="12"/>
  <c r="BI380" i="12"/>
  <c r="BI381" i="12"/>
  <c r="BI382" i="12"/>
  <c r="BI383" i="12"/>
  <c r="BI384" i="12"/>
  <c r="BI385" i="12"/>
  <c r="BI388" i="12"/>
  <c r="BI389" i="12"/>
  <c r="BI390" i="12"/>
  <c r="BI391" i="12"/>
  <c r="BI392" i="12"/>
  <c r="BI393" i="12"/>
  <c r="BI394" i="12"/>
  <c r="BI395" i="12"/>
  <c r="BI396" i="12"/>
  <c r="BI397" i="12"/>
  <c r="BI398" i="12"/>
  <c r="BI399" i="12"/>
  <c r="BI400" i="12"/>
  <c r="BI401" i="12"/>
  <c r="BI402" i="12"/>
  <c r="BI405" i="12"/>
  <c r="BI406" i="12"/>
  <c r="BI408" i="12"/>
  <c r="BI409" i="12"/>
  <c r="BI411" i="12"/>
  <c r="BI414" i="12"/>
  <c r="BI416" i="12"/>
  <c r="BI417" i="12"/>
  <c r="BI418" i="12"/>
  <c r="BI419" i="12"/>
  <c r="BI420" i="12"/>
  <c r="BI421" i="12"/>
  <c r="BI422" i="12"/>
  <c r="BI423" i="12"/>
  <c r="BI424" i="12"/>
  <c r="BI425" i="12"/>
  <c r="BI426" i="12"/>
  <c r="BI427" i="12"/>
  <c r="AS427" i="12"/>
  <c r="BB427" i="12" s="1"/>
  <c r="AE427" i="12"/>
  <c r="BA427" i="12" s="1"/>
  <c r="AC427" i="12"/>
  <c r="AZ427" i="12" s="1"/>
  <c r="AA427" i="12"/>
  <c r="Y427" i="12"/>
  <c r="AY427" i="12" s="1"/>
  <c r="W427" i="12"/>
  <c r="AX427" i="12" s="1"/>
  <c r="U427" i="12"/>
  <c r="AW427" i="12" s="1"/>
  <c r="S427" i="12"/>
  <c r="AV427" i="12" s="1"/>
  <c r="Q427" i="12"/>
  <c r="AU427" i="12" s="1"/>
  <c r="O427" i="12"/>
  <c r="AT427" i="12" s="1"/>
  <c r="AS426" i="12"/>
  <c r="BB426" i="12" s="1"/>
  <c r="AE426" i="12"/>
  <c r="BA426" i="12" s="1"/>
  <c r="AC426" i="12"/>
  <c r="AZ426" i="12" s="1"/>
  <c r="AA426" i="12"/>
  <c r="Y426" i="12"/>
  <c r="AY426" i="12" s="1"/>
  <c r="W426" i="12"/>
  <c r="AX426" i="12" s="1"/>
  <c r="U426" i="12"/>
  <c r="AW426" i="12" s="1"/>
  <c r="AV426" i="12"/>
  <c r="AU426" i="12"/>
  <c r="AT426" i="12"/>
  <c r="AS425" i="12"/>
  <c r="BB425" i="12" s="1"/>
  <c r="AE425" i="12"/>
  <c r="BA425" i="12" s="1"/>
  <c r="AC425" i="12"/>
  <c r="AZ425" i="12" s="1"/>
  <c r="AA425" i="12"/>
  <c r="Y425" i="12"/>
  <c r="AY425" i="12" s="1"/>
  <c r="W425" i="12"/>
  <c r="AX425" i="12" s="1"/>
  <c r="U425" i="12"/>
  <c r="AW425" i="12" s="1"/>
  <c r="S425" i="12"/>
  <c r="AV425" i="12" s="1"/>
  <c r="Q425" i="12"/>
  <c r="AU425" i="12" s="1"/>
  <c r="O425" i="12"/>
  <c r="AT425" i="12" s="1"/>
  <c r="AS424" i="12"/>
  <c r="BB424" i="12" s="1"/>
  <c r="AE424" i="12"/>
  <c r="BA424" i="12" s="1"/>
  <c r="AC424" i="12"/>
  <c r="AZ424" i="12" s="1"/>
  <c r="AA424" i="12"/>
  <c r="Y424" i="12"/>
  <c r="AY424" i="12" s="1"/>
  <c r="W424" i="12"/>
  <c r="AX424" i="12" s="1"/>
  <c r="U424" i="12"/>
  <c r="AW424" i="12" s="1"/>
  <c r="AV424" i="12"/>
  <c r="AU424" i="12"/>
  <c r="AT424" i="12"/>
  <c r="AS423" i="12"/>
  <c r="BB423" i="12" s="1"/>
  <c r="AE423" i="12"/>
  <c r="BA423" i="12" s="1"/>
  <c r="AC423" i="12"/>
  <c r="AZ423" i="12" s="1"/>
  <c r="AA423" i="12"/>
  <c r="Y423" i="12"/>
  <c r="AY423" i="12" s="1"/>
  <c r="W423" i="12"/>
  <c r="AX423" i="12" s="1"/>
  <c r="U423" i="12"/>
  <c r="AW423" i="12" s="1"/>
  <c r="S423" i="12"/>
  <c r="AV423" i="12" s="1"/>
  <c r="Q423" i="12"/>
  <c r="AU423" i="12" s="1"/>
  <c r="O423" i="12"/>
  <c r="AT423" i="12" s="1"/>
  <c r="AS422" i="12"/>
  <c r="BB422" i="12" s="1"/>
  <c r="AE422" i="12"/>
  <c r="BA422" i="12" s="1"/>
  <c r="AC422" i="12"/>
  <c r="AZ422" i="12" s="1"/>
  <c r="AA422" i="12"/>
  <c r="Y422" i="12"/>
  <c r="AY422" i="12" s="1"/>
  <c r="W422" i="12"/>
  <c r="AX422" i="12" s="1"/>
  <c r="U422" i="12"/>
  <c r="AW422" i="12" s="1"/>
  <c r="S422" i="12"/>
  <c r="AV422" i="12" s="1"/>
  <c r="Q422" i="12"/>
  <c r="AU422" i="12" s="1"/>
  <c r="O422" i="12"/>
  <c r="AT422" i="12" s="1"/>
  <c r="AS421" i="12"/>
  <c r="BB421" i="12" s="1"/>
  <c r="AE421" i="12"/>
  <c r="BA421" i="12" s="1"/>
  <c r="AC421" i="12"/>
  <c r="AZ421" i="12" s="1"/>
  <c r="AA421" i="12"/>
  <c r="Y421" i="12"/>
  <c r="AY421" i="12" s="1"/>
  <c r="W421" i="12"/>
  <c r="AX421" i="12" s="1"/>
  <c r="U421" i="12"/>
  <c r="AW421" i="12" s="1"/>
  <c r="S421" i="12"/>
  <c r="AV421" i="12" s="1"/>
  <c r="Q421" i="12"/>
  <c r="AU421" i="12" s="1"/>
  <c r="O421" i="12"/>
  <c r="AT421" i="12" s="1"/>
  <c r="AS420" i="12"/>
  <c r="BB420" i="12" s="1"/>
  <c r="AE420" i="12"/>
  <c r="BA420" i="12" s="1"/>
  <c r="AC420" i="12"/>
  <c r="AZ420" i="12" s="1"/>
  <c r="AA420" i="12"/>
  <c r="Y420" i="12"/>
  <c r="AY420" i="12" s="1"/>
  <c r="W420" i="12"/>
  <c r="AX420" i="12" s="1"/>
  <c r="U420" i="12"/>
  <c r="AW420" i="12" s="1"/>
  <c r="S420" i="12"/>
  <c r="AV420" i="12" s="1"/>
  <c r="Q420" i="12"/>
  <c r="AU420" i="12" s="1"/>
  <c r="O420" i="12"/>
  <c r="AT420" i="12" s="1"/>
  <c r="AS419" i="12"/>
  <c r="BB419" i="12" s="1"/>
  <c r="AE419" i="12"/>
  <c r="BA419" i="12" s="1"/>
  <c r="AC419" i="12"/>
  <c r="AZ419" i="12" s="1"/>
  <c r="AA419" i="12"/>
  <c r="Y419" i="12"/>
  <c r="AY419" i="12" s="1"/>
  <c r="W419" i="12"/>
  <c r="AX419" i="12" s="1"/>
  <c r="U419" i="12"/>
  <c r="AW419" i="12" s="1"/>
  <c r="S419" i="12"/>
  <c r="AV419" i="12" s="1"/>
  <c r="Q419" i="12"/>
  <c r="AU419" i="12" s="1"/>
  <c r="O419" i="12"/>
  <c r="AT419" i="12" s="1"/>
  <c r="AS418" i="12"/>
  <c r="BB418" i="12" s="1"/>
  <c r="AE418" i="12"/>
  <c r="BA418" i="12" s="1"/>
  <c r="AC418" i="12"/>
  <c r="AZ418" i="12" s="1"/>
  <c r="AA418" i="12"/>
  <c r="Y418" i="12"/>
  <c r="AY418" i="12" s="1"/>
  <c r="W418" i="12"/>
  <c r="AX418" i="12" s="1"/>
  <c r="U418" i="12"/>
  <c r="AW418" i="12" s="1"/>
  <c r="AV418" i="12"/>
  <c r="AU418" i="12"/>
  <c r="AT418" i="12"/>
  <c r="AS417" i="12"/>
  <c r="BB417" i="12" s="1"/>
  <c r="AE417" i="12"/>
  <c r="BA417" i="12" s="1"/>
  <c r="AC417" i="12"/>
  <c r="AZ417" i="12" s="1"/>
  <c r="AA417" i="12"/>
  <c r="Y417" i="12"/>
  <c r="AY417" i="12" s="1"/>
  <c r="W417" i="12"/>
  <c r="AX417" i="12" s="1"/>
  <c r="U417" i="12"/>
  <c r="AW417" i="12" s="1"/>
  <c r="S417" i="12"/>
  <c r="AV417" i="12" s="1"/>
  <c r="Q417" i="12"/>
  <c r="AU417" i="12" s="1"/>
  <c r="O417" i="12"/>
  <c r="AT417" i="12" s="1"/>
  <c r="AS416" i="12"/>
  <c r="BB416" i="12" s="1"/>
  <c r="AE416" i="12"/>
  <c r="BA416" i="12" s="1"/>
  <c r="AC416" i="12"/>
  <c r="AZ416" i="12" s="1"/>
  <c r="AA416" i="12"/>
  <c r="Y416" i="12"/>
  <c r="AY416" i="12" s="1"/>
  <c r="W416" i="12"/>
  <c r="AX416" i="12" s="1"/>
  <c r="U416" i="12"/>
  <c r="AW416" i="12" s="1"/>
  <c r="AV416" i="12"/>
  <c r="AU416" i="12"/>
  <c r="AT416" i="12"/>
  <c r="AE414" i="12"/>
  <c r="BA414" i="12" s="1"/>
  <c r="AC414" i="12"/>
  <c r="AZ414" i="12" s="1"/>
  <c r="AA414" i="12"/>
  <c r="Y414" i="12"/>
  <c r="AY414" i="12" s="1"/>
  <c r="W414" i="12"/>
  <c r="AX414" i="12" s="1"/>
  <c r="U414" i="12"/>
  <c r="AW414" i="12" s="1"/>
  <c r="M414" i="12"/>
  <c r="AR411" i="12"/>
  <c r="AA411" i="12"/>
  <c r="W411" i="12"/>
  <c r="AX411" i="12" s="1"/>
  <c r="U411" i="12"/>
  <c r="AW411" i="12" s="1"/>
  <c r="M411" i="12"/>
  <c r="AE409" i="12"/>
  <c r="BA409" i="12" s="1"/>
  <c r="AC409" i="12"/>
  <c r="AZ409" i="12" s="1"/>
  <c r="AA409" i="12"/>
  <c r="Y409" i="12"/>
  <c r="AY409" i="12" s="1"/>
  <c r="W409" i="12"/>
  <c r="AX409" i="12" s="1"/>
  <c r="U409" i="12"/>
  <c r="AW409" i="12" s="1"/>
  <c r="M409" i="12"/>
  <c r="AR408" i="12"/>
  <c r="AA408" i="12"/>
  <c r="W408" i="12"/>
  <c r="AX408" i="12" s="1"/>
  <c r="U408" i="12"/>
  <c r="AW408" i="12" s="1"/>
  <c r="M408" i="12"/>
  <c r="AE406" i="12"/>
  <c r="BA406" i="12" s="1"/>
  <c r="AC406" i="12"/>
  <c r="AZ406" i="12" s="1"/>
  <c r="AA406" i="12"/>
  <c r="Y406" i="12"/>
  <c r="AY406" i="12" s="1"/>
  <c r="W406" i="12"/>
  <c r="AX406" i="12" s="1"/>
  <c r="U406" i="12"/>
  <c r="AW406" i="12" s="1"/>
  <c r="M406" i="12"/>
  <c r="AR405" i="12"/>
  <c r="AA405" i="12"/>
  <c r="W405" i="12"/>
  <c r="AX405" i="12" s="1"/>
  <c r="U405" i="12"/>
  <c r="AW405" i="12" s="1"/>
  <c r="M405" i="12"/>
  <c r="AE402" i="12"/>
  <c r="BA402" i="12" s="1"/>
  <c r="AC402" i="12"/>
  <c r="AZ402" i="12" s="1"/>
  <c r="AA402" i="12"/>
  <c r="Y402" i="12"/>
  <c r="AY402" i="12" s="1"/>
  <c r="W402" i="12"/>
  <c r="AX402" i="12" s="1"/>
  <c r="U402" i="12"/>
  <c r="AW402" i="12" s="1"/>
  <c r="M402" i="12"/>
  <c r="AR401" i="12"/>
  <c r="AA401" i="12"/>
  <c r="W401" i="12"/>
  <c r="AX401" i="12" s="1"/>
  <c r="U401" i="12"/>
  <c r="AW401" i="12" s="1"/>
  <c r="M401" i="12"/>
  <c r="AR400" i="12"/>
  <c r="AA400" i="12"/>
  <c r="W400" i="12"/>
  <c r="AX400" i="12" s="1"/>
  <c r="U400" i="12"/>
  <c r="AW400" i="12" s="1"/>
  <c r="M400" i="12"/>
  <c r="AE399" i="12"/>
  <c r="BA399" i="12" s="1"/>
  <c r="AC399" i="12"/>
  <c r="AZ399" i="12" s="1"/>
  <c r="AA399" i="12"/>
  <c r="Y399" i="12"/>
  <c r="AY399" i="12" s="1"/>
  <c r="W399" i="12"/>
  <c r="AX399" i="12" s="1"/>
  <c r="U399" i="12"/>
  <c r="AW399" i="12" s="1"/>
  <c r="M399" i="12"/>
  <c r="AR398" i="12"/>
  <c r="AE398" i="12"/>
  <c r="BA398" i="12" s="1"/>
  <c r="AC398" i="12"/>
  <c r="AZ398" i="12" s="1"/>
  <c r="AA398" i="12"/>
  <c r="Y398" i="12"/>
  <c r="AY398" i="12" s="1"/>
  <c r="W398" i="12"/>
  <c r="AX398" i="12" s="1"/>
  <c r="U398" i="12"/>
  <c r="AW398" i="12" s="1"/>
  <c r="S398" i="12"/>
  <c r="AV398" i="12" s="1"/>
  <c r="Q398" i="12"/>
  <c r="AU398" i="12" s="1"/>
  <c r="O398" i="12"/>
  <c r="AT398" i="12" s="1"/>
  <c r="M398" i="12"/>
  <c r="AR397" i="12"/>
  <c r="AE397" i="12"/>
  <c r="BA397" i="12" s="1"/>
  <c r="AC397" i="12"/>
  <c r="AZ397" i="12" s="1"/>
  <c r="AA397" i="12"/>
  <c r="Y397" i="12"/>
  <c r="AY397" i="12" s="1"/>
  <c r="W397" i="12"/>
  <c r="AX397" i="12" s="1"/>
  <c r="U397" i="12"/>
  <c r="AW397" i="12" s="1"/>
  <c r="Q397" i="12"/>
  <c r="AU397" i="12" s="1"/>
  <c r="M397" i="12"/>
  <c r="AR396" i="12"/>
  <c r="AE396" i="12"/>
  <c r="BA396" i="12" s="1"/>
  <c r="AC396" i="12"/>
  <c r="AZ396" i="12" s="1"/>
  <c r="AA396" i="12"/>
  <c r="Y396" i="12"/>
  <c r="AY396" i="12" s="1"/>
  <c r="W396" i="12"/>
  <c r="AX396" i="12" s="1"/>
  <c r="U396" i="12"/>
  <c r="AW396" i="12" s="1"/>
  <c r="M396" i="12"/>
  <c r="N396" i="12" s="1"/>
  <c r="AR395" i="12"/>
  <c r="AE395" i="12"/>
  <c r="BA395" i="12" s="1"/>
  <c r="AC395" i="12"/>
  <c r="AZ395" i="12" s="1"/>
  <c r="AA395" i="12"/>
  <c r="Y395" i="12"/>
  <c r="AY395" i="12" s="1"/>
  <c r="W395" i="12"/>
  <c r="AX395" i="12" s="1"/>
  <c r="U395" i="12"/>
  <c r="AW395" i="12" s="1"/>
  <c r="S395" i="12"/>
  <c r="Q395" i="12"/>
  <c r="AR394" i="12"/>
  <c r="AE394" i="12"/>
  <c r="BA394" i="12" s="1"/>
  <c r="AC394" i="12"/>
  <c r="AA394" i="12"/>
  <c r="Y394" i="12"/>
  <c r="AY394" i="12" s="1"/>
  <c r="W394" i="12"/>
  <c r="U394" i="12"/>
  <c r="S394" i="12"/>
  <c r="AV394" i="12" s="1"/>
  <c r="Q394" i="12"/>
  <c r="AU394" i="12" s="1"/>
  <c r="O394" i="12"/>
  <c r="AR393" i="12"/>
  <c r="AE393" i="12"/>
  <c r="BA393" i="12" s="1"/>
  <c r="AC393" i="12"/>
  <c r="AZ393" i="12" s="1"/>
  <c r="AA393" i="12"/>
  <c r="Y393" i="12"/>
  <c r="AY393" i="12" s="1"/>
  <c r="W393" i="12"/>
  <c r="AX393" i="12" s="1"/>
  <c r="U393" i="12"/>
  <c r="AW393" i="12" s="1"/>
  <c r="AS392" i="12"/>
  <c r="BB392" i="12" s="1"/>
  <c r="AE392" i="12"/>
  <c r="BA392" i="12" s="1"/>
  <c r="AC392" i="12"/>
  <c r="AZ392" i="12" s="1"/>
  <c r="AA392" i="12"/>
  <c r="Y392" i="12"/>
  <c r="AY392" i="12" s="1"/>
  <c r="W392" i="12"/>
  <c r="AX392" i="12" s="1"/>
  <c r="U392" i="12"/>
  <c r="AW392" i="12" s="1"/>
  <c r="S392" i="12"/>
  <c r="AV392" i="12" s="1"/>
  <c r="Q392" i="12"/>
  <c r="AU392" i="12" s="1"/>
  <c r="O392" i="12"/>
  <c r="AT392" i="12" s="1"/>
  <c r="AR391" i="12"/>
  <c r="AE391" i="12"/>
  <c r="BA391" i="12" s="1"/>
  <c r="AC391" i="12"/>
  <c r="AZ391" i="12" s="1"/>
  <c r="AA391" i="12"/>
  <c r="Y391" i="12"/>
  <c r="AY391" i="12" s="1"/>
  <c r="W391" i="12"/>
  <c r="AX391" i="12" s="1"/>
  <c r="U391" i="12"/>
  <c r="AW391" i="12" s="1"/>
  <c r="S391" i="12"/>
  <c r="AV391" i="12" s="1"/>
  <c r="Q391" i="12"/>
  <c r="AU391" i="12" s="1"/>
  <c r="O391" i="12"/>
  <c r="AT391" i="12" s="1"/>
  <c r="AR390" i="12"/>
  <c r="AE390" i="12"/>
  <c r="BA390" i="12" s="1"/>
  <c r="AC390" i="12"/>
  <c r="AZ390" i="12" s="1"/>
  <c r="AA390" i="12"/>
  <c r="Y390" i="12"/>
  <c r="AY390" i="12" s="1"/>
  <c r="W390" i="12"/>
  <c r="AX390" i="12" s="1"/>
  <c r="U390" i="12"/>
  <c r="AW390" i="12" s="1"/>
  <c r="S390" i="12"/>
  <c r="AV390" i="12" s="1"/>
  <c r="Q390" i="12"/>
  <c r="AU390" i="12" s="1"/>
  <c r="O390" i="12"/>
  <c r="AT390" i="12" s="1"/>
  <c r="AR389" i="12"/>
  <c r="AE389" i="12"/>
  <c r="BA389" i="12" s="1"/>
  <c r="AC389" i="12"/>
  <c r="AZ389" i="12" s="1"/>
  <c r="AA389" i="12"/>
  <c r="Y389" i="12"/>
  <c r="AY389" i="12" s="1"/>
  <c r="W389" i="12"/>
  <c r="AX389" i="12" s="1"/>
  <c r="U389" i="12"/>
  <c r="AW389" i="12" s="1"/>
  <c r="AR388" i="12"/>
  <c r="AE388" i="12"/>
  <c r="BA388" i="12" s="1"/>
  <c r="AC388" i="12"/>
  <c r="AZ388" i="12" s="1"/>
  <c r="AA388" i="12"/>
  <c r="Y388" i="12"/>
  <c r="AY388" i="12" s="1"/>
  <c r="W388" i="12"/>
  <c r="AX388" i="12" s="1"/>
  <c r="U388" i="12"/>
  <c r="AW388" i="12" s="1"/>
  <c r="S388" i="12"/>
  <c r="AV388" i="12" s="1"/>
  <c r="Q388" i="12"/>
  <c r="AU388" i="12" s="1"/>
  <c r="O388" i="12"/>
  <c r="AT388" i="12" s="1"/>
  <c r="AR385" i="12"/>
  <c r="AE385" i="12"/>
  <c r="BA385" i="12" s="1"/>
  <c r="AC385" i="12"/>
  <c r="AZ385" i="12" s="1"/>
  <c r="AA385" i="12"/>
  <c r="Y385" i="12"/>
  <c r="AY385" i="12" s="1"/>
  <c r="W385" i="12"/>
  <c r="AX385" i="12" s="1"/>
  <c r="U385" i="12"/>
  <c r="AW385" i="12" s="1"/>
  <c r="S385" i="12"/>
  <c r="AV385" i="12" s="1"/>
  <c r="Q385" i="12"/>
  <c r="AU385" i="12" s="1"/>
  <c r="O385" i="12"/>
  <c r="AT385" i="12" s="1"/>
  <c r="AR384" i="12"/>
  <c r="AE384" i="12"/>
  <c r="BA384" i="12" s="1"/>
  <c r="AC384" i="12"/>
  <c r="AZ384" i="12" s="1"/>
  <c r="AA384" i="12"/>
  <c r="Y384" i="12"/>
  <c r="AY384" i="12" s="1"/>
  <c r="W384" i="12"/>
  <c r="AX384" i="12" s="1"/>
  <c r="U384" i="12"/>
  <c r="AW384" i="12" s="1"/>
  <c r="S384" i="12"/>
  <c r="AV384" i="12" s="1"/>
  <c r="Q384" i="12"/>
  <c r="AU384" i="12" s="1"/>
  <c r="O384" i="12"/>
  <c r="AT384" i="12" s="1"/>
  <c r="AR383" i="12"/>
  <c r="AE383" i="12"/>
  <c r="BA383" i="12" s="1"/>
  <c r="AC383" i="12"/>
  <c r="AZ383" i="12" s="1"/>
  <c r="AA383" i="12"/>
  <c r="Y383" i="12"/>
  <c r="AY383" i="12" s="1"/>
  <c r="W383" i="12"/>
  <c r="AX383" i="12" s="1"/>
  <c r="U383" i="12"/>
  <c r="AW383" i="12" s="1"/>
  <c r="Q383" i="12"/>
  <c r="AU383" i="12" s="1"/>
  <c r="M383" i="12"/>
  <c r="AR382" i="12"/>
  <c r="AE382" i="12"/>
  <c r="BA382" i="12" s="1"/>
  <c r="AC382" i="12"/>
  <c r="AZ382" i="12" s="1"/>
  <c r="AA382" i="12"/>
  <c r="Y382" i="12"/>
  <c r="AY382" i="12" s="1"/>
  <c r="W382" i="12"/>
  <c r="AX382" i="12" s="1"/>
  <c r="U382" i="12"/>
  <c r="AW382" i="12" s="1"/>
  <c r="Q382" i="12"/>
  <c r="AU382" i="12" s="1"/>
  <c r="M382" i="12"/>
  <c r="AR381" i="12"/>
  <c r="AE381" i="12"/>
  <c r="BA381" i="12" s="1"/>
  <c r="AC381" i="12"/>
  <c r="AZ381" i="12" s="1"/>
  <c r="AA381" i="12"/>
  <c r="Y381" i="12"/>
  <c r="AY381" i="12" s="1"/>
  <c r="W381" i="12"/>
  <c r="AX381" i="12" s="1"/>
  <c r="U381" i="12"/>
  <c r="AW381" i="12" s="1"/>
  <c r="Q381" i="12"/>
  <c r="AU381" i="12" s="1"/>
  <c r="M381" i="12"/>
  <c r="AE380" i="12"/>
  <c r="BA380" i="12" s="1"/>
  <c r="AC380" i="12"/>
  <c r="AZ380" i="12" s="1"/>
  <c r="AA380" i="12"/>
  <c r="Y380" i="12"/>
  <c r="AY380" i="12" s="1"/>
  <c r="W380" i="12"/>
  <c r="AX380" i="12" s="1"/>
  <c r="U380" i="12"/>
  <c r="AW380" i="12" s="1"/>
  <c r="M380" i="12"/>
  <c r="AE379" i="12"/>
  <c r="BA379" i="12" s="1"/>
  <c r="AC379" i="12"/>
  <c r="AZ379" i="12" s="1"/>
  <c r="AA379" i="12"/>
  <c r="Y379" i="12"/>
  <c r="AY379" i="12" s="1"/>
  <c r="W379" i="12"/>
  <c r="AX379" i="12" s="1"/>
  <c r="U379" i="12"/>
  <c r="AW379" i="12" s="1"/>
  <c r="M379" i="12"/>
  <c r="AR378" i="12"/>
  <c r="AC378" i="12"/>
  <c r="AZ378" i="12" s="1"/>
  <c r="AA378" i="12"/>
  <c r="W378" i="12"/>
  <c r="AX378" i="12" s="1"/>
  <c r="U378" i="12"/>
  <c r="AW378" i="12" s="1"/>
  <c r="M378" i="12"/>
  <c r="AR377" i="12"/>
  <c r="AE377" i="12"/>
  <c r="BA377" i="12" s="1"/>
  <c r="AC377" i="12"/>
  <c r="AZ377" i="12" s="1"/>
  <c r="AA377" i="12"/>
  <c r="Y377" i="12"/>
  <c r="AY377" i="12" s="1"/>
  <c r="W377" i="12"/>
  <c r="AX377" i="12" s="1"/>
  <c r="U377" i="12"/>
  <c r="AW377" i="12" s="1"/>
  <c r="Q377" i="12"/>
  <c r="AU377" i="12" s="1"/>
  <c r="M377" i="12"/>
  <c r="AE376" i="12"/>
  <c r="BA376" i="12" s="1"/>
  <c r="AC376" i="12"/>
  <c r="AZ376" i="12" s="1"/>
  <c r="AA376" i="12"/>
  <c r="Y376" i="12"/>
  <c r="AY376" i="12" s="1"/>
  <c r="W376" i="12"/>
  <c r="AX376" i="12" s="1"/>
  <c r="U376" i="12"/>
  <c r="AW376" i="12" s="1"/>
  <c r="M376" i="12"/>
  <c r="AE375" i="12"/>
  <c r="BA375" i="12" s="1"/>
  <c r="AC375" i="12"/>
  <c r="AZ375" i="12" s="1"/>
  <c r="AA375" i="12"/>
  <c r="Y375" i="12"/>
  <c r="AY375" i="12" s="1"/>
  <c r="W375" i="12"/>
  <c r="AX375" i="12" s="1"/>
  <c r="U375" i="12"/>
  <c r="AW375" i="12" s="1"/>
  <c r="M375" i="12"/>
  <c r="AR374" i="12"/>
  <c r="AC374" i="12"/>
  <c r="AZ374" i="12" s="1"/>
  <c r="AA374" i="12"/>
  <c r="W374" i="12"/>
  <c r="AX374" i="12" s="1"/>
  <c r="U374" i="12"/>
  <c r="AW374" i="12" s="1"/>
  <c r="M374" i="12"/>
  <c r="AE373" i="12"/>
  <c r="BA373" i="12" s="1"/>
  <c r="AC373" i="12"/>
  <c r="AZ373" i="12" s="1"/>
  <c r="AA373" i="12"/>
  <c r="Y373" i="12"/>
  <c r="AY373" i="12" s="1"/>
  <c r="W373" i="12"/>
  <c r="AX373" i="12" s="1"/>
  <c r="U373" i="12"/>
  <c r="AW373" i="12" s="1"/>
  <c r="M373" i="12"/>
  <c r="AR372" i="12"/>
  <c r="AC372" i="12"/>
  <c r="AZ372" i="12" s="1"/>
  <c r="AA372" i="12"/>
  <c r="W372" i="12"/>
  <c r="AX372" i="12" s="1"/>
  <c r="U372" i="12"/>
  <c r="AW372" i="12" s="1"/>
  <c r="M372" i="12"/>
  <c r="AR371" i="12"/>
  <c r="AE371" i="12"/>
  <c r="BA371" i="12" s="1"/>
  <c r="AC371" i="12"/>
  <c r="AZ371" i="12" s="1"/>
  <c r="AA371" i="12"/>
  <c r="Y371" i="12"/>
  <c r="AY371" i="12" s="1"/>
  <c r="W371" i="12"/>
  <c r="AX371" i="12" s="1"/>
  <c r="U371" i="12"/>
  <c r="AW371" i="12" s="1"/>
  <c r="Q371" i="12"/>
  <c r="AU371" i="12" s="1"/>
  <c r="M371" i="12"/>
  <c r="AE370" i="12"/>
  <c r="BA370" i="12" s="1"/>
  <c r="AC370" i="12"/>
  <c r="AZ370" i="12" s="1"/>
  <c r="AA370" i="12"/>
  <c r="Y370" i="12"/>
  <c r="AY370" i="12" s="1"/>
  <c r="W370" i="12"/>
  <c r="AX370" i="12" s="1"/>
  <c r="U370" i="12"/>
  <c r="AW370" i="12" s="1"/>
  <c r="M370" i="12"/>
  <c r="AR369" i="12"/>
  <c r="AC369" i="12"/>
  <c r="AZ369" i="12" s="1"/>
  <c r="AA369" i="12"/>
  <c r="W369" i="12"/>
  <c r="AX369" i="12" s="1"/>
  <c r="U369" i="12"/>
  <c r="AW369" i="12" s="1"/>
  <c r="M369" i="12"/>
  <c r="AE368" i="12"/>
  <c r="BA368" i="12" s="1"/>
  <c r="AC368" i="12"/>
  <c r="AZ368" i="12" s="1"/>
  <c r="AA368" i="12"/>
  <c r="Y368" i="12"/>
  <c r="AY368" i="12" s="1"/>
  <c r="W368" i="12"/>
  <c r="AX368" i="12" s="1"/>
  <c r="U368" i="12"/>
  <c r="AW368" i="12" s="1"/>
  <c r="M368" i="12"/>
  <c r="AR367" i="12"/>
  <c r="AC367" i="12"/>
  <c r="AZ367" i="12" s="1"/>
  <c r="AA367" i="12"/>
  <c r="W367" i="12"/>
  <c r="AX367" i="12" s="1"/>
  <c r="U367" i="12"/>
  <c r="AW367" i="12" s="1"/>
  <c r="M367" i="12"/>
  <c r="AE366" i="12"/>
  <c r="BA366" i="12" s="1"/>
  <c r="AC366" i="12"/>
  <c r="AZ366" i="12" s="1"/>
  <c r="AA366" i="12"/>
  <c r="Y366" i="12"/>
  <c r="AY366" i="12" s="1"/>
  <c r="W366" i="12"/>
  <c r="AX366" i="12" s="1"/>
  <c r="U366" i="12"/>
  <c r="AW366" i="12" s="1"/>
  <c r="M366" i="12"/>
  <c r="A366" i="12" s="1"/>
  <c r="AR365" i="12"/>
  <c r="AE365" i="12"/>
  <c r="BA365" i="12" s="1"/>
  <c r="AC365" i="12"/>
  <c r="AZ365" i="12" s="1"/>
  <c r="AA365" i="12"/>
  <c r="W365" i="12"/>
  <c r="AX365" i="12" s="1"/>
  <c r="U365" i="12"/>
  <c r="AW365" i="12" s="1"/>
  <c r="M365" i="12"/>
  <c r="A365" i="12" s="1"/>
  <c r="AR364" i="12"/>
  <c r="AE364" i="12"/>
  <c r="BA364" i="12" s="1"/>
  <c r="AC364" i="12"/>
  <c r="AZ364" i="12" s="1"/>
  <c r="AA364" i="12"/>
  <c r="Y364" i="12"/>
  <c r="AY364" i="12" s="1"/>
  <c r="W364" i="12"/>
  <c r="AX364" i="12" s="1"/>
  <c r="U364" i="12"/>
  <c r="AW364" i="12" s="1"/>
  <c r="M364" i="12"/>
  <c r="AR363" i="12"/>
  <c r="AE363" i="12"/>
  <c r="BA363" i="12" s="1"/>
  <c r="AC363" i="12"/>
  <c r="AZ363" i="12" s="1"/>
  <c r="AA363" i="12"/>
  <c r="Y363" i="12"/>
  <c r="AY363" i="12" s="1"/>
  <c r="W363" i="12"/>
  <c r="AX363" i="12" s="1"/>
  <c r="U363" i="12"/>
  <c r="AW363" i="12" s="1"/>
  <c r="S363" i="12"/>
  <c r="Q363" i="12"/>
  <c r="O363" i="12"/>
  <c r="AS362" i="12"/>
  <c r="BB362" i="12" s="1"/>
  <c r="AE362" i="12"/>
  <c r="BA362" i="12" s="1"/>
  <c r="AC362" i="12"/>
  <c r="AZ362" i="12" s="1"/>
  <c r="AA362" i="12"/>
  <c r="Y362" i="12"/>
  <c r="AY362" i="12" s="1"/>
  <c r="W362" i="12"/>
  <c r="AX362" i="12" s="1"/>
  <c r="U362" i="12"/>
  <c r="AW362" i="12" s="1"/>
  <c r="S362" i="12"/>
  <c r="AV362" i="12" s="1"/>
  <c r="Q362" i="12"/>
  <c r="AU362" i="12" s="1"/>
  <c r="O362" i="12"/>
  <c r="AT362" i="12" s="1"/>
  <c r="AR361" i="12"/>
  <c r="AE361" i="12"/>
  <c r="BA361" i="12" s="1"/>
  <c r="AC361" i="12"/>
  <c r="AZ361" i="12" s="1"/>
  <c r="AA361" i="12"/>
  <c r="Y361" i="12"/>
  <c r="AY361" i="12" s="1"/>
  <c r="W361" i="12"/>
  <c r="AX361" i="12" s="1"/>
  <c r="U361" i="12"/>
  <c r="AW361" i="12" s="1"/>
  <c r="S361" i="12"/>
  <c r="AV361" i="12" s="1"/>
  <c r="Q361" i="12"/>
  <c r="AU361" i="12" s="1"/>
  <c r="O361" i="12"/>
  <c r="AT361" i="12" s="1"/>
  <c r="AS360" i="12"/>
  <c r="BB360" i="12" s="1"/>
  <c r="AE360" i="12"/>
  <c r="BA360" i="12" s="1"/>
  <c r="AC360" i="12"/>
  <c r="AZ360" i="12" s="1"/>
  <c r="AA360" i="12"/>
  <c r="Y360" i="12"/>
  <c r="AY360" i="12" s="1"/>
  <c r="W360" i="12"/>
  <c r="AX360" i="12" s="1"/>
  <c r="U360" i="12"/>
  <c r="AW360" i="12" s="1"/>
  <c r="S360" i="12"/>
  <c r="AV360" i="12" s="1"/>
  <c r="Q360" i="12"/>
  <c r="AU360" i="12" s="1"/>
  <c r="O360" i="12"/>
  <c r="AT360" i="12" s="1"/>
  <c r="AS359" i="12"/>
  <c r="BB359" i="12" s="1"/>
  <c r="AE359" i="12"/>
  <c r="BA359" i="12" s="1"/>
  <c r="AC359" i="12"/>
  <c r="AZ359" i="12" s="1"/>
  <c r="AA359" i="12"/>
  <c r="Y359" i="12"/>
  <c r="AY359" i="12" s="1"/>
  <c r="W359" i="12"/>
  <c r="AX359" i="12" s="1"/>
  <c r="U359" i="12"/>
  <c r="AW359" i="12" s="1"/>
  <c r="S359" i="12"/>
  <c r="AV359" i="12" s="1"/>
  <c r="Q359" i="12"/>
  <c r="AU359" i="12" s="1"/>
  <c r="O359" i="12"/>
  <c r="AT359" i="12" s="1"/>
  <c r="AR358" i="12"/>
  <c r="AE358" i="12"/>
  <c r="BA358" i="12" s="1"/>
  <c r="AC358" i="12"/>
  <c r="AZ358" i="12" s="1"/>
  <c r="AA358" i="12"/>
  <c r="Y358" i="12"/>
  <c r="AY358" i="12" s="1"/>
  <c r="W358" i="12"/>
  <c r="AX358" i="12" s="1"/>
  <c r="U358" i="12"/>
  <c r="AW358" i="12" s="1"/>
  <c r="S358" i="12"/>
  <c r="AV358" i="12" s="1"/>
  <c r="Q358" i="12"/>
  <c r="AU358" i="12" s="1"/>
  <c r="O358" i="12"/>
  <c r="AT358" i="12" s="1"/>
  <c r="AR357" i="12"/>
  <c r="AE357" i="12"/>
  <c r="BA357" i="12" s="1"/>
  <c r="AC357" i="12"/>
  <c r="AZ357" i="12" s="1"/>
  <c r="AA357" i="12"/>
  <c r="Y357" i="12"/>
  <c r="AY357" i="12" s="1"/>
  <c r="W357" i="12"/>
  <c r="AX357" i="12" s="1"/>
  <c r="U357" i="12"/>
  <c r="AW357" i="12" s="1"/>
  <c r="S357" i="12"/>
  <c r="Q357" i="12"/>
  <c r="O357" i="12"/>
  <c r="AR356" i="12"/>
  <c r="AE356" i="12"/>
  <c r="BA356" i="12" s="1"/>
  <c r="AC356" i="12"/>
  <c r="AZ356" i="12" s="1"/>
  <c r="AA356" i="12"/>
  <c r="Y356" i="12"/>
  <c r="AY356" i="12" s="1"/>
  <c r="W356" i="12"/>
  <c r="AX356" i="12" s="1"/>
  <c r="U356" i="12"/>
  <c r="AW356" i="12" s="1"/>
  <c r="S356" i="12"/>
  <c r="Q356" i="12"/>
  <c r="O356" i="12"/>
  <c r="AS355" i="12"/>
  <c r="BB355" i="12" s="1"/>
  <c r="AE355" i="12"/>
  <c r="BA355" i="12" s="1"/>
  <c r="AC355" i="12"/>
  <c r="AZ355" i="12" s="1"/>
  <c r="AA355" i="12"/>
  <c r="Y355" i="12"/>
  <c r="AY355" i="12" s="1"/>
  <c r="W355" i="12"/>
  <c r="AX355" i="12" s="1"/>
  <c r="U355" i="12"/>
  <c r="AW355" i="12" s="1"/>
  <c r="S355" i="12"/>
  <c r="AV355" i="12" s="1"/>
  <c r="Q355" i="12"/>
  <c r="AU355" i="12" s="1"/>
  <c r="O355" i="12"/>
  <c r="AT355" i="12" s="1"/>
  <c r="AR354" i="12"/>
  <c r="AE354" i="12"/>
  <c r="BA354" i="12" s="1"/>
  <c r="AC354" i="12"/>
  <c r="AZ354" i="12" s="1"/>
  <c r="AA354" i="12"/>
  <c r="Y354" i="12"/>
  <c r="AY354" i="12" s="1"/>
  <c r="W354" i="12"/>
  <c r="AX354" i="12" s="1"/>
  <c r="U354" i="12"/>
  <c r="AW354" i="12" s="1"/>
  <c r="S354" i="12"/>
  <c r="AV354" i="12" s="1"/>
  <c r="Q354" i="12"/>
  <c r="AU354" i="12" s="1"/>
  <c r="O354" i="12"/>
  <c r="AT354" i="12" s="1"/>
  <c r="AR353" i="12"/>
  <c r="AE353" i="12"/>
  <c r="BA353" i="12" s="1"/>
  <c r="AC353" i="12"/>
  <c r="AZ353" i="12" s="1"/>
  <c r="AY353" i="12"/>
  <c r="W353" i="12"/>
  <c r="AX353" i="12" s="1"/>
  <c r="U353" i="12"/>
  <c r="AW353" i="12" s="1"/>
  <c r="S353" i="12"/>
  <c r="AV353" i="12" s="1"/>
  <c r="Q353" i="12"/>
  <c r="AU353" i="12" s="1"/>
  <c r="O353" i="12"/>
  <c r="AT353" i="12" s="1"/>
  <c r="AR352" i="12"/>
  <c r="AE352" i="12"/>
  <c r="BA352" i="12" s="1"/>
  <c r="AC352" i="12"/>
  <c r="AZ352" i="12" s="1"/>
  <c r="AA352" i="12"/>
  <c r="Y352" i="12"/>
  <c r="AY352" i="12" s="1"/>
  <c r="W352" i="12"/>
  <c r="AX352" i="12" s="1"/>
  <c r="U352" i="12"/>
  <c r="AW352" i="12" s="1"/>
  <c r="S352" i="12"/>
  <c r="AV352" i="12" s="1"/>
  <c r="Q352" i="12"/>
  <c r="AU352" i="12" s="1"/>
  <c r="O352" i="12"/>
  <c r="AT352" i="12" s="1"/>
  <c r="AS351" i="12"/>
  <c r="BB351" i="12" s="1"/>
  <c r="AE351" i="12"/>
  <c r="BA351" i="12" s="1"/>
  <c r="AC351" i="12"/>
  <c r="AZ351" i="12" s="1"/>
  <c r="AA351" i="12"/>
  <c r="Y351" i="12"/>
  <c r="AY351" i="12" s="1"/>
  <c r="W351" i="12"/>
  <c r="AX351" i="12" s="1"/>
  <c r="U351" i="12"/>
  <c r="AW351" i="12" s="1"/>
  <c r="S351" i="12"/>
  <c r="AV351" i="12" s="1"/>
  <c r="Q351" i="12"/>
  <c r="AU351" i="12" s="1"/>
  <c r="O351" i="12"/>
  <c r="AT351" i="12" s="1"/>
  <c r="AR350" i="12"/>
  <c r="AE350" i="12"/>
  <c r="BA350" i="12" s="1"/>
  <c r="AC350" i="12"/>
  <c r="AZ350" i="12" s="1"/>
  <c r="AA350" i="12"/>
  <c r="Y350" i="12"/>
  <c r="AY350" i="12" s="1"/>
  <c r="W350" i="12"/>
  <c r="AX350" i="12" s="1"/>
  <c r="U350" i="12"/>
  <c r="AW350" i="12" s="1"/>
  <c r="S350" i="12"/>
  <c r="AV350" i="12" s="1"/>
  <c r="Q350" i="12"/>
  <c r="AU350" i="12" s="1"/>
  <c r="O350" i="12"/>
  <c r="AT350" i="12" s="1"/>
  <c r="AR349" i="12"/>
  <c r="AE349" i="12"/>
  <c r="BA349" i="12" s="1"/>
  <c r="AC349" i="12"/>
  <c r="AZ349" i="12" s="1"/>
  <c r="AA349" i="12"/>
  <c r="Y349" i="12"/>
  <c r="AY349" i="12" s="1"/>
  <c r="W349" i="12"/>
  <c r="AX349" i="12" s="1"/>
  <c r="U349" i="12"/>
  <c r="AW349" i="12" s="1"/>
  <c r="S349" i="12"/>
  <c r="AV349" i="12" s="1"/>
  <c r="Q349" i="12"/>
  <c r="AU349" i="12" s="1"/>
  <c r="O349" i="12"/>
  <c r="AT349" i="12" s="1"/>
  <c r="AR348" i="12"/>
  <c r="AE348" i="12"/>
  <c r="BA348" i="12" s="1"/>
  <c r="AC348" i="12"/>
  <c r="AZ348" i="12" s="1"/>
  <c r="AA348" i="12"/>
  <c r="Y348" i="12"/>
  <c r="AY348" i="12" s="1"/>
  <c r="W348" i="12"/>
  <c r="AX348" i="12" s="1"/>
  <c r="U348" i="12"/>
  <c r="AW348" i="12" s="1"/>
  <c r="AR347" i="12"/>
  <c r="AE347" i="12"/>
  <c r="BA347" i="12" s="1"/>
  <c r="AC347" i="12"/>
  <c r="AZ347" i="12" s="1"/>
  <c r="AA347" i="12"/>
  <c r="Y347" i="12"/>
  <c r="AY347" i="12" s="1"/>
  <c r="W347" i="12"/>
  <c r="AX347" i="12" s="1"/>
  <c r="U347" i="12"/>
  <c r="AW347" i="12" s="1"/>
  <c r="S347" i="12"/>
  <c r="AV347" i="12" s="1"/>
  <c r="Q347" i="12"/>
  <c r="AU347" i="12" s="1"/>
  <c r="O347" i="12"/>
  <c r="AT347" i="12" s="1"/>
  <c r="AR346" i="12"/>
  <c r="AE346" i="12"/>
  <c r="BA346" i="12" s="1"/>
  <c r="AC346" i="12"/>
  <c r="AZ346" i="12" s="1"/>
  <c r="AA346" i="12"/>
  <c r="Y346" i="12"/>
  <c r="AY346" i="12" s="1"/>
  <c r="W346" i="12"/>
  <c r="AX346" i="12" s="1"/>
  <c r="U346" i="12"/>
  <c r="AW346" i="12" s="1"/>
  <c r="AR345" i="12"/>
  <c r="AE345" i="12"/>
  <c r="BA345" i="12" s="1"/>
  <c r="AC345" i="12"/>
  <c r="AZ345" i="12" s="1"/>
  <c r="AA345" i="12"/>
  <c r="Y345" i="12"/>
  <c r="AY345" i="12" s="1"/>
  <c r="W345" i="12"/>
  <c r="AX345" i="12" s="1"/>
  <c r="U345" i="12"/>
  <c r="AW345" i="12" s="1"/>
  <c r="S345" i="12"/>
  <c r="AV345" i="12" s="1"/>
  <c r="AS344" i="12"/>
  <c r="BB344" i="12" s="1"/>
  <c r="AE344" i="12"/>
  <c r="BA344" i="12" s="1"/>
  <c r="AC344" i="12"/>
  <c r="AZ344" i="12" s="1"/>
  <c r="AA344" i="12"/>
  <c r="Y344" i="12"/>
  <c r="AY344" i="12" s="1"/>
  <c r="W344" i="12"/>
  <c r="AX344" i="12" s="1"/>
  <c r="U344" i="12"/>
  <c r="AW344" i="12" s="1"/>
  <c r="S344" i="12"/>
  <c r="AV344" i="12" s="1"/>
  <c r="Q344" i="12"/>
  <c r="AU344" i="12" s="1"/>
  <c r="O344" i="12"/>
  <c r="AT344" i="12" s="1"/>
  <c r="AS343" i="12"/>
  <c r="BB343" i="12" s="1"/>
  <c r="AE343" i="12"/>
  <c r="BA343" i="12" s="1"/>
  <c r="AC343" i="12"/>
  <c r="AZ343" i="12" s="1"/>
  <c r="AA343" i="12"/>
  <c r="Y343" i="12"/>
  <c r="AY343" i="12" s="1"/>
  <c r="W343" i="12"/>
  <c r="AX343" i="12" s="1"/>
  <c r="U343" i="12"/>
  <c r="AW343" i="12" s="1"/>
  <c r="S343" i="12"/>
  <c r="AV343" i="12" s="1"/>
  <c r="Q343" i="12"/>
  <c r="AU343" i="12" s="1"/>
  <c r="O343" i="12"/>
  <c r="AT343" i="12" s="1"/>
  <c r="AS342" i="12"/>
  <c r="BB342" i="12" s="1"/>
  <c r="AE342" i="12"/>
  <c r="BA342" i="12" s="1"/>
  <c r="AC342" i="12"/>
  <c r="AZ342" i="12" s="1"/>
  <c r="AA342" i="12"/>
  <c r="Y342" i="12"/>
  <c r="AY342" i="12" s="1"/>
  <c r="W342" i="12"/>
  <c r="AX342" i="12" s="1"/>
  <c r="U342" i="12"/>
  <c r="AW342" i="12" s="1"/>
  <c r="S342" i="12"/>
  <c r="AV342" i="12" s="1"/>
  <c r="Q342" i="12"/>
  <c r="AU342" i="12" s="1"/>
  <c r="O342" i="12"/>
  <c r="AT342" i="12" s="1"/>
  <c r="AR341" i="12"/>
  <c r="AE341" i="12"/>
  <c r="BA341" i="12" s="1"/>
  <c r="AC341" i="12"/>
  <c r="AZ341" i="12" s="1"/>
  <c r="AA341" i="12"/>
  <c r="Y341" i="12"/>
  <c r="AY341" i="12" s="1"/>
  <c r="W341" i="12"/>
  <c r="AX341" i="12" s="1"/>
  <c r="U341" i="12"/>
  <c r="AW341" i="12" s="1"/>
  <c r="S341" i="12"/>
  <c r="AV341" i="12" s="1"/>
  <c r="Q341" i="12"/>
  <c r="AU341" i="12" s="1"/>
  <c r="O341" i="12"/>
  <c r="AT341" i="12" s="1"/>
  <c r="AR340" i="12"/>
  <c r="AE340" i="12"/>
  <c r="BA340" i="12" s="1"/>
  <c r="AC340" i="12"/>
  <c r="AZ340" i="12" s="1"/>
  <c r="AA340" i="12"/>
  <c r="Y340" i="12"/>
  <c r="AY340" i="12" s="1"/>
  <c r="W340" i="12"/>
  <c r="AX340" i="12" s="1"/>
  <c r="U340" i="12"/>
  <c r="AW340" i="12" s="1"/>
  <c r="S340" i="12"/>
  <c r="AV340" i="12" s="1"/>
  <c r="Q340" i="12"/>
  <c r="AU340" i="12" s="1"/>
  <c r="O340" i="12"/>
  <c r="AT340" i="12" s="1"/>
  <c r="AR339" i="12"/>
  <c r="AE339" i="12"/>
  <c r="BA339" i="12" s="1"/>
  <c r="AC339" i="12"/>
  <c r="AZ339" i="12" s="1"/>
  <c r="AA339" i="12"/>
  <c r="Y339" i="12"/>
  <c r="AY339" i="12" s="1"/>
  <c r="W339" i="12"/>
  <c r="AX339" i="12" s="1"/>
  <c r="U339" i="12"/>
  <c r="AW339" i="12" s="1"/>
  <c r="S339" i="12"/>
  <c r="AV339" i="12" s="1"/>
  <c r="Q339" i="12"/>
  <c r="AU339" i="12" s="1"/>
  <c r="O339" i="12"/>
  <c r="AT339" i="12" s="1"/>
  <c r="AR338" i="12"/>
  <c r="AE338" i="12"/>
  <c r="BA338" i="12" s="1"/>
  <c r="AC338" i="12"/>
  <c r="AZ338" i="12" s="1"/>
  <c r="AA338" i="12"/>
  <c r="Y338" i="12"/>
  <c r="AY338" i="12" s="1"/>
  <c r="W338" i="12"/>
  <c r="AX338" i="12" s="1"/>
  <c r="U338" i="12"/>
  <c r="AW338" i="12" s="1"/>
  <c r="S338" i="12"/>
  <c r="AV338" i="12" s="1"/>
  <c r="Q338" i="12"/>
  <c r="AU338" i="12" s="1"/>
  <c r="O338" i="12"/>
  <c r="AT338" i="12" s="1"/>
  <c r="AS337" i="12"/>
  <c r="BB337" i="12" s="1"/>
  <c r="AE337" i="12"/>
  <c r="BA337" i="12" s="1"/>
  <c r="AC337" i="12"/>
  <c r="AZ337" i="12" s="1"/>
  <c r="AA337" i="12"/>
  <c r="Y337" i="12"/>
  <c r="AY337" i="12" s="1"/>
  <c r="W337" i="12"/>
  <c r="AX337" i="12" s="1"/>
  <c r="U337" i="12"/>
  <c r="AW337" i="12" s="1"/>
  <c r="S337" i="12"/>
  <c r="AV337" i="12" s="1"/>
  <c r="Q337" i="12"/>
  <c r="AU337" i="12" s="1"/>
  <c r="O337" i="12"/>
  <c r="AT337" i="12" s="1"/>
  <c r="AR336" i="12"/>
  <c r="AE336" i="12"/>
  <c r="BA336" i="12" s="1"/>
  <c r="AC336" i="12"/>
  <c r="AZ336" i="12" s="1"/>
  <c r="AA336" i="12"/>
  <c r="Y336" i="12"/>
  <c r="AY336" i="12" s="1"/>
  <c r="W336" i="12"/>
  <c r="AX336" i="12" s="1"/>
  <c r="U336" i="12"/>
  <c r="AW336" i="12" s="1"/>
  <c r="S336" i="12"/>
  <c r="AV336" i="12" s="1"/>
  <c r="Q336" i="12"/>
  <c r="AU336" i="12" s="1"/>
  <c r="O336" i="12"/>
  <c r="AT336" i="12" s="1"/>
  <c r="AR335" i="12"/>
  <c r="AE335" i="12"/>
  <c r="BA335" i="12" s="1"/>
  <c r="AC335" i="12"/>
  <c r="AZ335" i="12" s="1"/>
  <c r="AA335" i="12"/>
  <c r="Y335" i="12"/>
  <c r="AY335" i="12" s="1"/>
  <c r="W335" i="12"/>
  <c r="AX335" i="12" s="1"/>
  <c r="U335" i="12"/>
  <c r="AW335" i="12" s="1"/>
  <c r="AR334" i="12"/>
  <c r="AE334" i="12"/>
  <c r="BA334" i="12" s="1"/>
  <c r="AC334" i="12"/>
  <c r="AZ334" i="12" s="1"/>
  <c r="AA334" i="12"/>
  <c r="Y334" i="12"/>
  <c r="AY334" i="12" s="1"/>
  <c r="W334" i="12"/>
  <c r="AX334" i="12" s="1"/>
  <c r="U334" i="12"/>
  <c r="AW334" i="12" s="1"/>
  <c r="S334" i="12"/>
  <c r="AV334" i="12" s="1"/>
  <c r="Q334" i="12"/>
  <c r="AU334" i="12" s="1"/>
  <c r="O334" i="12"/>
  <c r="AT334" i="12" s="1"/>
  <c r="AS333" i="12"/>
  <c r="BB333" i="12" s="1"/>
  <c r="AE333" i="12"/>
  <c r="BA333" i="12" s="1"/>
  <c r="AC333" i="12"/>
  <c r="AZ333" i="12" s="1"/>
  <c r="AA333" i="12"/>
  <c r="Y333" i="12"/>
  <c r="AY333" i="12" s="1"/>
  <c r="W333" i="12"/>
  <c r="AX333" i="12" s="1"/>
  <c r="U333" i="12"/>
  <c r="AW333" i="12" s="1"/>
  <c r="S333" i="12"/>
  <c r="AV333" i="12" s="1"/>
  <c r="Q333" i="12"/>
  <c r="AU333" i="12" s="1"/>
  <c r="O333" i="12"/>
  <c r="AT333" i="12" s="1"/>
  <c r="AS332" i="12"/>
  <c r="BB332" i="12" s="1"/>
  <c r="AE332" i="12"/>
  <c r="BA332" i="12" s="1"/>
  <c r="AC332" i="12"/>
  <c r="AZ332" i="12" s="1"/>
  <c r="AA332" i="12"/>
  <c r="Y332" i="12"/>
  <c r="AY332" i="12" s="1"/>
  <c r="W332" i="12"/>
  <c r="AX332" i="12" s="1"/>
  <c r="U332" i="12"/>
  <c r="AW332" i="12" s="1"/>
  <c r="S332" i="12"/>
  <c r="AV332" i="12" s="1"/>
  <c r="Q332" i="12"/>
  <c r="AU332" i="12" s="1"/>
  <c r="O332" i="12"/>
  <c r="AT332" i="12" s="1"/>
  <c r="AR331" i="12"/>
  <c r="AE331" i="12"/>
  <c r="BA331" i="12" s="1"/>
  <c r="AC331" i="12"/>
  <c r="AZ331" i="12" s="1"/>
  <c r="AA331" i="12"/>
  <c r="Y331" i="12"/>
  <c r="AY331" i="12" s="1"/>
  <c r="W331" i="12"/>
  <c r="AX331" i="12" s="1"/>
  <c r="U331" i="12"/>
  <c r="AW331" i="12" s="1"/>
  <c r="S331" i="12"/>
  <c r="AV331" i="12" s="1"/>
  <c r="Q331" i="12"/>
  <c r="AU331" i="12" s="1"/>
  <c r="O331" i="12"/>
  <c r="AT331" i="12" s="1"/>
  <c r="AR330" i="12"/>
  <c r="AE330" i="12"/>
  <c r="BA330" i="12" s="1"/>
  <c r="AC330" i="12"/>
  <c r="AZ330" i="12" s="1"/>
  <c r="AA330" i="12"/>
  <c r="Y330" i="12"/>
  <c r="AY330" i="12" s="1"/>
  <c r="W330" i="12"/>
  <c r="AX330" i="12" s="1"/>
  <c r="U330" i="12"/>
  <c r="AW330" i="12" s="1"/>
  <c r="S330" i="12"/>
  <c r="AV330" i="12" s="1"/>
  <c r="Q330" i="12"/>
  <c r="AU330" i="12" s="1"/>
  <c r="O330" i="12"/>
  <c r="AT330" i="12" s="1"/>
  <c r="AR329" i="12"/>
  <c r="AE329" i="12"/>
  <c r="BA329" i="12" s="1"/>
  <c r="AC329" i="12"/>
  <c r="AZ329" i="12" s="1"/>
  <c r="AA329" i="12"/>
  <c r="Y329" i="12"/>
  <c r="AY329" i="12" s="1"/>
  <c r="W329" i="12"/>
  <c r="AX329" i="12" s="1"/>
  <c r="U329" i="12"/>
  <c r="AW329" i="12" s="1"/>
  <c r="S329" i="12"/>
  <c r="AV329" i="12" s="1"/>
  <c r="Q329" i="12"/>
  <c r="AU329" i="12" s="1"/>
  <c r="O329" i="12"/>
  <c r="AT329" i="12" s="1"/>
  <c r="AR328" i="12"/>
  <c r="AE328" i="12"/>
  <c r="BA328" i="12" s="1"/>
  <c r="AC328" i="12"/>
  <c r="AZ328" i="12" s="1"/>
  <c r="AA328" i="12"/>
  <c r="Y328" i="12"/>
  <c r="AY328" i="12" s="1"/>
  <c r="W328" i="12"/>
  <c r="AX328" i="12" s="1"/>
  <c r="U328" i="12"/>
  <c r="AW328" i="12" s="1"/>
  <c r="S328" i="12"/>
  <c r="AV328" i="12" s="1"/>
  <c r="Q328" i="12"/>
  <c r="AU328" i="12" s="1"/>
  <c r="O328" i="12"/>
  <c r="AT328" i="12" s="1"/>
  <c r="AR327" i="12"/>
  <c r="AE327" i="12"/>
  <c r="BA327" i="12" s="1"/>
  <c r="AC327" i="12"/>
  <c r="AZ327" i="12" s="1"/>
  <c r="AA327" i="12"/>
  <c r="Y327" i="12"/>
  <c r="AY327" i="12" s="1"/>
  <c r="W327" i="12"/>
  <c r="AX327" i="12" s="1"/>
  <c r="U327" i="12"/>
  <c r="AW327" i="12" s="1"/>
  <c r="S327" i="12"/>
  <c r="AV327" i="12" s="1"/>
  <c r="Q327" i="12"/>
  <c r="AU327" i="12" s="1"/>
  <c r="O327" i="12"/>
  <c r="AT327" i="12" s="1"/>
  <c r="AR324" i="12"/>
  <c r="AE324" i="12"/>
  <c r="BA324" i="12" s="1"/>
  <c r="AC324" i="12"/>
  <c r="AZ324" i="12" s="1"/>
  <c r="AA324" i="12"/>
  <c r="Y324" i="12"/>
  <c r="AY324" i="12" s="1"/>
  <c r="W324" i="12"/>
  <c r="AX324" i="12" s="1"/>
  <c r="U324" i="12"/>
  <c r="AW324" i="12" s="1"/>
  <c r="S324" i="12"/>
  <c r="AV324" i="12" s="1"/>
  <c r="Q324" i="12"/>
  <c r="AU324" i="12" s="1"/>
  <c r="O324" i="12"/>
  <c r="AT324" i="12" s="1"/>
  <c r="AR323" i="12"/>
  <c r="AE323" i="12"/>
  <c r="BA323" i="12" s="1"/>
  <c r="AC323" i="12"/>
  <c r="AZ323" i="12" s="1"/>
  <c r="AA323" i="12"/>
  <c r="Y323" i="12"/>
  <c r="AY323" i="12" s="1"/>
  <c r="W323" i="12"/>
  <c r="AX323" i="12" s="1"/>
  <c r="U323" i="12"/>
  <c r="AW323" i="12" s="1"/>
  <c r="S323" i="12"/>
  <c r="AV323" i="12" s="1"/>
  <c r="Q323" i="12"/>
  <c r="AU323" i="12" s="1"/>
  <c r="O323" i="12"/>
  <c r="AT323" i="12" s="1"/>
  <c r="AR322" i="12"/>
  <c r="AE322" i="12"/>
  <c r="BA322" i="12" s="1"/>
  <c r="AC322" i="12"/>
  <c r="AZ322" i="12" s="1"/>
  <c r="AA322" i="12"/>
  <c r="Y322" i="12"/>
  <c r="AY322" i="12" s="1"/>
  <c r="W322" i="12"/>
  <c r="AX322" i="12" s="1"/>
  <c r="U322" i="12"/>
  <c r="AW322" i="12" s="1"/>
  <c r="S322" i="12"/>
  <c r="Q322" i="12"/>
  <c r="O322" i="12"/>
  <c r="AR321" i="12"/>
  <c r="AE321" i="12"/>
  <c r="BA321" i="12" s="1"/>
  <c r="AC321" i="12"/>
  <c r="AZ321" i="12" s="1"/>
  <c r="AA321" i="12"/>
  <c r="Y321" i="12"/>
  <c r="AY321" i="12" s="1"/>
  <c r="W321" i="12"/>
  <c r="AX321" i="12" s="1"/>
  <c r="U321" i="12"/>
  <c r="AW321" i="12" s="1"/>
  <c r="S321" i="12"/>
  <c r="Q321" i="12"/>
  <c r="O321" i="12"/>
  <c r="AR320" i="12"/>
  <c r="AE320" i="12"/>
  <c r="BA320" i="12" s="1"/>
  <c r="AC320" i="12"/>
  <c r="AZ320" i="12" s="1"/>
  <c r="AA320" i="12"/>
  <c r="Y320" i="12"/>
  <c r="AY320" i="12" s="1"/>
  <c r="W320" i="12"/>
  <c r="AX320" i="12" s="1"/>
  <c r="U320" i="12"/>
  <c r="AW320" i="12" s="1"/>
  <c r="S320" i="12"/>
  <c r="Q320" i="12"/>
  <c r="O320" i="12"/>
  <c r="AR319" i="12"/>
  <c r="AE319" i="12"/>
  <c r="BA319" i="12" s="1"/>
  <c r="AC319" i="12"/>
  <c r="AZ319" i="12" s="1"/>
  <c r="AA319" i="12"/>
  <c r="Y319" i="12"/>
  <c r="AY319" i="12" s="1"/>
  <c r="W319" i="12"/>
  <c r="AX319" i="12" s="1"/>
  <c r="U319" i="12"/>
  <c r="AW319" i="12" s="1"/>
  <c r="S319" i="12"/>
  <c r="Q319" i="12"/>
  <c r="O319" i="12"/>
  <c r="AR316" i="12"/>
  <c r="AE316" i="12"/>
  <c r="BA316" i="12" s="1"/>
  <c r="AC316" i="12"/>
  <c r="AZ316" i="12" s="1"/>
  <c r="AA316" i="12"/>
  <c r="Y316" i="12"/>
  <c r="AY316" i="12" s="1"/>
  <c r="W316" i="12"/>
  <c r="AX316" i="12" s="1"/>
  <c r="U316" i="12"/>
  <c r="AW316" i="12" s="1"/>
  <c r="S316" i="12"/>
  <c r="AV316" i="12" s="1"/>
  <c r="Q316" i="12"/>
  <c r="AU316" i="12" s="1"/>
  <c r="O316" i="12"/>
  <c r="AT316" i="12" s="1"/>
  <c r="AS315" i="12"/>
  <c r="BB315" i="12" s="1"/>
  <c r="AE315" i="12"/>
  <c r="BA315" i="12" s="1"/>
  <c r="AC315" i="12"/>
  <c r="AZ315" i="12" s="1"/>
  <c r="AA315" i="12"/>
  <c r="Y315" i="12"/>
  <c r="AY315" i="12" s="1"/>
  <c r="W315" i="12"/>
  <c r="AX315" i="12" s="1"/>
  <c r="U315" i="12"/>
  <c r="AW315" i="12" s="1"/>
  <c r="S315" i="12"/>
  <c r="AV315" i="12" s="1"/>
  <c r="Q315" i="12"/>
  <c r="AU315" i="12" s="1"/>
  <c r="O315" i="12"/>
  <c r="AT315" i="12" s="1"/>
  <c r="AS313" i="12"/>
  <c r="BB313" i="12" s="1"/>
  <c r="AE313" i="12"/>
  <c r="BA313" i="12" s="1"/>
  <c r="AC313" i="12"/>
  <c r="AZ313" i="12" s="1"/>
  <c r="AA313" i="12"/>
  <c r="Y313" i="12"/>
  <c r="AY313" i="12" s="1"/>
  <c r="W313" i="12"/>
  <c r="AX313" i="12" s="1"/>
  <c r="U313" i="12"/>
  <c r="AW313" i="12" s="1"/>
  <c r="S313" i="12"/>
  <c r="AV313" i="12" s="1"/>
  <c r="Q313" i="12"/>
  <c r="AU313" i="12" s="1"/>
  <c r="O313" i="12"/>
  <c r="AT313" i="12" s="1"/>
  <c r="AR312" i="12"/>
  <c r="AE312" i="12"/>
  <c r="BA312" i="12" s="1"/>
  <c r="AC312" i="12"/>
  <c r="AZ312" i="12" s="1"/>
  <c r="AA312" i="12"/>
  <c r="Y312" i="12"/>
  <c r="AY312" i="12" s="1"/>
  <c r="W312" i="12"/>
  <c r="AX312" i="12" s="1"/>
  <c r="U312" i="12"/>
  <c r="AW312" i="12" s="1"/>
  <c r="S312" i="12"/>
  <c r="AV312" i="12" s="1"/>
  <c r="Q312" i="12"/>
  <c r="AU312" i="12" s="1"/>
  <c r="O312" i="12"/>
  <c r="AT312" i="12" s="1"/>
  <c r="AS311" i="12"/>
  <c r="BB311" i="12" s="1"/>
  <c r="AE311" i="12"/>
  <c r="BA311" i="12" s="1"/>
  <c r="AC311" i="12"/>
  <c r="AZ311" i="12" s="1"/>
  <c r="AA311" i="12"/>
  <c r="Y311" i="12"/>
  <c r="AY311" i="12" s="1"/>
  <c r="W311" i="12"/>
  <c r="AX311" i="12" s="1"/>
  <c r="U311" i="12"/>
  <c r="AW311" i="12" s="1"/>
  <c r="S311" i="12"/>
  <c r="AV311" i="12" s="1"/>
  <c r="Q311" i="12"/>
  <c r="AU311" i="12" s="1"/>
  <c r="O311" i="12"/>
  <c r="AT311" i="12" s="1"/>
  <c r="AS310" i="12"/>
  <c r="BB310" i="12" s="1"/>
  <c r="AE310" i="12"/>
  <c r="BA310" i="12" s="1"/>
  <c r="AC310" i="12"/>
  <c r="AZ310" i="12" s="1"/>
  <c r="AA310" i="12"/>
  <c r="Y310" i="12"/>
  <c r="AY310" i="12" s="1"/>
  <c r="W310" i="12"/>
  <c r="AX310" i="12" s="1"/>
  <c r="U310" i="12"/>
  <c r="AW310" i="12" s="1"/>
  <c r="S310" i="12"/>
  <c r="AV310" i="12" s="1"/>
  <c r="Q310" i="12"/>
  <c r="AU310" i="12" s="1"/>
  <c r="O310" i="12"/>
  <c r="AT310" i="12" s="1"/>
  <c r="AS309" i="12"/>
  <c r="BB309" i="12" s="1"/>
  <c r="AE309" i="12"/>
  <c r="BA309" i="12" s="1"/>
  <c r="AC309" i="12"/>
  <c r="AZ309" i="12" s="1"/>
  <c r="AA309" i="12"/>
  <c r="Y309" i="12"/>
  <c r="AY309" i="12" s="1"/>
  <c r="W309" i="12"/>
  <c r="AX309" i="12" s="1"/>
  <c r="U309" i="12"/>
  <c r="AW309" i="12" s="1"/>
  <c r="S309" i="12"/>
  <c r="AV309" i="12" s="1"/>
  <c r="Q309" i="12"/>
  <c r="AU309" i="12" s="1"/>
  <c r="O309" i="12"/>
  <c r="AT309" i="12" s="1"/>
  <c r="AS308" i="12"/>
  <c r="BB308" i="12" s="1"/>
  <c r="AE308" i="12"/>
  <c r="BA308" i="12" s="1"/>
  <c r="AC308" i="12"/>
  <c r="AZ308" i="12" s="1"/>
  <c r="AA308" i="12"/>
  <c r="Y308" i="12"/>
  <c r="AY308" i="12" s="1"/>
  <c r="W308" i="12"/>
  <c r="AX308" i="12" s="1"/>
  <c r="U308" i="12"/>
  <c r="AW308" i="12" s="1"/>
  <c r="S308" i="12"/>
  <c r="AV308" i="12" s="1"/>
  <c r="Q308" i="12"/>
  <c r="AU308" i="12" s="1"/>
  <c r="O308" i="12"/>
  <c r="AT308" i="12" s="1"/>
  <c r="AS307" i="12"/>
  <c r="BB307" i="12" s="1"/>
  <c r="AE307" i="12"/>
  <c r="BA307" i="12" s="1"/>
  <c r="AC307" i="12"/>
  <c r="AZ307" i="12" s="1"/>
  <c r="AA307" i="12"/>
  <c r="Y307" i="12"/>
  <c r="AY307" i="12" s="1"/>
  <c r="W307" i="12"/>
  <c r="AX307" i="12" s="1"/>
  <c r="U307" i="12"/>
  <c r="AW307" i="12" s="1"/>
  <c r="S307" i="12"/>
  <c r="AV307" i="12" s="1"/>
  <c r="Q307" i="12"/>
  <c r="AU307" i="12" s="1"/>
  <c r="O307" i="12"/>
  <c r="AT307" i="12" s="1"/>
  <c r="AR306" i="12"/>
  <c r="AE306" i="12"/>
  <c r="BA306" i="12" s="1"/>
  <c r="AC306" i="12"/>
  <c r="AZ306" i="12" s="1"/>
  <c r="AA306" i="12"/>
  <c r="Y306" i="12"/>
  <c r="AY306" i="12" s="1"/>
  <c r="W306" i="12"/>
  <c r="AX306" i="12" s="1"/>
  <c r="U306" i="12"/>
  <c r="AW306" i="12" s="1"/>
  <c r="S306" i="12"/>
  <c r="AV306" i="12" s="1"/>
  <c r="Q306" i="12"/>
  <c r="AU306" i="12" s="1"/>
  <c r="O306" i="12"/>
  <c r="AT306" i="12" s="1"/>
  <c r="AS305" i="12"/>
  <c r="BB305" i="12" s="1"/>
  <c r="AE305" i="12"/>
  <c r="BA305" i="12" s="1"/>
  <c r="AC305" i="12"/>
  <c r="AZ305" i="12" s="1"/>
  <c r="AA305" i="12"/>
  <c r="Y305" i="12"/>
  <c r="AY305" i="12" s="1"/>
  <c r="W305" i="12"/>
  <c r="AX305" i="12" s="1"/>
  <c r="U305" i="12"/>
  <c r="AW305" i="12" s="1"/>
  <c r="S305" i="12"/>
  <c r="AV305" i="12" s="1"/>
  <c r="Q305" i="12"/>
  <c r="AU305" i="12" s="1"/>
  <c r="O305" i="12"/>
  <c r="AT305" i="12" s="1"/>
  <c r="AS304" i="12"/>
  <c r="BB304" i="12" s="1"/>
  <c r="AE304" i="12"/>
  <c r="BA304" i="12" s="1"/>
  <c r="AC304" i="12"/>
  <c r="AZ304" i="12" s="1"/>
  <c r="AA304" i="12"/>
  <c r="Y304" i="12"/>
  <c r="AY304" i="12" s="1"/>
  <c r="W304" i="12"/>
  <c r="AX304" i="12" s="1"/>
  <c r="U304" i="12"/>
  <c r="AW304" i="12" s="1"/>
  <c r="S304" i="12"/>
  <c r="AV304" i="12" s="1"/>
  <c r="Q304" i="12"/>
  <c r="AU304" i="12" s="1"/>
  <c r="O304" i="12"/>
  <c r="AT304" i="12" s="1"/>
  <c r="AR303" i="12"/>
  <c r="AE303" i="12"/>
  <c r="BA303" i="12" s="1"/>
  <c r="AC303" i="12"/>
  <c r="AZ303" i="12" s="1"/>
  <c r="AA303" i="12"/>
  <c r="Y303" i="12"/>
  <c r="AY303" i="12" s="1"/>
  <c r="W303" i="12"/>
  <c r="AX303" i="12" s="1"/>
  <c r="U303" i="12"/>
  <c r="AW303" i="12" s="1"/>
  <c r="S303" i="12"/>
  <c r="AV303" i="12" s="1"/>
  <c r="Q303" i="12"/>
  <c r="AU303" i="12" s="1"/>
  <c r="O303" i="12"/>
  <c r="AT303" i="12" s="1"/>
  <c r="AR302" i="12"/>
  <c r="AE302" i="12"/>
  <c r="BA302" i="12" s="1"/>
  <c r="AC302" i="12"/>
  <c r="AZ302" i="12" s="1"/>
  <c r="AA302" i="12"/>
  <c r="Y302" i="12"/>
  <c r="AY302" i="12" s="1"/>
  <c r="W302" i="12"/>
  <c r="AX302" i="12" s="1"/>
  <c r="U302" i="12"/>
  <c r="AW302" i="12" s="1"/>
  <c r="S302" i="12"/>
  <c r="AV302" i="12" s="1"/>
  <c r="Q302" i="12"/>
  <c r="AU302" i="12" s="1"/>
  <c r="O302" i="12"/>
  <c r="AT302" i="12" s="1"/>
  <c r="AR301" i="12"/>
  <c r="AE301" i="12"/>
  <c r="BA301" i="12" s="1"/>
  <c r="AC301" i="12"/>
  <c r="AZ301" i="12" s="1"/>
  <c r="AA301" i="12"/>
  <c r="Y301" i="12"/>
  <c r="AY301" i="12" s="1"/>
  <c r="W301" i="12"/>
  <c r="AX301" i="12" s="1"/>
  <c r="U301" i="12"/>
  <c r="AW301" i="12" s="1"/>
  <c r="S301" i="12"/>
  <c r="AV301" i="12" s="1"/>
  <c r="Q301" i="12"/>
  <c r="AU301" i="12" s="1"/>
  <c r="O301" i="12"/>
  <c r="AT301" i="12" s="1"/>
  <c r="AR300" i="12"/>
  <c r="AE300" i="12"/>
  <c r="BA300" i="12" s="1"/>
  <c r="AC300" i="12"/>
  <c r="AZ300" i="12" s="1"/>
  <c r="AA300" i="12"/>
  <c r="Y300" i="12"/>
  <c r="AY300" i="12" s="1"/>
  <c r="W300" i="12"/>
  <c r="AX300" i="12" s="1"/>
  <c r="U300" i="12"/>
  <c r="AW300" i="12" s="1"/>
  <c r="S300" i="12"/>
  <c r="AV300" i="12" s="1"/>
  <c r="Q300" i="12"/>
  <c r="AU300" i="12" s="1"/>
  <c r="O300" i="12"/>
  <c r="AT300" i="12" s="1"/>
  <c r="AS299" i="12"/>
  <c r="BB299" i="12" s="1"/>
  <c r="AE299" i="12"/>
  <c r="BA299" i="12" s="1"/>
  <c r="AC299" i="12"/>
  <c r="AZ299" i="12" s="1"/>
  <c r="AA299" i="12"/>
  <c r="Y299" i="12"/>
  <c r="AY299" i="12" s="1"/>
  <c r="W299" i="12"/>
  <c r="AX299" i="12" s="1"/>
  <c r="U299" i="12"/>
  <c r="AW299" i="12" s="1"/>
  <c r="S299" i="12"/>
  <c r="AV299" i="12" s="1"/>
  <c r="Q299" i="12"/>
  <c r="AU299" i="12" s="1"/>
  <c r="O299" i="12"/>
  <c r="AT299" i="12" s="1"/>
  <c r="AS298" i="12"/>
  <c r="BB298" i="12" s="1"/>
  <c r="AE298" i="12"/>
  <c r="BA298" i="12" s="1"/>
  <c r="AC298" i="12"/>
  <c r="AZ298" i="12" s="1"/>
  <c r="AA298" i="12"/>
  <c r="Y298" i="12"/>
  <c r="AY298" i="12" s="1"/>
  <c r="W298" i="12"/>
  <c r="AX298" i="12" s="1"/>
  <c r="U298" i="12"/>
  <c r="AW298" i="12" s="1"/>
  <c r="S298" i="12"/>
  <c r="AV298" i="12" s="1"/>
  <c r="Q298" i="12"/>
  <c r="AU298" i="12" s="1"/>
  <c r="O298" i="12"/>
  <c r="AT298" i="12" s="1"/>
  <c r="AR297" i="12"/>
  <c r="AE297" i="12"/>
  <c r="BA297" i="12" s="1"/>
  <c r="AC297" i="12"/>
  <c r="AZ297" i="12" s="1"/>
  <c r="AA297" i="12"/>
  <c r="Y297" i="12"/>
  <c r="AY297" i="12" s="1"/>
  <c r="W297" i="12"/>
  <c r="AX297" i="12" s="1"/>
  <c r="U297" i="12"/>
  <c r="AW297" i="12" s="1"/>
  <c r="S297" i="12"/>
  <c r="AV297" i="12" s="1"/>
  <c r="Q297" i="12"/>
  <c r="AU297" i="12" s="1"/>
  <c r="O297" i="12"/>
  <c r="AT297" i="12" s="1"/>
  <c r="AS296" i="12"/>
  <c r="BB296" i="12" s="1"/>
  <c r="AE296" i="12"/>
  <c r="BA296" i="12" s="1"/>
  <c r="AC296" i="12"/>
  <c r="AZ296" i="12" s="1"/>
  <c r="AA296" i="12"/>
  <c r="Y296" i="12"/>
  <c r="AY296" i="12" s="1"/>
  <c r="W296" i="12"/>
  <c r="AX296" i="12" s="1"/>
  <c r="U296" i="12"/>
  <c r="AW296" i="12" s="1"/>
  <c r="S296" i="12"/>
  <c r="AV296" i="12" s="1"/>
  <c r="Q296" i="12"/>
  <c r="AU296" i="12" s="1"/>
  <c r="O296" i="12"/>
  <c r="AT296" i="12" s="1"/>
  <c r="AS295" i="12"/>
  <c r="BB295" i="12" s="1"/>
  <c r="AE295" i="12"/>
  <c r="BA295" i="12" s="1"/>
  <c r="AC295" i="12"/>
  <c r="AZ295" i="12" s="1"/>
  <c r="AA295" i="12"/>
  <c r="Y295" i="12"/>
  <c r="AY295" i="12" s="1"/>
  <c r="W295" i="12"/>
  <c r="AX295" i="12" s="1"/>
  <c r="U295" i="12"/>
  <c r="AW295" i="12" s="1"/>
  <c r="S295" i="12"/>
  <c r="AV295" i="12" s="1"/>
  <c r="Q295" i="12"/>
  <c r="AU295" i="12" s="1"/>
  <c r="O295" i="12"/>
  <c r="AT295" i="12" s="1"/>
  <c r="AS294" i="12"/>
  <c r="BB294" i="12" s="1"/>
  <c r="AE294" i="12"/>
  <c r="BA294" i="12" s="1"/>
  <c r="AC294" i="12"/>
  <c r="AZ294" i="12" s="1"/>
  <c r="AA294" i="12"/>
  <c r="Y294" i="12"/>
  <c r="AY294" i="12" s="1"/>
  <c r="W294" i="12"/>
  <c r="AX294" i="12" s="1"/>
  <c r="U294" i="12"/>
  <c r="AW294" i="12" s="1"/>
  <c r="S294" i="12"/>
  <c r="AV294" i="12" s="1"/>
  <c r="Q294" i="12"/>
  <c r="AU294" i="12" s="1"/>
  <c r="O294" i="12"/>
  <c r="AT294" i="12" s="1"/>
  <c r="AS293" i="12"/>
  <c r="BB293" i="12" s="1"/>
  <c r="AE293" i="12"/>
  <c r="BA293" i="12" s="1"/>
  <c r="AC293" i="12"/>
  <c r="AZ293" i="12" s="1"/>
  <c r="AA293" i="12"/>
  <c r="Y293" i="12"/>
  <c r="AY293" i="12" s="1"/>
  <c r="W293" i="12"/>
  <c r="AX293" i="12" s="1"/>
  <c r="U293" i="12"/>
  <c r="AW293" i="12" s="1"/>
  <c r="S293" i="12"/>
  <c r="AV293" i="12" s="1"/>
  <c r="Q293" i="12"/>
  <c r="AU293" i="12" s="1"/>
  <c r="O293" i="12"/>
  <c r="AT293" i="12" s="1"/>
  <c r="AR292" i="12"/>
  <c r="AE292" i="12"/>
  <c r="BA292" i="12" s="1"/>
  <c r="AC292" i="12"/>
  <c r="AZ292" i="12" s="1"/>
  <c r="AA292" i="12"/>
  <c r="Y292" i="12"/>
  <c r="AY292" i="12" s="1"/>
  <c r="W292" i="12"/>
  <c r="AX292" i="12" s="1"/>
  <c r="U292" i="12"/>
  <c r="AW292" i="12" s="1"/>
  <c r="S292" i="12"/>
  <c r="AV292" i="12" s="1"/>
  <c r="Q292" i="12"/>
  <c r="AU292" i="12" s="1"/>
  <c r="O292" i="12"/>
  <c r="AT292" i="12" s="1"/>
  <c r="AS291" i="12"/>
  <c r="BB291" i="12" s="1"/>
  <c r="AE291" i="12"/>
  <c r="BA291" i="12" s="1"/>
  <c r="AC291" i="12"/>
  <c r="AZ291" i="12" s="1"/>
  <c r="AA291" i="12"/>
  <c r="Y291" i="12"/>
  <c r="AY291" i="12" s="1"/>
  <c r="W291" i="12"/>
  <c r="AX291" i="12" s="1"/>
  <c r="U291" i="12"/>
  <c r="AW291" i="12" s="1"/>
  <c r="S291" i="12"/>
  <c r="AV291" i="12" s="1"/>
  <c r="Q291" i="12"/>
  <c r="AU291" i="12" s="1"/>
  <c r="O291" i="12"/>
  <c r="AT291" i="12" s="1"/>
  <c r="AS290" i="12"/>
  <c r="BB290" i="12" s="1"/>
  <c r="AE290" i="12"/>
  <c r="BA290" i="12" s="1"/>
  <c r="AC290" i="12"/>
  <c r="AZ290" i="12" s="1"/>
  <c r="AA290" i="12"/>
  <c r="Y290" i="12"/>
  <c r="AY290" i="12" s="1"/>
  <c r="W290" i="12"/>
  <c r="AX290" i="12" s="1"/>
  <c r="U290" i="12"/>
  <c r="AW290" i="12" s="1"/>
  <c r="S290" i="12"/>
  <c r="AV290" i="12" s="1"/>
  <c r="Q290" i="12"/>
  <c r="AU290" i="12" s="1"/>
  <c r="O290" i="12"/>
  <c r="AT290" i="12" s="1"/>
  <c r="AR289" i="12"/>
  <c r="AE289" i="12"/>
  <c r="BA289" i="12" s="1"/>
  <c r="AC289" i="12"/>
  <c r="AZ289" i="12" s="1"/>
  <c r="AA289" i="12"/>
  <c r="Y289" i="12"/>
  <c r="AY289" i="12" s="1"/>
  <c r="W289" i="12"/>
  <c r="AX289" i="12" s="1"/>
  <c r="U289" i="12"/>
  <c r="AW289" i="12" s="1"/>
  <c r="S289" i="12"/>
  <c r="AV289" i="12" s="1"/>
  <c r="Q289" i="12"/>
  <c r="AU289" i="12" s="1"/>
  <c r="O289" i="12"/>
  <c r="AT289" i="12" s="1"/>
  <c r="AR288" i="12"/>
  <c r="AE288" i="12"/>
  <c r="BA288" i="12" s="1"/>
  <c r="AC288" i="12"/>
  <c r="AZ288" i="12" s="1"/>
  <c r="AA288" i="12"/>
  <c r="Y288" i="12"/>
  <c r="AY288" i="12" s="1"/>
  <c r="W288" i="12"/>
  <c r="AX288" i="12" s="1"/>
  <c r="U288" i="12"/>
  <c r="AW288" i="12" s="1"/>
  <c r="S288" i="12"/>
  <c r="AV288" i="12" s="1"/>
  <c r="Q288" i="12"/>
  <c r="AU288" i="12" s="1"/>
  <c r="O288" i="12"/>
  <c r="AT288" i="12" s="1"/>
  <c r="AR287" i="12"/>
  <c r="AE287" i="12"/>
  <c r="BA287" i="12" s="1"/>
  <c r="AC287" i="12"/>
  <c r="AZ287" i="12" s="1"/>
  <c r="AA287" i="12"/>
  <c r="Y287" i="12"/>
  <c r="AY287" i="12" s="1"/>
  <c r="W287" i="12"/>
  <c r="AX287" i="12" s="1"/>
  <c r="U287" i="12"/>
  <c r="AW287" i="12" s="1"/>
  <c r="S287" i="12"/>
  <c r="AV287" i="12" s="1"/>
  <c r="Q287" i="12"/>
  <c r="AU287" i="12" s="1"/>
  <c r="O287" i="12"/>
  <c r="AT287" i="12" s="1"/>
  <c r="AS286" i="12"/>
  <c r="BB286" i="12" s="1"/>
  <c r="AE286" i="12"/>
  <c r="BA286" i="12" s="1"/>
  <c r="AC286" i="12"/>
  <c r="AZ286" i="12" s="1"/>
  <c r="AA286" i="12"/>
  <c r="Y286" i="12"/>
  <c r="AY286" i="12" s="1"/>
  <c r="W286" i="12"/>
  <c r="AX286" i="12" s="1"/>
  <c r="U286" i="12"/>
  <c r="AW286" i="12" s="1"/>
  <c r="S286" i="12"/>
  <c r="AV286" i="12" s="1"/>
  <c r="Q286" i="12"/>
  <c r="AU286" i="12" s="1"/>
  <c r="O286" i="12"/>
  <c r="AT286" i="12" s="1"/>
  <c r="AS284" i="12"/>
  <c r="BB284" i="12" s="1"/>
  <c r="AE284" i="12"/>
  <c r="BA284" i="12" s="1"/>
  <c r="AC284" i="12"/>
  <c r="AZ284" i="12" s="1"/>
  <c r="AA284" i="12"/>
  <c r="Y284" i="12"/>
  <c r="AY284" i="12" s="1"/>
  <c r="W284" i="12"/>
  <c r="AX284" i="12" s="1"/>
  <c r="U284" i="12"/>
  <c r="AW284" i="12" s="1"/>
  <c r="S284" i="12"/>
  <c r="AV284" i="12" s="1"/>
  <c r="Q284" i="12"/>
  <c r="AU284" i="12" s="1"/>
  <c r="O284" i="12"/>
  <c r="AT284" i="12" s="1"/>
  <c r="AR283" i="12"/>
  <c r="AE283" i="12"/>
  <c r="BA283" i="12" s="1"/>
  <c r="AC283" i="12"/>
  <c r="AZ283" i="12" s="1"/>
  <c r="AA283" i="12"/>
  <c r="Y283" i="12"/>
  <c r="AY283" i="12" s="1"/>
  <c r="W283" i="12"/>
  <c r="AX283" i="12" s="1"/>
  <c r="U283" i="12"/>
  <c r="AW283" i="12" s="1"/>
  <c r="S283" i="12"/>
  <c r="AV283" i="12" s="1"/>
  <c r="Q283" i="12"/>
  <c r="AU283" i="12" s="1"/>
  <c r="O283" i="12"/>
  <c r="AT283" i="12" s="1"/>
  <c r="AS282" i="12"/>
  <c r="BB282" i="12" s="1"/>
  <c r="AE282" i="12"/>
  <c r="BA282" i="12" s="1"/>
  <c r="AC282" i="12"/>
  <c r="AZ282" i="12" s="1"/>
  <c r="AA282" i="12"/>
  <c r="Y282" i="12"/>
  <c r="AY282" i="12" s="1"/>
  <c r="W282" i="12"/>
  <c r="AX282" i="12" s="1"/>
  <c r="U282" i="12"/>
  <c r="AW282" i="12" s="1"/>
  <c r="S282" i="12"/>
  <c r="AV282" i="12" s="1"/>
  <c r="Q282" i="12"/>
  <c r="AU282" i="12" s="1"/>
  <c r="O282" i="12"/>
  <c r="AT282" i="12" s="1"/>
  <c r="AS281" i="12"/>
  <c r="BB281" i="12" s="1"/>
  <c r="AE281" i="12"/>
  <c r="BA281" i="12" s="1"/>
  <c r="AC281" i="12"/>
  <c r="AZ281" i="12" s="1"/>
  <c r="AA281" i="12"/>
  <c r="Y281" i="12"/>
  <c r="AY281" i="12" s="1"/>
  <c r="W281" i="12"/>
  <c r="AX281" i="12" s="1"/>
  <c r="U281" i="12"/>
  <c r="AW281" i="12" s="1"/>
  <c r="S281" i="12"/>
  <c r="AV281" i="12" s="1"/>
  <c r="Q281" i="12"/>
  <c r="AU281" i="12" s="1"/>
  <c r="O281" i="12"/>
  <c r="AT281" i="12" s="1"/>
  <c r="AR280" i="12"/>
  <c r="AE280" i="12"/>
  <c r="BA280" i="12" s="1"/>
  <c r="AC280" i="12"/>
  <c r="AZ280" i="12" s="1"/>
  <c r="AA280" i="12"/>
  <c r="Y280" i="12"/>
  <c r="AY280" i="12" s="1"/>
  <c r="W280" i="12"/>
  <c r="AX280" i="12" s="1"/>
  <c r="U280" i="12"/>
  <c r="AW280" i="12" s="1"/>
  <c r="S280" i="12"/>
  <c r="AV280" i="12" s="1"/>
  <c r="Q280" i="12"/>
  <c r="AU280" i="12" s="1"/>
  <c r="O280" i="12"/>
  <c r="AT280" i="12" s="1"/>
  <c r="AS279" i="12"/>
  <c r="BB279" i="12" s="1"/>
  <c r="AE279" i="12"/>
  <c r="BA279" i="12" s="1"/>
  <c r="AC279" i="12"/>
  <c r="AZ279" i="12" s="1"/>
  <c r="AA279" i="12"/>
  <c r="Y279" i="12"/>
  <c r="AY279" i="12" s="1"/>
  <c r="W279" i="12"/>
  <c r="AX279" i="12" s="1"/>
  <c r="U279" i="12"/>
  <c r="AW279" i="12" s="1"/>
  <c r="S279" i="12"/>
  <c r="AV279" i="12" s="1"/>
  <c r="Q279" i="12"/>
  <c r="AU279" i="12" s="1"/>
  <c r="O279" i="12"/>
  <c r="AT279" i="12" s="1"/>
  <c r="AS278" i="12"/>
  <c r="BB278" i="12" s="1"/>
  <c r="AE278" i="12"/>
  <c r="BA278" i="12" s="1"/>
  <c r="AC278" i="12"/>
  <c r="AZ278" i="12" s="1"/>
  <c r="AA278" i="12"/>
  <c r="Y278" i="12"/>
  <c r="AY278" i="12" s="1"/>
  <c r="W278" i="12"/>
  <c r="AX278" i="12" s="1"/>
  <c r="U278" i="12"/>
  <c r="AW278" i="12" s="1"/>
  <c r="S278" i="12"/>
  <c r="AV278" i="12" s="1"/>
  <c r="Q278" i="12"/>
  <c r="AU278" i="12" s="1"/>
  <c r="O278" i="12"/>
  <c r="AT278" i="12" s="1"/>
  <c r="AR277" i="12"/>
  <c r="AE277" i="12"/>
  <c r="BA277" i="12" s="1"/>
  <c r="AC277" i="12"/>
  <c r="AZ277" i="12" s="1"/>
  <c r="AA277" i="12"/>
  <c r="Y277" i="12"/>
  <c r="AY277" i="12" s="1"/>
  <c r="W277" i="12"/>
  <c r="AX277" i="12" s="1"/>
  <c r="U277" i="12"/>
  <c r="AW277" i="12" s="1"/>
  <c r="S277" i="12"/>
  <c r="AV277" i="12" s="1"/>
  <c r="Q277" i="12"/>
  <c r="AU277" i="12" s="1"/>
  <c r="O277" i="12"/>
  <c r="AT277" i="12" s="1"/>
  <c r="AR276" i="12"/>
  <c r="AE276" i="12"/>
  <c r="BA276" i="12" s="1"/>
  <c r="AC276" i="12"/>
  <c r="AZ276" i="12" s="1"/>
  <c r="AA276" i="12"/>
  <c r="Y276" i="12"/>
  <c r="AY276" i="12" s="1"/>
  <c r="W276" i="12"/>
  <c r="AX276" i="12" s="1"/>
  <c r="U276" i="12"/>
  <c r="AW276" i="12" s="1"/>
  <c r="S276" i="12"/>
  <c r="AV276" i="12" s="1"/>
  <c r="Q276" i="12"/>
  <c r="AU276" i="12" s="1"/>
  <c r="O276" i="12"/>
  <c r="AT276" i="12" s="1"/>
  <c r="AR275" i="12"/>
  <c r="AE275" i="12"/>
  <c r="BA275" i="12" s="1"/>
  <c r="AC275" i="12"/>
  <c r="AZ275" i="12" s="1"/>
  <c r="AA275" i="12"/>
  <c r="Y275" i="12"/>
  <c r="AY275" i="12" s="1"/>
  <c r="W275" i="12"/>
  <c r="AX275" i="12" s="1"/>
  <c r="U275" i="12"/>
  <c r="AW275" i="12" s="1"/>
  <c r="S275" i="12"/>
  <c r="AV275" i="12" s="1"/>
  <c r="Q275" i="12"/>
  <c r="AU275" i="12" s="1"/>
  <c r="O275" i="12"/>
  <c r="AT275" i="12" s="1"/>
  <c r="AR274" i="12"/>
  <c r="AE274" i="12"/>
  <c r="BA274" i="12" s="1"/>
  <c r="AC274" i="12"/>
  <c r="AZ274" i="12" s="1"/>
  <c r="AA274" i="12"/>
  <c r="Y274" i="12"/>
  <c r="AY274" i="12" s="1"/>
  <c r="W274" i="12"/>
  <c r="AX274" i="12" s="1"/>
  <c r="U274" i="12"/>
  <c r="AW274" i="12" s="1"/>
  <c r="S274" i="12"/>
  <c r="AV274" i="12" s="1"/>
  <c r="Q274" i="12"/>
  <c r="AU274" i="12" s="1"/>
  <c r="O274" i="12"/>
  <c r="AT274" i="12" s="1"/>
  <c r="AS273" i="12"/>
  <c r="BB273" i="12" s="1"/>
  <c r="AE273" i="12"/>
  <c r="BA273" i="12" s="1"/>
  <c r="AC273" i="12"/>
  <c r="AZ273" i="12" s="1"/>
  <c r="AA273" i="12"/>
  <c r="Y273" i="12"/>
  <c r="AY273" i="12" s="1"/>
  <c r="W273" i="12"/>
  <c r="AX273" i="12" s="1"/>
  <c r="U273" i="12"/>
  <c r="AW273" i="12" s="1"/>
  <c r="S273" i="12"/>
  <c r="AV273" i="12" s="1"/>
  <c r="Q273" i="12"/>
  <c r="AU273" i="12" s="1"/>
  <c r="O273" i="12"/>
  <c r="AT273" i="12" s="1"/>
  <c r="AS272" i="12"/>
  <c r="BB272" i="12" s="1"/>
  <c r="AE272" i="12"/>
  <c r="BA272" i="12" s="1"/>
  <c r="AC272" i="12"/>
  <c r="AZ272" i="12" s="1"/>
  <c r="AA272" i="12"/>
  <c r="Y272" i="12"/>
  <c r="AY272" i="12" s="1"/>
  <c r="W272" i="12"/>
  <c r="AX272" i="12" s="1"/>
  <c r="U272" i="12"/>
  <c r="AW272" i="12" s="1"/>
  <c r="S272" i="12"/>
  <c r="AV272" i="12" s="1"/>
  <c r="Q272" i="12"/>
  <c r="AU272" i="12" s="1"/>
  <c r="O272" i="12"/>
  <c r="AT272" i="12" s="1"/>
  <c r="AR271" i="12"/>
  <c r="AE271" i="12"/>
  <c r="BA271" i="12" s="1"/>
  <c r="AC271" i="12"/>
  <c r="AZ271" i="12" s="1"/>
  <c r="AA271" i="12"/>
  <c r="Y271" i="12"/>
  <c r="AY271" i="12" s="1"/>
  <c r="W271" i="12"/>
  <c r="AX271" i="12" s="1"/>
  <c r="U271" i="12"/>
  <c r="AW271" i="12" s="1"/>
  <c r="S271" i="12"/>
  <c r="AV271" i="12" s="1"/>
  <c r="Q271" i="12"/>
  <c r="AU271" i="12" s="1"/>
  <c r="O271" i="12"/>
  <c r="AT271" i="12" s="1"/>
  <c r="AS270" i="12"/>
  <c r="BB270" i="12" s="1"/>
  <c r="AE270" i="12"/>
  <c r="BA270" i="12" s="1"/>
  <c r="AC270" i="12"/>
  <c r="AZ270" i="12" s="1"/>
  <c r="AA270" i="12"/>
  <c r="Y270" i="12"/>
  <c r="AY270" i="12" s="1"/>
  <c r="W270" i="12"/>
  <c r="AX270" i="12" s="1"/>
  <c r="U270" i="12"/>
  <c r="AW270" i="12" s="1"/>
  <c r="S270" i="12"/>
  <c r="AV270" i="12" s="1"/>
  <c r="Q270" i="12"/>
  <c r="AU270" i="12" s="1"/>
  <c r="O270" i="12"/>
  <c r="AT270" i="12" s="1"/>
  <c r="AS269" i="12"/>
  <c r="BB269" i="12" s="1"/>
  <c r="AE269" i="12"/>
  <c r="BA269" i="12" s="1"/>
  <c r="AC269" i="12"/>
  <c r="AZ269" i="12" s="1"/>
  <c r="AA269" i="12"/>
  <c r="Y269" i="12"/>
  <c r="AY269" i="12" s="1"/>
  <c r="W269" i="12"/>
  <c r="AX269" i="12" s="1"/>
  <c r="U269" i="12"/>
  <c r="AW269" i="12" s="1"/>
  <c r="S269" i="12"/>
  <c r="AV269" i="12" s="1"/>
  <c r="Q269" i="12"/>
  <c r="AU269" i="12" s="1"/>
  <c r="O269" i="12"/>
  <c r="AT269" i="12" s="1"/>
  <c r="AR268" i="12"/>
  <c r="AE268" i="12"/>
  <c r="BA268" i="12" s="1"/>
  <c r="AC268" i="12"/>
  <c r="AZ268" i="12" s="1"/>
  <c r="AA268" i="12"/>
  <c r="Y268" i="12"/>
  <c r="AY268" i="12" s="1"/>
  <c r="W268" i="12"/>
  <c r="AX268" i="12" s="1"/>
  <c r="U268" i="12"/>
  <c r="AW268" i="12" s="1"/>
  <c r="S268" i="12"/>
  <c r="AV268" i="12" s="1"/>
  <c r="Q268" i="12"/>
  <c r="AU268" i="12" s="1"/>
  <c r="O268" i="12"/>
  <c r="AT268" i="12" s="1"/>
  <c r="AS267" i="12"/>
  <c r="BB267" i="12" s="1"/>
  <c r="AE267" i="12"/>
  <c r="BA267" i="12" s="1"/>
  <c r="AC267" i="12"/>
  <c r="AZ267" i="12" s="1"/>
  <c r="AA267" i="12"/>
  <c r="Y267" i="12"/>
  <c r="AY267" i="12" s="1"/>
  <c r="W267" i="12"/>
  <c r="AX267" i="12" s="1"/>
  <c r="U267" i="12"/>
  <c r="AW267" i="12" s="1"/>
  <c r="S267" i="12"/>
  <c r="AV267" i="12" s="1"/>
  <c r="Q267" i="12"/>
  <c r="AU267" i="12" s="1"/>
  <c r="O267" i="12"/>
  <c r="AT267" i="12" s="1"/>
  <c r="AS266" i="12"/>
  <c r="BB266" i="12" s="1"/>
  <c r="AE266" i="12"/>
  <c r="BA266" i="12" s="1"/>
  <c r="AC266" i="12"/>
  <c r="AZ266" i="12" s="1"/>
  <c r="AA266" i="12"/>
  <c r="Y266" i="12"/>
  <c r="AY266" i="12" s="1"/>
  <c r="W266" i="12"/>
  <c r="AX266" i="12" s="1"/>
  <c r="U266" i="12"/>
  <c r="AW266" i="12" s="1"/>
  <c r="S266" i="12"/>
  <c r="AV266" i="12" s="1"/>
  <c r="Q266" i="12"/>
  <c r="AU266" i="12" s="1"/>
  <c r="O266" i="12"/>
  <c r="AT266" i="12" s="1"/>
  <c r="AR265" i="12"/>
  <c r="AE265" i="12"/>
  <c r="BA265" i="12" s="1"/>
  <c r="AC265" i="12"/>
  <c r="AZ265" i="12" s="1"/>
  <c r="AA265" i="12"/>
  <c r="Y265" i="12"/>
  <c r="AY265" i="12" s="1"/>
  <c r="W265" i="12"/>
  <c r="AX265" i="12" s="1"/>
  <c r="U265" i="12"/>
  <c r="AW265" i="12" s="1"/>
  <c r="S265" i="12"/>
  <c r="AV265" i="12" s="1"/>
  <c r="Q265" i="12"/>
  <c r="AU265" i="12" s="1"/>
  <c r="O265" i="12"/>
  <c r="AT265" i="12" s="1"/>
  <c r="AR264" i="12"/>
  <c r="AE264" i="12"/>
  <c r="BA264" i="12" s="1"/>
  <c r="AZ264" i="12"/>
  <c r="AA264" i="12"/>
  <c r="Y264" i="12"/>
  <c r="AY264" i="12" s="1"/>
  <c r="W264" i="12"/>
  <c r="AX264" i="12" s="1"/>
  <c r="U264" i="12"/>
  <c r="AW264" i="12" s="1"/>
  <c r="S264" i="12"/>
  <c r="AV264" i="12" s="1"/>
  <c r="Q264" i="12"/>
  <c r="AU264" i="12" s="1"/>
  <c r="O264" i="12"/>
  <c r="AT264" i="12" s="1"/>
  <c r="AS262" i="12"/>
  <c r="BB262" i="12" s="1"/>
  <c r="AE262" i="12"/>
  <c r="BA262" i="12" s="1"/>
  <c r="AC262" i="12"/>
  <c r="AZ262" i="12" s="1"/>
  <c r="AA262" i="12"/>
  <c r="Y262" i="12"/>
  <c r="AY262" i="12" s="1"/>
  <c r="W262" i="12"/>
  <c r="AX262" i="12" s="1"/>
  <c r="U262" i="12"/>
  <c r="AW262" i="12" s="1"/>
  <c r="S262" i="12"/>
  <c r="AV262" i="12" s="1"/>
  <c r="Q262" i="12"/>
  <c r="AU262" i="12" s="1"/>
  <c r="O262" i="12"/>
  <c r="AT262" i="12" s="1"/>
  <c r="AR261" i="12"/>
  <c r="AE261" i="12"/>
  <c r="BA261" i="12" s="1"/>
  <c r="AC261" i="12"/>
  <c r="AZ261" i="12" s="1"/>
  <c r="AA261" i="12"/>
  <c r="Y261" i="12"/>
  <c r="AY261" i="12" s="1"/>
  <c r="W261" i="12"/>
  <c r="AX261" i="12" s="1"/>
  <c r="U261" i="12"/>
  <c r="AW261" i="12" s="1"/>
  <c r="S261" i="12"/>
  <c r="AV261" i="12" s="1"/>
  <c r="Q261" i="12"/>
  <c r="AU261" i="12" s="1"/>
  <c r="O261" i="12"/>
  <c r="AT261" i="12" s="1"/>
  <c r="AS260" i="12"/>
  <c r="BB260" i="12" s="1"/>
  <c r="AE260" i="12"/>
  <c r="BA260" i="12" s="1"/>
  <c r="AC260" i="12"/>
  <c r="AZ260" i="12" s="1"/>
  <c r="AA260" i="12"/>
  <c r="Y260" i="12"/>
  <c r="AY260" i="12" s="1"/>
  <c r="W260" i="12"/>
  <c r="AX260" i="12" s="1"/>
  <c r="U260" i="12"/>
  <c r="AW260" i="12" s="1"/>
  <c r="S260" i="12"/>
  <c r="AV260" i="12" s="1"/>
  <c r="Q260" i="12"/>
  <c r="AU260" i="12" s="1"/>
  <c r="O260" i="12"/>
  <c r="AT260" i="12" s="1"/>
  <c r="AS259" i="12"/>
  <c r="BB259" i="12" s="1"/>
  <c r="AE259" i="12"/>
  <c r="BA259" i="12" s="1"/>
  <c r="AC259" i="12"/>
  <c r="AZ259" i="12" s="1"/>
  <c r="AA259" i="12"/>
  <c r="Y259" i="12"/>
  <c r="AY259" i="12" s="1"/>
  <c r="W259" i="12"/>
  <c r="AX259" i="12" s="1"/>
  <c r="U259" i="12"/>
  <c r="AW259" i="12" s="1"/>
  <c r="S259" i="12"/>
  <c r="AV259" i="12" s="1"/>
  <c r="Q259" i="12"/>
  <c r="AU259" i="12" s="1"/>
  <c r="O259" i="12"/>
  <c r="AT259" i="12" s="1"/>
  <c r="AR258" i="12"/>
  <c r="AE258" i="12"/>
  <c r="BA258" i="12" s="1"/>
  <c r="AC258" i="12"/>
  <c r="AZ258" i="12" s="1"/>
  <c r="AA258" i="12"/>
  <c r="Y258" i="12"/>
  <c r="AY258" i="12" s="1"/>
  <c r="W258" i="12"/>
  <c r="AX258" i="12" s="1"/>
  <c r="U258" i="12"/>
  <c r="AW258" i="12" s="1"/>
  <c r="S258" i="12"/>
  <c r="AV258" i="12" s="1"/>
  <c r="Q258" i="12"/>
  <c r="AU258" i="12" s="1"/>
  <c r="O258" i="12"/>
  <c r="AT258" i="12" s="1"/>
  <c r="AS254" i="12"/>
  <c r="BB254" i="12" s="1"/>
  <c r="AE254" i="12"/>
  <c r="BA254" i="12" s="1"/>
  <c r="AC254" i="12"/>
  <c r="AZ254" i="12" s="1"/>
  <c r="AA254" i="12"/>
  <c r="Y254" i="12"/>
  <c r="AY254" i="12" s="1"/>
  <c r="W254" i="12"/>
  <c r="AX254" i="12" s="1"/>
  <c r="U254" i="12"/>
  <c r="AW254" i="12" s="1"/>
  <c r="S254" i="12"/>
  <c r="AV254" i="12" s="1"/>
  <c r="Q254" i="12"/>
  <c r="AU254" i="12" s="1"/>
  <c r="O254" i="12"/>
  <c r="AT254" i="12" s="1"/>
  <c r="AS253" i="12"/>
  <c r="BB253" i="12" s="1"/>
  <c r="AE253" i="12"/>
  <c r="BA253" i="12" s="1"/>
  <c r="AC253" i="12"/>
  <c r="AZ253" i="12" s="1"/>
  <c r="AA253" i="12"/>
  <c r="Y253" i="12"/>
  <c r="AY253" i="12" s="1"/>
  <c r="W253" i="12"/>
  <c r="AX253" i="12" s="1"/>
  <c r="U253" i="12"/>
  <c r="AW253" i="12" s="1"/>
  <c r="S253" i="12"/>
  <c r="AV253" i="12" s="1"/>
  <c r="Q253" i="12"/>
  <c r="AU253" i="12" s="1"/>
  <c r="O253" i="12"/>
  <c r="AT253" i="12" s="1"/>
  <c r="AR252" i="12"/>
  <c r="AE252" i="12"/>
  <c r="BA252" i="12" s="1"/>
  <c r="AC252" i="12"/>
  <c r="AZ252" i="12" s="1"/>
  <c r="AA252" i="12"/>
  <c r="Y252" i="12"/>
  <c r="AY252" i="12" s="1"/>
  <c r="W252" i="12"/>
  <c r="AX252" i="12" s="1"/>
  <c r="U252" i="12"/>
  <c r="AW252" i="12" s="1"/>
  <c r="S252" i="12"/>
  <c r="AV252" i="12" s="1"/>
  <c r="Q252" i="12"/>
  <c r="AU252" i="12" s="1"/>
  <c r="O252" i="12"/>
  <c r="AT252" i="12" s="1"/>
  <c r="AS251" i="12"/>
  <c r="BB251" i="12" s="1"/>
  <c r="AE251" i="12"/>
  <c r="BA251" i="12" s="1"/>
  <c r="AC251" i="12"/>
  <c r="AZ251" i="12" s="1"/>
  <c r="AA251" i="12"/>
  <c r="Y251" i="12"/>
  <c r="AY251" i="12" s="1"/>
  <c r="W251" i="12"/>
  <c r="AX251" i="12" s="1"/>
  <c r="U251" i="12"/>
  <c r="AW251" i="12" s="1"/>
  <c r="S251" i="12"/>
  <c r="AV251" i="12" s="1"/>
  <c r="Q251" i="12"/>
  <c r="AU251" i="12" s="1"/>
  <c r="O251" i="12"/>
  <c r="AT251" i="12" s="1"/>
  <c r="AR250" i="12"/>
  <c r="AE250" i="12"/>
  <c r="BA250" i="12" s="1"/>
  <c r="AC250" i="12"/>
  <c r="AZ250" i="12" s="1"/>
  <c r="AA250" i="12"/>
  <c r="Y250" i="12"/>
  <c r="AY250" i="12" s="1"/>
  <c r="W250" i="12"/>
  <c r="AX250" i="12" s="1"/>
  <c r="U250" i="12"/>
  <c r="AW250" i="12" s="1"/>
  <c r="S250" i="12"/>
  <c r="AV250" i="12" s="1"/>
  <c r="Q250" i="12"/>
  <c r="AU250" i="12" s="1"/>
  <c r="O250" i="12"/>
  <c r="AT250" i="12" s="1"/>
  <c r="AR247" i="12"/>
  <c r="AE247" i="12"/>
  <c r="BA247" i="12" s="1"/>
  <c r="AC247" i="12"/>
  <c r="AZ247" i="12" s="1"/>
  <c r="AA247" i="12"/>
  <c r="Y247" i="12"/>
  <c r="AY247" i="12" s="1"/>
  <c r="W247" i="12"/>
  <c r="AX247" i="12" s="1"/>
  <c r="U247" i="12"/>
  <c r="AW247" i="12" s="1"/>
  <c r="S247" i="12"/>
  <c r="AV247" i="12" s="1"/>
  <c r="Q247" i="12"/>
  <c r="AU247" i="12" s="1"/>
  <c r="O247" i="12"/>
  <c r="AT247" i="12" s="1"/>
  <c r="AR246" i="12"/>
  <c r="AE246" i="12"/>
  <c r="BA246" i="12" s="1"/>
  <c r="AC246" i="12"/>
  <c r="AZ246" i="12" s="1"/>
  <c r="AA246" i="12"/>
  <c r="Y246" i="12"/>
  <c r="AY246" i="12" s="1"/>
  <c r="W246" i="12"/>
  <c r="AX246" i="12" s="1"/>
  <c r="U246" i="12"/>
  <c r="AW246" i="12" s="1"/>
  <c r="AS245" i="12"/>
  <c r="BB245" i="12" s="1"/>
  <c r="AE245" i="12"/>
  <c r="BA245" i="12" s="1"/>
  <c r="AC245" i="12"/>
  <c r="AZ245" i="12" s="1"/>
  <c r="AA245" i="12"/>
  <c r="Y245" i="12"/>
  <c r="AY245" i="12" s="1"/>
  <c r="W245" i="12"/>
  <c r="AX245" i="12" s="1"/>
  <c r="U245" i="12"/>
  <c r="AW245" i="12" s="1"/>
  <c r="S245" i="12"/>
  <c r="AV245" i="12" s="1"/>
  <c r="Q245" i="12"/>
  <c r="AU245" i="12" s="1"/>
  <c r="O245" i="12"/>
  <c r="AT245" i="12" s="1"/>
  <c r="AR243" i="12"/>
  <c r="AE243" i="12"/>
  <c r="BA243" i="12" s="1"/>
  <c r="AC243" i="12"/>
  <c r="AZ243" i="12" s="1"/>
  <c r="AA243" i="12"/>
  <c r="Y243" i="12"/>
  <c r="AY243" i="12" s="1"/>
  <c r="W243" i="12"/>
  <c r="AX243" i="12" s="1"/>
  <c r="U243" i="12"/>
  <c r="AW243" i="12" s="1"/>
  <c r="S243" i="12"/>
  <c r="AV243" i="12" s="1"/>
  <c r="Q243" i="12"/>
  <c r="AU243" i="12" s="1"/>
  <c r="O243" i="12"/>
  <c r="AT243" i="12" s="1"/>
  <c r="AS242" i="12"/>
  <c r="BB242" i="12" s="1"/>
  <c r="AE242" i="12"/>
  <c r="BA242" i="12" s="1"/>
  <c r="AC242" i="12"/>
  <c r="AZ242" i="12" s="1"/>
  <c r="AA242" i="12"/>
  <c r="Y242" i="12"/>
  <c r="AY242" i="12" s="1"/>
  <c r="W242" i="12"/>
  <c r="AX242" i="12" s="1"/>
  <c r="U242" i="12"/>
  <c r="AW242" i="12" s="1"/>
  <c r="S242" i="12"/>
  <c r="AV242" i="12" s="1"/>
  <c r="Q242" i="12"/>
  <c r="AU242" i="12" s="1"/>
  <c r="O242" i="12"/>
  <c r="AT242" i="12" s="1"/>
  <c r="AR241" i="12"/>
  <c r="AE241" i="12"/>
  <c r="BA241" i="12" s="1"/>
  <c r="AC241" i="12"/>
  <c r="AZ241" i="12" s="1"/>
  <c r="AA241" i="12"/>
  <c r="Y241" i="12"/>
  <c r="AY241" i="12" s="1"/>
  <c r="W241" i="12"/>
  <c r="AX241" i="12" s="1"/>
  <c r="U241" i="12"/>
  <c r="AW241" i="12" s="1"/>
  <c r="S241" i="12"/>
  <c r="AV241" i="12" s="1"/>
  <c r="Q241" i="12"/>
  <c r="AU241" i="12" s="1"/>
  <c r="O241" i="12"/>
  <c r="AT241" i="12" s="1"/>
  <c r="AR240" i="12"/>
  <c r="AE240" i="12"/>
  <c r="BA240" i="12" s="1"/>
  <c r="AC240" i="12"/>
  <c r="AZ240" i="12" s="1"/>
  <c r="AA240" i="12"/>
  <c r="Y240" i="12"/>
  <c r="AY240" i="12" s="1"/>
  <c r="W240" i="12"/>
  <c r="AX240" i="12" s="1"/>
  <c r="U240" i="12"/>
  <c r="AW240" i="12" s="1"/>
  <c r="S240" i="12"/>
  <c r="AV240" i="12" s="1"/>
  <c r="Q240" i="12"/>
  <c r="AU240" i="12" s="1"/>
  <c r="O240" i="12"/>
  <c r="AT240" i="12" s="1"/>
  <c r="AR239" i="12"/>
  <c r="AE239" i="12"/>
  <c r="BA239" i="12" s="1"/>
  <c r="AC239" i="12"/>
  <c r="AZ239" i="12" s="1"/>
  <c r="AA239" i="12"/>
  <c r="Y239" i="12"/>
  <c r="AY239" i="12" s="1"/>
  <c r="W239" i="12"/>
  <c r="AX239" i="12" s="1"/>
  <c r="U239" i="12"/>
  <c r="AW239" i="12" s="1"/>
  <c r="S239" i="12"/>
  <c r="AV239" i="12" s="1"/>
  <c r="Q239" i="12"/>
  <c r="AU239" i="12" s="1"/>
  <c r="O239" i="12"/>
  <c r="AT239" i="12" s="1"/>
  <c r="AS238" i="12"/>
  <c r="BB238" i="12" s="1"/>
  <c r="AE238" i="12"/>
  <c r="BA238" i="12" s="1"/>
  <c r="AC238" i="12"/>
  <c r="AZ238" i="12" s="1"/>
  <c r="AA238" i="12"/>
  <c r="Y238" i="12"/>
  <c r="AY238" i="12" s="1"/>
  <c r="W238" i="12"/>
  <c r="AX238" i="12" s="1"/>
  <c r="U238" i="12"/>
  <c r="AW238" i="12" s="1"/>
  <c r="S238" i="12"/>
  <c r="AV238" i="12" s="1"/>
  <c r="Q238" i="12"/>
  <c r="AU238" i="12" s="1"/>
  <c r="O238" i="12"/>
  <c r="AT238" i="12" s="1"/>
  <c r="AS237" i="12"/>
  <c r="BB237" i="12" s="1"/>
  <c r="AE237" i="12"/>
  <c r="BA237" i="12" s="1"/>
  <c r="AC237" i="12"/>
  <c r="AZ237" i="12" s="1"/>
  <c r="AA237" i="12"/>
  <c r="Y237" i="12"/>
  <c r="AY237" i="12" s="1"/>
  <c r="W237" i="12"/>
  <c r="AX237" i="12" s="1"/>
  <c r="U237" i="12"/>
  <c r="AW237" i="12" s="1"/>
  <c r="S237" i="12"/>
  <c r="AV237" i="12" s="1"/>
  <c r="Q237" i="12"/>
  <c r="AU237" i="12" s="1"/>
  <c r="O237" i="12"/>
  <c r="AT237" i="12" s="1"/>
  <c r="AR236" i="12"/>
  <c r="AE236" i="12"/>
  <c r="BA236" i="12" s="1"/>
  <c r="AC236" i="12"/>
  <c r="AZ236" i="12" s="1"/>
  <c r="AA236" i="12"/>
  <c r="Y236" i="12"/>
  <c r="AY236" i="12" s="1"/>
  <c r="W236" i="12"/>
  <c r="AX236" i="12" s="1"/>
  <c r="U236" i="12"/>
  <c r="AW236" i="12" s="1"/>
  <c r="S236" i="12"/>
  <c r="AV236" i="12" s="1"/>
  <c r="Q236" i="12"/>
  <c r="AU236" i="12" s="1"/>
  <c r="O236" i="12"/>
  <c r="AT236" i="12" s="1"/>
  <c r="AS235" i="12"/>
  <c r="BB235" i="12" s="1"/>
  <c r="AE235" i="12"/>
  <c r="BA235" i="12" s="1"/>
  <c r="AC235" i="12"/>
  <c r="AZ235" i="12" s="1"/>
  <c r="AA235" i="12"/>
  <c r="Y235" i="12"/>
  <c r="AY235" i="12" s="1"/>
  <c r="W235" i="12"/>
  <c r="AX235" i="12" s="1"/>
  <c r="U235" i="12"/>
  <c r="AW235" i="12" s="1"/>
  <c r="S235" i="12"/>
  <c r="AV235" i="12" s="1"/>
  <c r="Q235" i="12"/>
  <c r="AU235" i="12" s="1"/>
  <c r="O235" i="12"/>
  <c r="AT235" i="12" s="1"/>
  <c r="AS234" i="12"/>
  <c r="BB234" i="12" s="1"/>
  <c r="AE234" i="12"/>
  <c r="BA234" i="12" s="1"/>
  <c r="AC234" i="12"/>
  <c r="AZ234" i="12" s="1"/>
  <c r="AA234" i="12"/>
  <c r="Y234" i="12"/>
  <c r="AY234" i="12" s="1"/>
  <c r="W234" i="12"/>
  <c r="AX234" i="12" s="1"/>
  <c r="U234" i="12"/>
  <c r="AW234" i="12" s="1"/>
  <c r="S234" i="12"/>
  <c r="AV234" i="12" s="1"/>
  <c r="Q234" i="12"/>
  <c r="AU234" i="12" s="1"/>
  <c r="O234" i="12"/>
  <c r="AT234" i="12" s="1"/>
  <c r="AR233" i="12"/>
  <c r="AE233" i="12"/>
  <c r="BA233" i="12" s="1"/>
  <c r="AC233" i="12"/>
  <c r="AZ233" i="12" s="1"/>
  <c r="AA233" i="12"/>
  <c r="Y233" i="12"/>
  <c r="AY233" i="12" s="1"/>
  <c r="W233" i="12"/>
  <c r="AX233" i="12" s="1"/>
  <c r="U233" i="12"/>
  <c r="AW233" i="12" s="1"/>
  <c r="S233" i="12"/>
  <c r="AV233" i="12" s="1"/>
  <c r="Q233" i="12"/>
  <c r="AU233" i="12" s="1"/>
  <c r="O233" i="12"/>
  <c r="AT233" i="12" s="1"/>
  <c r="AS229" i="12"/>
  <c r="BB229" i="12" s="1"/>
  <c r="AE229" i="12"/>
  <c r="BA229" i="12" s="1"/>
  <c r="AC229" i="12"/>
  <c r="AZ229" i="12" s="1"/>
  <c r="AA229" i="12"/>
  <c r="Y229" i="12"/>
  <c r="AY229" i="12" s="1"/>
  <c r="W229" i="12"/>
  <c r="AX229" i="12" s="1"/>
  <c r="U229" i="12"/>
  <c r="AW229" i="12" s="1"/>
  <c r="S229" i="12"/>
  <c r="AV229" i="12" s="1"/>
  <c r="Q229" i="12"/>
  <c r="AU229" i="12" s="1"/>
  <c r="O229" i="12"/>
  <c r="AT229" i="12" s="1"/>
  <c r="AS228" i="12"/>
  <c r="BB228" i="12" s="1"/>
  <c r="AE228" i="12"/>
  <c r="BA228" i="12" s="1"/>
  <c r="AC228" i="12"/>
  <c r="AZ228" i="12" s="1"/>
  <c r="AA228" i="12"/>
  <c r="Y228" i="12"/>
  <c r="AY228" i="12" s="1"/>
  <c r="W228" i="12"/>
  <c r="AX228" i="12" s="1"/>
  <c r="U228" i="12"/>
  <c r="AW228" i="12" s="1"/>
  <c r="S228" i="12"/>
  <c r="AV228" i="12" s="1"/>
  <c r="Q228" i="12"/>
  <c r="AU228" i="12" s="1"/>
  <c r="O228" i="12"/>
  <c r="AT228" i="12" s="1"/>
  <c r="AR227" i="12"/>
  <c r="AE227" i="12"/>
  <c r="BA227" i="12" s="1"/>
  <c r="AC227" i="12"/>
  <c r="AZ227" i="12" s="1"/>
  <c r="AA227" i="12"/>
  <c r="Y227" i="12"/>
  <c r="AY227" i="12" s="1"/>
  <c r="W227" i="12"/>
  <c r="AX227" i="12" s="1"/>
  <c r="U227" i="12"/>
  <c r="AW227" i="12" s="1"/>
  <c r="S227" i="12"/>
  <c r="AV227" i="12" s="1"/>
  <c r="Q227" i="12"/>
  <c r="AU227" i="12" s="1"/>
  <c r="O227" i="12"/>
  <c r="AT227" i="12" s="1"/>
  <c r="AS226" i="12"/>
  <c r="BB226" i="12" s="1"/>
  <c r="AE226" i="12"/>
  <c r="BA226" i="12" s="1"/>
  <c r="AC226" i="12"/>
  <c r="AZ226" i="12" s="1"/>
  <c r="AA226" i="12"/>
  <c r="Y226" i="12"/>
  <c r="AY226" i="12" s="1"/>
  <c r="W226" i="12"/>
  <c r="AX226" i="12" s="1"/>
  <c r="U226" i="12"/>
  <c r="AW226" i="12" s="1"/>
  <c r="S226" i="12"/>
  <c r="AV226" i="12" s="1"/>
  <c r="Q226" i="12"/>
  <c r="AU226" i="12" s="1"/>
  <c r="O226" i="12"/>
  <c r="AT226" i="12" s="1"/>
  <c r="AS225" i="12"/>
  <c r="BB225" i="12" s="1"/>
  <c r="AE225" i="12"/>
  <c r="BA225" i="12" s="1"/>
  <c r="AC225" i="12"/>
  <c r="AZ225" i="12" s="1"/>
  <c r="AA225" i="12"/>
  <c r="Y225" i="12"/>
  <c r="AY225" i="12" s="1"/>
  <c r="W225" i="12"/>
  <c r="AX225" i="12" s="1"/>
  <c r="U225" i="12"/>
  <c r="AW225" i="12" s="1"/>
  <c r="S225" i="12"/>
  <c r="AV225" i="12" s="1"/>
  <c r="Q225" i="12"/>
  <c r="AU225" i="12" s="1"/>
  <c r="O225" i="12"/>
  <c r="AT225" i="12" s="1"/>
  <c r="AR224" i="12"/>
  <c r="AE224" i="12"/>
  <c r="BA224" i="12" s="1"/>
  <c r="AC224" i="12"/>
  <c r="AZ224" i="12" s="1"/>
  <c r="AA224" i="12"/>
  <c r="Y224" i="12"/>
  <c r="AY224" i="12" s="1"/>
  <c r="W224" i="12"/>
  <c r="AX224" i="12" s="1"/>
  <c r="U224" i="12"/>
  <c r="AW224" i="12" s="1"/>
  <c r="S224" i="12"/>
  <c r="AV224" i="12" s="1"/>
  <c r="Q224" i="12"/>
  <c r="AU224" i="12" s="1"/>
  <c r="O224" i="12"/>
  <c r="AT224" i="12" s="1"/>
  <c r="AR221" i="12"/>
  <c r="AE221" i="12"/>
  <c r="BA221" i="12" s="1"/>
  <c r="AC221" i="12"/>
  <c r="AZ221" i="12" s="1"/>
  <c r="AA221" i="12"/>
  <c r="Y221" i="12"/>
  <c r="AY221" i="12" s="1"/>
  <c r="W221" i="12"/>
  <c r="AX221" i="12" s="1"/>
  <c r="U221" i="12"/>
  <c r="AW221" i="12" s="1"/>
  <c r="S221" i="12"/>
  <c r="AV221" i="12" s="1"/>
  <c r="Q221" i="12"/>
  <c r="AU221" i="12" s="1"/>
  <c r="O221" i="12"/>
  <c r="AT221" i="12" s="1"/>
  <c r="AS220" i="12"/>
  <c r="BB220" i="12" s="1"/>
  <c r="AE220" i="12"/>
  <c r="BA220" i="12" s="1"/>
  <c r="AC220" i="12"/>
  <c r="AZ220" i="12" s="1"/>
  <c r="AA220" i="12"/>
  <c r="Y220" i="12"/>
  <c r="AY220" i="12" s="1"/>
  <c r="W220" i="12"/>
  <c r="AX220" i="12" s="1"/>
  <c r="U220" i="12"/>
  <c r="AW220" i="12" s="1"/>
  <c r="S220" i="12"/>
  <c r="AV220" i="12" s="1"/>
  <c r="Q220" i="12"/>
  <c r="AU220" i="12" s="1"/>
  <c r="O220" i="12"/>
  <c r="AT220" i="12" s="1"/>
  <c r="AR219" i="12"/>
  <c r="AE219" i="12"/>
  <c r="BA219" i="12" s="1"/>
  <c r="AC219" i="12"/>
  <c r="AZ219" i="12" s="1"/>
  <c r="AA219" i="12"/>
  <c r="Y219" i="12"/>
  <c r="AY219" i="12" s="1"/>
  <c r="W219" i="12"/>
  <c r="AX219" i="12" s="1"/>
  <c r="U219" i="12"/>
  <c r="AW219" i="12" s="1"/>
  <c r="S219" i="12"/>
  <c r="AV219" i="12" s="1"/>
  <c r="Q219" i="12"/>
  <c r="AU219" i="12" s="1"/>
  <c r="O219" i="12"/>
  <c r="AT219" i="12" s="1"/>
  <c r="AS218" i="12"/>
  <c r="BB218" i="12" s="1"/>
  <c r="AE218" i="12"/>
  <c r="BA218" i="12" s="1"/>
  <c r="AC218" i="12"/>
  <c r="AZ218" i="12" s="1"/>
  <c r="AA218" i="12"/>
  <c r="Y218" i="12"/>
  <c r="AY218" i="12" s="1"/>
  <c r="W218" i="12"/>
  <c r="AX218" i="12" s="1"/>
  <c r="U218" i="12"/>
  <c r="AW218" i="12" s="1"/>
  <c r="S218" i="12"/>
  <c r="AV218" i="12" s="1"/>
  <c r="Q218" i="12"/>
  <c r="AU218" i="12" s="1"/>
  <c r="O218" i="12"/>
  <c r="AT218" i="12" s="1"/>
  <c r="AR217" i="12"/>
  <c r="AE217" i="12"/>
  <c r="BA217" i="12" s="1"/>
  <c r="AC217" i="12"/>
  <c r="AZ217" i="12" s="1"/>
  <c r="AA217" i="12"/>
  <c r="Y217" i="12"/>
  <c r="AY217" i="12" s="1"/>
  <c r="W217" i="12"/>
  <c r="AX217" i="12" s="1"/>
  <c r="U217" i="12"/>
  <c r="AW217" i="12" s="1"/>
  <c r="S217" i="12"/>
  <c r="AV217" i="12" s="1"/>
  <c r="Q217" i="12"/>
  <c r="AU217" i="12" s="1"/>
  <c r="O217" i="12"/>
  <c r="AT217" i="12" s="1"/>
  <c r="AS216" i="12"/>
  <c r="BB216" i="12" s="1"/>
  <c r="AE216" i="12"/>
  <c r="BA216" i="12" s="1"/>
  <c r="AC216" i="12"/>
  <c r="AZ216" i="12" s="1"/>
  <c r="AA216" i="12"/>
  <c r="Y216" i="12"/>
  <c r="AY216" i="12" s="1"/>
  <c r="W216" i="12"/>
  <c r="AX216" i="12" s="1"/>
  <c r="U216" i="12"/>
  <c r="AW216" i="12" s="1"/>
  <c r="S216" i="12"/>
  <c r="AV216" i="12" s="1"/>
  <c r="Q216" i="12"/>
  <c r="AU216" i="12" s="1"/>
  <c r="O216" i="12"/>
  <c r="AT216" i="12" s="1"/>
  <c r="AR215" i="12"/>
  <c r="AE215" i="12"/>
  <c r="BA215" i="12" s="1"/>
  <c r="AC215" i="12"/>
  <c r="AZ215" i="12" s="1"/>
  <c r="AA215" i="12"/>
  <c r="Y215" i="12"/>
  <c r="AY215" i="12" s="1"/>
  <c r="W215" i="12"/>
  <c r="AX215" i="12" s="1"/>
  <c r="U215" i="12"/>
  <c r="AW215" i="12" s="1"/>
  <c r="S215" i="12"/>
  <c r="AV215" i="12" s="1"/>
  <c r="Q215" i="12"/>
  <c r="AU215" i="12" s="1"/>
  <c r="O215" i="12"/>
  <c r="AT215" i="12" s="1"/>
  <c r="AS214" i="12"/>
  <c r="BB214" i="12" s="1"/>
  <c r="AE214" i="12"/>
  <c r="BA214" i="12" s="1"/>
  <c r="AC214" i="12"/>
  <c r="AZ214" i="12" s="1"/>
  <c r="AA214" i="12"/>
  <c r="Y214" i="12"/>
  <c r="AY214" i="12" s="1"/>
  <c r="W214" i="12"/>
  <c r="AX214" i="12" s="1"/>
  <c r="U214" i="12"/>
  <c r="AW214" i="12" s="1"/>
  <c r="S214" i="12"/>
  <c r="AV214" i="12" s="1"/>
  <c r="Q214" i="12"/>
  <c r="AU214" i="12" s="1"/>
  <c r="O214" i="12"/>
  <c r="AT214" i="12" s="1"/>
  <c r="AS213" i="12"/>
  <c r="BB213" i="12" s="1"/>
  <c r="AE213" i="12"/>
  <c r="BA213" i="12" s="1"/>
  <c r="AC213" i="12"/>
  <c r="AZ213" i="12" s="1"/>
  <c r="AA213" i="12"/>
  <c r="Y213" i="12"/>
  <c r="AY213" i="12" s="1"/>
  <c r="W213" i="12"/>
  <c r="AX213" i="12" s="1"/>
  <c r="U213" i="12"/>
  <c r="AW213" i="12" s="1"/>
  <c r="S213" i="12"/>
  <c r="AV213" i="12" s="1"/>
  <c r="Q213" i="12"/>
  <c r="AU213" i="12" s="1"/>
  <c r="O213" i="12"/>
  <c r="AT213" i="12" s="1"/>
  <c r="AS212" i="12"/>
  <c r="BB212" i="12" s="1"/>
  <c r="AE212" i="12"/>
  <c r="BA212" i="12" s="1"/>
  <c r="AC212" i="12"/>
  <c r="AZ212" i="12" s="1"/>
  <c r="AA212" i="12"/>
  <c r="Y212" i="12"/>
  <c r="AY212" i="12" s="1"/>
  <c r="W212" i="12"/>
  <c r="AX212" i="12" s="1"/>
  <c r="U212" i="12"/>
  <c r="AW212" i="12" s="1"/>
  <c r="S212" i="12"/>
  <c r="AV212" i="12" s="1"/>
  <c r="Q212" i="12"/>
  <c r="AU212" i="12" s="1"/>
  <c r="O212" i="12"/>
  <c r="AT212" i="12" s="1"/>
  <c r="AR211" i="12"/>
  <c r="AE211" i="12"/>
  <c r="BA211" i="12" s="1"/>
  <c r="AC211" i="12"/>
  <c r="AZ211" i="12" s="1"/>
  <c r="AA211" i="12"/>
  <c r="Y211" i="12"/>
  <c r="AY211" i="12" s="1"/>
  <c r="W211" i="12"/>
  <c r="AX211" i="12" s="1"/>
  <c r="U211" i="12"/>
  <c r="AW211" i="12" s="1"/>
  <c r="S211" i="12"/>
  <c r="AV211" i="12" s="1"/>
  <c r="Q211" i="12"/>
  <c r="AU211" i="12" s="1"/>
  <c r="O211" i="12"/>
  <c r="AT211" i="12" s="1"/>
  <c r="AS206" i="12"/>
  <c r="BB206" i="12" s="1"/>
  <c r="AE206" i="12"/>
  <c r="BA206" i="12" s="1"/>
  <c r="AC206" i="12"/>
  <c r="AZ206" i="12" s="1"/>
  <c r="AA206" i="12"/>
  <c r="Y206" i="12"/>
  <c r="AY206" i="12" s="1"/>
  <c r="W206" i="12"/>
  <c r="AX206" i="12" s="1"/>
  <c r="U206" i="12"/>
  <c r="AW206" i="12" s="1"/>
  <c r="S206" i="12"/>
  <c r="AV206" i="12" s="1"/>
  <c r="Q206" i="12"/>
  <c r="AU206" i="12" s="1"/>
  <c r="O206" i="12"/>
  <c r="AT206" i="12" s="1"/>
  <c r="AS205" i="12"/>
  <c r="BB205" i="12" s="1"/>
  <c r="AE205" i="12"/>
  <c r="BA205" i="12" s="1"/>
  <c r="AC205" i="12"/>
  <c r="AZ205" i="12" s="1"/>
  <c r="AA205" i="12"/>
  <c r="Y205" i="12"/>
  <c r="AY205" i="12" s="1"/>
  <c r="W205" i="12"/>
  <c r="AX205" i="12" s="1"/>
  <c r="U205" i="12"/>
  <c r="AW205" i="12" s="1"/>
  <c r="S205" i="12"/>
  <c r="AV205" i="12" s="1"/>
  <c r="Q205" i="12"/>
  <c r="AU205" i="12" s="1"/>
  <c r="O205" i="12"/>
  <c r="AT205" i="12" s="1"/>
  <c r="AR204" i="12"/>
  <c r="AE204" i="12"/>
  <c r="BA204" i="12" s="1"/>
  <c r="AC204" i="12"/>
  <c r="AZ204" i="12" s="1"/>
  <c r="AA204" i="12"/>
  <c r="Y204" i="12"/>
  <c r="AY204" i="12" s="1"/>
  <c r="W204" i="12"/>
  <c r="AX204" i="12" s="1"/>
  <c r="U204" i="12"/>
  <c r="AW204" i="12" s="1"/>
  <c r="S204" i="12"/>
  <c r="AV204" i="12" s="1"/>
  <c r="Q204" i="12"/>
  <c r="AU204" i="12" s="1"/>
  <c r="O204" i="12"/>
  <c r="AT204" i="12" s="1"/>
  <c r="AS203" i="12"/>
  <c r="BB203" i="12" s="1"/>
  <c r="AE203" i="12"/>
  <c r="BA203" i="12" s="1"/>
  <c r="AC203" i="12"/>
  <c r="AZ203" i="12" s="1"/>
  <c r="AA203" i="12"/>
  <c r="Y203" i="12"/>
  <c r="AY203" i="12" s="1"/>
  <c r="W203" i="12"/>
  <c r="AX203" i="12" s="1"/>
  <c r="U203" i="12"/>
  <c r="AW203" i="12" s="1"/>
  <c r="S203" i="12"/>
  <c r="AV203" i="12" s="1"/>
  <c r="Q203" i="12"/>
  <c r="AU203" i="12" s="1"/>
  <c r="O203" i="12"/>
  <c r="AT203" i="12" s="1"/>
  <c r="AS202" i="12"/>
  <c r="BB202" i="12" s="1"/>
  <c r="AE202" i="12"/>
  <c r="BA202" i="12" s="1"/>
  <c r="AC202" i="12"/>
  <c r="AZ202" i="12" s="1"/>
  <c r="AA202" i="12"/>
  <c r="Y202" i="12"/>
  <c r="AY202" i="12" s="1"/>
  <c r="W202" i="12"/>
  <c r="AX202" i="12" s="1"/>
  <c r="U202" i="12"/>
  <c r="AW202" i="12" s="1"/>
  <c r="S202" i="12"/>
  <c r="AV202" i="12" s="1"/>
  <c r="Q202" i="12"/>
  <c r="AU202" i="12" s="1"/>
  <c r="O202" i="12"/>
  <c r="AT202" i="12" s="1"/>
  <c r="AS201" i="12"/>
  <c r="BB201" i="12" s="1"/>
  <c r="AE201" i="12"/>
  <c r="BA201" i="12" s="1"/>
  <c r="AC201" i="12"/>
  <c r="AZ201" i="12" s="1"/>
  <c r="AA201" i="12"/>
  <c r="Y201" i="12"/>
  <c r="AY201" i="12" s="1"/>
  <c r="W201" i="12"/>
  <c r="AX201" i="12" s="1"/>
  <c r="U201" i="12"/>
  <c r="AW201" i="12" s="1"/>
  <c r="S201" i="12"/>
  <c r="AV201" i="12" s="1"/>
  <c r="Q201" i="12"/>
  <c r="AU201" i="12" s="1"/>
  <c r="O201" i="12"/>
  <c r="AT201" i="12" s="1"/>
  <c r="AS200" i="12"/>
  <c r="BB200" i="12" s="1"/>
  <c r="AE200" i="12"/>
  <c r="BA200" i="12" s="1"/>
  <c r="AC200" i="12"/>
  <c r="AZ200" i="12" s="1"/>
  <c r="AA200" i="12"/>
  <c r="Y200" i="12"/>
  <c r="AY200" i="12" s="1"/>
  <c r="W200" i="12"/>
  <c r="AX200" i="12" s="1"/>
  <c r="U200" i="12"/>
  <c r="AW200" i="12" s="1"/>
  <c r="S200" i="12"/>
  <c r="AV200" i="12" s="1"/>
  <c r="Q200" i="12"/>
  <c r="AU200" i="12" s="1"/>
  <c r="O200" i="12"/>
  <c r="AT200" i="12" s="1"/>
  <c r="AS199" i="12"/>
  <c r="BB199" i="12" s="1"/>
  <c r="AE199" i="12"/>
  <c r="BA199" i="12" s="1"/>
  <c r="AC199" i="12"/>
  <c r="AZ199" i="12" s="1"/>
  <c r="AA199" i="12"/>
  <c r="Y199" i="12"/>
  <c r="AY199" i="12" s="1"/>
  <c r="W199" i="12"/>
  <c r="AX199" i="12" s="1"/>
  <c r="U199" i="12"/>
  <c r="AW199" i="12" s="1"/>
  <c r="S199" i="12"/>
  <c r="AV199" i="12" s="1"/>
  <c r="Q199" i="12"/>
  <c r="AU199" i="12" s="1"/>
  <c r="O199" i="12"/>
  <c r="AT199" i="12" s="1"/>
  <c r="AS198" i="12"/>
  <c r="BB198" i="12" s="1"/>
  <c r="AE198" i="12"/>
  <c r="BA198" i="12" s="1"/>
  <c r="AC198" i="12"/>
  <c r="AZ198" i="12" s="1"/>
  <c r="AA198" i="12"/>
  <c r="Y198" i="12"/>
  <c r="AY198" i="12" s="1"/>
  <c r="W198" i="12"/>
  <c r="AX198" i="12" s="1"/>
  <c r="U198" i="12"/>
  <c r="AW198" i="12" s="1"/>
  <c r="S198" i="12"/>
  <c r="AV198" i="12" s="1"/>
  <c r="Q198" i="12"/>
  <c r="AU198" i="12" s="1"/>
  <c r="O198" i="12"/>
  <c r="AT198" i="12" s="1"/>
  <c r="AR197" i="12"/>
  <c r="AE197" i="12"/>
  <c r="BA197" i="12" s="1"/>
  <c r="AC197" i="12"/>
  <c r="AZ197" i="12" s="1"/>
  <c r="AA197" i="12"/>
  <c r="Y197" i="12"/>
  <c r="AY197" i="12" s="1"/>
  <c r="W197" i="12"/>
  <c r="AX197" i="12" s="1"/>
  <c r="U197" i="12"/>
  <c r="AW197" i="12" s="1"/>
  <c r="S197" i="12"/>
  <c r="AV197" i="12" s="1"/>
  <c r="Q197" i="12"/>
  <c r="AU197" i="12" s="1"/>
  <c r="O197" i="12"/>
  <c r="AT197" i="12" s="1"/>
  <c r="AS196" i="12"/>
  <c r="BB196" i="12" s="1"/>
  <c r="AE196" i="12"/>
  <c r="BA196" i="12" s="1"/>
  <c r="AC196" i="12"/>
  <c r="AZ196" i="12" s="1"/>
  <c r="AA196" i="12"/>
  <c r="Y196" i="12"/>
  <c r="AY196" i="12" s="1"/>
  <c r="W196" i="12"/>
  <c r="AX196" i="12" s="1"/>
  <c r="U196" i="12"/>
  <c r="AW196" i="12" s="1"/>
  <c r="S196" i="12"/>
  <c r="AV196" i="12" s="1"/>
  <c r="Q196" i="12"/>
  <c r="AU196" i="12" s="1"/>
  <c r="O196" i="12"/>
  <c r="AT196" i="12" s="1"/>
  <c r="AR195" i="12"/>
  <c r="AE195" i="12"/>
  <c r="BA195" i="12" s="1"/>
  <c r="AC195" i="12"/>
  <c r="AZ195" i="12" s="1"/>
  <c r="AA195" i="12"/>
  <c r="Y195" i="12"/>
  <c r="AY195" i="12" s="1"/>
  <c r="W195" i="12"/>
  <c r="AX195" i="12" s="1"/>
  <c r="U195" i="12"/>
  <c r="AW195" i="12" s="1"/>
  <c r="S195" i="12"/>
  <c r="AV195" i="12" s="1"/>
  <c r="Q195" i="12"/>
  <c r="AU195" i="12" s="1"/>
  <c r="O195" i="12"/>
  <c r="AT195" i="12" s="1"/>
  <c r="AS194" i="12"/>
  <c r="BB194" i="12" s="1"/>
  <c r="AE194" i="12"/>
  <c r="BA194" i="12" s="1"/>
  <c r="AC194" i="12"/>
  <c r="AZ194" i="12" s="1"/>
  <c r="AA194" i="12"/>
  <c r="Y194" i="12"/>
  <c r="AY194" i="12" s="1"/>
  <c r="W194" i="12"/>
  <c r="AX194" i="12" s="1"/>
  <c r="U194" i="12"/>
  <c r="AW194" i="12" s="1"/>
  <c r="S194" i="12"/>
  <c r="AV194" i="12" s="1"/>
  <c r="Q194" i="12"/>
  <c r="AU194" i="12" s="1"/>
  <c r="O194" i="12"/>
  <c r="AT194" i="12" s="1"/>
  <c r="AS193" i="12"/>
  <c r="BB193" i="12" s="1"/>
  <c r="AE193" i="12"/>
  <c r="BA193" i="12" s="1"/>
  <c r="AC193" i="12"/>
  <c r="AZ193" i="12" s="1"/>
  <c r="AA193" i="12"/>
  <c r="Y193" i="12"/>
  <c r="AY193" i="12" s="1"/>
  <c r="W193" i="12"/>
  <c r="AX193" i="12" s="1"/>
  <c r="U193" i="12"/>
  <c r="AW193" i="12" s="1"/>
  <c r="S193" i="12"/>
  <c r="AV193" i="12" s="1"/>
  <c r="Q193" i="12"/>
  <c r="AU193" i="12" s="1"/>
  <c r="O193" i="12"/>
  <c r="AT193" i="12" s="1"/>
  <c r="AR192" i="12"/>
  <c r="AE192" i="12"/>
  <c r="BA192" i="12" s="1"/>
  <c r="AC192" i="12"/>
  <c r="AZ192" i="12" s="1"/>
  <c r="AA192" i="12"/>
  <c r="Y192" i="12"/>
  <c r="AY192" i="12" s="1"/>
  <c r="W192" i="12"/>
  <c r="AX192" i="12" s="1"/>
  <c r="U192" i="12"/>
  <c r="AW192" i="12" s="1"/>
  <c r="S192" i="12"/>
  <c r="AV192" i="12" s="1"/>
  <c r="Q192" i="12"/>
  <c r="AU192" i="12" s="1"/>
  <c r="O192" i="12"/>
  <c r="AT192" i="12" s="1"/>
  <c r="AR186" i="12"/>
  <c r="AE186" i="12"/>
  <c r="BA186" i="12" s="1"/>
  <c r="AC186" i="12"/>
  <c r="AZ186" i="12" s="1"/>
  <c r="AA186" i="12"/>
  <c r="Y186" i="12"/>
  <c r="AY186" i="12" s="1"/>
  <c r="W186" i="12"/>
  <c r="AX186" i="12" s="1"/>
  <c r="U186" i="12"/>
  <c r="AW186" i="12" s="1"/>
  <c r="S186" i="12"/>
  <c r="AV186" i="12" s="1"/>
  <c r="Q186" i="12"/>
  <c r="AU186" i="12" s="1"/>
  <c r="O186" i="12"/>
  <c r="AT186" i="12" s="1"/>
  <c r="AR185" i="12"/>
  <c r="AE185" i="12"/>
  <c r="BA185" i="12" s="1"/>
  <c r="AC185" i="12"/>
  <c r="AZ185" i="12" s="1"/>
  <c r="AA185" i="12"/>
  <c r="Y185" i="12"/>
  <c r="AY185" i="12" s="1"/>
  <c r="W185" i="12"/>
  <c r="AX185" i="12" s="1"/>
  <c r="U185" i="12"/>
  <c r="AW185" i="12" s="1"/>
  <c r="S185" i="12"/>
  <c r="AV185" i="12" s="1"/>
  <c r="Q185" i="12"/>
  <c r="AU185" i="12" s="1"/>
  <c r="O185" i="12"/>
  <c r="AT185" i="12" s="1"/>
  <c r="AS183" i="12"/>
  <c r="BB183" i="12" s="1"/>
  <c r="AE183" i="12"/>
  <c r="BA183" i="12" s="1"/>
  <c r="AC183" i="12"/>
  <c r="AZ183" i="12" s="1"/>
  <c r="AA183" i="12"/>
  <c r="Y183" i="12"/>
  <c r="AY183" i="12" s="1"/>
  <c r="W183" i="12"/>
  <c r="AX183" i="12" s="1"/>
  <c r="U183" i="12"/>
  <c r="AW183" i="12" s="1"/>
  <c r="S183" i="12"/>
  <c r="AV183" i="12" s="1"/>
  <c r="Q183" i="12"/>
  <c r="AU183" i="12" s="1"/>
  <c r="O183" i="12"/>
  <c r="AT183" i="12" s="1"/>
  <c r="AS182" i="12"/>
  <c r="BB182" i="12" s="1"/>
  <c r="AE182" i="12"/>
  <c r="BA182" i="12" s="1"/>
  <c r="AC182" i="12"/>
  <c r="AZ182" i="12" s="1"/>
  <c r="AA182" i="12"/>
  <c r="Y182" i="12"/>
  <c r="AY182" i="12" s="1"/>
  <c r="W182" i="12"/>
  <c r="AX182" i="12" s="1"/>
  <c r="U182" i="12"/>
  <c r="AW182" i="12" s="1"/>
  <c r="S182" i="12"/>
  <c r="AV182" i="12" s="1"/>
  <c r="Q182" i="12"/>
  <c r="AU182" i="12" s="1"/>
  <c r="O182" i="12"/>
  <c r="AT182" i="12" s="1"/>
  <c r="AS181" i="12"/>
  <c r="BB181" i="12" s="1"/>
  <c r="AE181" i="12"/>
  <c r="BA181" i="12" s="1"/>
  <c r="AC181" i="12"/>
  <c r="AZ181" i="12" s="1"/>
  <c r="AA181" i="12"/>
  <c r="Y181" i="12"/>
  <c r="AY181" i="12" s="1"/>
  <c r="W181" i="12"/>
  <c r="AX181" i="12" s="1"/>
  <c r="U181" i="12"/>
  <c r="AW181" i="12" s="1"/>
  <c r="S181" i="12"/>
  <c r="AV181" i="12" s="1"/>
  <c r="Q181" i="12"/>
  <c r="AU181" i="12" s="1"/>
  <c r="O181" i="12"/>
  <c r="AT181" i="12" s="1"/>
  <c r="AR180" i="12"/>
  <c r="AE180" i="12"/>
  <c r="BA180" i="12" s="1"/>
  <c r="AC180" i="12"/>
  <c r="AZ180" i="12" s="1"/>
  <c r="AA180" i="12"/>
  <c r="Y180" i="12"/>
  <c r="AY180" i="12" s="1"/>
  <c r="W180" i="12"/>
  <c r="AX180" i="12" s="1"/>
  <c r="U180" i="12"/>
  <c r="AW180" i="12" s="1"/>
  <c r="S180" i="12"/>
  <c r="AV180" i="12" s="1"/>
  <c r="Q180" i="12"/>
  <c r="AU180" i="12" s="1"/>
  <c r="O180" i="12"/>
  <c r="AT180" i="12" s="1"/>
  <c r="AS179" i="12"/>
  <c r="BB179" i="12" s="1"/>
  <c r="AE179" i="12"/>
  <c r="BA179" i="12" s="1"/>
  <c r="AC179" i="12"/>
  <c r="AZ179" i="12" s="1"/>
  <c r="AA179" i="12"/>
  <c r="Y179" i="12"/>
  <c r="AY179" i="12" s="1"/>
  <c r="W179" i="12"/>
  <c r="AX179" i="12" s="1"/>
  <c r="U179" i="12"/>
  <c r="AW179" i="12" s="1"/>
  <c r="S179" i="12"/>
  <c r="AV179" i="12" s="1"/>
  <c r="Q179" i="12"/>
  <c r="AU179" i="12" s="1"/>
  <c r="O179" i="12"/>
  <c r="AT179" i="12" s="1"/>
  <c r="AS178" i="12"/>
  <c r="BB178" i="12" s="1"/>
  <c r="AE178" i="12"/>
  <c r="BA178" i="12" s="1"/>
  <c r="AC178" i="12"/>
  <c r="AZ178" i="12" s="1"/>
  <c r="AA178" i="12"/>
  <c r="Y178" i="12"/>
  <c r="AY178" i="12" s="1"/>
  <c r="W178" i="12"/>
  <c r="AX178" i="12" s="1"/>
  <c r="U178" i="12"/>
  <c r="AW178" i="12" s="1"/>
  <c r="S178" i="12"/>
  <c r="AV178" i="12" s="1"/>
  <c r="Q178" i="12"/>
  <c r="AU178" i="12" s="1"/>
  <c r="O178" i="12"/>
  <c r="AT178" i="12" s="1"/>
  <c r="AS177" i="12"/>
  <c r="BB177" i="12" s="1"/>
  <c r="AE177" i="12"/>
  <c r="BA177" i="12" s="1"/>
  <c r="AC177" i="12"/>
  <c r="AZ177" i="12" s="1"/>
  <c r="AA177" i="12"/>
  <c r="Y177" i="12"/>
  <c r="AY177" i="12" s="1"/>
  <c r="W177" i="12"/>
  <c r="AX177" i="12" s="1"/>
  <c r="U177" i="12"/>
  <c r="AW177" i="12" s="1"/>
  <c r="S177" i="12"/>
  <c r="AV177" i="12" s="1"/>
  <c r="Q177" i="12"/>
  <c r="AU177" i="12" s="1"/>
  <c r="O177" i="12"/>
  <c r="AT177" i="12" s="1"/>
  <c r="AR176" i="12"/>
  <c r="AE176" i="12"/>
  <c r="BA176" i="12" s="1"/>
  <c r="AC176" i="12"/>
  <c r="AZ176" i="12" s="1"/>
  <c r="AA176" i="12"/>
  <c r="Y176" i="12"/>
  <c r="AY176" i="12" s="1"/>
  <c r="W176" i="12"/>
  <c r="AX176" i="12" s="1"/>
  <c r="U176" i="12"/>
  <c r="AW176" i="12" s="1"/>
  <c r="S176" i="12"/>
  <c r="AV176" i="12" s="1"/>
  <c r="Q176" i="12"/>
  <c r="AU176" i="12" s="1"/>
  <c r="O176" i="12"/>
  <c r="AT176" i="12" s="1"/>
  <c r="AS171" i="12"/>
  <c r="BB171" i="12" s="1"/>
  <c r="AE171" i="12"/>
  <c r="BA171" i="12" s="1"/>
  <c r="AC171" i="12"/>
  <c r="AZ171" i="12" s="1"/>
  <c r="AA171" i="12"/>
  <c r="Y171" i="12"/>
  <c r="AY171" i="12" s="1"/>
  <c r="W171" i="12"/>
  <c r="AX171" i="12" s="1"/>
  <c r="U171" i="12"/>
  <c r="AW171" i="12" s="1"/>
  <c r="S171" i="12"/>
  <c r="AV171" i="12" s="1"/>
  <c r="Q171" i="12"/>
  <c r="AU171" i="12" s="1"/>
  <c r="O171" i="12"/>
  <c r="AT171" i="12" s="1"/>
  <c r="AS170" i="12"/>
  <c r="BB170" i="12" s="1"/>
  <c r="AE170" i="12"/>
  <c r="BA170" i="12" s="1"/>
  <c r="AC170" i="12"/>
  <c r="AZ170" i="12" s="1"/>
  <c r="AA170" i="12"/>
  <c r="Y170" i="12"/>
  <c r="AY170" i="12" s="1"/>
  <c r="W170" i="12"/>
  <c r="AX170" i="12" s="1"/>
  <c r="U170" i="12"/>
  <c r="AW170" i="12" s="1"/>
  <c r="S170" i="12"/>
  <c r="AV170" i="12" s="1"/>
  <c r="Q170" i="12"/>
  <c r="AU170" i="12" s="1"/>
  <c r="O170" i="12"/>
  <c r="AT170" i="12" s="1"/>
  <c r="AS169" i="12"/>
  <c r="BB169" i="12" s="1"/>
  <c r="AE169" i="12"/>
  <c r="BA169" i="12" s="1"/>
  <c r="AC169" i="12"/>
  <c r="AZ169" i="12" s="1"/>
  <c r="AA169" i="12"/>
  <c r="Y169" i="12"/>
  <c r="AY169" i="12" s="1"/>
  <c r="W169" i="12"/>
  <c r="AX169" i="12" s="1"/>
  <c r="U169" i="12"/>
  <c r="AW169" i="12" s="1"/>
  <c r="S169" i="12"/>
  <c r="AV169" i="12" s="1"/>
  <c r="Q169" i="12"/>
  <c r="AU169" i="12" s="1"/>
  <c r="O169" i="12"/>
  <c r="AT169" i="12" s="1"/>
  <c r="AR168" i="12"/>
  <c r="AE168" i="12"/>
  <c r="BA168" i="12" s="1"/>
  <c r="AC168" i="12"/>
  <c r="AZ168" i="12" s="1"/>
  <c r="AA168" i="12"/>
  <c r="Y168" i="12"/>
  <c r="AY168" i="12" s="1"/>
  <c r="W168" i="12"/>
  <c r="AX168" i="12" s="1"/>
  <c r="U168" i="12"/>
  <c r="AW168" i="12" s="1"/>
  <c r="S168" i="12"/>
  <c r="AV168" i="12" s="1"/>
  <c r="Q168" i="12"/>
  <c r="AU168" i="12" s="1"/>
  <c r="O168" i="12"/>
  <c r="AT168" i="12" s="1"/>
  <c r="AS167" i="12"/>
  <c r="BB167" i="12" s="1"/>
  <c r="AE167" i="12"/>
  <c r="BA167" i="12" s="1"/>
  <c r="AC167" i="12"/>
  <c r="AZ167" i="12" s="1"/>
  <c r="AA167" i="12"/>
  <c r="Y167" i="12"/>
  <c r="AY167" i="12" s="1"/>
  <c r="W167" i="12"/>
  <c r="AX167" i="12" s="1"/>
  <c r="U167" i="12"/>
  <c r="AW167" i="12" s="1"/>
  <c r="S167" i="12"/>
  <c r="AV167" i="12" s="1"/>
  <c r="Q167" i="12"/>
  <c r="AU167" i="12" s="1"/>
  <c r="O167" i="12"/>
  <c r="AT167" i="12" s="1"/>
  <c r="AR166" i="12"/>
  <c r="AE166" i="12"/>
  <c r="BA166" i="12" s="1"/>
  <c r="AC166" i="12"/>
  <c r="AZ166" i="12" s="1"/>
  <c r="AA166" i="12"/>
  <c r="Y166" i="12"/>
  <c r="AY166" i="12" s="1"/>
  <c r="W166" i="12"/>
  <c r="AX166" i="12" s="1"/>
  <c r="U166" i="12"/>
  <c r="AW166" i="12" s="1"/>
  <c r="S166" i="12"/>
  <c r="AV166" i="12" s="1"/>
  <c r="Q166" i="12"/>
  <c r="AU166" i="12" s="1"/>
  <c r="O166" i="12"/>
  <c r="AT166" i="12" s="1"/>
  <c r="AS165" i="12"/>
  <c r="BB165" i="12" s="1"/>
  <c r="AE165" i="12"/>
  <c r="BA165" i="12" s="1"/>
  <c r="AC165" i="12"/>
  <c r="AZ165" i="12" s="1"/>
  <c r="AA165" i="12"/>
  <c r="Y165" i="12"/>
  <c r="AY165" i="12" s="1"/>
  <c r="W165" i="12"/>
  <c r="AX165" i="12" s="1"/>
  <c r="U165" i="12"/>
  <c r="AW165" i="12" s="1"/>
  <c r="S165" i="12"/>
  <c r="AV165" i="12" s="1"/>
  <c r="Q165" i="12"/>
  <c r="AU165" i="12" s="1"/>
  <c r="O165" i="12"/>
  <c r="AT165" i="12" s="1"/>
  <c r="AR164" i="12"/>
  <c r="AE164" i="12"/>
  <c r="BA164" i="12" s="1"/>
  <c r="AC164" i="12"/>
  <c r="AZ164" i="12" s="1"/>
  <c r="AA164" i="12"/>
  <c r="Y164" i="12"/>
  <c r="AY164" i="12" s="1"/>
  <c r="W164" i="12"/>
  <c r="AX164" i="12" s="1"/>
  <c r="U164" i="12"/>
  <c r="AW164" i="12" s="1"/>
  <c r="S164" i="12"/>
  <c r="AV164" i="12" s="1"/>
  <c r="Q164" i="12"/>
  <c r="AU164" i="12" s="1"/>
  <c r="O164" i="12"/>
  <c r="AT164" i="12" s="1"/>
  <c r="AS163" i="12"/>
  <c r="BB163" i="12" s="1"/>
  <c r="AE163" i="12"/>
  <c r="BA163" i="12" s="1"/>
  <c r="AC163" i="12"/>
  <c r="AZ163" i="12" s="1"/>
  <c r="AA163" i="12"/>
  <c r="Y163" i="12"/>
  <c r="AY163" i="12" s="1"/>
  <c r="W163" i="12"/>
  <c r="AX163" i="12" s="1"/>
  <c r="U163" i="12"/>
  <c r="AW163" i="12" s="1"/>
  <c r="S163" i="12"/>
  <c r="AV163" i="12" s="1"/>
  <c r="Q163" i="12"/>
  <c r="AU163" i="12" s="1"/>
  <c r="O163" i="12"/>
  <c r="AT163" i="12" s="1"/>
  <c r="AR162" i="12"/>
  <c r="AE162" i="12"/>
  <c r="BA162" i="12" s="1"/>
  <c r="AC162" i="12"/>
  <c r="AZ162" i="12" s="1"/>
  <c r="AA162" i="12"/>
  <c r="Y162" i="12"/>
  <c r="AY162" i="12" s="1"/>
  <c r="W162" i="12"/>
  <c r="AX162" i="12" s="1"/>
  <c r="U162" i="12"/>
  <c r="AW162" i="12" s="1"/>
  <c r="S162" i="12"/>
  <c r="AV162" i="12" s="1"/>
  <c r="Q162" i="12"/>
  <c r="AU162" i="12" s="1"/>
  <c r="O162" i="12"/>
  <c r="AT162" i="12" s="1"/>
  <c r="AS159" i="12"/>
  <c r="BB159" i="12" s="1"/>
  <c r="AE159" i="12"/>
  <c r="BA159" i="12" s="1"/>
  <c r="AC159" i="12"/>
  <c r="AZ159" i="12" s="1"/>
  <c r="AA159" i="12"/>
  <c r="Y159" i="12"/>
  <c r="AY159" i="12" s="1"/>
  <c r="W159" i="12"/>
  <c r="AX159" i="12" s="1"/>
  <c r="U159" i="12"/>
  <c r="AW159" i="12" s="1"/>
  <c r="S159" i="12"/>
  <c r="AV159" i="12" s="1"/>
  <c r="Q159" i="12"/>
  <c r="AU159" i="12" s="1"/>
  <c r="O159" i="12"/>
  <c r="AT159" i="12" s="1"/>
  <c r="AS158" i="12"/>
  <c r="BB158" i="12" s="1"/>
  <c r="AE158" i="12"/>
  <c r="BA158" i="12" s="1"/>
  <c r="AC158" i="12"/>
  <c r="AZ158" i="12" s="1"/>
  <c r="AA158" i="12"/>
  <c r="Y158" i="12"/>
  <c r="AY158" i="12" s="1"/>
  <c r="W158" i="12"/>
  <c r="AX158" i="12" s="1"/>
  <c r="U158" i="12"/>
  <c r="AW158" i="12" s="1"/>
  <c r="S158" i="12"/>
  <c r="AV158" i="12" s="1"/>
  <c r="Q158" i="12"/>
  <c r="AU158" i="12" s="1"/>
  <c r="O158" i="12"/>
  <c r="AT158" i="12" s="1"/>
  <c r="AS157" i="12"/>
  <c r="BB157" i="12" s="1"/>
  <c r="AE157" i="12"/>
  <c r="BA157" i="12" s="1"/>
  <c r="AC157" i="12"/>
  <c r="AZ157" i="12" s="1"/>
  <c r="AA157" i="12"/>
  <c r="Y157" i="12"/>
  <c r="AY157" i="12" s="1"/>
  <c r="W157" i="12"/>
  <c r="AX157" i="12" s="1"/>
  <c r="U157" i="12"/>
  <c r="AW157" i="12" s="1"/>
  <c r="S157" i="12"/>
  <c r="AV157" i="12" s="1"/>
  <c r="Q157" i="12"/>
  <c r="AU157" i="12" s="1"/>
  <c r="O157" i="12"/>
  <c r="AT157" i="12" s="1"/>
  <c r="AS156" i="12"/>
  <c r="BB156" i="12" s="1"/>
  <c r="AE156" i="12"/>
  <c r="BA156" i="12" s="1"/>
  <c r="AC156" i="12"/>
  <c r="AZ156" i="12" s="1"/>
  <c r="AA156" i="12"/>
  <c r="Y156" i="12"/>
  <c r="AY156" i="12" s="1"/>
  <c r="W156" i="12"/>
  <c r="AX156" i="12" s="1"/>
  <c r="U156" i="12"/>
  <c r="AW156" i="12" s="1"/>
  <c r="S156" i="12"/>
  <c r="AV156" i="12" s="1"/>
  <c r="Q156" i="12"/>
  <c r="AU156" i="12" s="1"/>
  <c r="O156" i="12"/>
  <c r="AT156" i="12" s="1"/>
  <c r="AR155" i="12"/>
  <c r="AE155" i="12"/>
  <c r="BA155" i="12" s="1"/>
  <c r="AC155" i="12"/>
  <c r="AZ155" i="12" s="1"/>
  <c r="AA155" i="12"/>
  <c r="Y155" i="12"/>
  <c r="AY155" i="12" s="1"/>
  <c r="W155" i="12"/>
  <c r="AX155" i="12" s="1"/>
  <c r="U155" i="12"/>
  <c r="AW155" i="12" s="1"/>
  <c r="S155" i="12"/>
  <c r="AV155" i="12" s="1"/>
  <c r="Q155" i="12"/>
  <c r="AU155" i="12" s="1"/>
  <c r="O155" i="12"/>
  <c r="AT155" i="12" s="1"/>
  <c r="AR153" i="12"/>
  <c r="AE153" i="12"/>
  <c r="BA153" i="12" s="1"/>
  <c r="AC153" i="12"/>
  <c r="AZ153" i="12" s="1"/>
  <c r="AA153" i="12"/>
  <c r="Y153" i="12"/>
  <c r="AY153" i="12" s="1"/>
  <c r="W153" i="12"/>
  <c r="AX153" i="12" s="1"/>
  <c r="U153" i="12"/>
  <c r="AW153" i="12" s="1"/>
  <c r="S153" i="12"/>
  <c r="AV153" i="12" s="1"/>
  <c r="Q153" i="12"/>
  <c r="AU153" i="12" s="1"/>
  <c r="O153" i="12"/>
  <c r="AT153" i="12" s="1"/>
  <c r="AR144" i="12"/>
  <c r="AE144" i="12"/>
  <c r="BA144" i="12" s="1"/>
  <c r="AC144" i="12"/>
  <c r="AZ144" i="12" s="1"/>
  <c r="AA144" i="12"/>
  <c r="Y144" i="12"/>
  <c r="AY144" i="12" s="1"/>
  <c r="W144" i="12"/>
  <c r="AX144" i="12" s="1"/>
  <c r="U144" i="12"/>
  <c r="AW144" i="12" s="1"/>
  <c r="S144" i="12"/>
  <c r="AV144" i="12" s="1"/>
  <c r="Q144" i="12"/>
  <c r="AU144" i="12" s="1"/>
  <c r="O144" i="12"/>
  <c r="AT144" i="12" s="1"/>
  <c r="AR133" i="12"/>
  <c r="AE133" i="12"/>
  <c r="BA133" i="12" s="1"/>
  <c r="AC133" i="12"/>
  <c r="AZ133" i="12" s="1"/>
  <c r="AA133" i="12"/>
  <c r="Y133" i="12"/>
  <c r="AY133" i="12" s="1"/>
  <c r="W133" i="12"/>
  <c r="AX133" i="12" s="1"/>
  <c r="U133" i="12"/>
  <c r="AW133" i="12" s="1"/>
  <c r="S133" i="12"/>
  <c r="AV133" i="12" s="1"/>
  <c r="Q133" i="12"/>
  <c r="AU133" i="12" s="1"/>
  <c r="O133" i="12"/>
  <c r="AT133" i="12" s="1"/>
  <c r="AS132" i="12"/>
  <c r="BB132" i="12" s="1"/>
  <c r="AE132" i="12"/>
  <c r="BA132" i="12" s="1"/>
  <c r="AC132" i="12"/>
  <c r="AZ132" i="12" s="1"/>
  <c r="AA132" i="12"/>
  <c r="Y132" i="12"/>
  <c r="AY132" i="12" s="1"/>
  <c r="W132" i="12"/>
  <c r="AX132" i="12" s="1"/>
  <c r="U132" i="12"/>
  <c r="AW132" i="12" s="1"/>
  <c r="S132" i="12"/>
  <c r="AV132" i="12" s="1"/>
  <c r="Q132" i="12"/>
  <c r="AU132" i="12" s="1"/>
  <c r="O132" i="12"/>
  <c r="AT132" i="12" s="1"/>
  <c r="AR131" i="12"/>
  <c r="AE131" i="12"/>
  <c r="BA131" i="12" s="1"/>
  <c r="AC131" i="12"/>
  <c r="AZ131" i="12" s="1"/>
  <c r="AA131" i="12"/>
  <c r="Y131" i="12"/>
  <c r="AY131" i="12" s="1"/>
  <c r="W131" i="12"/>
  <c r="AX131" i="12" s="1"/>
  <c r="U131" i="12"/>
  <c r="AW131" i="12" s="1"/>
  <c r="S131" i="12"/>
  <c r="AV131" i="12" s="1"/>
  <c r="Q131" i="12"/>
  <c r="AU131" i="12" s="1"/>
  <c r="O131" i="12"/>
  <c r="AT131" i="12" s="1"/>
  <c r="AS128" i="12"/>
  <c r="BB128" i="12" s="1"/>
  <c r="AE128" i="12"/>
  <c r="BA128" i="12" s="1"/>
  <c r="AC128" i="12"/>
  <c r="AZ128" i="12" s="1"/>
  <c r="AA128" i="12"/>
  <c r="Y128" i="12"/>
  <c r="AY128" i="12" s="1"/>
  <c r="W128" i="12"/>
  <c r="AX128" i="12" s="1"/>
  <c r="U128" i="12"/>
  <c r="AW128" i="12" s="1"/>
  <c r="S128" i="12"/>
  <c r="AV128" i="12" s="1"/>
  <c r="Q128" i="12"/>
  <c r="AU128" i="12" s="1"/>
  <c r="O128" i="12"/>
  <c r="AT128" i="12" s="1"/>
  <c r="AS127" i="12"/>
  <c r="BB127" i="12" s="1"/>
  <c r="AE127" i="12"/>
  <c r="BA127" i="12" s="1"/>
  <c r="AC127" i="12"/>
  <c r="AZ127" i="12" s="1"/>
  <c r="AA127" i="12"/>
  <c r="Y127" i="12"/>
  <c r="AY127" i="12" s="1"/>
  <c r="W127" i="12"/>
  <c r="AX127" i="12" s="1"/>
  <c r="U127" i="12"/>
  <c r="AW127" i="12" s="1"/>
  <c r="S127" i="12"/>
  <c r="AV127" i="12" s="1"/>
  <c r="Q127" i="12"/>
  <c r="AU127" i="12" s="1"/>
  <c r="O127" i="12"/>
  <c r="AT127" i="12" s="1"/>
  <c r="AR126" i="12"/>
  <c r="AE126" i="12"/>
  <c r="BA126" i="12" s="1"/>
  <c r="AC126" i="12"/>
  <c r="AZ126" i="12" s="1"/>
  <c r="AA126" i="12"/>
  <c r="Y126" i="12"/>
  <c r="AY126" i="12" s="1"/>
  <c r="W126" i="12"/>
  <c r="AX126" i="12" s="1"/>
  <c r="U126" i="12"/>
  <c r="AW126" i="12" s="1"/>
  <c r="S126" i="12"/>
  <c r="AV126" i="12" s="1"/>
  <c r="Q126" i="12"/>
  <c r="AU126" i="12" s="1"/>
  <c r="O126" i="12"/>
  <c r="AT126" i="12" s="1"/>
  <c r="AS125" i="12"/>
  <c r="BB125" i="12" s="1"/>
  <c r="AE125" i="12"/>
  <c r="BA125" i="12" s="1"/>
  <c r="AC125" i="12"/>
  <c r="AZ125" i="12" s="1"/>
  <c r="AA125" i="12"/>
  <c r="Y125" i="12"/>
  <c r="AY125" i="12" s="1"/>
  <c r="W125" i="12"/>
  <c r="AX125" i="12" s="1"/>
  <c r="U125" i="12"/>
  <c r="AW125" i="12" s="1"/>
  <c r="S125" i="12"/>
  <c r="AV125" i="12" s="1"/>
  <c r="Q125" i="12"/>
  <c r="AU125" i="12" s="1"/>
  <c r="O125" i="12"/>
  <c r="AT125" i="12" s="1"/>
  <c r="AS124" i="12"/>
  <c r="BB124" i="12" s="1"/>
  <c r="AE124" i="12"/>
  <c r="BA124" i="12" s="1"/>
  <c r="AC124" i="12"/>
  <c r="AZ124" i="12" s="1"/>
  <c r="AA124" i="12"/>
  <c r="Y124" i="12"/>
  <c r="AY124" i="12" s="1"/>
  <c r="W124" i="12"/>
  <c r="AX124" i="12" s="1"/>
  <c r="U124" i="12"/>
  <c r="AW124" i="12" s="1"/>
  <c r="S124" i="12"/>
  <c r="AV124" i="12" s="1"/>
  <c r="Q124" i="12"/>
  <c r="AU124" i="12" s="1"/>
  <c r="O124" i="12"/>
  <c r="AT124" i="12" s="1"/>
  <c r="AR123" i="12"/>
  <c r="AE123" i="12"/>
  <c r="BA123" i="12" s="1"/>
  <c r="AC123" i="12"/>
  <c r="AZ123" i="12" s="1"/>
  <c r="AA123" i="12"/>
  <c r="Y123" i="12"/>
  <c r="AY123" i="12" s="1"/>
  <c r="W123" i="12"/>
  <c r="AX123" i="12" s="1"/>
  <c r="U123" i="12"/>
  <c r="AW123" i="12" s="1"/>
  <c r="S123" i="12"/>
  <c r="AV123" i="12" s="1"/>
  <c r="Q123" i="12"/>
  <c r="AU123" i="12" s="1"/>
  <c r="O123" i="12"/>
  <c r="AT123" i="12" s="1"/>
  <c r="AS122" i="12"/>
  <c r="BB122" i="12" s="1"/>
  <c r="AE122" i="12"/>
  <c r="BA122" i="12" s="1"/>
  <c r="AC122" i="12"/>
  <c r="AZ122" i="12" s="1"/>
  <c r="AA122" i="12"/>
  <c r="Y122" i="12"/>
  <c r="AY122" i="12" s="1"/>
  <c r="W122" i="12"/>
  <c r="AX122" i="12" s="1"/>
  <c r="U122" i="12"/>
  <c r="AW122" i="12" s="1"/>
  <c r="S122" i="12"/>
  <c r="AV122" i="12" s="1"/>
  <c r="Q122" i="12"/>
  <c r="AU122" i="12" s="1"/>
  <c r="O122" i="12"/>
  <c r="AT122" i="12" s="1"/>
  <c r="AS121" i="12"/>
  <c r="BB121" i="12" s="1"/>
  <c r="AE121" i="12"/>
  <c r="BA121" i="12" s="1"/>
  <c r="AC121" i="12"/>
  <c r="AZ121" i="12" s="1"/>
  <c r="AA121" i="12"/>
  <c r="Y121" i="12"/>
  <c r="AY121" i="12" s="1"/>
  <c r="W121" i="12"/>
  <c r="AX121" i="12" s="1"/>
  <c r="U121" i="12"/>
  <c r="AW121" i="12" s="1"/>
  <c r="S121" i="12"/>
  <c r="AV121" i="12" s="1"/>
  <c r="Q121" i="12"/>
  <c r="AU121" i="12" s="1"/>
  <c r="O121" i="12"/>
  <c r="AT121" i="12" s="1"/>
  <c r="AR120" i="12"/>
  <c r="AE120" i="12"/>
  <c r="BA120" i="12" s="1"/>
  <c r="AC120" i="12"/>
  <c r="AZ120" i="12" s="1"/>
  <c r="AA120" i="12"/>
  <c r="Y120" i="12"/>
  <c r="AY120" i="12" s="1"/>
  <c r="W120" i="12"/>
  <c r="AX120" i="12" s="1"/>
  <c r="U120" i="12"/>
  <c r="AW120" i="12" s="1"/>
  <c r="S120" i="12"/>
  <c r="AV120" i="12" s="1"/>
  <c r="Q120" i="12"/>
  <c r="AU120" i="12" s="1"/>
  <c r="O120" i="12"/>
  <c r="AT120" i="12" s="1"/>
  <c r="AS119" i="12"/>
  <c r="BB119" i="12" s="1"/>
  <c r="AE119" i="12"/>
  <c r="BA119" i="12" s="1"/>
  <c r="AC119" i="12"/>
  <c r="AZ119" i="12" s="1"/>
  <c r="AA119" i="12"/>
  <c r="Y119" i="12"/>
  <c r="AY119" i="12" s="1"/>
  <c r="W119" i="12"/>
  <c r="AX119" i="12" s="1"/>
  <c r="U119" i="12"/>
  <c r="AW119" i="12" s="1"/>
  <c r="S119" i="12"/>
  <c r="AV119" i="12" s="1"/>
  <c r="Q119" i="12"/>
  <c r="AU119" i="12" s="1"/>
  <c r="O119" i="12"/>
  <c r="AT119" i="12" s="1"/>
  <c r="AR118" i="12"/>
  <c r="AE118" i="12"/>
  <c r="BA118" i="12" s="1"/>
  <c r="AC118" i="12"/>
  <c r="AZ118" i="12" s="1"/>
  <c r="AA118" i="12"/>
  <c r="Y118" i="12"/>
  <c r="AY118" i="12" s="1"/>
  <c r="W118" i="12"/>
  <c r="AX118" i="12" s="1"/>
  <c r="U118" i="12"/>
  <c r="AW118" i="12" s="1"/>
  <c r="S118" i="12"/>
  <c r="AV118" i="12" s="1"/>
  <c r="Q118" i="12"/>
  <c r="AU118" i="12" s="1"/>
  <c r="O118" i="12"/>
  <c r="AT118" i="12" s="1"/>
  <c r="AS113" i="12"/>
  <c r="BB113" i="12" s="1"/>
  <c r="AE113" i="12"/>
  <c r="BA113" i="12" s="1"/>
  <c r="AC113" i="12"/>
  <c r="AZ113" i="12" s="1"/>
  <c r="AA113" i="12"/>
  <c r="Y113" i="12"/>
  <c r="AY113" i="12" s="1"/>
  <c r="W113" i="12"/>
  <c r="AX113" i="12" s="1"/>
  <c r="U113" i="12"/>
  <c r="AW113" i="12" s="1"/>
  <c r="S113" i="12"/>
  <c r="AV113" i="12" s="1"/>
  <c r="Q113" i="12"/>
  <c r="AU113" i="12" s="1"/>
  <c r="O113" i="12"/>
  <c r="AT113" i="12" s="1"/>
  <c r="AS112" i="12"/>
  <c r="BB112" i="12" s="1"/>
  <c r="AE112" i="12"/>
  <c r="BA112" i="12" s="1"/>
  <c r="AC112" i="12"/>
  <c r="AZ112" i="12" s="1"/>
  <c r="AA112" i="12"/>
  <c r="Y112" i="12"/>
  <c r="AY112" i="12" s="1"/>
  <c r="W112" i="12"/>
  <c r="AX112" i="12" s="1"/>
  <c r="U112" i="12"/>
  <c r="AW112" i="12" s="1"/>
  <c r="S112" i="12"/>
  <c r="AV112" i="12" s="1"/>
  <c r="Q112" i="12"/>
  <c r="AU112" i="12" s="1"/>
  <c r="O112" i="12"/>
  <c r="AT112" i="12" s="1"/>
  <c r="AS111" i="12"/>
  <c r="BB111" i="12" s="1"/>
  <c r="AE111" i="12"/>
  <c r="BA111" i="12" s="1"/>
  <c r="AC111" i="12"/>
  <c r="AZ111" i="12" s="1"/>
  <c r="AA111" i="12"/>
  <c r="Y111" i="12"/>
  <c r="AY111" i="12" s="1"/>
  <c r="W111" i="12"/>
  <c r="AX111" i="12" s="1"/>
  <c r="U111" i="12"/>
  <c r="AW111" i="12" s="1"/>
  <c r="S111" i="12"/>
  <c r="AV111" i="12" s="1"/>
  <c r="Q111" i="12"/>
  <c r="AU111" i="12" s="1"/>
  <c r="O111" i="12"/>
  <c r="AT111" i="12" s="1"/>
  <c r="AR110" i="12"/>
  <c r="AE110" i="12"/>
  <c r="BA110" i="12" s="1"/>
  <c r="AC110" i="12"/>
  <c r="AZ110" i="12" s="1"/>
  <c r="AA110" i="12"/>
  <c r="Y110" i="12"/>
  <c r="AY110" i="12" s="1"/>
  <c r="W110" i="12"/>
  <c r="AX110" i="12" s="1"/>
  <c r="U110" i="12"/>
  <c r="AW110" i="12" s="1"/>
  <c r="S110" i="12"/>
  <c r="AV110" i="12" s="1"/>
  <c r="Q110" i="12"/>
  <c r="AU110" i="12" s="1"/>
  <c r="O110" i="12"/>
  <c r="AT110" i="12" s="1"/>
  <c r="AS109" i="12"/>
  <c r="BB109" i="12" s="1"/>
  <c r="AE109" i="12"/>
  <c r="BA109" i="12" s="1"/>
  <c r="AC109" i="12"/>
  <c r="AZ109" i="12" s="1"/>
  <c r="AA109" i="12"/>
  <c r="Y109" i="12"/>
  <c r="AY109" i="12" s="1"/>
  <c r="W109" i="12"/>
  <c r="AX109" i="12" s="1"/>
  <c r="U109" i="12"/>
  <c r="AW109" i="12" s="1"/>
  <c r="S109" i="12"/>
  <c r="AV109" i="12" s="1"/>
  <c r="Q109" i="12"/>
  <c r="AU109" i="12" s="1"/>
  <c r="O109" i="12"/>
  <c r="AT109" i="12" s="1"/>
  <c r="AS108" i="12"/>
  <c r="BB108" i="12" s="1"/>
  <c r="AE108" i="12"/>
  <c r="BA108" i="12" s="1"/>
  <c r="AC108" i="12"/>
  <c r="AZ108" i="12" s="1"/>
  <c r="AA108" i="12"/>
  <c r="Y108" i="12"/>
  <c r="AY108" i="12" s="1"/>
  <c r="W108" i="12"/>
  <c r="AX108" i="12" s="1"/>
  <c r="U108" i="12"/>
  <c r="AW108" i="12" s="1"/>
  <c r="S108" i="12"/>
  <c r="AV108" i="12" s="1"/>
  <c r="Q108" i="12"/>
  <c r="AU108" i="12" s="1"/>
  <c r="O108" i="12"/>
  <c r="AT108" i="12" s="1"/>
  <c r="AR107" i="12"/>
  <c r="AE107" i="12"/>
  <c r="BA107" i="12" s="1"/>
  <c r="AC107" i="12"/>
  <c r="AZ107" i="12" s="1"/>
  <c r="AA107" i="12"/>
  <c r="Y107" i="12"/>
  <c r="AY107" i="12" s="1"/>
  <c r="W107" i="12"/>
  <c r="AX107" i="12" s="1"/>
  <c r="U107" i="12"/>
  <c r="AW107" i="12" s="1"/>
  <c r="S107" i="12"/>
  <c r="AV107" i="12" s="1"/>
  <c r="Q107" i="12"/>
  <c r="AU107" i="12" s="1"/>
  <c r="O107" i="12"/>
  <c r="AT107" i="12" s="1"/>
  <c r="AS106" i="12"/>
  <c r="BB106" i="12" s="1"/>
  <c r="AE106" i="12"/>
  <c r="BA106" i="12" s="1"/>
  <c r="AC106" i="12"/>
  <c r="AZ106" i="12" s="1"/>
  <c r="AA106" i="12"/>
  <c r="Y106" i="12"/>
  <c r="AY106" i="12" s="1"/>
  <c r="W106" i="12"/>
  <c r="AX106" i="12" s="1"/>
  <c r="U106" i="12"/>
  <c r="AW106" i="12" s="1"/>
  <c r="S106" i="12"/>
  <c r="AV106" i="12" s="1"/>
  <c r="Q106" i="12"/>
  <c r="AU106" i="12" s="1"/>
  <c r="O106" i="12"/>
  <c r="AT106" i="12" s="1"/>
  <c r="AR105" i="12"/>
  <c r="AE105" i="12"/>
  <c r="BA105" i="12" s="1"/>
  <c r="AC105" i="12"/>
  <c r="AZ105" i="12" s="1"/>
  <c r="AA105" i="12"/>
  <c r="Y105" i="12"/>
  <c r="AY105" i="12" s="1"/>
  <c r="W105" i="12"/>
  <c r="AX105" i="12" s="1"/>
  <c r="U105" i="12"/>
  <c r="AW105" i="12" s="1"/>
  <c r="S105" i="12"/>
  <c r="AV105" i="12" s="1"/>
  <c r="Q105" i="12"/>
  <c r="AU105" i="12" s="1"/>
  <c r="O105" i="12"/>
  <c r="AT105" i="12" s="1"/>
  <c r="AR104" i="12"/>
  <c r="AE104" i="12"/>
  <c r="BA104" i="12" s="1"/>
  <c r="AC104" i="12"/>
  <c r="AZ104" i="12" s="1"/>
  <c r="AA104" i="12"/>
  <c r="Y104" i="12"/>
  <c r="AY104" i="12" s="1"/>
  <c r="W104" i="12"/>
  <c r="AX104" i="12" s="1"/>
  <c r="U104" i="12"/>
  <c r="AW104" i="12" s="1"/>
  <c r="S104" i="12"/>
  <c r="AV104" i="12" s="1"/>
  <c r="Q104" i="12"/>
  <c r="AU104" i="12" s="1"/>
  <c r="O104" i="12"/>
  <c r="AT104" i="12" s="1"/>
  <c r="AS103" i="12"/>
  <c r="BB103" i="12" s="1"/>
  <c r="AE103" i="12"/>
  <c r="BA103" i="12" s="1"/>
  <c r="AC103" i="12"/>
  <c r="AZ103" i="12" s="1"/>
  <c r="AA103" i="12"/>
  <c r="Y103" i="12"/>
  <c r="AY103" i="12" s="1"/>
  <c r="W103" i="12"/>
  <c r="AX103" i="12" s="1"/>
  <c r="U103" i="12"/>
  <c r="AW103" i="12" s="1"/>
  <c r="S103" i="12"/>
  <c r="AV103" i="12" s="1"/>
  <c r="Q103" i="12"/>
  <c r="AU103" i="12" s="1"/>
  <c r="O103" i="12"/>
  <c r="AT103" i="12" s="1"/>
  <c r="AR102" i="12"/>
  <c r="AE102" i="12"/>
  <c r="BA102" i="12" s="1"/>
  <c r="AC102" i="12"/>
  <c r="AZ102" i="12" s="1"/>
  <c r="AA102" i="12"/>
  <c r="Y102" i="12"/>
  <c r="AY102" i="12" s="1"/>
  <c r="W102" i="12"/>
  <c r="AX102" i="12" s="1"/>
  <c r="U102" i="12"/>
  <c r="AW102" i="12" s="1"/>
  <c r="S102" i="12"/>
  <c r="AV102" i="12" s="1"/>
  <c r="Q102" i="12"/>
  <c r="AU102" i="12" s="1"/>
  <c r="O102" i="12"/>
  <c r="AT102" i="12" s="1"/>
  <c r="AS101" i="12"/>
  <c r="BB101" i="12" s="1"/>
  <c r="AE101" i="12"/>
  <c r="BA101" i="12" s="1"/>
  <c r="AC101" i="12"/>
  <c r="AZ101" i="12" s="1"/>
  <c r="AA101" i="12"/>
  <c r="Y101" i="12"/>
  <c r="AY101" i="12" s="1"/>
  <c r="W101" i="12"/>
  <c r="AX101" i="12" s="1"/>
  <c r="U101" i="12"/>
  <c r="AW101" i="12" s="1"/>
  <c r="S101" i="12"/>
  <c r="AV101" i="12" s="1"/>
  <c r="Q101" i="12"/>
  <c r="AU101" i="12" s="1"/>
  <c r="O101" i="12"/>
  <c r="AT101" i="12" s="1"/>
  <c r="AS100" i="12"/>
  <c r="BB100" i="12" s="1"/>
  <c r="AE100" i="12"/>
  <c r="BA100" i="12" s="1"/>
  <c r="AC100" i="12"/>
  <c r="AZ100" i="12" s="1"/>
  <c r="AA100" i="12"/>
  <c r="Y100" i="12"/>
  <c r="AY100" i="12" s="1"/>
  <c r="W100" i="12"/>
  <c r="AX100" i="12" s="1"/>
  <c r="U100" i="12"/>
  <c r="AW100" i="12" s="1"/>
  <c r="S100" i="12"/>
  <c r="AV100" i="12" s="1"/>
  <c r="Q100" i="12"/>
  <c r="AU100" i="12" s="1"/>
  <c r="O100" i="12"/>
  <c r="AT100" i="12" s="1"/>
  <c r="AR99" i="12"/>
  <c r="AE99" i="12"/>
  <c r="BA99" i="12" s="1"/>
  <c r="AC99" i="12"/>
  <c r="AZ99" i="12" s="1"/>
  <c r="AA99" i="12"/>
  <c r="Y99" i="12"/>
  <c r="AY99" i="12" s="1"/>
  <c r="W99" i="12"/>
  <c r="AX99" i="12" s="1"/>
  <c r="U99" i="12"/>
  <c r="AW99" i="12" s="1"/>
  <c r="S99" i="12"/>
  <c r="AV99" i="12" s="1"/>
  <c r="Q99" i="12"/>
  <c r="AU99" i="12" s="1"/>
  <c r="O99" i="12"/>
  <c r="AT99" i="12" s="1"/>
  <c r="AS87" i="12"/>
  <c r="BB87" i="12" s="1"/>
  <c r="AE87" i="12"/>
  <c r="BA87" i="12" s="1"/>
  <c r="AC87" i="12"/>
  <c r="AZ87" i="12" s="1"/>
  <c r="AA87" i="12"/>
  <c r="Y87" i="12"/>
  <c r="AY87" i="12" s="1"/>
  <c r="W87" i="12"/>
  <c r="AX87" i="12" s="1"/>
  <c r="U87" i="12"/>
  <c r="AW87" i="12" s="1"/>
  <c r="S87" i="12"/>
  <c r="AV87" i="12" s="1"/>
  <c r="Q87" i="12"/>
  <c r="AU87" i="12" s="1"/>
  <c r="O87" i="12"/>
  <c r="AT87" i="12" s="1"/>
  <c r="AS86" i="12"/>
  <c r="BB86" i="12" s="1"/>
  <c r="AE86" i="12"/>
  <c r="BA86" i="12" s="1"/>
  <c r="AC86" i="12"/>
  <c r="AZ86" i="12" s="1"/>
  <c r="AA86" i="12"/>
  <c r="Y86" i="12"/>
  <c r="AY86" i="12" s="1"/>
  <c r="W86" i="12"/>
  <c r="AX86" i="12" s="1"/>
  <c r="U86" i="12"/>
  <c r="AW86" i="12" s="1"/>
  <c r="S86" i="12"/>
  <c r="AV86" i="12" s="1"/>
  <c r="Q86" i="12"/>
  <c r="AU86" i="12" s="1"/>
  <c r="O86" i="12"/>
  <c r="AT86" i="12" s="1"/>
  <c r="AS85" i="12"/>
  <c r="BB85" i="12" s="1"/>
  <c r="AE85" i="12"/>
  <c r="BA85" i="12" s="1"/>
  <c r="AC85" i="12"/>
  <c r="AZ85" i="12" s="1"/>
  <c r="AA85" i="12"/>
  <c r="Y85" i="12"/>
  <c r="AY85" i="12" s="1"/>
  <c r="W85" i="12"/>
  <c r="AX85" i="12" s="1"/>
  <c r="U85" i="12"/>
  <c r="AW85" i="12" s="1"/>
  <c r="S85" i="12"/>
  <c r="AV85" i="12" s="1"/>
  <c r="Q85" i="12"/>
  <c r="AU85" i="12" s="1"/>
  <c r="O85" i="12"/>
  <c r="AT85" i="12" s="1"/>
  <c r="AR84" i="12"/>
  <c r="AE84" i="12"/>
  <c r="BA84" i="12" s="1"/>
  <c r="AC84" i="12"/>
  <c r="AZ84" i="12" s="1"/>
  <c r="AA84" i="12"/>
  <c r="Y84" i="12"/>
  <c r="AY84" i="12" s="1"/>
  <c r="W84" i="12"/>
  <c r="AX84" i="12" s="1"/>
  <c r="U84" i="12"/>
  <c r="AW84" i="12" s="1"/>
  <c r="S84" i="12"/>
  <c r="AV84" i="12" s="1"/>
  <c r="Q84" i="12"/>
  <c r="AU84" i="12" s="1"/>
  <c r="O84" i="12"/>
  <c r="AT84" i="12" s="1"/>
  <c r="AS83" i="12"/>
  <c r="BB83" i="12" s="1"/>
  <c r="AE83" i="12"/>
  <c r="BA83" i="12" s="1"/>
  <c r="AC83" i="12"/>
  <c r="AZ83" i="12" s="1"/>
  <c r="AA83" i="12"/>
  <c r="Y83" i="12"/>
  <c r="AY83" i="12" s="1"/>
  <c r="W83" i="12"/>
  <c r="AX83" i="12" s="1"/>
  <c r="U83" i="12"/>
  <c r="AW83" i="12" s="1"/>
  <c r="S83" i="12"/>
  <c r="AV83" i="12" s="1"/>
  <c r="Q83" i="12"/>
  <c r="AU83" i="12" s="1"/>
  <c r="O83" i="12"/>
  <c r="AT83" i="12" s="1"/>
  <c r="AS82" i="12"/>
  <c r="BB82" i="12" s="1"/>
  <c r="AE82" i="12"/>
  <c r="BA82" i="12" s="1"/>
  <c r="AC82" i="12"/>
  <c r="AZ82" i="12" s="1"/>
  <c r="AA82" i="12"/>
  <c r="Y82" i="12"/>
  <c r="AY82" i="12" s="1"/>
  <c r="W82" i="12"/>
  <c r="AX82" i="12" s="1"/>
  <c r="U82" i="12"/>
  <c r="AW82" i="12" s="1"/>
  <c r="S82" i="12"/>
  <c r="AV82" i="12" s="1"/>
  <c r="Q82" i="12"/>
  <c r="AU82" i="12" s="1"/>
  <c r="AT82" i="12"/>
  <c r="AS81" i="12"/>
  <c r="BB81" i="12" s="1"/>
  <c r="AE81" i="12"/>
  <c r="BA81" i="12" s="1"/>
  <c r="AC81" i="12"/>
  <c r="AZ81" i="12" s="1"/>
  <c r="AA81" i="12"/>
  <c r="Y81" i="12"/>
  <c r="AY81" i="12" s="1"/>
  <c r="W81" i="12"/>
  <c r="AX81" i="12" s="1"/>
  <c r="U81" i="12"/>
  <c r="AW81" i="12" s="1"/>
  <c r="S81" i="12"/>
  <c r="AV81" i="12" s="1"/>
  <c r="Q81" i="12"/>
  <c r="AU81" i="12" s="1"/>
  <c r="O81" i="12"/>
  <c r="AT81" i="12" s="1"/>
  <c r="AR80" i="12"/>
  <c r="AE80" i="12"/>
  <c r="BA80" i="12" s="1"/>
  <c r="AC80" i="12"/>
  <c r="AZ80" i="12" s="1"/>
  <c r="AA80" i="12"/>
  <c r="Y80" i="12"/>
  <c r="AY80" i="12" s="1"/>
  <c r="W80" i="12"/>
  <c r="AX80" i="12" s="1"/>
  <c r="U80" i="12"/>
  <c r="AW80" i="12" s="1"/>
  <c r="S80" i="12"/>
  <c r="AV80" i="12" s="1"/>
  <c r="Q80" i="12"/>
  <c r="AU80" i="12" s="1"/>
  <c r="O80" i="12"/>
  <c r="AT80" i="12" s="1"/>
  <c r="AS79" i="12"/>
  <c r="BB79" i="12" s="1"/>
  <c r="AE79" i="12"/>
  <c r="BA79" i="12" s="1"/>
  <c r="AC79" i="12"/>
  <c r="AZ79" i="12" s="1"/>
  <c r="AA79" i="12"/>
  <c r="Y79" i="12"/>
  <c r="AY79" i="12" s="1"/>
  <c r="W79" i="12"/>
  <c r="AX79" i="12" s="1"/>
  <c r="U79" i="12"/>
  <c r="AW79" i="12" s="1"/>
  <c r="S79" i="12"/>
  <c r="AV79" i="12" s="1"/>
  <c r="AU79" i="12"/>
  <c r="O79" i="12"/>
  <c r="AS78" i="12"/>
  <c r="BB78" i="12" s="1"/>
  <c r="AE78" i="12"/>
  <c r="BA78" i="12" s="1"/>
  <c r="AC78" i="12"/>
  <c r="AZ78" i="12" s="1"/>
  <c r="AA78" i="12"/>
  <c r="Y78" i="12"/>
  <c r="AY78" i="12" s="1"/>
  <c r="W78" i="12"/>
  <c r="AX78" i="12" s="1"/>
  <c r="U78" i="12"/>
  <c r="AW78" i="12" s="1"/>
  <c r="S78" i="12"/>
  <c r="AV78" i="12" s="1"/>
  <c r="Q78" i="12"/>
  <c r="AU78" i="12" s="1"/>
  <c r="AR77" i="12"/>
  <c r="AE77" i="12"/>
  <c r="BA77" i="12" s="1"/>
  <c r="AC77" i="12"/>
  <c r="AZ77" i="12" s="1"/>
  <c r="AA77" i="12"/>
  <c r="Y77" i="12"/>
  <c r="AY77" i="12" s="1"/>
  <c r="W77" i="12"/>
  <c r="AX77" i="12" s="1"/>
  <c r="U77" i="12"/>
  <c r="AW77" i="12" s="1"/>
  <c r="S77" i="12"/>
  <c r="AV77" i="12" s="1"/>
  <c r="Q77" i="12"/>
  <c r="AU77" i="12" s="1"/>
  <c r="O77" i="12"/>
  <c r="AT77" i="12" s="1"/>
  <c r="AS76" i="12"/>
  <c r="BB76" i="12" s="1"/>
  <c r="AE76" i="12"/>
  <c r="BA76" i="12" s="1"/>
  <c r="AC76" i="12"/>
  <c r="AZ76" i="12" s="1"/>
  <c r="AA76" i="12"/>
  <c r="Y76" i="12"/>
  <c r="AY76" i="12" s="1"/>
  <c r="W76" i="12"/>
  <c r="AX76" i="12" s="1"/>
  <c r="U76" i="12"/>
  <c r="AW76" i="12" s="1"/>
  <c r="S76" i="12"/>
  <c r="AV76" i="12" s="1"/>
  <c r="Q76" i="12"/>
  <c r="AU76" i="12" s="1"/>
  <c r="O76" i="12"/>
  <c r="AT76" i="12" s="1"/>
  <c r="AS75" i="12"/>
  <c r="BB75" i="12" s="1"/>
  <c r="AE75" i="12"/>
  <c r="BA75" i="12" s="1"/>
  <c r="AC75" i="12"/>
  <c r="AZ75" i="12" s="1"/>
  <c r="AA75" i="12"/>
  <c r="Y75" i="12"/>
  <c r="AY75" i="12" s="1"/>
  <c r="W75" i="12"/>
  <c r="AX75" i="12" s="1"/>
  <c r="U75" i="12"/>
  <c r="AW75" i="12" s="1"/>
  <c r="S75" i="12"/>
  <c r="AV75" i="12" s="1"/>
  <c r="Q75" i="12"/>
  <c r="AU75" i="12" s="1"/>
  <c r="O75" i="12"/>
  <c r="AT75" i="12" s="1"/>
  <c r="AR74" i="12"/>
  <c r="AE74" i="12"/>
  <c r="BA74" i="12" s="1"/>
  <c r="AC74" i="12"/>
  <c r="AZ74" i="12" s="1"/>
  <c r="AA74" i="12"/>
  <c r="Y74" i="12"/>
  <c r="AY74" i="12" s="1"/>
  <c r="W74" i="12"/>
  <c r="AX74" i="12" s="1"/>
  <c r="U74" i="12"/>
  <c r="AW74" i="12" s="1"/>
  <c r="S74" i="12"/>
  <c r="AV74" i="12" s="1"/>
  <c r="Q74" i="12"/>
  <c r="AU74" i="12" s="1"/>
  <c r="O74" i="12"/>
  <c r="AT74" i="12" s="1"/>
  <c r="AS73" i="12"/>
  <c r="BB73" i="12" s="1"/>
  <c r="AE73" i="12"/>
  <c r="BA73" i="12" s="1"/>
  <c r="AC73" i="12"/>
  <c r="AZ73" i="12" s="1"/>
  <c r="AA73" i="12"/>
  <c r="Y73" i="12"/>
  <c r="AY73" i="12" s="1"/>
  <c r="W73" i="12"/>
  <c r="AX73" i="12" s="1"/>
  <c r="U73" i="12"/>
  <c r="AW73" i="12" s="1"/>
  <c r="S73" i="12"/>
  <c r="AV73" i="12" s="1"/>
  <c r="Q73" i="12"/>
  <c r="AU73" i="12" s="1"/>
  <c r="O73" i="12"/>
  <c r="AT73" i="12" s="1"/>
  <c r="AS72" i="12"/>
  <c r="BB72" i="12" s="1"/>
  <c r="AE72" i="12"/>
  <c r="BA72" i="12" s="1"/>
  <c r="AC72" i="12"/>
  <c r="AZ72" i="12" s="1"/>
  <c r="AA72" i="12"/>
  <c r="Y72" i="12"/>
  <c r="AY72" i="12" s="1"/>
  <c r="W72" i="12"/>
  <c r="AX72" i="12" s="1"/>
  <c r="U72" i="12"/>
  <c r="AW72" i="12" s="1"/>
  <c r="S72" i="12"/>
  <c r="AV72" i="12" s="1"/>
  <c r="Q72" i="12"/>
  <c r="AU72" i="12" s="1"/>
  <c r="O72" i="12"/>
  <c r="AT72" i="12" s="1"/>
  <c r="AR71" i="12"/>
  <c r="AE71" i="12"/>
  <c r="BA71" i="12" s="1"/>
  <c r="AC71" i="12"/>
  <c r="AZ71" i="12" s="1"/>
  <c r="AA71" i="12"/>
  <c r="Y71" i="12"/>
  <c r="AY71" i="12" s="1"/>
  <c r="W71" i="12"/>
  <c r="AX71" i="12" s="1"/>
  <c r="U71" i="12"/>
  <c r="AW71" i="12" s="1"/>
  <c r="S71" i="12"/>
  <c r="AV71" i="12" s="1"/>
  <c r="Q71" i="12"/>
  <c r="AU71" i="12" s="1"/>
  <c r="O71" i="12"/>
  <c r="AT71" i="12" s="1"/>
  <c r="AS70" i="12"/>
  <c r="BB70" i="12" s="1"/>
  <c r="AE70" i="12"/>
  <c r="BA70" i="12" s="1"/>
  <c r="AC70" i="12"/>
  <c r="AZ70" i="12" s="1"/>
  <c r="AA70" i="12"/>
  <c r="Y70" i="12"/>
  <c r="AY70" i="12" s="1"/>
  <c r="W70" i="12"/>
  <c r="AX70" i="12" s="1"/>
  <c r="U70" i="12"/>
  <c r="AW70" i="12" s="1"/>
  <c r="S70" i="12"/>
  <c r="AV70" i="12" s="1"/>
  <c r="Q70" i="12"/>
  <c r="AU70" i="12" s="1"/>
  <c r="O70" i="12"/>
  <c r="AT70" i="12" s="1"/>
  <c r="AR69" i="12"/>
  <c r="AE69" i="12"/>
  <c r="BA69" i="12" s="1"/>
  <c r="AC69" i="12"/>
  <c r="AZ69" i="12" s="1"/>
  <c r="AA69" i="12"/>
  <c r="Y69" i="12"/>
  <c r="AY69" i="12" s="1"/>
  <c r="W69" i="12"/>
  <c r="AX69" i="12" s="1"/>
  <c r="U69" i="12"/>
  <c r="AW69" i="12" s="1"/>
  <c r="S69" i="12"/>
  <c r="AV69" i="12" s="1"/>
  <c r="Q69" i="12"/>
  <c r="AU69" i="12" s="1"/>
  <c r="O69" i="12"/>
  <c r="AT69" i="12" s="1"/>
  <c r="AS68" i="12"/>
  <c r="BB68" i="12" s="1"/>
  <c r="AE68" i="12"/>
  <c r="BA68" i="12" s="1"/>
  <c r="AC68" i="12"/>
  <c r="AZ68" i="12" s="1"/>
  <c r="AA68" i="12"/>
  <c r="Y68" i="12"/>
  <c r="AY68" i="12" s="1"/>
  <c r="W68" i="12"/>
  <c r="AX68" i="12" s="1"/>
  <c r="U68" i="12"/>
  <c r="AW68" i="12" s="1"/>
  <c r="S68" i="12"/>
  <c r="AV68" i="12" s="1"/>
  <c r="Q68" i="12"/>
  <c r="AU68" i="12" s="1"/>
  <c r="O68" i="12"/>
  <c r="AT68" i="12" s="1"/>
  <c r="AS67" i="12"/>
  <c r="BB67" i="12" s="1"/>
  <c r="AE67" i="12"/>
  <c r="BA67" i="12" s="1"/>
  <c r="AC67" i="12"/>
  <c r="AZ67" i="12" s="1"/>
  <c r="AA67" i="12"/>
  <c r="Y67" i="12"/>
  <c r="AY67" i="12" s="1"/>
  <c r="W67" i="12"/>
  <c r="AX67" i="12" s="1"/>
  <c r="U67" i="12"/>
  <c r="AW67" i="12" s="1"/>
  <c r="S67" i="12"/>
  <c r="AV67" i="12" s="1"/>
  <c r="Q67" i="12"/>
  <c r="AU67" i="12" s="1"/>
  <c r="O67" i="12"/>
  <c r="AT67" i="12" s="1"/>
  <c r="AR66" i="12"/>
  <c r="AE66" i="12"/>
  <c r="BA66" i="12" s="1"/>
  <c r="AC66" i="12"/>
  <c r="AZ66" i="12" s="1"/>
  <c r="AA66" i="12"/>
  <c r="Y66" i="12"/>
  <c r="AY66" i="12" s="1"/>
  <c r="W66" i="12"/>
  <c r="AX66" i="12" s="1"/>
  <c r="U66" i="12"/>
  <c r="AW66" i="12" s="1"/>
  <c r="S66" i="12"/>
  <c r="AV66" i="12" s="1"/>
  <c r="Q66" i="12"/>
  <c r="AU66" i="12" s="1"/>
  <c r="O66" i="12"/>
  <c r="AT66" i="12" s="1"/>
  <c r="AR62" i="12"/>
  <c r="AE62" i="12"/>
  <c r="BA62" i="12" s="1"/>
  <c r="AC62" i="12"/>
  <c r="AZ62" i="12" s="1"/>
  <c r="AA62" i="12"/>
  <c r="AY62" i="12"/>
  <c r="W62" i="12"/>
  <c r="AX62" i="12" s="1"/>
  <c r="U62" i="12"/>
  <c r="AW62" i="12" s="1"/>
  <c r="S62" i="12"/>
  <c r="AV62" i="12" s="1"/>
  <c r="Q62" i="12"/>
  <c r="AU62" i="12" s="1"/>
  <c r="O62" i="12"/>
  <c r="AT62" i="12" s="1"/>
  <c r="AS61" i="12"/>
  <c r="BB61" i="12" s="1"/>
  <c r="AE61" i="12"/>
  <c r="BA61" i="12" s="1"/>
  <c r="AC61" i="12"/>
  <c r="AZ61" i="12" s="1"/>
  <c r="AA61" i="12"/>
  <c r="AY61" i="12"/>
  <c r="W61" i="12"/>
  <c r="AX61" i="12" s="1"/>
  <c r="U61" i="12"/>
  <c r="AW61" i="12" s="1"/>
  <c r="S61" i="12"/>
  <c r="AV61" i="12" s="1"/>
  <c r="Q61" i="12"/>
  <c r="AU61" i="12" s="1"/>
  <c r="O61" i="12"/>
  <c r="AT61" i="12" s="1"/>
  <c r="AR60" i="12"/>
  <c r="AE60" i="12"/>
  <c r="BA60" i="12" s="1"/>
  <c r="AC60" i="12"/>
  <c r="AZ60" i="12" s="1"/>
  <c r="AA60" i="12"/>
  <c r="Y60" i="12"/>
  <c r="AY60" i="12" s="1"/>
  <c r="W60" i="12"/>
  <c r="AX60" i="12" s="1"/>
  <c r="U60" i="12"/>
  <c r="AW60" i="12" s="1"/>
  <c r="S60" i="12"/>
  <c r="AV60" i="12" s="1"/>
  <c r="Q60" i="12"/>
  <c r="AU60" i="12" s="1"/>
  <c r="O60" i="12"/>
  <c r="AT60" i="12" s="1"/>
  <c r="AS57" i="12"/>
  <c r="BB57" i="12" s="1"/>
  <c r="AE57" i="12"/>
  <c r="BA57" i="12" s="1"/>
  <c r="AC57" i="12"/>
  <c r="AZ57" i="12" s="1"/>
  <c r="AA57" i="12"/>
  <c r="Y57" i="12"/>
  <c r="AY57" i="12" s="1"/>
  <c r="W57" i="12"/>
  <c r="AX57" i="12" s="1"/>
  <c r="U57" i="12"/>
  <c r="AW57" i="12" s="1"/>
  <c r="S57" i="12"/>
  <c r="AV57" i="12" s="1"/>
  <c r="Q57" i="12"/>
  <c r="AU57" i="12" s="1"/>
  <c r="O57" i="12"/>
  <c r="AT57" i="12" s="1"/>
  <c r="AR56" i="12"/>
  <c r="AE56" i="12"/>
  <c r="AC56" i="12"/>
  <c r="AA56" i="12"/>
  <c r="Y56" i="12"/>
  <c r="W56" i="12"/>
  <c r="U56" i="12"/>
  <c r="S56" i="12"/>
  <c r="AV56" i="12" s="1"/>
  <c r="Q56" i="12"/>
  <c r="AU56" i="12" s="1"/>
  <c r="O56" i="12"/>
  <c r="AR54" i="12"/>
  <c r="AE54" i="12"/>
  <c r="BA54" i="12" s="1"/>
  <c r="AC54" i="12"/>
  <c r="AZ54" i="12" s="1"/>
  <c r="AA54" i="12"/>
  <c r="Y54" i="12"/>
  <c r="AY54" i="12" s="1"/>
  <c r="W54" i="12"/>
  <c r="AX54" i="12" s="1"/>
  <c r="U54" i="12"/>
  <c r="AW54" i="12" s="1"/>
  <c r="S54" i="12"/>
  <c r="AV54" i="12" s="1"/>
  <c r="Q54" i="12"/>
  <c r="AU54" i="12" s="1"/>
  <c r="O54" i="12"/>
  <c r="AT54" i="12" s="1"/>
  <c r="AR47" i="12"/>
  <c r="AE47" i="12"/>
  <c r="BA47" i="12" s="1"/>
  <c r="AC47" i="12"/>
  <c r="AZ47" i="12" s="1"/>
  <c r="AA47" i="12"/>
  <c r="Y47" i="12"/>
  <c r="AY47" i="12" s="1"/>
  <c r="W47" i="12"/>
  <c r="AX47" i="12" s="1"/>
  <c r="U47" i="12"/>
  <c r="AW47" i="12" s="1"/>
  <c r="S47" i="12"/>
  <c r="AV47" i="12" s="1"/>
  <c r="Q47" i="12"/>
  <c r="AU47" i="12" s="1"/>
  <c r="O47" i="12"/>
  <c r="AT47" i="12" s="1"/>
  <c r="AR39" i="12"/>
  <c r="AE39" i="12"/>
  <c r="AC39" i="12"/>
  <c r="AA39" i="12"/>
  <c r="Y39" i="12"/>
  <c r="W39" i="12"/>
  <c r="U39" i="12"/>
  <c r="S39" i="12"/>
  <c r="AV39" i="12" s="1"/>
  <c r="Q39" i="12"/>
  <c r="AU39" i="12" s="1"/>
  <c r="O39" i="12"/>
  <c r="AS38" i="12"/>
  <c r="BB38" i="12" s="1"/>
  <c r="AE38" i="12"/>
  <c r="BA38" i="12" s="1"/>
  <c r="AC38" i="12"/>
  <c r="AZ38" i="12" s="1"/>
  <c r="AA38" i="12"/>
  <c r="Y38" i="12"/>
  <c r="AY38" i="12" s="1"/>
  <c r="W38" i="12"/>
  <c r="AX38" i="12" s="1"/>
  <c r="U38" i="12"/>
  <c r="AW38" i="12" s="1"/>
  <c r="S38" i="12"/>
  <c r="AV38" i="12" s="1"/>
  <c r="Q38" i="12"/>
  <c r="AU38" i="12" s="1"/>
  <c r="O38" i="12"/>
  <c r="AT38" i="12" s="1"/>
  <c r="AR36" i="12"/>
  <c r="AE36" i="12"/>
  <c r="BA36" i="12" s="1"/>
  <c r="AC36" i="12"/>
  <c r="AZ36" i="12" s="1"/>
  <c r="AA36" i="12"/>
  <c r="AY36" i="12"/>
  <c r="W36" i="12"/>
  <c r="AX36" i="12" s="1"/>
  <c r="U36" i="12"/>
  <c r="AW36" i="12" s="1"/>
  <c r="S36" i="12"/>
  <c r="AV36" i="12" s="1"/>
  <c r="Q36" i="12"/>
  <c r="AU36" i="12" s="1"/>
  <c r="O36" i="12"/>
  <c r="AT36" i="12" s="1"/>
  <c r="AR35" i="12"/>
  <c r="AE35" i="12"/>
  <c r="BA35" i="12" s="1"/>
  <c r="AC35" i="12"/>
  <c r="AZ35" i="12" s="1"/>
  <c r="AA35" i="12"/>
  <c r="Y35" i="12"/>
  <c r="AY35" i="12" s="1"/>
  <c r="W35" i="12"/>
  <c r="AX35" i="12" s="1"/>
  <c r="U35" i="12"/>
  <c r="AW35" i="12" s="1"/>
  <c r="S35" i="12"/>
  <c r="AV35" i="12" s="1"/>
  <c r="Q35" i="12"/>
  <c r="AU35" i="12" s="1"/>
  <c r="O35" i="12"/>
  <c r="AT35" i="12" s="1"/>
  <c r="AR34" i="12"/>
  <c r="AE34" i="12"/>
  <c r="BA34" i="12" s="1"/>
  <c r="AC34" i="12"/>
  <c r="AZ34" i="12" s="1"/>
  <c r="AA34" i="12"/>
  <c r="Y34" i="12"/>
  <c r="AY34" i="12" s="1"/>
  <c r="W34" i="12"/>
  <c r="AX34" i="12" s="1"/>
  <c r="U34" i="12"/>
  <c r="AW34" i="12" s="1"/>
  <c r="S34" i="12"/>
  <c r="Q34" i="12"/>
  <c r="O34" i="12"/>
  <c r="AR33" i="12"/>
  <c r="AE33" i="12"/>
  <c r="BA33" i="12" s="1"/>
  <c r="AC33" i="12"/>
  <c r="AZ33" i="12" s="1"/>
  <c r="AA33" i="12"/>
  <c r="Y33" i="12"/>
  <c r="AY33" i="12" s="1"/>
  <c r="W33" i="12"/>
  <c r="AX33" i="12" s="1"/>
  <c r="U33" i="12"/>
  <c r="AW33" i="12" s="1"/>
  <c r="S33" i="12"/>
  <c r="Q33" i="12"/>
  <c r="O33" i="12"/>
  <c r="AS28" i="12"/>
  <c r="BB28" i="12" s="1"/>
  <c r="AE28" i="12"/>
  <c r="BA28" i="12" s="1"/>
  <c r="AC28" i="12"/>
  <c r="AZ28" i="12" s="1"/>
  <c r="AA28" i="12"/>
  <c r="Y28" i="12"/>
  <c r="AY28" i="12" s="1"/>
  <c r="W28" i="12"/>
  <c r="AX28" i="12" s="1"/>
  <c r="U28" i="12"/>
  <c r="AW28" i="12" s="1"/>
  <c r="S28" i="12"/>
  <c r="AV28" i="12" s="1"/>
  <c r="Q28" i="12"/>
  <c r="AU28" i="12" s="1"/>
  <c r="O28" i="12"/>
  <c r="AT28" i="12" s="1"/>
  <c r="AR25" i="12"/>
  <c r="BA25" i="12"/>
  <c r="AZ25" i="12"/>
  <c r="AY25" i="12"/>
  <c r="W25" i="12"/>
  <c r="AX25" i="12" s="1"/>
  <c r="U25" i="12"/>
  <c r="AW25" i="12" s="1"/>
  <c r="S25" i="12"/>
  <c r="AV25" i="12" s="1"/>
  <c r="Q25" i="12"/>
  <c r="AU25" i="12" s="1"/>
  <c r="O25" i="12"/>
  <c r="AT25" i="12" s="1"/>
  <c r="AR23" i="12"/>
  <c r="AE23" i="12"/>
  <c r="BA23" i="12" s="1"/>
  <c r="AC23" i="12"/>
  <c r="AZ23" i="12" s="1"/>
  <c r="AA23" i="12"/>
  <c r="Y23" i="12"/>
  <c r="AY23" i="12" s="1"/>
  <c r="W23" i="12"/>
  <c r="AX23" i="12" s="1"/>
  <c r="U23" i="12"/>
  <c r="AW23" i="12" s="1"/>
  <c r="S23" i="12"/>
  <c r="Q23" i="12"/>
  <c r="O23" i="12"/>
  <c r="AR22" i="12"/>
  <c r="AE22" i="12"/>
  <c r="BA22" i="12" s="1"/>
  <c r="AC22" i="12"/>
  <c r="AZ22" i="12" s="1"/>
  <c r="AA22" i="12"/>
  <c r="Y22" i="12"/>
  <c r="AY22" i="12" s="1"/>
  <c r="W22" i="12"/>
  <c r="AX22" i="12" s="1"/>
  <c r="U22" i="12"/>
  <c r="AW22" i="12" s="1"/>
  <c r="S22" i="12"/>
  <c r="Q22" i="12"/>
  <c r="O22" i="12"/>
  <c r="AS16" i="12"/>
  <c r="BB16" i="12" s="1"/>
  <c r="AE16" i="12"/>
  <c r="AC16" i="12"/>
  <c r="AA16" i="12"/>
  <c r="Y16" i="12"/>
  <c r="W16" i="12"/>
  <c r="U16" i="12"/>
  <c r="S16" i="12"/>
  <c r="AV16" i="12" s="1"/>
  <c r="Q16" i="12"/>
  <c r="AU16" i="12" s="1"/>
  <c r="O16" i="12"/>
  <c r="AT16" i="12" s="1"/>
  <c r="AR14" i="12"/>
  <c r="AE14" i="12"/>
  <c r="BA14" i="12" s="1"/>
  <c r="AC14" i="12"/>
  <c r="AZ14" i="12" s="1"/>
  <c r="AA14" i="12"/>
  <c r="Y14" i="12"/>
  <c r="AY14" i="12" s="1"/>
  <c r="W14" i="12"/>
  <c r="AX14" i="12" s="1"/>
  <c r="U14" i="12"/>
  <c r="AW14" i="12" s="1"/>
  <c r="S14" i="12"/>
  <c r="AV14" i="12" s="1"/>
  <c r="Q14" i="12"/>
  <c r="AU14" i="12" s="1"/>
  <c r="O14" i="12"/>
  <c r="AT14" i="12" s="1"/>
  <c r="AR10" i="12"/>
  <c r="AE10" i="12"/>
  <c r="BA10" i="12" s="1"/>
  <c r="AC10" i="12"/>
  <c r="AZ10" i="12" s="1"/>
  <c r="AA10" i="12"/>
  <c r="Y10" i="12"/>
  <c r="AY10" i="12" s="1"/>
  <c r="W10" i="12"/>
  <c r="AX10" i="12" s="1"/>
  <c r="U10" i="12"/>
  <c r="AW10" i="12" s="1"/>
  <c r="S10" i="12"/>
  <c r="Q10" i="12"/>
  <c r="O10" i="12"/>
  <c r="AR5" i="12"/>
  <c r="AE5" i="12"/>
  <c r="AC5" i="12"/>
  <c r="AA5" i="12"/>
  <c r="Y5" i="12"/>
  <c r="W5" i="12"/>
  <c r="U5" i="12"/>
  <c r="S5" i="12"/>
  <c r="AV5" i="12" s="1"/>
  <c r="Q5" i="12"/>
  <c r="AU5" i="12" s="1"/>
  <c r="O5" i="12"/>
  <c r="AT5" i="12" s="1"/>
  <c r="A364" i="12" l="1"/>
  <c r="N364" i="12"/>
  <c r="A377" i="12"/>
  <c r="B377" i="12"/>
  <c r="A368" i="12"/>
  <c r="B368" i="12"/>
  <c r="BE368" i="12"/>
  <c r="A375" i="12"/>
  <c r="B375" i="12"/>
  <c r="BE375" i="12"/>
  <c r="A402" i="12"/>
  <c r="B402" i="12"/>
  <c r="BE402" i="12"/>
  <c r="B366" i="12"/>
  <c r="BE366" i="12"/>
  <c r="A373" i="12"/>
  <c r="B373" i="12"/>
  <c r="BE373" i="12"/>
  <c r="A396" i="12"/>
  <c r="B396" i="12"/>
  <c r="A408" i="12"/>
  <c r="B408" i="12"/>
  <c r="B364" i="12"/>
  <c r="A371" i="12"/>
  <c r="B371" i="12"/>
  <c r="A380" i="12"/>
  <c r="B380" i="12"/>
  <c r="BE380" i="12"/>
  <c r="A382" i="12"/>
  <c r="B382" i="12"/>
  <c r="A398" i="12"/>
  <c r="B398" i="12"/>
  <c r="A414" i="12"/>
  <c r="B414" i="12"/>
  <c r="BE414" i="12"/>
  <c r="A399" i="12"/>
  <c r="B399" i="12"/>
  <c r="BE399" i="12"/>
  <c r="A400" i="12"/>
  <c r="B400" i="12"/>
  <c r="A369" i="12"/>
  <c r="B369" i="12"/>
  <c r="A376" i="12"/>
  <c r="B376" i="12"/>
  <c r="BE376" i="12"/>
  <c r="A378" i="12"/>
  <c r="B378" i="12"/>
  <c r="A405" i="12"/>
  <c r="B405" i="12"/>
  <c r="A411" i="12"/>
  <c r="B411" i="12"/>
  <c r="A409" i="12"/>
  <c r="B409" i="12"/>
  <c r="BE409" i="12"/>
  <c r="A367" i="12"/>
  <c r="B367" i="12"/>
  <c r="A374" i="12"/>
  <c r="B374" i="12"/>
  <c r="A381" i="12"/>
  <c r="B381" i="12"/>
  <c r="A397" i="12"/>
  <c r="B397" i="12"/>
  <c r="A401" i="12"/>
  <c r="B401" i="12"/>
  <c r="B365" i="12"/>
  <c r="A406" i="12"/>
  <c r="B406" i="12"/>
  <c r="BE406" i="12"/>
  <c r="A370" i="12"/>
  <c r="B370" i="12"/>
  <c r="BE370" i="12"/>
  <c r="A372" i="12"/>
  <c r="B372" i="12"/>
  <c r="A379" i="12"/>
  <c r="B379" i="12"/>
  <c r="BE379" i="12"/>
  <c r="A383" i="12"/>
  <c r="B383" i="12"/>
  <c r="BD154" i="12"/>
  <c r="AS126" i="12"/>
  <c r="BB126" i="12" s="1"/>
  <c r="BF126" i="12" s="1"/>
  <c r="BG126" i="12" s="1"/>
  <c r="BH126" i="12"/>
  <c r="BE126" i="12" s="1"/>
  <c r="AS372" i="12"/>
  <c r="BB372" i="12" s="1"/>
  <c r="BH372" i="12"/>
  <c r="BE372" i="12" s="1"/>
  <c r="AS395" i="12"/>
  <c r="BB395" i="12" s="1"/>
  <c r="BF395" i="12" s="1"/>
  <c r="BG395" i="12" s="1"/>
  <c r="BH395" i="12"/>
  <c r="BE395" i="12" s="1"/>
  <c r="AS5" i="12"/>
  <c r="BB5" i="12" s="1"/>
  <c r="BH5" i="12"/>
  <c r="AS131" i="12"/>
  <c r="BB131" i="12" s="1"/>
  <c r="BF131" i="12" s="1"/>
  <c r="BG131" i="12" s="1"/>
  <c r="BH131" i="12"/>
  <c r="BE131" i="12" s="1"/>
  <c r="AS168" i="12"/>
  <c r="BB168" i="12" s="1"/>
  <c r="BH168" i="12"/>
  <c r="BE168" i="12" s="1"/>
  <c r="AS180" i="12"/>
  <c r="BB180" i="12" s="1"/>
  <c r="BF180" i="12" s="1"/>
  <c r="BG180" i="12" s="1"/>
  <c r="BH180" i="12"/>
  <c r="BE180" i="12" s="1"/>
  <c r="AS224" i="12"/>
  <c r="BB224" i="12" s="1"/>
  <c r="BF224" i="12" s="1"/>
  <c r="BG224" i="12" s="1"/>
  <c r="BH224" i="12"/>
  <c r="BE224" i="12" s="1"/>
  <c r="AS243" i="12"/>
  <c r="BB243" i="12" s="1"/>
  <c r="BF243" i="12" s="1"/>
  <c r="BG243" i="12" s="1"/>
  <c r="BH243" i="12"/>
  <c r="BE243" i="12" s="1"/>
  <c r="AS341" i="12"/>
  <c r="BB341" i="12" s="1"/>
  <c r="BF341" i="12" s="1"/>
  <c r="BG341" i="12" s="1"/>
  <c r="BH341" i="12"/>
  <c r="BE341" i="12" s="1"/>
  <c r="AS328" i="12"/>
  <c r="BB328" i="12" s="1"/>
  <c r="BF328" i="12" s="1"/>
  <c r="BG328" i="12" s="1"/>
  <c r="BH328" i="12"/>
  <c r="BE328" i="12" s="1"/>
  <c r="AS358" i="12"/>
  <c r="BB358" i="12" s="1"/>
  <c r="BH358" i="12"/>
  <c r="BE358" i="12" s="1"/>
  <c r="AS35" i="12"/>
  <c r="BB35" i="12" s="1"/>
  <c r="BH35" i="12"/>
  <c r="BE35" i="12" s="1"/>
  <c r="AS60" i="12"/>
  <c r="BB60" i="12" s="1"/>
  <c r="BF60" i="12" s="1"/>
  <c r="BG60" i="12" s="1"/>
  <c r="BH60" i="12"/>
  <c r="BE60" i="12" s="1"/>
  <c r="AS71" i="12"/>
  <c r="BB71" i="12" s="1"/>
  <c r="BF71" i="12" s="1"/>
  <c r="BG71" i="12" s="1"/>
  <c r="BH71" i="12"/>
  <c r="BE71" i="12" s="1"/>
  <c r="AS252" i="12"/>
  <c r="BB252" i="12" s="1"/>
  <c r="BF252" i="12" s="1"/>
  <c r="BG252" i="12" s="1"/>
  <c r="BH252" i="12"/>
  <c r="BE252" i="12" s="1"/>
  <c r="AS264" i="12"/>
  <c r="BB264" i="12" s="1"/>
  <c r="BF264" i="12" s="1"/>
  <c r="BG264" i="12" s="1"/>
  <c r="BH264" i="12"/>
  <c r="BE264" i="12" s="1"/>
  <c r="AS280" i="12"/>
  <c r="BB280" i="12" s="1"/>
  <c r="BF280" i="12" s="1"/>
  <c r="BG280" i="12" s="1"/>
  <c r="BH280" i="12"/>
  <c r="BE280" i="12" s="1"/>
  <c r="AS289" i="12"/>
  <c r="BB289" i="12" s="1"/>
  <c r="BH289" i="12"/>
  <c r="BE289" i="12" s="1"/>
  <c r="AS297" i="12"/>
  <c r="BB297" i="12" s="1"/>
  <c r="BF297" i="12" s="1"/>
  <c r="BG297" i="12" s="1"/>
  <c r="BH297" i="12"/>
  <c r="BE297" i="12" s="1"/>
  <c r="AS324" i="12"/>
  <c r="BB324" i="12" s="1"/>
  <c r="BF324" i="12" s="1"/>
  <c r="BG324" i="12" s="1"/>
  <c r="BH324" i="12"/>
  <c r="BE324" i="12" s="1"/>
  <c r="AS363" i="12"/>
  <c r="BB363" i="12" s="1"/>
  <c r="BF363" i="12" s="1"/>
  <c r="BG363" i="12" s="1"/>
  <c r="BH363" i="12"/>
  <c r="BE363" i="12" s="1"/>
  <c r="AS381" i="12"/>
  <c r="BB381" i="12" s="1"/>
  <c r="BH381" i="12"/>
  <c r="BE381" i="12" s="1"/>
  <c r="AS388" i="12"/>
  <c r="BB388" i="12" s="1"/>
  <c r="BF388" i="12" s="1"/>
  <c r="BG388" i="12" s="1"/>
  <c r="BH388" i="12"/>
  <c r="BE388" i="12" s="1"/>
  <c r="AS397" i="12"/>
  <c r="BB397" i="12" s="1"/>
  <c r="BH397" i="12"/>
  <c r="BE397" i="12" s="1"/>
  <c r="AS411" i="12"/>
  <c r="BB411" i="12" s="1"/>
  <c r="BH411" i="12"/>
  <c r="BE411" i="12" s="1"/>
  <c r="AS258" i="12"/>
  <c r="BB258" i="12" s="1"/>
  <c r="BF258" i="12" s="1"/>
  <c r="BG258" i="12" s="1"/>
  <c r="BH258" i="12"/>
  <c r="BE258" i="12" s="1"/>
  <c r="AS283" i="12"/>
  <c r="BB283" i="12" s="1"/>
  <c r="BH283" i="12"/>
  <c r="BE283" i="12" s="1"/>
  <c r="AS84" i="12"/>
  <c r="BB84" i="12" s="1"/>
  <c r="BF84" i="12" s="1"/>
  <c r="BG84" i="12" s="1"/>
  <c r="BH84" i="12"/>
  <c r="BE84" i="12" s="1"/>
  <c r="AS123" i="12"/>
  <c r="BB123" i="12" s="1"/>
  <c r="BF123" i="12" s="1"/>
  <c r="BG123" i="12" s="1"/>
  <c r="BH123" i="12"/>
  <c r="BE123" i="12" s="1"/>
  <c r="AS133" i="12"/>
  <c r="BB133" i="12" s="1"/>
  <c r="BF133" i="12" s="1"/>
  <c r="BG133" i="12" s="1"/>
  <c r="BH133" i="12"/>
  <c r="BE133" i="12" s="1"/>
  <c r="AS162" i="12"/>
  <c r="BB162" i="12" s="1"/>
  <c r="BF162" i="12" s="1"/>
  <c r="BG162" i="12" s="1"/>
  <c r="BH162" i="12"/>
  <c r="BE162" i="12" s="1"/>
  <c r="AS204" i="12"/>
  <c r="BB204" i="12" s="1"/>
  <c r="BF204" i="12" s="1"/>
  <c r="BG204" i="12" s="1"/>
  <c r="BH204" i="12"/>
  <c r="BE204" i="12" s="1"/>
  <c r="AS335" i="12"/>
  <c r="BB335" i="12" s="1"/>
  <c r="BH335" i="12"/>
  <c r="BE335" i="12" s="1"/>
  <c r="AS390" i="12"/>
  <c r="BB390" i="12" s="1"/>
  <c r="BH390" i="12"/>
  <c r="BE390" i="12" s="1"/>
  <c r="AS240" i="12"/>
  <c r="BB240" i="12" s="1"/>
  <c r="BH240" i="12"/>
  <c r="BE240" i="12" s="1"/>
  <c r="AS54" i="12"/>
  <c r="BB54" i="12" s="1"/>
  <c r="BF54" i="12" s="1"/>
  <c r="BG54" i="12" s="1"/>
  <c r="BH54" i="12"/>
  <c r="BE54" i="12" s="1"/>
  <c r="AS247" i="12"/>
  <c r="BB247" i="12" s="1"/>
  <c r="BF247" i="12" s="1"/>
  <c r="BG247" i="12" s="1"/>
  <c r="BH247" i="12"/>
  <c r="BE247" i="12" s="1"/>
  <c r="AS277" i="12"/>
  <c r="BB277" i="12" s="1"/>
  <c r="BF277" i="12" s="1"/>
  <c r="BG277" i="12" s="1"/>
  <c r="BH277" i="12"/>
  <c r="BE277" i="12" s="1"/>
  <c r="AS302" i="12"/>
  <c r="BB302" i="12" s="1"/>
  <c r="BF302" i="12" s="1"/>
  <c r="BG302" i="12" s="1"/>
  <c r="BH302" i="12"/>
  <c r="BE302" i="12" s="1"/>
  <c r="AS321" i="12"/>
  <c r="BB321" i="12" s="1"/>
  <c r="BF321" i="12" s="1"/>
  <c r="BG321" i="12" s="1"/>
  <c r="BH321" i="12"/>
  <c r="BE321" i="12" s="1"/>
  <c r="AS330" i="12"/>
  <c r="BB330" i="12" s="1"/>
  <c r="BF330" i="12" s="1"/>
  <c r="BG330" i="12" s="1"/>
  <c r="BH330" i="12"/>
  <c r="BE330" i="12" s="1"/>
  <c r="AS383" i="12"/>
  <c r="BB383" i="12" s="1"/>
  <c r="BH383" i="12"/>
  <c r="BE383" i="12" s="1"/>
  <c r="AS66" i="12"/>
  <c r="BB66" i="12" s="1"/>
  <c r="BF66" i="12" s="1"/>
  <c r="BG66" i="12" s="1"/>
  <c r="BH66" i="12"/>
  <c r="BE66" i="12" s="1"/>
  <c r="AS338" i="12"/>
  <c r="BB338" i="12" s="1"/>
  <c r="BF338" i="12" s="1"/>
  <c r="BG338" i="12" s="1"/>
  <c r="BH338" i="12"/>
  <c r="BE338" i="12" s="1"/>
  <c r="AS14" i="12"/>
  <c r="BB14" i="12" s="1"/>
  <c r="BF14" i="12" s="1"/>
  <c r="BG14" i="12" s="1"/>
  <c r="BH14" i="12"/>
  <c r="BE14" i="12" s="1"/>
  <c r="AS120" i="12"/>
  <c r="BB120" i="12" s="1"/>
  <c r="BF120" i="12" s="1"/>
  <c r="BG120" i="12" s="1"/>
  <c r="BH120" i="12"/>
  <c r="BE120" i="12" s="1"/>
  <c r="AS221" i="12"/>
  <c r="BB221" i="12" s="1"/>
  <c r="BF221" i="12" s="1"/>
  <c r="BG221" i="12" s="1"/>
  <c r="BH221" i="12"/>
  <c r="BE221" i="12" s="1"/>
  <c r="AS340" i="12"/>
  <c r="BB340" i="12" s="1"/>
  <c r="BF340" i="12" s="1"/>
  <c r="BG340" i="12" s="1"/>
  <c r="BH340" i="12"/>
  <c r="BE340" i="12" s="1"/>
  <c r="AS345" i="12"/>
  <c r="BB345" i="12" s="1"/>
  <c r="BF345" i="12" s="1"/>
  <c r="BG345" i="12" s="1"/>
  <c r="BH345" i="12"/>
  <c r="BE345" i="12" s="1"/>
  <c r="AS352" i="12"/>
  <c r="BB352" i="12" s="1"/>
  <c r="BF352" i="12" s="1"/>
  <c r="BG352" i="12" s="1"/>
  <c r="BH352" i="12"/>
  <c r="BE352" i="12" s="1"/>
  <c r="AS377" i="12"/>
  <c r="BB377" i="12" s="1"/>
  <c r="BH377" i="12"/>
  <c r="BE377" i="12" s="1"/>
  <c r="AS62" i="12"/>
  <c r="BB62" i="12" s="1"/>
  <c r="BF62" i="12" s="1"/>
  <c r="BG62" i="12" s="1"/>
  <c r="BH62" i="12"/>
  <c r="BE62" i="12" s="1"/>
  <c r="AS274" i="12"/>
  <c r="BB274" i="12" s="1"/>
  <c r="BF274" i="12" s="1"/>
  <c r="BG274" i="12" s="1"/>
  <c r="BH274" i="12"/>
  <c r="BE274" i="12" s="1"/>
  <c r="AS316" i="12"/>
  <c r="BB316" i="12" s="1"/>
  <c r="BF316" i="12" s="1"/>
  <c r="BH316" i="12"/>
  <c r="BE316" i="12" s="1"/>
  <c r="AS327" i="12"/>
  <c r="BB327" i="12" s="1"/>
  <c r="BF327" i="12" s="1"/>
  <c r="BG327" i="12" s="1"/>
  <c r="BH327" i="12"/>
  <c r="BE327" i="12" s="1"/>
  <c r="AS347" i="12"/>
  <c r="BB347" i="12" s="1"/>
  <c r="BF347" i="12" s="1"/>
  <c r="BG347" i="12" s="1"/>
  <c r="BH347" i="12"/>
  <c r="BE347" i="12" s="1"/>
  <c r="AS357" i="12"/>
  <c r="BB357" i="12" s="1"/>
  <c r="BF357" i="12" s="1"/>
  <c r="BG357" i="12" s="1"/>
  <c r="BH357" i="12"/>
  <c r="BE357" i="12" s="1"/>
  <c r="AS408" i="12"/>
  <c r="BB408" i="12" s="1"/>
  <c r="BH408" i="12"/>
  <c r="BE408" i="12" s="1"/>
  <c r="AS118" i="12"/>
  <c r="BB118" i="12" s="1"/>
  <c r="BF118" i="12" s="1"/>
  <c r="BG118" i="12" s="1"/>
  <c r="BH118" i="12"/>
  <c r="BE118" i="12" s="1"/>
  <c r="AS219" i="12"/>
  <c r="BB219" i="12" s="1"/>
  <c r="BF219" i="12" s="1"/>
  <c r="BG219" i="12" s="1"/>
  <c r="BH219" i="12"/>
  <c r="BE219" i="12" s="1"/>
  <c r="AS105" i="12"/>
  <c r="BB105" i="12" s="1"/>
  <c r="BF105" i="12" s="1"/>
  <c r="BG105" i="12" s="1"/>
  <c r="BH105" i="12"/>
  <c r="BE105" i="12" s="1"/>
  <c r="AS153" i="12"/>
  <c r="BB153" i="12" s="1"/>
  <c r="BF153" i="12" s="1"/>
  <c r="BG153" i="12" s="1"/>
  <c r="BH153" i="12"/>
  <c r="BE153" i="12" s="1"/>
  <c r="AS164" i="12"/>
  <c r="BB164" i="12" s="1"/>
  <c r="BF164" i="12" s="1"/>
  <c r="BG164" i="12" s="1"/>
  <c r="BH164" i="12"/>
  <c r="BE164" i="12" s="1"/>
  <c r="AS176" i="12"/>
  <c r="BB176" i="12" s="1"/>
  <c r="BF176" i="12" s="1"/>
  <c r="BG176" i="12" s="1"/>
  <c r="BH176" i="12"/>
  <c r="BE176" i="12" s="1"/>
  <c r="AS185" i="12"/>
  <c r="BB185" i="12" s="1"/>
  <c r="BF185" i="12" s="1"/>
  <c r="BG185" i="12" s="1"/>
  <c r="BH185" i="12"/>
  <c r="BE185" i="12" s="1"/>
  <c r="AS239" i="12"/>
  <c r="BB239" i="12" s="1"/>
  <c r="BF239" i="12" s="1"/>
  <c r="BG239" i="12" s="1"/>
  <c r="BH239" i="12"/>
  <c r="BE239" i="12" s="1"/>
  <c r="AS349" i="12"/>
  <c r="BB349" i="12" s="1"/>
  <c r="BF349" i="12" s="1"/>
  <c r="BG349" i="12" s="1"/>
  <c r="BH349" i="12"/>
  <c r="BE349" i="12" s="1"/>
  <c r="AS365" i="12"/>
  <c r="BB365" i="12" s="1"/>
  <c r="BH365" i="12"/>
  <c r="BE365" i="12" s="1"/>
  <c r="AS34" i="12"/>
  <c r="BB34" i="12" s="1"/>
  <c r="BF34" i="12" s="1"/>
  <c r="BG34" i="12" s="1"/>
  <c r="BH34" i="12"/>
  <c r="BE34" i="12" s="1"/>
  <c r="AS271" i="12"/>
  <c r="BB271" i="12" s="1"/>
  <c r="BF271" i="12" s="1"/>
  <c r="BG271" i="12" s="1"/>
  <c r="BH271" i="12"/>
  <c r="BE271" i="12" s="1"/>
  <c r="AS288" i="12"/>
  <c r="BB288" i="12" s="1"/>
  <c r="BF288" i="12" s="1"/>
  <c r="BG288" i="12" s="1"/>
  <c r="BH288" i="12"/>
  <c r="BE288" i="12" s="1"/>
  <c r="AS312" i="12"/>
  <c r="BB312" i="12" s="1"/>
  <c r="BF312" i="12" s="1"/>
  <c r="BG312" i="12" s="1"/>
  <c r="BH312" i="12"/>
  <c r="BE312" i="12" s="1"/>
  <c r="AS323" i="12"/>
  <c r="BB323" i="12" s="1"/>
  <c r="BF323" i="12" s="1"/>
  <c r="BG323" i="12" s="1"/>
  <c r="BH323" i="12"/>
  <c r="BE323" i="12" s="1"/>
  <c r="AS354" i="12"/>
  <c r="BB354" i="12" s="1"/>
  <c r="BF354" i="12" s="1"/>
  <c r="BG354" i="12" s="1"/>
  <c r="BH354" i="12"/>
  <c r="BE354" i="12" s="1"/>
  <c r="AS385" i="12"/>
  <c r="BB385" i="12" s="1"/>
  <c r="BF385" i="12" s="1"/>
  <c r="BG385" i="12" s="1"/>
  <c r="BH385" i="12"/>
  <c r="BE385" i="12" s="1"/>
  <c r="AS394" i="12"/>
  <c r="BB394" i="12" s="1"/>
  <c r="BH394" i="12"/>
  <c r="BE394" i="12" s="1"/>
  <c r="AS10" i="12"/>
  <c r="BB10" i="12" s="1"/>
  <c r="BF10" i="12" s="1"/>
  <c r="BG10" i="12" s="1"/>
  <c r="BH10" i="12"/>
  <c r="BE10" i="12" s="1"/>
  <c r="AS102" i="12"/>
  <c r="BB102" i="12" s="1"/>
  <c r="BF102" i="12" s="1"/>
  <c r="BG102" i="12" s="1"/>
  <c r="BH102" i="12"/>
  <c r="BE102" i="12" s="1"/>
  <c r="AS110" i="12"/>
  <c r="BB110" i="12" s="1"/>
  <c r="BF110" i="12" s="1"/>
  <c r="BG110" i="12" s="1"/>
  <c r="BH110" i="12"/>
  <c r="BE110" i="12" s="1"/>
  <c r="AS195" i="12"/>
  <c r="BB195" i="12" s="1"/>
  <c r="BF195" i="12" s="1"/>
  <c r="BG195" i="12" s="1"/>
  <c r="BH195" i="12"/>
  <c r="BE195" i="12" s="1"/>
  <c r="AS215" i="12"/>
  <c r="BB215" i="12" s="1"/>
  <c r="BF215" i="12" s="1"/>
  <c r="BG215" i="12" s="1"/>
  <c r="BH215" i="12"/>
  <c r="BE215" i="12" s="1"/>
  <c r="AS236" i="12"/>
  <c r="BB236" i="12" s="1"/>
  <c r="BH236" i="12"/>
  <c r="BE236" i="12" s="1"/>
  <c r="AS389" i="12"/>
  <c r="BB389" i="12" s="1"/>
  <c r="BF389" i="12" s="1"/>
  <c r="BG389" i="12" s="1"/>
  <c r="BH389" i="12"/>
  <c r="BE389" i="12" s="1"/>
  <c r="AS396" i="12"/>
  <c r="BB396" i="12" s="1"/>
  <c r="BF396" i="12" s="1"/>
  <c r="BG396" i="12" s="1"/>
  <c r="BH396" i="12"/>
  <c r="BE396" i="12" s="1"/>
  <c r="AS400" i="12"/>
  <c r="BB400" i="12" s="1"/>
  <c r="BH400" i="12"/>
  <c r="BE400" i="12" s="1"/>
  <c r="AS74" i="12"/>
  <c r="BB74" i="12" s="1"/>
  <c r="BF74" i="12" s="1"/>
  <c r="BG74" i="12" s="1"/>
  <c r="BH74" i="12"/>
  <c r="BE74" i="12" s="1"/>
  <c r="AS275" i="12"/>
  <c r="BB275" i="12" s="1"/>
  <c r="BF275" i="12" s="1"/>
  <c r="BG275" i="12" s="1"/>
  <c r="BH275" i="12"/>
  <c r="BE275" i="12" s="1"/>
  <c r="AS25" i="12"/>
  <c r="BB25" i="12" s="1"/>
  <c r="BF25" i="12" s="1"/>
  <c r="BG25" i="12" s="1"/>
  <c r="BH25" i="12"/>
  <c r="BE25" i="12" s="1"/>
  <c r="AS47" i="12"/>
  <c r="BB47" i="12" s="1"/>
  <c r="BF47" i="12" s="1"/>
  <c r="BG47" i="12" s="1"/>
  <c r="BH47" i="12"/>
  <c r="BE47" i="12" s="1"/>
  <c r="AS246" i="12"/>
  <c r="BB246" i="12" s="1"/>
  <c r="BF246" i="12" s="1"/>
  <c r="BG246" i="12" s="1"/>
  <c r="BH246" i="12"/>
  <c r="BE246" i="12" s="1"/>
  <c r="AS268" i="12"/>
  <c r="BB268" i="12" s="1"/>
  <c r="BF268" i="12" s="1"/>
  <c r="BG268" i="12" s="1"/>
  <c r="BH268" i="12"/>
  <c r="BE268" i="12" s="1"/>
  <c r="AS276" i="12"/>
  <c r="BB276" i="12" s="1"/>
  <c r="BF276" i="12" s="1"/>
  <c r="BG276" i="12" s="1"/>
  <c r="BH276" i="12"/>
  <c r="BE276" i="12" s="1"/>
  <c r="AS301" i="12"/>
  <c r="BB301" i="12" s="1"/>
  <c r="BF301" i="12" s="1"/>
  <c r="BG301" i="12" s="1"/>
  <c r="BH301" i="12"/>
  <c r="BE301" i="12" s="1"/>
  <c r="AS320" i="12"/>
  <c r="BB320" i="12" s="1"/>
  <c r="BF320" i="12" s="1"/>
  <c r="BG320" i="12" s="1"/>
  <c r="BH320" i="12"/>
  <c r="BE320" i="12" s="1"/>
  <c r="AS329" i="12"/>
  <c r="BB329" i="12" s="1"/>
  <c r="BF329" i="12" s="1"/>
  <c r="BG329" i="12" s="1"/>
  <c r="BH329" i="12"/>
  <c r="BE329" i="12" s="1"/>
  <c r="AS364" i="12"/>
  <c r="BB364" i="12" s="1"/>
  <c r="BF364" i="12" s="1"/>
  <c r="BG364" i="12" s="1"/>
  <c r="BH364" i="12"/>
  <c r="BE364" i="12" s="1"/>
  <c r="AS405" i="12"/>
  <c r="BB405" i="12" s="1"/>
  <c r="BH405" i="12"/>
  <c r="BE405" i="12" s="1"/>
  <c r="AS23" i="12"/>
  <c r="BB23" i="12" s="1"/>
  <c r="BF23" i="12" s="1"/>
  <c r="BG23" i="12" s="1"/>
  <c r="BH23" i="12"/>
  <c r="BE23" i="12" s="1"/>
  <c r="AS22" i="12"/>
  <c r="BB22" i="12" s="1"/>
  <c r="BF22" i="12" s="1"/>
  <c r="BG22" i="12" s="1"/>
  <c r="BH22" i="12"/>
  <c r="BE22" i="12" s="1"/>
  <c r="AS80" i="12"/>
  <c r="BB80" i="12" s="1"/>
  <c r="BF80" i="12" s="1"/>
  <c r="BG80" i="12" s="1"/>
  <c r="BH80" i="12"/>
  <c r="BE80" i="12" s="1"/>
  <c r="AS99" i="12"/>
  <c r="BB99" i="12" s="1"/>
  <c r="BF99" i="12" s="1"/>
  <c r="BG99" i="12" s="1"/>
  <c r="BH99" i="12"/>
  <c r="BE99" i="12" s="1"/>
  <c r="AS107" i="12"/>
  <c r="BB107" i="12" s="1"/>
  <c r="BF107" i="12" s="1"/>
  <c r="BG107" i="12" s="1"/>
  <c r="BH107" i="12"/>
  <c r="BE107" i="12" s="1"/>
  <c r="AS166" i="12"/>
  <c r="BB166" i="12" s="1"/>
  <c r="BF166" i="12" s="1"/>
  <c r="BG166" i="12" s="1"/>
  <c r="BH166" i="12"/>
  <c r="BE166" i="12" s="1"/>
  <c r="AS192" i="12"/>
  <c r="BB192" i="12" s="1"/>
  <c r="BF192" i="12" s="1"/>
  <c r="BG192" i="12" s="1"/>
  <c r="BH192" i="12"/>
  <c r="BE192" i="12" s="1"/>
  <c r="AS233" i="12"/>
  <c r="BB233" i="12" s="1"/>
  <c r="BF233" i="12" s="1"/>
  <c r="BG233" i="12" s="1"/>
  <c r="BH233" i="12"/>
  <c r="BE233" i="12" s="1"/>
  <c r="AS241" i="12"/>
  <c r="BB241" i="12" s="1"/>
  <c r="BF241" i="12" s="1"/>
  <c r="BG241" i="12" s="1"/>
  <c r="BH241" i="12"/>
  <c r="BE241" i="12" s="1"/>
  <c r="AS339" i="12"/>
  <c r="BB339" i="12" s="1"/>
  <c r="BF339" i="12" s="1"/>
  <c r="BG339" i="12" s="1"/>
  <c r="BH339" i="12"/>
  <c r="BE339" i="12" s="1"/>
  <c r="AS369" i="12"/>
  <c r="BB369" i="12" s="1"/>
  <c r="BH369" i="12"/>
  <c r="BE369" i="12" s="1"/>
  <c r="AS371" i="12"/>
  <c r="BB371" i="12" s="1"/>
  <c r="BH371" i="12"/>
  <c r="BE371" i="12" s="1"/>
  <c r="AS378" i="12"/>
  <c r="BB378" i="12" s="1"/>
  <c r="BH378" i="12"/>
  <c r="BE378" i="12" s="1"/>
  <c r="AS382" i="12"/>
  <c r="BB382" i="12" s="1"/>
  <c r="BH382" i="12"/>
  <c r="BE382" i="12" s="1"/>
  <c r="AS300" i="12"/>
  <c r="BB300" i="12" s="1"/>
  <c r="BF300" i="12" s="1"/>
  <c r="BG300" i="12" s="1"/>
  <c r="BH300" i="12"/>
  <c r="BE300" i="12" s="1"/>
  <c r="AS155" i="12"/>
  <c r="BB155" i="12" s="1"/>
  <c r="BH155" i="12"/>
  <c r="BE155" i="12" s="1"/>
  <c r="AS36" i="12"/>
  <c r="BB36" i="12" s="1"/>
  <c r="BF36" i="12" s="1"/>
  <c r="BG36" i="12" s="1"/>
  <c r="BH36" i="12"/>
  <c r="BE36" i="12" s="1"/>
  <c r="AS265" i="12"/>
  <c r="BB265" i="12" s="1"/>
  <c r="BF265" i="12" s="1"/>
  <c r="BG265" i="12" s="1"/>
  <c r="BH265" i="12"/>
  <c r="BE265" i="12" s="1"/>
  <c r="AS306" i="12"/>
  <c r="BB306" i="12" s="1"/>
  <c r="BF306" i="12" s="1"/>
  <c r="BG306" i="12" s="1"/>
  <c r="BH306" i="12"/>
  <c r="BE306" i="12" s="1"/>
  <c r="AS334" i="12"/>
  <c r="BB334" i="12" s="1"/>
  <c r="BF334" i="12" s="1"/>
  <c r="BG334" i="12" s="1"/>
  <c r="BH334" i="12"/>
  <c r="BE334" i="12" s="1"/>
  <c r="AS346" i="12"/>
  <c r="BB346" i="12" s="1"/>
  <c r="BF346" i="12" s="1"/>
  <c r="BG346" i="12" s="1"/>
  <c r="BH346" i="12"/>
  <c r="BE346" i="12" s="1"/>
  <c r="AS356" i="12"/>
  <c r="BB356" i="12" s="1"/>
  <c r="BF356" i="12" s="1"/>
  <c r="BG356" i="12" s="1"/>
  <c r="BH356" i="12"/>
  <c r="BE356" i="12" s="1"/>
  <c r="AS39" i="12"/>
  <c r="BB39" i="12" s="1"/>
  <c r="BH39" i="12"/>
  <c r="AS292" i="12"/>
  <c r="BB292" i="12" s="1"/>
  <c r="BF292" i="12" s="1"/>
  <c r="BG292" i="12" s="1"/>
  <c r="BH292" i="12"/>
  <c r="BE292" i="12" s="1"/>
  <c r="AS186" i="12"/>
  <c r="BB186" i="12" s="1"/>
  <c r="BF186" i="12" s="1"/>
  <c r="BG186" i="12" s="1"/>
  <c r="BH186" i="12"/>
  <c r="BE186" i="12" s="1"/>
  <c r="AS211" i="12"/>
  <c r="BB211" i="12" s="1"/>
  <c r="BF211" i="12" s="1"/>
  <c r="BG211" i="12" s="1"/>
  <c r="BH211" i="12"/>
  <c r="BE211" i="12" s="1"/>
  <c r="AS104" i="12"/>
  <c r="BB104" i="12" s="1"/>
  <c r="BF104" i="12" s="1"/>
  <c r="BG104" i="12" s="1"/>
  <c r="BH104" i="12"/>
  <c r="BE104" i="12" s="1"/>
  <c r="AS144" i="12"/>
  <c r="BB144" i="12" s="1"/>
  <c r="BF144" i="12" s="1"/>
  <c r="BG144" i="12" s="1"/>
  <c r="BH144" i="12"/>
  <c r="BE144" i="12" s="1"/>
  <c r="AS197" i="12"/>
  <c r="BB197" i="12" s="1"/>
  <c r="BF197" i="12" s="1"/>
  <c r="BG197" i="12" s="1"/>
  <c r="BH197" i="12"/>
  <c r="BE197" i="12" s="1"/>
  <c r="AS217" i="12"/>
  <c r="BB217" i="12" s="1"/>
  <c r="BF217" i="12" s="1"/>
  <c r="BG217" i="12" s="1"/>
  <c r="BH217" i="12"/>
  <c r="BE217" i="12" s="1"/>
  <c r="AS227" i="12"/>
  <c r="BB227" i="12" s="1"/>
  <c r="BF227" i="12" s="1"/>
  <c r="BG227" i="12" s="1"/>
  <c r="BH227" i="12"/>
  <c r="BE227" i="12" s="1"/>
  <c r="AS336" i="12"/>
  <c r="BB336" i="12" s="1"/>
  <c r="BF336" i="12" s="1"/>
  <c r="BG336" i="12" s="1"/>
  <c r="BH336" i="12"/>
  <c r="BE336" i="12" s="1"/>
  <c r="AS348" i="12"/>
  <c r="BB348" i="12" s="1"/>
  <c r="BF348" i="12" s="1"/>
  <c r="BG348" i="12" s="1"/>
  <c r="BH348" i="12"/>
  <c r="BE348" i="12" s="1"/>
  <c r="AS391" i="12"/>
  <c r="BB391" i="12" s="1"/>
  <c r="BF391" i="12" s="1"/>
  <c r="BG391" i="12" s="1"/>
  <c r="BH391" i="12"/>
  <c r="BE391" i="12" s="1"/>
  <c r="AS398" i="12"/>
  <c r="BB398" i="12" s="1"/>
  <c r="BF398" i="12" s="1"/>
  <c r="BG398" i="12" s="1"/>
  <c r="BH398" i="12"/>
  <c r="BE398" i="12" s="1"/>
  <c r="AS319" i="12"/>
  <c r="BB319" i="12" s="1"/>
  <c r="BF319" i="12" s="1"/>
  <c r="BG319" i="12" s="1"/>
  <c r="BH319" i="12"/>
  <c r="BE319" i="12" s="1"/>
  <c r="AS350" i="12"/>
  <c r="BB350" i="12" s="1"/>
  <c r="BF350" i="12" s="1"/>
  <c r="BG350" i="12" s="1"/>
  <c r="BH350" i="12"/>
  <c r="BE350" i="12" s="1"/>
  <c r="AS33" i="12"/>
  <c r="BB33" i="12" s="1"/>
  <c r="BF33" i="12" s="1"/>
  <c r="BG33" i="12" s="1"/>
  <c r="BH33" i="12"/>
  <c r="BE33" i="12" s="1"/>
  <c r="AS56" i="12"/>
  <c r="BB56" i="12" s="1"/>
  <c r="BH56" i="12"/>
  <c r="BE56" i="12" s="1"/>
  <c r="AS69" i="12"/>
  <c r="BB69" i="12" s="1"/>
  <c r="BF69" i="12" s="1"/>
  <c r="BG69" i="12" s="1"/>
  <c r="BH69" i="12"/>
  <c r="BE69" i="12" s="1"/>
  <c r="AS77" i="12"/>
  <c r="BB77" i="12" s="1"/>
  <c r="BF77" i="12" s="1"/>
  <c r="BG77" i="12" s="1"/>
  <c r="BH77" i="12"/>
  <c r="BE77" i="12" s="1"/>
  <c r="AS250" i="12"/>
  <c r="BB250" i="12" s="1"/>
  <c r="BF250" i="12" s="1"/>
  <c r="BG250" i="12" s="1"/>
  <c r="BH250" i="12"/>
  <c r="BE250" i="12" s="1"/>
  <c r="AS261" i="12"/>
  <c r="BB261" i="12" s="1"/>
  <c r="BF261" i="12" s="1"/>
  <c r="BG261" i="12" s="1"/>
  <c r="BH261" i="12"/>
  <c r="BE261" i="12" s="1"/>
  <c r="AS287" i="12"/>
  <c r="BB287" i="12" s="1"/>
  <c r="BF287" i="12" s="1"/>
  <c r="BG287" i="12" s="1"/>
  <c r="BH287" i="12"/>
  <c r="BE287" i="12" s="1"/>
  <c r="AS303" i="12"/>
  <c r="BB303" i="12" s="1"/>
  <c r="BF303" i="12" s="1"/>
  <c r="BG303" i="12" s="1"/>
  <c r="BH303" i="12"/>
  <c r="BE303" i="12" s="1"/>
  <c r="AS322" i="12"/>
  <c r="BB322" i="12" s="1"/>
  <c r="BF322" i="12" s="1"/>
  <c r="BG322" i="12" s="1"/>
  <c r="BH322" i="12"/>
  <c r="BE322" i="12" s="1"/>
  <c r="AS331" i="12"/>
  <c r="BB331" i="12" s="1"/>
  <c r="BF331" i="12" s="1"/>
  <c r="BG331" i="12" s="1"/>
  <c r="BH331" i="12"/>
  <c r="BE331" i="12" s="1"/>
  <c r="AS353" i="12"/>
  <c r="BB353" i="12" s="1"/>
  <c r="BF353" i="12" s="1"/>
  <c r="BG353" i="12" s="1"/>
  <c r="BH353" i="12"/>
  <c r="BE353" i="12" s="1"/>
  <c r="AS361" i="12"/>
  <c r="BB361" i="12" s="1"/>
  <c r="BF361" i="12" s="1"/>
  <c r="BG361" i="12" s="1"/>
  <c r="BH361" i="12"/>
  <c r="BE361" i="12" s="1"/>
  <c r="AS367" i="12"/>
  <c r="BB367" i="12" s="1"/>
  <c r="BH367" i="12"/>
  <c r="BE367" i="12" s="1"/>
  <c r="AS374" i="12"/>
  <c r="BB374" i="12" s="1"/>
  <c r="BH374" i="12"/>
  <c r="BE374" i="12" s="1"/>
  <c r="AS384" i="12"/>
  <c r="BB384" i="12" s="1"/>
  <c r="BF384" i="12" s="1"/>
  <c r="BG384" i="12" s="1"/>
  <c r="BD384" i="12" s="1"/>
  <c r="BH384" i="12"/>
  <c r="BE384" i="12" s="1"/>
  <c r="AS393" i="12"/>
  <c r="BB393" i="12" s="1"/>
  <c r="BF393" i="12" s="1"/>
  <c r="BG393" i="12" s="1"/>
  <c r="BH393" i="12"/>
  <c r="BE393" i="12" s="1"/>
  <c r="AS401" i="12"/>
  <c r="BB401" i="12" s="1"/>
  <c r="BH401" i="12"/>
  <c r="BE401" i="12" s="1"/>
  <c r="BF86" i="12"/>
  <c r="BG86" i="12" s="1"/>
  <c r="BF206" i="12"/>
  <c r="BG206" i="12" s="1"/>
  <c r="BF218" i="12"/>
  <c r="BG218" i="12" s="1"/>
  <c r="BF228" i="12"/>
  <c r="BG228" i="12" s="1"/>
  <c r="BF337" i="12"/>
  <c r="BG337" i="12" s="1"/>
  <c r="BF163" i="12"/>
  <c r="BG163" i="12" s="1"/>
  <c r="BF171" i="12"/>
  <c r="BG171" i="12" s="1"/>
  <c r="BF183" i="12"/>
  <c r="BG183" i="12" s="1"/>
  <c r="BF205" i="12"/>
  <c r="BG205" i="12" s="1"/>
  <c r="BF238" i="12"/>
  <c r="BG238" i="12" s="1"/>
  <c r="BF344" i="12"/>
  <c r="BG344" i="12" s="1"/>
  <c r="BF416" i="12"/>
  <c r="BG416" i="12" s="1"/>
  <c r="BF424" i="12"/>
  <c r="BG424" i="12" s="1"/>
  <c r="BF266" i="12"/>
  <c r="BG266" i="12" s="1"/>
  <c r="BF335" i="12"/>
  <c r="BG335" i="12" s="1"/>
  <c r="BF85" i="12"/>
  <c r="BG85" i="12" s="1"/>
  <c r="BF112" i="12"/>
  <c r="BG112" i="12" s="1"/>
  <c r="BF124" i="12"/>
  <c r="BG124" i="12" s="1"/>
  <c r="BF423" i="12"/>
  <c r="BG423" i="12" s="1"/>
  <c r="BF260" i="12"/>
  <c r="BG260" i="12" s="1"/>
  <c r="BF269" i="12"/>
  <c r="BG269" i="12" s="1"/>
  <c r="BF286" i="12"/>
  <c r="BG286" i="12" s="1"/>
  <c r="BF360" i="12"/>
  <c r="BG360" i="12" s="1"/>
  <c r="BF61" i="12"/>
  <c r="BG61" i="12" s="1"/>
  <c r="BF72" i="12"/>
  <c r="BG72" i="12" s="1"/>
  <c r="BF253" i="12"/>
  <c r="BG253" i="12" s="1"/>
  <c r="BF273" i="12"/>
  <c r="BG273" i="12" s="1"/>
  <c r="BF281" i="12"/>
  <c r="BG281" i="12" s="1"/>
  <c r="BF290" i="12"/>
  <c r="BG290" i="12" s="1"/>
  <c r="BF298" i="12"/>
  <c r="BG298" i="12" s="1"/>
  <c r="BF315" i="12"/>
  <c r="BG315" i="12" s="1"/>
  <c r="BF270" i="12"/>
  <c r="BG270" i="12" s="1"/>
  <c r="BF278" i="12"/>
  <c r="BG278" i="12" s="1"/>
  <c r="BF295" i="12"/>
  <c r="BG295" i="12" s="1"/>
  <c r="BF311" i="12"/>
  <c r="BG311" i="12" s="1"/>
  <c r="BF82" i="12"/>
  <c r="BG82" i="12" s="1"/>
  <c r="BF101" i="12"/>
  <c r="BG101" i="12" s="1"/>
  <c r="BF109" i="12"/>
  <c r="BG109" i="12" s="1"/>
  <c r="BF121" i="12"/>
  <c r="BG121" i="12" s="1"/>
  <c r="BF158" i="12"/>
  <c r="BG158" i="12" s="1"/>
  <c r="BF194" i="12"/>
  <c r="BG194" i="12" s="1"/>
  <c r="BF202" i="12"/>
  <c r="BG202" i="12" s="1"/>
  <c r="BF214" i="12"/>
  <c r="BG214" i="12" s="1"/>
  <c r="BF235" i="12"/>
  <c r="BG235" i="12" s="1"/>
  <c r="BF421" i="12"/>
  <c r="BG421" i="12" s="1"/>
  <c r="BF267" i="12"/>
  <c r="BG267" i="12" s="1"/>
  <c r="BF308" i="12"/>
  <c r="BG308" i="12" s="1"/>
  <c r="BF87" i="12"/>
  <c r="BG87" i="12" s="1"/>
  <c r="BF106" i="12"/>
  <c r="BG106" i="12" s="1"/>
  <c r="BF165" i="12"/>
  <c r="BG165" i="12" s="1"/>
  <c r="BF177" i="12"/>
  <c r="BG177" i="12" s="1"/>
  <c r="BF199" i="12"/>
  <c r="BG199" i="12" s="1"/>
  <c r="BF229" i="12"/>
  <c r="BG229" i="12" s="1"/>
  <c r="BF240" i="12"/>
  <c r="BG240" i="12" s="1"/>
  <c r="BF418" i="12"/>
  <c r="BG418" i="12" s="1"/>
  <c r="BF426" i="12"/>
  <c r="BG426" i="12" s="1"/>
  <c r="BF35" i="12"/>
  <c r="BG35" i="12" s="1"/>
  <c r="BF272" i="12"/>
  <c r="BG272" i="12" s="1"/>
  <c r="BF305" i="12"/>
  <c r="BG305" i="12" s="1"/>
  <c r="BF313" i="12"/>
  <c r="BG313" i="12" s="1"/>
  <c r="BF333" i="12"/>
  <c r="BG333" i="12" s="1"/>
  <c r="BF355" i="12"/>
  <c r="BG355" i="12" s="1"/>
  <c r="BF103" i="12"/>
  <c r="BG103" i="12" s="1"/>
  <c r="BF111" i="12"/>
  <c r="BG111" i="12" s="1"/>
  <c r="BF170" i="12"/>
  <c r="BG170" i="12" s="1"/>
  <c r="BF182" i="12"/>
  <c r="BG182" i="12" s="1"/>
  <c r="BF196" i="12"/>
  <c r="BG196" i="12" s="1"/>
  <c r="BF216" i="12"/>
  <c r="BG216" i="12" s="1"/>
  <c r="BF226" i="12"/>
  <c r="BG226" i="12" s="1"/>
  <c r="BF237" i="12"/>
  <c r="BG237" i="12" s="1"/>
  <c r="BF343" i="12"/>
  <c r="BG343" i="12" s="1"/>
  <c r="BF390" i="12"/>
  <c r="BG390" i="12" s="1"/>
  <c r="BF28" i="12"/>
  <c r="BG28" i="12" s="1"/>
  <c r="BF68" i="12"/>
  <c r="BG68" i="12" s="1"/>
  <c r="BF76" i="12"/>
  <c r="BG76" i="12" s="1"/>
  <c r="BF294" i="12"/>
  <c r="BG294" i="12" s="1"/>
  <c r="BF310" i="12"/>
  <c r="BG310" i="12" s="1"/>
  <c r="BF81" i="12"/>
  <c r="BG81" i="12" s="1"/>
  <c r="BF100" i="12"/>
  <c r="BG100" i="12" s="1"/>
  <c r="BF108" i="12"/>
  <c r="BG108" i="12" s="1"/>
  <c r="BF128" i="12"/>
  <c r="BG128" i="12" s="1"/>
  <c r="BF157" i="12"/>
  <c r="BG157" i="12" s="1"/>
  <c r="BF167" i="12"/>
  <c r="BG167" i="12" s="1"/>
  <c r="BF179" i="12"/>
  <c r="BG179" i="12" s="1"/>
  <c r="BF193" i="12"/>
  <c r="BG193" i="12" s="1"/>
  <c r="BF201" i="12"/>
  <c r="BG201" i="12" s="1"/>
  <c r="BF213" i="12"/>
  <c r="BG213" i="12" s="1"/>
  <c r="BF234" i="12"/>
  <c r="BG234" i="12" s="1"/>
  <c r="BF242" i="12"/>
  <c r="BG242" i="12" s="1"/>
  <c r="BF420" i="12"/>
  <c r="BG420" i="12" s="1"/>
  <c r="BF38" i="12"/>
  <c r="BG38" i="12" s="1"/>
  <c r="BF73" i="12"/>
  <c r="BG73" i="12" s="1"/>
  <c r="BF254" i="12"/>
  <c r="BG254" i="12" s="1"/>
  <c r="BF282" i="12"/>
  <c r="BG282" i="12" s="1"/>
  <c r="BF289" i="12"/>
  <c r="BG289" i="12" s="1"/>
  <c r="BF291" i="12"/>
  <c r="BG291" i="12" s="1"/>
  <c r="BF299" i="12"/>
  <c r="BG299" i="12" s="1"/>
  <c r="BF307" i="12"/>
  <c r="BG307" i="12" s="1"/>
  <c r="BF113" i="12"/>
  <c r="BG113" i="12" s="1"/>
  <c r="BF125" i="12"/>
  <c r="BG125" i="12" s="1"/>
  <c r="BF198" i="12"/>
  <c r="BG198" i="12" s="1"/>
  <c r="BF392" i="12"/>
  <c r="BG392" i="12" s="1"/>
  <c r="BF417" i="12"/>
  <c r="BG417" i="12" s="1"/>
  <c r="BF425" i="12"/>
  <c r="BG425" i="12" s="1"/>
  <c r="BF57" i="12"/>
  <c r="BG57" i="12" s="1"/>
  <c r="BF70" i="12"/>
  <c r="BG70" i="12" s="1"/>
  <c r="BF78" i="12"/>
  <c r="BG78" i="12" s="1"/>
  <c r="BF251" i="12"/>
  <c r="BG251" i="12" s="1"/>
  <c r="BF262" i="12"/>
  <c r="BG262" i="12" s="1"/>
  <c r="BF279" i="12"/>
  <c r="BG279" i="12" s="1"/>
  <c r="BF296" i="12"/>
  <c r="BG296" i="12" s="1"/>
  <c r="BF304" i="12"/>
  <c r="BG304" i="12" s="1"/>
  <c r="BF332" i="12"/>
  <c r="BG332" i="12" s="1"/>
  <c r="BF362" i="12"/>
  <c r="BG362" i="12" s="1"/>
  <c r="BF83" i="12"/>
  <c r="BG83" i="12" s="1"/>
  <c r="BF122" i="12"/>
  <c r="BG122" i="12" s="1"/>
  <c r="BF132" i="12"/>
  <c r="BG132" i="12" s="1"/>
  <c r="BF159" i="12"/>
  <c r="BG159" i="12" s="1"/>
  <c r="BF169" i="12"/>
  <c r="BG169" i="12" s="1"/>
  <c r="BF181" i="12"/>
  <c r="BG181" i="12" s="1"/>
  <c r="BF203" i="12"/>
  <c r="BG203" i="12" s="1"/>
  <c r="BF225" i="12"/>
  <c r="BG225" i="12" s="1"/>
  <c r="BF245" i="12"/>
  <c r="BG245" i="12" s="1"/>
  <c r="BF342" i="12"/>
  <c r="BG342" i="12" s="1"/>
  <c r="BF422" i="12"/>
  <c r="BG422" i="12" s="1"/>
  <c r="BF75" i="12"/>
  <c r="BG75" i="12" s="1"/>
  <c r="BF259" i="12"/>
  <c r="BG259" i="12" s="1"/>
  <c r="BF284" i="12"/>
  <c r="BG284" i="12" s="1"/>
  <c r="BF293" i="12"/>
  <c r="BG293" i="12" s="1"/>
  <c r="BF309" i="12"/>
  <c r="BG309" i="12" s="1"/>
  <c r="BF359" i="12"/>
  <c r="BG359" i="12" s="1"/>
  <c r="BF67" i="12"/>
  <c r="BG67" i="12" s="1"/>
  <c r="BF119" i="12"/>
  <c r="BG119" i="12" s="1"/>
  <c r="BF127" i="12"/>
  <c r="BG127" i="12" s="1"/>
  <c r="BF156" i="12"/>
  <c r="BG156" i="12" s="1"/>
  <c r="BF178" i="12"/>
  <c r="BG178" i="12" s="1"/>
  <c r="BF200" i="12"/>
  <c r="BG200" i="12" s="1"/>
  <c r="BF212" i="12"/>
  <c r="BG212" i="12" s="1"/>
  <c r="BF220" i="12"/>
  <c r="BG220" i="12" s="1"/>
  <c r="BF351" i="12"/>
  <c r="BG351" i="12" s="1"/>
  <c r="BF419" i="12"/>
  <c r="BG419" i="12" s="1"/>
  <c r="BF427" i="12"/>
  <c r="BG427" i="12" s="1"/>
  <c r="BF283" i="12"/>
  <c r="BG283" i="12" s="1"/>
  <c r="BF358" i="12"/>
  <c r="BG358" i="12" s="1"/>
  <c r="BF236" i="12"/>
  <c r="BG236" i="12" s="1"/>
  <c r="BF168" i="12"/>
  <c r="BG168" i="12" s="1"/>
  <c r="BF155" i="12"/>
  <c r="BG155" i="12" s="1"/>
  <c r="AY81" i="10"/>
  <c r="AX81" i="10"/>
  <c r="BL381" i="12"/>
  <c r="BL365" i="12"/>
  <c r="S370" i="12"/>
  <c r="AV370" i="12" s="1"/>
  <c r="BL372" i="12"/>
  <c r="BL383" i="12"/>
  <c r="S377" i="12"/>
  <c r="AV377" i="12" s="1"/>
  <c r="BL399" i="12"/>
  <c r="BL411" i="12"/>
  <c r="Q368" i="12"/>
  <c r="AU368" i="12" s="1"/>
  <c r="S402" i="12"/>
  <c r="AV402" i="12" s="1"/>
  <c r="BL406" i="12"/>
  <c r="S366" i="12"/>
  <c r="AV366" i="12" s="1"/>
  <c r="O396" i="12"/>
  <c r="S364" i="12"/>
  <c r="Q380" i="12"/>
  <c r="AU380" i="12" s="1"/>
  <c r="BL398" i="12"/>
  <c r="S414" i="12"/>
  <c r="AV414" i="12" s="1"/>
  <c r="BL369" i="12"/>
  <c r="BL376" i="12"/>
  <c r="Y378" i="12"/>
  <c r="AY378" i="12" s="1"/>
  <c r="BL405" i="12"/>
  <c r="Y367" i="12"/>
  <c r="AY367" i="12" s="1"/>
  <c r="S374" i="12"/>
  <c r="AV374" i="12" s="1"/>
  <c r="Y365" i="12"/>
  <c r="AY365" i="12" s="1"/>
  <c r="AA428" i="12"/>
  <c r="AX39" i="12"/>
  <c r="W428" i="12"/>
  <c r="AZ39" i="12"/>
  <c r="AY39" i="12"/>
  <c r="BA39" i="12"/>
  <c r="AW39" i="12"/>
  <c r="U428" i="12"/>
  <c r="AT39" i="12"/>
  <c r="AT56" i="12"/>
  <c r="AW56" i="12"/>
  <c r="AX56" i="12"/>
  <c r="AY56" i="12"/>
  <c r="AZ56" i="12"/>
  <c r="BA56" i="12"/>
  <c r="AE378" i="12"/>
  <c r="BA378" i="12" s="1"/>
  <c r="Y372" i="12"/>
  <c r="AY372" i="12" s="1"/>
  <c r="AE374" i="12"/>
  <c r="BA374" i="12" s="1"/>
  <c r="Y369" i="12"/>
  <c r="AY369" i="12" s="1"/>
  <c r="AE367" i="12"/>
  <c r="BA367" i="12" s="1"/>
  <c r="AE369" i="12"/>
  <c r="BA369" i="12" s="1"/>
  <c r="AE372" i="12"/>
  <c r="BA372" i="12" s="1"/>
  <c r="Y374" i="12"/>
  <c r="AY374" i="12" s="1"/>
  <c r="AT79" i="12"/>
  <c r="S396" i="12"/>
  <c r="AW394" i="12"/>
  <c r="AZ394" i="12"/>
  <c r="AT394" i="12"/>
  <c r="AX394" i="12"/>
  <c r="AW5" i="12"/>
  <c r="AZ5" i="12"/>
  <c r="AX5" i="12"/>
  <c r="BA5" i="12"/>
  <c r="AY5" i="12"/>
  <c r="BC154" i="12"/>
  <c r="BA16" i="12"/>
  <c r="AY16" i="12"/>
  <c r="AX16" i="12"/>
  <c r="AW16" i="12"/>
  <c r="AZ16" i="12"/>
  <c r="O372" i="12"/>
  <c r="AT372" i="12" s="1"/>
  <c r="Q372" i="12"/>
  <c r="AU372" i="12" s="1"/>
  <c r="S372" i="12"/>
  <c r="AV372" i="12" s="1"/>
  <c r="Q370" i="12"/>
  <c r="AU370" i="12" s="1"/>
  <c r="Q369" i="12"/>
  <c r="AU369" i="12" s="1"/>
  <c r="AS370" i="12"/>
  <c r="BB370" i="12" s="1"/>
  <c r="Q365" i="12"/>
  <c r="AU365" i="12" s="1"/>
  <c r="S365" i="12"/>
  <c r="AV365" i="12" s="1"/>
  <c r="S400" i="12"/>
  <c r="AV400" i="12" s="1"/>
  <c r="Y400" i="12"/>
  <c r="AY400" i="12" s="1"/>
  <c r="Q400" i="12"/>
  <c r="AU400" i="12" s="1"/>
  <c r="O365" i="12"/>
  <c r="AT365" i="12" s="1"/>
  <c r="O369" i="12"/>
  <c r="AT369" i="12" s="1"/>
  <c r="O376" i="12"/>
  <c r="AT376" i="12" s="1"/>
  <c r="AS409" i="12"/>
  <c r="BB409" i="12" s="1"/>
  <c r="O371" i="12"/>
  <c r="AT371" i="12" s="1"/>
  <c r="BL371" i="12"/>
  <c r="Q367" i="12"/>
  <c r="AU367" i="12" s="1"/>
  <c r="BL367" i="12"/>
  <c r="S368" i="12"/>
  <c r="AV368" i="12" s="1"/>
  <c r="BL368" i="12"/>
  <c r="S369" i="12"/>
  <c r="AV369" i="12" s="1"/>
  <c r="O370" i="12"/>
  <c r="AT370" i="12" s="1"/>
  <c r="BL370" i="12"/>
  <c r="S371" i="12"/>
  <c r="AV371" i="12" s="1"/>
  <c r="O374" i="12"/>
  <c r="AT374" i="12" s="1"/>
  <c r="S376" i="12"/>
  <c r="AV376" i="12" s="1"/>
  <c r="O377" i="12"/>
  <c r="BL377" i="12"/>
  <c r="O397" i="12"/>
  <c r="AT397" i="12" s="1"/>
  <c r="BL397" i="12"/>
  <c r="AC400" i="12"/>
  <c r="AZ400" i="12" s="1"/>
  <c r="BL400" i="12"/>
  <c r="S401" i="12"/>
  <c r="AV401" i="12" s="1"/>
  <c r="BL401" i="12"/>
  <c r="O409" i="12"/>
  <c r="AT409" i="12" s="1"/>
  <c r="BL409" i="12"/>
  <c r="Q378" i="12"/>
  <c r="AU378" i="12" s="1"/>
  <c r="BL378" i="12"/>
  <c r="S379" i="12"/>
  <c r="AV379" i="12" s="1"/>
  <c r="BL379" i="12"/>
  <c r="S375" i="12"/>
  <c r="AV375" i="12" s="1"/>
  <c r="BL375" i="12"/>
  <c r="S382" i="12"/>
  <c r="AV382" i="12" s="1"/>
  <c r="BL382" i="12"/>
  <c r="O402" i="12"/>
  <c r="AT402" i="12" s="1"/>
  <c r="BL402" i="12"/>
  <c r="O414" i="12"/>
  <c r="AT414" i="12" s="1"/>
  <c r="BL414" i="12"/>
  <c r="AS414" i="12"/>
  <c r="BB414" i="12" s="1"/>
  <c r="Q364" i="12"/>
  <c r="BL364" i="12"/>
  <c r="O366" i="12"/>
  <c r="AT366" i="12" s="1"/>
  <c r="BL366" i="12"/>
  <c r="O373" i="12"/>
  <c r="AT373" i="12" s="1"/>
  <c r="BL373" i="12"/>
  <c r="Q374" i="12"/>
  <c r="AU374" i="12" s="1"/>
  <c r="BL374" i="12"/>
  <c r="Q376" i="12"/>
  <c r="AU376" i="12" s="1"/>
  <c r="AS376" i="12"/>
  <c r="BB376" i="12" s="1"/>
  <c r="Q379" i="12"/>
  <c r="AU379" i="12" s="1"/>
  <c r="S380" i="12"/>
  <c r="AV380" i="12" s="1"/>
  <c r="BL380" i="12"/>
  <c r="BL396" i="12"/>
  <c r="S408" i="12"/>
  <c r="AV408" i="12" s="1"/>
  <c r="BL408" i="12"/>
  <c r="Y405" i="12"/>
  <c r="AY405" i="12" s="1"/>
  <c r="AC405" i="12"/>
  <c r="AZ405" i="12" s="1"/>
  <c r="S405" i="12"/>
  <c r="AV405" i="12" s="1"/>
  <c r="Q366" i="12"/>
  <c r="AU366" i="12" s="1"/>
  <c r="AS366" i="12"/>
  <c r="BB366" i="12" s="1"/>
  <c r="O368" i="12"/>
  <c r="AT368" i="12" s="1"/>
  <c r="AS368" i="12"/>
  <c r="BB368" i="12" s="1"/>
  <c r="S373" i="12"/>
  <c r="AV373" i="12" s="1"/>
  <c r="Q375" i="12"/>
  <c r="AU375" i="12" s="1"/>
  <c r="O379" i="12"/>
  <c r="AT379" i="12" s="1"/>
  <c r="AS379" i="12"/>
  <c r="BB379" i="12" s="1"/>
  <c r="Q402" i="12"/>
  <c r="AU402" i="12" s="1"/>
  <c r="AS402" i="12"/>
  <c r="BB402" i="12" s="1"/>
  <c r="AC408" i="12"/>
  <c r="AZ408" i="12" s="1"/>
  <c r="O364" i="12"/>
  <c r="O367" i="12"/>
  <c r="AT367" i="12" s="1"/>
  <c r="O378" i="12"/>
  <c r="AT378" i="12" s="1"/>
  <c r="Y408" i="12"/>
  <c r="AY408" i="12" s="1"/>
  <c r="AC401" i="12"/>
  <c r="AZ401" i="12" s="1"/>
  <c r="S367" i="12"/>
  <c r="AV367" i="12" s="1"/>
  <c r="Q373" i="12"/>
  <c r="AU373" i="12" s="1"/>
  <c r="AS373" i="12"/>
  <c r="BB373" i="12" s="1"/>
  <c r="O375" i="12"/>
  <c r="AT375" i="12" s="1"/>
  <c r="AS375" i="12"/>
  <c r="BB375" i="12" s="1"/>
  <c r="S378" i="12"/>
  <c r="AV378" i="12" s="1"/>
  <c r="Q408" i="12"/>
  <c r="AU408" i="12" s="1"/>
  <c r="AS399" i="12"/>
  <c r="BB399" i="12" s="1"/>
  <c r="S381" i="12"/>
  <c r="AV381" i="12" s="1"/>
  <c r="O381" i="12"/>
  <c r="AT381" i="12" s="1"/>
  <c r="O399" i="12"/>
  <c r="AT399" i="12" s="1"/>
  <c r="S399" i="12"/>
  <c r="AV399" i="12" s="1"/>
  <c r="Q399" i="12"/>
  <c r="AU399" i="12" s="1"/>
  <c r="AS406" i="12"/>
  <c r="BB406" i="12" s="1"/>
  <c r="O406" i="12"/>
  <c r="AT406" i="12" s="1"/>
  <c r="S406" i="12"/>
  <c r="AV406" i="12" s="1"/>
  <c r="Q406" i="12"/>
  <c r="AU406" i="12" s="1"/>
  <c r="S383" i="12"/>
  <c r="AV383" i="12" s="1"/>
  <c r="O383" i="12"/>
  <c r="AT383" i="12" s="1"/>
  <c r="AE411" i="12"/>
  <c r="BA411" i="12" s="1"/>
  <c r="O411" i="12"/>
  <c r="AT411" i="12" s="1"/>
  <c r="S411" i="12"/>
  <c r="AV411" i="12" s="1"/>
  <c r="Y411" i="12"/>
  <c r="AY411" i="12" s="1"/>
  <c r="Q411" i="12"/>
  <c r="AU411" i="12" s="1"/>
  <c r="AC411" i="12"/>
  <c r="AZ411" i="12" s="1"/>
  <c r="O380" i="12"/>
  <c r="AT380" i="12" s="1"/>
  <c r="AS380" i="12"/>
  <c r="BB380" i="12" s="1"/>
  <c r="O382" i="12"/>
  <c r="AT382" i="12" s="1"/>
  <c r="Q396" i="12"/>
  <c r="S397" i="12"/>
  <c r="AV397" i="12" s="1"/>
  <c r="AE400" i="12"/>
  <c r="BA400" i="12" s="1"/>
  <c r="O400" i="12"/>
  <c r="AT400" i="12" s="1"/>
  <c r="Q405" i="12"/>
  <c r="AU405" i="12" s="1"/>
  <c r="AE408" i="12"/>
  <c r="BA408" i="12" s="1"/>
  <c r="O408" i="12"/>
  <c r="AT408" i="12" s="1"/>
  <c r="S409" i="12"/>
  <c r="AV409" i="12" s="1"/>
  <c r="Q414" i="12"/>
  <c r="AU414" i="12" s="1"/>
  <c r="AE401" i="12"/>
  <c r="BA401" i="12" s="1"/>
  <c r="O401" i="12"/>
  <c r="AT401" i="12" s="1"/>
  <c r="Q401" i="12"/>
  <c r="AU401" i="12" s="1"/>
  <c r="Y401" i="12"/>
  <c r="AY401" i="12" s="1"/>
  <c r="AE405" i="12"/>
  <c r="BA405" i="12" s="1"/>
  <c r="O405" i="12"/>
  <c r="AT405" i="12" s="1"/>
  <c r="Q409" i="12"/>
  <c r="AU409" i="12" s="1"/>
  <c r="F186" i="15" l="1"/>
  <c r="F185" i="15"/>
  <c r="F194" i="15"/>
  <c r="AG194" i="15" s="1"/>
  <c r="F217" i="15"/>
  <c r="F153" i="15"/>
  <c r="AG153" i="15" s="1"/>
  <c r="F139" i="15"/>
  <c r="AG139" i="15" s="1"/>
  <c r="F113" i="15"/>
  <c r="F210" i="15"/>
  <c r="F136" i="15"/>
  <c r="F209" i="15"/>
  <c r="F204" i="15"/>
  <c r="F138" i="15"/>
  <c r="AG138" i="15" s="1"/>
  <c r="F131" i="15"/>
  <c r="F226" i="15"/>
  <c r="F223" i="15"/>
  <c r="F206" i="15"/>
  <c r="F170" i="15"/>
  <c r="F225" i="15"/>
  <c r="F205" i="15"/>
  <c r="F171" i="15"/>
  <c r="F126" i="15"/>
  <c r="F96" i="15"/>
  <c r="F227" i="15"/>
  <c r="F212" i="15"/>
  <c r="F208" i="15"/>
  <c r="F214" i="15"/>
  <c r="F211" i="15"/>
  <c r="F228" i="15"/>
  <c r="F178" i="15"/>
  <c r="F103" i="15"/>
  <c r="F224" i="15"/>
  <c r="F121" i="15"/>
  <c r="F207" i="15"/>
  <c r="F161" i="15"/>
  <c r="AG161" i="15" s="1"/>
  <c r="F111" i="15"/>
  <c r="F215" i="15"/>
  <c r="F109" i="15"/>
  <c r="F179" i="15"/>
  <c r="F90" i="15"/>
  <c r="F195" i="15"/>
  <c r="AG195" i="15" s="1"/>
  <c r="F216" i="15"/>
  <c r="F213" i="15"/>
  <c r="E100" i="20" a="1"/>
  <c r="E100" i="20" s="1"/>
  <c r="E212" i="20" a="1"/>
  <c r="E212" i="20" s="1"/>
  <c r="E192" i="20" a="1"/>
  <c r="E192" i="20" s="1"/>
  <c r="E91" i="20" a="1"/>
  <c r="E91" i="20" s="1"/>
  <c r="E93" i="20" a="1"/>
  <c r="E93" i="20" s="1"/>
  <c r="E193" i="20" a="1"/>
  <c r="E193" i="20" s="1"/>
  <c r="E226" i="20" a="1"/>
  <c r="E226" i="20" s="1"/>
  <c r="E105" i="20" a="1"/>
  <c r="E105" i="20" s="1"/>
  <c r="E195" i="20" a="1"/>
  <c r="E195" i="20" s="1"/>
  <c r="E194" i="20" a="1"/>
  <c r="E194" i="20" s="1"/>
  <c r="E211" i="20" a="1"/>
  <c r="E211" i="20" s="1"/>
  <c r="E100" i="15" a="1"/>
  <c r="E100" i="15" s="1"/>
  <c r="AA100" i="15" s="1"/>
  <c r="E91" i="15" a="1"/>
  <c r="E91" i="15" s="1"/>
  <c r="E105" i="15" a="1"/>
  <c r="E105" i="15" s="1"/>
  <c r="E212" i="15" a="1"/>
  <c r="E212" i="15" s="1"/>
  <c r="E195" i="15" a="1"/>
  <c r="E195" i="15" s="1"/>
  <c r="AA195" i="15" s="1"/>
  <c r="E192" i="15" a="1"/>
  <c r="E192" i="15" s="1"/>
  <c r="E194" i="15" a="1"/>
  <c r="E194" i="15" s="1"/>
  <c r="AA194" i="15" s="1"/>
  <c r="E226" i="15" a="1"/>
  <c r="E226" i="15" s="1"/>
  <c r="E211" i="15" a="1"/>
  <c r="E211" i="15" s="1"/>
  <c r="E193" i="15" a="1"/>
  <c r="E193" i="15" s="1"/>
  <c r="BE39" i="12"/>
  <c r="BE5" i="12"/>
  <c r="BG316" i="12"/>
  <c r="BD316" i="12" s="1"/>
  <c r="BF382" i="12"/>
  <c r="BG382" i="12" s="1"/>
  <c r="BF375" i="12"/>
  <c r="BG375" i="12" s="1"/>
  <c r="BF399" i="12"/>
  <c r="BG399" i="12" s="1"/>
  <c r="BF414" i="12"/>
  <c r="BG414" i="12" s="1"/>
  <c r="BF16" i="12"/>
  <c r="BG16" i="12" s="1"/>
  <c r="BF379" i="12"/>
  <c r="BG379" i="12" s="1"/>
  <c r="BF369" i="12"/>
  <c r="BG369" i="12" s="1"/>
  <c r="BF372" i="12"/>
  <c r="BG372" i="12" s="1"/>
  <c r="BF5" i="12"/>
  <c r="BF366" i="12"/>
  <c r="BG366" i="12" s="1"/>
  <c r="BF394" i="12"/>
  <c r="BG394" i="12" s="1"/>
  <c r="BF383" i="12"/>
  <c r="BG383" i="12" s="1"/>
  <c r="BF368" i="12"/>
  <c r="BG368" i="12" s="1"/>
  <c r="BF365" i="12"/>
  <c r="BG365" i="12" s="1"/>
  <c r="BF373" i="12"/>
  <c r="BG373" i="12" s="1"/>
  <c r="BF370" i="12"/>
  <c r="BG370" i="12" s="1"/>
  <c r="BF367" i="12"/>
  <c r="BG367" i="12" s="1"/>
  <c r="BF409" i="12"/>
  <c r="BG409" i="12" s="1"/>
  <c r="BF378" i="12"/>
  <c r="BG378" i="12" s="1"/>
  <c r="BF408" i="12"/>
  <c r="BG408" i="12" s="1"/>
  <c r="BF405" i="12"/>
  <c r="BG405" i="12" s="1"/>
  <c r="BF406" i="12"/>
  <c r="BG406" i="12" s="1"/>
  <c r="BF79" i="12"/>
  <c r="BG79" i="12" s="1"/>
  <c r="BF371" i="12"/>
  <c r="BG371" i="12" s="1"/>
  <c r="BF380" i="12"/>
  <c r="BG380" i="12" s="1"/>
  <c r="BF381" i="12"/>
  <c r="BG381" i="12" s="1"/>
  <c r="BF374" i="12"/>
  <c r="BG374" i="12" s="1"/>
  <c r="BF401" i="12"/>
  <c r="BG401" i="12" s="1"/>
  <c r="BF402" i="12"/>
  <c r="BG402" i="12" s="1"/>
  <c r="BF397" i="12"/>
  <c r="BG397" i="12" s="1"/>
  <c r="BF376" i="12"/>
  <c r="BG376" i="12" s="1"/>
  <c r="BF411" i="12"/>
  <c r="BG411" i="12" s="1"/>
  <c r="BF400" i="12"/>
  <c r="BG400" i="12" s="1"/>
  <c r="BF56" i="12"/>
  <c r="BG56" i="12" s="1"/>
  <c r="BF81" i="10"/>
  <c r="BG81" i="10" s="1"/>
  <c r="BF39" i="12"/>
  <c r="BG39" i="12" s="1"/>
  <c r="BD330" i="12"/>
  <c r="BD125" i="12"/>
  <c r="AE428" i="12"/>
  <c r="Y428" i="12"/>
  <c r="AC428" i="12"/>
  <c r="O428" i="12"/>
  <c r="AT377" i="12"/>
  <c r="BC185" i="12"/>
  <c r="BD185" i="12"/>
  <c r="BC110" i="12"/>
  <c r="BD110" i="12"/>
  <c r="BC292" i="12"/>
  <c r="BD292" i="12"/>
  <c r="BC236" i="12"/>
  <c r="BD236" i="12"/>
  <c r="BC120" i="12"/>
  <c r="BD120" i="12"/>
  <c r="BC265" i="12"/>
  <c r="BD265" i="12"/>
  <c r="BC162" i="12"/>
  <c r="BD162" i="12"/>
  <c r="BC275" i="12"/>
  <c r="BD275" i="12"/>
  <c r="BC80" i="12"/>
  <c r="BD80" i="12"/>
  <c r="BC276" i="12"/>
  <c r="BD276" i="12"/>
  <c r="BC312" i="12"/>
  <c r="BD312" i="12"/>
  <c r="BC289" i="12"/>
  <c r="BD289" i="12"/>
  <c r="BC250" i="12"/>
  <c r="BD250" i="12"/>
  <c r="BC107" i="12"/>
  <c r="BD107" i="12"/>
  <c r="BC204" i="12"/>
  <c r="BD204" i="12"/>
  <c r="BC219" i="12"/>
  <c r="BD219" i="12"/>
  <c r="BC338" i="12"/>
  <c r="BD338" i="12"/>
  <c r="BC105" i="12"/>
  <c r="BD105" i="12"/>
  <c r="BC177" i="12"/>
  <c r="BD177" i="12"/>
  <c r="BC270" i="12"/>
  <c r="BD270" i="12"/>
  <c r="BC336" i="12"/>
  <c r="BD336" i="12"/>
  <c r="BC85" i="12"/>
  <c r="BD85" i="12"/>
  <c r="BC74" i="12"/>
  <c r="BD74" i="12"/>
  <c r="BC128" i="12"/>
  <c r="BD128" i="12"/>
  <c r="BC77" i="12"/>
  <c r="BD77" i="12"/>
  <c r="BC35" i="12"/>
  <c r="BD35" i="12"/>
  <c r="BC159" i="12"/>
  <c r="BD159" i="12"/>
  <c r="BC215" i="12"/>
  <c r="BD215" i="12"/>
  <c r="BC260" i="12"/>
  <c r="BD260" i="12"/>
  <c r="BC291" i="12"/>
  <c r="BD291" i="12"/>
  <c r="BC328" i="12"/>
  <c r="BD328" i="12"/>
  <c r="BC362" i="12"/>
  <c r="BD362" i="12"/>
  <c r="BC424" i="12"/>
  <c r="BD424" i="12"/>
  <c r="BC315" i="12"/>
  <c r="BD315" i="12"/>
  <c r="BC273" i="12"/>
  <c r="BD273" i="12"/>
  <c r="BC228" i="12"/>
  <c r="BD228" i="12"/>
  <c r="BC119" i="12"/>
  <c r="BD119" i="12"/>
  <c r="BC384" i="12"/>
  <c r="BC347" i="12"/>
  <c r="BD347" i="12"/>
  <c r="BC333" i="12"/>
  <c r="BD333" i="12"/>
  <c r="BC193" i="12"/>
  <c r="BD193" i="12"/>
  <c r="BC421" i="12"/>
  <c r="BD421" i="12"/>
  <c r="BC353" i="12"/>
  <c r="BD353" i="12"/>
  <c r="BC339" i="12"/>
  <c r="BD339" i="12"/>
  <c r="BC293" i="12"/>
  <c r="BD293" i="12"/>
  <c r="BC254" i="12"/>
  <c r="BD254" i="12"/>
  <c r="BC218" i="12"/>
  <c r="BD218" i="12"/>
  <c r="BC202" i="12"/>
  <c r="BD202" i="12"/>
  <c r="BC164" i="12"/>
  <c r="BD164" i="12"/>
  <c r="BC132" i="12"/>
  <c r="BD132" i="12"/>
  <c r="BC104" i="12"/>
  <c r="BD104" i="12"/>
  <c r="BC57" i="12"/>
  <c r="BD57" i="12"/>
  <c r="BC332" i="12"/>
  <c r="BD332" i="12"/>
  <c r="BC198" i="12"/>
  <c r="BD198" i="12"/>
  <c r="BC181" i="12"/>
  <c r="BD181" i="12"/>
  <c r="BC71" i="12"/>
  <c r="BD71" i="12"/>
  <c r="BC323" i="12"/>
  <c r="BD323" i="12"/>
  <c r="BC237" i="12"/>
  <c r="BD237" i="12"/>
  <c r="BC213" i="12"/>
  <c r="BD213" i="12"/>
  <c r="BC179" i="12"/>
  <c r="BD179" i="12"/>
  <c r="BC127" i="12"/>
  <c r="BD127" i="12"/>
  <c r="BC290" i="12"/>
  <c r="BD290" i="12"/>
  <c r="BC66" i="12"/>
  <c r="BD66" i="12"/>
  <c r="BC261" i="12"/>
  <c r="BD261" i="12"/>
  <c r="BC176" i="12"/>
  <c r="BD176" i="12"/>
  <c r="BC277" i="12"/>
  <c r="BD277" i="12"/>
  <c r="BC102" i="12"/>
  <c r="BD102" i="12"/>
  <c r="BC166" i="12"/>
  <c r="BD166" i="12"/>
  <c r="BC283" i="12"/>
  <c r="BD283" i="12"/>
  <c r="BC99" i="12"/>
  <c r="BD99" i="12"/>
  <c r="BC301" i="12"/>
  <c r="BD301" i="12"/>
  <c r="BC60" i="12"/>
  <c r="BD60" i="12"/>
  <c r="BC297" i="12"/>
  <c r="BD297" i="12"/>
  <c r="BC264" i="12"/>
  <c r="BD264" i="12"/>
  <c r="BC197" i="12"/>
  <c r="BD197" i="12"/>
  <c r="BC233" i="12"/>
  <c r="BD233" i="12"/>
  <c r="BC101" i="12"/>
  <c r="BD101" i="12"/>
  <c r="BC70" i="12"/>
  <c r="BD70" i="12"/>
  <c r="BC195" i="12"/>
  <c r="BD195" i="12"/>
  <c r="BC282" i="12"/>
  <c r="BD282" i="12"/>
  <c r="BC344" i="12"/>
  <c r="BD344" i="12"/>
  <c r="BC286" i="12"/>
  <c r="BD286" i="12"/>
  <c r="BC125" i="12"/>
  <c r="BC38" i="12"/>
  <c r="BD38" i="12"/>
  <c r="BC392" i="12"/>
  <c r="BD392" i="12"/>
  <c r="BC169" i="12"/>
  <c r="BD169" i="12"/>
  <c r="BC225" i="12"/>
  <c r="BD225" i="12"/>
  <c r="BC266" i="12"/>
  <c r="BD266" i="12"/>
  <c r="BC299" i="12"/>
  <c r="BD299" i="12"/>
  <c r="BC340" i="12"/>
  <c r="BD340" i="12"/>
  <c r="BC385" i="12"/>
  <c r="BD385" i="12"/>
  <c r="BC112" i="12"/>
  <c r="BD112" i="12"/>
  <c r="BC422" i="12"/>
  <c r="BD422" i="12"/>
  <c r="BC298" i="12"/>
  <c r="BD298" i="12"/>
  <c r="BC262" i="12"/>
  <c r="BD262" i="12"/>
  <c r="BC224" i="12"/>
  <c r="BD224" i="12"/>
  <c r="BC111" i="12"/>
  <c r="BD111" i="12"/>
  <c r="BC359" i="12"/>
  <c r="BD359" i="12"/>
  <c r="BC201" i="12"/>
  <c r="BD201" i="12"/>
  <c r="BC334" i="12"/>
  <c r="BD334" i="12"/>
  <c r="BC419" i="12"/>
  <c r="BD419" i="12"/>
  <c r="BC349" i="12"/>
  <c r="BD349" i="12"/>
  <c r="BC313" i="12"/>
  <c r="BD313" i="12"/>
  <c r="BC284" i="12"/>
  <c r="BD284" i="12"/>
  <c r="BC245" i="12"/>
  <c r="BD245" i="12"/>
  <c r="BC216" i="12"/>
  <c r="BD216" i="12"/>
  <c r="BC180" i="12"/>
  <c r="BD180" i="12"/>
  <c r="BC158" i="12"/>
  <c r="BD158" i="12"/>
  <c r="BC124" i="12"/>
  <c r="BD124" i="12"/>
  <c r="BC100" i="12"/>
  <c r="BD100" i="12"/>
  <c r="BC28" i="12"/>
  <c r="BD28" i="12"/>
  <c r="BC393" i="12"/>
  <c r="BD393" i="12"/>
  <c r="BC196" i="12"/>
  <c r="BD196" i="12"/>
  <c r="BC67" i="12"/>
  <c r="BD67" i="12"/>
  <c r="BC269" i="12"/>
  <c r="BD269" i="12"/>
  <c r="BC226" i="12"/>
  <c r="BD226" i="12"/>
  <c r="BC78" i="12"/>
  <c r="BD78" i="12"/>
  <c r="BC342" i="12"/>
  <c r="BD342" i="12"/>
  <c r="BC171" i="12"/>
  <c r="BD171" i="12"/>
  <c r="BC296" i="12"/>
  <c r="BD296" i="12"/>
  <c r="BC288" i="12"/>
  <c r="BD288" i="12"/>
  <c r="BC153" i="12"/>
  <c r="BD153" i="12"/>
  <c r="BC302" i="12"/>
  <c r="BD302" i="12"/>
  <c r="BC247" i="12"/>
  <c r="BD247" i="12"/>
  <c r="BC155" i="12"/>
  <c r="BD155" i="12"/>
  <c r="BC118" i="12"/>
  <c r="BD118" i="12"/>
  <c r="BC131" i="12"/>
  <c r="BD131" i="12"/>
  <c r="BC168" i="12"/>
  <c r="BD168" i="12"/>
  <c r="BC303" i="12"/>
  <c r="BD303" i="12"/>
  <c r="BC274" i="12"/>
  <c r="BD274" i="12"/>
  <c r="BC258" i="12"/>
  <c r="BD258" i="12"/>
  <c r="BC239" i="12"/>
  <c r="BD239" i="12"/>
  <c r="BC113" i="12"/>
  <c r="BD113" i="12"/>
  <c r="BC86" i="12"/>
  <c r="BD86" i="12"/>
  <c r="BC108" i="12"/>
  <c r="BD108" i="12"/>
  <c r="BC242" i="12"/>
  <c r="BD242" i="12"/>
  <c r="BC295" i="12"/>
  <c r="BD295" i="12"/>
  <c r="BC354" i="12"/>
  <c r="BD354" i="12"/>
  <c r="BC61" i="12"/>
  <c r="BD61" i="12"/>
  <c r="BC220" i="12"/>
  <c r="BD220" i="12"/>
  <c r="BC121" i="12"/>
  <c r="BD121" i="12"/>
  <c r="BC76" i="12"/>
  <c r="BD76" i="12"/>
  <c r="BC75" i="12"/>
  <c r="BD75" i="12"/>
  <c r="BC199" i="12"/>
  <c r="BD199" i="12"/>
  <c r="BC238" i="12"/>
  <c r="BD238" i="12"/>
  <c r="BC278" i="12"/>
  <c r="BD278" i="12"/>
  <c r="BC307" i="12"/>
  <c r="BD307" i="12"/>
  <c r="BC346" i="12"/>
  <c r="BD346" i="12"/>
  <c r="BC391" i="12"/>
  <c r="BD391" i="12"/>
  <c r="BC87" i="12"/>
  <c r="BD87" i="12"/>
  <c r="BC240" i="12"/>
  <c r="BD240" i="12"/>
  <c r="BC418" i="12"/>
  <c r="BD418" i="12"/>
  <c r="BC294" i="12"/>
  <c r="BD294" i="12"/>
  <c r="BC251" i="12"/>
  <c r="BD251" i="12"/>
  <c r="BC205" i="12"/>
  <c r="BD205" i="12"/>
  <c r="BC355" i="12"/>
  <c r="BD355" i="12"/>
  <c r="BC341" i="12"/>
  <c r="BD341" i="12"/>
  <c r="BC182" i="12"/>
  <c r="BD182" i="12"/>
  <c r="BC331" i="12"/>
  <c r="BD331" i="12"/>
  <c r="BC425" i="12"/>
  <c r="BD425" i="12"/>
  <c r="BC417" i="12"/>
  <c r="BD417" i="12"/>
  <c r="BC345" i="12"/>
  <c r="BD345" i="12"/>
  <c r="BC309" i="12"/>
  <c r="BD309" i="12"/>
  <c r="BC272" i="12"/>
  <c r="BD272" i="12"/>
  <c r="BC234" i="12"/>
  <c r="BD234" i="12"/>
  <c r="BC214" i="12"/>
  <c r="BD214" i="12"/>
  <c r="BC178" i="12"/>
  <c r="BD178" i="12"/>
  <c r="BC156" i="12"/>
  <c r="BD156" i="12"/>
  <c r="BC122" i="12"/>
  <c r="BD122" i="12"/>
  <c r="BC72" i="12"/>
  <c r="BD72" i="12"/>
  <c r="BC25" i="12"/>
  <c r="BD25" i="12"/>
  <c r="BC389" i="12"/>
  <c r="BD389" i="12"/>
  <c r="BC310" i="12"/>
  <c r="BD310" i="12"/>
  <c r="BC194" i="12"/>
  <c r="BD194" i="12"/>
  <c r="BC62" i="12"/>
  <c r="BD62" i="12"/>
  <c r="BC267" i="12"/>
  <c r="BD267" i="12"/>
  <c r="BC221" i="12"/>
  <c r="BD221" i="12"/>
  <c r="BC360" i="12"/>
  <c r="BD360" i="12"/>
  <c r="BC388" i="12"/>
  <c r="BD388" i="12"/>
  <c r="BC167" i="12"/>
  <c r="BD167" i="12"/>
  <c r="BC308" i="12"/>
  <c r="BD308" i="12"/>
  <c r="BC281" i="12"/>
  <c r="BD281" i="12"/>
  <c r="BC192" i="12"/>
  <c r="BD192" i="12"/>
  <c r="BC47" i="12"/>
  <c r="BD47" i="12"/>
  <c r="BC241" i="12"/>
  <c r="BD241" i="12"/>
  <c r="BC306" i="12"/>
  <c r="BD306" i="12"/>
  <c r="BC126" i="12"/>
  <c r="BD126" i="12"/>
  <c r="BC271" i="12"/>
  <c r="BD271" i="12"/>
  <c r="BC300" i="12"/>
  <c r="BD300" i="12"/>
  <c r="BC186" i="12"/>
  <c r="BD186" i="12"/>
  <c r="BC243" i="12"/>
  <c r="BD243" i="12"/>
  <c r="BC268" i="12"/>
  <c r="BD268" i="12"/>
  <c r="BC123" i="12"/>
  <c r="BD123" i="12"/>
  <c r="BC54" i="12"/>
  <c r="BD54" i="12"/>
  <c r="BC280" i="12"/>
  <c r="BD280" i="12"/>
  <c r="BC211" i="12"/>
  <c r="BD211" i="12"/>
  <c r="BC352" i="12"/>
  <c r="BD352" i="12"/>
  <c r="BC109" i="12"/>
  <c r="BD109" i="12"/>
  <c r="BC73" i="12"/>
  <c r="BD73" i="12"/>
  <c r="BC165" i="12"/>
  <c r="BD165" i="12"/>
  <c r="BC253" i="12"/>
  <c r="BD253" i="12"/>
  <c r="BC311" i="12"/>
  <c r="BD311" i="12"/>
  <c r="BC427" i="12"/>
  <c r="BD427" i="12"/>
  <c r="BC358" i="12"/>
  <c r="BD358" i="12"/>
  <c r="BC206" i="12"/>
  <c r="BD206" i="12"/>
  <c r="BC81" i="12"/>
  <c r="BD81" i="12"/>
  <c r="BC69" i="12"/>
  <c r="BD69" i="12"/>
  <c r="BC103" i="12"/>
  <c r="BD103" i="12"/>
  <c r="BC203" i="12"/>
  <c r="BD203" i="12"/>
  <c r="BC246" i="12"/>
  <c r="BD246" i="12"/>
  <c r="BC287" i="12"/>
  <c r="BD287" i="12"/>
  <c r="BC316" i="12"/>
  <c r="BC350" i="12"/>
  <c r="BD350" i="12"/>
  <c r="BC426" i="12"/>
  <c r="BD426" i="12"/>
  <c r="BC416" i="12"/>
  <c r="BD416" i="12"/>
  <c r="BC279" i="12"/>
  <c r="BD279" i="12"/>
  <c r="BC235" i="12"/>
  <c r="BD235" i="12"/>
  <c r="BC157" i="12"/>
  <c r="BD157" i="12"/>
  <c r="BC390" i="12"/>
  <c r="BD390" i="12"/>
  <c r="BC351" i="12"/>
  <c r="BD351" i="12"/>
  <c r="BC337" i="12"/>
  <c r="BD337" i="12"/>
  <c r="BC82" i="12"/>
  <c r="BD82" i="12"/>
  <c r="BC327" i="12"/>
  <c r="BD327" i="12"/>
  <c r="BC423" i="12"/>
  <c r="BD423" i="12"/>
  <c r="BC398" i="12"/>
  <c r="BD398" i="12"/>
  <c r="BC361" i="12"/>
  <c r="BD361" i="12"/>
  <c r="BC343" i="12"/>
  <c r="BD343" i="12"/>
  <c r="BC305" i="12"/>
  <c r="BD305" i="12"/>
  <c r="BC259" i="12"/>
  <c r="BD259" i="12"/>
  <c r="BC229" i="12"/>
  <c r="BD229" i="12"/>
  <c r="BC212" i="12"/>
  <c r="BD212" i="12"/>
  <c r="BC170" i="12"/>
  <c r="BD170" i="12"/>
  <c r="BC144" i="12"/>
  <c r="BD144" i="12"/>
  <c r="BC106" i="12"/>
  <c r="BD106" i="12"/>
  <c r="BC68" i="12"/>
  <c r="BD68" i="12"/>
  <c r="BC83" i="12"/>
  <c r="BD83" i="12"/>
  <c r="BC335" i="12"/>
  <c r="BD335" i="12"/>
  <c r="BC200" i="12"/>
  <c r="BD200" i="12"/>
  <c r="BC183" i="12"/>
  <c r="BD183" i="12"/>
  <c r="BC14" i="12"/>
  <c r="BD14" i="12"/>
  <c r="BC217" i="12"/>
  <c r="BD217" i="12"/>
  <c r="BC348" i="12"/>
  <c r="BD348" i="12"/>
  <c r="BC420" i="12"/>
  <c r="BD420" i="12"/>
  <c r="BC163" i="12"/>
  <c r="BD163" i="12"/>
  <c r="BC304" i="12"/>
  <c r="BD304" i="12"/>
  <c r="BC330" i="12"/>
  <c r="Q428" i="12"/>
  <c r="S428" i="12"/>
  <c r="AG121" i="15" l="1"/>
  <c r="AJ121" i="15"/>
  <c r="AH121" i="15"/>
  <c r="AJ206" i="15"/>
  <c r="AK206" i="15" s="1"/>
  <c r="AH206" i="15"/>
  <c r="AI206" i="15" s="1"/>
  <c r="AA211" i="15"/>
  <c r="AD211" i="15"/>
  <c r="AE211" i="15" s="1"/>
  <c r="AB211" i="15"/>
  <c r="AC211" i="15" s="1"/>
  <c r="AG224" i="15"/>
  <c r="AJ224" i="15"/>
  <c r="AK224" i="15" s="1"/>
  <c r="AH224" i="15"/>
  <c r="AI224" i="15" s="1"/>
  <c r="AG223" i="15"/>
  <c r="AJ223" i="15"/>
  <c r="AH223" i="15"/>
  <c r="AI223" i="15" s="1"/>
  <c r="AA226" i="15"/>
  <c r="AD226" i="15"/>
  <c r="AE226" i="15" s="1"/>
  <c r="AB226" i="15"/>
  <c r="AC226" i="15" s="1"/>
  <c r="AG226" i="15"/>
  <c r="AJ226" i="15"/>
  <c r="AK226" i="15" s="1"/>
  <c r="AH226" i="15"/>
  <c r="AI226" i="15" s="1"/>
  <c r="AG178" i="15"/>
  <c r="AH178" i="15"/>
  <c r="AI178" i="15" s="1"/>
  <c r="AJ178" i="15"/>
  <c r="AK178" i="15" s="1"/>
  <c r="AG131" i="15"/>
  <c r="AJ131" i="15"/>
  <c r="AK131" i="15" s="1"/>
  <c r="AH131" i="15"/>
  <c r="AI131" i="15" s="1"/>
  <c r="AG228" i="15"/>
  <c r="AJ228" i="15"/>
  <c r="AK228" i="15" s="1"/>
  <c r="AH228" i="15"/>
  <c r="AI228" i="15" s="1"/>
  <c r="AG211" i="15"/>
  <c r="AJ211" i="15"/>
  <c r="AK211" i="15" s="1"/>
  <c r="AH211" i="15"/>
  <c r="AI211" i="15" s="1"/>
  <c r="AG204" i="15"/>
  <c r="AH204" i="15"/>
  <c r="AI204" i="15" s="1"/>
  <c r="AJ204" i="15"/>
  <c r="AG213" i="15"/>
  <c r="AJ213" i="15"/>
  <c r="AK213" i="15" s="1"/>
  <c r="AH213" i="15"/>
  <c r="AI213" i="15" s="1"/>
  <c r="AG214" i="15"/>
  <c r="AJ214" i="15"/>
  <c r="AK214" i="15" s="1"/>
  <c r="AH214" i="15"/>
  <c r="AI214" i="15" s="1"/>
  <c r="AG209" i="15"/>
  <c r="AJ209" i="15"/>
  <c r="AK209" i="15" s="1"/>
  <c r="AH209" i="15"/>
  <c r="AI209" i="15" s="1"/>
  <c r="AA212" i="15"/>
  <c r="AD212" i="15"/>
  <c r="AE212" i="15" s="1"/>
  <c r="AB212" i="15"/>
  <c r="AC212" i="15" s="1"/>
  <c r="AG216" i="15"/>
  <c r="AJ216" i="15"/>
  <c r="AK216" i="15" s="1"/>
  <c r="AH216" i="15"/>
  <c r="AI216" i="15" s="1"/>
  <c r="AG208" i="15"/>
  <c r="AJ208" i="15"/>
  <c r="AK208" i="15" s="1"/>
  <c r="AH208" i="15"/>
  <c r="AI208" i="15" s="1"/>
  <c r="AG136" i="15"/>
  <c r="AH136" i="15"/>
  <c r="AI136" i="15" s="1"/>
  <c r="AJ136" i="15"/>
  <c r="AK136" i="15" s="1"/>
  <c r="AB105" i="15"/>
  <c r="AC105" i="15" s="1"/>
  <c r="AD105" i="15"/>
  <c r="AE105" i="15" s="1"/>
  <c r="AG212" i="15"/>
  <c r="AH212" i="15"/>
  <c r="AI212" i="15" s="1"/>
  <c r="AJ212" i="15"/>
  <c r="AK212" i="15" s="1"/>
  <c r="AJ210" i="15"/>
  <c r="AK210" i="15" s="1"/>
  <c r="AH210" i="15"/>
  <c r="AI210" i="15" s="1"/>
  <c r="AD91" i="15"/>
  <c r="AE91" i="15" s="1"/>
  <c r="AB91" i="15"/>
  <c r="AC91" i="15" s="1"/>
  <c r="AG227" i="15"/>
  <c r="AJ227" i="15"/>
  <c r="AK227" i="15" s="1"/>
  <c r="AH227" i="15"/>
  <c r="AI227" i="15" s="1"/>
  <c r="AG113" i="15"/>
  <c r="AJ113" i="15"/>
  <c r="AK113" i="15" s="1"/>
  <c r="AH113" i="15"/>
  <c r="AI113" i="15" s="1"/>
  <c r="AG179" i="15"/>
  <c r="AJ179" i="15"/>
  <c r="AK179" i="15" s="1"/>
  <c r="AH179" i="15"/>
  <c r="AI179" i="15" s="1"/>
  <c r="AG126" i="15"/>
  <c r="AJ126" i="15"/>
  <c r="AK126" i="15" s="1"/>
  <c r="AH126" i="15"/>
  <c r="AI126" i="15" s="1"/>
  <c r="AG215" i="15"/>
  <c r="AJ215" i="15"/>
  <c r="AK215" i="15" s="1"/>
  <c r="AH215" i="15"/>
  <c r="AI215" i="15" s="1"/>
  <c r="AG171" i="15"/>
  <c r="AJ171" i="15"/>
  <c r="AK171" i="15" s="1"/>
  <c r="AH171" i="15"/>
  <c r="AI171" i="15" s="1"/>
  <c r="AG217" i="15"/>
  <c r="AJ217" i="15"/>
  <c r="AK217" i="15" s="1"/>
  <c r="AH217" i="15"/>
  <c r="AI217" i="15" s="1"/>
  <c r="AG111" i="15"/>
  <c r="AJ111" i="15"/>
  <c r="AH111" i="15"/>
  <c r="AG205" i="15"/>
  <c r="AJ205" i="15"/>
  <c r="AK205" i="15" s="1"/>
  <c r="AH205" i="15"/>
  <c r="AI205" i="15" s="1"/>
  <c r="AG225" i="15"/>
  <c r="AH225" i="15"/>
  <c r="AI225" i="15" s="1"/>
  <c r="AJ225" i="15"/>
  <c r="AK225" i="15" s="1"/>
  <c r="AG185" i="15"/>
  <c r="AJ185" i="15"/>
  <c r="AK185" i="15" s="1"/>
  <c r="AH185" i="15"/>
  <c r="AI185" i="15" s="1"/>
  <c r="AJ207" i="15"/>
  <c r="AK207" i="15" s="1"/>
  <c r="AH207" i="15"/>
  <c r="AI207" i="15" s="1"/>
  <c r="AG170" i="15"/>
  <c r="AH170" i="15"/>
  <c r="AJ170" i="15"/>
  <c r="AG186" i="15"/>
  <c r="AH186" i="15"/>
  <c r="AI186" i="15" s="1"/>
  <c r="AJ186" i="15"/>
  <c r="AK186" i="15" s="1"/>
  <c r="G103" i="15"/>
  <c r="H103" i="15" s="1"/>
  <c r="AG103" i="15"/>
  <c r="G192" i="15"/>
  <c r="H192" i="15" s="1"/>
  <c r="AA192" i="15"/>
  <c r="G193" i="15"/>
  <c r="H193" i="15" s="1"/>
  <c r="AA193" i="15"/>
  <c r="G105" i="15"/>
  <c r="H105" i="15" s="1"/>
  <c r="AA105" i="15"/>
  <c r="G210" i="15"/>
  <c r="H210" i="15" s="1"/>
  <c r="AG210" i="15"/>
  <c r="G91" i="15"/>
  <c r="H91" i="15" s="1"/>
  <c r="AA91" i="15"/>
  <c r="G90" i="15"/>
  <c r="H90" i="15" s="1"/>
  <c r="AG90" i="15"/>
  <c r="G206" i="15"/>
  <c r="H206" i="15" s="1"/>
  <c r="AG206" i="15"/>
  <c r="G96" i="15"/>
  <c r="H96" i="15" s="1"/>
  <c r="AG96" i="15"/>
  <c r="G109" i="15"/>
  <c r="H109" i="15" s="1"/>
  <c r="AG109" i="15"/>
  <c r="G207" i="15"/>
  <c r="H207" i="15" s="1"/>
  <c r="AG207" i="15"/>
  <c r="G138" i="15"/>
  <c r="H138" i="15" s="1"/>
  <c r="I138" i="15"/>
  <c r="J138" i="15" s="1"/>
  <c r="G139" i="15"/>
  <c r="H139" i="15" s="1"/>
  <c r="I139" i="15"/>
  <c r="J139" i="15" s="1"/>
  <c r="G153" i="15"/>
  <c r="H153" i="15" s="1"/>
  <c r="I153" i="15"/>
  <c r="J153" i="15" s="1"/>
  <c r="K195" i="20"/>
  <c r="K211" i="20"/>
  <c r="I211" i="20"/>
  <c r="J211" i="20" s="1"/>
  <c r="G211" i="20"/>
  <c r="H211" i="20" s="1"/>
  <c r="K194" i="20"/>
  <c r="G105" i="20"/>
  <c r="H105" i="20" s="1"/>
  <c r="I105" i="20"/>
  <c r="J105" i="20" s="1"/>
  <c r="K226" i="20"/>
  <c r="I226" i="20"/>
  <c r="J226" i="20" s="1"/>
  <c r="G226" i="20"/>
  <c r="H226" i="20" s="1"/>
  <c r="G193" i="20"/>
  <c r="H193" i="20" s="1"/>
  <c r="I193" i="20"/>
  <c r="J193" i="20" s="1"/>
  <c r="G93" i="20"/>
  <c r="H93" i="20" s="1"/>
  <c r="I93" i="20"/>
  <c r="J93" i="20" s="1"/>
  <c r="I91" i="20"/>
  <c r="J91" i="20" s="1"/>
  <c r="G91" i="20"/>
  <c r="H91" i="20" s="1"/>
  <c r="I192" i="20"/>
  <c r="J192" i="20" s="1"/>
  <c r="G192" i="20"/>
  <c r="H192" i="20" s="1"/>
  <c r="I212" i="20"/>
  <c r="J212" i="20" s="1"/>
  <c r="G212" i="20"/>
  <c r="H212" i="20" s="1"/>
  <c r="K212" i="20"/>
  <c r="K100" i="20"/>
  <c r="I100" i="20"/>
  <c r="J100" i="20" s="1"/>
  <c r="G100" i="20"/>
  <c r="H100" i="20" s="1"/>
  <c r="E174" i="15" a="1"/>
  <c r="E174" i="15" s="1"/>
  <c r="E137" i="15" a="1"/>
  <c r="E137" i="15" s="1"/>
  <c r="K211" i="15"/>
  <c r="G211" i="15"/>
  <c r="H211" i="15" s="1"/>
  <c r="K226" i="15"/>
  <c r="G226" i="15"/>
  <c r="H226" i="15" s="1"/>
  <c r="K194" i="15"/>
  <c r="K195" i="15"/>
  <c r="K212" i="15"/>
  <c r="G212" i="15"/>
  <c r="H212" i="15" s="1"/>
  <c r="K100" i="15"/>
  <c r="G100" i="15"/>
  <c r="H100" i="15" s="1"/>
  <c r="I226" i="15"/>
  <c r="J226" i="15" s="1"/>
  <c r="I212" i="15"/>
  <c r="J212" i="15" s="1"/>
  <c r="I211" i="15"/>
  <c r="J211" i="15" s="1"/>
  <c r="I210" i="15"/>
  <c r="J210" i="15" s="1"/>
  <c r="I207" i="15"/>
  <c r="J207" i="15" s="1"/>
  <c r="I206" i="15"/>
  <c r="J206" i="15" s="1"/>
  <c r="I192" i="15"/>
  <c r="J192" i="15" s="1"/>
  <c r="I193" i="15"/>
  <c r="J193" i="15" s="1"/>
  <c r="BG5" i="12"/>
  <c r="BC79" i="12"/>
  <c r="BC81" i="10"/>
  <c r="BD81" i="10"/>
  <c r="BD79" i="12"/>
  <c r="BF377" i="12"/>
  <c r="BG377" i="12" s="1"/>
  <c r="E150" i="15" s="1" a="1"/>
  <c r="E150" i="15" s="1"/>
  <c r="BC56" i="12"/>
  <c r="BD56" i="12"/>
  <c r="BC39" i="12"/>
  <c r="BD39" i="12"/>
  <c r="BD394" i="12"/>
  <c r="BC394" i="12"/>
  <c r="BC252" i="12"/>
  <c r="BD252" i="12"/>
  <c r="BC406" i="12"/>
  <c r="BD406" i="12"/>
  <c r="BC227" i="12"/>
  <c r="BD227" i="12"/>
  <c r="BC324" i="12"/>
  <c r="BD324" i="12"/>
  <c r="BC367" i="12"/>
  <c r="BD367" i="12"/>
  <c r="BC397" i="12"/>
  <c r="BD397" i="12"/>
  <c r="BC380" i="12"/>
  <c r="BD380" i="12"/>
  <c r="BC401" i="12"/>
  <c r="BD401" i="12"/>
  <c r="BC405" i="12"/>
  <c r="BD405" i="12"/>
  <c r="BC402" i="12"/>
  <c r="BD402" i="12"/>
  <c r="BC376" i="12"/>
  <c r="BD376" i="12"/>
  <c r="BC322" i="12"/>
  <c r="BD322" i="12"/>
  <c r="BC33" i="12"/>
  <c r="BD33" i="12"/>
  <c r="BC34" i="12"/>
  <c r="BD34" i="12"/>
  <c r="BC321" i="12"/>
  <c r="BD321" i="12"/>
  <c r="BC23" i="12"/>
  <c r="BD23" i="12"/>
  <c r="BC36" i="12"/>
  <c r="BD36" i="12"/>
  <c r="BC133" i="12"/>
  <c r="BD133" i="12"/>
  <c r="BC409" i="12"/>
  <c r="BD409" i="12"/>
  <c r="BC408" i="12"/>
  <c r="BD408" i="12"/>
  <c r="BC378" i="12"/>
  <c r="BD378" i="12"/>
  <c r="BC375" i="12"/>
  <c r="BD375" i="12"/>
  <c r="BC399" i="12"/>
  <c r="BD399" i="12"/>
  <c r="BC366" i="12"/>
  <c r="BD366" i="12"/>
  <c r="BC369" i="12"/>
  <c r="BD369" i="12"/>
  <c r="BC320" i="12"/>
  <c r="BD320" i="12"/>
  <c r="BC357" i="12"/>
  <c r="BD357" i="12"/>
  <c r="BC395" i="12"/>
  <c r="BD395" i="12"/>
  <c r="BC365" i="12"/>
  <c r="BD365" i="12"/>
  <c r="BC329" i="12"/>
  <c r="BD329" i="12"/>
  <c r="BC368" i="12"/>
  <c r="BD368" i="12"/>
  <c r="BC414" i="12"/>
  <c r="BD414" i="12"/>
  <c r="BC411" i="12"/>
  <c r="BD411" i="12"/>
  <c r="BC374" i="12"/>
  <c r="BD374" i="12"/>
  <c r="BC382" i="12"/>
  <c r="BD382" i="12"/>
  <c r="BC22" i="12"/>
  <c r="BD22" i="12"/>
  <c r="BC356" i="12"/>
  <c r="BD356" i="12"/>
  <c r="BC370" i="12"/>
  <c r="BD370" i="12"/>
  <c r="BC16" i="12"/>
  <c r="BD16" i="12"/>
  <c r="BC84" i="12"/>
  <c r="BD84" i="12"/>
  <c r="BC379" i="12"/>
  <c r="BD379" i="12"/>
  <c r="BC383" i="12"/>
  <c r="BD383" i="12"/>
  <c r="BC373" i="12"/>
  <c r="BD373" i="12"/>
  <c r="BC381" i="12"/>
  <c r="BD381" i="12"/>
  <c r="BC400" i="12"/>
  <c r="BD400" i="12"/>
  <c r="BC371" i="12"/>
  <c r="BD371" i="12"/>
  <c r="BC10" i="12"/>
  <c r="BD10" i="12"/>
  <c r="BC363" i="12"/>
  <c r="BD363" i="12"/>
  <c r="BC319" i="12"/>
  <c r="BD319" i="12"/>
  <c r="BC372" i="12"/>
  <c r="BD372" i="12"/>
  <c r="BC5" i="12"/>
  <c r="E157" i="15" l="1" a="1"/>
  <c r="E157" i="15" s="1"/>
  <c r="AD157" i="15" s="1"/>
  <c r="AE157" i="15" s="1"/>
  <c r="E93" i="15" a="1"/>
  <c r="E93" i="15" s="1"/>
  <c r="AI229" i="15"/>
  <c r="AX20" i="15" s="1"/>
  <c r="AK223" i="15"/>
  <c r="AK229" i="15" s="1"/>
  <c r="AY20" i="15" s="1"/>
  <c r="AJ229" i="15"/>
  <c r="AV20" i="15" s="1"/>
  <c r="AH115" i="15"/>
  <c r="AU14" i="15" s="1"/>
  <c r="AI111" i="15"/>
  <c r="AI115" i="15" s="1"/>
  <c r="AX14" i="15" s="1"/>
  <c r="AK111" i="15"/>
  <c r="AK115" i="15" s="1"/>
  <c r="AY14" i="15" s="1"/>
  <c r="AJ115" i="15"/>
  <c r="AV14" i="15" s="1"/>
  <c r="AK170" i="15"/>
  <c r="AK187" i="15" s="1"/>
  <c r="AY17" i="15" s="1"/>
  <c r="AJ187" i="15"/>
  <c r="AV17" i="15" s="1"/>
  <c r="AI170" i="15"/>
  <c r="AI187" i="15" s="1"/>
  <c r="AX17" i="15" s="1"/>
  <c r="AH187" i="15"/>
  <c r="AU17" i="15" s="1"/>
  <c r="AK204" i="15"/>
  <c r="AK218" i="15" s="1"/>
  <c r="AY19" i="15" s="1"/>
  <c r="AJ218" i="15"/>
  <c r="AV19" i="15" s="1"/>
  <c r="AI121" i="15"/>
  <c r="AI140" i="15" s="1"/>
  <c r="AX15" i="15" s="1"/>
  <c r="AH140" i="15"/>
  <c r="AU15" i="15" s="1"/>
  <c r="AI218" i="15"/>
  <c r="AX19" i="15" s="1"/>
  <c r="AK121" i="15"/>
  <c r="AK140" i="15" s="1"/>
  <c r="AY15" i="15" s="1"/>
  <c r="AJ140" i="15"/>
  <c r="AV15" i="15" s="1"/>
  <c r="AH229" i="15"/>
  <c r="AU20" i="15" s="1"/>
  <c r="AH218" i="15"/>
  <c r="AU19" i="15" s="1"/>
  <c r="AA150" i="15"/>
  <c r="AD150" i="15"/>
  <c r="AE150" i="15" s="1"/>
  <c r="AB150" i="15"/>
  <c r="AC150" i="15" s="1"/>
  <c r="AA137" i="15"/>
  <c r="AD137" i="15"/>
  <c r="AE137" i="15" s="1"/>
  <c r="AB137" i="15"/>
  <c r="AC137" i="15" s="1"/>
  <c r="AA174" i="15"/>
  <c r="AD174" i="15"/>
  <c r="AE174" i="15" s="1"/>
  <c r="AB174" i="15"/>
  <c r="AC174" i="15" s="1"/>
  <c r="E147" i="15" a="1"/>
  <c r="E147" i="15" s="1"/>
  <c r="G147" i="15" s="1"/>
  <c r="H147" i="15" s="1"/>
  <c r="E154" i="15" a="1"/>
  <c r="E154" i="15" s="1"/>
  <c r="G154" i="15" s="1"/>
  <c r="H154" i="15" s="1"/>
  <c r="F182" i="6" a="1"/>
  <c r="F182" i="6" s="1"/>
  <c r="K182" i="6" s="1" a="1"/>
  <c r="K182" i="6" s="1"/>
  <c r="F202" i="6" a="1"/>
  <c r="F202" i="6" s="1"/>
  <c r="G38" i="13" s="1"/>
  <c r="E186" i="15" a="1"/>
  <c r="E186" i="15" s="1"/>
  <c r="G186" i="15" s="1"/>
  <c r="H186" i="15" s="1"/>
  <c r="E133" i="20" a="1"/>
  <c r="E133" i="20" s="1"/>
  <c r="E176" i="20" a="1"/>
  <c r="E176" i="20" s="1"/>
  <c r="E215" i="20" a="1"/>
  <c r="E215" i="20" s="1"/>
  <c r="E174" i="20" a="1"/>
  <c r="E174" i="20" s="1"/>
  <c r="E98" i="20" a="1"/>
  <c r="E98" i="20" s="1"/>
  <c r="E146" i="20" a="1"/>
  <c r="E146" i="20" s="1"/>
  <c r="E106" i="20" a="1"/>
  <c r="E106" i="20" s="1"/>
  <c r="E217" i="20" a="1"/>
  <c r="E217" i="20" s="1"/>
  <c r="E171" i="20" a="1"/>
  <c r="E171" i="20" s="1"/>
  <c r="E175" i="20" a="1"/>
  <c r="E175" i="20" s="1"/>
  <c r="E134" i="20" a="1"/>
  <c r="E134" i="20" s="1"/>
  <c r="E159" i="20" a="1"/>
  <c r="E159" i="20" s="1"/>
  <c r="E168" i="20" a="1"/>
  <c r="E168" i="20" s="1"/>
  <c r="E197" i="20" a="1"/>
  <c r="E197" i="20" s="1"/>
  <c r="E161" i="20" a="1"/>
  <c r="E161" i="20" s="1"/>
  <c r="E136" i="20" a="1"/>
  <c r="E136" i="20" s="1"/>
  <c r="E170" i="20" a="1"/>
  <c r="E170" i="20" s="1"/>
  <c r="E89" i="20" a="1"/>
  <c r="E89" i="20" s="1"/>
  <c r="E177" i="20" a="1"/>
  <c r="E177" i="20" s="1"/>
  <c r="E87" i="20" a="1"/>
  <c r="E87" i="20" s="1"/>
  <c r="E92" i="20" a="1"/>
  <c r="E92" i="20" s="1"/>
  <c r="E128" i="20" a="1"/>
  <c r="E128" i="20" s="1"/>
  <c r="E148" i="20" a="1"/>
  <c r="E148" i="20" s="1"/>
  <c r="E198" i="20" a="1"/>
  <c r="E198" i="20" s="1"/>
  <c r="E135" i="20" a="1"/>
  <c r="E135" i="20" s="1"/>
  <c r="E157" i="20" a="1"/>
  <c r="E157" i="20" s="1"/>
  <c r="E182" i="20" a="1"/>
  <c r="E182" i="20" s="1"/>
  <c r="E110" i="20" a="1"/>
  <c r="E110" i="20" s="1"/>
  <c r="E97" i="20" a="1"/>
  <c r="E97" i="20" s="1"/>
  <c r="E227" i="20" a="1"/>
  <c r="E227" i="20" s="1"/>
  <c r="E126" i="20" a="1"/>
  <c r="E126" i="20" s="1"/>
  <c r="E178" i="20" a="1"/>
  <c r="E178" i="20" s="1"/>
  <c r="E204" i="20" a="1"/>
  <c r="E204" i="20" s="1"/>
  <c r="E223" i="20" a="1"/>
  <c r="E223" i="20" s="1"/>
  <c r="E213" i="20" a="1"/>
  <c r="E213" i="20" s="1"/>
  <c r="E160" i="20" a="1"/>
  <c r="E160" i="20" s="1"/>
  <c r="E147" i="20" a="1"/>
  <c r="E147" i="20" s="1"/>
  <c r="E84" i="20" a="1"/>
  <c r="E84" i="20" s="1"/>
  <c r="E113" i="20" a="1"/>
  <c r="E113" i="20" s="1"/>
  <c r="E179" i="20" a="1"/>
  <c r="E179" i="20" s="1"/>
  <c r="E186" i="20" a="1"/>
  <c r="E186" i="20" s="1"/>
  <c r="E95" i="20" a="1"/>
  <c r="E95" i="20" s="1"/>
  <c r="E224" i="20" a="1"/>
  <c r="E224" i="20" s="1"/>
  <c r="E205" i="20" a="1"/>
  <c r="E205" i="20" s="1"/>
  <c r="E131" i="20" a="1"/>
  <c r="E131" i="20" s="1"/>
  <c r="E181" i="20" a="1"/>
  <c r="E181" i="20" s="1"/>
  <c r="E86" i="20" a="1"/>
  <c r="E86" i="20" s="1"/>
  <c r="E209" i="20" a="1"/>
  <c r="E209" i="20" s="1"/>
  <c r="E173" i="20" a="1"/>
  <c r="E173" i="20" s="1"/>
  <c r="E172" i="20" a="1"/>
  <c r="E172" i="20" s="1"/>
  <c r="E122" i="20" a="1"/>
  <c r="E122" i="20" s="1"/>
  <c r="E101" i="20" a="1"/>
  <c r="E101" i="20" s="1"/>
  <c r="E88" i="20" a="1"/>
  <c r="E88" i="20" s="1"/>
  <c r="E149" i="20" a="1"/>
  <c r="E149" i="20" s="1"/>
  <c r="E125" i="20" a="1"/>
  <c r="E125" i="20" s="1"/>
  <c r="E94" i="20" a="1"/>
  <c r="E94" i="20" s="1"/>
  <c r="E152" i="20" a="1"/>
  <c r="E152" i="20" s="1"/>
  <c r="E208" i="20" a="1"/>
  <c r="E208" i="20" s="1"/>
  <c r="E112" i="20" a="1"/>
  <c r="E112" i="20" s="1"/>
  <c r="E180" i="20" a="1"/>
  <c r="E180" i="20" s="1"/>
  <c r="E120" i="20" a="1"/>
  <c r="E120" i="20" s="1"/>
  <c r="E102" i="20" a="1"/>
  <c r="E102" i="20" s="1"/>
  <c r="E225" i="20" a="1"/>
  <c r="E225" i="20" s="1"/>
  <c r="E132" i="20" a="1"/>
  <c r="E132" i="20" s="1"/>
  <c r="E156" i="20" a="1"/>
  <c r="E156" i="20" s="1"/>
  <c r="E155" i="20" a="1"/>
  <c r="E155" i="20" s="1"/>
  <c r="E114" i="20" a="1"/>
  <c r="E114" i="20" s="1"/>
  <c r="E129" i="20" a="1"/>
  <c r="E129" i="20" s="1"/>
  <c r="E167" i="20" a="1"/>
  <c r="E167" i="20" s="1"/>
  <c r="E111" i="20" a="1"/>
  <c r="E111" i="20" s="1"/>
  <c r="E104" i="20" a="1"/>
  <c r="E104" i="20" s="1"/>
  <c r="E108" i="20" a="1"/>
  <c r="E108" i="20" s="1"/>
  <c r="E121" i="20" a="1"/>
  <c r="E121" i="20" s="1"/>
  <c r="E107" i="20" a="1"/>
  <c r="E107" i="20" s="1"/>
  <c r="E85" i="20" a="1"/>
  <c r="E85" i="20" s="1"/>
  <c r="E169" i="20" a="1"/>
  <c r="E169" i="20" s="1"/>
  <c r="E216" i="20" a="1"/>
  <c r="E216" i="20" s="1"/>
  <c r="E124" i="20" a="1"/>
  <c r="E124" i="20" s="1"/>
  <c r="E130" i="20" a="1"/>
  <c r="E130" i="20" s="1"/>
  <c r="E137" i="20" a="1"/>
  <c r="E137" i="20" s="1"/>
  <c r="E127" i="20" a="1"/>
  <c r="E127" i="20" s="1"/>
  <c r="E150" i="20" a="1"/>
  <c r="E150" i="20" s="1"/>
  <c r="E158" i="20" a="1"/>
  <c r="E158" i="20" s="1"/>
  <c r="E154" i="20" a="1"/>
  <c r="E154" i="20" s="1"/>
  <c r="E228" i="20" a="1"/>
  <c r="E228" i="20" s="1"/>
  <c r="E123" i="20" a="1"/>
  <c r="E123" i="20" s="1"/>
  <c r="E196" i="20" a="1"/>
  <c r="E196" i="20" s="1"/>
  <c r="E99" i="20" a="1"/>
  <c r="E99" i="20" s="1"/>
  <c r="E214" i="20" a="1"/>
  <c r="E214" i="20" s="1"/>
  <c r="E151" i="20" a="1"/>
  <c r="E151" i="20" s="1"/>
  <c r="E185" i="20" a="1"/>
  <c r="E185" i="20" s="1"/>
  <c r="E145" i="20" a="1"/>
  <c r="E145" i="20" s="1"/>
  <c r="E171" i="15" a="1"/>
  <c r="E171" i="15" s="1"/>
  <c r="E151" i="15" a="1"/>
  <c r="E151" i="15" s="1"/>
  <c r="E179" i="15" a="1"/>
  <c r="E179" i="15" s="1"/>
  <c r="E172" i="15" a="1"/>
  <c r="E172" i="15" s="1"/>
  <c r="E175" i="15" a="1"/>
  <c r="E175" i="15" s="1"/>
  <c r="E178" i="15" a="1"/>
  <c r="E178" i="15" s="1"/>
  <c r="E159" i="15" a="1"/>
  <c r="E159" i="15" s="1"/>
  <c r="E146" i="15" a="1"/>
  <c r="E146" i="15" s="1"/>
  <c r="E149" i="15" a="1"/>
  <c r="E149" i="15" s="1"/>
  <c r="E160" i="15" a="1"/>
  <c r="E160" i="15" s="1"/>
  <c r="E155" i="15" a="1"/>
  <c r="E155" i="15" s="1"/>
  <c r="E177" i="15" a="1"/>
  <c r="E177" i="15" s="1"/>
  <c r="E156" i="15" a="1"/>
  <c r="E156" i="15" s="1"/>
  <c r="E158" i="15" a="1"/>
  <c r="E158" i="15" s="1"/>
  <c r="E148" i="15" a="1"/>
  <c r="E148" i="15" s="1"/>
  <c r="E169" i="15" a="1"/>
  <c r="E169" i="15" s="1"/>
  <c r="E167" i="15" a="1"/>
  <c r="E167" i="15" s="1"/>
  <c r="E182" i="15" a="1"/>
  <c r="E182" i="15" s="1"/>
  <c r="E176" i="15" a="1"/>
  <c r="E176" i="15" s="1"/>
  <c r="E181" i="15" a="1"/>
  <c r="E181" i="15" s="1"/>
  <c r="E173" i="15" a="1"/>
  <c r="E173" i="15" s="1"/>
  <c r="E170" i="15" a="1"/>
  <c r="E170" i="15" s="1"/>
  <c r="E185" i="15" a="1"/>
  <c r="E185" i="15" s="1"/>
  <c r="E145" i="15" a="1"/>
  <c r="E145" i="15" s="1"/>
  <c r="E168" i="15" a="1"/>
  <c r="E168" i="15" s="1"/>
  <c r="E180" i="15" a="1"/>
  <c r="E180" i="15" s="1"/>
  <c r="G152" i="15"/>
  <c r="H152" i="15" s="1"/>
  <c r="I152" i="15"/>
  <c r="J152" i="15" s="1"/>
  <c r="I157" i="15"/>
  <c r="J157" i="15" s="1"/>
  <c r="G157" i="15"/>
  <c r="H157" i="15" s="1"/>
  <c r="G174" i="15"/>
  <c r="H174" i="15" s="1"/>
  <c r="I174" i="15"/>
  <c r="J174" i="15" s="1"/>
  <c r="I137" i="15"/>
  <c r="J137" i="15" s="1"/>
  <c r="G137" i="15"/>
  <c r="H137" i="15" s="1"/>
  <c r="G150" i="15"/>
  <c r="H150" i="15" s="1"/>
  <c r="I150" i="15"/>
  <c r="J150" i="15" s="1"/>
  <c r="I161" i="15"/>
  <c r="J161" i="15" s="1"/>
  <c r="G161" i="15"/>
  <c r="H161" i="15" s="1"/>
  <c r="E126" i="15" a="1"/>
  <c r="E126" i="15" s="1"/>
  <c r="E128" i="15" a="1"/>
  <c r="E128" i="15" s="1"/>
  <c r="E129" i="15" a="1"/>
  <c r="E129" i="15" s="1"/>
  <c r="E130" i="15" a="1"/>
  <c r="E130" i="15" s="1"/>
  <c r="E124" i="15" a="1"/>
  <c r="E124" i="15" s="1"/>
  <c r="E136" i="15" a="1"/>
  <c r="E136" i="15" s="1"/>
  <c r="E123" i="15" a="1"/>
  <c r="E123" i="15" s="1"/>
  <c r="E122" i="15" a="1"/>
  <c r="E122" i="15" s="1"/>
  <c r="E135" i="15" a="1"/>
  <c r="E135" i="15" s="1"/>
  <c r="E121" i="15" a="1"/>
  <c r="E121" i="15" s="1"/>
  <c r="E134" i="15" a="1"/>
  <c r="E134" i="15" s="1"/>
  <c r="E133" i="15" a="1"/>
  <c r="E133" i="15" s="1"/>
  <c r="E120" i="15" a="1"/>
  <c r="E120" i="15" s="1"/>
  <c r="E131" i="15" a="1"/>
  <c r="E131" i="15" s="1"/>
  <c r="E125" i="15" a="1"/>
  <c r="E125" i="15" s="1"/>
  <c r="E132" i="15" a="1"/>
  <c r="E132" i="15" s="1"/>
  <c r="E108" i="15" a="1"/>
  <c r="E108" i="15" s="1"/>
  <c r="E97" i="15" a="1"/>
  <c r="E97" i="15" s="1"/>
  <c r="E99" i="15" a="1"/>
  <c r="E99" i="15" s="1"/>
  <c r="E101" i="15" a="1"/>
  <c r="E101" i="15" s="1"/>
  <c r="E98" i="15" a="1"/>
  <c r="E98" i="15" s="1"/>
  <c r="E102" i="15" a="1"/>
  <c r="E102" i="15" s="1"/>
  <c r="E92" i="15" a="1"/>
  <c r="E92" i="15" s="1"/>
  <c r="E94" i="15" a="1"/>
  <c r="E94" i="15" s="1"/>
  <c r="E95" i="15" a="1"/>
  <c r="E95" i="15" s="1"/>
  <c r="E217" i="15" a="1"/>
  <c r="E217" i="15" s="1"/>
  <c r="E205" i="15" a="1"/>
  <c r="E205" i="15" s="1"/>
  <c r="E107" i="15" a="1"/>
  <c r="E107" i="15" s="1"/>
  <c r="E204" i="15" a="1"/>
  <c r="E204" i="15" s="1"/>
  <c r="E213" i="15" a="1"/>
  <c r="E213" i="15" s="1"/>
  <c r="E114" i="15" a="1"/>
  <c r="E114" i="15" s="1"/>
  <c r="E87" i="15" a="1"/>
  <c r="E87" i="15" s="1"/>
  <c r="E209" i="15" a="1"/>
  <c r="E209" i="15" s="1"/>
  <c r="E216" i="15" a="1"/>
  <c r="E216" i="15" s="1"/>
  <c r="E223" i="15" a="1"/>
  <c r="E223" i="15" s="1"/>
  <c r="E88" i="15" a="1"/>
  <c r="E88" i="15" s="1"/>
  <c r="E110" i="15" a="1"/>
  <c r="E110" i="15" s="1"/>
  <c r="E198" i="15" a="1"/>
  <c r="E198" i="15" s="1"/>
  <c r="E228" i="15" a="1"/>
  <c r="E228" i="15" s="1"/>
  <c r="E113" i="15" a="1"/>
  <c r="E113" i="15" s="1"/>
  <c r="E86" i="15" a="1"/>
  <c r="E86" i="15" s="1"/>
  <c r="E104" i="15" a="1"/>
  <c r="E104" i="15" s="1"/>
  <c r="E85" i="15" a="1"/>
  <c r="E85" i="15" s="1"/>
  <c r="E215" i="15" a="1"/>
  <c r="E215" i="15" s="1"/>
  <c r="E227" i="15" a="1"/>
  <c r="E227" i="15" s="1"/>
  <c r="E224" i="15" a="1"/>
  <c r="E224" i="15" s="1"/>
  <c r="E197" i="15" a="1"/>
  <c r="E197" i="15" s="1"/>
  <c r="E112" i="15" a="1"/>
  <c r="E112" i="15" s="1"/>
  <c r="E106" i="15" a="1"/>
  <c r="E106" i="15" s="1"/>
  <c r="E89" i="15" a="1"/>
  <c r="E89" i="15" s="1"/>
  <c r="E214" i="15" a="1"/>
  <c r="E214" i="15" s="1"/>
  <c r="E84" i="15" a="1"/>
  <c r="E84" i="15" s="1"/>
  <c r="E196" i="15" a="1"/>
  <c r="E196" i="15" s="1"/>
  <c r="E225" i="15" a="1"/>
  <c r="E225" i="15" s="1"/>
  <c r="E208" i="15" a="1"/>
  <c r="E208" i="15" s="1"/>
  <c r="E111" i="15" a="1"/>
  <c r="E111" i="15" s="1"/>
  <c r="F130" i="6" a="1"/>
  <c r="F130" i="6" s="1"/>
  <c r="C130" i="6" s="1"/>
  <c r="F131" i="6" a="1"/>
  <c r="F131" i="6" s="1"/>
  <c r="G25" i="13" s="1"/>
  <c r="F149" i="6" a="1"/>
  <c r="F149" i="6" s="1"/>
  <c r="F185" i="6" a="1"/>
  <c r="F185" i="6" s="1"/>
  <c r="G35" i="13" s="1"/>
  <c r="F193" i="6" a="1"/>
  <c r="F193" i="6" s="1"/>
  <c r="G36" i="13" s="1"/>
  <c r="F190" i="6" a="1"/>
  <c r="F190" i="6" s="1"/>
  <c r="K190" i="6" s="1" a="1"/>
  <c r="K190" i="6" s="1"/>
  <c r="F147" i="6" a="1"/>
  <c r="F147" i="6" s="1"/>
  <c r="K147" i="6" s="1" a="1"/>
  <c r="K147" i="6" s="1"/>
  <c r="BC377" i="12"/>
  <c r="F151" i="6" a="1"/>
  <c r="F151" i="6" s="1"/>
  <c r="G33" i="13" s="1"/>
  <c r="F144" i="6" a="1"/>
  <c r="F144" i="6" s="1"/>
  <c r="G26" i="13" s="1"/>
  <c r="F158" i="6" a="1"/>
  <c r="F158" i="6" s="1"/>
  <c r="G34" i="13" s="1"/>
  <c r="F162" i="6" a="1"/>
  <c r="F162" i="6" s="1"/>
  <c r="K162" i="6" s="1" a="1"/>
  <c r="K162" i="6" s="1"/>
  <c r="F155" i="6" a="1"/>
  <c r="F155" i="6" s="1"/>
  <c r="K155" i="6" s="1" a="1"/>
  <c r="K155" i="6" s="1"/>
  <c r="I155" i="6" s="1"/>
  <c r="BD5" i="12"/>
  <c r="BD377" i="12"/>
  <c r="F204" i="6" a="1"/>
  <c r="F204" i="6" s="1"/>
  <c r="G40" i="13" s="1"/>
  <c r="F203" i="6" a="1"/>
  <c r="F203" i="6" s="1"/>
  <c r="G39" i="13" s="1"/>
  <c r="F201" i="6" a="1"/>
  <c r="F201" i="6" s="1"/>
  <c r="G37" i="13" s="1"/>
  <c r="F129" i="6" a="1"/>
  <c r="F129" i="6" s="1"/>
  <c r="F145" i="6" a="1"/>
  <c r="F145" i="6" s="1"/>
  <c r="G149" i="13" s="1"/>
  <c r="BC364" i="12"/>
  <c r="BD364" i="12"/>
  <c r="BC396" i="12"/>
  <c r="BD396" i="12"/>
  <c r="F133" i="6" a="1"/>
  <c r="F133" i="6" s="1"/>
  <c r="G140" i="13" s="1"/>
  <c r="F207" i="6" a="1"/>
  <c r="F207" i="6" s="1"/>
  <c r="G130" i="13" s="1"/>
  <c r="F176" i="6" a="1"/>
  <c r="F176" i="6" s="1"/>
  <c r="G128" i="13" s="1"/>
  <c r="F170" i="6" a="1"/>
  <c r="F170" i="6" s="1"/>
  <c r="G122" i="13" s="1"/>
  <c r="F192" i="6" a="1"/>
  <c r="F192" i="6" s="1"/>
  <c r="G116" i="13" s="1"/>
  <c r="F184" i="6" a="1"/>
  <c r="F184" i="6" s="1"/>
  <c r="G111" i="13" s="1"/>
  <c r="F177" i="6" a="1"/>
  <c r="F177" i="6" s="1"/>
  <c r="G129" i="13" s="1"/>
  <c r="F138" i="6" a="1"/>
  <c r="F138" i="6" s="1"/>
  <c r="G144" i="13" s="1"/>
  <c r="F183" i="6" a="1"/>
  <c r="F183" i="6" s="1"/>
  <c r="G110" i="13" s="1"/>
  <c r="F148" i="6" a="1"/>
  <c r="F148" i="6" s="1"/>
  <c r="F169" i="6" a="1"/>
  <c r="F169" i="6" s="1"/>
  <c r="G121" i="13" s="1"/>
  <c r="F198" i="6" a="1"/>
  <c r="F198" i="6" s="1"/>
  <c r="F171" i="6" a="1"/>
  <c r="F171" i="6" s="1"/>
  <c r="G123" i="13" s="1"/>
  <c r="F191" i="6" a="1"/>
  <c r="F191" i="6" s="1"/>
  <c r="G115" i="13" s="1"/>
  <c r="F208" i="6" a="1"/>
  <c r="F208" i="6" s="1"/>
  <c r="G131" i="13" s="1"/>
  <c r="F206" i="6" a="1"/>
  <c r="F206" i="6" s="1"/>
  <c r="F217" i="6" a="1"/>
  <c r="F217" i="6" s="1"/>
  <c r="G135" i="13" s="1"/>
  <c r="F150" i="6" a="1"/>
  <c r="F150" i="6" s="1"/>
  <c r="G98" i="13" s="1"/>
  <c r="F219" i="6" a="1"/>
  <c r="F219" i="6" s="1"/>
  <c r="G137" i="13" s="1"/>
  <c r="F126" i="6" a="1"/>
  <c r="F126" i="6" s="1"/>
  <c r="F156" i="6" a="1"/>
  <c r="F156" i="6" s="1"/>
  <c r="G102" i="13" s="1"/>
  <c r="F154" i="6" a="1"/>
  <c r="F154" i="6" s="1"/>
  <c r="G101" i="13" s="1"/>
  <c r="F166" i="6" a="1"/>
  <c r="F166" i="6" s="1"/>
  <c r="G118" i="13" s="1"/>
  <c r="F186" i="6" a="1"/>
  <c r="F186" i="6" s="1"/>
  <c r="F172" i="6" a="1"/>
  <c r="F172" i="6" s="1"/>
  <c r="G124" i="13" s="1"/>
  <c r="F136" i="6" a="1"/>
  <c r="F136" i="6" s="1"/>
  <c r="G142" i="13" s="1"/>
  <c r="F173" i="6" a="1"/>
  <c r="F173" i="6" s="1"/>
  <c r="G125" i="13" s="1"/>
  <c r="F160" i="6" a="1"/>
  <c r="F160" i="6" s="1"/>
  <c r="G105" i="13" s="1"/>
  <c r="F140" i="6" a="1"/>
  <c r="F140" i="6" s="1"/>
  <c r="F181" i="6" a="1"/>
  <c r="F181" i="6" s="1"/>
  <c r="G109" i="13" s="1"/>
  <c r="F137" i="6" a="1"/>
  <c r="F137" i="6" s="1"/>
  <c r="G143" i="13" s="1"/>
  <c r="F195" i="6" a="1"/>
  <c r="F195" i="6" s="1"/>
  <c r="G117" i="13" s="1"/>
  <c r="F168" i="6" a="1"/>
  <c r="F168" i="6" s="1"/>
  <c r="G120" i="13" s="1"/>
  <c r="F211" i="6" a="1"/>
  <c r="F211" i="6" s="1"/>
  <c r="G134" i="13" s="1"/>
  <c r="F161" i="6" a="1"/>
  <c r="F161" i="6" s="1"/>
  <c r="G106" i="13" s="1"/>
  <c r="F194" i="6" a="1"/>
  <c r="F194" i="6" s="1"/>
  <c r="F188" i="6" a="1"/>
  <c r="F188" i="6" s="1"/>
  <c r="G113" i="13" s="1"/>
  <c r="F189" i="6" a="1"/>
  <c r="F189" i="6" s="1"/>
  <c r="G114" i="13" s="1"/>
  <c r="F220" i="6" a="1"/>
  <c r="F220" i="6" s="1"/>
  <c r="G138" i="13" s="1"/>
  <c r="F128" i="6" a="1"/>
  <c r="F128" i="6" s="1"/>
  <c r="F210" i="6" a="1"/>
  <c r="F210" i="6" s="1"/>
  <c r="G133" i="13" s="1"/>
  <c r="F197" i="6" a="1"/>
  <c r="F197" i="6" s="1"/>
  <c r="F167" i="6" a="1"/>
  <c r="F167" i="6" s="1"/>
  <c r="G119" i="13" s="1"/>
  <c r="F141" i="6" a="1"/>
  <c r="F141" i="6" s="1"/>
  <c r="G146" i="13" s="1"/>
  <c r="F135" i="6" a="1"/>
  <c r="F135" i="6" s="1"/>
  <c r="G141" i="13" s="1"/>
  <c r="F187" i="6" a="1"/>
  <c r="F187" i="6" s="1"/>
  <c r="G112" i="13" s="1"/>
  <c r="F134" i="6" a="1"/>
  <c r="F134" i="6" s="1"/>
  <c r="F214" i="6" a="1"/>
  <c r="F214" i="6" s="1"/>
  <c r="G24" i="13" s="1"/>
  <c r="F209" i="6" a="1"/>
  <c r="F209" i="6" s="1"/>
  <c r="G132" i="13" s="1"/>
  <c r="F139" i="6" a="1"/>
  <c r="F139" i="6" s="1"/>
  <c r="G145" i="13" s="1"/>
  <c r="F218" i="6" a="1"/>
  <c r="F218" i="6" s="1"/>
  <c r="G136" i="13" s="1"/>
  <c r="F152" i="6" a="1"/>
  <c r="F152" i="6" s="1"/>
  <c r="G99" i="13" s="1"/>
  <c r="F153" i="6" a="1"/>
  <c r="F153" i="6" s="1"/>
  <c r="G100" i="13" s="1"/>
  <c r="F216" i="6" a="1"/>
  <c r="F216" i="6" s="1"/>
  <c r="F132" i="6" a="1"/>
  <c r="F132" i="6" s="1"/>
  <c r="G139" i="13" s="1"/>
  <c r="F142" i="6" a="1"/>
  <c r="F142" i="6" s="1"/>
  <c r="G147" i="13" s="1"/>
  <c r="F174" i="6" a="1"/>
  <c r="F174" i="6" s="1"/>
  <c r="G126" i="13" s="1"/>
  <c r="F213" i="6" a="1"/>
  <c r="F213" i="6" s="1"/>
  <c r="F175" i="6" a="1"/>
  <c r="F175" i="6" s="1"/>
  <c r="G127" i="13" s="1"/>
  <c r="F159" i="6" a="1"/>
  <c r="F159" i="6" s="1"/>
  <c r="G104" i="13" s="1"/>
  <c r="F163" i="6" a="1"/>
  <c r="F163" i="6" s="1"/>
  <c r="G107" i="13" s="1"/>
  <c r="F127" i="6" a="1"/>
  <c r="F127" i="6" s="1"/>
  <c r="F157" i="6" a="1"/>
  <c r="F157" i="6" s="1"/>
  <c r="G103" i="13" s="1"/>
  <c r="F180" i="6" a="1"/>
  <c r="F180" i="6" s="1"/>
  <c r="G108" i="13" s="1"/>
  <c r="I186" i="15" l="1"/>
  <c r="J186" i="15" s="1"/>
  <c r="AA157" i="15"/>
  <c r="AB157" i="15"/>
  <c r="AC157" i="15" s="1"/>
  <c r="G93" i="15"/>
  <c r="H93" i="15" s="1"/>
  <c r="AA93" i="15"/>
  <c r="AW20" i="15"/>
  <c r="C182" i="6"/>
  <c r="I154" i="15"/>
  <c r="J154" i="15" s="1"/>
  <c r="AZ19" i="15"/>
  <c r="AZ17" i="15"/>
  <c r="AW19" i="15"/>
  <c r="AW15" i="15"/>
  <c r="AZ15" i="15"/>
  <c r="AW17" i="15"/>
  <c r="AZ14" i="15"/>
  <c r="AW14" i="15"/>
  <c r="AZ20" i="15"/>
  <c r="AD225" i="15"/>
  <c r="AE225" i="15" s="1"/>
  <c r="AB225" i="15"/>
  <c r="AC225" i="15" s="1"/>
  <c r="AD102" i="15"/>
  <c r="AE102" i="15" s="1"/>
  <c r="AB102" i="15"/>
  <c r="AC102" i="15" s="1"/>
  <c r="AA136" i="15"/>
  <c r="AD136" i="15"/>
  <c r="AE136" i="15" s="1"/>
  <c r="AB136" i="15"/>
  <c r="AC136" i="15" s="1"/>
  <c r="AD182" i="15"/>
  <c r="AE182" i="15" s="1"/>
  <c r="AB182" i="15"/>
  <c r="AC182" i="15" s="1"/>
  <c r="AD151" i="15"/>
  <c r="AE151" i="15" s="1"/>
  <c r="AB151" i="15"/>
  <c r="AC151" i="15" s="1"/>
  <c r="AD110" i="15"/>
  <c r="AE110" i="15" s="1"/>
  <c r="AB110" i="15"/>
  <c r="AC110" i="15" s="1"/>
  <c r="AD98" i="15"/>
  <c r="AE98" i="15" s="1"/>
  <c r="AB98" i="15"/>
  <c r="AC98" i="15" s="1"/>
  <c r="AA124" i="15"/>
  <c r="AD124" i="15"/>
  <c r="AE124" i="15" s="1"/>
  <c r="AB124" i="15"/>
  <c r="AC124" i="15" s="1"/>
  <c r="AD167" i="15"/>
  <c r="AB167" i="15"/>
  <c r="AC167" i="15" s="1"/>
  <c r="AD171" i="15"/>
  <c r="AE171" i="15" s="1"/>
  <c r="AB171" i="15"/>
  <c r="AC171" i="15" s="1"/>
  <c r="AA154" i="15"/>
  <c r="AD154" i="15"/>
  <c r="AE154" i="15" s="1"/>
  <c r="AB154" i="15"/>
  <c r="AC154" i="15" s="1"/>
  <c r="AD92" i="15"/>
  <c r="AE92" i="15" s="1"/>
  <c r="AB92" i="15"/>
  <c r="AC92" i="15" s="1"/>
  <c r="AD84" i="15"/>
  <c r="AB84" i="15"/>
  <c r="AC84" i="15" s="1"/>
  <c r="AD88" i="15"/>
  <c r="AE88" i="15" s="1"/>
  <c r="AB88" i="15"/>
  <c r="AC88" i="15" s="1"/>
  <c r="AD101" i="15"/>
  <c r="AE101" i="15" s="1"/>
  <c r="AB101" i="15"/>
  <c r="AC101" i="15" s="1"/>
  <c r="AA130" i="15"/>
  <c r="AD130" i="15"/>
  <c r="AE130" i="15" s="1"/>
  <c r="AB130" i="15"/>
  <c r="AC130" i="15" s="1"/>
  <c r="AD169" i="15"/>
  <c r="AE169" i="15" s="1"/>
  <c r="AB169" i="15"/>
  <c r="AC169" i="15" s="1"/>
  <c r="AD147" i="15"/>
  <c r="AE147" i="15" s="1"/>
  <c r="AB147" i="15"/>
  <c r="AC147" i="15" s="1"/>
  <c r="AD214" i="15"/>
  <c r="AE214" i="15" s="1"/>
  <c r="AB214" i="15"/>
  <c r="AC214" i="15" s="1"/>
  <c r="AB223" i="15"/>
  <c r="AC223" i="15" s="1"/>
  <c r="AD223" i="15"/>
  <c r="AD99" i="15"/>
  <c r="AE99" i="15" s="1"/>
  <c r="AB99" i="15"/>
  <c r="AC99" i="15" s="1"/>
  <c r="AA129" i="15"/>
  <c r="AD129" i="15"/>
  <c r="AE129" i="15" s="1"/>
  <c r="AB129" i="15"/>
  <c r="AC129" i="15" s="1"/>
  <c r="AA148" i="15"/>
  <c r="AD148" i="15"/>
  <c r="AE148" i="15" s="1"/>
  <c r="AB148" i="15"/>
  <c r="AC148" i="15" s="1"/>
  <c r="AB89" i="15"/>
  <c r="AC89" i="15" s="1"/>
  <c r="AD89" i="15"/>
  <c r="AE89" i="15" s="1"/>
  <c r="AD216" i="15"/>
  <c r="AE216" i="15" s="1"/>
  <c r="AB216" i="15"/>
  <c r="AC216" i="15" s="1"/>
  <c r="AB97" i="15"/>
  <c r="AC97" i="15" s="1"/>
  <c r="AD97" i="15"/>
  <c r="AE97" i="15" s="1"/>
  <c r="AA127" i="15"/>
  <c r="AD127" i="15"/>
  <c r="AE127" i="15" s="1"/>
  <c r="AB127" i="15"/>
  <c r="AC127" i="15" s="1"/>
  <c r="AD158" i="15"/>
  <c r="AE158" i="15" s="1"/>
  <c r="AB158" i="15"/>
  <c r="AC158" i="15" s="1"/>
  <c r="AD179" i="15"/>
  <c r="AE179" i="15" s="1"/>
  <c r="AB179" i="15"/>
  <c r="AC179" i="15" s="1"/>
  <c r="AD209" i="15"/>
  <c r="AE209" i="15" s="1"/>
  <c r="AB209" i="15"/>
  <c r="AC209" i="15" s="1"/>
  <c r="AD108" i="15"/>
  <c r="AE108" i="15" s="1"/>
  <c r="AB108" i="15"/>
  <c r="AC108" i="15" s="1"/>
  <c r="AA128" i="15"/>
  <c r="AD128" i="15"/>
  <c r="AE128" i="15" s="1"/>
  <c r="AB128" i="15"/>
  <c r="AC128" i="15" s="1"/>
  <c r="AD156" i="15"/>
  <c r="AE156" i="15" s="1"/>
  <c r="AB156" i="15"/>
  <c r="AC156" i="15" s="1"/>
  <c r="AD112" i="15"/>
  <c r="AE112" i="15" s="1"/>
  <c r="AB112" i="15"/>
  <c r="AC112" i="15" s="1"/>
  <c r="AD87" i="15"/>
  <c r="AE87" i="15" s="1"/>
  <c r="AB87" i="15"/>
  <c r="AC87" i="15" s="1"/>
  <c r="AA132" i="15"/>
  <c r="AD132" i="15"/>
  <c r="AE132" i="15" s="1"/>
  <c r="AB132" i="15"/>
  <c r="AC132" i="15" s="1"/>
  <c r="AA126" i="15"/>
  <c r="AB126" i="15"/>
  <c r="AC126" i="15" s="1"/>
  <c r="AD126" i="15"/>
  <c r="AE126" i="15" s="1"/>
  <c r="AD177" i="15"/>
  <c r="AE177" i="15" s="1"/>
  <c r="AB177" i="15"/>
  <c r="AC177" i="15" s="1"/>
  <c r="AD114" i="15"/>
  <c r="AE114" i="15" s="1"/>
  <c r="AB114" i="15"/>
  <c r="AC114" i="15" s="1"/>
  <c r="AA125" i="15"/>
  <c r="AD125" i="15"/>
  <c r="AE125" i="15" s="1"/>
  <c r="AB125" i="15"/>
  <c r="AC125" i="15" s="1"/>
  <c r="AB155" i="15"/>
  <c r="AC155" i="15" s="1"/>
  <c r="AD155" i="15"/>
  <c r="AE155" i="15" s="1"/>
  <c r="B202" i="6"/>
  <c r="AD224" i="15"/>
  <c r="AE224" i="15" s="1"/>
  <c r="AB224" i="15"/>
  <c r="AC224" i="15" s="1"/>
  <c r="AD213" i="15"/>
  <c r="AE213" i="15" s="1"/>
  <c r="AB213" i="15"/>
  <c r="AC213" i="15" s="1"/>
  <c r="AA131" i="15"/>
  <c r="AD131" i="15"/>
  <c r="AE131" i="15" s="1"/>
  <c r="AB131" i="15"/>
  <c r="AC131" i="15" s="1"/>
  <c r="AD180" i="15"/>
  <c r="AE180" i="15" s="1"/>
  <c r="AB180" i="15"/>
  <c r="AC180" i="15" s="1"/>
  <c r="AD160" i="15"/>
  <c r="AE160" i="15" s="1"/>
  <c r="AB160" i="15"/>
  <c r="AC160" i="15" s="1"/>
  <c r="K202" i="6" a="1"/>
  <c r="K202" i="6" s="1"/>
  <c r="H202" i="6" s="1"/>
  <c r="AD227" i="15"/>
  <c r="AE227" i="15" s="1"/>
  <c r="AB227" i="15"/>
  <c r="AC227" i="15" s="1"/>
  <c r="AD204" i="15"/>
  <c r="AB204" i="15"/>
  <c r="AC204" i="15" s="1"/>
  <c r="AA120" i="15"/>
  <c r="AD120" i="15"/>
  <c r="AB120" i="15"/>
  <c r="AC120" i="15" s="1"/>
  <c r="AB168" i="15"/>
  <c r="AC168" i="15" s="1"/>
  <c r="AD168" i="15"/>
  <c r="AE168" i="15" s="1"/>
  <c r="AD149" i="15"/>
  <c r="AE149" i="15" s="1"/>
  <c r="AB149" i="15"/>
  <c r="AC149" i="15" s="1"/>
  <c r="AB176" i="15"/>
  <c r="AC176" i="15" s="1"/>
  <c r="AD176" i="15"/>
  <c r="AE176" i="15" s="1"/>
  <c r="C202" i="6"/>
  <c r="AD215" i="15"/>
  <c r="AE215" i="15" s="1"/>
  <c r="AB215" i="15"/>
  <c r="AC215" i="15" s="1"/>
  <c r="AD107" i="15"/>
  <c r="AE107" i="15" s="1"/>
  <c r="AB107" i="15"/>
  <c r="AC107" i="15" s="1"/>
  <c r="AA133" i="15"/>
  <c r="AD133" i="15"/>
  <c r="AE133" i="15" s="1"/>
  <c r="AB133" i="15"/>
  <c r="AC133" i="15" s="1"/>
  <c r="AD145" i="15"/>
  <c r="AB145" i="15"/>
  <c r="AC145" i="15" s="1"/>
  <c r="AD146" i="15"/>
  <c r="AE146" i="15" s="1"/>
  <c r="AB146" i="15"/>
  <c r="AC146" i="15" s="1"/>
  <c r="AD228" i="15"/>
  <c r="AE228" i="15" s="1"/>
  <c r="AB228" i="15"/>
  <c r="AC228" i="15" s="1"/>
  <c r="E202" i="6"/>
  <c r="AD85" i="15"/>
  <c r="AE85" i="15" s="1"/>
  <c r="AB85" i="15"/>
  <c r="AC85" i="15" s="1"/>
  <c r="AD205" i="15"/>
  <c r="AE205" i="15" s="1"/>
  <c r="AB205" i="15"/>
  <c r="AC205" i="15" s="1"/>
  <c r="AA134" i="15"/>
  <c r="AD134" i="15"/>
  <c r="AE134" i="15" s="1"/>
  <c r="AB134" i="15"/>
  <c r="AC134" i="15" s="1"/>
  <c r="AD185" i="15"/>
  <c r="AE185" i="15" s="1"/>
  <c r="AB185" i="15"/>
  <c r="AC185" i="15" s="1"/>
  <c r="AD159" i="15"/>
  <c r="AE159" i="15" s="1"/>
  <c r="AB159" i="15"/>
  <c r="AC159" i="15" s="1"/>
  <c r="AD208" i="15"/>
  <c r="AE208" i="15" s="1"/>
  <c r="AB208" i="15"/>
  <c r="AC208" i="15" s="1"/>
  <c r="D202" i="6"/>
  <c r="AD104" i="15"/>
  <c r="AE104" i="15" s="1"/>
  <c r="AB104" i="15"/>
  <c r="AC104" i="15" s="1"/>
  <c r="AD217" i="15"/>
  <c r="AE217" i="15" s="1"/>
  <c r="AB217" i="15"/>
  <c r="AC217" i="15" s="1"/>
  <c r="AA121" i="15"/>
  <c r="AD121" i="15"/>
  <c r="AE121" i="15" s="1"/>
  <c r="AB121" i="15"/>
  <c r="AC121" i="15" s="1"/>
  <c r="AA170" i="15"/>
  <c r="AD170" i="15"/>
  <c r="AE170" i="15" s="1"/>
  <c r="AB170" i="15"/>
  <c r="AC170" i="15" s="1"/>
  <c r="AD178" i="15"/>
  <c r="AE178" i="15" s="1"/>
  <c r="AB178" i="15"/>
  <c r="AC178" i="15" s="1"/>
  <c r="AA123" i="15"/>
  <c r="AD123" i="15"/>
  <c r="AE123" i="15" s="1"/>
  <c r="AB123" i="15"/>
  <c r="AC123" i="15" s="1"/>
  <c r="AD86" i="15"/>
  <c r="AE86" i="15" s="1"/>
  <c r="AB86" i="15"/>
  <c r="AC86" i="15" s="1"/>
  <c r="AD95" i="15"/>
  <c r="AE95" i="15" s="1"/>
  <c r="AB95" i="15"/>
  <c r="AC95" i="15" s="1"/>
  <c r="AA135" i="15"/>
  <c r="AD135" i="15"/>
  <c r="AE135" i="15" s="1"/>
  <c r="AB135" i="15"/>
  <c r="AC135" i="15" s="1"/>
  <c r="AD173" i="15"/>
  <c r="AE173" i="15" s="1"/>
  <c r="AB173" i="15"/>
  <c r="AC173" i="15" s="1"/>
  <c r="AD175" i="15"/>
  <c r="AE175" i="15" s="1"/>
  <c r="AB175" i="15"/>
  <c r="AC175" i="15" s="1"/>
  <c r="AD111" i="15"/>
  <c r="AE111" i="15" s="1"/>
  <c r="AB111" i="15"/>
  <c r="AC111" i="15" s="1"/>
  <c r="AD113" i="15"/>
  <c r="AE113" i="15" s="1"/>
  <c r="AB113" i="15"/>
  <c r="AC113" i="15" s="1"/>
  <c r="AD94" i="15"/>
  <c r="AE94" i="15" s="1"/>
  <c r="AB94" i="15"/>
  <c r="AC94" i="15" s="1"/>
  <c r="AA122" i="15"/>
  <c r="AD122" i="15"/>
  <c r="AE122" i="15" s="1"/>
  <c r="AB122" i="15"/>
  <c r="AC122" i="15" s="1"/>
  <c r="AD181" i="15"/>
  <c r="AE181" i="15" s="1"/>
  <c r="AB181" i="15"/>
  <c r="AC181" i="15" s="1"/>
  <c r="AD172" i="15"/>
  <c r="AE172" i="15" s="1"/>
  <c r="AB172" i="15"/>
  <c r="AC172" i="15" s="1"/>
  <c r="AA186" i="15"/>
  <c r="AD186" i="15"/>
  <c r="AE186" i="15" s="1"/>
  <c r="AB186" i="15"/>
  <c r="AC186" i="15" s="1"/>
  <c r="G89" i="15"/>
  <c r="H89" i="15" s="1"/>
  <c r="AA89" i="15"/>
  <c r="G216" i="15"/>
  <c r="H216" i="15" s="1"/>
  <c r="AA216" i="15"/>
  <c r="G97" i="15"/>
  <c r="H97" i="15" s="1"/>
  <c r="AA97" i="15"/>
  <c r="I158" i="15"/>
  <c r="J158" i="15" s="1"/>
  <c r="AA158" i="15"/>
  <c r="G106" i="15"/>
  <c r="H106" i="15" s="1"/>
  <c r="AA106" i="15"/>
  <c r="G209" i="15"/>
  <c r="H209" i="15" s="1"/>
  <c r="AA209" i="15"/>
  <c r="G108" i="15"/>
  <c r="H108" i="15" s="1"/>
  <c r="AA108" i="15"/>
  <c r="I156" i="15"/>
  <c r="J156" i="15" s="1"/>
  <c r="AA156" i="15"/>
  <c r="G214" i="15"/>
  <c r="H214" i="15" s="1"/>
  <c r="AA214" i="15"/>
  <c r="G112" i="15"/>
  <c r="H112" i="15" s="1"/>
  <c r="AA112" i="15"/>
  <c r="G87" i="15"/>
  <c r="H87" i="15" s="1"/>
  <c r="AA87" i="15"/>
  <c r="G177" i="15"/>
  <c r="H177" i="15" s="1"/>
  <c r="AA177" i="15"/>
  <c r="G197" i="15"/>
  <c r="H197" i="15" s="1"/>
  <c r="AA197" i="15"/>
  <c r="G114" i="15"/>
  <c r="H114" i="15" s="1"/>
  <c r="AA114" i="15"/>
  <c r="G155" i="15"/>
  <c r="H155" i="15" s="1"/>
  <c r="AA155" i="15"/>
  <c r="G224" i="15"/>
  <c r="H224" i="15" s="1"/>
  <c r="AA224" i="15"/>
  <c r="G213" i="15"/>
  <c r="H213" i="15" s="1"/>
  <c r="AA213" i="15"/>
  <c r="I180" i="15"/>
  <c r="J180" i="15" s="1"/>
  <c r="AA180" i="15"/>
  <c r="I160" i="15"/>
  <c r="J160" i="15" s="1"/>
  <c r="AA160" i="15"/>
  <c r="G227" i="15"/>
  <c r="H227" i="15" s="1"/>
  <c r="AA227" i="15"/>
  <c r="G204" i="15"/>
  <c r="H204" i="15" s="1"/>
  <c r="AA204" i="15"/>
  <c r="G168" i="15"/>
  <c r="H168" i="15" s="1"/>
  <c r="AA168" i="15"/>
  <c r="G149" i="15"/>
  <c r="H149" i="15" s="1"/>
  <c r="AA149" i="15"/>
  <c r="G215" i="15"/>
  <c r="H215" i="15" s="1"/>
  <c r="AA215" i="15"/>
  <c r="G107" i="15"/>
  <c r="H107" i="15" s="1"/>
  <c r="AA107" i="15"/>
  <c r="G145" i="15"/>
  <c r="H145" i="15" s="1"/>
  <c r="AA145" i="15"/>
  <c r="G146" i="15"/>
  <c r="H146" i="15" s="1"/>
  <c r="AA146" i="15"/>
  <c r="G85" i="15"/>
  <c r="H85" i="15" s="1"/>
  <c r="AA85" i="15"/>
  <c r="G205" i="15"/>
  <c r="H205" i="15" s="1"/>
  <c r="AA205" i="15"/>
  <c r="G185" i="15"/>
  <c r="H185" i="15" s="1"/>
  <c r="AA185" i="15"/>
  <c r="G159" i="15"/>
  <c r="H159" i="15" s="1"/>
  <c r="AA159" i="15"/>
  <c r="G99" i="15"/>
  <c r="H99" i="15" s="1"/>
  <c r="AA99" i="15"/>
  <c r="G104" i="15"/>
  <c r="H104" i="15" s="1"/>
  <c r="AA104" i="15"/>
  <c r="G217" i="15"/>
  <c r="H217" i="15" s="1"/>
  <c r="AA217" i="15"/>
  <c r="G178" i="15"/>
  <c r="H178" i="15" s="1"/>
  <c r="AA178" i="15"/>
  <c r="G86" i="15"/>
  <c r="H86" i="15" s="1"/>
  <c r="AA86" i="15"/>
  <c r="G95" i="15"/>
  <c r="H95" i="15" s="1"/>
  <c r="AA95" i="15"/>
  <c r="I173" i="15"/>
  <c r="J173" i="15" s="1"/>
  <c r="AA173" i="15"/>
  <c r="G175" i="15"/>
  <c r="H175" i="15" s="1"/>
  <c r="AA175" i="15"/>
  <c r="G111" i="15"/>
  <c r="H111" i="15" s="1"/>
  <c r="AA111" i="15"/>
  <c r="G113" i="15"/>
  <c r="H113" i="15" s="1"/>
  <c r="AA113" i="15"/>
  <c r="G94" i="15"/>
  <c r="H94" i="15" s="1"/>
  <c r="AA94" i="15"/>
  <c r="G181" i="15"/>
  <c r="H181" i="15" s="1"/>
  <c r="AA181" i="15"/>
  <c r="I172" i="15"/>
  <c r="J172" i="15" s="1"/>
  <c r="AA172" i="15"/>
  <c r="G208" i="15"/>
  <c r="H208" i="15" s="1"/>
  <c r="AA208" i="15"/>
  <c r="G228" i="15"/>
  <c r="H228" i="15" s="1"/>
  <c r="AA228" i="15"/>
  <c r="G92" i="15"/>
  <c r="H92" i="15" s="1"/>
  <c r="AA92" i="15"/>
  <c r="I176" i="15"/>
  <c r="J176" i="15" s="1"/>
  <c r="AA176" i="15"/>
  <c r="G179" i="15"/>
  <c r="H179" i="15" s="1"/>
  <c r="AA179" i="15"/>
  <c r="G223" i="15"/>
  <c r="H223" i="15" s="1"/>
  <c r="AA223" i="15"/>
  <c r="G225" i="15"/>
  <c r="H225" i="15" s="1"/>
  <c r="AA225" i="15"/>
  <c r="G198" i="15"/>
  <c r="H198" i="15" s="1"/>
  <c r="AA198" i="15"/>
  <c r="G102" i="15"/>
  <c r="H102" i="15" s="1"/>
  <c r="AA102" i="15"/>
  <c r="I182" i="15"/>
  <c r="J182" i="15" s="1"/>
  <c r="AA182" i="15"/>
  <c r="I151" i="15"/>
  <c r="J151" i="15" s="1"/>
  <c r="AA151" i="15"/>
  <c r="G196" i="15"/>
  <c r="H196" i="15" s="1"/>
  <c r="AA196" i="15"/>
  <c r="G110" i="15"/>
  <c r="H110" i="15" s="1"/>
  <c r="AA110" i="15"/>
  <c r="G98" i="15"/>
  <c r="H98" i="15" s="1"/>
  <c r="AA98" i="15"/>
  <c r="G167" i="15"/>
  <c r="H167" i="15" s="1"/>
  <c r="AA167" i="15"/>
  <c r="I171" i="15"/>
  <c r="J171" i="15" s="1"/>
  <c r="AA171" i="15"/>
  <c r="G84" i="15"/>
  <c r="H84" i="15" s="1"/>
  <c r="AA84" i="15"/>
  <c r="G88" i="15"/>
  <c r="H88" i="15" s="1"/>
  <c r="AA88" i="15"/>
  <c r="G101" i="15"/>
  <c r="H101" i="15" s="1"/>
  <c r="AA101" i="15"/>
  <c r="I169" i="15"/>
  <c r="J169" i="15" s="1"/>
  <c r="AA169" i="15"/>
  <c r="I147" i="15"/>
  <c r="J147" i="15" s="1"/>
  <c r="AA147" i="15"/>
  <c r="G22" i="13"/>
  <c r="G23" i="13"/>
  <c r="G63" i="13"/>
  <c r="G73" i="13"/>
  <c r="G28" i="13"/>
  <c r="G29" i="13"/>
  <c r="G30" i="13"/>
  <c r="G27" i="13"/>
  <c r="G31" i="13"/>
  <c r="G32" i="13"/>
  <c r="G65" i="13"/>
  <c r="G75" i="13"/>
  <c r="G64" i="13"/>
  <c r="G74" i="13"/>
  <c r="E144" i="6"/>
  <c r="K185" i="6" a="1"/>
  <c r="K185" i="6" s="1"/>
  <c r="J185" i="6" s="1"/>
  <c r="E149" i="6"/>
  <c r="I204" i="15"/>
  <c r="J204" i="15" s="1"/>
  <c r="G171" i="15"/>
  <c r="H171" i="15" s="1"/>
  <c r="K149" i="6" a="1"/>
  <c r="K149" i="6" s="1"/>
  <c r="G149" i="6" s="1"/>
  <c r="G156" i="15"/>
  <c r="H156" i="15" s="1"/>
  <c r="G172" i="15"/>
  <c r="H172" i="15" s="1"/>
  <c r="I177" i="15"/>
  <c r="J177" i="15" s="1"/>
  <c r="I149" i="15"/>
  <c r="J149" i="15" s="1"/>
  <c r="I167" i="15"/>
  <c r="J167" i="15" s="1"/>
  <c r="I146" i="15"/>
  <c r="J146" i="15" s="1"/>
  <c r="G158" i="15"/>
  <c r="H158" i="15" s="1"/>
  <c r="G173" i="15"/>
  <c r="H173" i="15" s="1"/>
  <c r="I155" i="15"/>
  <c r="J155" i="15" s="1"/>
  <c r="I175" i="15"/>
  <c r="J175" i="15" s="1"/>
  <c r="I181" i="15"/>
  <c r="J181" i="15" s="1"/>
  <c r="I159" i="15"/>
  <c r="J159" i="15" s="1"/>
  <c r="G151" i="15"/>
  <c r="H151" i="15" s="1"/>
  <c r="G160" i="15"/>
  <c r="H160" i="15" s="1"/>
  <c r="I168" i="15"/>
  <c r="J168" i="15" s="1"/>
  <c r="K126" i="20"/>
  <c r="I126" i="20"/>
  <c r="J126" i="20" s="1"/>
  <c r="G126" i="20"/>
  <c r="H126" i="20" s="1"/>
  <c r="I145" i="15"/>
  <c r="J145" i="15" s="1"/>
  <c r="I179" i="15"/>
  <c r="J179" i="15" s="1"/>
  <c r="K124" i="20"/>
  <c r="I124" i="20"/>
  <c r="J124" i="20" s="1"/>
  <c r="G124" i="20"/>
  <c r="H124" i="20" s="1"/>
  <c r="G102" i="20"/>
  <c r="H102" i="20" s="1"/>
  <c r="K102" i="20"/>
  <c r="I102" i="20"/>
  <c r="J102" i="20" s="1"/>
  <c r="K181" i="20"/>
  <c r="I181" i="20"/>
  <c r="J181" i="20" s="1"/>
  <c r="G181" i="20"/>
  <c r="H181" i="20" s="1"/>
  <c r="K227" i="20"/>
  <c r="I227" i="20"/>
  <c r="J227" i="20" s="1"/>
  <c r="G227" i="20"/>
  <c r="H227" i="20" s="1"/>
  <c r="G197" i="20"/>
  <c r="H197" i="20" s="1"/>
  <c r="K197" i="20"/>
  <c r="I197" i="20"/>
  <c r="J197" i="20" s="1"/>
  <c r="K161" i="20"/>
  <c r="I161" i="20"/>
  <c r="J161" i="20" s="1"/>
  <c r="G161" i="20"/>
  <c r="H161" i="20" s="1"/>
  <c r="K149" i="15"/>
  <c r="K91" i="20"/>
  <c r="K192" i="20"/>
  <c r="K105" i="20"/>
  <c r="K93" i="20"/>
  <c r="K193" i="20"/>
  <c r="K169" i="15"/>
  <c r="K216" i="20"/>
  <c r="I216" i="20"/>
  <c r="J216" i="20" s="1"/>
  <c r="G216" i="20"/>
  <c r="H216" i="20" s="1"/>
  <c r="G120" i="20"/>
  <c r="H120" i="20" s="1"/>
  <c r="K120" i="20"/>
  <c r="I120" i="20"/>
  <c r="J120" i="20" s="1"/>
  <c r="K131" i="20"/>
  <c r="I131" i="20"/>
  <c r="J131" i="20" s="1"/>
  <c r="G131" i="20"/>
  <c r="H131" i="20" s="1"/>
  <c r="I97" i="20"/>
  <c r="J97" i="20" s="1"/>
  <c r="G97" i="20"/>
  <c r="H97" i="20" s="1"/>
  <c r="K97" i="20"/>
  <c r="G168" i="20"/>
  <c r="H168" i="20" s="1"/>
  <c r="K168" i="20"/>
  <c r="I168" i="20"/>
  <c r="J168" i="20" s="1"/>
  <c r="G169" i="15"/>
  <c r="H169" i="15" s="1"/>
  <c r="K148" i="15"/>
  <c r="G145" i="20"/>
  <c r="H145" i="20" s="1"/>
  <c r="I145" i="20"/>
  <c r="J145" i="20" s="1"/>
  <c r="K145" i="20"/>
  <c r="G169" i="20"/>
  <c r="H169" i="20" s="1"/>
  <c r="K169" i="20"/>
  <c r="I169" i="20"/>
  <c r="J169" i="20" s="1"/>
  <c r="G180" i="20"/>
  <c r="H180" i="20" s="1"/>
  <c r="I180" i="20"/>
  <c r="J180" i="20" s="1"/>
  <c r="K180" i="20"/>
  <c r="I205" i="20"/>
  <c r="J205" i="20" s="1"/>
  <c r="G205" i="20"/>
  <c r="H205" i="20" s="1"/>
  <c r="K205" i="20"/>
  <c r="G110" i="20"/>
  <c r="H110" i="20" s="1"/>
  <c r="I110" i="20"/>
  <c r="J110" i="20" s="1"/>
  <c r="K110" i="20"/>
  <c r="K159" i="20"/>
  <c r="I159" i="20"/>
  <c r="J159" i="20" s="1"/>
  <c r="G159" i="20"/>
  <c r="H159" i="20" s="1"/>
  <c r="K151" i="15"/>
  <c r="K158" i="15"/>
  <c r="K185" i="20"/>
  <c r="I185" i="20"/>
  <c r="J185" i="20" s="1"/>
  <c r="G185" i="20"/>
  <c r="H185" i="20" s="1"/>
  <c r="G85" i="20"/>
  <c r="H85" i="20" s="1"/>
  <c r="K85" i="20"/>
  <c r="I85" i="20"/>
  <c r="J85" i="20" s="1"/>
  <c r="I112" i="20"/>
  <c r="J112" i="20" s="1"/>
  <c r="K112" i="20"/>
  <c r="G112" i="20"/>
  <c r="H112" i="20" s="1"/>
  <c r="K224" i="20"/>
  <c r="I224" i="20"/>
  <c r="J224" i="20" s="1"/>
  <c r="G224" i="20"/>
  <c r="H224" i="20" s="1"/>
  <c r="K182" i="20"/>
  <c r="I182" i="20"/>
  <c r="J182" i="20" s="1"/>
  <c r="G182" i="20"/>
  <c r="H182" i="20" s="1"/>
  <c r="I134" i="20"/>
  <c r="J134" i="20" s="1"/>
  <c r="G134" i="20"/>
  <c r="H134" i="20" s="1"/>
  <c r="K134" i="20"/>
  <c r="K86" i="20"/>
  <c r="I86" i="20"/>
  <c r="J86" i="20" s="1"/>
  <c r="G86" i="20"/>
  <c r="H86" i="20" s="1"/>
  <c r="I185" i="15"/>
  <c r="J185" i="15" s="1"/>
  <c r="K174" i="15"/>
  <c r="G151" i="20"/>
  <c r="H151" i="20" s="1"/>
  <c r="K151" i="20"/>
  <c r="I151" i="20"/>
  <c r="J151" i="20" s="1"/>
  <c r="G107" i="20"/>
  <c r="H107" i="20" s="1"/>
  <c r="I107" i="20"/>
  <c r="J107" i="20" s="1"/>
  <c r="K107" i="20"/>
  <c r="G208" i="20"/>
  <c r="H208" i="20" s="1"/>
  <c r="K208" i="20"/>
  <c r="I208" i="20"/>
  <c r="J208" i="20" s="1"/>
  <c r="G95" i="20"/>
  <c r="H95" i="20" s="1"/>
  <c r="K95" i="20"/>
  <c r="I95" i="20"/>
  <c r="J95" i="20" s="1"/>
  <c r="G157" i="20"/>
  <c r="H157" i="20" s="1"/>
  <c r="I157" i="20"/>
  <c r="J157" i="20" s="1"/>
  <c r="K157" i="20"/>
  <c r="I175" i="20"/>
  <c r="J175" i="20" s="1"/>
  <c r="K175" i="20"/>
  <c r="G175" i="20"/>
  <c r="H175" i="20" s="1"/>
  <c r="I130" i="20"/>
  <c r="J130" i="20" s="1"/>
  <c r="G130" i="20"/>
  <c r="H130" i="20" s="1"/>
  <c r="K130" i="20"/>
  <c r="K214" i="20"/>
  <c r="I214" i="20"/>
  <c r="J214" i="20" s="1"/>
  <c r="G214" i="20"/>
  <c r="H214" i="20" s="1"/>
  <c r="I121" i="20"/>
  <c r="J121" i="20" s="1"/>
  <c r="G121" i="20"/>
  <c r="H121" i="20" s="1"/>
  <c r="K121" i="20"/>
  <c r="K152" i="20"/>
  <c r="I152" i="20"/>
  <c r="J152" i="20" s="1"/>
  <c r="G152" i="20"/>
  <c r="H152" i="20" s="1"/>
  <c r="K186" i="20"/>
  <c r="I186" i="20"/>
  <c r="J186" i="20" s="1"/>
  <c r="G186" i="20"/>
  <c r="H186" i="20" s="1"/>
  <c r="K135" i="20"/>
  <c r="I135" i="20"/>
  <c r="J135" i="20" s="1"/>
  <c r="G135" i="20"/>
  <c r="H135" i="20" s="1"/>
  <c r="K171" i="20"/>
  <c r="I171" i="20"/>
  <c r="J171" i="20" s="1"/>
  <c r="G171" i="20"/>
  <c r="H171" i="20" s="1"/>
  <c r="K225" i="20"/>
  <c r="G225" i="20"/>
  <c r="H225" i="20" s="1"/>
  <c r="I225" i="20"/>
  <c r="J225" i="20" s="1"/>
  <c r="K99" i="20"/>
  <c r="G99" i="20"/>
  <c r="H99" i="20" s="1"/>
  <c r="I99" i="20"/>
  <c r="J99" i="20" s="1"/>
  <c r="G108" i="20"/>
  <c r="H108" i="20" s="1"/>
  <c r="K108" i="20"/>
  <c r="I108" i="20"/>
  <c r="J108" i="20" s="1"/>
  <c r="G94" i="20"/>
  <c r="H94" i="20" s="1"/>
  <c r="K94" i="20"/>
  <c r="I94" i="20"/>
  <c r="J94" i="20" s="1"/>
  <c r="K179" i="20"/>
  <c r="I179" i="20"/>
  <c r="J179" i="20" s="1"/>
  <c r="G179" i="20"/>
  <c r="H179" i="20" s="1"/>
  <c r="G198" i="20"/>
  <c r="H198" i="20" s="1"/>
  <c r="I198" i="20"/>
  <c r="J198" i="20" s="1"/>
  <c r="K198" i="20"/>
  <c r="K217" i="20"/>
  <c r="I217" i="20"/>
  <c r="J217" i="20" s="1"/>
  <c r="G217" i="20"/>
  <c r="H217" i="20" s="1"/>
  <c r="K180" i="15"/>
  <c r="K196" i="20"/>
  <c r="I196" i="20"/>
  <c r="J196" i="20" s="1"/>
  <c r="G196" i="20"/>
  <c r="H196" i="20" s="1"/>
  <c r="I104" i="20"/>
  <c r="J104" i="20" s="1"/>
  <c r="G104" i="20"/>
  <c r="H104" i="20" s="1"/>
  <c r="K104" i="20"/>
  <c r="K125" i="20"/>
  <c r="G125" i="20"/>
  <c r="H125" i="20" s="1"/>
  <c r="I125" i="20"/>
  <c r="J125" i="20" s="1"/>
  <c r="G113" i="20"/>
  <c r="H113" i="20" s="1"/>
  <c r="K113" i="20"/>
  <c r="I113" i="20"/>
  <c r="J113" i="20" s="1"/>
  <c r="G148" i="20"/>
  <c r="H148" i="20" s="1"/>
  <c r="K148" i="20"/>
  <c r="I148" i="20"/>
  <c r="J148" i="20" s="1"/>
  <c r="G106" i="20"/>
  <c r="H106" i="20" s="1"/>
  <c r="K106" i="20"/>
  <c r="I106" i="20"/>
  <c r="J106" i="20" s="1"/>
  <c r="K123" i="20"/>
  <c r="I123" i="20"/>
  <c r="J123" i="20" s="1"/>
  <c r="G123" i="20"/>
  <c r="H123" i="20" s="1"/>
  <c r="I111" i="20"/>
  <c r="J111" i="20" s="1"/>
  <c r="G111" i="20"/>
  <c r="H111" i="20" s="1"/>
  <c r="K111" i="20"/>
  <c r="I149" i="20"/>
  <c r="J149" i="20" s="1"/>
  <c r="G149" i="20"/>
  <c r="H149" i="20" s="1"/>
  <c r="K149" i="20"/>
  <c r="I84" i="20"/>
  <c r="J84" i="20" s="1"/>
  <c r="K84" i="20"/>
  <c r="G84" i="20"/>
  <c r="H84" i="20" s="1"/>
  <c r="I128" i="20"/>
  <c r="J128" i="20" s="1"/>
  <c r="K128" i="20"/>
  <c r="G128" i="20"/>
  <c r="H128" i="20" s="1"/>
  <c r="G146" i="20"/>
  <c r="H146" i="20" s="1"/>
  <c r="K146" i="20"/>
  <c r="I146" i="20"/>
  <c r="J146" i="20" s="1"/>
  <c r="K145" i="15"/>
  <c r="K228" i="20"/>
  <c r="I228" i="20"/>
  <c r="J228" i="20" s="1"/>
  <c r="G228" i="20"/>
  <c r="H228" i="20" s="1"/>
  <c r="G167" i="20"/>
  <c r="H167" i="20" s="1"/>
  <c r="I167" i="20"/>
  <c r="J167" i="20" s="1"/>
  <c r="K167" i="20"/>
  <c r="K88" i="20"/>
  <c r="I88" i="20"/>
  <c r="J88" i="20" s="1"/>
  <c r="G88" i="20"/>
  <c r="H88" i="20" s="1"/>
  <c r="K147" i="20"/>
  <c r="I147" i="20"/>
  <c r="J147" i="20" s="1"/>
  <c r="G147" i="20"/>
  <c r="H147" i="20" s="1"/>
  <c r="I92" i="20"/>
  <c r="J92" i="20" s="1"/>
  <c r="G92" i="20"/>
  <c r="H92" i="20" s="1"/>
  <c r="K92" i="20"/>
  <c r="G98" i="20"/>
  <c r="H98" i="20" s="1"/>
  <c r="K98" i="20"/>
  <c r="I98" i="20"/>
  <c r="J98" i="20" s="1"/>
  <c r="G154" i="20"/>
  <c r="H154" i="20" s="1"/>
  <c r="K154" i="20"/>
  <c r="I154" i="20"/>
  <c r="J154" i="20" s="1"/>
  <c r="K129" i="20"/>
  <c r="I129" i="20"/>
  <c r="J129" i="20" s="1"/>
  <c r="G129" i="20"/>
  <c r="H129" i="20" s="1"/>
  <c r="K101" i="20"/>
  <c r="I101" i="20"/>
  <c r="J101" i="20" s="1"/>
  <c r="G101" i="20"/>
  <c r="H101" i="20" s="1"/>
  <c r="K160" i="20"/>
  <c r="G160" i="20"/>
  <c r="H160" i="20" s="1"/>
  <c r="I160" i="20"/>
  <c r="J160" i="20" s="1"/>
  <c r="G87" i="20"/>
  <c r="H87" i="20" s="1"/>
  <c r="K87" i="20"/>
  <c r="I87" i="20"/>
  <c r="J87" i="20" s="1"/>
  <c r="K174" i="20"/>
  <c r="I174" i="20"/>
  <c r="J174" i="20" s="1"/>
  <c r="G174" i="20"/>
  <c r="H174" i="20" s="1"/>
  <c r="K170" i="15"/>
  <c r="K158" i="20"/>
  <c r="I158" i="20"/>
  <c r="J158" i="20" s="1"/>
  <c r="G158" i="20"/>
  <c r="H158" i="20" s="1"/>
  <c r="K114" i="20"/>
  <c r="I114" i="20"/>
  <c r="J114" i="20" s="1"/>
  <c r="G114" i="20"/>
  <c r="H114" i="20" s="1"/>
  <c r="K122" i="20"/>
  <c r="G122" i="20"/>
  <c r="H122" i="20" s="1"/>
  <c r="I122" i="20"/>
  <c r="J122" i="20" s="1"/>
  <c r="G213" i="20"/>
  <c r="H213" i="20" s="1"/>
  <c r="K213" i="20"/>
  <c r="I213" i="20"/>
  <c r="J213" i="20" s="1"/>
  <c r="G177" i="20"/>
  <c r="H177" i="20" s="1"/>
  <c r="K177" i="20"/>
  <c r="I177" i="20"/>
  <c r="J177" i="20" s="1"/>
  <c r="K215" i="20"/>
  <c r="I215" i="20"/>
  <c r="J215" i="20" s="1"/>
  <c r="G215" i="20"/>
  <c r="H215" i="20" s="1"/>
  <c r="K130" i="6" a="1"/>
  <c r="K130" i="6" s="1"/>
  <c r="J130" i="6" s="1"/>
  <c r="G150" i="20"/>
  <c r="H150" i="20" s="1"/>
  <c r="K150" i="20"/>
  <c r="I150" i="20"/>
  <c r="J150" i="20" s="1"/>
  <c r="I155" i="20"/>
  <c r="J155" i="20" s="1"/>
  <c r="G155" i="20"/>
  <c r="H155" i="20" s="1"/>
  <c r="K155" i="20"/>
  <c r="I172" i="20"/>
  <c r="J172" i="20" s="1"/>
  <c r="K172" i="20"/>
  <c r="G172" i="20"/>
  <c r="H172" i="20" s="1"/>
  <c r="G223" i="20"/>
  <c r="H223" i="20" s="1"/>
  <c r="K223" i="20"/>
  <c r="I223" i="20"/>
  <c r="J223" i="20" s="1"/>
  <c r="I89" i="20"/>
  <c r="J89" i="20" s="1"/>
  <c r="G89" i="20"/>
  <c r="H89" i="20" s="1"/>
  <c r="K89" i="20"/>
  <c r="K176" i="20"/>
  <c r="G176" i="20"/>
  <c r="H176" i="20" s="1"/>
  <c r="I176" i="20"/>
  <c r="J176" i="20" s="1"/>
  <c r="G176" i="15"/>
  <c r="H176" i="15" s="1"/>
  <c r="G127" i="20"/>
  <c r="H127" i="20" s="1"/>
  <c r="K127" i="20"/>
  <c r="I127" i="20"/>
  <c r="J127" i="20" s="1"/>
  <c r="K156" i="20"/>
  <c r="I156" i="20"/>
  <c r="J156" i="20" s="1"/>
  <c r="G156" i="20"/>
  <c r="H156" i="20" s="1"/>
  <c r="K173" i="20"/>
  <c r="G173" i="20"/>
  <c r="H173" i="20" s="1"/>
  <c r="I173" i="20"/>
  <c r="J173" i="20" s="1"/>
  <c r="K204" i="20"/>
  <c r="G204" i="20"/>
  <c r="H204" i="20" s="1"/>
  <c r="I204" i="20"/>
  <c r="J204" i="20" s="1"/>
  <c r="K170" i="20"/>
  <c r="I170" i="20"/>
  <c r="J170" i="20" s="1"/>
  <c r="G170" i="20"/>
  <c r="H170" i="20" s="1"/>
  <c r="G133" i="20"/>
  <c r="H133" i="20" s="1"/>
  <c r="K133" i="20"/>
  <c r="I133" i="20"/>
  <c r="J133" i="20" s="1"/>
  <c r="G182" i="15"/>
  <c r="H182" i="15" s="1"/>
  <c r="I137" i="20"/>
  <c r="J137" i="20" s="1"/>
  <c r="G137" i="20"/>
  <c r="H137" i="20" s="1"/>
  <c r="K137" i="20"/>
  <c r="G132" i="20"/>
  <c r="H132" i="20" s="1"/>
  <c r="I132" i="20"/>
  <c r="J132" i="20" s="1"/>
  <c r="K132" i="20"/>
  <c r="G209" i="20"/>
  <c r="H209" i="20" s="1"/>
  <c r="K209" i="20"/>
  <c r="I209" i="20"/>
  <c r="J209" i="20" s="1"/>
  <c r="K178" i="20"/>
  <c r="G178" i="20"/>
  <c r="H178" i="20" s="1"/>
  <c r="I178" i="20"/>
  <c r="J178" i="20" s="1"/>
  <c r="I136" i="20"/>
  <c r="J136" i="20" s="1"/>
  <c r="K136" i="20"/>
  <c r="G136" i="20"/>
  <c r="H136" i="20" s="1"/>
  <c r="G180" i="15"/>
  <c r="H180" i="15" s="1"/>
  <c r="I170" i="15"/>
  <c r="J170" i="15" s="1"/>
  <c r="K176" i="15"/>
  <c r="K146" i="15"/>
  <c r="G170" i="15"/>
  <c r="H170" i="15" s="1"/>
  <c r="K182" i="15"/>
  <c r="K147" i="15"/>
  <c r="I178" i="15"/>
  <c r="J178" i="15" s="1"/>
  <c r="K137" i="15"/>
  <c r="K171" i="15"/>
  <c r="K178" i="15"/>
  <c r="K168" i="15"/>
  <c r="K157" i="15"/>
  <c r="K173" i="15"/>
  <c r="K156" i="15"/>
  <c r="K167" i="15"/>
  <c r="K177" i="15"/>
  <c r="K172" i="15"/>
  <c r="K181" i="15"/>
  <c r="K160" i="15"/>
  <c r="K175" i="15"/>
  <c r="K150" i="15"/>
  <c r="G148" i="15"/>
  <c r="H148" i="15" s="1"/>
  <c r="I148" i="15"/>
  <c r="J148" i="15" s="1"/>
  <c r="K155" i="15"/>
  <c r="K179" i="15"/>
  <c r="K186" i="15"/>
  <c r="K185" i="15"/>
  <c r="K159" i="15"/>
  <c r="D149" i="6"/>
  <c r="K154" i="15"/>
  <c r="E130" i="6"/>
  <c r="G130" i="15"/>
  <c r="H130" i="15" s="1"/>
  <c r="I130" i="15"/>
  <c r="J130" i="15" s="1"/>
  <c r="K130" i="15"/>
  <c r="G129" i="15"/>
  <c r="H129" i="15" s="1"/>
  <c r="I129" i="15"/>
  <c r="J129" i="15" s="1"/>
  <c r="K129" i="15"/>
  <c r="G127" i="15"/>
  <c r="H127" i="15" s="1"/>
  <c r="I127" i="15"/>
  <c r="J127" i="15" s="1"/>
  <c r="G128" i="15"/>
  <c r="H128" i="15" s="1"/>
  <c r="I128" i="15"/>
  <c r="J128" i="15" s="1"/>
  <c r="K128" i="15"/>
  <c r="G126" i="15"/>
  <c r="H126" i="15" s="1"/>
  <c r="K126" i="15"/>
  <c r="I126" i="15"/>
  <c r="J126" i="15" s="1"/>
  <c r="K125" i="15"/>
  <c r="I125" i="15"/>
  <c r="J125" i="15" s="1"/>
  <c r="G125" i="15"/>
  <c r="H125" i="15" s="1"/>
  <c r="I131" i="15"/>
  <c r="J131" i="15" s="1"/>
  <c r="K131" i="15"/>
  <c r="G131" i="15"/>
  <c r="H131" i="15" s="1"/>
  <c r="K120" i="15"/>
  <c r="G120" i="15"/>
  <c r="H120" i="15" s="1"/>
  <c r="I120" i="15"/>
  <c r="J120" i="15" s="1"/>
  <c r="G133" i="15"/>
  <c r="H133" i="15" s="1"/>
  <c r="K133" i="15"/>
  <c r="I133" i="15"/>
  <c r="J133" i="15" s="1"/>
  <c r="G134" i="15"/>
  <c r="H134" i="15" s="1"/>
  <c r="K134" i="15"/>
  <c r="I134" i="15"/>
  <c r="J134" i="15" s="1"/>
  <c r="I121" i="15"/>
  <c r="J121" i="15" s="1"/>
  <c r="G121" i="15"/>
  <c r="H121" i="15" s="1"/>
  <c r="K121" i="15"/>
  <c r="K135" i="15"/>
  <c r="I135" i="15"/>
  <c r="J135" i="15" s="1"/>
  <c r="G135" i="15"/>
  <c r="H135" i="15" s="1"/>
  <c r="I122" i="15"/>
  <c r="J122" i="15" s="1"/>
  <c r="G122" i="15"/>
  <c r="H122" i="15" s="1"/>
  <c r="K122" i="15"/>
  <c r="I123" i="15"/>
  <c r="J123" i="15" s="1"/>
  <c r="G123" i="15"/>
  <c r="H123" i="15" s="1"/>
  <c r="K123" i="15"/>
  <c r="I136" i="15"/>
  <c r="J136" i="15" s="1"/>
  <c r="G136" i="15"/>
  <c r="H136" i="15" s="1"/>
  <c r="K136" i="15"/>
  <c r="K124" i="15"/>
  <c r="G124" i="15"/>
  <c r="H124" i="15" s="1"/>
  <c r="I124" i="15"/>
  <c r="J124" i="15" s="1"/>
  <c r="K132" i="15"/>
  <c r="I132" i="15"/>
  <c r="J132" i="15" s="1"/>
  <c r="G132" i="15"/>
  <c r="H132" i="15" s="1"/>
  <c r="B130" i="6"/>
  <c r="K89" i="15"/>
  <c r="K111" i="15"/>
  <c r="D130" i="6"/>
  <c r="C149" i="6"/>
  <c r="B149" i="6"/>
  <c r="K112" i="15"/>
  <c r="K87" i="15"/>
  <c r="K197" i="15"/>
  <c r="K114" i="15"/>
  <c r="K224" i="15"/>
  <c r="K213" i="15"/>
  <c r="K227" i="15"/>
  <c r="K204" i="15"/>
  <c r="K215" i="15"/>
  <c r="K107" i="15"/>
  <c r="K85" i="15"/>
  <c r="K205" i="15"/>
  <c r="K104" i="15"/>
  <c r="K217" i="15"/>
  <c r="K86" i="15"/>
  <c r="K95" i="15"/>
  <c r="K113" i="15"/>
  <c r="K94" i="15"/>
  <c r="K193" i="15"/>
  <c r="K93" i="15"/>
  <c r="K192" i="15"/>
  <c r="K105" i="15"/>
  <c r="K91" i="15"/>
  <c r="K208" i="15"/>
  <c r="K228" i="15"/>
  <c r="K92" i="15"/>
  <c r="K225" i="15"/>
  <c r="K198" i="15"/>
  <c r="K102" i="15"/>
  <c r="K196" i="15"/>
  <c r="K110" i="15"/>
  <c r="K98" i="15"/>
  <c r="K84" i="15"/>
  <c r="K88" i="15"/>
  <c r="K101" i="15"/>
  <c r="K214" i="15"/>
  <c r="K223" i="15"/>
  <c r="K99" i="15"/>
  <c r="K216" i="15"/>
  <c r="K97" i="15"/>
  <c r="K106" i="15"/>
  <c r="K209" i="15"/>
  <c r="K108" i="15"/>
  <c r="I198" i="15"/>
  <c r="J198" i="15" s="1"/>
  <c r="K131" i="6" a="1"/>
  <c r="K131" i="6" s="1"/>
  <c r="G131" i="6" s="1"/>
  <c r="I227" i="15"/>
  <c r="J227" i="15" s="1"/>
  <c r="I225" i="15"/>
  <c r="J225" i="15" s="1"/>
  <c r="I213" i="15"/>
  <c r="J213" i="15" s="1"/>
  <c r="I217" i="15"/>
  <c r="J217" i="15" s="1"/>
  <c r="I209" i="15"/>
  <c r="J209" i="15" s="1"/>
  <c r="I216" i="15"/>
  <c r="J216" i="15" s="1"/>
  <c r="I215" i="15"/>
  <c r="J215" i="15" s="1"/>
  <c r="I214" i="15"/>
  <c r="J214" i="15" s="1"/>
  <c r="I205" i="15"/>
  <c r="J205" i="15" s="1"/>
  <c r="I223" i="15"/>
  <c r="J223" i="15" s="1"/>
  <c r="I224" i="15"/>
  <c r="J224" i="15" s="1"/>
  <c r="I208" i="15"/>
  <c r="J208" i="15" s="1"/>
  <c r="I228" i="15"/>
  <c r="J228" i="15" s="1"/>
  <c r="K158" i="6" a="1"/>
  <c r="K158" i="6" s="1"/>
  <c r="I158" i="6" s="1"/>
  <c r="K151" i="6" a="1"/>
  <c r="K151" i="6" s="1"/>
  <c r="H151" i="6" s="1"/>
  <c r="K144" i="6" a="1"/>
  <c r="K144" i="6" s="1"/>
  <c r="I144" i="6" s="1"/>
  <c r="D144" i="6"/>
  <c r="D190" i="6"/>
  <c r="B144" i="6"/>
  <c r="B190" i="6"/>
  <c r="C144" i="6"/>
  <c r="C190" i="6"/>
  <c r="K193" i="6" a="1"/>
  <c r="K193" i="6" s="1"/>
  <c r="G193" i="6" s="1"/>
  <c r="I196" i="15"/>
  <c r="J196" i="15" s="1"/>
  <c r="I197" i="15"/>
  <c r="J197" i="15" s="1"/>
  <c r="E155" i="6"/>
  <c r="E190" i="6"/>
  <c r="I114" i="15"/>
  <c r="J114" i="15" s="1"/>
  <c r="I103" i="15"/>
  <c r="J103" i="15" s="1"/>
  <c r="I111" i="15"/>
  <c r="J111" i="15" s="1"/>
  <c r="I107" i="15"/>
  <c r="J107" i="15" s="1"/>
  <c r="I104" i="15"/>
  <c r="J104" i="15" s="1"/>
  <c r="I99" i="15"/>
  <c r="J99" i="15" s="1"/>
  <c r="I112" i="15"/>
  <c r="J112" i="15" s="1"/>
  <c r="I108" i="15"/>
  <c r="J108" i="15" s="1"/>
  <c r="I105" i="15"/>
  <c r="J105" i="15" s="1"/>
  <c r="I113" i="15"/>
  <c r="J113" i="15" s="1"/>
  <c r="I109" i="15"/>
  <c r="J109" i="15" s="1"/>
  <c r="I101" i="15"/>
  <c r="J101" i="15" s="1"/>
  <c r="I106" i="15"/>
  <c r="J106" i="15" s="1"/>
  <c r="I100" i="15"/>
  <c r="J100" i="15" s="1"/>
  <c r="I110" i="15"/>
  <c r="J110" i="15" s="1"/>
  <c r="I92" i="15"/>
  <c r="J92" i="15" s="1"/>
  <c r="I102" i="15"/>
  <c r="J102" i="15" s="1"/>
  <c r="J147" i="6"/>
  <c r="B147" i="6"/>
  <c r="I147" i="6"/>
  <c r="C147" i="6"/>
  <c r="H147" i="6"/>
  <c r="D147" i="6"/>
  <c r="G147" i="6"/>
  <c r="E147" i="6"/>
  <c r="F200" i="6"/>
  <c r="G76" i="13" s="1"/>
  <c r="E181" i="6"/>
  <c r="J190" i="6"/>
  <c r="H190" i="6"/>
  <c r="G190" i="6"/>
  <c r="I190" i="6"/>
  <c r="G182" i="6"/>
  <c r="J182" i="6"/>
  <c r="H182" i="6"/>
  <c r="B182" i="6"/>
  <c r="I182" i="6"/>
  <c r="E182" i="6"/>
  <c r="D182" i="6"/>
  <c r="B204" i="6"/>
  <c r="B193" i="6"/>
  <c r="E193" i="6"/>
  <c r="D193" i="6"/>
  <c r="C193" i="6"/>
  <c r="C185" i="6"/>
  <c r="D185" i="6"/>
  <c r="B185" i="6"/>
  <c r="E185" i="6"/>
  <c r="E158" i="6"/>
  <c r="J162" i="6"/>
  <c r="C158" i="6"/>
  <c r="D151" i="6"/>
  <c r="H155" i="6"/>
  <c r="C162" i="6"/>
  <c r="D155" i="6"/>
  <c r="J155" i="6"/>
  <c r="G162" i="6"/>
  <c r="D158" i="6"/>
  <c r="D162" i="6"/>
  <c r="B158" i="6"/>
  <c r="H162" i="6"/>
  <c r="B162" i="6"/>
  <c r="G155" i="6"/>
  <c r="I162" i="6"/>
  <c r="C155" i="6"/>
  <c r="B155" i="6"/>
  <c r="E162" i="6"/>
  <c r="C151" i="6"/>
  <c r="E151" i="6"/>
  <c r="B151" i="6"/>
  <c r="E131" i="6"/>
  <c r="D131" i="6"/>
  <c r="B131" i="6"/>
  <c r="C131" i="6"/>
  <c r="D129" i="6"/>
  <c r="D200" i="6" s="1"/>
  <c r="E204" i="6"/>
  <c r="D204" i="6"/>
  <c r="B129" i="6"/>
  <c r="B200" i="6" s="1"/>
  <c r="C204" i="6"/>
  <c r="C129" i="6"/>
  <c r="C200" i="6" s="1"/>
  <c r="K204" i="6" a="1"/>
  <c r="K204" i="6" s="1"/>
  <c r="H204" i="6" s="1"/>
  <c r="E129" i="6"/>
  <c r="E200" i="6" s="1"/>
  <c r="K129" i="6" a="1"/>
  <c r="K129" i="6" s="1"/>
  <c r="K200" i="6" s="1"/>
  <c r="B203" i="6"/>
  <c r="E203" i="6"/>
  <c r="K203" i="6" a="1"/>
  <c r="K203" i="6" s="1"/>
  <c r="C203" i="6"/>
  <c r="D203" i="6"/>
  <c r="E201" i="6"/>
  <c r="C201" i="6"/>
  <c r="K201" i="6" a="1"/>
  <c r="K201" i="6" s="1"/>
  <c r="B201" i="6"/>
  <c r="D201" i="6"/>
  <c r="E145" i="6"/>
  <c r="B145" i="6"/>
  <c r="C145" i="6"/>
  <c r="D145" i="6"/>
  <c r="K145" i="6" a="1"/>
  <c r="K145" i="6" s="1"/>
  <c r="C133" i="6"/>
  <c r="E133" i="6"/>
  <c r="B133" i="6"/>
  <c r="K133" i="6" a="1"/>
  <c r="K133" i="6" s="1"/>
  <c r="I133" i="6" s="1"/>
  <c r="K172" i="6" a="1"/>
  <c r="K172" i="6" s="1"/>
  <c r="I172" i="6" s="1"/>
  <c r="D133" i="6"/>
  <c r="D172" i="6"/>
  <c r="B127" i="6"/>
  <c r="B165" i="6" s="1"/>
  <c r="B214" i="6"/>
  <c r="K128" i="6" a="1"/>
  <c r="K128" i="6" s="1"/>
  <c r="G128" i="6" s="1"/>
  <c r="K194" i="6" a="1"/>
  <c r="K194" i="6" s="1"/>
  <c r="I194" i="6" s="1"/>
  <c r="B186" i="6"/>
  <c r="E198" i="6"/>
  <c r="B134" i="6"/>
  <c r="B213" i="6"/>
  <c r="F179" i="6"/>
  <c r="B140" i="6"/>
  <c r="D142" i="6"/>
  <c r="D152" i="6"/>
  <c r="K141" i="6" a="1"/>
  <c r="K141" i="6" s="1"/>
  <c r="G141" i="6" s="1"/>
  <c r="B195" i="6"/>
  <c r="C160" i="6"/>
  <c r="C126" i="6"/>
  <c r="K206" i="6" a="1"/>
  <c r="K206" i="6" s="1"/>
  <c r="I206" i="6" s="1"/>
  <c r="K138" i="6" a="1"/>
  <c r="K138" i="6" s="1"/>
  <c r="H138" i="6" s="1"/>
  <c r="E170" i="6"/>
  <c r="K175" i="6" a="1"/>
  <c r="K175" i="6" s="1"/>
  <c r="I175" i="6" s="1"/>
  <c r="E132" i="6"/>
  <c r="K218" i="6" a="1"/>
  <c r="K218" i="6" s="1"/>
  <c r="I218" i="6" s="1"/>
  <c r="C167" i="6"/>
  <c r="D220" i="6"/>
  <c r="K161" i="6" a="1"/>
  <c r="K161" i="6" s="1"/>
  <c r="G161" i="6" s="1"/>
  <c r="K137" i="6" a="1"/>
  <c r="K137" i="6" s="1"/>
  <c r="E173" i="6"/>
  <c r="E166" i="6"/>
  <c r="D219" i="6"/>
  <c r="E208" i="6"/>
  <c r="K169" i="6" a="1"/>
  <c r="K169" i="6" s="1"/>
  <c r="J169" i="6" s="1"/>
  <c r="B177" i="6"/>
  <c r="E176" i="6"/>
  <c r="K180" i="6" a="1"/>
  <c r="K180" i="6" s="1"/>
  <c r="J180" i="6" s="1"/>
  <c r="D216" i="6"/>
  <c r="K139" i="6" a="1"/>
  <c r="K139" i="6" s="1"/>
  <c r="I139" i="6" s="1"/>
  <c r="K187" i="6" a="1"/>
  <c r="K187" i="6" s="1"/>
  <c r="C197" i="6"/>
  <c r="K189" i="6" a="1"/>
  <c r="K189" i="6" s="1"/>
  <c r="K211" i="6" a="1"/>
  <c r="K211" i="6" s="1"/>
  <c r="I211" i="6" s="1"/>
  <c r="K181" i="6" a="1"/>
  <c r="K181" i="6" s="1"/>
  <c r="K136" i="6" a="1"/>
  <c r="K136" i="6" s="1"/>
  <c r="H136" i="6" s="1"/>
  <c r="C154" i="6"/>
  <c r="C150" i="6"/>
  <c r="B191" i="6"/>
  <c r="E184" i="6"/>
  <c r="C207" i="6"/>
  <c r="D159" i="6"/>
  <c r="E157" i="6"/>
  <c r="K163" i="6" a="1"/>
  <c r="K163" i="6" s="1"/>
  <c r="I163" i="6" s="1"/>
  <c r="K174" i="6" a="1"/>
  <c r="K174" i="6" s="1"/>
  <c r="K153" i="6" a="1"/>
  <c r="K153" i="6" s="1"/>
  <c r="K209" i="6" a="1"/>
  <c r="K209" i="6" s="1"/>
  <c r="E135" i="6"/>
  <c r="C210" i="6"/>
  <c r="E188" i="6"/>
  <c r="C168" i="6"/>
  <c r="E172" i="6"/>
  <c r="K156" i="6" a="1"/>
  <c r="K156" i="6" s="1"/>
  <c r="D217" i="6"/>
  <c r="E171" i="6"/>
  <c r="D183" i="6"/>
  <c r="C192" i="6"/>
  <c r="D173" i="6"/>
  <c r="E207" i="6"/>
  <c r="B207" i="6"/>
  <c r="K207" i="6" a="1"/>
  <c r="K207" i="6" s="1"/>
  <c r="K176" i="6" a="1"/>
  <c r="K176" i="6" s="1"/>
  <c r="B169" i="6"/>
  <c r="E175" i="6"/>
  <c r="D177" i="6"/>
  <c r="K220" i="6" a="1"/>
  <c r="K220" i="6" s="1"/>
  <c r="E177" i="6"/>
  <c r="D176" i="6"/>
  <c r="B175" i="6"/>
  <c r="E134" i="6"/>
  <c r="D207" i="6"/>
  <c r="K184" i="6" a="1"/>
  <c r="K184" i="6" s="1"/>
  <c r="E220" i="6"/>
  <c r="K134" i="6" a="1"/>
  <c r="K134" i="6" s="1"/>
  <c r="C170" i="6"/>
  <c r="B138" i="6"/>
  <c r="B218" i="6"/>
  <c r="B170" i="6"/>
  <c r="K217" i="6" a="1"/>
  <c r="K217" i="6" s="1"/>
  <c r="K170" i="6" a="1"/>
  <c r="K170" i="6" s="1"/>
  <c r="K140" i="6" a="1"/>
  <c r="K140" i="6" s="1"/>
  <c r="B194" i="6"/>
  <c r="D170" i="6"/>
  <c r="D168" i="6"/>
  <c r="E210" i="6"/>
  <c r="E183" i="6"/>
  <c r="E192" i="6"/>
  <c r="B172" i="6"/>
  <c r="C220" i="6"/>
  <c r="D169" i="6"/>
  <c r="E219" i="6"/>
  <c r="C173" i="6"/>
  <c r="E218" i="6"/>
  <c r="B161" i="6"/>
  <c r="K166" i="6" a="1"/>
  <c r="K166" i="6" s="1"/>
  <c r="K177" i="6" a="1"/>
  <c r="K177" i="6" s="1"/>
  <c r="D175" i="6"/>
  <c r="B208" i="6"/>
  <c r="E169" i="6"/>
  <c r="C175" i="6"/>
  <c r="C161" i="6"/>
  <c r="B176" i="6"/>
  <c r="D134" i="6"/>
  <c r="B219" i="6"/>
  <c r="C176" i="6"/>
  <c r="E167" i="6"/>
  <c r="D137" i="6"/>
  <c r="C137" i="6"/>
  <c r="E137" i="6"/>
  <c r="C208" i="6"/>
  <c r="D167" i="6"/>
  <c r="K173" i="6" a="1"/>
  <c r="K173" i="6" s="1"/>
  <c r="C171" i="6"/>
  <c r="D171" i="6"/>
  <c r="B192" i="6"/>
  <c r="E174" i="6"/>
  <c r="D163" i="6"/>
  <c r="C209" i="6"/>
  <c r="D184" i="6"/>
  <c r="B209" i="6"/>
  <c r="B171" i="6"/>
  <c r="B184" i="6"/>
  <c r="C184" i="6"/>
  <c r="E140" i="6"/>
  <c r="C183" i="6"/>
  <c r="C156" i="6"/>
  <c r="K135" i="6" a="1"/>
  <c r="K135" i="6" s="1"/>
  <c r="K183" i="6" a="1"/>
  <c r="K183" i="6" s="1"/>
  <c r="C135" i="6"/>
  <c r="K192" i="6" a="1"/>
  <c r="K192" i="6" s="1"/>
  <c r="D153" i="6"/>
  <c r="D192" i="6"/>
  <c r="D156" i="6"/>
  <c r="K171" i="6" a="1"/>
  <c r="K171" i="6" s="1"/>
  <c r="B156" i="6"/>
  <c r="E156" i="6"/>
  <c r="C217" i="6"/>
  <c r="B198" i="6"/>
  <c r="D166" i="6"/>
  <c r="C177" i="6"/>
  <c r="C169" i="6"/>
  <c r="D138" i="6"/>
  <c r="B220" i="6"/>
  <c r="K208" i="6" a="1"/>
  <c r="K208" i="6" s="1"/>
  <c r="D208" i="6"/>
  <c r="B167" i="6"/>
  <c r="C195" i="6"/>
  <c r="C138" i="6"/>
  <c r="K132" i="6" a="1"/>
  <c r="K132" i="6" s="1"/>
  <c r="B166" i="6"/>
  <c r="B173" i="6"/>
  <c r="C219" i="6"/>
  <c r="E127" i="6"/>
  <c r="E165" i="6" s="1"/>
  <c r="C132" i="6"/>
  <c r="B132" i="6"/>
  <c r="D195" i="6"/>
  <c r="D161" i="6"/>
  <c r="C166" i="6"/>
  <c r="K167" i="6" a="1"/>
  <c r="K167" i="6" s="1"/>
  <c r="D218" i="6"/>
  <c r="D132" i="6"/>
  <c r="B128" i="6"/>
  <c r="B137" i="6"/>
  <c r="E161" i="6"/>
  <c r="C218" i="6"/>
  <c r="C134" i="6"/>
  <c r="K219" i="6" a="1"/>
  <c r="K219" i="6" s="1"/>
  <c r="E160" i="6"/>
  <c r="B181" i="6"/>
  <c r="C139" i="6"/>
  <c r="D160" i="6"/>
  <c r="K198" i="6" a="1"/>
  <c r="K198" i="6" s="1"/>
  <c r="D198" i="6"/>
  <c r="D191" i="6"/>
  <c r="C148" i="6"/>
  <c r="C179" i="6" s="1"/>
  <c r="C191" i="6"/>
  <c r="B180" i="6"/>
  <c r="C214" i="6"/>
  <c r="D150" i="6"/>
  <c r="K159" i="6" a="1"/>
  <c r="K159" i="6" s="1"/>
  <c r="E191" i="6"/>
  <c r="E139" i="6"/>
  <c r="C181" i="6"/>
  <c r="B211" i="6"/>
  <c r="E154" i="6"/>
  <c r="E211" i="6"/>
  <c r="D181" i="6"/>
  <c r="D136" i="6"/>
  <c r="D197" i="6"/>
  <c r="D187" i="6"/>
  <c r="B216" i="6"/>
  <c r="B148" i="6"/>
  <c r="B179" i="6" s="1"/>
  <c r="K191" i="6" a="1"/>
  <c r="K191" i="6" s="1"/>
  <c r="D154" i="6"/>
  <c r="C211" i="6"/>
  <c r="C189" i="6"/>
  <c r="B174" i="6"/>
  <c r="B189" i="6"/>
  <c r="B154" i="6"/>
  <c r="K150" i="6" a="1"/>
  <c r="K150" i="6" s="1"/>
  <c r="E138" i="6"/>
  <c r="D141" i="6"/>
  <c r="C216" i="6"/>
  <c r="K148" i="6" a="1"/>
  <c r="K148" i="6" s="1"/>
  <c r="D213" i="6"/>
  <c r="E148" i="6"/>
  <c r="E179" i="6" s="1"/>
  <c r="D140" i="6"/>
  <c r="C140" i="6"/>
  <c r="B183" i="6"/>
  <c r="D148" i="6"/>
  <c r="D188" i="6"/>
  <c r="E217" i="6"/>
  <c r="B139" i="6"/>
  <c r="C172" i="6"/>
  <c r="B150" i="6"/>
  <c r="E136" i="6"/>
  <c r="B217" i="6"/>
  <c r="C198" i="6"/>
  <c r="C206" i="6"/>
  <c r="B141" i="6"/>
  <c r="D186" i="6"/>
  <c r="E142" i="6"/>
  <c r="C142" i="6"/>
  <c r="C186" i="6"/>
  <c r="B142" i="6"/>
  <c r="E194" i="6"/>
  <c r="C152" i="6"/>
  <c r="F165" i="6"/>
  <c r="D126" i="6"/>
  <c r="E126" i="6"/>
  <c r="B160" i="6"/>
  <c r="C194" i="6"/>
  <c r="E206" i="6"/>
  <c r="C141" i="6"/>
  <c r="K186" i="6" a="1"/>
  <c r="K186" i="6" s="1"/>
  <c r="E152" i="6"/>
  <c r="E186" i="6"/>
  <c r="K160" i="6" a="1"/>
  <c r="K160" i="6" s="1"/>
  <c r="K126" i="6" a="1"/>
  <c r="K126" i="6" s="1"/>
  <c r="B126" i="6"/>
  <c r="B206" i="6"/>
  <c r="D206" i="6"/>
  <c r="B152" i="6"/>
  <c r="K142" i="6" a="1"/>
  <c r="K142" i="6" s="1"/>
  <c r="E195" i="6"/>
  <c r="D128" i="6"/>
  <c r="D214" i="6"/>
  <c r="E216" i="6"/>
  <c r="B136" i="6"/>
  <c r="K197" i="6" a="1"/>
  <c r="K197" i="6" s="1"/>
  <c r="E189" i="6"/>
  <c r="D211" i="6"/>
  <c r="C136" i="6"/>
  <c r="D139" i="6"/>
  <c r="E213" i="6"/>
  <c r="K216" i="6" a="1"/>
  <c r="K216" i="6" s="1"/>
  <c r="C187" i="6"/>
  <c r="K154" i="6" a="1"/>
  <c r="K154" i="6" s="1"/>
  <c r="B187" i="6"/>
  <c r="K213" i="6" a="1"/>
  <c r="K213" i="6" s="1"/>
  <c r="D189" i="6"/>
  <c r="C213" i="6"/>
  <c r="E187" i="6"/>
  <c r="C127" i="6"/>
  <c r="C165" i="6" s="1"/>
  <c r="E150" i="6"/>
  <c r="B197" i="6"/>
  <c r="E197" i="6"/>
  <c r="D135" i="6"/>
  <c r="B210" i="6"/>
  <c r="K188" i="6" a="1"/>
  <c r="K188" i="6" s="1"/>
  <c r="B135" i="6"/>
  <c r="K168" i="6" a="1"/>
  <c r="K168" i="6" s="1"/>
  <c r="E168" i="6"/>
  <c r="E141" i="6"/>
  <c r="C153" i="6"/>
  <c r="E128" i="6"/>
  <c r="K195" i="6" a="1"/>
  <c r="K195" i="6" s="1"/>
  <c r="C163" i="6"/>
  <c r="C128" i="6"/>
  <c r="B188" i="6"/>
  <c r="C188" i="6"/>
  <c r="K210" i="6" a="1"/>
  <c r="K210" i="6" s="1"/>
  <c r="B168" i="6"/>
  <c r="E163" i="6"/>
  <c r="K152" i="6" a="1"/>
  <c r="K152" i="6" s="1"/>
  <c r="K214" i="6" a="1"/>
  <c r="K214" i="6" s="1"/>
  <c r="E214" i="6"/>
  <c r="B159" i="6"/>
  <c r="E159" i="6"/>
  <c r="D210" i="6"/>
  <c r="C159" i="6"/>
  <c r="D174" i="6"/>
  <c r="E209" i="6"/>
  <c r="C174" i="6"/>
  <c r="D157" i="6"/>
  <c r="D127" i="6"/>
  <c r="D165" i="6" s="1"/>
  <c r="K127" i="6" a="1"/>
  <c r="K127" i="6" s="1"/>
  <c r="B153" i="6"/>
  <c r="D209" i="6"/>
  <c r="B163" i="6"/>
  <c r="D194" i="6"/>
  <c r="E153" i="6"/>
  <c r="B157" i="6"/>
  <c r="K157" i="6" a="1"/>
  <c r="K157" i="6" s="1"/>
  <c r="C157" i="6"/>
  <c r="E180" i="6"/>
  <c r="D180" i="6"/>
  <c r="C180" i="6"/>
  <c r="G202" i="6" l="1"/>
  <c r="J149" i="6"/>
  <c r="I202" i="6"/>
  <c r="J202" i="6"/>
  <c r="H130" i="6"/>
  <c r="I149" i="6"/>
  <c r="AC218" i="15"/>
  <c r="AR19" i="15" s="1"/>
  <c r="AD162" i="15"/>
  <c r="AP16" i="15" s="1"/>
  <c r="AE145" i="15"/>
  <c r="AE162" i="15" s="1"/>
  <c r="AS16" i="15" s="1"/>
  <c r="AD140" i="15"/>
  <c r="AP15" i="15" s="1"/>
  <c r="AE120" i="15"/>
  <c r="AE140" i="15" s="1"/>
  <c r="AS15" i="15" s="1"/>
  <c r="AE204" i="15"/>
  <c r="AE218" i="15" s="1"/>
  <c r="AS19" i="15" s="1"/>
  <c r="AD218" i="15"/>
  <c r="AP19" i="15" s="1"/>
  <c r="AC115" i="15"/>
  <c r="AR14" i="15" s="1"/>
  <c r="AD229" i="15"/>
  <c r="AP20" i="15" s="1"/>
  <c r="AE223" i="15"/>
  <c r="AE229" i="15" s="1"/>
  <c r="AS20" i="15" s="1"/>
  <c r="AD115" i="15"/>
  <c r="AP14" i="15" s="1"/>
  <c r="AE84" i="15"/>
  <c r="AE115" i="15" s="1"/>
  <c r="AS14" i="15" s="1"/>
  <c r="AC229" i="15"/>
  <c r="AR20" i="15" s="1"/>
  <c r="AC187" i="15"/>
  <c r="AR17" i="15" s="1"/>
  <c r="AE167" i="15"/>
  <c r="AE187" i="15" s="1"/>
  <c r="AS17" i="15" s="1"/>
  <c r="AD187" i="15"/>
  <c r="AP17" i="15" s="1"/>
  <c r="AC162" i="15"/>
  <c r="AR16" i="15" s="1"/>
  <c r="AC140" i="15"/>
  <c r="AR15" i="15" s="1"/>
  <c r="AB218" i="15"/>
  <c r="AO19" i="15" s="1"/>
  <c r="AB115" i="15"/>
  <c r="AO14" i="15" s="1"/>
  <c r="AB229" i="15"/>
  <c r="AO20" i="15" s="1"/>
  <c r="AB187" i="15"/>
  <c r="AO17" i="15" s="1"/>
  <c r="AB162" i="15"/>
  <c r="AO16" i="15" s="1"/>
  <c r="AB140" i="15"/>
  <c r="AO15" i="15" s="1"/>
  <c r="I185" i="6"/>
  <c r="H185" i="6"/>
  <c r="G185" i="6"/>
  <c r="H149" i="6"/>
  <c r="I130" i="6"/>
  <c r="G130" i="6"/>
  <c r="H131" i="6"/>
  <c r="I131" i="6"/>
  <c r="J131" i="6"/>
  <c r="G158" i="6"/>
  <c r="J158" i="6"/>
  <c r="J151" i="6"/>
  <c r="G151" i="6"/>
  <c r="I151" i="6"/>
  <c r="H158" i="6"/>
  <c r="J144" i="6"/>
  <c r="G144" i="6"/>
  <c r="H144" i="6"/>
  <c r="H193" i="6"/>
  <c r="J193" i="6"/>
  <c r="I193" i="6"/>
  <c r="H129" i="6"/>
  <c r="H200" i="6" s="1"/>
  <c r="J129" i="6"/>
  <c r="J200" i="6" s="1"/>
  <c r="I204" i="6"/>
  <c r="J204" i="6"/>
  <c r="G204" i="6"/>
  <c r="G129" i="6"/>
  <c r="G200" i="6" s="1"/>
  <c r="I129" i="6"/>
  <c r="I200" i="6" s="1"/>
  <c r="G203" i="6"/>
  <c r="J203" i="6"/>
  <c r="I203" i="6"/>
  <c r="H203" i="6"/>
  <c r="J201" i="6"/>
  <c r="H201" i="6"/>
  <c r="G201" i="6"/>
  <c r="I201" i="6"/>
  <c r="J145" i="6"/>
  <c r="H145" i="6"/>
  <c r="G145" i="6"/>
  <c r="I145" i="6"/>
  <c r="J133" i="6"/>
  <c r="G133" i="6"/>
  <c r="H133" i="6"/>
  <c r="H172" i="6"/>
  <c r="J128" i="6"/>
  <c r="J172" i="6"/>
  <c r="G172" i="6"/>
  <c r="D179" i="6"/>
  <c r="J141" i="6"/>
  <c r="G206" i="6"/>
  <c r="G169" i="6"/>
  <c r="G194" i="6"/>
  <c r="H141" i="6"/>
  <c r="G139" i="6"/>
  <c r="H163" i="6"/>
  <c r="I161" i="6"/>
  <c r="H194" i="6"/>
  <c r="J188" i="6"/>
  <c r="J160" i="6"/>
  <c r="H159" i="6"/>
  <c r="I135" i="6"/>
  <c r="G152" i="6"/>
  <c r="H198" i="6"/>
  <c r="I166" i="6"/>
  <c r="I220" i="6"/>
  <c r="I168" i="6"/>
  <c r="H213" i="6"/>
  <c r="I216" i="6"/>
  <c r="G142" i="6"/>
  <c r="J219" i="6"/>
  <c r="I167" i="6"/>
  <c r="I170" i="6"/>
  <c r="I207" i="6"/>
  <c r="J194" i="6"/>
  <c r="H214" i="6"/>
  <c r="H154" i="6"/>
  <c r="G186" i="6"/>
  <c r="H150" i="6"/>
  <c r="J132" i="6"/>
  <c r="I177" i="6"/>
  <c r="I195" i="6"/>
  <c r="J208" i="6"/>
  <c r="G192" i="6"/>
  <c r="I134" i="6"/>
  <c r="G176" i="6"/>
  <c r="G157" i="6"/>
  <c r="J176" i="6"/>
  <c r="H126" i="6"/>
  <c r="I191" i="6"/>
  <c r="I183" i="6"/>
  <c r="J173" i="6"/>
  <c r="I217" i="6"/>
  <c r="I184" i="6"/>
  <c r="H156" i="6"/>
  <c r="J209" i="6"/>
  <c r="J174" i="6"/>
  <c r="H181" i="6"/>
  <c r="H189" i="6"/>
  <c r="I187" i="6"/>
  <c r="H137" i="6"/>
  <c r="H218" i="6"/>
  <c r="H175" i="6"/>
  <c r="I138" i="6"/>
  <c r="J210" i="6"/>
  <c r="G197" i="6"/>
  <c r="J148" i="6"/>
  <c r="J179" i="6" s="1"/>
  <c r="J127" i="6"/>
  <c r="J165" i="6" s="1"/>
  <c r="G171" i="6"/>
  <c r="H140" i="6"/>
  <c r="G153" i="6"/>
  <c r="G163" i="6"/>
  <c r="G136" i="6"/>
  <c r="G211" i="6"/>
  <c r="H139" i="6"/>
  <c r="I180" i="6"/>
  <c r="I169" i="6"/>
  <c r="H161" i="6"/>
  <c r="J206" i="6"/>
  <c r="I141" i="6"/>
  <c r="H180" i="6"/>
  <c r="H211" i="6"/>
  <c r="J163" i="6"/>
  <c r="H169" i="6"/>
  <c r="J136" i="6"/>
  <c r="J161" i="6"/>
  <c r="H206" i="6"/>
  <c r="H153" i="6"/>
  <c r="G180" i="6"/>
  <c r="J211" i="6"/>
  <c r="J139" i="6"/>
  <c r="I136" i="6"/>
  <c r="J138" i="6"/>
  <c r="G137" i="6"/>
  <c r="I174" i="6"/>
  <c r="H128" i="6"/>
  <c r="I209" i="6"/>
  <c r="J175" i="6"/>
  <c r="G175" i="6"/>
  <c r="I128" i="6"/>
  <c r="G218" i="6"/>
  <c r="G138" i="6"/>
  <c r="H209" i="6"/>
  <c r="J189" i="6"/>
  <c r="G209" i="6"/>
  <c r="G156" i="6"/>
  <c r="J156" i="6"/>
  <c r="I153" i="6"/>
  <c r="I189" i="6"/>
  <c r="J137" i="6"/>
  <c r="I156" i="6"/>
  <c r="G174" i="6"/>
  <c r="I137" i="6"/>
  <c r="G187" i="6"/>
  <c r="J181" i="6"/>
  <c r="H174" i="6"/>
  <c r="H173" i="6"/>
  <c r="J207" i="6"/>
  <c r="I181" i="6"/>
  <c r="H187" i="6"/>
  <c r="G181" i="6"/>
  <c r="H207" i="6"/>
  <c r="I173" i="6"/>
  <c r="J153" i="6"/>
  <c r="G189" i="6"/>
  <c r="J187" i="6"/>
  <c r="J218" i="6"/>
  <c r="G184" i="6"/>
  <c r="H176" i="6"/>
  <c r="I176" i="6"/>
  <c r="G207" i="6"/>
  <c r="J170" i="6"/>
  <c r="J217" i="6"/>
  <c r="G217" i="6"/>
  <c r="H170" i="6"/>
  <c r="G170" i="6"/>
  <c r="G220" i="6"/>
  <c r="H220" i="6"/>
  <c r="H134" i="6"/>
  <c r="G134" i="6"/>
  <c r="J134" i="6"/>
  <c r="J220" i="6"/>
  <c r="H184" i="6"/>
  <c r="J184" i="6"/>
  <c r="H217" i="6"/>
  <c r="H192" i="6"/>
  <c r="H171" i="6"/>
  <c r="J177" i="6"/>
  <c r="G140" i="6"/>
  <c r="J140" i="6"/>
  <c r="I140" i="6"/>
  <c r="H166" i="6"/>
  <c r="G166" i="6"/>
  <c r="G173" i="6"/>
  <c r="J166" i="6"/>
  <c r="H177" i="6"/>
  <c r="G177" i="6"/>
  <c r="I171" i="6"/>
  <c r="I208" i="6"/>
  <c r="J191" i="6"/>
  <c r="J198" i="6"/>
  <c r="J135" i="6"/>
  <c r="G198" i="6"/>
  <c r="G135" i="6"/>
  <c r="I142" i="6"/>
  <c r="H135" i="6"/>
  <c r="G191" i="6"/>
  <c r="I132" i="6"/>
  <c r="G132" i="6"/>
  <c r="I198" i="6"/>
  <c r="J183" i="6"/>
  <c r="H183" i="6"/>
  <c r="G183" i="6"/>
  <c r="H208" i="6"/>
  <c r="I192" i="6"/>
  <c r="J192" i="6"/>
  <c r="K179" i="6"/>
  <c r="I126" i="6"/>
  <c r="J195" i="6"/>
  <c r="J171" i="6"/>
  <c r="G208" i="6"/>
  <c r="H127" i="6"/>
  <c r="H165" i="6" s="1"/>
  <c r="G127" i="6"/>
  <c r="G165" i="6" s="1"/>
  <c r="J216" i="6"/>
  <c r="H160" i="6"/>
  <c r="G148" i="6"/>
  <c r="G179" i="6" s="1"/>
  <c r="I219" i="6"/>
  <c r="G219" i="6"/>
  <c r="H167" i="6"/>
  <c r="J186" i="6"/>
  <c r="J197" i="6"/>
  <c r="H186" i="6"/>
  <c r="J167" i="6"/>
  <c r="J168" i="6"/>
  <c r="H148" i="6"/>
  <c r="H179" i="6" s="1"/>
  <c r="G167" i="6"/>
  <c r="I148" i="6"/>
  <c r="I179" i="6" s="1"/>
  <c r="J142" i="6"/>
  <c r="H216" i="6"/>
  <c r="I186" i="6"/>
  <c r="H142" i="6"/>
  <c r="H219" i="6"/>
  <c r="H132" i="6"/>
  <c r="G210" i="6"/>
  <c r="H210" i="6"/>
  <c r="H191" i="6"/>
  <c r="I160" i="6"/>
  <c r="H197" i="6"/>
  <c r="J152" i="6"/>
  <c r="G150" i="6"/>
  <c r="G159" i="6"/>
  <c r="J213" i="6"/>
  <c r="I159" i="6"/>
  <c r="J159" i="6"/>
  <c r="G160" i="6"/>
  <c r="G213" i="6"/>
  <c r="J150" i="6"/>
  <c r="I150" i="6"/>
  <c r="J126" i="6"/>
  <c r="G126" i="6"/>
  <c r="H152" i="6"/>
  <c r="J157" i="6"/>
  <c r="J214" i="6"/>
  <c r="I210" i="6"/>
  <c r="I154" i="6"/>
  <c r="G154" i="6"/>
  <c r="J154" i="6"/>
  <c r="K165" i="6"/>
  <c r="H168" i="6"/>
  <c r="I127" i="6"/>
  <c r="I165" i="6" s="1"/>
  <c r="G216" i="6"/>
  <c r="I213" i="6"/>
  <c r="I214" i="6"/>
  <c r="G214" i="6"/>
  <c r="I197" i="6"/>
  <c r="H195" i="6"/>
  <c r="G195" i="6"/>
  <c r="H188" i="6"/>
  <c r="G188" i="6"/>
  <c r="I152" i="6"/>
  <c r="G168" i="6"/>
  <c r="I188" i="6"/>
  <c r="I157" i="6"/>
  <c r="H157" i="6"/>
  <c r="BL5" i="11"/>
  <c r="BL10" i="11"/>
  <c r="BJ5" i="11"/>
  <c r="BJ6" i="11"/>
  <c r="BJ8" i="11"/>
  <c r="BJ9" i="11"/>
  <c r="BJ10" i="11"/>
  <c r="BJ11" i="11"/>
  <c r="BJ13" i="11"/>
  <c r="BJ14" i="11"/>
  <c r="BJ15" i="11"/>
  <c r="BJ16" i="11"/>
  <c r="BJ17" i="11"/>
  <c r="BJ18" i="11"/>
  <c r="BJ19" i="11"/>
  <c r="BJ20" i="11"/>
  <c r="BJ21" i="11"/>
  <c r="BJ22" i="11"/>
  <c r="BJ23" i="11"/>
  <c r="BJ24" i="11"/>
  <c r="BJ25" i="11"/>
  <c r="BJ26" i="11"/>
  <c r="BJ27" i="11"/>
  <c r="BJ28" i="11"/>
  <c r="BJ29" i="11"/>
  <c r="BJ30" i="11"/>
  <c r="BJ32" i="11"/>
  <c r="BJ35" i="11"/>
  <c r="BJ36" i="11"/>
  <c r="BJ37" i="11"/>
  <c r="BJ38" i="11"/>
  <c r="BJ39" i="11"/>
  <c r="BJ40" i="11"/>
  <c r="BJ41" i="11"/>
  <c r="BI5" i="11"/>
  <c r="BI6" i="11"/>
  <c r="BI8" i="11"/>
  <c r="BI9" i="11"/>
  <c r="BI10" i="11"/>
  <c r="BI11" i="11"/>
  <c r="BI13" i="11"/>
  <c r="BI14" i="11"/>
  <c r="BI15" i="11"/>
  <c r="BI16" i="11"/>
  <c r="BI17" i="11"/>
  <c r="BI18" i="11"/>
  <c r="BI19" i="11"/>
  <c r="BI20" i="11"/>
  <c r="BI21" i="11"/>
  <c r="BI22" i="11"/>
  <c r="BI23" i="11"/>
  <c r="BI24" i="11"/>
  <c r="BI25" i="11"/>
  <c r="BI26" i="11"/>
  <c r="BI27" i="11"/>
  <c r="BI28" i="11"/>
  <c r="BI29" i="11"/>
  <c r="BI30" i="11"/>
  <c r="BI32" i="11"/>
  <c r="BI35" i="11"/>
  <c r="BI36" i="11"/>
  <c r="BI37" i="11"/>
  <c r="BI38" i="11"/>
  <c r="BI39" i="11"/>
  <c r="BI40" i="11"/>
  <c r="BI41" i="11"/>
  <c r="AR41" i="11"/>
  <c r="BH41" i="11" s="1"/>
  <c r="AE41" i="11"/>
  <c r="BA41" i="11" s="1"/>
  <c r="AC41" i="11"/>
  <c r="AZ41" i="11" s="1"/>
  <c r="AA41" i="11"/>
  <c r="Y41" i="11"/>
  <c r="AY41" i="11" s="1"/>
  <c r="W41" i="11"/>
  <c r="AX41" i="11" s="1"/>
  <c r="U41" i="11"/>
  <c r="AW41" i="11" s="1"/>
  <c r="M41" i="11"/>
  <c r="AR40" i="11"/>
  <c r="AC40" i="11"/>
  <c r="AZ40" i="11" s="1"/>
  <c r="AA40" i="11"/>
  <c r="W40" i="11"/>
  <c r="AX40" i="11" s="1"/>
  <c r="U40" i="11"/>
  <c r="AW40" i="11" s="1"/>
  <c r="M40" i="11"/>
  <c r="AR39" i="11"/>
  <c r="AE39" i="11"/>
  <c r="BA39" i="11" s="1"/>
  <c r="AC39" i="11"/>
  <c r="AZ39" i="11" s="1"/>
  <c r="AA39" i="11"/>
  <c r="Y39" i="11"/>
  <c r="AY39" i="11" s="1"/>
  <c r="W39" i="11"/>
  <c r="AX39" i="11" s="1"/>
  <c r="U39" i="11"/>
  <c r="AW39" i="11" s="1"/>
  <c r="M39" i="11"/>
  <c r="AR38" i="11"/>
  <c r="AE38" i="11"/>
  <c r="BA38" i="11" s="1"/>
  <c r="AC38" i="11"/>
  <c r="AZ38" i="11" s="1"/>
  <c r="AA38" i="11"/>
  <c r="Y38" i="11"/>
  <c r="AY38" i="11" s="1"/>
  <c r="W38" i="11"/>
  <c r="AX38" i="11" s="1"/>
  <c r="U38" i="11"/>
  <c r="AW38" i="11" s="1"/>
  <c r="Q38" i="11"/>
  <c r="AU38" i="11" s="1"/>
  <c r="M38" i="11"/>
  <c r="AR37" i="11"/>
  <c r="AE37" i="11"/>
  <c r="BA37" i="11" s="1"/>
  <c r="AC37" i="11"/>
  <c r="AZ37" i="11" s="1"/>
  <c r="AA37" i="11"/>
  <c r="Y37" i="11"/>
  <c r="AY37" i="11" s="1"/>
  <c r="W37" i="11"/>
  <c r="AX37" i="11" s="1"/>
  <c r="U37" i="11"/>
  <c r="AW37" i="11" s="1"/>
  <c r="Q37" i="11"/>
  <c r="AU37" i="11" s="1"/>
  <c r="M37" i="11"/>
  <c r="AR36" i="11"/>
  <c r="BH36" i="11" s="1"/>
  <c r="AE36" i="11"/>
  <c r="BA36" i="11" s="1"/>
  <c r="AC36" i="11"/>
  <c r="AZ36" i="11" s="1"/>
  <c r="AA36" i="11"/>
  <c r="Y36" i="11"/>
  <c r="AY36" i="11" s="1"/>
  <c r="W36" i="11"/>
  <c r="AX36" i="11" s="1"/>
  <c r="U36" i="11"/>
  <c r="AW36" i="11" s="1"/>
  <c r="M36" i="11"/>
  <c r="AR35" i="11"/>
  <c r="AC35" i="11"/>
  <c r="AZ35" i="11" s="1"/>
  <c r="AA35" i="11"/>
  <c r="W35" i="11"/>
  <c r="AX35" i="11" s="1"/>
  <c r="U35" i="11"/>
  <c r="AW35" i="11" s="1"/>
  <c r="M35" i="11"/>
  <c r="AR32" i="11"/>
  <c r="AE32" i="11"/>
  <c r="BA32" i="11" s="1"/>
  <c r="AC32" i="11"/>
  <c r="AZ32" i="11" s="1"/>
  <c r="AA32" i="11"/>
  <c r="Y32" i="11"/>
  <c r="AY32" i="11" s="1"/>
  <c r="W32" i="11"/>
  <c r="AX32" i="11" s="1"/>
  <c r="U32" i="11"/>
  <c r="AW32" i="11" s="1"/>
  <c r="M32" i="11"/>
  <c r="AR30" i="11"/>
  <c r="BH30" i="11" s="1"/>
  <c r="AE30" i="11"/>
  <c r="BA30" i="11" s="1"/>
  <c r="AC30" i="11"/>
  <c r="AZ30" i="11" s="1"/>
  <c r="AA30" i="11"/>
  <c r="Y30" i="11"/>
  <c r="AY30" i="11" s="1"/>
  <c r="W30" i="11"/>
  <c r="AX30" i="11" s="1"/>
  <c r="U30" i="11"/>
  <c r="AW30" i="11" s="1"/>
  <c r="M30" i="11"/>
  <c r="AR29" i="11"/>
  <c r="AC29" i="11"/>
  <c r="AZ29" i="11" s="1"/>
  <c r="AA29" i="11"/>
  <c r="W29" i="11"/>
  <c r="AX29" i="11" s="1"/>
  <c r="U29" i="11"/>
  <c r="AW29" i="11" s="1"/>
  <c r="M29" i="11"/>
  <c r="AR28" i="11"/>
  <c r="AE28" i="11"/>
  <c r="BA28" i="11" s="1"/>
  <c r="AC28" i="11"/>
  <c r="AZ28" i="11" s="1"/>
  <c r="AA28" i="11"/>
  <c r="Y28" i="11"/>
  <c r="AY28" i="11" s="1"/>
  <c r="W28" i="11"/>
  <c r="AX28" i="11" s="1"/>
  <c r="U28" i="11"/>
  <c r="AW28" i="11" s="1"/>
  <c r="M28" i="11"/>
  <c r="AR27" i="11"/>
  <c r="AE27" i="11"/>
  <c r="BA27" i="11" s="1"/>
  <c r="AC27" i="11"/>
  <c r="AZ27" i="11" s="1"/>
  <c r="AA27" i="11"/>
  <c r="Y27" i="11"/>
  <c r="AY27" i="11" s="1"/>
  <c r="W27" i="11"/>
  <c r="AX27" i="11" s="1"/>
  <c r="U27" i="11"/>
  <c r="AW27" i="11" s="1"/>
  <c r="Q27" i="11"/>
  <c r="AU27" i="11" s="1"/>
  <c r="M27" i="11"/>
  <c r="AR26" i="11"/>
  <c r="BH26" i="11" s="1"/>
  <c r="AE26" i="11"/>
  <c r="BA26" i="11" s="1"/>
  <c r="AC26" i="11"/>
  <c r="AZ26" i="11" s="1"/>
  <c r="AA26" i="11"/>
  <c r="Y26" i="11"/>
  <c r="AY26" i="11" s="1"/>
  <c r="W26" i="11"/>
  <c r="AX26" i="11" s="1"/>
  <c r="U26" i="11"/>
  <c r="AW26" i="11" s="1"/>
  <c r="M26" i="11"/>
  <c r="AR25" i="11"/>
  <c r="AC25" i="11"/>
  <c r="AZ25" i="11" s="1"/>
  <c r="AA25" i="11"/>
  <c r="W25" i="11"/>
  <c r="AX25" i="11" s="1"/>
  <c r="U25" i="11"/>
  <c r="AW25" i="11" s="1"/>
  <c r="M25" i="11"/>
  <c r="AR24" i="11"/>
  <c r="AE24" i="11"/>
  <c r="BA24" i="11" s="1"/>
  <c r="AC24" i="11"/>
  <c r="AZ24" i="11" s="1"/>
  <c r="AA24" i="11"/>
  <c r="Y24" i="11"/>
  <c r="AY24" i="11" s="1"/>
  <c r="W24" i="11"/>
  <c r="AX24" i="11" s="1"/>
  <c r="U24" i="11"/>
  <c r="AW24" i="11" s="1"/>
  <c r="M24" i="11"/>
  <c r="AR23" i="11"/>
  <c r="AE23" i="11"/>
  <c r="BA23" i="11" s="1"/>
  <c r="AC23" i="11"/>
  <c r="AZ23" i="11" s="1"/>
  <c r="AA23" i="11"/>
  <c r="Y23" i="11"/>
  <c r="AY23" i="11" s="1"/>
  <c r="W23" i="11"/>
  <c r="AX23" i="11" s="1"/>
  <c r="U23" i="11"/>
  <c r="AW23" i="11" s="1"/>
  <c r="Q23" i="11"/>
  <c r="AU23" i="11" s="1"/>
  <c r="M23" i="11"/>
  <c r="AR22" i="11"/>
  <c r="BH22" i="11" s="1"/>
  <c r="AE22" i="11"/>
  <c r="BA22" i="11" s="1"/>
  <c r="AC22" i="11"/>
  <c r="AZ22" i="11" s="1"/>
  <c r="AA22" i="11"/>
  <c r="Y22" i="11"/>
  <c r="AY22" i="11" s="1"/>
  <c r="W22" i="11"/>
  <c r="AX22" i="11" s="1"/>
  <c r="U22" i="11"/>
  <c r="AW22" i="11" s="1"/>
  <c r="M22" i="11"/>
  <c r="AR21" i="11"/>
  <c r="AC21" i="11"/>
  <c r="AZ21" i="11" s="1"/>
  <c r="AA21" i="11"/>
  <c r="W21" i="11"/>
  <c r="AX21" i="11" s="1"/>
  <c r="U21" i="11"/>
  <c r="AW21" i="11" s="1"/>
  <c r="M21" i="11"/>
  <c r="AR20" i="11"/>
  <c r="AE20" i="11"/>
  <c r="BA20" i="11" s="1"/>
  <c r="AC20" i="11"/>
  <c r="AZ20" i="11" s="1"/>
  <c r="AA20" i="11"/>
  <c r="Y20" i="11"/>
  <c r="AY20" i="11" s="1"/>
  <c r="W20" i="11"/>
  <c r="AX20" i="11" s="1"/>
  <c r="U20" i="11"/>
  <c r="AW20" i="11" s="1"/>
  <c r="M20" i="11"/>
  <c r="AR19" i="11"/>
  <c r="AE19" i="11"/>
  <c r="BA19" i="11" s="1"/>
  <c r="AC19" i="11"/>
  <c r="AZ19" i="11" s="1"/>
  <c r="AA19" i="11"/>
  <c r="Y19" i="11"/>
  <c r="AY19" i="11" s="1"/>
  <c r="W19" i="11"/>
  <c r="AX19" i="11" s="1"/>
  <c r="U19" i="11"/>
  <c r="AW19" i="11" s="1"/>
  <c r="Q19" i="11"/>
  <c r="AU19" i="11" s="1"/>
  <c r="M19" i="11"/>
  <c r="AR18" i="11"/>
  <c r="AE18" i="11"/>
  <c r="BA18" i="11" s="1"/>
  <c r="AC18" i="11"/>
  <c r="AZ18" i="11" s="1"/>
  <c r="AA18" i="11"/>
  <c r="Y18" i="11"/>
  <c r="AY18" i="11" s="1"/>
  <c r="W18" i="11"/>
  <c r="AX18" i="11" s="1"/>
  <c r="U18" i="11"/>
  <c r="AW18" i="11" s="1"/>
  <c r="Q18" i="11"/>
  <c r="AU18" i="11" s="1"/>
  <c r="M18" i="11"/>
  <c r="AR17" i="11"/>
  <c r="BH17" i="11" s="1"/>
  <c r="AE17" i="11"/>
  <c r="BA17" i="11" s="1"/>
  <c r="AC17" i="11"/>
  <c r="AZ17" i="11" s="1"/>
  <c r="AA17" i="11"/>
  <c r="Y17" i="11"/>
  <c r="AY17" i="11" s="1"/>
  <c r="W17" i="11"/>
  <c r="AX17" i="11" s="1"/>
  <c r="U17" i="11"/>
  <c r="AW17" i="11" s="1"/>
  <c r="M17" i="11"/>
  <c r="AR16" i="11"/>
  <c r="AC16" i="11"/>
  <c r="AZ16" i="11" s="1"/>
  <c r="AA16" i="11"/>
  <c r="W16" i="11"/>
  <c r="AX16" i="11" s="1"/>
  <c r="U16" i="11"/>
  <c r="AW16" i="11" s="1"/>
  <c r="M16" i="11"/>
  <c r="AR15" i="11"/>
  <c r="AC15" i="11"/>
  <c r="AZ15" i="11" s="1"/>
  <c r="AA15" i="11"/>
  <c r="W15" i="11"/>
  <c r="AX15" i="11" s="1"/>
  <c r="U15" i="11"/>
  <c r="AW15" i="11" s="1"/>
  <c r="M15" i="11"/>
  <c r="AR14" i="11"/>
  <c r="W14" i="11"/>
  <c r="AX14" i="11" s="1"/>
  <c r="U14" i="11"/>
  <c r="AW14" i="11" s="1"/>
  <c r="M14" i="11"/>
  <c r="AR13" i="11"/>
  <c r="BH13" i="11" s="1"/>
  <c r="BE13" i="11" s="1"/>
  <c r="AE13" i="11"/>
  <c r="AC13" i="11"/>
  <c r="AA13" i="11"/>
  <c r="Y13" i="11"/>
  <c r="W13" i="11"/>
  <c r="U13" i="11"/>
  <c r="O13" i="11"/>
  <c r="AR11" i="11"/>
  <c r="AE11" i="11"/>
  <c r="BA11" i="11" s="1"/>
  <c r="AC11" i="11"/>
  <c r="AZ11" i="11" s="1"/>
  <c r="AA11" i="11"/>
  <c r="Y11" i="11"/>
  <c r="AY11" i="11" s="1"/>
  <c r="M11" i="11"/>
  <c r="AR10" i="11"/>
  <c r="AE10" i="11"/>
  <c r="BA10" i="11" s="1"/>
  <c r="AC10" i="11"/>
  <c r="AZ10" i="11" s="1"/>
  <c r="AA10" i="11"/>
  <c r="Y10" i="11"/>
  <c r="AY10" i="11" s="1"/>
  <c r="W10" i="11"/>
  <c r="U10" i="11"/>
  <c r="S10" i="11"/>
  <c r="AV10" i="11" s="1"/>
  <c r="Q10" i="11"/>
  <c r="AU10" i="11" s="1"/>
  <c r="O10" i="11"/>
  <c r="AT10" i="11" s="1"/>
  <c r="AR9" i="11"/>
  <c r="W9" i="11"/>
  <c r="AX9" i="11" s="1"/>
  <c r="U9" i="11"/>
  <c r="AW9" i="11" s="1"/>
  <c r="M9" i="11"/>
  <c r="AR8" i="11"/>
  <c r="BH8" i="11" s="1"/>
  <c r="AE8" i="11"/>
  <c r="BA8" i="11" s="1"/>
  <c r="AC8" i="11"/>
  <c r="AZ8" i="11" s="1"/>
  <c r="AA8" i="11"/>
  <c r="Y8" i="11"/>
  <c r="AY8" i="11" s="1"/>
  <c r="W8" i="11"/>
  <c r="AX8" i="11" s="1"/>
  <c r="U8" i="11"/>
  <c r="AW8" i="11" s="1"/>
  <c r="M8" i="11"/>
  <c r="AR6" i="11"/>
  <c r="AE6" i="11"/>
  <c r="BA6" i="11" s="1"/>
  <c r="AC6" i="11"/>
  <c r="AZ6" i="11" s="1"/>
  <c r="AA6" i="11"/>
  <c r="Y6" i="11"/>
  <c r="AY6" i="11" s="1"/>
  <c r="M6" i="11"/>
  <c r="AR5" i="11"/>
  <c r="AE5" i="11"/>
  <c r="AC5" i="11"/>
  <c r="AA5" i="11"/>
  <c r="Y5" i="11"/>
  <c r="W5" i="11"/>
  <c r="U5" i="11"/>
  <c r="S5" i="11"/>
  <c r="Q5" i="11"/>
  <c r="O5" i="11"/>
  <c r="AQ20" i="15" l="1"/>
  <c r="AQ16" i="15"/>
  <c r="AQ15" i="15"/>
  <c r="AQ19" i="15"/>
  <c r="AQ17" i="15"/>
  <c r="AT16" i="15"/>
  <c r="AQ14" i="15"/>
  <c r="AT15" i="15"/>
  <c r="AT17" i="15"/>
  <c r="AT20" i="15"/>
  <c r="AT14" i="15"/>
  <c r="AT19" i="15"/>
  <c r="BE17" i="11"/>
  <c r="BE8" i="11"/>
  <c r="BE36" i="11"/>
  <c r="BE26" i="11"/>
  <c r="BE30" i="11"/>
  <c r="BE22" i="11"/>
  <c r="BE41" i="11"/>
  <c r="AS5" i="11"/>
  <c r="BB5" i="11" s="1"/>
  <c r="BH5" i="11"/>
  <c r="AS25" i="11"/>
  <c r="BB25" i="11" s="1"/>
  <c r="BH25" i="11"/>
  <c r="BE25" i="11" s="1"/>
  <c r="AS23" i="11"/>
  <c r="BB23" i="11" s="1"/>
  <c r="BH23" i="11"/>
  <c r="BE23" i="11" s="1"/>
  <c r="AS37" i="11"/>
  <c r="BB37" i="11" s="1"/>
  <c r="BH37" i="11"/>
  <c r="BE37" i="11" s="1"/>
  <c r="AS9" i="11"/>
  <c r="BB9" i="11" s="1"/>
  <c r="BH9" i="11"/>
  <c r="BE9" i="11" s="1"/>
  <c r="AS21" i="11"/>
  <c r="BB21" i="11" s="1"/>
  <c r="BH21" i="11"/>
  <c r="BE21" i="11" s="1"/>
  <c r="AS39" i="11"/>
  <c r="BB39" i="11" s="1"/>
  <c r="BH39" i="11"/>
  <c r="BE39" i="11" s="1"/>
  <c r="AS35" i="11"/>
  <c r="BB35" i="11" s="1"/>
  <c r="BH35" i="11"/>
  <c r="BE35" i="11" s="1"/>
  <c r="AS16" i="11"/>
  <c r="BB16" i="11" s="1"/>
  <c r="BH16" i="11"/>
  <c r="BE16" i="11" s="1"/>
  <c r="AS28" i="11"/>
  <c r="BB28" i="11" s="1"/>
  <c r="BH28" i="11"/>
  <c r="BE28" i="11" s="1"/>
  <c r="AS18" i="11"/>
  <c r="BB18" i="11" s="1"/>
  <c r="BH18" i="11"/>
  <c r="BE18" i="11" s="1"/>
  <c r="AS24" i="11"/>
  <c r="BB24" i="11" s="1"/>
  <c r="BH24" i="11"/>
  <c r="BE24" i="11" s="1"/>
  <c r="AS19" i="11"/>
  <c r="BB19" i="11" s="1"/>
  <c r="BH19" i="11"/>
  <c r="BE19" i="11" s="1"/>
  <c r="AS10" i="11"/>
  <c r="BB10" i="11" s="1"/>
  <c r="BF10" i="11" s="1"/>
  <c r="BG10" i="11" s="1"/>
  <c r="BH10" i="11"/>
  <c r="BE10" i="11" s="1"/>
  <c r="AS20" i="11"/>
  <c r="BB20" i="11" s="1"/>
  <c r="BH20" i="11"/>
  <c r="BE20" i="11" s="1"/>
  <c r="AS11" i="11"/>
  <c r="BB11" i="11" s="1"/>
  <c r="BH11" i="11"/>
  <c r="BE11" i="11" s="1"/>
  <c r="AS15" i="11"/>
  <c r="BB15" i="11" s="1"/>
  <c r="BH15" i="11"/>
  <c r="BE15" i="11" s="1"/>
  <c r="AS6" i="11"/>
  <c r="BB6" i="11" s="1"/>
  <c r="BH6" i="11"/>
  <c r="BE6" i="11" s="1"/>
  <c r="AS40" i="11"/>
  <c r="BB40" i="11" s="1"/>
  <c r="BH40" i="11"/>
  <c r="BE40" i="11" s="1"/>
  <c r="AS27" i="11"/>
  <c r="BB27" i="11" s="1"/>
  <c r="BH27" i="11"/>
  <c r="BE27" i="11" s="1"/>
  <c r="AS14" i="11"/>
  <c r="BB14" i="11" s="1"/>
  <c r="BH14" i="11"/>
  <c r="BE14" i="11" s="1"/>
  <c r="AS29" i="11"/>
  <c r="BB29" i="11" s="1"/>
  <c r="BH29" i="11"/>
  <c r="BE29" i="11" s="1"/>
  <c r="AS32" i="11"/>
  <c r="BB32" i="11" s="1"/>
  <c r="BH32" i="11"/>
  <c r="BE32" i="11" s="1"/>
  <c r="AS38" i="11"/>
  <c r="BB38" i="11" s="1"/>
  <c r="BH38" i="11"/>
  <c r="BE38" i="11" s="1"/>
  <c r="A32" i="11"/>
  <c r="B32" i="11"/>
  <c r="A9" i="11"/>
  <c r="B9" i="11"/>
  <c r="A41" i="11"/>
  <c r="B41" i="11"/>
  <c r="A6" i="11"/>
  <c r="B6" i="11"/>
  <c r="A30" i="11"/>
  <c r="B30" i="11"/>
  <c r="A35" i="11"/>
  <c r="B35" i="11"/>
  <c r="A39" i="11"/>
  <c r="B39" i="11"/>
  <c r="A18" i="11"/>
  <c r="B18" i="11"/>
  <c r="B28" i="11"/>
  <c r="A28" i="11"/>
  <c r="A22" i="11"/>
  <c r="B22" i="11"/>
  <c r="A24" i="11"/>
  <c r="B24" i="11"/>
  <c r="A16" i="11"/>
  <c r="B16" i="11"/>
  <c r="B20" i="11"/>
  <c r="A20" i="11"/>
  <c r="A38" i="11"/>
  <c r="B38" i="11"/>
  <c r="B8" i="11"/>
  <c r="A8" i="11"/>
  <c r="B27" i="11"/>
  <c r="A27" i="11"/>
  <c r="A14" i="11"/>
  <c r="B14" i="11"/>
  <c r="A17" i="11"/>
  <c r="B17" i="11"/>
  <c r="A23" i="11"/>
  <c r="B23" i="11"/>
  <c r="B29" i="11"/>
  <c r="A29" i="11"/>
  <c r="A26" i="11"/>
  <c r="B26" i="11"/>
  <c r="B19" i="11"/>
  <c r="A19" i="11"/>
  <c r="A25" i="11"/>
  <c r="B25" i="11"/>
  <c r="A11" i="11"/>
  <c r="B11" i="11"/>
  <c r="A40" i="11"/>
  <c r="B40" i="11"/>
  <c r="B36" i="11"/>
  <c r="A36" i="11"/>
  <c r="B21" i="11"/>
  <c r="A21" i="11"/>
  <c r="A15" i="11"/>
  <c r="B15" i="11"/>
  <c r="B37" i="11"/>
  <c r="A37" i="11"/>
  <c r="O24" i="11"/>
  <c r="AT24" i="11" s="1"/>
  <c r="AE16" i="11"/>
  <c r="BA16" i="11" s="1"/>
  <c r="O20" i="11"/>
  <c r="AT20" i="11" s="1"/>
  <c r="O28" i="11"/>
  <c r="AT28" i="11" s="1"/>
  <c r="S8" i="11"/>
  <c r="AV8" i="11" s="1"/>
  <c r="O36" i="11"/>
  <c r="AT36" i="11" s="1"/>
  <c r="O38" i="11"/>
  <c r="AT38" i="11" s="1"/>
  <c r="O18" i="11"/>
  <c r="AT18" i="11" s="1"/>
  <c r="O32" i="11"/>
  <c r="AT32" i="11" s="1"/>
  <c r="AE40" i="11"/>
  <c r="BA40" i="11" s="1"/>
  <c r="Q6" i="11"/>
  <c r="AU6" i="11" s="1"/>
  <c r="AE35" i="11"/>
  <c r="BA35" i="11" s="1"/>
  <c r="O27" i="11"/>
  <c r="AT27" i="11" s="1"/>
  <c r="AE14" i="11"/>
  <c r="BA14" i="11" s="1"/>
  <c r="O17" i="11"/>
  <c r="AT17" i="11" s="1"/>
  <c r="O23" i="11"/>
  <c r="AT23" i="11" s="1"/>
  <c r="AE29" i="11"/>
  <c r="BA29" i="11" s="1"/>
  <c r="O22" i="11"/>
  <c r="AT22" i="11" s="1"/>
  <c r="O39" i="11"/>
  <c r="AT39" i="11" s="1"/>
  <c r="O26" i="11"/>
  <c r="AT26" i="11" s="1"/>
  <c r="O11" i="11"/>
  <c r="AT11" i="11" s="1"/>
  <c r="AE21" i="11"/>
  <c r="BA21" i="11" s="1"/>
  <c r="O19" i="11"/>
  <c r="AT19" i="11" s="1"/>
  <c r="AE25" i="11"/>
  <c r="BA25" i="11" s="1"/>
  <c r="O37" i="11"/>
  <c r="AT37" i="11" s="1"/>
  <c r="O41" i="11"/>
  <c r="AT41" i="11" s="1"/>
  <c r="O30" i="11"/>
  <c r="AT30" i="11" s="1"/>
  <c r="Y9" i="11"/>
  <c r="AY9" i="11" s="1"/>
  <c r="O15" i="11"/>
  <c r="AT15" i="11" s="1"/>
  <c r="W6" i="11"/>
  <c r="AX6" i="11" s="1"/>
  <c r="U6" i="11"/>
  <c r="AW6" i="11" s="1"/>
  <c r="U11" i="11"/>
  <c r="AW11" i="11" s="1"/>
  <c r="W11" i="11"/>
  <c r="AX11" i="11" s="1"/>
  <c r="AE15" i="11"/>
  <c r="BA15" i="11" s="1"/>
  <c r="AA14" i="11"/>
  <c r="AA9" i="11"/>
  <c r="Y15" i="11"/>
  <c r="AY15" i="11" s="1"/>
  <c r="AC9" i="11"/>
  <c r="AZ9" i="11" s="1"/>
  <c r="AC14" i="11"/>
  <c r="AZ14" i="11" s="1"/>
  <c r="AW13" i="11"/>
  <c r="AZ13" i="11"/>
  <c r="AX13" i="11"/>
  <c r="BA13" i="11"/>
  <c r="AT13" i="11"/>
  <c r="AY13" i="11"/>
  <c r="BA5" i="11"/>
  <c r="AZ5" i="11"/>
  <c r="AY5" i="11"/>
  <c r="O9" i="11"/>
  <c r="AT9" i="11" s="1"/>
  <c r="AE9" i="11"/>
  <c r="BA9" i="11" s="1"/>
  <c r="Y35" i="11"/>
  <c r="AY35" i="11" s="1"/>
  <c r="Q35" i="11"/>
  <c r="AU35" i="11" s="1"/>
  <c r="S18" i="11"/>
  <c r="S29" i="11"/>
  <c r="AV29" i="11" s="1"/>
  <c r="S35" i="11"/>
  <c r="AV35" i="11" s="1"/>
  <c r="S9" i="11"/>
  <c r="AV9" i="11" s="1"/>
  <c r="BL41" i="11"/>
  <c r="BL37" i="11"/>
  <c r="BL30" i="11"/>
  <c r="BL26" i="11"/>
  <c r="BL22" i="11"/>
  <c r="BL18" i="11"/>
  <c r="BL14" i="11"/>
  <c r="BL9" i="11"/>
  <c r="BL40" i="11"/>
  <c r="BL36" i="11"/>
  <c r="BL29" i="11"/>
  <c r="BL25" i="11"/>
  <c r="BL21" i="11"/>
  <c r="BL17" i="11"/>
  <c r="BL13" i="11"/>
  <c r="BL8" i="11"/>
  <c r="Q16" i="11"/>
  <c r="AU16" i="11" s="1"/>
  <c r="Y16" i="11"/>
  <c r="AY16" i="11" s="1"/>
  <c r="S20" i="11"/>
  <c r="AV20" i="11" s="1"/>
  <c r="Q25" i="11"/>
  <c r="AU25" i="11" s="1"/>
  <c r="Y25" i="11"/>
  <c r="AY25" i="11" s="1"/>
  <c r="S39" i="11"/>
  <c r="AV39" i="11" s="1"/>
  <c r="BL39" i="11"/>
  <c r="BL35" i="11"/>
  <c r="BL28" i="11"/>
  <c r="BL24" i="11"/>
  <c r="BL20" i="11"/>
  <c r="BL16" i="11"/>
  <c r="BL11" i="11"/>
  <c r="BL6" i="11"/>
  <c r="Q9" i="11"/>
  <c r="AU9" i="11" s="1"/>
  <c r="S13" i="11"/>
  <c r="AV13" i="11" s="1"/>
  <c r="S16" i="11"/>
  <c r="AV16" i="11" s="1"/>
  <c r="S25" i="11"/>
  <c r="AV25" i="11" s="1"/>
  <c r="BL38" i="11"/>
  <c r="BL32" i="11"/>
  <c r="BL27" i="11"/>
  <c r="BL23" i="11"/>
  <c r="BL19" i="11"/>
  <c r="BL15" i="11"/>
  <c r="S6" i="11"/>
  <c r="AV6" i="11" s="1"/>
  <c r="S27" i="11"/>
  <c r="Q30" i="11"/>
  <c r="AU30" i="11" s="1"/>
  <c r="AS30" i="11"/>
  <c r="BB30" i="11" s="1"/>
  <c r="S37" i="11"/>
  <c r="S23" i="11"/>
  <c r="S30" i="11"/>
  <c r="AV30" i="11" s="1"/>
  <c r="Q11" i="11"/>
  <c r="AU11" i="11" s="1"/>
  <c r="AS17" i="11"/>
  <c r="BB17" i="11" s="1"/>
  <c r="Q21" i="11"/>
  <c r="AU21" i="11" s="1"/>
  <c r="Q26" i="11"/>
  <c r="AU26" i="11" s="1"/>
  <c r="AS36" i="11"/>
  <c r="BB36" i="11" s="1"/>
  <c r="Q40" i="11"/>
  <c r="AU40" i="11" s="1"/>
  <c r="Y40" i="11"/>
  <c r="AY40" i="11" s="1"/>
  <c r="O8" i="11"/>
  <c r="AT8" i="11" s="1"/>
  <c r="Q14" i="11"/>
  <c r="AU14" i="11" s="1"/>
  <c r="AS26" i="11"/>
  <c r="BB26" i="11" s="1"/>
  <c r="Q36" i="11"/>
  <c r="AU36" i="11" s="1"/>
  <c r="O6" i="11"/>
  <c r="AT6" i="11" s="1"/>
  <c r="Q8" i="11"/>
  <c r="AU8" i="11" s="1"/>
  <c r="Q15" i="11"/>
  <c r="AU15" i="11" s="1"/>
  <c r="S17" i="11"/>
  <c r="AV17" i="11" s="1"/>
  <c r="S19" i="11"/>
  <c r="AS22" i="11"/>
  <c r="BB22" i="11" s="1"/>
  <c r="Q24" i="11"/>
  <c r="AU24" i="11" s="1"/>
  <c r="S26" i="11"/>
  <c r="AV26" i="11" s="1"/>
  <c r="S40" i="11"/>
  <c r="AV40" i="11" s="1"/>
  <c r="Q41" i="11"/>
  <c r="AU41" i="11" s="1"/>
  <c r="AS41" i="11"/>
  <c r="BB41" i="11" s="1"/>
  <c r="Y14" i="11"/>
  <c r="AY14" i="11" s="1"/>
  <c r="Q17" i="11"/>
  <c r="AU17" i="11" s="1"/>
  <c r="Y21" i="11"/>
  <c r="AY21" i="11" s="1"/>
  <c r="Q28" i="11"/>
  <c r="AU28" i="11" s="1"/>
  <c r="AS8" i="11"/>
  <c r="BB8" i="11" s="1"/>
  <c r="S11" i="11"/>
  <c r="AV11" i="11" s="1"/>
  <c r="S14" i="11"/>
  <c r="AV14" i="11" s="1"/>
  <c r="S21" i="11"/>
  <c r="AV21" i="11" s="1"/>
  <c r="Q22" i="11"/>
  <c r="AU22" i="11" s="1"/>
  <c r="S28" i="11"/>
  <c r="AV28" i="11" s="1"/>
  <c r="Q32" i="11"/>
  <c r="AU32" i="11" s="1"/>
  <c r="S36" i="11"/>
  <c r="AV36" i="11" s="1"/>
  <c r="S38" i="11"/>
  <c r="Q13" i="11"/>
  <c r="AU13" i="11" s="1"/>
  <c r="AS13" i="11"/>
  <c r="BB13" i="11" s="1"/>
  <c r="S15" i="11"/>
  <c r="AV15" i="11" s="1"/>
  <c r="Q20" i="11"/>
  <c r="AU20" i="11" s="1"/>
  <c r="S22" i="11"/>
  <c r="AV22" i="11" s="1"/>
  <c r="S24" i="11"/>
  <c r="AV24" i="11" s="1"/>
  <c r="Q29" i="11"/>
  <c r="AU29" i="11" s="1"/>
  <c r="Y29" i="11"/>
  <c r="AY29" i="11" s="1"/>
  <c r="S32" i="11"/>
  <c r="AV32" i="11" s="1"/>
  <c r="Q39" i="11"/>
  <c r="AU39" i="11" s="1"/>
  <c r="S41" i="11"/>
  <c r="AV41" i="11" s="1"/>
  <c r="O14" i="11"/>
  <c r="AT14" i="11" s="1"/>
  <c r="O16" i="11"/>
  <c r="AT16" i="11" s="1"/>
  <c r="O21" i="11"/>
  <c r="AT21" i="11" s="1"/>
  <c r="O25" i="11"/>
  <c r="AT25" i="11" s="1"/>
  <c r="O29" i="11"/>
  <c r="AT29" i="11" s="1"/>
  <c r="O35" i="11"/>
  <c r="AT35" i="11" s="1"/>
  <c r="O40" i="11"/>
  <c r="AT40" i="11" s="1"/>
  <c r="F72" i="15" l="1"/>
  <c r="F78" i="15"/>
  <c r="F75" i="15"/>
  <c r="F70" i="15"/>
  <c r="F77" i="15"/>
  <c r="F74" i="15"/>
  <c r="F71" i="15"/>
  <c r="F73" i="15"/>
  <c r="F76" i="15"/>
  <c r="E75" i="20" a="1"/>
  <c r="E75" i="20" s="1"/>
  <c r="E73" i="20" a="1"/>
  <c r="E73" i="20" s="1"/>
  <c r="BE5" i="11"/>
  <c r="E73" i="15" a="1"/>
  <c r="E73" i="15" s="1"/>
  <c r="AA73" i="15" s="1"/>
  <c r="E75" i="15" a="1"/>
  <c r="E75" i="15" s="1"/>
  <c r="AA75" i="15" s="1"/>
  <c r="BD10" i="11"/>
  <c r="AA42" i="11"/>
  <c r="U42" i="11"/>
  <c r="W42" i="11"/>
  <c r="AC42" i="11"/>
  <c r="AE42" i="11"/>
  <c r="O42" i="11"/>
  <c r="Y42" i="11"/>
  <c r="AV19" i="11"/>
  <c r="BF19" i="11" s="1"/>
  <c r="BG19" i="11" s="1"/>
  <c r="AV38" i="11"/>
  <c r="BF38" i="11" s="1"/>
  <c r="BG38" i="11" s="1"/>
  <c r="AV23" i="11"/>
  <c r="BF23" i="11" s="1"/>
  <c r="BG23" i="11" s="1"/>
  <c r="AV27" i="11"/>
  <c r="BF27" i="11" s="1"/>
  <c r="BG27" i="11" s="1"/>
  <c r="AV37" i="11"/>
  <c r="BF37" i="11" s="1"/>
  <c r="BG37" i="11" s="1"/>
  <c r="AV18" i="11"/>
  <c r="BF18" i="11" s="1"/>
  <c r="BG18" i="11" s="1"/>
  <c r="BC10" i="11"/>
  <c r="BF35" i="11"/>
  <c r="BG35" i="11" s="1"/>
  <c r="BF20" i="11"/>
  <c r="BG20" i="11" s="1"/>
  <c r="BF9" i="11"/>
  <c r="BG9" i="11" s="1"/>
  <c r="BF39" i="11"/>
  <c r="BG39" i="11" s="1"/>
  <c r="BF25" i="11"/>
  <c r="BG25" i="11" s="1"/>
  <c r="BF13" i="11"/>
  <c r="BG13" i="11" s="1"/>
  <c r="BF28" i="11"/>
  <c r="BG28" i="11" s="1"/>
  <c r="BF24" i="11"/>
  <c r="BG24" i="11" s="1"/>
  <c r="BF15" i="11"/>
  <c r="BG15" i="11" s="1"/>
  <c r="BF26" i="11"/>
  <c r="BG26" i="11" s="1"/>
  <c r="BF21" i="11"/>
  <c r="BG21" i="11" s="1"/>
  <c r="BF5" i="11"/>
  <c r="BF41" i="11"/>
  <c r="BG41" i="11" s="1"/>
  <c r="BF17" i="11"/>
  <c r="BG17" i="11" s="1"/>
  <c r="BF11" i="11"/>
  <c r="BG11" i="11" s="1"/>
  <c r="BF29" i="11"/>
  <c r="BG29" i="11" s="1"/>
  <c r="BF22" i="11"/>
  <c r="BG22" i="11" s="1"/>
  <c r="BF36" i="11"/>
  <c r="BG36" i="11" s="1"/>
  <c r="BF30" i="11"/>
  <c r="BG30" i="11" s="1"/>
  <c r="BF40" i="11"/>
  <c r="BG40" i="11" s="1"/>
  <c r="BF32" i="11"/>
  <c r="BG32" i="11" s="1"/>
  <c r="BF6" i="11"/>
  <c r="BG6" i="11" s="1"/>
  <c r="BF8" i="11"/>
  <c r="BG8" i="11" s="1"/>
  <c r="BF14" i="11"/>
  <c r="BG14" i="11" s="1"/>
  <c r="BF16" i="11"/>
  <c r="BG16" i="11" s="1"/>
  <c r="S42" i="11"/>
  <c r="Q42" i="11"/>
  <c r="AG76" i="15" l="1"/>
  <c r="AJ76" i="15"/>
  <c r="AK76" i="15" s="1"/>
  <c r="AH76" i="15"/>
  <c r="AI76" i="15" s="1"/>
  <c r="AG73" i="15"/>
  <c r="AJ73" i="15"/>
  <c r="AK73" i="15" s="1"/>
  <c r="AH73" i="15"/>
  <c r="AI73" i="15" s="1"/>
  <c r="AG71" i="15"/>
  <c r="AJ71" i="15"/>
  <c r="AK71" i="15" s="1"/>
  <c r="AH71" i="15"/>
  <c r="AI71" i="15" s="1"/>
  <c r="AG74" i="15"/>
  <c r="AJ74" i="15"/>
  <c r="AK74" i="15" s="1"/>
  <c r="AH74" i="15"/>
  <c r="AI74" i="15" s="1"/>
  <c r="AG77" i="15"/>
  <c r="AJ77" i="15"/>
  <c r="AK77" i="15" s="1"/>
  <c r="AH77" i="15"/>
  <c r="AI77" i="15" s="1"/>
  <c r="AG70" i="15"/>
  <c r="AH70" i="15"/>
  <c r="AJ70" i="15"/>
  <c r="AG75" i="15"/>
  <c r="AJ75" i="15"/>
  <c r="AK75" i="15" s="1"/>
  <c r="AH75" i="15"/>
  <c r="AI75" i="15" s="1"/>
  <c r="AG78" i="15"/>
  <c r="AH78" i="15"/>
  <c r="AI78" i="15" s="1"/>
  <c r="AJ78" i="15"/>
  <c r="AK78" i="15" s="1"/>
  <c r="AG72" i="15"/>
  <c r="AJ72" i="15"/>
  <c r="AK72" i="15" s="1"/>
  <c r="AH72" i="15"/>
  <c r="AI72" i="15" s="1"/>
  <c r="G73" i="20"/>
  <c r="H73" i="20" s="1"/>
  <c r="I73" i="20"/>
  <c r="J73" i="20" s="1"/>
  <c r="K73" i="20"/>
  <c r="G75" i="20"/>
  <c r="H75" i="20" s="1"/>
  <c r="K75" i="20"/>
  <c r="I75" i="20"/>
  <c r="J75" i="20" s="1"/>
  <c r="K73" i="15"/>
  <c r="G73" i="15"/>
  <c r="H73" i="15" s="1"/>
  <c r="K75" i="15"/>
  <c r="G75" i="15"/>
  <c r="H75" i="15" s="1"/>
  <c r="BG5" i="11"/>
  <c r="E78" i="15" s="1" a="1"/>
  <c r="E78" i="15" s="1"/>
  <c r="I73" i="15"/>
  <c r="J73" i="15" s="1"/>
  <c r="I75" i="15"/>
  <c r="J75" i="15" s="1"/>
  <c r="BD28" i="11"/>
  <c r="BD13" i="11"/>
  <c r="BD32" i="11"/>
  <c r="BD25" i="11"/>
  <c r="BD40" i="11"/>
  <c r="BD39" i="11"/>
  <c r="BD30" i="11"/>
  <c r="BD9" i="11"/>
  <c r="BD36" i="11"/>
  <c r="BD20" i="11"/>
  <c r="BD8" i="11"/>
  <c r="BD35" i="11"/>
  <c r="BD11" i="11"/>
  <c r="BD37" i="11"/>
  <c r="BD29" i="11"/>
  <c r="BD27" i="11"/>
  <c r="BD23" i="11"/>
  <c r="BD22" i="11"/>
  <c r="BD17" i="11"/>
  <c r="BD21" i="11"/>
  <c r="BD6" i="11"/>
  <c r="BD18" i="11"/>
  <c r="BD41" i="11"/>
  <c r="BD38" i="11"/>
  <c r="BD26" i="11"/>
  <c r="BD19" i="11"/>
  <c r="BD16" i="11"/>
  <c r="BD14" i="11"/>
  <c r="BD24" i="11"/>
  <c r="BD15" i="11"/>
  <c r="BC23" i="11"/>
  <c r="BC38" i="11"/>
  <c r="BC18" i="11"/>
  <c r="BC27" i="11"/>
  <c r="BC37" i="11"/>
  <c r="BC19" i="11"/>
  <c r="BC36" i="11"/>
  <c r="BC39" i="11"/>
  <c r="BC16" i="11"/>
  <c r="BC14" i="11"/>
  <c r="BC40" i="11"/>
  <c r="BC41" i="11"/>
  <c r="BC15" i="11"/>
  <c r="BC25" i="11"/>
  <c r="BC20" i="11"/>
  <c r="BC6" i="11"/>
  <c r="BC21" i="11"/>
  <c r="BC32" i="11"/>
  <c r="BC8" i="11"/>
  <c r="BC30" i="11"/>
  <c r="BC29" i="11"/>
  <c r="BC5" i="11"/>
  <c r="BC24" i="11"/>
  <c r="BC35" i="11"/>
  <c r="BC11" i="11"/>
  <c r="BC28" i="11"/>
  <c r="BC22" i="11"/>
  <c r="BC17" i="11"/>
  <c r="BC26" i="11"/>
  <c r="BC13" i="11"/>
  <c r="BC9" i="11"/>
  <c r="F40" i="6" a="1"/>
  <c r="F40" i="6" s="1"/>
  <c r="G97" i="13" s="1"/>
  <c r="F39" i="6" a="1"/>
  <c r="F39" i="6" s="1"/>
  <c r="G96" i="13" s="1"/>
  <c r="F36" i="6" a="1"/>
  <c r="F36" i="6" s="1"/>
  <c r="G93" i="13" s="1"/>
  <c r="F38" i="6" a="1"/>
  <c r="F38" i="6" s="1"/>
  <c r="G95" i="13" s="1"/>
  <c r="F37" i="6" a="1"/>
  <c r="F37" i="6" s="1"/>
  <c r="G94" i="13" s="1"/>
  <c r="F34" i="6" a="1"/>
  <c r="F34" i="6" s="1"/>
  <c r="G58" i="13" s="1"/>
  <c r="F35" i="6" a="1"/>
  <c r="F35" i="6" s="1"/>
  <c r="G92" i="13" s="1"/>
  <c r="AJ79" i="15" l="1"/>
  <c r="AV13" i="15" s="1"/>
  <c r="AK70" i="15"/>
  <c r="AK79" i="15" s="1"/>
  <c r="AY13" i="15" s="1"/>
  <c r="AH79" i="15"/>
  <c r="AU13" i="15" s="1"/>
  <c r="AI70" i="15"/>
  <c r="AI79" i="15" s="1"/>
  <c r="AX13" i="15" s="1"/>
  <c r="AD78" i="15"/>
  <c r="AE78" i="15" s="1"/>
  <c r="AB78" i="15"/>
  <c r="AC78" i="15" s="1"/>
  <c r="G78" i="15"/>
  <c r="H78" i="15" s="1"/>
  <c r="AA78" i="15"/>
  <c r="E72" i="15" a="1"/>
  <c r="E72" i="15" s="1"/>
  <c r="E76" i="15" a="1"/>
  <c r="E76" i="15" s="1"/>
  <c r="E70" i="15" a="1"/>
  <c r="E70" i="15" s="1"/>
  <c r="E77" i="15" a="1"/>
  <c r="E77" i="15" s="1"/>
  <c r="E71" i="15" a="1"/>
  <c r="E71" i="15" s="1"/>
  <c r="E74" i="20" a="1"/>
  <c r="E74" i="20" s="1"/>
  <c r="E71" i="20" a="1"/>
  <c r="E71" i="20" s="1"/>
  <c r="E76" i="20" a="1"/>
  <c r="E76" i="20" s="1"/>
  <c r="E78" i="20" a="1"/>
  <c r="E78" i="20" s="1"/>
  <c r="E72" i="20" a="1"/>
  <c r="E72" i="20" s="1"/>
  <c r="E77" i="20" a="1"/>
  <c r="E77" i="20" s="1"/>
  <c r="E70" i="20" a="1"/>
  <c r="E70" i="20" s="1"/>
  <c r="BD5" i="11"/>
  <c r="E74" i="15" a="1"/>
  <c r="E74" i="15" s="1"/>
  <c r="I78" i="15"/>
  <c r="J78" i="15" s="1"/>
  <c r="E40" i="6"/>
  <c r="K40" i="6" a="1"/>
  <c r="K40" i="6" s="1"/>
  <c r="I40" i="6" s="1"/>
  <c r="K36" i="6" a="1"/>
  <c r="K36" i="6" s="1"/>
  <c r="J36" i="6" s="1"/>
  <c r="D39" i="6"/>
  <c r="B37" i="6"/>
  <c r="B40" i="6"/>
  <c r="D40" i="6"/>
  <c r="B34" i="6"/>
  <c r="C39" i="6"/>
  <c r="E39" i="6"/>
  <c r="C40" i="6"/>
  <c r="E36" i="6"/>
  <c r="B39" i="6"/>
  <c r="K39" i="6" a="1"/>
  <c r="K39" i="6" s="1"/>
  <c r="B38" i="6"/>
  <c r="D36" i="6"/>
  <c r="C36" i="6"/>
  <c r="B36" i="6"/>
  <c r="K38" i="6" a="1"/>
  <c r="K38" i="6" s="1"/>
  <c r="C38" i="6"/>
  <c r="D38" i="6"/>
  <c r="E38" i="6"/>
  <c r="E37" i="6"/>
  <c r="K35" i="6" a="1"/>
  <c r="K35" i="6" s="1"/>
  <c r="D37" i="6"/>
  <c r="K37" i="6" a="1"/>
  <c r="K37" i="6" s="1"/>
  <c r="C37" i="6"/>
  <c r="B35" i="6"/>
  <c r="E35" i="6"/>
  <c r="D35" i="6"/>
  <c r="E34" i="6"/>
  <c r="D34" i="6"/>
  <c r="K34" i="6" a="1"/>
  <c r="K34" i="6" s="1"/>
  <c r="C34" i="6"/>
  <c r="C35" i="6"/>
  <c r="AW13" i="15" l="1"/>
  <c r="AZ13" i="15"/>
  <c r="AD71" i="15"/>
  <c r="AE71" i="15" s="1"/>
  <c r="AB71" i="15"/>
  <c r="AC71" i="15" s="1"/>
  <c r="AD77" i="15"/>
  <c r="AE77" i="15" s="1"/>
  <c r="AB77" i="15"/>
  <c r="AC77" i="15" s="1"/>
  <c r="AD70" i="15"/>
  <c r="AB70" i="15"/>
  <c r="AC70" i="15" s="1"/>
  <c r="AB76" i="15"/>
  <c r="AC76" i="15" s="1"/>
  <c r="AD76" i="15"/>
  <c r="AE76" i="15" s="1"/>
  <c r="AD72" i="15"/>
  <c r="AE72" i="15" s="1"/>
  <c r="AB72" i="15"/>
  <c r="AC72" i="15" s="1"/>
  <c r="G74" i="15"/>
  <c r="H74" i="15" s="1"/>
  <c r="AA74" i="15"/>
  <c r="G71" i="15"/>
  <c r="H71" i="15" s="1"/>
  <c r="AA71" i="15"/>
  <c r="G77" i="15"/>
  <c r="H77" i="15" s="1"/>
  <c r="AA77" i="15"/>
  <c r="G70" i="15"/>
  <c r="H70" i="15" s="1"/>
  <c r="AA70" i="15"/>
  <c r="G76" i="15"/>
  <c r="H76" i="15" s="1"/>
  <c r="AA76" i="15"/>
  <c r="G72" i="15"/>
  <c r="H72" i="15" s="1"/>
  <c r="AA72" i="15"/>
  <c r="I70" i="15"/>
  <c r="J70" i="15" s="1"/>
  <c r="K76" i="15"/>
  <c r="I72" i="15"/>
  <c r="J72" i="15" s="1"/>
  <c r="I77" i="15"/>
  <c r="J77" i="15" s="1"/>
  <c r="I76" i="15"/>
  <c r="J76" i="15" s="1"/>
  <c r="I71" i="15"/>
  <c r="J71" i="15" s="1"/>
  <c r="K77" i="15"/>
  <c r="K72" i="15"/>
  <c r="K78" i="15"/>
  <c r="K71" i="15"/>
  <c r="K70" i="15"/>
  <c r="K70" i="20"/>
  <c r="I70" i="20"/>
  <c r="J70" i="20" s="1"/>
  <c r="G70" i="20"/>
  <c r="H70" i="20" s="1"/>
  <c r="G77" i="20"/>
  <c r="H77" i="20" s="1"/>
  <c r="K77" i="20"/>
  <c r="I77" i="20"/>
  <c r="J77" i="20" s="1"/>
  <c r="I72" i="20"/>
  <c r="J72" i="20" s="1"/>
  <c r="K72" i="20"/>
  <c r="G72" i="20"/>
  <c r="H72" i="20" s="1"/>
  <c r="K78" i="20"/>
  <c r="I78" i="20"/>
  <c r="J78" i="20" s="1"/>
  <c r="G78" i="20"/>
  <c r="H78" i="20" s="1"/>
  <c r="I76" i="20"/>
  <c r="J76" i="20" s="1"/>
  <c r="K76" i="20"/>
  <c r="G76" i="20"/>
  <c r="H76" i="20" s="1"/>
  <c r="K71" i="20"/>
  <c r="I71" i="20"/>
  <c r="J71" i="20" s="1"/>
  <c r="G71" i="20"/>
  <c r="H71" i="20" s="1"/>
  <c r="K74" i="20"/>
  <c r="G74" i="20"/>
  <c r="H74" i="20" s="1"/>
  <c r="I74" i="20"/>
  <c r="J74" i="20" s="1"/>
  <c r="I74" i="15"/>
  <c r="J74" i="15" s="1"/>
  <c r="K74" i="15"/>
  <c r="G40" i="6"/>
  <c r="J40" i="6"/>
  <c r="H40" i="6"/>
  <c r="G38" i="6"/>
  <c r="J37" i="6"/>
  <c r="G36" i="6"/>
  <c r="H36" i="6"/>
  <c r="H35" i="6"/>
  <c r="J34" i="6"/>
  <c r="H39" i="6"/>
  <c r="J38" i="6"/>
  <c r="I36" i="6"/>
  <c r="I35" i="6"/>
  <c r="G35" i="6"/>
  <c r="I38" i="6"/>
  <c r="I39" i="6"/>
  <c r="H38" i="6"/>
  <c r="G39" i="6"/>
  <c r="J35" i="6"/>
  <c r="J39" i="6"/>
  <c r="I37" i="6"/>
  <c r="G37" i="6"/>
  <c r="H37" i="6"/>
  <c r="I34" i="6"/>
  <c r="G34" i="6"/>
  <c r="H34" i="6"/>
  <c r="M58" i="10"/>
  <c r="BE58" i="10" s="1"/>
  <c r="M57" i="10"/>
  <c r="BE57" i="10" s="1"/>
  <c r="M56" i="10"/>
  <c r="BE56" i="10" s="1"/>
  <c r="M55" i="10"/>
  <c r="BE55" i="10" s="1"/>
  <c r="M53" i="10"/>
  <c r="BE53" i="10" s="1"/>
  <c r="M52" i="10"/>
  <c r="BE52" i="10" s="1"/>
  <c r="M51" i="10"/>
  <c r="BE51" i="10" s="1"/>
  <c r="M50" i="10"/>
  <c r="BE50" i="10" s="1"/>
  <c r="M49" i="10"/>
  <c r="BE49" i="10" s="1"/>
  <c r="M47" i="10"/>
  <c r="BE47" i="10" s="1"/>
  <c r="M46" i="10"/>
  <c r="BE46" i="10" s="1"/>
  <c r="M45" i="10"/>
  <c r="BE45" i="10" s="1"/>
  <c r="M44" i="10"/>
  <c r="BE44" i="10" s="1"/>
  <c r="M43" i="10"/>
  <c r="BE43" i="10" s="1"/>
  <c r="M41" i="10"/>
  <c r="BE41" i="10" s="1"/>
  <c r="M40" i="10"/>
  <c r="BE40" i="10" s="1"/>
  <c r="M39" i="10"/>
  <c r="BE39" i="10" s="1"/>
  <c r="M38" i="10"/>
  <c r="BE38" i="10" s="1"/>
  <c r="M33" i="10"/>
  <c r="BE33" i="10" s="1"/>
  <c r="M31" i="10"/>
  <c r="BE31" i="10" s="1"/>
  <c r="M30" i="10"/>
  <c r="BE30" i="10" s="1"/>
  <c r="M29" i="10"/>
  <c r="BE29" i="10" s="1"/>
  <c r="M27" i="10"/>
  <c r="BE27" i="10" s="1"/>
  <c r="M25" i="10"/>
  <c r="BE25" i="10" s="1"/>
  <c r="M23" i="10"/>
  <c r="M20" i="10"/>
  <c r="AC79" i="15" l="1"/>
  <c r="AR13" i="15" s="1"/>
  <c r="AD79" i="15"/>
  <c r="AP13" i="15" s="1"/>
  <c r="AE70" i="15"/>
  <c r="AE79" i="15" s="1"/>
  <c r="AS13" i="15" s="1"/>
  <c r="AB79" i="15"/>
  <c r="AO13" i="15" s="1"/>
  <c r="N20" i="10"/>
  <c r="O20" i="10" s="1"/>
  <c r="N23" i="10"/>
  <c r="O23" i="10" s="1"/>
  <c r="A53" i="10"/>
  <c r="B53" i="10"/>
  <c r="A50" i="10"/>
  <c r="B50" i="10"/>
  <c r="A33" i="10"/>
  <c r="B33" i="10"/>
  <c r="A38" i="10"/>
  <c r="B38" i="10"/>
  <c r="A58" i="10"/>
  <c r="B58" i="10"/>
  <c r="A25" i="10"/>
  <c r="B25" i="10"/>
  <c r="A31" i="10"/>
  <c r="B31" i="10"/>
  <c r="A56" i="10"/>
  <c r="B56" i="10"/>
  <c r="A57" i="10"/>
  <c r="B57" i="10"/>
  <c r="A44" i="10"/>
  <c r="B44" i="10"/>
  <c r="A27" i="10"/>
  <c r="B27" i="10"/>
  <c r="A30" i="10"/>
  <c r="B30" i="10"/>
  <c r="A40" i="10"/>
  <c r="B40" i="10"/>
  <c r="B45" i="10"/>
  <c r="A45" i="10"/>
  <c r="A51" i="10"/>
  <c r="B51" i="10"/>
  <c r="A55" i="10"/>
  <c r="B55" i="10"/>
  <c r="A43" i="10"/>
  <c r="B43" i="10"/>
  <c r="A46" i="10"/>
  <c r="B46" i="10"/>
  <c r="A49" i="10"/>
  <c r="B49" i="10"/>
  <c r="A29" i="10"/>
  <c r="B29" i="10"/>
  <c r="A39" i="10"/>
  <c r="B39" i="10"/>
  <c r="B20" i="10"/>
  <c r="A20" i="10"/>
  <c r="A47" i="10"/>
  <c r="B47" i="10"/>
  <c r="B52" i="10"/>
  <c r="A52" i="10"/>
  <c r="A41" i="10"/>
  <c r="B41" i="10"/>
  <c r="A23" i="10"/>
  <c r="B23" i="10"/>
  <c r="A89" i="10"/>
  <c r="B89" i="10"/>
  <c r="A92" i="10"/>
  <c r="B92" i="10"/>
  <c r="B91" i="10"/>
  <c r="A91" i="10"/>
  <c r="A84" i="10"/>
  <c r="B84" i="10"/>
  <c r="A88" i="10"/>
  <c r="B88" i="10"/>
  <c r="A85" i="10"/>
  <c r="B85" i="10"/>
  <c r="A93" i="10"/>
  <c r="B93" i="10"/>
  <c r="A82" i="10"/>
  <c r="B82" i="10"/>
  <c r="B83" i="10"/>
  <c r="A83" i="10"/>
  <c r="A86" i="10"/>
  <c r="B86" i="10"/>
  <c r="A90" i="10"/>
  <c r="B90" i="10"/>
  <c r="A87" i="10"/>
  <c r="B87" i="10"/>
  <c r="O41" i="10"/>
  <c r="AT41" i="10" s="1"/>
  <c r="S41" i="10"/>
  <c r="AV41" i="10" s="1"/>
  <c r="BL41" i="10"/>
  <c r="O55" i="10"/>
  <c r="AT55" i="10" s="1"/>
  <c r="BL55" i="10"/>
  <c r="Q55" i="10"/>
  <c r="AU55" i="10" s="1"/>
  <c r="BB55" i="10" s="1"/>
  <c r="S55" i="10"/>
  <c r="AV55" i="10" s="1"/>
  <c r="AE55" i="10"/>
  <c r="BA55" i="10" s="1"/>
  <c r="Y55" i="10"/>
  <c r="O86" i="10"/>
  <c r="AT86" i="10" s="1"/>
  <c r="Q86" i="10"/>
  <c r="AU86" i="10" s="1"/>
  <c r="BL86" i="10"/>
  <c r="S86" i="10"/>
  <c r="AV86" i="10" s="1"/>
  <c r="AS86" i="10"/>
  <c r="BB86" i="10" s="1"/>
  <c r="BL84" i="10"/>
  <c r="S84" i="10"/>
  <c r="AV84" i="10" s="1"/>
  <c r="Q84" i="10"/>
  <c r="AU84" i="10" s="1"/>
  <c r="O84" i="10"/>
  <c r="AT84" i="10" s="1"/>
  <c r="AS84" i="10"/>
  <c r="BB84" i="10" s="1"/>
  <c r="BL23" i="10"/>
  <c r="O44" i="10"/>
  <c r="AT44" i="10" s="1"/>
  <c r="Q44" i="10"/>
  <c r="AU44" i="10" s="1"/>
  <c r="BL44" i="10"/>
  <c r="S44" i="10"/>
  <c r="AV44" i="10" s="1"/>
  <c r="AS44" i="10"/>
  <c r="O56" i="10"/>
  <c r="AT56" i="10" s="1"/>
  <c r="Q56" i="10"/>
  <c r="AU56" i="10" s="1"/>
  <c r="S56" i="10"/>
  <c r="AV56" i="10" s="1"/>
  <c r="BL56" i="10"/>
  <c r="AS56" i="10"/>
  <c r="O87" i="10"/>
  <c r="AT87" i="10" s="1"/>
  <c r="Q87" i="10"/>
  <c r="AU87" i="10" s="1"/>
  <c r="S87" i="10"/>
  <c r="AV87" i="10" s="1"/>
  <c r="BL87" i="10"/>
  <c r="AS87" i="10"/>
  <c r="BB87" i="10" s="1"/>
  <c r="O40" i="10"/>
  <c r="AT40" i="10" s="1"/>
  <c r="Q40" i="10"/>
  <c r="AU40" i="10" s="1"/>
  <c r="S40" i="10"/>
  <c r="AV40" i="10" s="1"/>
  <c r="BL40" i="10"/>
  <c r="AS40" i="10"/>
  <c r="BB40" i="10" s="1"/>
  <c r="BL20" i="10"/>
  <c r="Q25" i="10"/>
  <c r="AU25" i="10" s="1"/>
  <c r="BB25" i="10" s="1"/>
  <c r="BL25" i="10"/>
  <c r="S25" i="10"/>
  <c r="AV25" i="10" s="1"/>
  <c r="U25" i="10"/>
  <c r="AW25" i="10" s="1"/>
  <c r="O25" i="10"/>
  <c r="AT25" i="10" s="1"/>
  <c r="Y25" i="10"/>
  <c r="BL45" i="10"/>
  <c r="O45" i="10"/>
  <c r="AT45" i="10" s="1"/>
  <c r="Q45" i="10"/>
  <c r="AU45" i="10" s="1"/>
  <c r="S45" i="10"/>
  <c r="AV45" i="10" s="1"/>
  <c r="AS45" i="10"/>
  <c r="O57" i="10"/>
  <c r="AT57" i="10" s="1"/>
  <c r="Q57" i="10"/>
  <c r="AU57" i="10" s="1"/>
  <c r="S57" i="10"/>
  <c r="AV57" i="10" s="1"/>
  <c r="BL57" i="10"/>
  <c r="AS57" i="10"/>
  <c r="O88" i="10"/>
  <c r="AT88" i="10" s="1"/>
  <c r="Q88" i="10"/>
  <c r="AU88" i="10" s="1"/>
  <c r="BB88" i="10" s="1"/>
  <c r="BL88" i="10"/>
  <c r="S88" i="10"/>
  <c r="AV88" i="10" s="1"/>
  <c r="Y88" i="10"/>
  <c r="AE43" i="10"/>
  <c r="BA43" i="10" s="1"/>
  <c r="O43" i="10"/>
  <c r="AT43" i="10" s="1"/>
  <c r="Q43" i="10"/>
  <c r="AU43" i="10" s="1"/>
  <c r="BB43" i="10" s="1"/>
  <c r="BL43" i="10"/>
  <c r="S43" i="10"/>
  <c r="AV43" i="10" s="1"/>
  <c r="Y43" i="10"/>
  <c r="O27" i="10"/>
  <c r="AT27" i="10" s="1"/>
  <c r="Q27" i="10"/>
  <c r="AU27" i="10" s="1"/>
  <c r="BB27" i="10" s="1"/>
  <c r="BL27" i="10"/>
  <c r="S27" i="10"/>
  <c r="AV27" i="10" s="1"/>
  <c r="U27" i="10"/>
  <c r="AW27" i="10" s="1"/>
  <c r="Y27" i="10"/>
  <c r="O46" i="10"/>
  <c r="AT46" i="10" s="1"/>
  <c r="Q46" i="10"/>
  <c r="AU46" i="10" s="1"/>
  <c r="S46" i="10"/>
  <c r="AV46" i="10" s="1"/>
  <c r="BL46" i="10"/>
  <c r="AS46" i="10"/>
  <c r="BB46" i="10" s="1"/>
  <c r="Q58" i="10"/>
  <c r="AU58" i="10" s="1"/>
  <c r="S58" i="10"/>
  <c r="AV58" i="10" s="1"/>
  <c r="BL58" i="10"/>
  <c r="O58" i="10"/>
  <c r="AT58" i="10" s="1"/>
  <c r="AS58" i="10"/>
  <c r="S89" i="10"/>
  <c r="AV89" i="10" s="1"/>
  <c r="BL89" i="10"/>
  <c r="Q89" i="10"/>
  <c r="AU89" i="10" s="1"/>
  <c r="O89" i="10"/>
  <c r="AT89" i="10" s="1"/>
  <c r="AS89" i="10"/>
  <c r="BB89" i="10" s="1"/>
  <c r="O90" i="10"/>
  <c r="AT90" i="10" s="1"/>
  <c r="Q90" i="10"/>
  <c r="AU90" i="10" s="1"/>
  <c r="BL90" i="10"/>
  <c r="S90" i="10"/>
  <c r="AV90" i="10" s="1"/>
  <c r="AS90" i="10"/>
  <c r="BB90" i="10" s="1"/>
  <c r="O85" i="10"/>
  <c r="AT85" i="10" s="1"/>
  <c r="Q85" i="10"/>
  <c r="AU85" i="10" s="1"/>
  <c r="BB85" i="10" s="1"/>
  <c r="S85" i="10"/>
  <c r="AV85" i="10" s="1"/>
  <c r="BL85" i="10"/>
  <c r="Y85" i="10"/>
  <c r="O47" i="10"/>
  <c r="AT47" i="10" s="1"/>
  <c r="S47" i="10"/>
  <c r="AV47" i="10" s="1"/>
  <c r="BL47" i="10"/>
  <c r="O30" i="10"/>
  <c r="AT30" i="10" s="1"/>
  <c r="Q30" i="10"/>
  <c r="AU30" i="10" s="1"/>
  <c r="S30" i="10"/>
  <c r="AV30" i="10" s="1"/>
  <c r="BL30" i="10"/>
  <c r="AS30" i="10"/>
  <c r="BB30" i="10" s="1"/>
  <c r="O79" i="10"/>
  <c r="AT79" i="10" s="1"/>
  <c r="Q79" i="10"/>
  <c r="AU79" i="10" s="1"/>
  <c r="BB79" i="10" s="1"/>
  <c r="S79" i="10"/>
  <c r="AV79" i="10" s="1"/>
  <c r="BL79" i="10"/>
  <c r="Y79" i="10"/>
  <c r="O91" i="10"/>
  <c r="AT91" i="10" s="1"/>
  <c r="Q91" i="10"/>
  <c r="AU91" i="10" s="1"/>
  <c r="BB91" i="10" s="1"/>
  <c r="S91" i="10"/>
  <c r="AV91" i="10" s="1"/>
  <c r="BL91" i="10"/>
  <c r="Y91" i="10"/>
  <c r="S53" i="10"/>
  <c r="AV53" i="10" s="1"/>
  <c r="BL53" i="10"/>
  <c r="O53" i="10"/>
  <c r="AT53" i="10" s="1"/>
  <c r="Q78" i="10"/>
  <c r="O78" i="10"/>
  <c r="BL78" i="10"/>
  <c r="O31" i="10"/>
  <c r="AT31" i="10" s="1"/>
  <c r="Q31" i="10"/>
  <c r="AU31" i="10" s="1"/>
  <c r="BL31" i="10"/>
  <c r="S31" i="10"/>
  <c r="AV31" i="10" s="1"/>
  <c r="AS31" i="10"/>
  <c r="Q49" i="10"/>
  <c r="AU49" i="10" s="1"/>
  <c r="BB49" i="10" s="1"/>
  <c r="S49" i="10"/>
  <c r="AV49" i="10" s="1"/>
  <c r="AE49" i="10"/>
  <c r="BA49" i="10" s="1"/>
  <c r="O49" i="10"/>
  <c r="AT49" i="10" s="1"/>
  <c r="BL49" i="10"/>
  <c r="Y49" i="10"/>
  <c r="O92" i="10"/>
  <c r="AT92" i="10" s="1"/>
  <c r="Q92" i="10"/>
  <c r="AU92" i="10" s="1"/>
  <c r="S92" i="10"/>
  <c r="AV92" i="10" s="1"/>
  <c r="BL92" i="10"/>
  <c r="AS92" i="10"/>
  <c r="O33" i="10"/>
  <c r="AT33" i="10" s="1"/>
  <c r="S33" i="10"/>
  <c r="AV33" i="10" s="1"/>
  <c r="BL33" i="10"/>
  <c r="O50" i="10"/>
  <c r="AT50" i="10" s="1"/>
  <c r="Q50" i="10"/>
  <c r="AU50" i="10" s="1"/>
  <c r="S50" i="10"/>
  <c r="AV50" i="10" s="1"/>
  <c r="BL50" i="10"/>
  <c r="AS50" i="10"/>
  <c r="BB50" i="10" s="1"/>
  <c r="S93" i="10"/>
  <c r="AV93" i="10" s="1"/>
  <c r="BL93" i="10"/>
  <c r="O93" i="10"/>
  <c r="AT93" i="10" s="1"/>
  <c r="Q93" i="10"/>
  <c r="AU93" i="10" s="1"/>
  <c r="AS93" i="10"/>
  <c r="O38" i="10"/>
  <c r="AT38" i="10" s="1"/>
  <c r="BL38" i="10"/>
  <c r="Q38" i="10"/>
  <c r="AU38" i="10" s="1"/>
  <c r="BB38" i="10" s="1"/>
  <c r="S38" i="10"/>
  <c r="AV38" i="10" s="1"/>
  <c r="AE38" i="10"/>
  <c r="BA38" i="10" s="1"/>
  <c r="Y38" i="10"/>
  <c r="O51" i="10"/>
  <c r="AT51" i="10" s="1"/>
  <c r="Q51" i="10"/>
  <c r="AU51" i="10" s="1"/>
  <c r="S51" i="10"/>
  <c r="AV51" i="10" s="1"/>
  <c r="BL51" i="10"/>
  <c r="AS51" i="10"/>
  <c r="BB51" i="10" s="1"/>
  <c r="O82" i="10"/>
  <c r="AT82" i="10" s="1"/>
  <c r="Q82" i="10"/>
  <c r="AU82" i="10" s="1"/>
  <c r="BB82" i="10" s="1"/>
  <c r="S82" i="10"/>
  <c r="AV82" i="10" s="1"/>
  <c r="BL82" i="10"/>
  <c r="Y82" i="10"/>
  <c r="O29" i="10"/>
  <c r="AT29" i="10" s="1"/>
  <c r="Q29" i="10"/>
  <c r="AU29" i="10" s="1"/>
  <c r="BB29" i="10" s="1"/>
  <c r="BL29" i="10"/>
  <c r="S29" i="10"/>
  <c r="AV29" i="10" s="1"/>
  <c r="AE29" i="10"/>
  <c r="BA29" i="10" s="1"/>
  <c r="Y29" i="10"/>
  <c r="O39" i="10"/>
  <c r="AT39" i="10" s="1"/>
  <c r="Q39" i="10"/>
  <c r="AU39" i="10" s="1"/>
  <c r="S39" i="10"/>
  <c r="AV39" i="10" s="1"/>
  <c r="BL39" i="10"/>
  <c r="AS39" i="10"/>
  <c r="BB39" i="10" s="1"/>
  <c r="O52" i="10"/>
  <c r="AT52" i="10" s="1"/>
  <c r="Q52" i="10"/>
  <c r="AU52" i="10" s="1"/>
  <c r="S52" i="10"/>
  <c r="AV52" i="10" s="1"/>
  <c r="BL52" i="10"/>
  <c r="AS52" i="10"/>
  <c r="O83" i="10"/>
  <c r="AT83" i="10" s="1"/>
  <c r="Q83" i="10"/>
  <c r="AU83" i="10" s="1"/>
  <c r="S83" i="10"/>
  <c r="AV83" i="10" s="1"/>
  <c r="BL83" i="10"/>
  <c r="AS83" i="10"/>
  <c r="BB83" i="10" s="1"/>
  <c r="AA94" i="10"/>
  <c r="W94" i="10"/>
  <c r="AQ13" i="15" l="1"/>
  <c r="AT13" i="15"/>
  <c r="F36" i="15"/>
  <c r="F64" i="15"/>
  <c r="F45" i="15"/>
  <c r="F54" i="15"/>
  <c r="AG54" i="15" s="1"/>
  <c r="F35" i="15"/>
  <c r="F62" i="15"/>
  <c r="F61" i="15"/>
  <c r="F44" i="15"/>
  <c r="F59" i="15"/>
  <c r="F47" i="15"/>
  <c r="F33" i="15"/>
  <c r="F48" i="15"/>
  <c r="F56" i="15"/>
  <c r="F43" i="15"/>
  <c r="F32" i="15"/>
  <c r="F60" i="15"/>
  <c r="F46" i="15"/>
  <c r="F42" i="15"/>
  <c r="F63" i="15"/>
  <c r="F55" i="15"/>
  <c r="P23" i="10"/>
  <c r="P20" i="10"/>
  <c r="AY85" i="10"/>
  <c r="AX85" i="10"/>
  <c r="BB44" i="10"/>
  <c r="BB45" i="10"/>
  <c r="AY29" i="10"/>
  <c r="AX29" i="10"/>
  <c r="AY38" i="10"/>
  <c r="AX38" i="10"/>
  <c r="AY49" i="10"/>
  <c r="AX49" i="10"/>
  <c r="AY55" i="10"/>
  <c r="AX55" i="10"/>
  <c r="AY91" i="10"/>
  <c r="AX91" i="10"/>
  <c r="AY27" i="10"/>
  <c r="AX27" i="10"/>
  <c r="AY25" i="10"/>
  <c r="AX25" i="10"/>
  <c r="AY88" i="10"/>
  <c r="AX88" i="10"/>
  <c r="AY82" i="10"/>
  <c r="AX82" i="10"/>
  <c r="BB93" i="10"/>
  <c r="BB31" i="10"/>
  <c r="AY79" i="10"/>
  <c r="AX79" i="10"/>
  <c r="BB56" i="10"/>
  <c r="BB52" i="10"/>
  <c r="BB92" i="10"/>
  <c r="BB58" i="10"/>
  <c r="AY43" i="10"/>
  <c r="AX43" i="10"/>
  <c r="BB57" i="10"/>
  <c r="AC94" i="10"/>
  <c r="U94" i="10"/>
  <c r="AE94" i="10"/>
  <c r="O94" i="10"/>
  <c r="Y94" i="10"/>
  <c r="Q94" i="10"/>
  <c r="S94" i="10"/>
  <c r="AG43" i="15" l="1"/>
  <c r="AH43" i="15"/>
  <c r="AI43" i="15" s="1"/>
  <c r="AJ43" i="15"/>
  <c r="AK43" i="15" s="1"/>
  <c r="AJ56" i="15"/>
  <c r="AK56" i="15" s="1"/>
  <c r="AH56" i="15"/>
  <c r="AI56" i="15" s="1"/>
  <c r="AG48" i="15"/>
  <c r="AJ48" i="15"/>
  <c r="AK48" i="15" s="1"/>
  <c r="AH48" i="15"/>
  <c r="AI48" i="15" s="1"/>
  <c r="AG33" i="15"/>
  <c r="AJ33" i="15"/>
  <c r="AK33" i="15" s="1"/>
  <c r="AH33" i="15"/>
  <c r="AI33" i="15" s="1"/>
  <c r="AG47" i="15"/>
  <c r="AJ47" i="15"/>
  <c r="AK47" i="15" s="1"/>
  <c r="AH47" i="15"/>
  <c r="AI47" i="15" s="1"/>
  <c r="AJ44" i="15"/>
  <c r="AK44" i="15" s="1"/>
  <c r="AH44" i="15"/>
  <c r="AI44" i="15" s="1"/>
  <c r="AG61" i="15"/>
  <c r="AJ61" i="15"/>
  <c r="AK61" i="15" s="1"/>
  <c r="AH61" i="15"/>
  <c r="AI61" i="15" s="1"/>
  <c r="AG62" i="15"/>
  <c r="AJ62" i="15"/>
  <c r="AK62" i="15" s="1"/>
  <c r="AH62" i="15"/>
  <c r="AI62" i="15" s="1"/>
  <c r="AG32" i="15"/>
  <c r="AJ32" i="15"/>
  <c r="AK32" i="15" s="1"/>
  <c r="AH32" i="15"/>
  <c r="AI32" i="15" s="1"/>
  <c r="AG35" i="15"/>
  <c r="AJ35" i="15"/>
  <c r="AK35" i="15" s="1"/>
  <c r="AH35" i="15"/>
  <c r="AI35" i="15" s="1"/>
  <c r="AG63" i="15"/>
  <c r="AJ63" i="15"/>
  <c r="AK63" i="15" s="1"/>
  <c r="AH63" i="15"/>
  <c r="AI63" i="15" s="1"/>
  <c r="AJ45" i="15"/>
  <c r="AK45" i="15" s="1"/>
  <c r="AH45" i="15"/>
  <c r="AI45" i="15" s="1"/>
  <c r="AG55" i="15"/>
  <c r="AJ55" i="15"/>
  <c r="AH55" i="15"/>
  <c r="AI55" i="15" s="1"/>
  <c r="AG42" i="15"/>
  <c r="AJ42" i="15"/>
  <c r="AH42" i="15"/>
  <c r="AI42" i="15" s="1"/>
  <c r="AG64" i="15"/>
  <c r="AJ64" i="15"/>
  <c r="AK64" i="15" s="1"/>
  <c r="AH64" i="15"/>
  <c r="AI64" i="15" s="1"/>
  <c r="AG46" i="15"/>
  <c r="AJ46" i="15"/>
  <c r="AK46" i="15" s="1"/>
  <c r="AH46" i="15"/>
  <c r="AI46" i="15" s="1"/>
  <c r="AG36" i="15"/>
  <c r="AJ36" i="15"/>
  <c r="AK36" i="15" s="1"/>
  <c r="AH36" i="15"/>
  <c r="AI36" i="15" s="1"/>
  <c r="G56" i="15"/>
  <c r="H56" i="15" s="1"/>
  <c r="AG56" i="15"/>
  <c r="G44" i="15"/>
  <c r="H44" i="15" s="1"/>
  <c r="AG44" i="15"/>
  <c r="G45" i="15"/>
  <c r="H45" i="15" s="1"/>
  <c r="AG45" i="15"/>
  <c r="F57" i="15"/>
  <c r="I44" i="15"/>
  <c r="J44" i="15" s="1"/>
  <c r="R20" i="10"/>
  <c r="Q20" i="10"/>
  <c r="R23" i="10"/>
  <c r="Q23" i="10"/>
  <c r="BF43" i="10"/>
  <c r="BG43" i="10" s="1"/>
  <c r="BF88" i="10"/>
  <c r="BG88" i="10" s="1"/>
  <c r="BF25" i="10"/>
  <c r="BG25" i="10" s="1"/>
  <c r="BF79" i="10"/>
  <c r="BF82" i="10"/>
  <c r="BG82" i="10" s="1"/>
  <c r="BF91" i="10"/>
  <c r="BG91" i="10" s="1"/>
  <c r="BF49" i="10"/>
  <c r="BG49" i="10" s="1"/>
  <c r="BF29" i="10"/>
  <c r="BF85" i="10"/>
  <c r="BG85" i="10" s="1"/>
  <c r="BF55" i="10"/>
  <c r="BF27" i="10"/>
  <c r="BF38" i="10"/>
  <c r="BG38" i="10" s="1"/>
  <c r="M76" i="7"/>
  <c r="S76" i="7" s="1"/>
  <c r="M77" i="7"/>
  <c r="M78" i="7"/>
  <c r="M79" i="7"/>
  <c r="M80" i="7"/>
  <c r="M81" i="7"/>
  <c r="M82" i="7"/>
  <c r="M83" i="7"/>
  <c r="M84" i="7"/>
  <c r="M85" i="7"/>
  <c r="M86" i="7"/>
  <c r="S86" i="7" s="1"/>
  <c r="M87" i="7"/>
  <c r="M88" i="7"/>
  <c r="M89" i="7"/>
  <c r="M90" i="7"/>
  <c r="S90" i="7" s="1"/>
  <c r="M91" i="7"/>
  <c r="M92" i="7"/>
  <c r="M93" i="7"/>
  <c r="M94" i="7"/>
  <c r="S94" i="7" s="1"/>
  <c r="M95" i="7"/>
  <c r="S95" i="7" s="1"/>
  <c r="M96" i="7"/>
  <c r="S96" i="7" s="1"/>
  <c r="M97" i="7"/>
  <c r="M98" i="7"/>
  <c r="S98" i="7" s="1"/>
  <c r="M75" i="7"/>
  <c r="N75" i="7" s="1"/>
  <c r="AI49" i="15" l="1"/>
  <c r="AX11" i="15" s="1"/>
  <c r="AK42" i="15"/>
  <c r="AK49" i="15" s="1"/>
  <c r="AY11" i="15" s="1"/>
  <c r="AJ49" i="15"/>
  <c r="AV11" i="15" s="1"/>
  <c r="AK55" i="15"/>
  <c r="AH49" i="15"/>
  <c r="AU11" i="15" s="1"/>
  <c r="AG57" i="15"/>
  <c r="AH57" i="15"/>
  <c r="AI57" i="15" s="1"/>
  <c r="AJ57" i="15"/>
  <c r="AK57" i="15" s="1"/>
  <c r="G57" i="15"/>
  <c r="H57" i="15" s="1"/>
  <c r="F58" i="15"/>
  <c r="AG58" i="15" s="1"/>
  <c r="S23" i="10"/>
  <c r="BH23" i="10"/>
  <c r="BE23" i="10" s="1"/>
  <c r="S20" i="10"/>
  <c r="BH20" i="10"/>
  <c r="S97" i="7"/>
  <c r="Q97" i="7"/>
  <c r="Q80" i="7"/>
  <c r="S80" i="7"/>
  <c r="Q77" i="7"/>
  <c r="S77" i="7"/>
  <c r="R75" i="7"/>
  <c r="S75" i="7" s="1"/>
  <c r="P75" i="7"/>
  <c r="Q75" i="7" s="1"/>
  <c r="Q79" i="7"/>
  <c r="S79" i="7"/>
  <c r="Q87" i="7"/>
  <c r="S87" i="7"/>
  <c r="S84" i="7"/>
  <c r="Q84" i="7"/>
  <c r="S81" i="7"/>
  <c r="Q81" i="7"/>
  <c r="Q83" i="7"/>
  <c r="S83" i="7"/>
  <c r="S82" i="7"/>
  <c r="Q82" i="7"/>
  <c r="Q93" i="7"/>
  <c r="S93" i="7"/>
  <c r="Q91" i="7"/>
  <c r="S91" i="7"/>
  <c r="Q78" i="7"/>
  <c r="S78" i="7"/>
  <c r="Q92" i="7"/>
  <c r="S92" i="7"/>
  <c r="Q88" i="7"/>
  <c r="S88" i="7"/>
  <c r="BG29" i="10"/>
  <c r="BD29" i="10" s="1"/>
  <c r="BG79" i="10"/>
  <c r="BD79" i="10" s="1"/>
  <c r="BG27" i="10"/>
  <c r="BD27" i="10" s="1"/>
  <c r="BG55" i="10"/>
  <c r="BD55" i="10" s="1"/>
  <c r="BD49" i="10"/>
  <c r="BD91" i="10"/>
  <c r="BD82" i="10"/>
  <c r="BD38" i="10"/>
  <c r="BD25" i="10"/>
  <c r="BD85" i="10"/>
  <c r="BD88" i="10"/>
  <c r="BD43" i="10"/>
  <c r="A92" i="7"/>
  <c r="B92" i="7"/>
  <c r="A90" i="7"/>
  <c r="B90" i="7"/>
  <c r="A86" i="7"/>
  <c r="B86" i="7"/>
  <c r="A76" i="7"/>
  <c r="B76" i="7"/>
  <c r="A87" i="7"/>
  <c r="B87" i="7"/>
  <c r="A83" i="7"/>
  <c r="B83" i="7"/>
  <c r="A98" i="7"/>
  <c r="B98" i="7"/>
  <c r="A82" i="7"/>
  <c r="B82" i="7"/>
  <c r="A77" i="7"/>
  <c r="B77" i="7"/>
  <c r="A89" i="7"/>
  <c r="B89" i="7"/>
  <c r="A84" i="7"/>
  <c r="B84" i="7"/>
  <c r="A96" i="7"/>
  <c r="B96" i="7"/>
  <c r="A80" i="7"/>
  <c r="B80" i="7"/>
  <c r="A93" i="7"/>
  <c r="B93" i="7"/>
  <c r="A91" i="7"/>
  <c r="B91" i="7"/>
  <c r="A88" i="7"/>
  <c r="B88" i="7"/>
  <c r="A81" i="7"/>
  <c r="B81" i="7"/>
  <c r="A95" i="7"/>
  <c r="B95" i="7"/>
  <c r="A79" i="7"/>
  <c r="B79" i="7"/>
  <c r="A85" i="7"/>
  <c r="B85" i="7"/>
  <c r="A75" i="7"/>
  <c r="B75" i="7"/>
  <c r="A97" i="7"/>
  <c r="B97" i="7"/>
  <c r="A94" i="7"/>
  <c r="B94" i="7"/>
  <c r="A78" i="7"/>
  <c r="B78" i="7"/>
  <c r="BC82" i="10"/>
  <c r="BC91" i="10"/>
  <c r="BC88" i="10"/>
  <c r="BC43" i="10"/>
  <c r="BC25" i="10"/>
  <c r="BC79" i="10"/>
  <c r="BC49" i="10"/>
  <c r="BC85" i="10"/>
  <c r="BC38" i="10"/>
  <c r="BC55" i="10"/>
  <c r="BC29" i="10"/>
  <c r="BC27" i="10"/>
  <c r="AU348" i="9"/>
  <c r="AT348" i="9"/>
  <c r="AU345" i="9"/>
  <c r="AT345" i="9"/>
  <c r="AU342" i="9"/>
  <c r="AT342" i="9"/>
  <c r="AU339" i="9"/>
  <c r="AT339" i="9"/>
  <c r="AU336" i="9"/>
  <c r="AT336" i="9"/>
  <c r="AU333" i="9"/>
  <c r="AT333" i="9"/>
  <c r="AU330" i="9"/>
  <c r="AT330" i="9"/>
  <c r="AU326" i="9"/>
  <c r="AT326" i="9"/>
  <c r="AU323" i="9"/>
  <c r="AT323" i="9"/>
  <c r="AU319" i="9"/>
  <c r="AT319" i="9"/>
  <c r="AU316" i="9"/>
  <c r="AT316" i="9"/>
  <c r="AU347" i="9"/>
  <c r="AT347" i="9"/>
  <c r="AU341" i="9"/>
  <c r="AT341" i="9"/>
  <c r="AU338" i="9"/>
  <c r="AT338" i="9"/>
  <c r="AU332" i="9"/>
  <c r="AT332" i="9"/>
  <c r="AU328" i="9"/>
  <c r="AT328" i="9"/>
  <c r="AV325" i="9"/>
  <c r="AU325" i="9"/>
  <c r="AT325" i="9"/>
  <c r="AV322" i="9"/>
  <c r="AU322" i="9"/>
  <c r="AT322" i="9"/>
  <c r="AU321" i="9"/>
  <c r="AT321" i="9"/>
  <c r="AV318" i="9"/>
  <c r="AU318" i="9"/>
  <c r="AT318" i="9"/>
  <c r="AV315" i="9"/>
  <c r="AU315" i="9"/>
  <c r="AT315" i="9"/>
  <c r="AW315" i="9"/>
  <c r="AX315" i="9"/>
  <c r="Y315" i="9"/>
  <c r="AY315" i="9" s="1"/>
  <c r="AA315" i="9"/>
  <c r="AC315" i="9"/>
  <c r="AZ315" i="9" s="1"/>
  <c r="AE315" i="9"/>
  <c r="BA315" i="9" s="1"/>
  <c r="AR315" i="9"/>
  <c r="BH315" i="9" s="1"/>
  <c r="BE315" i="9" s="1"/>
  <c r="BI315" i="9"/>
  <c r="BJ315" i="9"/>
  <c r="BL315" i="9"/>
  <c r="AT335" i="9"/>
  <c r="AU335" i="9"/>
  <c r="AV335" i="9"/>
  <c r="AW335" i="9"/>
  <c r="AX335" i="9"/>
  <c r="Y335" i="9"/>
  <c r="AY335" i="9" s="1"/>
  <c r="AA335" i="9"/>
  <c r="AC335" i="9"/>
  <c r="AZ335" i="9" s="1"/>
  <c r="AE335" i="9"/>
  <c r="BA335" i="9" s="1"/>
  <c r="AR335" i="9"/>
  <c r="BH335" i="9" s="1"/>
  <c r="BE335" i="9" s="1"/>
  <c r="BI335" i="9"/>
  <c r="BJ335" i="9"/>
  <c r="BL335" i="9"/>
  <c r="AV336" i="9"/>
  <c r="AW336" i="9"/>
  <c r="AX336" i="9"/>
  <c r="Y336" i="9"/>
  <c r="AY336" i="9" s="1"/>
  <c r="AA336" i="9"/>
  <c r="AC336" i="9"/>
  <c r="AZ336" i="9" s="1"/>
  <c r="AE336" i="9"/>
  <c r="BA336" i="9" s="1"/>
  <c r="AR336" i="9"/>
  <c r="BH336" i="9" s="1"/>
  <c r="BE336" i="9" s="1"/>
  <c r="BI336" i="9"/>
  <c r="BJ336" i="9"/>
  <c r="BL336" i="9"/>
  <c r="AV338" i="9"/>
  <c r="AW338" i="9"/>
  <c r="AX338" i="9"/>
  <c r="Y338" i="9"/>
  <c r="AY338" i="9" s="1"/>
  <c r="AA338" i="9"/>
  <c r="AC338" i="9"/>
  <c r="AZ338" i="9" s="1"/>
  <c r="AE338" i="9"/>
  <c r="BA338" i="9" s="1"/>
  <c r="AR338" i="9"/>
  <c r="BH338" i="9" s="1"/>
  <c r="BE338" i="9" s="1"/>
  <c r="BI338" i="9"/>
  <c r="BJ338" i="9"/>
  <c r="BL338" i="9"/>
  <c r="AV339" i="9"/>
  <c r="AW339" i="9"/>
  <c r="AX339" i="9"/>
  <c r="Y339" i="9"/>
  <c r="AY339" i="9" s="1"/>
  <c r="AA339" i="9"/>
  <c r="AC339" i="9"/>
  <c r="AZ339" i="9" s="1"/>
  <c r="AE339" i="9"/>
  <c r="BA339" i="9" s="1"/>
  <c r="AR339" i="9"/>
  <c r="BH339" i="9" s="1"/>
  <c r="BE339" i="9" s="1"/>
  <c r="BI339" i="9"/>
  <c r="BJ339" i="9"/>
  <c r="BL339" i="9"/>
  <c r="AV341" i="9"/>
  <c r="AW341" i="9"/>
  <c r="AX341" i="9"/>
  <c r="Y341" i="9"/>
  <c r="AY341" i="9" s="1"/>
  <c r="AA341" i="9"/>
  <c r="AC341" i="9"/>
  <c r="AZ341" i="9" s="1"/>
  <c r="AE341" i="9"/>
  <c r="BA341" i="9" s="1"/>
  <c r="AR341" i="9"/>
  <c r="BH341" i="9" s="1"/>
  <c r="BE341" i="9" s="1"/>
  <c r="BI341" i="9"/>
  <c r="BJ341" i="9"/>
  <c r="BL341" i="9"/>
  <c r="AV342" i="9"/>
  <c r="AW342" i="9"/>
  <c r="AX342" i="9"/>
  <c r="Y342" i="9"/>
  <c r="AY342" i="9" s="1"/>
  <c r="AA342" i="9"/>
  <c r="AC342" i="9"/>
  <c r="AZ342" i="9" s="1"/>
  <c r="AE342" i="9"/>
  <c r="BA342" i="9" s="1"/>
  <c r="AR342" i="9"/>
  <c r="BH342" i="9" s="1"/>
  <c r="BE342" i="9" s="1"/>
  <c r="BI342" i="9"/>
  <c r="BJ342" i="9"/>
  <c r="BL342" i="9"/>
  <c r="AT344" i="9"/>
  <c r="AU344" i="9"/>
  <c r="AV344" i="9"/>
  <c r="AW344" i="9"/>
  <c r="AX344" i="9"/>
  <c r="Y344" i="9"/>
  <c r="AY344" i="9" s="1"/>
  <c r="AA344" i="9"/>
  <c r="AC344" i="9"/>
  <c r="AZ344" i="9" s="1"/>
  <c r="AE344" i="9"/>
  <c r="BA344" i="9" s="1"/>
  <c r="AR344" i="9"/>
  <c r="BH344" i="9" s="1"/>
  <c r="BE344" i="9" s="1"/>
  <c r="BI344" i="9"/>
  <c r="BJ344" i="9"/>
  <c r="BL344" i="9"/>
  <c r="AV345" i="9"/>
  <c r="AW345" i="9"/>
  <c r="AX345" i="9"/>
  <c r="Y345" i="9"/>
  <c r="AY345" i="9" s="1"/>
  <c r="AA345" i="9"/>
  <c r="AC345" i="9"/>
  <c r="AZ345" i="9" s="1"/>
  <c r="AE345" i="9"/>
  <c r="BA345" i="9" s="1"/>
  <c r="AR345" i="9"/>
  <c r="BH345" i="9" s="1"/>
  <c r="BE345" i="9" s="1"/>
  <c r="BI345" i="9"/>
  <c r="BJ345" i="9"/>
  <c r="BL345" i="9"/>
  <c r="AV347" i="9"/>
  <c r="AW347" i="9"/>
  <c r="AX347" i="9"/>
  <c r="Y347" i="9"/>
  <c r="AY347" i="9" s="1"/>
  <c r="AA347" i="9"/>
  <c r="AC347" i="9"/>
  <c r="AZ347" i="9" s="1"/>
  <c r="AE347" i="9"/>
  <c r="BA347" i="9" s="1"/>
  <c r="AR347" i="9"/>
  <c r="BH347" i="9" s="1"/>
  <c r="BE347" i="9" s="1"/>
  <c r="BI347" i="9"/>
  <c r="BJ347" i="9"/>
  <c r="BL347" i="9"/>
  <c r="AT329" i="9"/>
  <c r="AU329" i="9"/>
  <c r="AV329" i="9"/>
  <c r="AW329" i="9"/>
  <c r="AX329" i="9"/>
  <c r="Y329" i="9"/>
  <c r="AY329" i="9" s="1"/>
  <c r="AA329" i="9"/>
  <c r="AC329" i="9"/>
  <c r="AZ329" i="9" s="1"/>
  <c r="AE329" i="9"/>
  <c r="BA329" i="9" s="1"/>
  <c r="AR329" i="9"/>
  <c r="BH329" i="9" s="1"/>
  <c r="BE329" i="9" s="1"/>
  <c r="BI329" i="9"/>
  <c r="BJ329" i="9"/>
  <c r="BL329" i="9"/>
  <c r="AV348" i="9"/>
  <c r="AW348" i="9"/>
  <c r="AX348" i="9"/>
  <c r="Y348" i="9"/>
  <c r="AY348" i="9" s="1"/>
  <c r="AA348" i="9"/>
  <c r="AC348" i="9"/>
  <c r="AZ348" i="9" s="1"/>
  <c r="AE348" i="9"/>
  <c r="BA348" i="9" s="1"/>
  <c r="AR348" i="9"/>
  <c r="BH348" i="9" s="1"/>
  <c r="BE348" i="9" s="1"/>
  <c r="BI348" i="9"/>
  <c r="BJ348" i="9"/>
  <c r="BL348" i="9"/>
  <c r="AW322" i="9"/>
  <c r="AX322" i="9"/>
  <c r="Y322" i="9"/>
  <c r="AY322" i="9" s="1"/>
  <c r="AA322" i="9"/>
  <c r="AC322" i="9"/>
  <c r="AZ322" i="9" s="1"/>
  <c r="AE322" i="9"/>
  <c r="BA322" i="9" s="1"/>
  <c r="AR322" i="9"/>
  <c r="BH322" i="9" s="1"/>
  <c r="BE322" i="9" s="1"/>
  <c r="BI322" i="9"/>
  <c r="BJ322" i="9"/>
  <c r="BL322" i="9"/>
  <c r="AR265" i="9"/>
  <c r="BH265" i="9" s="1"/>
  <c r="BE265" i="9" s="1"/>
  <c r="AE265" i="9"/>
  <c r="AC265" i="9"/>
  <c r="AA265" i="9"/>
  <c r="Y265" i="9"/>
  <c r="AX265" i="9"/>
  <c r="AW265" i="9"/>
  <c r="AV265" i="9"/>
  <c r="AU265" i="9"/>
  <c r="AT265" i="9"/>
  <c r="AU142" i="9"/>
  <c r="AU263" i="9"/>
  <c r="AT263" i="9"/>
  <c r="AV286" i="9"/>
  <c r="AU286" i="9"/>
  <c r="AT286" i="9"/>
  <c r="AV278" i="9"/>
  <c r="AU278" i="9"/>
  <c r="AT278" i="9"/>
  <c r="AV275" i="9"/>
  <c r="AU275" i="9"/>
  <c r="AT275" i="9"/>
  <c r="AV272" i="9"/>
  <c r="AU272" i="9"/>
  <c r="AT272" i="9"/>
  <c r="AV269" i="9"/>
  <c r="AU269" i="9"/>
  <c r="AT269" i="9"/>
  <c r="AV261" i="9"/>
  <c r="AU261" i="9"/>
  <c r="AT261" i="9"/>
  <c r="AV258" i="9"/>
  <c r="AU258" i="9"/>
  <c r="AT258" i="9"/>
  <c r="AV255" i="9"/>
  <c r="AU255" i="9"/>
  <c r="AT255" i="9"/>
  <c r="G58" i="15" l="1"/>
  <c r="H58" i="15" s="1"/>
  <c r="AW11" i="15"/>
  <c r="AZ11" i="15"/>
  <c r="AJ58" i="15"/>
  <c r="AK58" i="15" s="1"/>
  <c r="AK65" i="15" s="1"/>
  <c r="AY12" i="15" s="1"/>
  <c r="AH58" i="15"/>
  <c r="F25" i="15"/>
  <c r="F21" i="15"/>
  <c r="F23" i="15"/>
  <c r="F22" i="15"/>
  <c r="F24" i="15"/>
  <c r="E32" i="20" a="1"/>
  <c r="E32" i="20" s="1"/>
  <c r="E42" i="20" a="1"/>
  <c r="E42" i="20" s="1"/>
  <c r="E33" i="20" a="1"/>
  <c r="E33" i="20" s="1"/>
  <c r="E41" i="20" a="1"/>
  <c r="E41" i="20" s="1"/>
  <c r="E31" i="20" a="1"/>
  <c r="E31" i="20" s="1"/>
  <c r="E54" i="20" a="1"/>
  <c r="E54" i="20" s="1"/>
  <c r="E43" i="20" a="1"/>
  <c r="E43" i="20" s="1"/>
  <c r="E55" i="20" a="1"/>
  <c r="E55" i="20" s="1"/>
  <c r="BE20" i="10"/>
  <c r="E43" i="15" a="1"/>
  <c r="E43" i="15" s="1"/>
  <c r="E55" i="15" a="1"/>
  <c r="E55" i="15" s="1"/>
  <c r="E33" i="15" a="1"/>
  <c r="E33" i="15" s="1"/>
  <c r="E41" i="15" a="1"/>
  <c r="E41" i="15" s="1"/>
  <c r="E31" i="15" a="1"/>
  <c r="E31" i="15" s="1"/>
  <c r="E54" i="15" a="1"/>
  <c r="E54" i="15" s="1"/>
  <c r="AS347" i="9"/>
  <c r="BB347" i="9" s="1"/>
  <c r="BF347" i="9" s="1"/>
  <c r="BG347" i="9" s="1"/>
  <c r="AS329" i="9"/>
  <c r="BB329" i="9" s="1"/>
  <c r="BF329" i="9" s="1"/>
  <c r="BG329" i="9" s="1"/>
  <c r="AS342" i="9"/>
  <c r="BB342" i="9" s="1"/>
  <c r="AS338" i="9"/>
  <c r="BB338" i="9" s="1"/>
  <c r="AS341" i="9"/>
  <c r="BB341" i="9" s="1"/>
  <c r="AS344" i="9"/>
  <c r="BB344" i="9" s="1"/>
  <c r="BF344" i="9" s="1"/>
  <c r="BG344" i="9" s="1"/>
  <c r="AS315" i="9"/>
  <c r="BB315" i="9" s="1"/>
  <c r="AS348" i="9"/>
  <c r="BB348" i="9" s="1"/>
  <c r="AS339" i="9"/>
  <c r="BB339" i="9" s="1"/>
  <c r="AS336" i="9"/>
  <c r="BB336" i="9" s="1"/>
  <c r="AS265" i="9"/>
  <c r="AS335" i="9"/>
  <c r="BB335" i="9" s="1"/>
  <c r="BF335" i="9" s="1"/>
  <c r="BG335" i="9" s="1"/>
  <c r="AS345" i="9"/>
  <c r="BB345" i="9" s="1"/>
  <c r="AS322" i="9"/>
  <c r="BB322" i="9" s="1"/>
  <c r="BF322" i="9" s="1"/>
  <c r="BG322" i="9" s="1"/>
  <c r="Z317" i="9"/>
  <c r="Z320" i="9"/>
  <c r="Z324" i="9"/>
  <c r="Z327" i="9"/>
  <c r="Z331" i="9"/>
  <c r="Z334" i="9"/>
  <c r="Z337" i="9"/>
  <c r="Z340" i="9"/>
  <c r="Z343" i="9"/>
  <c r="Z346" i="9"/>
  <c r="Z314" i="9"/>
  <c r="BH314" i="9" s="1"/>
  <c r="BE314" i="9" s="1"/>
  <c r="AA252" i="9"/>
  <c r="AA254" i="9"/>
  <c r="AA255" i="9"/>
  <c r="AA257" i="9"/>
  <c r="AA258" i="9"/>
  <c r="AA260" i="9"/>
  <c r="AA261" i="9"/>
  <c r="AA263" i="9"/>
  <c r="AA264" i="9"/>
  <c r="AA268" i="9"/>
  <c r="AA269" i="9"/>
  <c r="AA271" i="9"/>
  <c r="AA272" i="9"/>
  <c r="AA274" i="9"/>
  <c r="AA275" i="9"/>
  <c r="AA277" i="9"/>
  <c r="AA278" i="9"/>
  <c r="AA280" i="9"/>
  <c r="AA281" i="9"/>
  <c r="AA284" i="9"/>
  <c r="AA285" i="9"/>
  <c r="AA286" i="9"/>
  <c r="AA266" i="9"/>
  <c r="AA316" i="9"/>
  <c r="AA318" i="9"/>
  <c r="AA319" i="9"/>
  <c r="AA321" i="9"/>
  <c r="AA323" i="9"/>
  <c r="AA325" i="9"/>
  <c r="AA326" i="9"/>
  <c r="AA328" i="9"/>
  <c r="AA330" i="9"/>
  <c r="AA332" i="9"/>
  <c r="AA294" i="9"/>
  <c r="AA295" i="9"/>
  <c r="AA296" i="9"/>
  <c r="AA297" i="9"/>
  <c r="AA298" i="9"/>
  <c r="AA300" i="9"/>
  <c r="AA301" i="9"/>
  <c r="AA302" i="9"/>
  <c r="AA303" i="9"/>
  <c r="AA308" i="9"/>
  <c r="AA310" i="9"/>
  <c r="AA311" i="9"/>
  <c r="AA312" i="9"/>
  <c r="AA313" i="9"/>
  <c r="AA333" i="9"/>
  <c r="AA251" i="9"/>
  <c r="Y346" i="9"/>
  <c r="Y252" i="9"/>
  <c r="Y254" i="9"/>
  <c r="Y255" i="9"/>
  <c r="Y257" i="9"/>
  <c r="Y258" i="9"/>
  <c r="Y260" i="9"/>
  <c r="Y261" i="9"/>
  <c r="Y263" i="9"/>
  <c r="Y264" i="9"/>
  <c r="Y268" i="9"/>
  <c r="Y269" i="9"/>
  <c r="Y271" i="9"/>
  <c r="Y272" i="9"/>
  <c r="Y274" i="9"/>
  <c r="Y275" i="9"/>
  <c r="Y277" i="9"/>
  <c r="Y278" i="9"/>
  <c r="Y280" i="9"/>
  <c r="Y281" i="9"/>
  <c r="Y284" i="9"/>
  <c r="Y285" i="9"/>
  <c r="Y286" i="9"/>
  <c r="Y266" i="9"/>
  <c r="Y316" i="9"/>
  <c r="Y318" i="9"/>
  <c r="Y319" i="9"/>
  <c r="Y321" i="9"/>
  <c r="Y323" i="9"/>
  <c r="Y325" i="9"/>
  <c r="Y326" i="9"/>
  <c r="Y328" i="9"/>
  <c r="Y330" i="9"/>
  <c r="Y332" i="9"/>
  <c r="Y294" i="9"/>
  <c r="AY294" i="9" s="1"/>
  <c r="Y295" i="9"/>
  <c r="AY295" i="9" s="1"/>
  <c r="Y296" i="9"/>
  <c r="AY296" i="9" s="1"/>
  <c r="Y297" i="9"/>
  <c r="AY297" i="9" s="1"/>
  <c r="Y298" i="9"/>
  <c r="Y300" i="9"/>
  <c r="Y301" i="9"/>
  <c r="Y302" i="9"/>
  <c r="Y303" i="9"/>
  <c r="Y308" i="9"/>
  <c r="AY308" i="9" s="1"/>
  <c r="Y310" i="9"/>
  <c r="AY310" i="9" s="1"/>
  <c r="Y311" i="9"/>
  <c r="AY311" i="9" s="1"/>
  <c r="Y312" i="9"/>
  <c r="AY312" i="9" s="1"/>
  <c r="Y313" i="9"/>
  <c r="AY313" i="9" s="1"/>
  <c r="Y333" i="9"/>
  <c r="Y251" i="9"/>
  <c r="AY251" i="9" s="1"/>
  <c r="Y314" i="9"/>
  <c r="AY314" i="9" s="1"/>
  <c r="Y317" i="9"/>
  <c r="Y320" i="9"/>
  <c r="Y324" i="9"/>
  <c r="Y327" i="9"/>
  <c r="Y331" i="9"/>
  <c r="Y334" i="9"/>
  <c r="Y337" i="9"/>
  <c r="Y340" i="9"/>
  <c r="Y343" i="9"/>
  <c r="AV320" i="9"/>
  <c r="AV324" i="9"/>
  <c r="AV327" i="9"/>
  <c r="AV331" i="9"/>
  <c r="AV334" i="9"/>
  <c r="AV337" i="9"/>
  <c r="AV340" i="9"/>
  <c r="AV343" i="9"/>
  <c r="AV346" i="9"/>
  <c r="AV252" i="9"/>
  <c r="AV254" i="9"/>
  <c r="AV257" i="9"/>
  <c r="AV260" i="9"/>
  <c r="AV263" i="9"/>
  <c r="AV264" i="9"/>
  <c r="AV268" i="9"/>
  <c r="AV271" i="9"/>
  <c r="AV274" i="9"/>
  <c r="AV277" i="9"/>
  <c r="AV280" i="9"/>
  <c r="AV281" i="9"/>
  <c r="AV284" i="9"/>
  <c r="AV285" i="9"/>
  <c r="AV266" i="9"/>
  <c r="AV316" i="9"/>
  <c r="AV319" i="9"/>
  <c r="AV321" i="9"/>
  <c r="AV323" i="9"/>
  <c r="AV326" i="9"/>
  <c r="AV328" i="9"/>
  <c r="AV330" i="9"/>
  <c r="AV332" i="9"/>
  <c r="AV302" i="9"/>
  <c r="AV303" i="9"/>
  <c r="AV312" i="9"/>
  <c r="AV313" i="9"/>
  <c r="AV333" i="9"/>
  <c r="AV283" i="9"/>
  <c r="AV251" i="9"/>
  <c r="AV314" i="9"/>
  <c r="AV317" i="9"/>
  <c r="AU331" i="9"/>
  <c r="AU334" i="9"/>
  <c r="AU337" i="9"/>
  <c r="AU340" i="9"/>
  <c r="AU343" i="9"/>
  <c r="AU346" i="9"/>
  <c r="AU252" i="9"/>
  <c r="AU254" i="9"/>
  <c r="AU257" i="9"/>
  <c r="AU260" i="9"/>
  <c r="AU264" i="9"/>
  <c r="AU268" i="9"/>
  <c r="AU271" i="9"/>
  <c r="AU274" i="9"/>
  <c r="AU277" i="9"/>
  <c r="AU280" i="9"/>
  <c r="AU281" i="9"/>
  <c r="AU284" i="9"/>
  <c r="AU285" i="9"/>
  <c r="AU266" i="9"/>
  <c r="AU295" i="9"/>
  <c r="AU296" i="9"/>
  <c r="AU297" i="9"/>
  <c r="AU302" i="9"/>
  <c r="AU303" i="9"/>
  <c r="AU312" i="9"/>
  <c r="AU313" i="9"/>
  <c r="AU283" i="9"/>
  <c r="AU251" i="9"/>
  <c r="AU314" i="9"/>
  <c r="AU317" i="9"/>
  <c r="AU320" i="9"/>
  <c r="AU324" i="9"/>
  <c r="AU327" i="9"/>
  <c r="AT317" i="9"/>
  <c r="AT320" i="9"/>
  <c r="AT324" i="9"/>
  <c r="AT327" i="9"/>
  <c r="AT331" i="9"/>
  <c r="AT334" i="9"/>
  <c r="AT337" i="9"/>
  <c r="AT340" i="9"/>
  <c r="AT343" i="9"/>
  <c r="AT346" i="9"/>
  <c r="AT252" i="9"/>
  <c r="AT254" i="9"/>
  <c r="AT257" i="9"/>
  <c r="AT260" i="9"/>
  <c r="AT264" i="9"/>
  <c r="AT268" i="9"/>
  <c r="AT271" i="9"/>
  <c r="AT274" i="9"/>
  <c r="AT277" i="9"/>
  <c r="AT280" i="9"/>
  <c r="AT281" i="9"/>
  <c r="AT284" i="9"/>
  <c r="AT285" i="9"/>
  <c r="AT266" i="9"/>
  <c r="AT302" i="9"/>
  <c r="AT303" i="9"/>
  <c r="AT312" i="9"/>
  <c r="AT313" i="9"/>
  <c r="AT314" i="9"/>
  <c r="AT251" i="9"/>
  <c r="AW251" i="9"/>
  <c r="AX251" i="9"/>
  <c r="AC251" i="9"/>
  <c r="AZ251" i="9" s="1"/>
  <c r="AE251" i="9"/>
  <c r="BA251" i="9" s="1"/>
  <c r="AR251" i="9"/>
  <c r="BH251" i="9" s="1"/>
  <c r="BE251" i="9" s="1"/>
  <c r="BI251" i="9"/>
  <c r="BJ251" i="9"/>
  <c r="BL251" i="9"/>
  <c r="BL283" i="9"/>
  <c r="BJ283" i="9"/>
  <c r="BI283" i="9"/>
  <c r="AR283" i="9"/>
  <c r="BH283" i="9" s="1"/>
  <c r="BE283" i="9" s="1"/>
  <c r="AE283" i="9"/>
  <c r="BA283" i="9" s="1"/>
  <c r="AC283" i="9"/>
  <c r="AZ283" i="9" s="1"/>
  <c r="AA283" i="9"/>
  <c r="Y283" i="9"/>
  <c r="AY283" i="9" s="1"/>
  <c r="AX283" i="9"/>
  <c r="AW283" i="9"/>
  <c r="AT283" i="9"/>
  <c r="BL279" i="9"/>
  <c r="BJ279" i="9"/>
  <c r="BI279" i="9"/>
  <c r="AR279" i="9"/>
  <c r="BH279" i="9" s="1"/>
  <c r="BE279" i="9" s="1"/>
  <c r="AE279" i="9"/>
  <c r="BA279" i="9" s="1"/>
  <c r="AC279" i="9"/>
  <c r="AZ279" i="9" s="1"/>
  <c r="AA279" i="9"/>
  <c r="Y279" i="9"/>
  <c r="AY279" i="9" s="1"/>
  <c r="AX279" i="9"/>
  <c r="AW279" i="9"/>
  <c r="AV279" i="9"/>
  <c r="AU279" i="9"/>
  <c r="AT279" i="9"/>
  <c r="BL276" i="9"/>
  <c r="BJ276" i="9"/>
  <c r="BI276" i="9"/>
  <c r="AR276" i="9"/>
  <c r="BH276" i="9" s="1"/>
  <c r="BE276" i="9" s="1"/>
  <c r="AE276" i="9"/>
  <c r="BA276" i="9" s="1"/>
  <c r="AC276" i="9"/>
  <c r="AZ276" i="9" s="1"/>
  <c r="AA276" i="9"/>
  <c r="Y276" i="9"/>
  <c r="AY276" i="9" s="1"/>
  <c r="AX276" i="9"/>
  <c r="AW276" i="9"/>
  <c r="AV276" i="9"/>
  <c r="AU276" i="9"/>
  <c r="AT276" i="9"/>
  <c r="BL273" i="9"/>
  <c r="BJ273" i="9"/>
  <c r="BI273" i="9"/>
  <c r="AR273" i="9"/>
  <c r="BH273" i="9" s="1"/>
  <c r="BE273" i="9" s="1"/>
  <c r="AE273" i="9"/>
  <c r="BA273" i="9" s="1"/>
  <c r="AC273" i="9"/>
  <c r="AZ273" i="9" s="1"/>
  <c r="AA273" i="9"/>
  <c r="Y273" i="9"/>
  <c r="AY273" i="9" s="1"/>
  <c r="AX273" i="9"/>
  <c r="AW273" i="9"/>
  <c r="AV273" i="9"/>
  <c r="AU273" i="9"/>
  <c r="AT273" i="9"/>
  <c r="BL270" i="9"/>
  <c r="BJ270" i="9"/>
  <c r="BI270" i="9"/>
  <c r="AR270" i="9"/>
  <c r="BH270" i="9" s="1"/>
  <c r="BE270" i="9" s="1"/>
  <c r="AE270" i="9"/>
  <c r="BA270" i="9" s="1"/>
  <c r="AC270" i="9"/>
  <c r="AZ270" i="9" s="1"/>
  <c r="AA270" i="9"/>
  <c r="Y270" i="9"/>
  <c r="AY270" i="9" s="1"/>
  <c r="AX270" i="9"/>
  <c r="AW270" i="9"/>
  <c r="AV270" i="9"/>
  <c r="AU270" i="9"/>
  <c r="AT270" i="9"/>
  <c r="BL267" i="9"/>
  <c r="BJ267" i="9"/>
  <c r="BI267" i="9"/>
  <c r="AR267" i="9"/>
  <c r="BH267" i="9" s="1"/>
  <c r="BE267" i="9" s="1"/>
  <c r="AE267" i="9"/>
  <c r="BA267" i="9" s="1"/>
  <c r="AC267" i="9"/>
  <c r="AZ267" i="9" s="1"/>
  <c r="AA267" i="9"/>
  <c r="Y267" i="9"/>
  <c r="AY267" i="9" s="1"/>
  <c r="AX267" i="9"/>
  <c r="AW267" i="9"/>
  <c r="AV267" i="9"/>
  <c r="AU267" i="9"/>
  <c r="AT267" i="9"/>
  <c r="BL262" i="9"/>
  <c r="BJ262" i="9"/>
  <c r="BI262" i="9"/>
  <c r="AR262" i="9"/>
  <c r="BH262" i="9" s="1"/>
  <c r="BE262" i="9" s="1"/>
  <c r="AE262" i="9"/>
  <c r="BA262" i="9" s="1"/>
  <c r="AC262" i="9"/>
  <c r="AZ262" i="9" s="1"/>
  <c r="AA262" i="9"/>
  <c r="Y262" i="9"/>
  <c r="AY262" i="9" s="1"/>
  <c r="AX262" i="9"/>
  <c r="AW262" i="9"/>
  <c r="AV262" i="9"/>
  <c r="AU262" i="9"/>
  <c r="AT262" i="9"/>
  <c r="BL259" i="9"/>
  <c r="BJ259" i="9"/>
  <c r="BI259" i="9"/>
  <c r="AR259" i="9"/>
  <c r="BH259" i="9" s="1"/>
  <c r="BE259" i="9" s="1"/>
  <c r="AE259" i="9"/>
  <c r="BA259" i="9" s="1"/>
  <c r="AC259" i="9"/>
  <c r="AZ259" i="9" s="1"/>
  <c r="AA259" i="9"/>
  <c r="Y259" i="9"/>
  <c r="AY259" i="9" s="1"/>
  <c r="AX259" i="9"/>
  <c r="AW259" i="9"/>
  <c r="AV259" i="9"/>
  <c r="AU259" i="9"/>
  <c r="AT259" i="9"/>
  <c r="BL256" i="9"/>
  <c r="BJ256" i="9"/>
  <c r="BI256" i="9"/>
  <c r="AR256" i="9"/>
  <c r="BH256" i="9" s="1"/>
  <c r="BE256" i="9" s="1"/>
  <c r="AE256" i="9"/>
  <c r="BA256" i="9" s="1"/>
  <c r="AC256" i="9"/>
  <c r="AZ256" i="9" s="1"/>
  <c r="AA256" i="9"/>
  <c r="Y256" i="9"/>
  <c r="AY256" i="9" s="1"/>
  <c r="AX256" i="9"/>
  <c r="AW256" i="9"/>
  <c r="AV256" i="9"/>
  <c r="AU256" i="9"/>
  <c r="AT256" i="9"/>
  <c r="BL253" i="9"/>
  <c r="BJ253" i="9"/>
  <c r="BI253" i="9"/>
  <c r="AR253" i="9"/>
  <c r="BH253" i="9" s="1"/>
  <c r="BE253" i="9" s="1"/>
  <c r="AE253" i="9"/>
  <c r="BA253" i="9" s="1"/>
  <c r="AC253" i="9"/>
  <c r="AZ253" i="9" s="1"/>
  <c r="AA253" i="9"/>
  <c r="Y253" i="9"/>
  <c r="AY253" i="9" s="1"/>
  <c r="AX253" i="9"/>
  <c r="AW253" i="9"/>
  <c r="AV253" i="9"/>
  <c r="AU253" i="9"/>
  <c r="AT253" i="9"/>
  <c r="BL313" i="9"/>
  <c r="BJ313" i="9"/>
  <c r="BI313" i="9"/>
  <c r="AR313" i="9"/>
  <c r="BH313" i="9" s="1"/>
  <c r="BE313" i="9" s="1"/>
  <c r="AE313" i="9"/>
  <c r="BA313" i="9" s="1"/>
  <c r="AC313" i="9"/>
  <c r="AZ313" i="9" s="1"/>
  <c r="AX313" i="9"/>
  <c r="AW313" i="9"/>
  <c r="BL312" i="9"/>
  <c r="BJ312" i="9"/>
  <c r="BI312" i="9"/>
  <c r="AR312" i="9"/>
  <c r="BH312" i="9" s="1"/>
  <c r="BE312" i="9" s="1"/>
  <c r="AE312" i="9"/>
  <c r="BA312" i="9" s="1"/>
  <c r="AC312" i="9"/>
  <c r="AZ312" i="9" s="1"/>
  <c r="AX312" i="9"/>
  <c r="AW312" i="9"/>
  <c r="BL311" i="9"/>
  <c r="BJ311" i="9"/>
  <c r="BI311" i="9"/>
  <c r="AR311" i="9"/>
  <c r="AS311" i="9" s="1"/>
  <c r="BB311" i="9" s="1"/>
  <c r="AE311" i="9"/>
  <c r="BA311" i="9" s="1"/>
  <c r="AC311" i="9"/>
  <c r="AZ311" i="9" s="1"/>
  <c r="N311" i="9"/>
  <c r="O311" i="9" s="1"/>
  <c r="BJ310" i="9"/>
  <c r="BI310" i="9"/>
  <c r="AR310" i="9"/>
  <c r="AS310" i="9" s="1"/>
  <c r="BB310" i="9" s="1"/>
  <c r="AE310" i="9"/>
  <c r="BA310" i="9" s="1"/>
  <c r="AC310" i="9"/>
  <c r="AZ310" i="9" s="1"/>
  <c r="M310" i="9"/>
  <c r="A310" i="9" s="1"/>
  <c r="BJ309" i="9"/>
  <c r="BI309" i="9"/>
  <c r="AR309" i="9"/>
  <c r="BH309" i="9" s="1"/>
  <c r="AC309" i="9"/>
  <c r="AZ309" i="9" s="1"/>
  <c r="AX309" i="9"/>
  <c r="AW309" i="9"/>
  <c r="M309" i="9"/>
  <c r="BJ308" i="9"/>
  <c r="BI308" i="9"/>
  <c r="AR308" i="9"/>
  <c r="BH308" i="9" s="1"/>
  <c r="AE308" i="9"/>
  <c r="BA308" i="9" s="1"/>
  <c r="AC308" i="9"/>
  <c r="AZ308" i="9" s="1"/>
  <c r="AX308" i="9"/>
  <c r="AW308" i="9"/>
  <c r="M308" i="9"/>
  <c r="AR303" i="9"/>
  <c r="BH303" i="9" s="1"/>
  <c r="BE303" i="9" s="1"/>
  <c r="AC303" i="9"/>
  <c r="AX303" i="9"/>
  <c r="AW303" i="9"/>
  <c r="N301" i="9"/>
  <c r="O301" i="9" s="1"/>
  <c r="M300" i="9"/>
  <c r="A300" i="9" s="1"/>
  <c r="BJ297" i="9"/>
  <c r="BI297" i="9"/>
  <c r="AR297" i="9"/>
  <c r="BH297" i="9" s="1"/>
  <c r="AE297" i="9"/>
  <c r="BA297" i="9" s="1"/>
  <c r="AC297" i="9"/>
  <c r="AZ297" i="9" s="1"/>
  <c r="AX297" i="9"/>
  <c r="AW297" i="9"/>
  <c r="M297" i="9"/>
  <c r="BJ296" i="9"/>
  <c r="BI296" i="9"/>
  <c r="AR296" i="9"/>
  <c r="BH296" i="9" s="1"/>
  <c r="AE296" i="9"/>
  <c r="BA296" i="9" s="1"/>
  <c r="AC296" i="9"/>
  <c r="AZ296" i="9" s="1"/>
  <c r="AX296" i="9"/>
  <c r="AW296" i="9"/>
  <c r="M296" i="9"/>
  <c r="BJ295" i="9"/>
  <c r="BI295" i="9"/>
  <c r="AR295" i="9"/>
  <c r="BH295" i="9" s="1"/>
  <c r="AE295" i="9"/>
  <c r="BA295" i="9" s="1"/>
  <c r="AC295" i="9"/>
  <c r="AZ295" i="9" s="1"/>
  <c r="AX295" i="9"/>
  <c r="AW295" i="9"/>
  <c r="M295" i="9"/>
  <c r="BJ294" i="9"/>
  <c r="BI294" i="9"/>
  <c r="AR294" i="9"/>
  <c r="BH294" i="9" s="1"/>
  <c r="AE294" i="9"/>
  <c r="BA294" i="9" s="1"/>
  <c r="AC294" i="9"/>
  <c r="AZ294" i="9" s="1"/>
  <c r="AX294" i="9"/>
  <c r="AW294" i="9"/>
  <c r="M294" i="9"/>
  <c r="M298" i="9"/>
  <c r="M299" i="9"/>
  <c r="AR249" i="9"/>
  <c r="BH249" i="9" s="1"/>
  <c r="BE249" i="9" s="1"/>
  <c r="AE249" i="9"/>
  <c r="AC249" i="9"/>
  <c r="AA249" i="9"/>
  <c r="Y249" i="9"/>
  <c r="AX249" i="9"/>
  <c r="AW249" i="9"/>
  <c r="AV249" i="9"/>
  <c r="AU249" i="9"/>
  <c r="AT249" i="9"/>
  <c r="AR248" i="9"/>
  <c r="BH248" i="9" s="1"/>
  <c r="BE248" i="9" s="1"/>
  <c r="AE248" i="9"/>
  <c r="AC248" i="9"/>
  <c r="AA248" i="9"/>
  <c r="Y248" i="9"/>
  <c r="AX248" i="9"/>
  <c r="AW248" i="9"/>
  <c r="AV248" i="9"/>
  <c r="AU248" i="9"/>
  <c r="AT248" i="9"/>
  <c r="N247" i="9"/>
  <c r="O247" i="9" s="1"/>
  <c r="M246" i="9"/>
  <c r="A246" i="9" s="1"/>
  <c r="AR245" i="9"/>
  <c r="BH245" i="9" s="1"/>
  <c r="AE245" i="9"/>
  <c r="AC245" i="9"/>
  <c r="AA245" i="9"/>
  <c r="Y245" i="9"/>
  <c r="AX245" i="9"/>
  <c r="AW245" i="9"/>
  <c r="M245" i="9"/>
  <c r="AR244" i="9"/>
  <c r="BH244" i="9" s="1"/>
  <c r="AC244" i="9"/>
  <c r="AX244" i="9"/>
  <c r="AW244" i="9"/>
  <c r="M244" i="9"/>
  <c r="AR243" i="9"/>
  <c r="BH243" i="9" s="1"/>
  <c r="AE243" i="9"/>
  <c r="AC243" i="9"/>
  <c r="AA243" i="9"/>
  <c r="Y243" i="9"/>
  <c r="AX243" i="9"/>
  <c r="AW243" i="9"/>
  <c r="AU243" i="9"/>
  <c r="M243" i="9"/>
  <c r="BJ242" i="9"/>
  <c r="BI242" i="9"/>
  <c r="AR242" i="9"/>
  <c r="BH242" i="9" s="1"/>
  <c r="AE242" i="9"/>
  <c r="BA242" i="9" s="1"/>
  <c r="AC242" i="9"/>
  <c r="AZ242" i="9" s="1"/>
  <c r="AA242" i="9"/>
  <c r="Y242" i="9"/>
  <c r="AY242" i="9" s="1"/>
  <c r="AX242" i="9"/>
  <c r="AW242" i="9"/>
  <c r="AU242" i="9"/>
  <c r="M242" i="9"/>
  <c r="M141" i="9"/>
  <c r="AR241" i="9"/>
  <c r="BH241" i="9" s="1"/>
  <c r="AE241" i="9"/>
  <c r="AC241" i="9"/>
  <c r="AA241" i="9"/>
  <c r="Y241" i="9"/>
  <c r="AX241" i="9"/>
  <c r="AW241" i="9"/>
  <c r="AU241" i="9"/>
  <c r="M241" i="9"/>
  <c r="M240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14" i="9"/>
  <c r="M115" i="9"/>
  <c r="M116" i="9"/>
  <c r="M117" i="9"/>
  <c r="M118" i="9"/>
  <c r="M121" i="9"/>
  <c r="M122" i="9"/>
  <c r="M123" i="9"/>
  <c r="M124" i="9"/>
  <c r="M125" i="9"/>
  <c r="M126" i="9"/>
  <c r="M127" i="9"/>
  <c r="M130" i="9"/>
  <c r="M131" i="9"/>
  <c r="M132" i="9"/>
  <c r="M133" i="9"/>
  <c r="M134" i="9"/>
  <c r="M135" i="9"/>
  <c r="M136" i="9"/>
  <c r="M113" i="9"/>
  <c r="M307" i="9"/>
  <c r="M293" i="9"/>
  <c r="M239" i="9"/>
  <c r="M231" i="9"/>
  <c r="A231" i="9" s="1"/>
  <c r="M230" i="9"/>
  <c r="M229" i="9"/>
  <c r="M228" i="9"/>
  <c r="M227" i="9"/>
  <c r="M226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0" i="9"/>
  <c r="M139" i="9"/>
  <c r="M138" i="9"/>
  <c r="M137" i="9"/>
  <c r="M112" i="9"/>
  <c r="M111" i="9"/>
  <c r="M110" i="9"/>
  <c r="M109" i="9"/>
  <c r="M108" i="9"/>
  <c r="M107" i="9"/>
  <c r="M106" i="9"/>
  <c r="M105" i="9"/>
  <c r="M104" i="9"/>
  <c r="M50" i="9"/>
  <c r="M46" i="9"/>
  <c r="N46" i="9" s="1"/>
  <c r="M45" i="9"/>
  <c r="M44" i="9"/>
  <c r="M43" i="9"/>
  <c r="M42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N25" i="9" s="1"/>
  <c r="M17" i="9"/>
  <c r="M16" i="9"/>
  <c r="M15" i="9"/>
  <c r="M14" i="9"/>
  <c r="M13" i="9"/>
  <c r="M12" i="9"/>
  <c r="N12" i="9" s="1"/>
  <c r="N232" i="9"/>
  <c r="O232" i="9" s="1"/>
  <c r="AU228" i="9"/>
  <c r="AR218" i="9"/>
  <c r="BH218" i="9" s="1"/>
  <c r="AE218" i="9"/>
  <c r="AC218" i="9"/>
  <c r="AA218" i="9"/>
  <c r="Y218" i="9"/>
  <c r="AX218" i="9"/>
  <c r="AW218" i="9"/>
  <c r="AU218" i="9"/>
  <c r="AR216" i="9"/>
  <c r="BH216" i="9" s="1"/>
  <c r="AE216" i="9"/>
  <c r="AC216" i="9"/>
  <c r="AA216" i="9"/>
  <c r="Y216" i="9"/>
  <c r="AX216" i="9"/>
  <c r="AW216" i="9"/>
  <c r="AU216" i="9"/>
  <c r="AR215" i="9"/>
  <c r="BH215" i="9" s="1"/>
  <c r="AE215" i="9"/>
  <c r="AC215" i="9"/>
  <c r="AA215" i="9"/>
  <c r="Y215" i="9"/>
  <c r="AX215" i="9"/>
  <c r="AW215" i="9"/>
  <c r="AR214" i="9"/>
  <c r="BH214" i="9" s="1"/>
  <c r="AE214" i="9"/>
  <c r="AC214" i="9"/>
  <c r="AA214" i="9"/>
  <c r="Y214" i="9"/>
  <c r="AX214" i="9"/>
  <c r="AW214" i="9"/>
  <c r="AR213" i="9"/>
  <c r="BH213" i="9" s="1"/>
  <c r="AC213" i="9"/>
  <c r="AX213" i="9"/>
  <c r="AW213" i="9"/>
  <c r="AR212" i="9"/>
  <c r="BH212" i="9" s="1"/>
  <c r="AE212" i="9"/>
  <c r="AC212" i="9"/>
  <c r="AA212" i="9"/>
  <c r="Y212" i="9"/>
  <c r="AX212" i="9"/>
  <c r="AW212" i="9"/>
  <c r="AU212" i="9"/>
  <c r="AH65" i="15" l="1"/>
  <c r="AU12" i="15" s="1"/>
  <c r="AI58" i="15"/>
  <c r="AI65" i="15" s="1"/>
  <c r="AX12" i="15" s="1"/>
  <c r="AZ12" i="15" s="1"/>
  <c r="AJ65" i="15"/>
  <c r="AV12" i="15" s="1"/>
  <c r="AG24" i="15"/>
  <c r="AJ24" i="15"/>
  <c r="AK24" i="15" s="1"/>
  <c r="AH24" i="15"/>
  <c r="AI24" i="15" s="1"/>
  <c r="AA54" i="15"/>
  <c r="AD54" i="15"/>
  <c r="AB54" i="15"/>
  <c r="AC54" i="15" s="1"/>
  <c r="AG22" i="15"/>
  <c r="AJ22" i="15"/>
  <c r="AK22" i="15" s="1"/>
  <c r="AH22" i="15"/>
  <c r="AI22" i="15" s="1"/>
  <c r="AD31" i="15"/>
  <c r="AE31" i="15" s="1"/>
  <c r="AB31" i="15"/>
  <c r="AC31" i="15" s="1"/>
  <c r="AG23" i="15"/>
  <c r="AJ23" i="15"/>
  <c r="AK23" i="15" s="1"/>
  <c r="AH23" i="15"/>
  <c r="AI23" i="15" s="1"/>
  <c r="AD41" i="15"/>
  <c r="AB41" i="15"/>
  <c r="AC41" i="15" s="1"/>
  <c r="AG21" i="15"/>
  <c r="AJ21" i="15"/>
  <c r="AH21" i="15"/>
  <c r="AI21" i="15" s="1"/>
  <c r="AD33" i="15"/>
  <c r="AE33" i="15" s="1"/>
  <c r="AB33" i="15"/>
  <c r="AC33" i="15" s="1"/>
  <c r="AG25" i="15"/>
  <c r="AH25" i="15"/>
  <c r="AI25" i="15" s="1"/>
  <c r="AJ25" i="15"/>
  <c r="AK25" i="15" s="1"/>
  <c r="AA55" i="15"/>
  <c r="AB55" i="15"/>
  <c r="AC55" i="15" s="1"/>
  <c r="AD55" i="15"/>
  <c r="AE55" i="15" s="1"/>
  <c r="AD43" i="15"/>
  <c r="AE43" i="15" s="1"/>
  <c r="AB43" i="15"/>
  <c r="AC43" i="15" s="1"/>
  <c r="G43" i="15"/>
  <c r="H43" i="15" s="1"/>
  <c r="AA43" i="15"/>
  <c r="G31" i="15"/>
  <c r="H31" i="15" s="1"/>
  <c r="AA31" i="15"/>
  <c r="G41" i="15"/>
  <c r="H41" i="15" s="1"/>
  <c r="AA41" i="15"/>
  <c r="G33" i="15"/>
  <c r="H33" i="15" s="1"/>
  <c r="AA33" i="15"/>
  <c r="BF314" i="9"/>
  <c r="BG314" i="9" s="1"/>
  <c r="G55" i="20"/>
  <c r="H55" i="20" s="1"/>
  <c r="I55" i="20"/>
  <c r="J55" i="20" s="1"/>
  <c r="K43" i="20"/>
  <c r="I43" i="20"/>
  <c r="J43" i="20" s="1"/>
  <c r="G43" i="20"/>
  <c r="H43" i="20" s="1"/>
  <c r="G54" i="20"/>
  <c r="H54" i="20" s="1"/>
  <c r="I54" i="20"/>
  <c r="J54" i="20" s="1"/>
  <c r="K31" i="20"/>
  <c r="I31" i="20"/>
  <c r="J31" i="20" s="1"/>
  <c r="G31" i="20"/>
  <c r="H31" i="20" s="1"/>
  <c r="K41" i="20"/>
  <c r="I41" i="20"/>
  <c r="J41" i="20" s="1"/>
  <c r="G41" i="20"/>
  <c r="H41" i="20" s="1"/>
  <c r="K33" i="20"/>
  <c r="G33" i="20"/>
  <c r="H33" i="20" s="1"/>
  <c r="I33" i="20"/>
  <c r="J33" i="20" s="1"/>
  <c r="I42" i="20"/>
  <c r="J42" i="20" s="1"/>
  <c r="G42" i="20"/>
  <c r="H42" i="20" s="1"/>
  <c r="G32" i="20"/>
  <c r="H32" i="20" s="1"/>
  <c r="I32" i="20"/>
  <c r="J32" i="20" s="1"/>
  <c r="G55" i="15"/>
  <c r="I54" i="15"/>
  <c r="G54" i="15"/>
  <c r="BE216" i="9"/>
  <c r="K31" i="15"/>
  <c r="I31" i="15"/>
  <c r="J31" i="15" s="1"/>
  <c r="K41" i="15"/>
  <c r="I41" i="15"/>
  <c r="J41" i="15" s="1"/>
  <c r="K33" i="15"/>
  <c r="I33" i="15"/>
  <c r="I55" i="15"/>
  <c r="K43" i="15"/>
  <c r="I43" i="15"/>
  <c r="J43" i="15" s="1"/>
  <c r="S12" i="9"/>
  <c r="O12" i="9"/>
  <c r="W12" i="9"/>
  <c r="U12" i="9"/>
  <c r="S35" i="9"/>
  <c r="Q35" i="9"/>
  <c r="O35" i="9"/>
  <c r="U35" i="9"/>
  <c r="W35" i="9"/>
  <c r="O111" i="9"/>
  <c r="Q111" i="9"/>
  <c r="S111" i="9"/>
  <c r="S133" i="9"/>
  <c r="O133" i="9"/>
  <c r="Q133" i="9"/>
  <c r="O170" i="9"/>
  <c r="AT170" i="9" s="1"/>
  <c r="S170" i="9"/>
  <c r="AV170" i="9" s="1"/>
  <c r="O216" i="9"/>
  <c r="S216" i="9"/>
  <c r="AV216" i="9" s="1"/>
  <c r="Q13" i="9"/>
  <c r="O13" i="9"/>
  <c r="W13" i="9"/>
  <c r="U13" i="9"/>
  <c r="S13" i="9"/>
  <c r="W36" i="9"/>
  <c r="U36" i="9"/>
  <c r="S36" i="9"/>
  <c r="Q36" i="9"/>
  <c r="O36" i="9"/>
  <c r="O199" i="9"/>
  <c r="AT199" i="9" s="1"/>
  <c r="S199" i="9"/>
  <c r="AV199" i="9" s="1"/>
  <c r="Q199" i="9"/>
  <c r="AU199" i="9" s="1"/>
  <c r="O155" i="9"/>
  <c r="AT155" i="9" s="1"/>
  <c r="S155" i="9"/>
  <c r="AV155" i="9" s="1"/>
  <c r="Q155" i="9"/>
  <c r="AU155" i="9" s="1"/>
  <c r="O217" i="9"/>
  <c r="AT217" i="9" s="1"/>
  <c r="S217" i="9"/>
  <c r="AV217" i="9" s="1"/>
  <c r="Q217" i="9"/>
  <c r="AU217" i="9" s="1"/>
  <c r="S14" i="9"/>
  <c r="Q14" i="9"/>
  <c r="O14" i="9"/>
  <c r="W37" i="9"/>
  <c r="U37" i="9"/>
  <c r="S37" i="9"/>
  <c r="Q37" i="9"/>
  <c r="O37" i="9"/>
  <c r="W137" i="9"/>
  <c r="U137" i="9"/>
  <c r="O137" i="9"/>
  <c r="AT137" i="9" s="1"/>
  <c r="S137" i="9"/>
  <c r="Q137" i="9"/>
  <c r="AU137" i="9" s="1"/>
  <c r="W184" i="9"/>
  <c r="U184" i="9"/>
  <c r="O184" i="9"/>
  <c r="S184" i="9"/>
  <c r="Q184" i="9"/>
  <c r="O131" i="9"/>
  <c r="S131" i="9"/>
  <c r="O156" i="9"/>
  <c r="AT156" i="9" s="1"/>
  <c r="S156" i="9"/>
  <c r="AV156" i="9" s="1"/>
  <c r="Q156" i="9"/>
  <c r="AU156" i="9" s="1"/>
  <c r="O218" i="9"/>
  <c r="AT218" i="9" s="1"/>
  <c r="S218" i="9"/>
  <c r="AV218" i="9" s="1"/>
  <c r="A244" i="9"/>
  <c r="Q244" i="9"/>
  <c r="AU244" i="9" s="1"/>
  <c r="S244" i="9"/>
  <c r="AV244" i="9" s="1"/>
  <c r="O244" i="9"/>
  <c r="AT244" i="9" s="1"/>
  <c r="Q15" i="9"/>
  <c r="O15" i="9"/>
  <c r="W15" i="9"/>
  <c r="S15" i="9"/>
  <c r="U15" i="9"/>
  <c r="O42" i="9"/>
  <c r="W42" i="9"/>
  <c r="U42" i="9"/>
  <c r="S42" i="9"/>
  <c r="Q42" i="9"/>
  <c r="O185" i="9"/>
  <c r="AT185" i="9" s="1"/>
  <c r="S185" i="9"/>
  <c r="AV185" i="9" s="1"/>
  <c r="Q185" i="9"/>
  <c r="AU185" i="9" s="1"/>
  <c r="A226" i="9"/>
  <c r="Q226" i="9"/>
  <c r="W226" i="9"/>
  <c r="O226" i="9"/>
  <c r="U226" i="9"/>
  <c r="S226" i="9"/>
  <c r="S130" i="9"/>
  <c r="O130" i="9"/>
  <c r="Q130" i="9"/>
  <c r="O157" i="9"/>
  <c r="S157" i="9"/>
  <c r="AV157" i="9" s="1"/>
  <c r="Q157" i="9"/>
  <c r="AU157" i="9" s="1"/>
  <c r="O203" i="9"/>
  <c r="AT203" i="9" s="1"/>
  <c r="S203" i="9"/>
  <c r="AV203" i="9" s="1"/>
  <c r="Q203" i="9"/>
  <c r="AU203" i="9" s="1"/>
  <c r="Q240" i="9"/>
  <c r="AU240" i="9" s="1"/>
  <c r="A240" i="9"/>
  <c r="O240" i="9"/>
  <c r="S240" i="9"/>
  <c r="AV240" i="9" s="1"/>
  <c r="U16" i="9"/>
  <c r="S16" i="9"/>
  <c r="Q16" i="9"/>
  <c r="O16" i="9"/>
  <c r="W16" i="9"/>
  <c r="Q43" i="9"/>
  <c r="O43" i="9"/>
  <c r="S43" i="9"/>
  <c r="S139" i="9"/>
  <c r="O139" i="9"/>
  <c r="O186" i="9"/>
  <c r="S186" i="9"/>
  <c r="Q186" i="9"/>
  <c r="A227" i="9"/>
  <c r="S227" i="9"/>
  <c r="Q227" i="9"/>
  <c r="AU227" i="9" s="1"/>
  <c r="O227" i="9"/>
  <c r="AT227" i="9" s="1"/>
  <c r="O127" i="9"/>
  <c r="S127" i="9"/>
  <c r="Q158" i="9"/>
  <c r="AU158" i="9" s="1"/>
  <c r="O158" i="9"/>
  <c r="AT158" i="9" s="1"/>
  <c r="S158" i="9"/>
  <c r="AV158" i="9" s="1"/>
  <c r="O204" i="9"/>
  <c r="AT204" i="9" s="1"/>
  <c r="S204" i="9"/>
  <c r="AV204" i="9" s="1"/>
  <c r="Q204" i="9"/>
  <c r="AU204" i="9" s="1"/>
  <c r="A241" i="9"/>
  <c r="O241" i="9"/>
  <c r="S241" i="9"/>
  <c r="AV241" i="9" s="1"/>
  <c r="S17" i="9"/>
  <c r="Q17" i="9"/>
  <c r="O17" i="9"/>
  <c r="S44" i="9"/>
  <c r="O44" i="9"/>
  <c r="W44" i="9"/>
  <c r="U44" i="9"/>
  <c r="Q44" i="9"/>
  <c r="S140" i="9"/>
  <c r="O140" i="9"/>
  <c r="O187" i="9"/>
  <c r="AT187" i="9" s="1"/>
  <c r="S187" i="9"/>
  <c r="AV187" i="9" s="1"/>
  <c r="S228" i="9"/>
  <c r="AV228" i="9" s="1"/>
  <c r="A228" i="9"/>
  <c r="O228" i="9"/>
  <c r="AT228" i="9" s="1"/>
  <c r="O159" i="9"/>
  <c r="AT159" i="9" s="1"/>
  <c r="S159" i="9"/>
  <c r="AV159" i="9" s="1"/>
  <c r="Q159" i="9"/>
  <c r="AU159" i="9" s="1"/>
  <c r="O205" i="9"/>
  <c r="AT205" i="9" s="1"/>
  <c r="S205" i="9"/>
  <c r="AV205" i="9" s="1"/>
  <c r="Q205" i="9"/>
  <c r="AU205" i="9" s="1"/>
  <c r="O299" i="9"/>
  <c r="AT299" i="9" s="1"/>
  <c r="A299" i="9"/>
  <c r="S299" i="9"/>
  <c r="AV299" i="9" s="1"/>
  <c r="Q299" i="9"/>
  <c r="AU299" i="9" s="1"/>
  <c r="S309" i="9"/>
  <c r="AV309" i="9" s="1"/>
  <c r="Q309" i="9"/>
  <c r="AU309" i="9" s="1"/>
  <c r="O309" i="9"/>
  <c r="AT309" i="9" s="1"/>
  <c r="A309" i="9"/>
  <c r="W25" i="9"/>
  <c r="U25" i="9"/>
  <c r="S25" i="9"/>
  <c r="O25" i="9"/>
  <c r="Q45" i="9"/>
  <c r="O45" i="9"/>
  <c r="S45" i="9"/>
  <c r="S142" i="9"/>
  <c r="AV142" i="9" s="1"/>
  <c r="O142" i="9"/>
  <c r="AT142" i="9" s="1"/>
  <c r="O188" i="9"/>
  <c r="AT188" i="9" s="1"/>
  <c r="S188" i="9"/>
  <c r="S229" i="9"/>
  <c r="AV229" i="9" s="1"/>
  <c r="Q229" i="9"/>
  <c r="AU229" i="9" s="1"/>
  <c r="A229" i="9"/>
  <c r="O229" i="9"/>
  <c r="AT229" i="9" s="1"/>
  <c r="Q125" i="9"/>
  <c r="S125" i="9"/>
  <c r="O125" i="9"/>
  <c r="O160" i="9"/>
  <c r="AT160" i="9" s="1"/>
  <c r="S160" i="9"/>
  <c r="AV160" i="9" s="1"/>
  <c r="Q206" i="9"/>
  <c r="AU206" i="9" s="1"/>
  <c r="O206" i="9"/>
  <c r="AT206" i="9" s="1"/>
  <c r="S206" i="9"/>
  <c r="AV206" i="9" s="1"/>
  <c r="A298" i="9"/>
  <c r="S298" i="9"/>
  <c r="AV298" i="9" s="1"/>
  <c r="Q298" i="9"/>
  <c r="AU298" i="9" s="1"/>
  <c r="O298" i="9"/>
  <c r="AT298" i="9" s="1"/>
  <c r="O26" i="9"/>
  <c r="W26" i="9"/>
  <c r="U26" i="9"/>
  <c r="Q26" i="9"/>
  <c r="S26" i="9"/>
  <c r="O189" i="9"/>
  <c r="AT189" i="9" s="1"/>
  <c r="S189" i="9"/>
  <c r="AV189" i="9" s="1"/>
  <c r="S230" i="9"/>
  <c r="AV230" i="9" s="1"/>
  <c r="Q230" i="9"/>
  <c r="AU230" i="9" s="1"/>
  <c r="A230" i="9"/>
  <c r="O230" i="9"/>
  <c r="S161" i="9"/>
  <c r="AV161" i="9" s="1"/>
  <c r="O161" i="9"/>
  <c r="AT161" i="9" s="1"/>
  <c r="Q161" i="9"/>
  <c r="AU161" i="9" s="1"/>
  <c r="O207" i="9"/>
  <c r="AT207" i="9" s="1"/>
  <c r="S207" i="9"/>
  <c r="AV207" i="9" s="1"/>
  <c r="A245" i="9"/>
  <c r="S245" i="9"/>
  <c r="AV245" i="9" s="1"/>
  <c r="Q245" i="9"/>
  <c r="AU245" i="9" s="1"/>
  <c r="O245" i="9"/>
  <c r="AT245" i="9" s="1"/>
  <c r="S294" i="9"/>
  <c r="AV294" i="9" s="1"/>
  <c r="A294" i="9"/>
  <c r="Q294" i="9"/>
  <c r="AU294" i="9" s="1"/>
  <c r="O294" i="9"/>
  <c r="AT294" i="9" s="1"/>
  <c r="A296" i="9"/>
  <c r="S296" i="9"/>
  <c r="AV296" i="9" s="1"/>
  <c r="O296" i="9"/>
  <c r="AT296" i="9" s="1"/>
  <c r="Q27" i="9"/>
  <c r="O27" i="9"/>
  <c r="S27" i="9"/>
  <c r="Q144" i="9"/>
  <c r="AU144" i="9" s="1"/>
  <c r="S144" i="9"/>
  <c r="AV144" i="9" s="1"/>
  <c r="O144" i="9"/>
  <c r="AT144" i="9" s="1"/>
  <c r="Q190" i="9"/>
  <c r="O190" i="9"/>
  <c r="S190" i="9"/>
  <c r="S123" i="9"/>
  <c r="O123" i="9"/>
  <c r="Q162" i="9"/>
  <c r="AU162" i="9" s="1"/>
  <c r="S162" i="9"/>
  <c r="AV162" i="9" s="1"/>
  <c r="O162" i="9"/>
  <c r="AT162" i="9" s="1"/>
  <c r="Q208" i="9"/>
  <c r="AU208" i="9" s="1"/>
  <c r="O208" i="9"/>
  <c r="AT208" i="9" s="1"/>
  <c r="S208" i="9"/>
  <c r="AV208" i="9" s="1"/>
  <c r="O28" i="9"/>
  <c r="W28" i="9"/>
  <c r="Q28" i="9"/>
  <c r="U28" i="9"/>
  <c r="S28" i="9"/>
  <c r="W104" i="9"/>
  <c r="U104" i="9"/>
  <c r="S104" i="9"/>
  <c r="O104" i="9"/>
  <c r="Q104" i="9"/>
  <c r="W239" i="9"/>
  <c r="A239" i="9"/>
  <c r="O239" i="9"/>
  <c r="U239" i="9"/>
  <c r="S239" i="9"/>
  <c r="Q239" i="9"/>
  <c r="S163" i="9"/>
  <c r="AV163" i="9" s="1"/>
  <c r="Q163" i="9"/>
  <c r="AU163" i="9" s="1"/>
  <c r="O163" i="9"/>
  <c r="AT163" i="9" s="1"/>
  <c r="Q209" i="9"/>
  <c r="AU209" i="9" s="1"/>
  <c r="O209" i="9"/>
  <c r="AT209" i="9" s="1"/>
  <c r="S209" i="9"/>
  <c r="AV209" i="9" s="1"/>
  <c r="S243" i="9"/>
  <c r="AV243" i="9" s="1"/>
  <c r="A243" i="9"/>
  <c r="O243" i="9"/>
  <c r="AT243" i="9" s="1"/>
  <c r="Q29" i="9"/>
  <c r="O29" i="9"/>
  <c r="W29" i="9"/>
  <c r="U29" i="9"/>
  <c r="S29" i="9"/>
  <c r="Q105" i="9"/>
  <c r="S105" i="9"/>
  <c r="O105" i="9"/>
  <c r="S146" i="9"/>
  <c r="AV146" i="9" s="1"/>
  <c r="O146" i="9"/>
  <c r="AT146" i="9" s="1"/>
  <c r="O192" i="9"/>
  <c r="AT192" i="9" s="1"/>
  <c r="S192" i="9"/>
  <c r="AV192" i="9" s="1"/>
  <c r="S293" i="9"/>
  <c r="AV293" i="9" s="1"/>
  <c r="Q293" i="9"/>
  <c r="AU293" i="9" s="1"/>
  <c r="A293" i="9"/>
  <c r="W293" i="9"/>
  <c r="O293" i="9"/>
  <c r="AT293" i="9" s="1"/>
  <c r="U293" i="9"/>
  <c r="S121" i="9"/>
  <c r="O121" i="9"/>
  <c r="S210" i="9"/>
  <c r="AV210" i="9" s="1"/>
  <c r="Q210" i="9"/>
  <c r="AU210" i="9" s="1"/>
  <c r="O210" i="9"/>
  <c r="AT210" i="9" s="1"/>
  <c r="S30" i="9"/>
  <c r="Q30" i="9"/>
  <c r="O30" i="9"/>
  <c r="W30" i="9"/>
  <c r="U30" i="9"/>
  <c r="Q106" i="9"/>
  <c r="S106" i="9"/>
  <c r="O106" i="9"/>
  <c r="S147" i="9"/>
  <c r="AV147" i="9" s="1"/>
  <c r="O147" i="9"/>
  <c r="AT147" i="9" s="1"/>
  <c r="Q147" i="9"/>
  <c r="AU147" i="9" s="1"/>
  <c r="S193" i="9"/>
  <c r="AV193" i="9" s="1"/>
  <c r="O193" i="9"/>
  <c r="AT193" i="9" s="1"/>
  <c r="S307" i="9"/>
  <c r="AV307" i="9" s="1"/>
  <c r="Q307" i="9"/>
  <c r="AU307" i="9" s="1"/>
  <c r="O307" i="9"/>
  <c r="AT307" i="9" s="1"/>
  <c r="W307" i="9"/>
  <c r="A307" i="9"/>
  <c r="U307" i="9"/>
  <c r="O165" i="9"/>
  <c r="S165" i="9"/>
  <c r="AV165" i="9" s="1"/>
  <c r="Q31" i="9"/>
  <c r="O31" i="9"/>
  <c r="W31" i="9"/>
  <c r="S31" i="9"/>
  <c r="U31" i="9"/>
  <c r="S107" i="9"/>
  <c r="O107" i="9"/>
  <c r="S148" i="9"/>
  <c r="AV148" i="9" s="1"/>
  <c r="O148" i="9"/>
  <c r="AT148" i="9" s="1"/>
  <c r="O194" i="9"/>
  <c r="AT194" i="9" s="1"/>
  <c r="S194" i="9"/>
  <c r="AV194" i="9" s="1"/>
  <c r="S117" i="9"/>
  <c r="O117" i="9"/>
  <c r="Q117" i="9"/>
  <c r="S166" i="9"/>
  <c r="AV166" i="9" s="1"/>
  <c r="O166" i="9"/>
  <c r="AT166" i="9" s="1"/>
  <c r="Q166" i="9"/>
  <c r="AU166" i="9" s="1"/>
  <c r="S212" i="9"/>
  <c r="AV212" i="9" s="1"/>
  <c r="O212" i="9"/>
  <c r="AT212" i="9" s="1"/>
  <c r="U32" i="9"/>
  <c r="S32" i="9"/>
  <c r="Q32" i="9"/>
  <c r="O32" i="9"/>
  <c r="W32" i="9"/>
  <c r="S149" i="9"/>
  <c r="AV149" i="9" s="1"/>
  <c r="O149" i="9"/>
  <c r="AT149" i="9" s="1"/>
  <c r="S195" i="9"/>
  <c r="Q195" i="9"/>
  <c r="O195" i="9"/>
  <c r="S136" i="9"/>
  <c r="O136" i="9"/>
  <c r="Q136" i="9"/>
  <c r="O167" i="9"/>
  <c r="AT167" i="9" s="1"/>
  <c r="S167" i="9"/>
  <c r="AV167" i="9" s="1"/>
  <c r="Q167" i="9"/>
  <c r="AU167" i="9" s="1"/>
  <c r="S213" i="9"/>
  <c r="AV213" i="9" s="1"/>
  <c r="Q213" i="9"/>
  <c r="AU213" i="9" s="1"/>
  <c r="O213" i="9"/>
  <c r="AT213" i="9" s="1"/>
  <c r="Q308" i="9"/>
  <c r="AU308" i="9" s="1"/>
  <c r="O308" i="9"/>
  <c r="AT308" i="9" s="1"/>
  <c r="A308" i="9"/>
  <c r="S308" i="9"/>
  <c r="AV308" i="9" s="1"/>
  <c r="S33" i="9"/>
  <c r="Q33" i="9"/>
  <c r="O33" i="9"/>
  <c r="W33" i="9"/>
  <c r="U33" i="9"/>
  <c r="Q109" i="9"/>
  <c r="S109" i="9"/>
  <c r="O109" i="9"/>
  <c r="S196" i="9"/>
  <c r="AV196" i="9" s="1"/>
  <c r="O196" i="9"/>
  <c r="AT196" i="9" s="1"/>
  <c r="S135" i="9"/>
  <c r="O135" i="9"/>
  <c r="S115" i="9"/>
  <c r="O115" i="9"/>
  <c r="Q115" i="9"/>
  <c r="O168" i="9"/>
  <c r="S168" i="9"/>
  <c r="AV168" i="9" s="1"/>
  <c r="S214" i="9"/>
  <c r="AV214" i="9" s="1"/>
  <c r="Q214" i="9"/>
  <c r="AU214" i="9" s="1"/>
  <c r="O214" i="9"/>
  <c r="AT214" i="9" s="1"/>
  <c r="A242" i="9"/>
  <c r="O242" i="9"/>
  <c r="AT242" i="9" s="1"/>
  <c r="S242" i="9"/>
  <c r="AV242" i="9" s="1"/>
  <c r="U34" i="9"/>
  <c r="S34" i="9"/>
  <c r="Q34" i="9"/>
  <c r="O34" i="9"/>
  <c r="W34" i="9"/>
  <c r="S110" i="9"/>
  <c r="O110" i="9"/>
  <c r="Q110" i="9"/>
  <c r="O197" i="9"/>
  <c r="AT197" i="9" s="1"/>
  <c r="S197" i="9"/>
  <c r="AV197" i="9" s="1"/>
  <c r="Q197" i="9"/>
  <c r="AU197" i="9" s="1"/>
  <c r="S114" i="9"/>
  <c r="O114" i="9"/>
  <c r="Q114" i="9"/>
  <c r="O169" i="9"/>
  <c r="S169" i="9"/>
  <c r="Q169" i="9"/>
  <c r="O215" i="9"/>
  <c r="AT215" i="9" s="1"/>
  <c r="S215" i="9"/>
  <c r="AV215" i="9" s="1"/>
  <c r="Q215" i="9"/>
  <c r="AU215" i="9" s="1"/>
  <c r="S295" i="9"/>
  <c r="AV295" i="9" s="1"/>
  <c r="A295" i="9"/>
  <c r="O295" i="9"/>
  <c r="AT295" i="9" s="1"/>
  <c r="O297" i="9"/>
  <c r="AT297" i="9" s="1"/>
  <c r="A297" i="9"/>
  <c r="S297" i="9"/>
  <c r="AV297" i="9" s="1"/>
  <c r="BE243" i="9"/>
  <c r="BE245" i="9"/>
  <c r="BE294" i="9"/>
  <c r="BE241" i="9"/>
  <c r="A15" i="9"/>
  <c r="A16" i="9"/>
  <c r="A17" i="9"/>
  <c r="BF311" i="9"/>
  <c r="BG311" i="9" s="1"/>
  <c r="BD311" i="9" s="1"/>
  <c r="BF310" i="9"/>
  <c r="BG310" i="9" s="1"/>
  <c r="BD310" i="9" s="1"/>
  <c r="BF339" i="9"/>
  <c r="BG339" i="9" s="1"/>
  <c r="BD339" i="9" s="1"/>
  <c r="BF315" i="9"/>
  <c r="BG315" i="9" s="1"/>
  <c r="BD315" i="9" s="1"/>
  <c r="BD344" i="9"/>
  <c r="A27" i="9"/>
  <c r="BH311" i="9"/>
  <c r="BE311" i="9" s="1"/>
  <c r="A28" i="9"/>
  <c r="BE309" i="9"/>
  <c r="A29" i="9"/>
  <c r="BF336" i="9"/>
  <c r="BG336" i="9" s="1"/>
  <c r="BD336" i="9" s="1"/>
  <c r="BD329" i="9"/>
  <c r="BF341" i="9"/>
  <c r="BG341" i="9" s="1"/>
  <c r="BD341" i="9" s="1"/>
  <c r="A25" i="9"/>
  <c r="N113" i="9"/>
  <c r="O113" i="9" s="1"/>
  <c r="BE212" i="9"/>
  <c r="BD347" i="9"/>
  <c r="BE213" i="9"/>
  <c r="BF348" i="9"/>
  <c r="BG348" i="9" s="1"/>
  <c r="BD348" i="9" s="1"/>
  <c r="BE214" i="9"/>
  <c r="BE242" i="9"/>
  <c r="A26" i="9"/>
  <c r="BE215" i="9"/>
  <c r="BE296" i="9"/>
  <c r="BD322" i="9"/>
  <c r="A12" i="9"/>
  <c r="BF345" i="9"/>
  <c r="BG345" i="9" s="1"/>
  <c r="BD345" i="9" s="1"/>
  <c r="A13" i="9"/>
  <c r="N112" i="9"/>
  <c r="O112" i="9" s="1"/>
  <c r="BE308" i="9"/>
  <c r="BD335" i="9"/>
  <c r="BF342" i="9"/>
  <c r="BG342" i="9" s="1"/>
  <c r="BD342" i="9" s="1"/>
  <c r="A14" i="9"/>
  <c r="BE218" i="9"/>
  <c r="BE244" i="9"/>
  <c r="BE295" i="9"/>
  <c r="BE297" i="9"/>
  <c r="BF338" i="9"/>
  <c r="BG338" i="9" s="1"/>
  <c r="BD338" i="9" s="1"/>
  <c r="AS248" i="9"/>
  <c r="BB248" i="9" s="1"/>
  <c r="AS309" i="9"/>
  <c r="BB309" i="9" s="1"/>
  <c r="AA320" i="9"/>
  <c r="AA324" i="9"/>
  <c r="AS213" i="9"/>
  <c r="BB213" i="9" s="1"/>
  <c r="AS313" i="9"/>
  <c r="BB313" i="9" s="1"/>
  <c r="BF313" i="9" s="1"/>
  <c r="BG313" i="9" s="1"/>
  <c r="BD313" i="9" s="1"/>
  <c r="AS283" i="9"/>
  <c r="BB283" i="9" s="1"/>
  <c r="BF283" i="9" s="1"/>
  <c r="BG283" i="9" s="1"/>
  <c r="AA317" i="9"/>
  <c r="AS296" i="9"/>
  <c r="BB296" i="9" s="1"/>
  <c r="AS267" i="9"/>
  <c r="BB267" i="9" s="1"/>
  <c r="BF267" i="9" s="1"/>
  <c r="BG267" i="9" s="1"/>
  <c r="AS303" i="9"/>
  <c r="BB303" i="9" s="1"/>
  <c r="AS262" i="9"/>
  <c r="BB262" i="9" s="1"/>
  <c r="AS243" i="9"/>
  <c r="BB243" i="9" s="1"/>
  <c r="AS279" i="9"/>
  <c r="BB279" i="9" s="1"/>
  <c r="BF279" i="9" s="1"/>
  <c r="BG279" i="9" s="1"/>
  <c r="BD279" i="9" s="1"/>
  <c r="AS218" i="9"/>
  <c r="BB218" i="9" s="1"/>
  <c r="AS216" i="9"/>
  <c r="BB216" i="9" s="1"/>
  <c r="AA314" i="9"/>
  <c r="AS259" i="9"/>
  <c r="BB259" i="9" s="1"/>
  <c r="BF259" i="9" s="1"/>
  <c r="BG259" i="9" s="1"/>
  <c r="BD259" i="9" s="1"/>
  <c r="AS251" i="9"/>
  <c r="BB251" i="9" s="1"/>
  <c r="BF251" i="9" s="1"/>
  <c r="BG251" i="9" s="1"/>
  <c r="BD251" i="9" s="1"/>
  <c r="AA346" i="9"/>
  <c r="AS241" i="9"/>
  <c r="BB241" i="9" s="1"/>
  <c r="AS242" i="9"/>
  <c r="BB242" i="9" s="1"/>
  <c r="AS244" i="9"/>
  <c r="BB244" i="9" s="1"/>
  <c r="AS312" i="9"/>
  <c r="BB312" i="9" s="1"/>
  <c r="BF312" i="9" s="1"/>
  <c r="BG312" i="9" s="1"/>
  <c r="AS276" i="9"/>
  <c r="BB276" i="9" s="1"/>
  <c r="BF276" i="9" s="1"/>
  <c r="BG276" i="9" s="1"/>
  <c r="AA343" i="9"/>
  <c r="AS249" i="9"/>
  <c r="BB249" i="9" s="1"/>
  <c r="AS295" i="9"/>
  <c r="BB295" i="9" s="1"/>
  <c r="AS297" i="9"/>
  <c r="BB297" i="9" s="1"/>
  <c r="AA340" i="9"/>
  <c r="AS256" i="9"/>
  <c r="BB256" i="9" s="1"/>
  <c r="BF256" i="9" s="1"/>
  <c r="BG256" i="9" s="1"/>
  <c r="BD256" i="9" s="1"/>
  <c r="AA337" i="9"/>
  <c r="AS270" i="9"/>
  <c r="BB270" i="9" s="1"/>
  <c r="AS273" i="9"/>
  <c r="BB273" i="9" s="1"/>
  <c r="BF273" i="9" s="1"/>
  <c r="BG273" i="9" s="1"/>
  <c r="AA334" i="9"/>
  <c r="AS212" i="9"/>
  <c r="BB212" i="9" s="1"/>
  <c r="AA331" i="9"/>
  <c r="AS253" i="9"/>
  <c r="BB253" i="9" s="1"/>
  <c r="BF253" i="9" s="1"/>
  <c r="BG253" i="9" s="1"/>
  <c r="AA327" i="9"/>
  <c r="B13" i="9"/>
  <c r="A36" i="9"/>
  <c r="B36" i="9"/>
  <c r="A112" i="9"/>
  <c r="B112" i="9"/>
  <c r="A153" i="9"/>
  <c r="B153" i="9"/>
  <c r="A199" i="9"/>
  <c r="B199" i="9"/>
  <c r="A132" i="9"/>
  <c r="B132" i="9"/>
  <c r="A155" i="9"/>
  <c r="B155" i="9"/>
  <c r="A201" i="9"/>
  <c r="B201" i="9"/>
  <c r="A217" i="9"/>
  <c r="B217" i="9"/>
  <c r="B308" i="9"/>
  <c r="B14" i="9"/>
  <c r="A37" i="9"/>
  <c r="B37" i="9"/>
  <c r="A137" i="9"/>
  <c r="B137" i="9"/>
  <c r="A184" i="9"/>
  <c r="B184" i="9"/>
  <c r="A200" i="9"/>
  <c r="B200" i="9"/>
  <c r="A131" i="9"/>
  <c r="B131" i="9"/>
  <c r="A156" i="9"/>
  <c r="B156" i="9"/>
  <c r="A202" i="9"/>
  <c r="B202" i="9"/>
  <c r="A218" i="9"/>
  <c r="B218" i="9"/>
  <c r="B244" i="9"/>
  <c r="B295" i="9"/>
  <c r="B297" i="9"/>
  <c r="A170" i="9"/>
  <c r="B170" i="9"/>
  <c r="B15" i="9"/>
  <c r="A42" i="9"/>
  <c r="B42" i="9"/>
  <c r="A138" i="9"/>
  <c r="B138" i="9"/>
  <c r="A185" i="9"/>
  <c r="B185" i="9"/>
  <c r="B226" i="9"/>
  <c r="A130" i="9"/>
  <c r="B130" i="9"/>
  <c r="B157" i="9"/>
  <c r="A157" i="9"/>
  <c r="A203" i="9"/>
  <c r="B203" i="9"/>
  <c r="B240" i="9"/>
  <c r="A152" i="9"/>
  <c r="B152" i="9"/>
  <c r="B16" i="9"/>
  <c r="A43" i="9"/>
  <c r="B43" i="9"/>
  <c r="A139" i="9"/>
  <c r="B139" i="9"/>
  <c r="A186" i="9"/>
  <c r="B186" i="9"/>
  <c r="B227" i="9"/>
  <c r="A127" i="9"/>
  <c r="B127" i="9"/>
  <c r="A158" i="9"/>
  <c r="B158" i="9"/>
  <c r="A204" i="9"/>
  <c r="B204" i="9"/>
  <c r="B241" i="9"/>
  <c r="A35" i="9"/>
  <c r="B35" i="9"/>
  <c r="B17" i="9"/>
  <c r="A44" i="9"/>
  <c r="B44" i="9"/>
  <c r="A140" i="9"/>
  <c r="B140" i="9"/>
  <c r="A187" i="9"/>
  <c r="B187" i="9"/>
  <c r="B228" i="9"/>
  <c r="A126" i="9"/>
  <c r="B126" i="9"/>
  <c r="A159" i="9"/>
  <c r="B159" i="9"/>
  <c r="B205" i="9"/>
  <c r="A205" i="9"/>
  <c r="B12" i="9"/>
  <c r="B25" i="9"/>
  <c r="A45" i="9"/>
  <c r="B45" i="9"/>
  <c r="A142" i="9"/>
  <c r="B142" i="9"/>
  <c r="A188" i="9"/>
  <c r="B188" i="9"/>
  <c r="B229" i="9"/>
  <c r="A125" i="9"/>
  <c r="B125" i="9"/>
  <c r="A160" i="9"/>
  <c r="B160" i="9"/>
  <c r="A206" i="9"/>
  <c r="B206" i="9"/>
  <c r="B133" i="9"/>
  <c r="A133" i="9"/>
  <c r="A46" i="9"/>
  <c r="B46" i="9"/>
  <c r="B27" i="9"/>
  <c r="A50" i="9"/>
  <c r="B50" i="9"/>
  <c r="A144" i="9"/>
  <c r="B144" i="9"/>
  <c r="A190" i="9"/>
  <c r="B190" i="9"/>
  <c r="B231" i="9"/>
  <c r="B123" i="9"/>
  <c r="A123" i="9"/>
  <c r="A162" i="9"/>
  <c r="B162" i="9"/>
  <c r="A208" i="9"/>
  <c r="B208" i="9"/>
  <c r="B299" i="9"/>
  <c r="B28" i="9"/>
  <c r="A104" i="9"/>
  <c r="B104" i="9"/>
  <c r="A145" i="9"/>
  <c r="B145" i="9"/>
  <c r="A191" i="9"/>
  <c r="B191" i="9"/>
  <c r="B239" i="9"/>
  <c r="A122" i="9"/>
  <c r="B122" i="9"/>
  <c r="A163" i="9"/>
  <c r="B163" i="9"/>
  <c r="A209" i="9"/>
  <c r="B209" i="9"/>
  <c r="B243" i="9"/>
  <c r="B298" i="9"/>
  <c r="B309" i="9"/>
  <c r="B26" i="9"/>
  <c r="A143" i="9"/>
  <c r="B143" i="9"/>
  <c r="A207" i="9"/>
  <c r="B207" i="9"/>
  <c r="B29" i="9"/>
  <c r="B105" i="9"/>
  <c r="A105" i="9"/>
  <c r="A146" i="9"/>
  <c r="B146" i="9"/>
  <c r="A192" i="9"/>
  <c r="B192" i="9"/>
  <c r="B293" i="9"/>
  <c r="A121" i="9"/>
  <c r="B121" i="9"/>
  <c r="A164" i="9"/>
  <c r="B164" i="9"/>
  <c r="A210" i="9"/>
  <c r="B210" i="9"/>
  <c r="B294" i="9"/>
  <c r="B296" i="9"/>
  <c r="B300" i="9"/>
  <c r="A124" i="9"/>
  <c r="B124" i="9"/>
  <c r="A30" i="9"/>
  <c r="B30" i="9"/>
  <c r="A106" i="9"/>
  <c r="B106" i="9"/>
  <c r="A147" i="9"/>
  <c r="B147" i="9"/>
  <c r="A193" i="9"/>
  <c r="B193" i="9"/>
  <c r="B307" i="9"/>
  <c r="A118" i="9"/>
  <c r="B118" i="9"/>
  <c r="B165" i="9"/>
  <c r="A165" i="9"/>
  <c r="A211" i="9"/>
  <c r="B211" i="9"/>
  <c r="A154" i="9"/>
  <c r="B154" i="9"/>
  <c r="B310" i="9"/>
  <c r="B189" i="9"/>
  <c r="A189" i="9"/>
  <c r="A31" i="9"/>
  <c r="B31" i="9"/>
  <c r="A107" i="9"/>
  <c r="B107" i="9"/>
  <c r="A148" i="9"/>
  <c r="B148" i="9"/>
  <c r="A194" i="9"/>
  <c r="B194" i="9"/>
  <c r="B113" i="9"/>
  <c r="A113" i="9"/>
  <c r="A117" i="9"/>
  <c r="B117" i="9"/>
  <c r="A166" i="9"/>
  <c r="B166" i="9"/>
  <c r="A212" i="9"/>
  <c r="B212" i="9"/>
  <c r="A198" i="9"/>
  <c r="B198" i="9"/>
  <c r="B230" i="9"/>
  <c r="A32" i="9"/>
  <c r="B32" i="9"/>
  <c r="A108" i="9"/>
  <c r="B108" i="9"/>
  <c r="B149" i="9"/>
  <c r="A149" i="9"/>
  <c r="A195" i="9"/>
  <c r="B195" i="9"/>
  <c r="A136" i="9"/>
  <c r="B136" i="9"/>
  <c r="A116" i="9"/>
  <c r="B116" i="9"/>
  <c r="A167" i="9"/>
  <c r="B167" i="9"/>
  <c r="B213" i="9"/>
  <c r="A213" i="9"/>
  <c r="B141" i="9"/>
  <c r="A141" i="9"/>
  <c r="B33" i="9"/>
  <c r="A33" i="9"/>
  <c r="A109" i="9"/>
  <c r="B109" i="9"/>
  <c r="A150" i="9"/>
  <c r="B150" i="9"/>
  <c r="A196" i="9"/>
  <c r="B196" i="9"/>
  <c r="A135" i="9"/>
  <c r="B135" i="9"/>
  <c r="A115" i="9"/>
  <c r="B115" i="9"/>
  <c r="A168" i="9"/>
  <c r="B168" i="9"/>
  <c r="A214" i="9"/>
  <c r="B214" i="9"/>
  <c r="B242" i="9"/>
  <c r="A111" i="9"/>
  <c r="B111" i="9"/>
  <c r="A216" i="9"/>
  <c r="B216" i="9"/>
  <c r="A161" i="9"/>
  <c r="B161" i="9"/>
  <c r="B245" i="9"/>
  <c r="A34" i="9"/>
  <c r="B34" i="9"/>
  <c r="A110" i="9"/>
  <c r="B110" i="9"/>
  <c r="A151" i="9"/>
  <c r="B151" i="9"/>
  <c r="B197" i="9"/>
  <c r="A197" i="9"/>
  <c r="A134" i="9"/>
  <c r="B134" i="9"/>
  <c r="A114" i="9"/>
  <c r="B114" i="9"/>
  <c r="A169" i="9"/>
  <c r="B169" i="9"/>
  <c r="A215" i="9"/>
  <c r="B215" i="9"/>
  <c r="B246" i="9"/>
  <c r="BD314" i="9"/>
  <c r="AT241" i="9"/>
  <c r="Y244" i="9"/>
  <c r="AY244" i="9" s="1"/>
  <c r="BL297" i="9"/>
  <c r="AA309" i="9"/>
  <c r="BL296" i="9"/>
  <c r="N300" i="9"/>
  <c r="O300" i="9" s="1"/>
  <c r="Y307" i="9"/>
  <c r="AA213" i="9"/>
  <c r="N141" i="9"/>
  <c r="O141" i="9" s="1"/>
  <c r="AT141" i="9" s="1"/>
  <c r="N246" i="9"/>
  <c r="O246" i="9" s="1"/>
  <c r="BL242" i="9"/>
  <c r="AT216" i="9"/>
  <c r="BL310" i="9"/>
  <c r="BL308" i="9"/>
  <c r="BC322" i="9"/>
  <c r="BC329" i="9"/>
  <c r="BC347" i="9"/>
  <c r="BC344" i="9"/>
  <c r="BC335" i="9"/>
  <c r="Y299" i="9"/>
  <c r="AY299" i="9" s="1"/>
  <c r="Y309" i="9"/>
  <c r="AY309" i="9" s="1"/>
  <c r="AA299" i="9"/>
  <c r="Y293" i="9"/>
  <c r="AS308" i="9"/>
  <c r="BB308" i="9" s="1"/>
  <c r="N310" i="9"/>
  <c r="AS245" i="9"/>
  <c r="BB245" i="9" s="1"/>
  <c r="Y213" i="9"/>
  <c r="AY213" i="9" s="1"/>
  <c r="AS214" i="9"/>
  <c r="BB214" i="9" s="1"/>
  <c r="AS294" i="9"/>
  <c r="BB294" i="9" s="1"/>
  <c r="BL294" i="9"/>
  <c r="AE309" i="9"/>
  <c r="BA309" i="9" s="1"/>
  <c r="BL309" i="9"/>
  <c r="R141" i="9"/>
  <c r="BL295" i="9"/>
  <c r="AE303" i="9"/>
  <c r="BA303" i="9" s="1"/>
  <c r="AY303" i="9"/>
  <c r="AA244" i="9"/>
  <c r="P141" i="9"/>
  <c r="AE244" i="9"/>
  <c r="BA244" i="9" s="1"/>
  <c r="AS215" i="9"/>
  <c r="BB215" i="9" s="1"/>
  <c r="AE213" i="9"/>
  <c r="BA213" i="9" s="1"/>
  <c r="N231" i="9"/>
  <c r="O231" i="9" s="1"/>
  <c r="AR210" i="9"/>
  <c r="BH210" i="9" s="1"/>
  <c r="BE210" i="9" s="1"/>
  <c r="AE210" i="9"/>
  <c r="BA210" i="9" s="1"/>
  <c r="AC210" i="9"/>
  <c r="AZ210" i="9" s="1"/>
  <c r="AA210" i="9"/>
  <c r="Y210" i="9"/>
  <c r="AY210" i="9" s="1"/>
  <c r="AX210" i="9"/>
  <c r="AW210" i="9"/>
  <c r="AR209" i="9"/>
  <c r="BH209" i="9" s="1"/>
  <c r="BE209" i="9" s="1"/>
  <c r="AE209" i="9"/>
  <c r="BA209" i="9" s="1"/>
  <c r="AC209" i="9"/>
  <c r="AZ209" i="9" s="1"/>
  <c r="AA209" i="9"/>
  <c r="Y209" i="9"/>
  <c r="AY209" i="9" s="1"/>
  <c r="AX209" i="9"/>
  <c r="AW209" i="9"/>
  <c r="AR205" i="9"/>
  <c r="BH205" i="9" s="1"/>
  <c r="BE205" i="9" s="1"/>
  <c r="AE205" i="9"/>
  <c r="BA205" i="9" s="1"/>
  <c r="AC205" i="9"/>
  <c r="AZ205" i="9" s="1"/>
  <c r="AA205" i="9"/>
  <c r="Y205" i="9"/>
  <c r="AY205" i="9" s="1"/>
  <c r="AX205" i="9"/>
  <c r="AW205" i="9"/>
  <c r="BI205" i="9"/>
  <c r="BJ205" i="9"/>
  <c r="BL205" i="9"/>
  <c r="AR208" i="9"/>
  <c r="BH208" i="9" s="1"/>
  <c r="BE208" i="9" s="1"/>
  <c r="AE208" i="9"/>
  <c r="BA208" i="9" s="1"/>
  <c r="AC208" i="9"/>
  <c r="AZ208" i="9" s="1"/>
  <c r="AA208" i="9"/>
  <c r="Y208" i="9"/>
  <c r="AY208" i="9" s="1"/>
  <c r="AX208" i="9"/>
  <c r="AW208" i="9"/>
  <c r="BL207" i="9"/>
  <c r="BJ207" i="9"/>
  <c r="BI207" i="9"/>
  <c r="AR207" i="9"/>
  <c r="BH207" i="9" s="1"/>
  <c r="BE207" i="9" s="1"/>
  <c r="AE207" i="9"/>
  <c r="BA207" i="9" s="1"/>
  <c r="AC207" i="9"/>
  <c r="AZ207" i="9" s="1"/>
  <c r="AA207" i="9"/>
  <c r="Y207" i="9"/>
  <c r="AY207" i="9" s="1"/>
  <c r="AX207" i="9"/>
  <c r="AW207" i="9"/>
  <c r="AU207" i="9"/>
  <c r="BL204" i="9"/>
  <c r="BJ204" i="9"/>
  <c r="BI204" i="9"/>
  <c r="AR204" i="9"/>
  <c r="BH204" i="9" s="1"/>
  <c r="BE204" i="9" s="1"/>
  <c r="AE204" i="9"/>
  <c r="BA204" i="9" s="1"/>
  <c r="AC204" i="9"/>
  <c r="AZ204" i="9" s="1"/>
  <c r="AA204" i="9"/>
  <c r="Y204" i="9"/>
  <c r="AY204" i="9" s="1"/>
  <c r="AX204" i="9"/>
  <c r="AW204" i="9"/>
  <c r="R202" i="9"/>
  <c r="P202" i="9"/>
  <c r="Q202" i="9" s="1"/>
  <c r="N202" i="9"/>
  <c r="O202" i="9" s="1"/>
  <c r="BL203" i="9"/>
  <c r="BJ203" i="9"/>
  <c r="BI203" i="9"/>
  <c r="AR203" i="9"/>
  <c r="BH203" i="9" s="1"/>
  <c r="BE203" i="9" s="1"/>
  <c r="AE203" i="9"/>
  <c r="BA203" i="9" s="1"/>
  <c r="AC203" i="9"/>
  <c r="AZ203" i="9" s="1"/>
  <c r="AA203" i="9"/>
  <c r="Y203" i="9"/>
  <c r="AY203" i="9" s="1"/>
  <c r="AX203" i="9"/>
  <c r="AW203" i="9"/>
  <c r="BL202" i="9"/>
  <c r="BJ202" i="9"/>
  <c r="BI202" i="9"/>
  <c r="AE202" i="9"/>
  <c r="BA202" i="9" s="1"/>
  <c r="AC202" i="9"/>
  <c r="AZ202" i="9" s="1"/>
  <c r="AA202" i="9"/>
  <c r="Y202" i="9"/>
  <c r="AY202" i="9" s="1"/>
  <c r="AX202" i="9"/>
  <c r="AW202" i="9"/>
  <c r="BL201" i="9"/>
  <c r="BJ201" i="9"/>
  <c r="BI201" i="9"/>
  <c r="AR201" i="9"/>
  <c r="AS201" i="9" s="1"/>
  <c r="BB201" i="9" s="1"/>
  <c r="AE201" i="9"/>
  <c r="BA201" i="9" s="1"/>
  <c r="AC201" i="9"/>
  <c r="AZ201" i="9" s="1"/>
  <c r="AA201" i="9"/>
  <c r="Y201" i="9"/>
  <c r="AY201" i="9" s="1"/>
  <c r="N201" i="9"/>
  <c r="O201" i="9" s="1"/>
  <c r="BL200" i="9"/>
  <c r="BJ200" i="9"/>
  <c r="BI200" i="9"/>
  <c r="AR200" i="9"/>
  <c r="AS200" i="9" s="1"/>
  <c r="BB200" i="9" s="1"/>
  <c r="AE200" i="9"/>
  <c r="BA200" i="9" s="1"/>
  <c r="AC200" i="9"/>
  <c r="AZ200" i="9" s="1"/>
  <c r="AA200" i="9"/>
  <c r="Y200" i="9"/>
  <c r="AY200" i="9" s="1"/>
  <c r="N200" i="9"/>
  <c r="BL199" i="9"/>
  <c r="BJ199" i="9"/>
  <c r="BI199" i="9"/>
  <c r="AR199" i="9"/>
  <c r="BH199" i="9" s="1"/>
  <c r="BE199" i="9" s="1"/>
  <c r="AE199" i="9"/>
  <c r="BA199" i="9" s="1"/>
  <c r="AC199" i="9"/>
  <c r="AZ199" i="9" s="1"/>
  <c r="AA199" i="9"/>
  <c r="Y199" i="9"/>
  <c r="AY199" i="9" s="1"/>
  <c r="AX199" i="9"/>
  <c r="AW199" i="9"/>
  <c r="BL198" i="9"/>
  <c r="BJ198" i="9"/>
  <c r="BI198" i="9"/>
  <c r="AR198" i="9"/>
  <c r="BH198" i="9" s="1"/>
  <c r="BE198" i="9" s="1"/>
  <c r="AE198" i="9"/>
  <c r="BA198" i="9" s="1"/>
  <c r="AC198" i="9"/>
  <c r="AZ198" i="9" s="1"/>
  <c r="AA198" i="9"/>
  <c r="Y198" i="9"/>
  <c r="AY198" i="9" s="1"/>
  <c r="AX198" i="9"/>
  <c r="AW198" i="9"/>
  <c r="AV198" i="9"/>
  <c r="AU198" i="9"/>
  <c r="AT198" i="9"/>
  <c r="BL197" i="9"/>
  <c r="BJ197" i="9"/>
  <c r="BI197" i="9"/>
  <c r="AR197" i="9"/>
  <c r="BH197" i="9" s="1"/>
  <c r="BE197" i="9" s="1"/>
  <c r="AE197" i="9"/>
  <c r="BA197" i="9" s="1"/>
  <c r="AC197" i="9"/>
  <c r="AZ197" i="9" s="1"/>
  <c r="AA197" i="9"/>
  <c r="Y197" i="9"/>
  <c r="AY197" i="9" s="1"/>
  <c r="AX197" i="9"/>
  <c r="AW197" i="9"/>
  <c r="BL196" i="9"/>
  <c r="BJ196" i="9"/>
  <c r="BI196" i="9"/>
  <c r="AR196" i="9"/>
  <c r="BH196" i="9" s="1"/>
  <c r="BE196" i="9" s="1"/>
  <c r="AE196" i="9"/>
  <c r="BA196" i="9" s="1"/>
  <c r="AC196" i="9"/>
  <c r="AZ196" i="9" s="1"/>
  <c r="AA196" i="9"/>
  <c r="Y196" i="9"/>
  <c r="AY196" i="9" s="1"/>
  <c r="AX196" i="9"/>
  <c r="AW196" i="9"/>
  <c r="AU196" i="9"/>
  <c r="BL194" i="9"/>
  <c r="BJ194" i="9"/>
  <c r="BI194" i="9"/>
  <c r="AR194" i="9"/>
  <c r="BH194" i="9" s="1"/>
  <c r="BE194" i="9" s="1"/>
  <c r="AE194" i="9"/>
  <c r="BA194" i="9" s="1"/>
  <c r="AC194" i="9"/>
  <c r="AZ194" i="9" s="1"/>
  <c r="AA194" i="9"/>
  <c r="Y194" i="9"/>
  <c r="AY194" i="9" s="1"/>
  <c r="AX194" i="9"/>
  <c r="AW194" i="9"/>
  <c r="AU194" i="9"/>
  <c r="BL193" i="9"/>
  <c r="BJ193" i="9"/>
  <c r="BI193" i="9"/>
  <c r="AR193" i="9"/>
  <c r="BH193" i="9" s="1"/>
  <c r="BE193" i="9" s="1"/>
  <c r="AE193" i="9"/>
  <c r="BA193" i="9" s="1"/>
  <c r="AC193" i="9"/>
  <c r="AZ193" i="9" s="1"/>
  <c r="AA193" i="9"/>
  <c r="Y193" i="9"/>
  <c r="AY193" i="9" s="1"/>
  <c r="AX193" i="9"/>
  <c r="AW193" i="9"/>
  <c r="AU193" i="9"/>
  <c r="AE195" i="9"/>
  <c r="BA195" i="9" s="1"/>
  <c r="AR5" i="9"/>
  <c r="BH5" i="9" s="1"/>
  <c r="AR6" i="9"/>
  <c r="BH6" i="9" s="1"/>
  <c r="BE6" i="9" s="1"/>
  <c r="AR7" i="9"/>
  <c r="BH7" i="9" s="1"/>
  <c r="BE7" i="9" s="1"/>
  <c r="AR8" i="9"/>
  <c r="BH8" i="9" s="1"/>
  <c r="BE8" i="9" s="1"/>
  <c r="AR9" i="9"/>
  <c r="BH9" i="9" s="1"/>
  <c r="BE9" i="9" s="1"/>
  <c r="AR10" i="9"/>
  <c r="BH10" i="9" s="1"/>
  <c r="BE10" i="9" s="1"/>
  <c r="AR11" i="9"/>
  <c r="BH11" i="9" s="1"/>
  <c r="BE11" i="9" s="1"/>
  <c r="AR12" i="9"/>
  <c r="BH12" i="9" s="1"/>
  <c r="BE12" i="9" s="1"/>
  <c r="AR13" i="9"/>
  <c r="BH13" i="9" s="1"/>
  <c r="BE13" i="9" s="1"/>
  <c r="AR14" i="9"/>
  <c r="BH14" i="9" s="1"/>
  <c r="BE14" i="9" s="1"/>
  <c r="AR15" i="9"/>
  <c r="BH15" i="9" s="1"/>
  <c r="BE15" i="9" s="1"/>
  <c r="AR16" i="9"/>
  <c r="BH16" i="9" s="1"/>
  <c r="BE16" i="9" s="1"/>
  <c r="AR17" i="9"/>
  <c r="BH17" i="9" s="1"/>
  <c r="BE17" i="9" s="1"/>
  <c r="AR18" i="9"/>
  <c r="BH18" i="9" s="1"/>
  <c r="BE18" i="9" s="1"/>
  <c r="AR19" i="9"/>
  <c r="BH19" i="9" s="1"/>
  <c r="BE19" i="9" s="1"/>
  <c r="AR20" i="9"/>
  <c r="BH20" i="9" s="1"/>
  <c r="BE20" i="9" s="1"/>
  <c r="AR21" i="9"/>
  <c r="BH21" i="9" s="1"/>
  <c r="BE21" i="9" s="1"/>
  <c r="AR22" i="9"/>
  <c r="BH22" i="9" s="1"/>
  <c r="BE22" i="9" s="1"/>
  <c r="AR23" i="9"/>
  <c r="BH23" i="9" s="1"/>
  <c r="BE23" i="9" s="1"/>
  <c r="AR24" i="9"/>
  <c r="BH24" i="9" s="1"/>
  <c r="BE24" i="9" s="1"/>
  <c r="AR25" i="9"/>
  <c r="BH25" i="9" s="1"/>
  <c r="BE25" i="9" s="1"/>
  <c r="AR26" i="9"/>
  <c r="BH26" i="9" s="1"/>
  <c r="BE26" i="9" s="1"/>
  <c r="AR27" i="9"/>
  <c r="BH27" i="9" s="1"/>
  <c r="BE27" i="9" s="1"/>
  <c r="AR28" i="9"/>
  <c r="BH28" i="9" s="1"/>
  <c r="BE28" i="9" s="1"/>
  <c r="AR29" i="9"/>
  <c r="BH29" i="9" s="1"/>
  <c r="BE29" i="9" s="1"/>
  <c r="AR30" i="9"/>
  <c r="AR31" i="9"/>
  <c r="AR32" i="9"/>
  <c r="AR33" i="9"/>
  <c r="AR34" i="9"/>
  <c r="AR35" i="9"/>
  <c r="AR36" i="9"/>
  <c r="AR37" i="9"/>
  <c r="AR42" i="9"/>
  <c r="AR43" i="9"/>
  <c r="BH43" i="9" s="1"/>
  <c r="BE43" i="9" s="1"/>
  <c r="AR44" i="9"/>
  <c r="AR45" i="9"/>
  <c r="BH45" i="9" s="1"/>
  <c r="BE45" i="9" s="1"/>
  <c r="AR46" i="9"/>
  <c r="AR47" i="9"/>
  <c r="AR49" i="9"/>
  <c r="BH49" i="9" s="1"/>
  <c r="BE49" i="9" s="1"/>
  <c r="AR50" i="9"/>
  <c r="AR51" i="9"/>
  <c r="AR53" i="9"/>
  <c r="BH53" i="9" s="1"/>
  <c r="BE53" i="9" s="1"/>
  <c r="AR54" i="9"/>
  <c r="BH54" i="9" s="1"/>
  <c r="BE54" i="9" s="1"/>
  <c r="AR57" i="9"/>
  <c r="BH57" i="9" s="1"/>
  <c r="AR58" i="9"/>
  <c r="BH58" i="9" s="1"/>
  <c r="BE58" i="9" s="1"/>
  <c r="AR59" i="9"/>
  <c r="BH59" i="9" s="1"/>
  <c r="BE59" i="9" s="1"/>
  <c r="AR60" i="9"/>
  <c r="BH60" i="9" s="1"/>
  <c r="BE60" i="9" s="1"/>
  <c r="AR61" i="9"/>
  <c r="BH61" i="9" s="1"/>
  <c r="BE61" i="9" s="1"/>
  <c r="AR62" i="9"/>
  <c r="BH62" i="9" s="1"/>
  <c r="BE62" i="9" s="1"/>
  <c r="AR63" i="9"/>
  <c r="BH63" i="9" s="1"/>
  <c r="BE63" i="9" s="1"/>
  <c r="AR65" i="9"/>
  <c r="BH65" i="9" s="1"/>
  <c r="BE65" i="9" s="1"/>
  <c r="AR66" i="9"/>
  <c r="BH66" i="9" s="1"/>
  <c r="BE66" i="9" s="1"/>
  <c r="AR67" i="9"/>
  <c r="BH67" i="9" s="1"/>
  <c r="BE67" i="9" s="1"/>
  <c r="AR68" i="9"/>
  <c r="BH68" i="9" s="1"/>
  <c r="BE68" i="9" s="1"/>
  <c r="AR69" i="9"/>
  <c r="BH69" i="9" s="1"/>
  <c r="BE69" i="9" s="1"/>
  <c r="AR70" i="9"/>
  <c r="BH70" i="9" s="1"/>
  <c r="BE70" i="9" s="1"/>
  <c r="AR71" i="9"/>
  <c r="BH71" i="9" s="1"/>
  <c r="BE71" i="9" s="1"/>
  <c r="AR72" i="9"/>
  <c r="BH72" i="9" s="1"/>
  <c r="BE72" i="9" s="1"/>
  <c r="AR73" i="9"/>
  <c r="BH73" i="9" s="1"/>
  <c r="BE73" i="9" s="1"/>
  <c r="AR74" i="9"/>
  <c r="BH74" i="9" s="1"/>
  <c r="BE74" i="9" s="1"/>
  <c r="AR75" i="9"/>
  <c r="BH75" i="9" s="1"/>
  <c r="BE75" i="9" s="1"/>
  <c r="AR76" i="9"/>
  <c r="BH76" i="9" s="1"/>
  <c r="BE76" i="9" s="1"/>
  <c r="AR77" i="9"/>
  <c r="BH77" i="9" s="1"/>
  <c r="AR78" i="9"/>
  <c r="BH78" i="9" s="1"/>
  <c r="AR79" i="9"/>
  <c r="BH79" i="9" s="1"/>
  <c r="BE79" i="9" s="1"/>
  <c r="AR80" i="9"/>
  <c r="BH80" i="9" s="1"/>
  <c r="BE80" i="9" s="1"/>
  <c r="AR81" i="9"/>
  <c r="BH81" i="9" s="1"/>
  <c r="BE81" i="9" s="1"/>
  <c r="AR82" i="9"/>
  <c r="BH82" i="9" s="1"/>
  <c r="BE82" i="9" s="1"/>
  <c r="AR83" i="9"/>
  <c r="BH83" i="9" s="1"/>
  <c r="BE83" i="9" s="1"/>
  <c r="AR84" i="9"/>
  <c r="BH84" i="9" s="1"/>
  <c r="BE84" i="9" s="1"/>
  <c r="AR85" i="9"/>
  <c r="BH85" i="9" s="1"/>
  <c r="BE85" i="9" s="1"/>
  <c r="AR86" i="9"/>
  <c r="BH86" i="9" s="1"/>
  <c r="BE86" i="9" s="1"/>
  <c r="AR87" i="9"/>
  <c r="BH87" i="9" s="1"/>
  <c r="BE87" i="9" s="1"/>
  <c r="AR88" i="9"/>
  <c r="BH88" i="9" s="1"/>
  <c r="BE88" i="9" s="1"/>
  <c r="AR89" i="9"/>
  <c r="BH89" i="9" s="1"/>
  <c r="BE89" i="9" s="1"/>
  <c r="AR90" i="9"/>
  <c r="BH90" i="9" s="1"/>
  <c r="BE90" i="9" s="1"/>
  <c r="AR91" i="9"/>
  <c r="AR92" i="9"/>
  <c r="BH92" i="9" s="1"/>
  <c r="BE92" i="9" s="1"/>
  <c r="AR93" i="9"/>
  <c r="AR94" i="9"/>
  <c r="AR95" i="9"/>
  <c r="BH95" i="9" s="1"/>
  <c r="BE95" i="9" s="1"/>
  <c r="AR96" i="9"/>
  <c r="BH96" i="9" s="1"/>
  <c r="BE96" i="9" s="1"/>
  <c r="AR97" i="9"/>
  <c r="BH97" i="9" s="1"/>
  <c r="BE97" i="9" s="1"/>
  <c r="AR98" i="9"/>
  <c r="AR99" i="9"/>
  <c r="BH99" i="9" s="1"/>
  <c r="BE99" i="9" s="1"/>
  <c r="AR104" i="9"/>
  <c r="AR105" i="9"/>
  <c r="BH105" i="9" s="1"/>
  <c r="BE105" i="9" s="1"/>
  <c r="AR106" i="9"/>
  <c r="BH106" i="9" s="1"/>
  <c r="BE106" i="9" s="1"/>
  <c r="AR107" i="9"/>
  <c r="BH107" i="9" s="1"/>
  <c r="BE107" i="9" s="1"/>
  <c r="AR108" i="9"/>
  <c r="BH108" i="9" s="1"/>
  <c r="BE108" i="9" s="1"/>
  <c r="AR109" i="9"/>
  <c r="BH109" i="9" s="1"/>
  <c r="BE109" i="9" s="1"/>
  <c r="AR110" i="9"/>
  <c r="BH110" i="9" s="1"/>
  <c r="BE110" i="9" s="1"/>
  <c r="AR111" i="9"/>
  <c r="BH111" i="9" s="1"/>
  <c r="BE111" i="9" s="1"/>
  <c r="AR112" i="9"/>
  <c r="AR113" i="9"/>
  <c r="AR114" i="9"/>
  <c r="BH114" i="9" s="1"/>
  <c r="BE114" i="9" s="1"/>
  <c r="AR115" i="9"/>
  <c r="BH115" i="9" s="1"/>
  <c r="BE115" i="9" s="1"/>
  <c r="AR116" i="9"/>
  <c r="BH116" i="9" s="1"/>
  <c r="BE116" i="9" s="1"/>
  <c r="AR117" i="9"/>
  <c r="BH117" i="9" s="1"/>
  <c r="BE117" i="9" s="1"/>
  <c r="AR118" i="9"/>
  <c r="BH118" i="9" s="1"/>
  <c r="BE118" i="9" s="1"/>
  <c r="AR121" i="9"/>
  <c r="BH121" i="9" s="1"/>
  <c r="BE121" i="9" s="1"/>
  <c r="AR122" i="9"/>
  <c r="BH122" i="9" s="1"/>
  <c r="BE122" i="9" s="1"/>
  <c r="AR123" i="9"/>
  <c r="BH123" i="9" s="1"/>
  <c r="BE123" i="9" s="1"/>
  <c r="AR124" i="9"/>
  <c r="BH124" i="9" s="1"/>
  <c r="BE124" i="9" s="1"/>
  <c r="AR125" i="9"/>
  <c r="BH125" i="9" s="1"/>
  <c r="BE125" i="9" s="1"/>
  <c r="AR126" i="9"/>
  <c r="BH126" i="9" s="1"/>
  <c r="BE126" i="9" s="1"/>
  <c r="AR127" i="9"/>
  <c r="AR130" i="9"/>
  <c r="BH130" i="9" s="1"/>
  <c r="BE130" i="9" s="1"/>
  <c r="AR131" i="9"/>
  <c r="AR132" i="9"/>
  <c r="BH132" i="9" s="1"/>
  <c r="BE132" i="9" s="1"/>
  <c r="AR133" i="9"/>
  <c r="BH133" i="9" s="1"/>
  <c r="BE133" i="9" s="1"/>
  <c r="AR134" i="9"/>
  <c r="BH134" i="9" s="1"/>
  <c r="BE134" i="9" s="1"/>
  <c r="AR135" i="9"/>
  <c r="BH135" i="9" s="1"/>
  <c r="BE135" i="9" s="1"/>
  <c r="AR136" i="9"/>
  <c r="BH136" i="9" s="1"/>
  <c r="BE136" i="9" s="1"/>
  <c r="AR137" i="9"/>
  <c r="AR139" i="9"/>
  <c r="BH139" i="9" s="1"/>
  <c r="BE139" i="9" s="1"/>
  <c r="AR140" i="9"/>
  <c r="BH140" i="9" s="1"/>
  <c r="BE140" i="9" s="1"/>
  <c r="AR142" i="9"/>
  <c r="BH142" i="9" s="1"/>
  <c r="BE142" i="9" s="1"/>
  <c r="AR143" i="9"/>
  <c r="BH143" i="9" s="1"/>
  <c r="BE143" i="9" s="1"/>
  <c r="AR144" i="9"/>
  <c r="BH144" i="9" s="1"/>
  <c r="BE144" i="9" s="1"/>
  <c r="AR145" i="9"/>
  <c r="BH145" i="9" s="1"/>
  <c r="BE145" i="9" s="1"/>
  <c r="AR146" i="9"/>
  <c r="BH146" i="9" s="1"/>
  <c r="BE146" i="9" s="1"/>
  <c r="AR147" i="9"/>
  <c r="BH147" i="9" s="1"/>
  <c r="BE147" i="9" s="1"/>
  <c r="AR148" i="9"/>
  <c r="BH148" i="9" s="1"/>
  <c r="BE148" i="9" s="1"/>
  <c r="AR149" i="9"/>
  <c r="BH149" i="9" s="1"/>
  <c r="BE149" i="9" s="1"/>
  <c r="AR150" i="9"/>
  <c r="BH150" i="9" s="1"/>
  <c r="BE150" i="9" s="1"/>
  <c r="AR151" i="9"/>
  <c r="BH151" i="9" s="1"/>
  <c r="BE151" i="9" s="1"/>
  <c r="AR152" i="9"/>
  <c r="BH152" i="9" s="1"/>
  <c r="BE152" i="9" s="1"/>
  <c r="AR153" i="9"/>
  <c r="AS153" i="9" s="1"/>
  <c r="BB153" i="9" s="1"/>
  <c r="AR154" i="9"/>
  <c r="AS154" i="9" s="1"/>
  <c r="BB154" i="9" s="1"/>
  <c r="AR155" i="9"/>
  <c r="BH155" i="9" s="1"/>
  <c r="BE155" i="9" s="1"/>
  <c r="AR156" i="9"/>
  <c r="BH156" i="9" s="1"/>
  <c r="BE156" i="9" s="1"/>
  <c r="AR157" i="9"/>
  <c r="BH157" i="9" s="1"/>
  <c r="BE157" i="9" s="1"/>
  <c r="AR158" i="9"/>
  <c r="BH158" i="9" s="1"/>
  <c r="BE158" i="9" s="1"/>
  <c r="AR159" i="9"/>
  <c r="BH159" i="9" s="1"/>
  <c r="BE159" i="9" s="1"/>
  <c r="AR160" i="9"/>
  <c r="BH160" i="9" s="1"/>
  <c r="BE160" i="9" s="1"/>
  <c r="AR161" i="9"/>
  <c r="BH161" i="9" s="1"/>
  <c r="BE161" i="9" s="1"/>
  <c r="AR162" i="9"/>
  <c r="BH162" i="9" s="1"/>
  <c r="BE162" i="9" s="1"/>
  <c r="AR163" i="9"/>
  <c r="BH163" i="9" s="1"/>
  <c r="BE163" i="9" s="1"/>
  <c r="AR164" i="9"/>
  <c r="BH164" i="9" s="1"/>
  <c r="BE164" i="9" s="1"/>
  <c r="AR165" i="9"/>
  <c r="BH165" i="9" s="1"/>
  <c r="BE165" i="9" s="1"/>
  <c r="AR166" i="9"/>
  <c r="BH166" i="9" s="1"/>
  <c r="BE166" i="9" s="1"/>
  <c r="AR167" i="9"/>
  <c r="BH167" i="9" s="1"/>
  <c r="BE167" i="9" s="1"/>
  <c r="AR168" i="9"/>
  <c r="BH168" i="9" s="1"/>
  <c r="BE168" i="9" s="1"/>
  <c r="AR169" i="9"/>
  <c r="BH169" i="9" s="1"/>
  <c r="BE169" i="9" s="1"/>
  <c r="AR170" i="9"/>
  <c r="BH170" i="9" s="1"/>
  <c r="BE170" i="9" s="1"/>
  <c r="AR184" i="9"/>
  <c r="AS184" i="9" s="1"/>
  <c r="BB184" i="9" s="1"/>
  <c r="AR185" i="9"/>
  <c r="BH185" i="9" s="1"/>
  <c r="BE185" i="9" s="1"/>
  <c r="AR186" i="9"/>
  <c r="BH186" i="9" s="1"/>
  <c r="BE186" i="9" s="1"/>
  <c r="AR187" i="9"/>
  <c r="BH187" i="9" s="1"/>
  <c r="BE187" i="9" s="1"/>
  <c r="AR188" i="9"/>
  <c r="BH188" i="9" s="1"/>
  <c r="BE188" i="9" s="1"/>
  <c r="AR189" i="9"/>
  <c r="BH189" i="9" s="1"/>
  <c r="BE189" i="9" s="1"/>
  <c r="AR190" i="9"/>
  <c r="BH190" i="9" s="1"/>
  <c r="BE190" i="9" s="1"/>
  <c r="AR191" i="9"/>
  <c r="BH191" i="9" s="1"/>
  <c r="BE191" i="9" s="1"/>
  <c r="AR192" i="9"/>
  <c r="BH192" i="9" s="1"/>
  <c r="BE192" i="9" s="1"/>
  <c r="AR195" i="9"/>
  <c r="BH195" i="9" s="1"/>
  <c r="BE195" i="9" s="1"/>
  <c r="AR226" i="9"/>
  <c r="AS226" i="9" s="1"/>
  <c r="BB226" i="9" s="1"/>
  <c r="AR239" i="9"/>
  <c r="AS239" i="9" s="1"/>
  <c r="BB239" i="9" s="1"/>
  <c r="AR293" i="9"/>
  <c r="AS293" i="9" s="1"/>
  <c r="BB293" i="9" s="1"/>
  <c r="AR307" i="9"/>
  <c r="AS307" i="9" s="1"/>
  <c r="BB307" i="9" s="1"/>
  <c r="AR206" i="9"/>
  <c r="BH206" i="9" s="1"/>
  <c r="BE206" i="9" s="1"/>
  <c r="AR211" i="9"/>
  <c r="BH211" i="9" s="1"/>
  <c r="BE211" i="9" s="1"/>
  <c r="AR217" i="9"/>
  <c r="BH217" i="9" s="1"/>
  <c r="BE217" i="9" s="1"/>
  <c r="AR227" i="9"/>
  <c r="BH227" i="9" s="1"/>
  <c r="BE227" i="9" s="1"/>
  <c r="AR228" i="9"/>
  <c r="BH228" i="9" s="1"/>
  <c r="BE228" i="9" s="1"/>
  <c r="AR229" i="9"/>
  <c r="BH229" i="9" s="1"/>
  <c r="BE229" i="9" s="1"/>
  <c r="AR231" i="9"/>
  <c r="AS231" i="9" s="1"/>
  <c r="BB231" i="9" s="1"/>
  <c r="AR230" i="9"/>
  <c r="BH230" i="9" s="1"/>
  <c r="BE230" i="9" s="1"/>
  <c r="AR232" i="9"/>
  <c r="AS232" i="9" s="1"/>
  <c r="BB232" i="9" s="1"/>
  <c r="AR233" i="9"/>
  <c r="BH233" i="9" s="1"/>
  <c r="BE233" i="9" s="1"/>
  <c r="AR234" i="9"/>
  <c r="BH234" i="9" s="1"/>
  <c r="BE234" i="9" s="1"/>
  <c r="AR240" i="9"/>
  <c r="BH240" i="9" s="1"/>
  <c r="BE240" i="9" s="1"/>
  <c r="AR141" i="9"/>
  <c r="AS141" i="9" s="1"/>
  <c r="BB141" i="9" s="1"/>
  <c r="AR246" i="9"/>
  <c r="AS246" i="9" s="1"/>
  <c r="BB246" i="9" s="1"/>
  <c r="AR247" i="9"/>
  <c r="AS247" i="9" s="1"/>
  <c r="BB247" i="9" s="1"/>
  <c r="AR298" i="9"/>
  <c r="BH298" i="9" s="1"/>
  <c r="BE298" i="9" s="1"/>
  <c r="AR299" i="9"/>
  <c r="BH299" i="9" s="1"/>
  <c r="BE299" i="9" s="1"/>
  <c r="AR300" i="9"/>
  <c r="AS300" i="9" s="1"/>
  <c r="BB300" i="9" s="1"/>
  <c r="AR301" i="9"/>
  <c r="AS301" i="9" s="1"/>
  <c r="BB301" i="9" s="1"/>
  <c r="AR302" i="9"/>
  <c r="BH302" i="9" s="1"/>
  <c r="BE302" i="9" s="1"/>
  <c r="AR250" i="9"/>
  <c r="BH250" i="9" s="1"/>
  <c r="BE250" i="9" s="1"/>
  <c r="AR317" i="9"/>
  <c r="AS317" i="9" s="1"/>
  <c r="BB317" i="9" s="1"/>
  <c r="AR320" i="9"/>
  <c r="AS320" i="9" s="1"/>
  <c r="BB320" i="9" s="1"/>
  <c r="AR324" i="9"/>
  <c r="AS324" i="9" s="1"/>
  <c r="BB324" i="9" s="1"/>
  <c r="AR327" i="9"/>
  <c r="AS327" i="9" s="1"/>
  <c r="BB327" i="9" s="1"/>
  <c r="AR331" i="9"/>
  <c r="AS331" i="9" s="1"/>
  <c r="BB331" i="9" s="1"/>
  <c r="AR334" i="9"/>
  <c r="AS334" i="9" s="1"/>
  <c r="BB334" i="9" s="1"/>
  <c r="AR337" i="9"/>
  <c r="AS337" i="9" s="1"/>
  <c r="BB337" i="9" s="1"/>
  <c r="AR340" i="9"/>
  <c r="AS340" i="9" s="1"/>
  <c r="BB340" i="9" s="1"/>
  <c r="AR343" i="9"/>
  <c r="AS343" i="9" s="1"/>
  <c r="BB343" i="9" s="1"/>
  <c r="AR346" i="9"/>
  <c r="AS346" i="9" s="1"/>
  <c r="BB346" i="9" s="1"/>
  <c r="AR252" i="9"/>
  <c r="BH252" i="9" s="1"/>
  <c r="BE252" i="9" s="1"/>
  <c r="AR254" i="9"/>
  <c r="BH254" i="9" s="1"/>
  <c r="BE254" i="9" s="1"/>
  <c r="AR255" i="9"/>
  <c r="BH255" i="9" s="1"/>
  <c r="BE255" i="9" s="1"/>
  <c r="AR257" i="9"/>
  <c r="BH257" i="9" s="1"/>
  <c r="BE257" i="9" s="1"/>
  <c r="AR258" i="9"/>
  <c r="BH258" i="9" s="1"/>
  <c r="BE258" i="9" s="1"/>
  <c r="AR260" i="9"/>
  <c r="BH260" i="9" s="1"/>
  <c r="BE260" i="9" s="1"/>
  <c r="AR261" i="9"/>
  <c r="BH261" i="9" s="1"/>
  <c r="BE261" i="9" s="1"/>
  <c r="AR263" i="9"/>
  <c r="BH263" i="9" s="1"/>
  <c r="BE263" i="9" s="1"/>
  <c r="AR264" i="9"/>
  <c r="BH264" i="9" s="1"/>
  <c r="BE264" i="9" s="1"/>
  <c r="AR268" i="9"/>
  <c r="BH268" i="9" s="1"/>
  <c r="BE268" i="9" s="1"/>
  <c r="AR269" i="9"/>
  <c r="BH269" i="9" s="1"/>
  <c r="BE269" i="9" s="1"/>
  <c r="AR271" i="9"/>
  <c r="BH271" i="9" s="1"/>
  <c r="BE271" i="9" s="1"/>
  <c r="AR272" i="9"/>
  <c r="BH272" i="9" s="1"/>
  <c r="BE272" i="9" s="1"/>
  <c r="AR274" i="9"/>
  <c r="BH274" i="9" s="1"/>
  <c r="BE274" i="9" s="1"/>
  <c r="AR275" i="9"/>
  <c r="BH275" i="9" s="1"/>
  <c r="BE275" i="9" s="1"/>
  <c r="AR277" i="9"/>
  <c r="BH277" i="9" s="1"/>
  <c r="BE277" i="9" s="1"/>
  <c r="AR278" i="9"/>
  <c r="BH278" i="9" s="1"/>
  <c r="BE278" i="9" s="1"/>
  <c r="AR280" i="9"/>
  <c r="BH280" i="9" s="1"/>
  <c r="BE280" i="9" s="1"/>
  <c r="AR281" i="9"/>
  <c r="BH281" i="9" s="1"/>
  <c r="BE281" i="9" s="1"/>
  <c r="AR284" i="9"/>
  <c r="BH284" i="9" s="1"/>
  <c r="BE284" i="9" s="1"/>
  <c r="AR285" i="9"/>
  <c r="BH285" i="9" s="1"/>
  <c r="BE285" i="9" s="1"/>
  <c r="AR286" i="9"/>
  <c r="BH286" i="9" s="1"/>
  <c r="BE286" i="9" s="1"/>
  <c r="BB265" i="9"/>
  <c r="AR266" i="9"/>
  <c r="BH266" i="9" s="1"/>
  <c r="BE266" i="9" s="1"/>
  <c r="AR282" i="9"/>
  <c r="BH282" i="9" s="1"/>
  <c r="BE282" i="9" s="1"/>
  <c r="AR316" i="9"/>
  <c r="BH316" i="9" s="1"/>
  <c r="BE316" i="9" s="1"/>
  <c r="AR318" i="9"/>
  <c r="BH318" i="9" s="1"/>
  <c r="BE318" i="9" s="1"/>
  <c r="AR319" i="9"/>
  <c r="BH319" i="9" s="1"/>
  <c r="BE319" i="9" s="1"/>
  <c r="AR321" i="9"/>
  <c r="BH321" i="9" s="1"/>
  <c r="BE321" i="9" s="1"/>
  <c r="AR323" i="9"/>
  <c r="BH323" i="9" s="1"/>
  <c r="BE323" i="9" s="1"/>
  <c r="AR325" i="9"/>
  <c r="BH325" i="9" s="1"/>
  <c r="BE325" i="9" s="1"/>
  <c r="AR326" i="9"/>
  <c r="BH326" i="9" s="1"/>
  <c r="BE326" i="9" s="1"/>
  <c r="AR328" i="9"/>
  <c r="BH328" i="9" s="1"/>
  <c r="BE328" i="9" s="1"/>
  <c r="AR330" i="9"/>
  <c r="BH330" i="9" s="1"/>
  <c r="BE330" i="9" s="1"/>
  <c r="AR332" i="9"/>
  <c r="BH332" i="9" s="1"/>
  <c r="BE332" i="9" s="1"/>
  <c r="AR333" i="9"/>
  <c r="BH333" i="9" s="1"/>
  <c r="BE333" i="9" s="1"/>
  <c r="BI5" i="9"/>
  <c r="BI6" i="9"/>
  <c r="BI7" i="9"/>
  <c r="BI8" i="9"/>
  <c r="BI9" i="9"/>
  <c r="BI10" i="9"/>
  <c r="BI11" i="9"/>
  <c r="BI12" i="9"/>
  <c r="BI13" i="9"/>
  <c r="BI14" i="9"/>
  <c r="BI15" i="9"/>
  <c r="BI16" i="9"/>
  <c r="BI17" i="9"/>
  <c r="BI18" i="9"/>
  <c r="BI19" i="9"/>
  <c r="BI20" i="9"/>
  <c r="BI21" i="9"/>
  <c r="BI22" i="9"/>
  <c r="BI23" i="9"/>
  <c r="BI24" i="9"/>
  <c r="BI25" i="9"/>
  <c r="BI26" i="9"/>
  <c r="BI27" i="9"/>
  <c r="BI28" i="9"/>
  <c r="BI29" i="9"/>
  <c r="BI30" i="9"/>
  <c r="BI31" i="9"/>
  <c r="BI32" i="9"/>
  <c r="BI33" i="9"/>
  <c r="BI34" i="9"/>
  <c r="BI35" i="9"/>
  <c r="BI36" i="9"/>
  <c r="BI37" i="9"/>
  <c r="BI42" i="9"/>
  <c r="BI43" i="9"/>
  <c r="BI44" i="9"/>
  <c r="BI45" i="9"/>
  <c r="BI46" i="9"/>
  <c r="BI47" i="9"/>
  <c r="BI48" i="9"/>
  <c r="BI49" i="9"/>
  <c r="BI50" i="9"/>
  <c r="BI51" i="9"/>
  <c r="BI52" i="9"/>
  <c r="BI53" i="9"/>
  <c r="BI54" i="9"/>
  <c r="BI56" i="9"/>
  <c r="BI57" i="9"/>
  <c r="BI58" i="9"/>
  <c r="BI59" i="9"/>
  <c r="BI60" i="9"/>
  <c r="BI61" i="9"/>
  <c r="BI62" i="9"/>
  <c r="BI63" i="9"/>
  <c r="BI65" i="9"/>
  <c r="BI66" i="9"/>
  <c r="BI67" i="9"/>
  <c r="BI68" i="9"/>
  <c r="BI69" i="9"/>
  <c r="BI70" i="9"/>
  <c r="BI71" i="9"/>
  <c r="BI72" i="9"/>
  <c r="BI73" i="9"/>
  <c r="BI74" i="9"/>
  <c r="BI75" i="9"/>
  <c r="BI76" i="9"/>
  <c r="BI77" i="9"/>
  <c r="BI78" i="9"/>
  <c r="BI79" i="9"/>
  <c r="BI80" i="9"/>
  <c r="BI81" i="9"/>
  <c r="BI82" i="9"/>
  <c r="BI83" i="9"/>
  <c r="BI84" i="9"/>
  <c r="BI85" i="9"/>
  <c r="BI86" i="9"/>
  <c r="BI87" i="9"/>
  <c r="BI88" i="9"/>
  <c r="BI89" i="9"/>
  <c r="BI90" i="9"/>
  <c r="BI91" i="9"/>
  <c r="BI92" i="9"/>
  <c r="BI93" i="9"/>
  <c r="BI94" i="9"/>
  <c r="BI95" i="9"/>
  <c r="BI96" i="9"/>
  <c r="BI97" i="9"/>
  <c r="BI98" i="9"/>
  <c r="BI99" i="9"/>
  <c r="BI104" i="9"/>
  <c r="BI105" i="9"/>
  <c r="BI106" i="9"/>
  <c r="BI107" i="9"/>
  <c r="BI108" i="9"/>
  <c r="BI109" i="9"/>
  <c r="BI110" i="9"/>
  <c r="BI111" i="9"/>
  <c r="BI112" i="9"/>
  <c r="BI113" i="9"/>
  <c r="BI114" i="9"/>
  <c r="BI115" i="9"/>
  <c r="BI116" i="9"/>
  <c r="BI117" i="9"/>
  <c r="BI118" i="9"/>
  <c r="BI121" i="9"/>
  <c r="BI122" i="9"/>
  <c r="BI123" i="9"/>
  <c r="BI124" i="9"/>
  <c r="BI125" i="9"/>
  <c r="BI126" i="9"/>
  <c r="BI127" i="9"/>
  <c r="BI130" i="9"/>
  <c r="BI131" i="9"/>
  <c r="BI132" i="9"/>
  <c r="BI133" i="9"/>
  <c r="BI134" i="9"/>
  <c r="BI135" i="9"/>
  <c r="BI136" i="9"/>
  <c r="BI137" i="9"/>
  <c r="BI138" i="9"/>
  <c r="BI139" i="9"/>
  <c r="BI140" i="9"/>
  <c r="BI142" i="9"/>
  <c r="BI143" i="9"/>
  <c r="BI144" i="9"/>
  <c r="BI145" i="9"/>
  <c r="BI146" i="9"/>
  <c r="BI147" i="9"/>
  <c r="BI148" i="9"/>
  <c r="BI149" i="9"/>
  <c r="BI150" i="9"/>
  <c r="BI151" i="9"/>
  <c r="BI152" i="9"/>
  <c r="BI153" i="9"/>
  <c r="BI154" i="9"/>
  <c r="BI155" i="9"/>
  <c r="BI156" i="9"/>
  <c r="BI157" i="9"/>
  <c r="BI158" i="9"/>
  <c r="BI159" i="9"/>
  <c r="BI160" i="9"/>
  <c r="BI161" i="9"/>
  <c r="BI162" i="9"/>
  <c r="BI163" i="9"/>
  <c r="BI164" i="9"/>
  <c r="BI165" i="9"/>
  <c r="BI166" i="9"/>
  <c r="BI167" i="9"/>
  <c r="BI168" i="9"/>
  <c r="BI169" i="9"/>
  <c r="BI170" i="9"/>
  <c r="BI184" i="9"/>
  <c r="BI185" i="9"/>
  <c r="BI186" i="9"/>
  <c r="BI187" i="9"/>
  <c r="BI188" i="9"/>
  <c r="BI189" i="9"/>
  <c r="BI190" i="9"/>
  <c r="BI191" i="9"/>
  <c r="BI192" i="9"/>
  <c r="BI195" i="9"/>
  <c r="BI226" i="9"/>
  <c r="BI239" i="9"/>
  <c r="BI293" i="9"/>
  <c r="BI307" i="9"/>
  <c r="BI206" i="9"/>
  <c r="BI208" i="9"/>
  <c r="BI209" i="9"/>
  <c r="BI210" i="9"/>
  <c r="BI211" i="9"/>
  <c r="BI212" i="9"/>
  <c r="BI213" i="9"/>
  <c r="BI214" i="9"/>
  <c r="BI215" i="9"/>
  <c r="BI216" i="9"/>
  <c r="BI217" i="9"/>
  <c r="BI218" i="9"/>
  <c r="BI227" i="9"/>
  <c r="BI228" i="9"/>
  <c r="BI229" i="9"/>
  <c r="BI231" i="9"/>
  <c r="BI230" i="9"/>
  <c r="BI232" i="9"/>
  <c r="BI233" i="9"/>
  <c r="BI234" i="9"/>
  <c r="BI240" i="9"/>
  <c r="BI241" i="9"/>
  <c r="BI141" i="9"/>
  <c r="BI243" i="9"/>
  <c r="BI244" i="9"/>
  <c r="BI245" i="9"/>
  <c r="BI246" i="9"/>
  <c r="BI247" i="9"/>
  <c r="BI248" i="9"/>
  <c r="BI249" i="9"/>
  <c r="BI298" i="9"/>
  <c r="BI299" i="9"/>
  <c r="BI300" i="9"/>
  <c r="BI301" i="9"/>
  <c r="BI302" i="9"/>
  <c r="BI303" i="9"/>
  <c r="BI250" i="9"/>
  <c r="BI317" i="9"/>
  <c r="BI320" i="9"/>
  <c r="BI324" i="9"/>
  <c r="BI327" i="9"/>
  <c r="BI331" i="9"/>
  <c r="BI334" i="9"/>
  <c r="BI337" i="9"/>
  <c r="BI340" i="9"/>
  <c r="BI343" i="9"/>
  <c r="BI346" i="9"/>
  <c r="BI252" i="9"/>
  <c r="BI254" i="9"/>
  <c r="BI255" i="9"/>
  <c r="BI257" i="9"/>
  <c r="BI258" i="9"/>
  <c r="BI260" i="9"/>
  <c r="BI261" i="9"/>
  <c r="BI263" i="9"/>
  <c r="BI264" i="9"/>
  <c r="BI268" i="9"/>
  <c r="BI269" i="9"/>
  <c r="BI271" i="9"/>
  <c r="BI272" i="9"/>
  <c r="BI274" i="9"/>
  <c r="BI275" i="9"/>
  <c r="BI277" i="9"/>
  <c r="BI278" i="9"/>
  <c r="BI280" i="9"/>
  <c r="BI281" i="9"/>
  <c r="BI284" i="9"/>
  <c r="BI285" i="9"/>
  <c r="BI286" i="9"/>
  <c r="BI265" i="9"/>
  <c r="BI266" i="9"/>
  <c r="BI282" i="9"/>
  <c r="BI316" i="9"/>
  <c r="BI318" i="9"/>
  <c r="BI319" i="9"/>
  <c r="BI321" i="9"/>
  <c r="BI323" i="9"/>
  <c r="BI325" i="9"/>
  <c r="BI326" i="9"/>
  <c r="BI328" i="9"/>
  <c r="BI330" i="9"/>
  <c r="BI332" i="9"/>
  <c r="BI333" i="9"/>
  <c r="BJ5" i="9"/>
  <c r="BJ6" i="9"/>
  <c r="BJ7" i="9"/>
  <c r="BJ8" i="9"/>
  <c r="BJ9" i="9"/>
  <c r="BJ10" i="9"/>
  <c r="BJ11" i="9"/>
  <c r="BJ12" i="9"/>
  <c r="BJ13" i="9"/>
  <c r="BJ14" i="9"/>
  <c r="BJ15" i="9"/>
  <c r="BJ16" i="9"/>
  <c r="BJ17" i="9"/>
  <c r="BJ18" i="9"/>
  <c r="BJ19" i="9"/>
  <c r="BJ20" i="9"/>
  <c r="BJ21" i="9"/>
  <c r="BJ22" i="9"/>
  <c r="BJ23" i="9"/>
  <c r="BJ24" i="9"/>
  <c r="BJ25" i="9"/>
  <c r="BJ26" i="9"/>
  <c r="BJ27" i="9"/>
  <c r="BJ28" i="9"/>
  <c r="BJ29" i="9"/>
  <c r="BJ30" i="9"/>
  <c r="BJ31" i="9"/>
  <c r="BJ32" i="9"/>
  <c r="BJ33" i="9"/>
  <c r="BJ34" i="9"/>
  <c r="BJ35" i="9"/>
  <c r="BJ36" i="9"/>
  <c r="BJ37" i="9"/>
  <c r="BJ42" i="9"/>
  <c r="BJ43" i="9"/>
  <c r="BJ44" i="9"/>
  <c r="BJ45" i="9"/>
  <c r="BJ46" i="9"/>
  <c r="BJ47" i="9"/>
  <c r="BJ48" i="9"/>
  <c r="BJ49" i="9"/>
  <c r="BJ50" i="9"/>
  <c r="BJ51" i="9"/>
  <c r="BJ52" i="9"/>
  <c r="BJ53" i="9"/>
  <c r="BJ54" i="9"/>
  <c r="BJ56" i="9"/>
  <c r="BJ57" i="9"/>
  <c r="BJ58" i="9"/>
  <c r="BJ59" i="9"/>
  <c r="BJ60" i="9"/>
  <c r="BJ61" i="9"/>
  <c r="BJ62" i="9"/>
  <c r="BJ63" i="9"/>
  <c r="BJ65" i="9"/>
  <c r="BJ66" i="9"/>
  <c r="BJ67" i="9"/>
  <c r="BJ68" i="9"/>
  <c r="BJ69" i="9"/>
  <c r="BJ70" i="9"/>
  <c r="BJ71" i="9"/>
  <c r="BJ72" i="9"/>
  <c r="BJ73" i="9"/>
  <c r="BJ74" i="9"/>
  <c r="BJ75" i="9"/>
  <c r="BJ76" i="9"/>
  <c r="BJ77" i="9"/>
  <c r="BJ78" i="9"/>
  <c r="BJ79" i="9"/>
  <c r="BJ80" i="9"/>
  <c r="BJ81" i="9"/>
  <c r="BJ82" i="9"/>
  <c r="BJ83" i="9"/>
  <c r="BJ84" i="9"/>
  <c r="BJ85" i="9"/>
  <c r="BJ86" i="9"/>
  <c r="BJ87" i="9"/>
  <c r="BJ88" i="9"/>
  <c r="BJ89" i="9"/>
  <c r="BJ90" i="9"/>
  <c r="BJ91" i="9"/>
  <c r="BJ92" i="9"/>
  <c r="BJ93" i="9"/>
  <c r="BJ94" i="9"/>
  <c r="BJ95" i="9"/>
  <c r="BJ96" i="9"/>
  <c r="BJ97" i="9"/>
  <c r="BJ98" i="9"/>
  <c r="BJ99" i="9"/>
  <c r="BJ104" i="9"/>
  <c r="BJ105" i="9"/>
  <c r="BJ106" i="9"/>
  <c r="BJ107" i="9"/>
  <c r="BJ108" i="9"/>
  <c r="BJ109" i="9"/>
  <c r="BJ110" i="9"/>
  <c r="BJ111" i="9"/>
  <c r="BJ112" i="9"/>
  <c r="BJ113" i="9"/>
  <c r="BJ114" i="9"/>
  <c r="BJ115" i="9"/>
  <c r="BJ116" i="9"/>
  <c r="BJ117" i="9"/>
  <c r="BJ118" i="9"/>
  <c r="BJ121" i="9"/>
  <c r="BJ122" i="9"/>
  <c r="BJ123" i="9"/>
  <c r="BJ124" i="9"/>
  <c r="BJ125" i="9"/>
  <c r="BJ126" i="9"/>
  <c r="BJ127" i="9"/>
  <c r="BJ130" i="9"/>
  <c r="BJ131" i="9"/>
  <c r="BJ132" i="9"/>
  <c r="BJ133" i="9"/>
  <c r="BJ134" i="9"/>
  <c r="BJ135" i="9"/>
  <c r="BJ136" i="9"/>
  <c r="BJ137" i="9"/>
  <c r="BJ138" i="9"/>
  <c r="BJ139" i="9"/>
  <c r="BJ140" i="9"/>
  <c r="BJ142" i="9"/>
  <c r="BJ143" i="9"/>
  <c r="BJ144" i="9"/>
  <c r="BJ145" i="9"/>
  <c r="BJ146" i="9"/>
  <c r="BJ147" i="9"/>
  <c r="BJ148" i="9"/>
  <c r="BJ149" i="9"/>
  <c r="BJ150" i="9"/>
  <c r="BJ151" i="9"/>
  <c r="BJ152" i="9"/>
  <c r="BJ153" i="9"/>
  <c r="BJ154" i="9"/>
  <c r="BJ155" i="9"/>
  <c r="BJ156" i="9"/>
  <c r="BJ157" i="9"/>
  <c r="BJ158" i="9"/>
  <c r="BJ159" i="9"/>
  <c r="BJ160" i="9"/>
  <c r="BJ161" i="9"/>
  <c r="BJ162" i="9"/>
  <c r="BJ163" i="9"/>
  <c r="BJ164" i="9"/>
  <c r="BJ165" i="9"/>
  <c r="BJ166" i="9"/>
  <c r="BJ167" i="9"/>
  <c r="BJ168" i="9"/>
  <c r="BJ169" i="9"/>
  <c r="BJ170" i="9"/>
  <c r="BJ184" i="9"/>
  <c r="BJ185" i="9"/>
  <c r="BJ186" i="9"/>
  <c r="BJ187" i="9"/>
  <c r="BJ188" i="9"/>
  <c r="BJ189" i="9"/>
  <c r="BJ190" i="9"/>
  <c r="BJ191" i="9"/>
  <c r="BJ192" i="9"/>
  <c r="BJ195" i="9"/>
  <c r="BJ226" i="9"/>
  <c r="BJ239" i="9"/>
  <c r="BJ293" i="9"/>
  <c r="BJ307" i="9"/>
  <c r="BJ206" i="9"/>
  <c r="BJ208" i="9"/>
  <c r="BJ209" i="9"/>
  <c r="BJ210" i="9"/>
  <c r="BJ211" i="9"/>
  <c r="BJ212" i="9"/>
  <c r="BJ213" i="9"/>
  <c r="BJ214" i="9"/>
  <c r="BJ215" i="9"/>
  <c r="BJ216" i="9"/>
  <c r="BJ217" i="9"/>
  <c r="BJ218" i="9"/>
  <c r="BJ227" i="9"/>
  <c r="BJ228" i="9"/>
  <c r="BJ229" i="9"/>
  <c r="BJ231" i="9"/>
  <c r="BJ230" i="9"/>
  <c r="BJ232" i="9"/>
  <c r="BJ233" i="9"/>
  <c r="BJ234" i="9"/>
  <c r="BJ240" i="9"/>
  <c r="BJ241" i="9"/>
  <c r="BJ141" i="9"/>
  <c r="BJ243" i="9"/>
  <c r="BJ244" i="9"/>
  <c r="BJ245" i="9"/>
  <c r="BJ246" i="9"/>
  <c r="BJ247" i="9"/>
  <c r="BJ248" i="9"/>
  <c r="BJ249" i="9"/>
  <c r="BJ298" i="9"/>
  <c r="BJ299" i="9"/>
  <c r="BJ300" i="9"/>
  <c r="BJ301" i="9"/>
  <c r="BJ302" i="9"/>
  <c r="BJ303" i="9"/>
  <c r="BJ250" i="9"/>
  <c r="BJ317" i="9"/>
  <c r="BJ320" i="9"/>
  <c r="BJ324" i="9"/>
  <c r="BJ327" i="9"/>
  <c r="BJ331" i="9"/>
  <c r="BJ334" i="9"/>
  <c r="BJ337" i="9"/>
  <c r="BJ340" i="9"/>
  <c r="BJ343" i="9"/>
  <c r="BJ346" i="9"/>
  <c r="BJ252" i="9"/>
  <c r="BJ254" i="9"/>
  <c r="BJ255" i="9"/>
  <c r="BJ257" i="9"/>
  <c r="BJ258" i="9"/>
  <c r="BJ260" i="9"/>
  <c r="BJ261" i="9"/>
  <c r="BJ263" i="9"/>
  <c r="BJ264" i="9"/>
  <c r="BJ268" i="9"/>
  <c r="BJ269" i="9"/>
  <c r="BJ271" i="9"/>
  <c r="BJ272" i="9"/>
  <c r="BJ274" i="9"/>
  <c r="BJ275" i="9"/>
  <c r="BJ277" i="9"/>
  <c r="BJ278" i="9"/>
  <c r="BJ280" i="9"/>
  <c r="BJ281" i="9"/>
  <c r="BJ284" i="9"/>
  <c r="BJ285" i="9"/>
  <c r="BJ286" i="9"/>
  <c r="BJ265" i="9"/>
  <c r="BJ266" i="9"/>
  <c r="BJ282" i="9"/>
  <c r="BJ316" i="9"/>
  <c r="BJ318" i="9"/>
  <c r="BJ319" i="9"/>
  <c r="BJ321" i="9"/>
  <c r="BJ323" i="9"/>
  <c r="BJ325" i="9"/>
  <c r="BJ326" i="9"/>
  <c r="BJ328" i="9"/>
  <c r="BJ330" i="9"/>
  <c r="BJ332" i="9"/>
  <c r="BJ333" i="9"/>
  <c r="BL5" i="9"/>
  <c r="BL6" i="9"/>
  <c r="BL7" i="9"/>
  <c r="BL8" i="9"/>
  <c r="BL9" i="9"/>
  <c r="BL10" i="9"/>
  <c r="BL11" i="9"/>
  <c r="BL12" i="9"/>
  <c r="BL13" i="9"/>
  <c r="BL14" i="9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42" i="9"/>
  <c r="BL43" i="9"/>
  <c r="BL44" i="9"/>
  <c r="BL45" i="9"/>
  <c r="BL46" i="9"/>
  <c r="BL47" i="9"/>
  <c r="BL48" i="9"/>
  <c r="BL49" i="9"/>
  <c r="BL50" i="9"/>
  <c r="BL51" i="9"/>
  <c r="BL52" i="9"/>
  <c r="BL53" i="9"/>
  <c r="BL54" i="9"/>
  <c r="BL56" i="9"/>
  <c r="BL57" i="9"/>
  <c r="BL58" i="9"/>
  <c r="BL59" i="9"/>
  <c r="BL60" i="9"/>
  <c r="BL61" i="9"/>
  <c r="BL62" i="9"/>
  <c r="BL63" i="9"/>
  <c r="BL65" i="9"/>
  <c r="BL66" i="9"/>
  <c r="BL67" i="9"/>
  <c r="BL68" i="9"/>
  <c r="BL69" i="9"/>
  <c r="BL70" i="9"/>
  <c r="BL71" i="9"/>
  <c r="BL72" i="9"/>
  <c r="BL73" i="9"/>
  <c r="BL74" i="9"/>
  <c r="BL75" i="9"/>
  <c r="BL76" i="9"/>
  <c r="BL77" i="9"/>
  <c r="BL78" i="9"/>
  <c r="BL79" i="9"/>
  <c r="BL80" i="9"/>
  <c r="BL81" i="9"/>
  <c r="BL82" i="9"/>
  <c r="BL83" i="9"/>
  <c r="BL84" i="9"/>
  <c r="BL85" i="9"/>
  <c r="BL86" i="9"/>
  <c r="BL87" i="9"/>
  <c r="BL88" i="9"/>
  <c r="BL89" i="9"/>
  <c r="BL90" i="9"/>
  <c r="BL91" i="9"/>
  <c r="BL92" i="9"/>
  <c r="BL93" i="9"/>
  <c r="BL94" i="9"/>
  <c r="BL95" i="9"/>
  <c r="BL96" i="9"/>
  <c r="BL97" i="9"/>
  <c r="BL98" i="9"/>
  <c r="BL99" i="9"/>
  <c r="BL104" i="9"/>
  <c r="BL105" i="9"/>
  <c r="BL106" i="9"/>
  <c r="BL107" i="9"/>
  <c r="BL108" i="9"/>
  <c r="BL109" i="9"/>
  <c r="BL110" i="9"/>
  <c r="BL111" i="9"/>
  <c r="BL112" i="9"/>
  <c r="BL113" i="9"/>
  <c r="BL114" i="9"/>
  <c r="BL115" i="9"/>
  <c r="BL116" i="9"/>
  <c r="BL117" i="9"/>
  <c r="BL118" i="9"/>
  <c r="BL121" i="9"/>
  <c r="BL122" i="9"/>
  <c r="BL123" i="9"/>
  <c r="BL124" i="9"/>
  <c r="BL125" i="9"/>
  <c r="BL126" i="9"/>
  <c r="BL127" i="9"/>
  <c r="BL130" i="9"/>
  <c r="BL131" i="9"/>
  <c r="BL132" i="9"/>
  <c r="BL133" i="9"/>
  <c r="BL134" i="9"/>
  <c r="BL135" i="9"/>
  <c r="BL136" i="9"/>
  <c r="BL137" i="9"/>
  <c r="BL138" i="9"/>
  <c r="BL139" i="9"/>
  <c r="BL140" i="9"/>
  <c r="BL142" i="9"/>
  <c r="BL143" i="9"/>
  <c r="BL144" i="9"/>
  <c r="BL145" i="9"/>
  <c r="BL146" i="9"/>
  <c r="BL147" i="9"/>
  <c r="BL148" i="9"/>
  <c r="BL149" i="9"/>
  <c r="BL150" i="9"/>
  <c r="BL151" i="9"/>
  <c r="BL152" i="9"/>
  <c r="BL153" i="9"/>
  <c r="BL154" i="9"/>
  <c r="BL155" i="9"/>
  <c r="BL156" i="9"/>
  <c r="BL157" i="9"/>
  <c r="BL158" i="9"/>
  <c r="BL159" i="9"/>
  <c r="BL160" i="9"/>
  <c r="BL161" i="9"/>
  <c r="BL162" i="9"/>
  <c r="BL163" i="9"/>
  <c r="BL164" i="9"/>
  <c r="BL165" i="9"/>
  <c r="BL166" i="9"/>
  <c r="BL167" i="9"/>
  <c r="BL168" i="9"/>
  <c r="BL169" i="9"/>
  <c r="BL170" i="9"/>
  <c r="BL184" i="9"/>
  <c r="BL185" i="9"/>
  <c r="BL186" i="9"/>
  <c r="BL187" i="9"/>
  <c r="BL188" i="9"/>
  <c r="BL189" i="9"/>
  <c r="BL190" i="9"/>
  <c r="BL191" i="9"/>
  <c r="BL192" i="9"/>
  <c r="BL195" i="9"/>
  <c r="BL226" i="9"/>
  <c r="BL239" i="9"/>
  <c r="BL293" i="9"/>
  <c r="BL307" i="9"/>
  <c r="BL206" i="9"/>
  <c r="BL208" i="9"/>
  <c r="BL209" i="9"/>
  <c r="BL210" i="9"/>
  <c r="BL211" i="9"/>
  <c r="BL212" i="9"/>
  <c r="BL213" i="9"/>
  <c r="BL214" i="9"/>
  <c r="BL215" i="9"/>
  <c r="BL216" i="9"/>
  <c r="BL217" i="9"/>
  <c r="BL218" i="9"/>
  <c r="BL227" i="9"/>
  <c r="BL228" i="9"/>
  <c r="BL229" i="9"/>
  <c r="BL231" i="9"/>
  <c r="BL230" i="9"/>
  <c r="BL232" i="9"/>
  <c r="BL233" i="9"/>
  <c r="BL234" i="9"/>
  <c r="BL240" i="9"/>
  <c r="BL241" i="9"/>
  <c r="BL141" i="9"/>
  <c r="BL243" i="9"/>
  <c r="BL244" i="9"/>
  <c r="BL245" i="9"/>
  <c r="BL246" i="9"/>
  <c r="BL247" i="9"/>
  <c r="BL248" i="9"/>
  <c r="BL249" i="9"/>
  <c r="BL298" i="9"/>
  <c r="BL299" i="9"/>
  <c r="BL300" i="9"/>
  <c r="BL301" i="9"/>
  <c r="BL302" i="9"/>
  <c r="BL303" i="9"/>
  <c r="BL250" i="9"/>
  <c r="BL317" i="9"/>
  <c r="BL320" i="9"/>
  <c r="BL324" i="9"/>
  <c r="BL327" i="9"/>
  <c r="BL331" i="9"/>
  <c r="BL334" i="9"/>
  <c r="BL337" i="9"/>
  <c r="BL340" i="9"/>
  <c r="BL343" i="9"/>
  <c r="BL346" i="9"/>
  <c r="BL252" i="9"/>
  <c r="BL254" i="9"/>
  <c r="BL255" i="9"/>
  <c r="BL257" i="9"/>
  <c r="BL258" i="9"/>
  <c r="BL260" i="9"/>
  <c r="BL261" i="9"/>
  <c r="BL263" i="9"/>
  <c r="BL264" i="9"/>
  <c r="BL268" i="9"/>
  <c r="BL269" i="9"/>
  <c r="BL271" i="9"/>
  <c r="BL272" i="9"/>
  <c r="BL274" i="9"/>
  <c r="BL275" i="9"/>
  <c r="BL277" i="9"/>
  <c r="BL278" i="9"/>
  <c r="BL280" i="9"/>
  <c r="BL281" i="9"/>
  <c r="BL284" i="9"/>
  <c r="BL285" i="9"/>
  <c r="BL286" i="9"/>
  <c r="BL265" i="9"/>
  <c r="BL266" i="9"/>
  <c r="BL282" i="9"/>
  <c r="BL316" i="9"/>
  <c r="BL318" i="9"/>
  <c r="BL319" i="9"/>
  <c r="BL321" i="9"/>
  <c r="BL323" i="9"/>
  <c r="BL325" i="9"/>
  <c r="BL326" i="9"/>
  <c r="BL328" i="9"/>
  <c r="BL330" i="9"/>
  <c r="BL332" i="9"/>
  <c r="BL333" i="9"/>
  <c r="AW206" i="9"/>
  <c r="AX206" i="9"/>
  <c r="Y206" i="9"/>
  <c r="AY206" i="9" s="1"/>
  <c r="AA206" i="9"/>
  <c r="AC206" i="9"/>
  <c r="AZ206" i="9" s="1"/>
  <c r="AE206" i="9"/>
  <c r="BA206" i="9" s="1"/>
  <c r="AT211" i="9"/>
  <c r="AU211" i="9"/>
  <c r="AV211" i="9"/>
  <c r="AW211" i="9"/>
  <c r="AX211" i="9"/>
  <c r="Y211" i="9"/>
  <c r="AY211" i="9" s="1"/>
  <c r="AA211" i="9"/>
  <c r="AC211" i="9"/>
  <c r="AZ211" i="9" s="1"/>
  <c r="AE211" i="9"/>
  <c r="BA211" i="9" s="1"/>
  <c r="AY212" i="9"/>
  <c r="AZ212" i="9"/>
  <c r="BA212" i="9"/>
  <c r="AZ213" i="9"/>
  <c r="AY214" i="9"/>
  <c r="AZ214" i="9"/>
  <c r="BA214" i="9"/>
  <c r="AY215" i="9"/>
  <c r="AZ215" i="9"/>
  <c r="BA215" i="9"/>
  <c r="AY216" i="9"/>
  <c r="AZ216" i="9"/>
  <c r="BA216" i="9"/>
  <c r="AW217" i="9"/>
  <c r="AX217" i="9"/>
  <c r="Y217" i="9"/>
  <c r="AY217" i="9" s="1"/>
  <c r="AA217" i="9"/>
  <c r="AC217" i="9"/>
  <c r="AZ217" i="9" s="1"/>
  <c r="AE217" i="9"/>
  <c r="BA217" i="9" s="1"/>
  <c r="AY218" i="9"/>
  <c r="AZ218" i="9"/>
  <c r="BA218" i="9"/>
  <c r="AV227" i="9"/>
  <c r="AW227" i="9"/>
  <c r="AX227" i="9"/>
  <c r="Y227" i="9"/>
  <c r="AY227" i="9" s="1"/>
  <c r="AA227" i="9"/>
  <c r="AC227" i="9"/>
  <c r="AZ227" i="9" s="1"/>
  <c r="AE227" i="9"/>
  <c r="BA227" i="9" s="1"/>
  <c r="AW228" i="9"/>
  <c r="AX228" i="9"/>
  <c r="Y228" i="9"/>
  <c r="AY228" i="9" s="1"/>
  <c r="AA228" i="9"/>
  <c r="AC228" i="9"/>
  <c r="AZ228" i="9" s="1"/>
  <c r="AE228" i="9"/>
  <c r="BA228" i="9" s="1"/>
  <c r="AW229" i="9"/>
  <c r="AX229" i="9"/>
  <c r="Y229" i="9"/>
  <c r="AY229" i="9" s="1"/>
  <c r="AA229" i="9"/>
  <c r="AC229" i="9"/>
  <c r="AZ229" i="9" s="1"/>
  <c r="AE229" i="9"/>
  <c r="BA229" i="9" s="1"/>
  <c r="Y231" i="9"/>
  <c r="AY231" i="9" s="1"/>
  <c r="AA231" i="9"/>
  <c r="AC231" i="9"/>
  <c r="AZ231" i="9" s="1"/>
  <c r="AE231" i="9"/>
  <c r="BA231" i="9" s="1"/>
  <c r="AT230" i="9"/>
  <c r="AW230" i="9"/>
  <c r="AX230" i="9"/>
  <c r="Y230" i="9"/>
  <c r="AY230" i="9" s="1"/>
  <c r="AA230" i="9"/>
  <c r="AC230" i="9"/>
  <c r="AZ230" i="9" s="1"/>
  <c r="AE230" i="9"/>
  <c r="BA230" i="9" s="1"/>
  <c r="Y232" i="9"/>
  <c r="AY232" i="9" s="1"/>
  <c r="AA232" i="9"/>
  <c r="AC232" i="9"/>
  <c r="AZ232" i="9" s="1"/>
  <c r="AE232" i="9"/>
  <c r="BA232" i="9" s="1"/>
  <c r="AT233" i="9"/>
  <c r="AU233" i="9"/>
  <c r="AV233" i="9"/>
  <c r="AW233" i="9"/>
  <c r="AX233" i="9"/>
  <c r="Y233" i="9"/>
  <c r="AY233" i="9" s="1"/>
  <c r="AA233" i="9"/>
  <c r="AC233" i="9"/>
  <c r="AZ233" i="9" s="1"/>
  <c r="AE233" i="9"/>
  <c r="BA233" i="9" s="1"/>
  <c r="AT234" i="9"/>
  <c r="AU234" i="9"/>
  <c r="AV234" i="9"/>
  <c r="AW234" i="9"/>
  <c r="AX234" i="9"/>
  <c r="Y234" i="9"/>
  <c r="AY234" i="9" s="1"/>
  <c r="AA234" i="9"/>
  <c r="AC234" i="9"/>
  <c r="AZ234" i="9" s="1"/>
  <c r="AE234" i="9"/>
  <c r="BA234" i="9" s="1"/>
  <c r="AT240" i="9"/>
  <c r="AW240" i="9"/>
  <c r="AX240" i="9"/>
  <c r="Y240" i="9"/>
  <c r="AY240" i="9" s="1"/>
  <c r="AA240" i="9"/>
  <c r="AC240" i="9"/>
  <c r="AZ240" i="9" s="1"/>
  <c r="AE240" i="9"/>
  <c r="BA240" i="9" s="1"/>
  <c r="AY241" i="9"/>
  <c r="AZ241" i="9"/>
  <c r="BA241" i="9"/>
  <c r="AW141" i="9"/>
  <c r="AX141" i="9"/>
  <c r="Y141" i="9"/>
  <c r="AY141" i="9" s="1"/>
  <c r="AA141" i="9"/>
  <c r="AC141" i="9"/>
  <c r="AZ141" i="9" s="1"/>
  <c r="AE141" i="9"/>
  <c r="BA141" i="9" s="1"/>
  <c r="AY243" i="9"/>
  <c r="AZ243" i="9"/>
  <c r="BA243" i="9"/>
  <c r="AZ244" i="9"/>
  <c r="AY245" i="9"/>
  <c r="AZ245" i="9"/>
  <c r="BA245" i="9"/>
  <c r="Y246" i="9"/>
  <c r="AY246" i="9" s="1"/>
  <c r="AA246" i="9"/>
  <c r="AC246" i="9"/>
  <c r="AZ246" i="9" s="1"/>
  <c r="AE246" i="9"/>
  <c r="BA246" i="9" s="1"/>
  <c r="Y247" i="9"/>
  <c r="AY247" i="9" s="1"/>
  <c r="AA247" i="9"/>
  <c r="AC247" i="9"/>
  <c r="AZ247" i="9" s="1"/>
  <c r="AE247" i="9"/>
  <c r="BA247" i="9" s="1"/>
  <c r="AY248" i="9"/>
  <c r="AZ248" i="9"/>
  <c r="BA248" i="9"/>
  <c r="AY249" i="9"/>
  <c r="AZ249" i="9"/>
  <c r="BA249" i="9"/>
  <c r="AW298" i="9"/>
  <c r="AX298" i="9"/>
  <c r="AY298" i="9"/>
  <c r="AC298" i="9"/>
  <c r="AZ298" i="9" s="1"/>
  <c r="AE298" i="9"/>
  <c r="BA298" i="9" s="1"/>
  <c r="AW299" i="9"/>
  <c r="AX299" i="9"/>
  <c r="AC299" i="9"/>
  <c r="AZ299" i="9" s="1"/>
  <c r="AE299" i="9"/>
  <c r="BA299" i="9" s="1"/>
  <c r="AY300" i="9"/>
  <c r="AC300" i="9"/>
  <c r="AZ300" i="9" s="1"/>
  <c r="AE300" i="9"/>
  <c r="BA300" i="9" s="1"/>
  <c r="AY301" i="9"/>
  <c r="AC301" i="9"/>
  <c r="AZ301" i="9" s="1"/>
  <c r="AE301" i="9"/>
  <c r="BA301" i="9" s="1"/>
  <c r="AW302" i="9"/>
  <c r="AX302" i="9"/>
  <c r="AY302" i="9"/>
  <c r="AC302" i="9"/>
  <c r="AZ302" i="9" s="1"/>
  <c r="AE302" i="9"/>
  <c r="BA302" i="9" s="1"/>
  <c r="AZ303" i="9"/>
  <c r="AT250" i="9"/>
  <c r="AU250" i="9"/>
  <c r="AV250" i="9"/>
  <c r="AW250" i="9"/>
  <c r="AX250" i="9"/>
  <c r="Y250" i="9"/>
  <c r="AY250" i="9" s="1"/>
  <c r="AA250" i="9"/>
  <c r="AC250" i="9"/>
  <c r="AZ250" i="9" s="1"/>
  <c r="AE250" i="9"/>
  <c r="BA250" i="9" s="1"/>
  <c r="AW317" i="9"/>
  <c r="AX317" i="9"/>
  <c r="AY317" i="9"/>
  <c r="AC317" i="9"/>
  <c r="AZ317" i="9" s="1"/>
  <c r="AE317" i="9"/>
  <c r="BA317" i="9" s="1"/>
  <c r="AW320" i="9"/>
  <c r="AX320" i="9"/>
  <c r="AY320" i="9"/>
  <c r="AC320" i="9"/>
  <c r="AZ320" i="9" s="1"/>
  <c r="AE320" i="9"/>
  <c r="BA320" i="9" s="1"/>
  <c r="AW324" i="9"/>
  <c r="AX324" i="9"/>
  <c r="AY324" i="9"/>
  <c r="AC324" i="9"/>
  <c r="AZ324" i="9" s="1"/>
  <c r="AE324" i="9"/>
  <c r="BA324" i="9" s="1"/>
  <c r="AW327" i="9"/>
  <c r="AX327" i="9"/>
  <c r="AY327" i="9"/>
  <c r="AC327" i="9"/>
  <c r="AZ327" i="9" s="1"/>
  <c r="AE327" i="9"/>
  <c r="BA327" i="9" s="1"/>
  <c r="AW331" i="9"/>
  <c r="AX331" i="9"/>
  <c r="AY331" i="9"/>
  <c r="AC331" i="9"/>
  <c r="AZ331" i="9" s="1"/>
  <c r="AE331" i="9"/>
  <c r="BA331" i="9" s="1"/>
  <c r="AW334" i="9"/>
  <c r="AX334" i="9"/>
  <c r="AY334" i="9"/>
  <c r="AC334" i="9"/>
  <c r="AZ334" i="9" s="1"/>
  <c r="AE334" i="9"/>
  <c r="BA334" i="9" s="1"/>
  <c r="AW337" i="9"/>
  <c r="AX337" i="9"/>
  <c r="AY337" i="9"/>
  <c r="AC337" i="9"/>
  <c r="AZ337" i="9" s="1"/>
  <c r="AE337" i="9"/>
  <c r="BA337" i="9" s="1"/>
  <c r="AW340" i="9"/>
  <c r="AX340" i="9"/>
  <c r="AY340" i="9"/>
  <c r="AC340" i="9"/>
  <c r="AZ340" i="9" s="1"/>
  <c r="AE340" i="9"/>
  <c r="BA340" i="9" s="1"/>
  <c r="AW343" i="9"/>
  <c r="AX343" i="9"/>
  <c r="AY343" i="9"/>
  <c r="AC343" i="9"/>
  <c r="AZ343" i="9" s="1"/>
  <c r="AE343" i="9"/>
  <c r="BA343" i="9" s="1"/>
  <c r="AW346" i="9"/>
  <c r="AX346" i="9"/>
  <c r="AY346" i="9"/>
  <c r="AC346" i="9"/>
  <c r="AZ346" i="9" s="1"/>
  <c r="AE346" i="9"/>
  <c r="BA346" i="9" s="1"/>
  <c r="AW252" i="9"/>
  <c r="AX252" i="9"/>
  <c r="AY252" i="9"/>
  <c r="AC252" i="9"/>
  <c r="AZ252" i="9" s="1"/>
  <c r="AE252" i="9"/>
  <c r="BA252" i="9" s="1"/>
  <c r="AW254" i="9"/>
  <c r="AX254" i="9"/>
  <c r="AY254" i="9"/>
  <c r="AC254" i="9"/>
  <c r="AZ254" i="9" s="1"/>
  <c r="AE254" i="9"/>
  <c r="BA254" i="9" s="1"/>
  <c r="AW255" i="9"/>
  <c r="AX255" i="9"/>
  <c r="AY255" i="9"/>
  <c r="AC255" i="9"/>
  <c r="AZ255" i="9" s="1"/>
  <c r="AE255" i="9"/>
  <c r="BA255" i="9" s="1"/>
  <c r="AW257" i="9"/>
  <c r="AX257" i="9"/>
  <c r="AY257" i="9"/>
  <c r="AC257" i="9"/>
  <c r="AZ257" i="9" s="1"/>
  <c r="AE257" i="9"/>
  <c r="BA257" i="9" s="1"/>
  <c r="AW258" i="9"/>
  <c r="AX258" i="9"/>
  <c r="AY258" i="9"/>
  <c r="AC258" i="9"/>
  <c r="AZ258" i="9" s="1"/>
  <c r="AE258" i="9"/>
  <c r="BA258" i="9" s="1"/>
  <c r="AW260" i="9"/>
  <c r="AX260" i="9"/>
  <c r="AY260" i="9"/>
  <c r="AC260" i="9"/>
  <c r="AZ260" i="9" s="1"/>
  <c r="AE260" i="9"/>
  <c r="BA260" i="9" s="1"/>
  <c r="AW261" i="9"/>
  <c r="AX261" i="9"/>
  <c r="AY261" i="9"/>
  <c r="AC261" i="9"/>
  <c r="AZ261" i="9" s="1"/>
  <c r="AE261" i="9"/>
  <c r="BA261" i="9" s="1"/>
  <c r="AW263" i="9"/>
  <c r="AX263" i="9"/>
  <c r="AY263" i="9"/>
  <c r="AC263" i="9"/>
  <c r="AZ263" i="9" s="1"/>
  <c r="AE263" i="9"/>
  <c r="BA263" i="9" s="1"/>
  <c r="AW264" i="9"/>
  <c r="AX264" i="9"/>
  <c r="AY264" i="9"/>
  <c r="AC264" i="9"/>
  <c r="AZ264" i="9" s="1"/>
  <c r="AE264" i="9"/>
  <c r="BA264" i="9" s="1"/>
  <c r="AW268" i="9"/>
  <c r="AX268" i="9"/>
  <c r="AY268" i="9"/>
  <c r="AC268" i="9"/>
  <c r="AZ268" i="9" s="1"/>
  <c r="AE268" i="9"/>
  <c r="BA268" i="9" s="1"/>
  <c r="AW269" i="9"/>
  <c r="AX269" i="9"/>
  <c r="AY269" i="9"/>
  <c r="AC269" i="9"/>
  <c r="AZ269" i="9" s="1"/>
  <c r="AE269" i="9"/>
  <c r="BA269" i="9" s="1"/>
  <c r="AW271" i="9"/>
  <c r="AX271" i="9"/>
  <c r="AY271" i="9"/>
  <c r="AC271" i="9"/>
  <c r="AZ271" i="9" s="1"/>
  <c r="AE271" i="9"/>
  <c r="BA271" i="9" s="1"/>
  <c r="AW272" i="9"/>
  <c r="AX272" i="9"/>
  <c r="AY272" i="9"/>
  <c r="AC272" i="9"/>
  <c r="AZ272" i="9" s="1"/>
  <c r="AE272" i="9"/>
  <c r="BA272" i="9" s="1"/>
  <c r="AW274" i="9"/>
  <c r="AX274" i="9"/>
  <c r="AY274" i="9"/>
  <c r="AC274" i="9"/>
  <c r="AZ274" i="9" s="1"/>
  <c r="AE274" i="9"/>
  <c r="BA274" i="9" s="1"/>
  <c r="AW275" i="9"/>
  <c r="AX275" i="9"/>
  <c r="AY275" i="9"/>
  <c r="AC275" i="9"/>
  <c r="AZ275" i="9" s="1"/>
  <c r="AE275" i="9"/>
  <c r="BA275" i="9" s="1"/>
  <c r="AW277" i="9"/>
  <c r="AX277" i="9"/>
  <c r="AY277" i="9"/>
  <c r="AC277" i="9"/>
  <c r="AZ277" i="9" s="1"/>
  <c r="AE277" i="9"/>
  <c r="BA277" i="9" s="1"/>
  <c r="AW278" i="9"/>
  <c r="AX278" i="9"/>
  <c r="AY278" i="9"/>
  <c r="AC278" i="9"/>
  <c r="AZ278" i="9" s="1"/>
  <c r="AE278" i="9"/>
  <c r="BA278" i="9" s="1"/>
  <c r="AW280" i="9"/>
  <c r="AX280" i="9"/>
  <c r="AY280" i="9"/>
  <c r="AC280" i="9"/>
  <c r="AZ280" i="9" s="1"/>
  <c r="AE280" i="9"/>
  <c r="BA280" i="9" s="1"/>
  <c r="AW281" i="9"/>
  <c r="AX281" i="9"/>
  <c r="AY281" i="9"/>
  <c r="AC281" i="9"/>
  <c r="AZ281" i="9" s="1"/>
  <c r="AE281" i="9"/>
  <c r="BA281" i="9" s="1"/>
  <c r="AW284" i="9"/>
  <c r="AX284" i="9"/>
  <c r="AY284" i="9"/>
  <c r="AC284" i="9"/>
  <c r="AZ284" i="9" s="1"/>
  <c r="AE284" i="9"/>
  <c r="BA284" i="9" s="1"/>
  <c r="AW285" i="9"/>
  <c r="AX285" i="9"/>
  <c r="AY285" i="9"/>
  <c r="AC285" i="9"/>
  <c r="AZ285" i="9" s="1"/>
  <c r="AE285" i="9"/>
  <c r="BA285" i="9" s="1"/>
  <c r="AW286" i="9"/>
  <c r="AX286" i="9"/>
  <c r="AY286" i="9"/>
  <c r="AC286" i="9"/>
  <c r="AZ286" i="9" s="1"/>
  <c r="AE286" i="9"/>
  <c r="BA286" i="9" s="1"/>
  <c r="AY265" i="9"/>
  <c r="AZ265" i="9"/>
  <c r="BA265" i="9"/>
  <c r="AW266" i="9"/>
  <c r="AX266" i="9"/>
  <c r="AY266" i="9"/>
  <c r="AC266" i="9"/>
  <c r="AZ266" i="9" s="1"/>
  <c r="AE266" i="9"/>
  <c r="BA266" i="9" s="1"/>
  <c r="AY282" i="9"/>
  <c r="AZ282" i="9"/>
  <c r="BA282" i="9"/>
  <c r="AW316" i="9"/>
  <c r="AX316" i="9"/>
  <c r="AY316" i="9"/>
  <c r="AC316" i="9"/>
  <c r="AZ316" i="9" s="1"/>
  <c r="AE316" i="9"/>
  <c r="BA316" i="9" s="1"/>
  <c r="AW318" i="9"/>
  <c r="AX318" i="9"/>
  <c r="AY318" i="9"/>
  <c r="AC318" i="9"/>
  <c r="AZ318" i="9" s="1"/>
  <c r="AE318" i="9"/>
  <c r="BA318" i="9" s="1"/>
  <c r="AW319" i="9"/>
  <c r="AX319" i="9"/>
  <c r="AY319" i="9"/>
  <c r="AC319" i="9"/>
  <c r="AZ319" i="9" s="1"/>
  <c r="AE319" i="9"/>
  <c r="BA319" i="9" s="1"/>
  <c r="AW321" i="9"/>
  <c r="AX321" i="9"/>
  <c r="AY321" i="9"/>
  <c r="AC321" i="9"/>
  <c r="AZ321" i="9" s="1"/>
  <c r="AE321" i="9"/>
  <c r="BA321" i="9" s="1"/>
  <c r="AW323" i="9"/>
  <c r="AX323" i="9"/>
  <c r="AY323" i="9"/>
  <c r="AC323" i="9"/>
  <c r="AZ323" i="9" s="1"/>
  <c r="AE323" i="9"/>
  <c r="BA323" i="9" s="1"/>
  <c r="AW325" i="9"/>
  <c r="AX325" i="9"/>
  <c r="AY325" i="9"/>
  <c r="AC325" i="9"/>
  <c r="AZ325" i="9" s="1"/>
  <c r="AE325" i="9"/>
  <c r="BA325" i="9" s="1"/>
  <c r="AW326" i="9"/>
  <c r="AX326" i="9"/>
  <c r="AY326" i="9"/>
  <c r="AC326" i="9"/>
  <c r="AZ326" i="9" s="1"/>
  <c r="AE326" i="9"/>
  <c r="BA326" i="9" s="1"/>
  <c r="AW328" i="9"/>
  <c r="AX328" i="9"/>
  <c r="AY328" i="9"/>
  <c r="AC328" i="9"/>
  <c r="AZ328" i="9" s="1"/>
  <c r="AE328" i="9"/>
  <c r="BA328" i="9" s="1"/>
  <c r="AW330" i="9"/>
  <c r="AX330" i="9"/>
  <c r="AY330" i="9"/>
  <c r="AC330" i="9"/>
  <c r="AZ330" i="9" s="1"/>
  <c r="AE330" i="9"/>
  <c r="BA330" i="9" s="1"/>
  <c r="AW332" i="9"/>
  <c r="AX332" i="9"/>
  <c r="AY332" i="9"/>
  <c r="AC332" i="9"/>
  <c r="AZ332" i="9" s="1"/>
  <c r="AE332" i="9"/>
  <c r="BA332" i="9" s="1"/>
  <c r="AW333" i="9"/>
  <c r="AX333" i="9"/>
  <c r="AY333" i="9"/>
  <c r="AC333" i="9"/>
  <c r="AZ333" i="9" s="1"/>
  <c r="AE333" i="9"/>
  <c r="BA333" i="9" s="1"/>
  <c r="AE192" i="9"/>
  <c r="BA192" i="9" s="1"/>
  <c r="AC192" i="9"/>
  <c r="AZ192" i="9" s="1"/>
  <c r="AA192" i="9"/>
  <c r="Y192" i="9"/>
  <c r="AY192" i="9" s="1"/>
  <c r="AX192" i="9"/>
  <c r="AW192" i="9"/>
  <c r="AU192" i="9"/>
  <c r="AE189" i="9"/>
  <c r="BA189" i="9" s="1"/>
  <c r="AC189" i="9"/>
  <c r="AZ189" i="9" s="1"/>
  <c r="AA189" i="9"/>
  <c r="Y189" i="9"/>
  <c r="AY189" i="9" s="1"/>
  <c r="AX189" i="9"/>
  <c r="AW189" i="9"/>
  <c r="AU189" i="9"/>
  <c r="AU188" i="9"/>
  <c r="AE187" i="9"/>
  <c r="BA187" i="9" s="1"/>
  <c r="AC187" i="9"/>
  <c r="AZ187" i="9" s="1"/>
  <c r="AA187" i="9"/>
  <c r="Y187" i="9"/>
  <c r="AY187" i="9" s="1"/>
  <c r="AX187" i="9"/>
  <c r="AW187" i="9"/>
  <c r="AU187" i="9"/>
  <c r="AE185" i="9"/>
  <c r="BA185" i="9" s="1"/>
  <c r="AC185" i="9"/>
  <c r="AZ185" i="9" s="1"/>
  <c r="AA185" i="9"/>
  <c r="Y185" i="9"/>
  <c r="AY185" i="9" s="1"/>
  <c r="AX185" i="9"/>
  <c r="AW185" i="9"/>
  <c r="AE170" i="9"/>
  <c r="BA170" i="9" s="1"/>
  <c r="AC170" i="9"/>
  <c r="AZ170" i="9" s="1"/>
  <c r="AA170" i="9"/>
  <c r="Y170" i="9"/>
  <c r="AY170" i="9" s="1"/>
  <c r="AX170" i="9"/>
  <c r="AW170" i="9"/>
  <c r="AU170" i="9"/>
  <c r="AE168" i="9"/>
  <c r="BA168" i="9" s="1"/>
  <c r="AC168" i="9"/>
  <c r="AZ168" i="9" s="1"/>
  <c r="AA168" i="9"/>
  <c r="Y168" i="9"/>
  <c r="AY168" i="9" s="1"/>
  <c r="AX168" i="9"/>
  <c r="AW168" i="9"/>
  <c r="AU168" i="9"/>
  <c r="AT168" i="9"/>
  <c r="AE167" i="9"/>
  <c r="BA167" i="9" s="1"/>
  <c r="AC167" i="9"/>
  <c r="AZ167" i="9" s="1"/>
  <c r="AA167" i="9"/>
  <c r="Y167" i="9"/>
  <c r="AY167" i="9" s="1"/>
  <c r="AX167" i="9"/>
  <c r="AW167" i="9"/>
  <c r="AE166" i="9"/>
  <c r="BA166" i="9" s="1"/>
  <c r="AC166" i="9"/>
  <c r="AZ166" i="9" s="1"/>
  <c r="AA166" i="9"/>
  <c r="Y166" i="9"/>
  <c r="AY166" i="9" s="1"/>
  <c r="AX166" i="9"/>
  <c r="AW166" i="9"/>
  <c r="AE165" i="9"/>
  <c r="BA165" i="9" s="1"/>
  <c r="AC165" i="9"/>
  <c r="AZ165" i="9" s="1"/>
  <c r="AA165" i="9"/>
  <c r="Y165" i="9"/>
  <c r="AY165" i="9" s="1"/>
  <c r="AX165" i="9"/>
  <c r="AW165" i="9"/>
  <c r="AU165" i="9"/>
  <c r="AT165" i="9"/>
  <c r="AE163" i="9"/>
  <c r="BA163" i="9" s="1"/>
  <c r="AC163" i="9"/>
  <c r="AZ163" i="9" s="1"/>
  <c r="AA163" i="9"/>
  <c r="Y163" i="9"/>
  <c r="AY163" i="9" s="1"/>
  <c r="AX163" i="9"/>
  <c r="AW163" i="9"/>
  <c r="AE162" i="9"/>
  <c r="BA162" i="9" s="1"/>
  <c r="AC162" i="9"/>
  <c r="AZ162" i="9" s="1"/>
  <c r="AA162" i="9"/>
  <c r="Y162" i="9"/>
  <c r="AY162" i="9" s="1"/>
  <c r="AX162" i="9"/>
  <c r="AW162" i="9"/>
  <c r="AE161" i="9"/>
  <c r="BA161" i="9" s="1"/>
  <c r="AC161" i="9"/>
  <c r="AZ161" i="9" s="1"/>
  <c r="AA161" i="9"/>
  <c r="Y161" i="9"/>
  <c r="AY161" i="9" s="1"/>
  <c r="AX161" i="9"/>
  <c r="AW161" i="9"/>
  <c r="AE160" i="9"/>
  <c r="BA160" i="9" s="1"/>
  <c r="AC160" i="9"/>
  <c r="AZ160" i="9" s="1"/>
  <c r="AA160" i="9"/>
  <c r="Y160" i="9"/>
  <c r="AY160" i="9" s="1"/>
  <c r="AX160" i="9"/>
  <c r="AW160" i="9"/>
  <c r="AU160" i="9"/>
  <c r="N154" i="9"/>
  <c r="N153" i="9"/>
  <c r="AU149" i="9"/>
  <c r="AE148" i="9"/>
  <c r="BA148" i="9" s="1"/>
  <c r="AC148" i="9"/>
  <c r="AZ148" i="9" s="1"/>
  <c r="AA148" i="9"/>
  <c r="Y148" i="9"/>
  <c r="AY148" i="9" s="1"/>
  <c r="AX148" i="9"/>
  <c r="AW148" i="9"/>
  <c r="AU148" i="9"/>
  <c r="AE146" i="9"/>
  <c r="BA146" i="9" s="1"/>
  <c r="AC146" i="9"/>
  <c r="AZ146" i="9" s="1"/>
  <c r="AA146" i="9"/>
  <c r="Y146" i="9"/>
  <c r="AY146" i="9" s="1"/>
  <c r="AX146" i="9"/>
  <c r="AW146" i="9"/>
  <c r="AU146" i="9"/>
  <c r="N138" i="9"/>
  <c r="O138" i="9" s="1"/>
  <c r="P138" i="9"/>
  <c r="R138" i="9"/>
  <c r="S138" i="9" s="1"/>
  <c r="AW142" i="9"/>
  <c r="AX142" i="9"/>
  <c r="Y142" i="9"/>
  <c r="AY142" i="9" s="1"/>
  <c r="AA142" i="9"/>
  <c r="AC142" i="9"/>
  <c r="AZ142" i="9" s="1"/>
  <c r="AE142" i="9"/>
  <c r="BA142" i="9" s="1"/>
  <c r="AW147" i="9"/>
  <c r="AX147" i="9"/>
  <c r="Y147" i="9"/>
  <c r="AY147" i="9" s="1"/>
  <c r="AA147" i="9"/>
  <c r="AC147" i="9"/>
  <c r="AZ147" i="9" s="1"/>
  <c r="AE147" i="9"/>
  <c r="BA147" i="9" s="1"/>
  <c r="AT143" i="9"/>
  <c r="AU143" i="9"/>
  <c r="AV143" i="9"/>
  <c r="AW143" i="9"/>
  <c r="AX143" i="9"/>
  <c r="Y143" i="9"/>
  <c r="AY143" i="9" s="1"/>
  <c r="AA143" i="9"/>
  <c r="AC143" i="9"/>
  <c r="AZ143" i="9" s="1"/>
  <c r="AE143" i="9"/>
  <c r="BA143" i="9" s="1"/>
  <c r="AW144" i="9"/>
  <c r="AX144" i="9"/>
  <c r="Y144" i="9"/>
  <c r="AY144" i="9" s="1"/>
  <c r="AA144" i="9"/>
  <c r="AC144" i="9"/>
  <c r="AZ144" i="9" s="1"/>
  <c r="AE144" i="9"/>
  <c r="BA144" i="9" s="1"/>
  <c r="AT145" i="9"/>
  <c r="AU145" i="9"/>
  <c r="AV145" i="9"/>
  <c r="AW145" i="9"/>
  <c r="AX145" i="9"/>
  <c r="Y145" i="9"/>
  <c r="AY145" i="9" s="1"/>
  <c r="AA145" i="9"/>
  <c r="AC145" i="9"/>
  <c r="AZ145" i="9" s="1"/>
  <c r="AE145" i="9"/>
  <c r="BA145" i="9" s="1"/>
  <c r="AW149" i="9"/>
  <c r="AX149" i="9"/>
  <c r="Y149" i="9"/>
  <c r="AY149" i="9" s="1"/>
  <c r="AA149" i="9"/>
  <c r="AC149" i="9"/>
  <c r="AZ149" i="9" s="1"/>
  <c r="AE149" i="9"/>
  <c r="BA149" i="9" s="1"/>
  <c r="AT150" i="9"/>
  <c r="AU150" i="9"/>
  <c r="AV150" i="9"/>
  <c r="AW150" i="9"/>
  <c r="AX150" i="9"/>
  <c r="Y150" i="9"/>
  <c r="AY150" i="9" s="1"/>
  <c r="AA150" i="9"/>
  <c r="AC150" i="9"/>
  <c r="AZ150" i="9" s="1"/>
  <c r="AE150" i="9"/>
  <c r="BA150" i="9" s="1"/>
  <c r="AT151" i="9"/>
  <c r="AU151" i="9"/>
  <c r="AV151" i="9"/>
  <c r="AW151" i="9"/>
  <c r="AX151" i="9"/>
  <c r="Y151" i="9"/>
  <c r="AY151" i="9" s="1"/>
  <c r="AA151" i="9"/>
  <c r="AC151" i="9"/>
  <c r="AZ151" i="9" s="1"/>
  <c r="AE151" i="9"/>
  <c r="BA151" i="9" s="1"/>
  <c r="AT152" i="9"/>
  <c r="AU152" i="9"/>
  <c r="AV152" i="9"/>
  <c r="AW152" i="9"/>
  <c r="AX152" i="9"/>
  <c r="Y152" i="9"/>
  <c r="AY152" i="9" s="1"/>
  <c r="AA152" i="9"/>
  <c r="AC152" i="9"/>
  <c r="AZ152" i="9" s="1"/>
  <c r="AE152" i="9"/>
  <c r="BA152" i="9" s="1"/>
  <c r="Y153" i="9"/>
  <c r="AY153" i="9" s="1"/>
  <c r="AA153" i="9"/>
  <c r="AC153" i="9"/>
  <c r="AZ153" i="9" s="1"/>
  <c r="AE153" i="9"/>
  <c r="BA153" i="9" s="1"/>
  <c r="Y154" i="9"/>
  <c r="AY154" i="9" s="1"/>
  <c r="AA154" i="9"/>
  <c r="AC154" i="9"/>
  <c r="AZ154" i="9" s="1"/>
  <c r="AE154" i="9"/>
  <c r="BA154" i="9" s="1"/>
  <c r="AW155" i="9"/>
  <c r="AX155" i="9"/>
  <c r="Y155" i="9"/>
  <c r="AY155" i="9" s="1"/>
  <c r="AA155" i="9"/>
  <c r="AC155" i="9"/>
  <c r="AZ155" i="9" s="1"/>
  <c r="AE155" i="9"/>
  <c r="BA155" i="9" s="1"/>
  <c r="AW156" i="9"/>
  <c r="AX156" i="9"/>
  <c r="Y156" i="9"/>
  <c r="AY156" i="9" s="1"/>
  <c r="AA156" i="9"/>
  <c r="AC156" i="9"/>
  <c r="AZ156" i="9" s="1"/>
  <c r="AE156" i="9"/>
  <c r="BA156" i="9" s="1"/>
  <c r="AT157" i="9"/>
  <c r="AW157" i="9"/>
  <c r="AX157" i="9"/>
  <c r="Y157" i="9"/>
  <c r="AY157" i="9" s="1"/>
  <c r="AA157" i="9"/>
  <c r="AC157" i="9"/>
  <c r="AZ157" i="9" s="1"/>
  <c r="AE157" i="9"/>
  <c r="BA157" i="9" s="1"/>
  <c r="AW158" i="9"/>
  <c r="AX158" i="9"/>
  <c r="Y158" i="9"/>
  <c r="AY158" i="9" s="1"/>
  <c r="AA158" i="9"/>
  <c r="AC158" i="9"/>
  <c r="AZ158" i="9" s="1"/>
  <c r="AE158" i="9"/>
  <c r="BA158" i="9" s="1"/>
  <c r="AW159" i="9"/>
  <c r="AX159" i="9"/>
  <c r="Y159" i="9"/>
  <c r="AY159" i="9" s="1"/>
  <c r="AA159" i="9"/>
  <c r="AC159" i="9"/>
  <c r="AZ159" i="9" s="1"/>
  <c r="AE159" i="9"/>
  <c r="BA159" i="9" s="1"/>
  <c r="BC315" i="9" l="1"/>
  <c r="AW12" i="15"/>
  <c r="AE54" i="15"/>
  <c r="AI26" i="15"/>
  <c r="AX10" i="15" s="1"/>
  <c r="AK21" i="15"/>
  <c r="AJ26" i="15"/>
  <c r="AV10" i="15" s="1"/>
  <c r="AE41" i="15"/>
  <c r="AH26" i="15"/>
  <c r="AU10" i="15" s="1"/>
  <c r="BE77" i="9"/>
  <c r="BE57" i="9"/>
  <c r="BE78" i="9"/>
  <c r="BC339" i="9"/>
  <c r="BC341" i="9"/>
  <c r="BC348" i="9"/>
  <c r="F313" i="15"/>
  <c r="F348" i="15"/>
  <c r="F335" i="15"/>
  <c r="AG335" i="15" s="1"/>
  <c r="F350" i="15"/>
  <c r="F323" i="15"/>
  <c r="F292" i="15"/>
  <c r="F359" i="15"/>
  <c r="F282" i="15"/>
  <c r="F366" i="15"/>
  <c r="F370" i="15"/>
  <c r="F358" i="15"/>
  <c r="AG358" i="15" s="1"/>
  <c r="F304" i="15"/>
  <c r="F305" i="15"/>
  <c r="F371" i="15"/>
  <c r="F316" i="15"/>
  <c r="F273" i="15"/>
  <c r="AG273" i="15" s="1"/>
  <c r="F360" i="15"/>
  <c r="F339" i="15"/>
  <c r="F347" i="15"/>
  <c r="F291" i="15"/>
  <c r="F320" i="15"/>
  <c r="F281" i="15"/>
  <c r="F363" i="15"/>
  <c r="F336" i="15"/>
  <c r="AG336" i="15" s="1"/>
  <c r="F365" i="15"/>
  <c r="F319" i="15"/>
  <c r="F276" i="15"/>
  <c r="F274" i="15"/>
  <c r="AG274" i="15" s="1"/>
  <c r="F345" i="15"/>
  <c r="F369" i="15"/>
  <c r="F290" i="15"/>
  <c r="F314" i="15"/>
  <c r="F317" i="15"/>
  <c r="F280" i="15"/>
  <c r="F341" i="15"/>
  <c r="F346" i="15"/>
  <c r="F318" i="15"/>
  <c r="F294" i="15"/>
  <c r="F277" i="15"/>
  <c r="F329" i="15"/>
  <c r="AG329" i="15" s="1"/>
  <c r="F372" i="15"/>
  <c r="F364" i="15"/>
  <c r="F322" i="15"/>
  <c r="F293" i="15"/>
  <c r="F312" i="15"/>
  <c r="F340" i="15"/>
  <c r="F337" i="15"/>
  <c r="F362" i="15"/>
  <c r="F288" i="15"/>
  <c r="F321" i="15"/>
  <c r="F357" i="15"/>
  <c r="AG357" i="15" s="1"/>
  <c r="F275" i="15"/>
  <c r="F367" i="15"/>
  <c r="F368" i="15"/>
  <c r="F361" i="15"/>
  <c r="F296" i="15"/>
  <c r="F315" i="15"/>
  <c r="F306" i="15"/>
  <c r="F272" i="15"/>
  <c r="AG272" i="15" s="1"/>
  <c r="F344" i="15"/>
  <c r="F342" i="15"/>
  <c r="F338" i="15"/>
  <c r="F289" i="15"/>
  <c r="F302" i="15"/>
  <c r="F279" i="15"/>
  <c r="F278" i="15"/>
  <c r="F351" i="15"/>
  <c r="F349" i="15"/>
  <c r="F343" i="15"/>
  <c r="F295" i="15"/>
  <c r="F303" i="15"/>
  <c r="BC342" i="9"/>
  <c r="J55" i="15"/>
  <c r="H54" i="15"/>
  <c r="J54" i="15"/>
  <c r="H55" i="15"/>
  <c r="J33" i="15"/>
  <c r="BC336" i="9"/>
  <c r="BC338" i="9"/>
  <c r="S202" i="9"/>
  <c r="AV202" i="9" s="1"/>
  <c r="Q138" i="9"/>
  <c r="AU138" i="9" s="1"/>
  <c r="BE5" i="9"/>
  <c r="BF153" i="9"/>
  <c r="BG153" i="9" s="1"/>
  <c r="BD153" i="9" s="1"/>
  <c r="BF301" i="9"/>
  <c r="BG301" i="9" s="1"/>
  <c r="BD301" i="9" s="1"/>
  <c r="BF231" i="9"/>
  <c r="BG231" i="9" s="1"/>
  <c r="BD231" i="9" s="1"/>
  <c r="BF337" i="9"/>
  <c r="BG337" i="9" s="1"/>
  <c r="BD337" i="9" s="1"/>
  <c r="BF249" i="9"/>
  <c r="BG249" i="9" s="1"/>
  <c r="BD249" i="9" s="1"/>
  <c r="Q141" i="9"/>
  <c r="AU141" i="9" s="1"/>
  <c r="BH200" i="9"/>
  <c r="BE200" i="9" s="1"/>
  <c r="O200" i="9"/>
  <c r="BH310" i="9"/>
  <c r="BE310" i="9" s="1"/>
  <c r="O310" i="9"/>
  <c r="BF248" i="9"/>
  <c r="BG248" i="9" s="1"/>
  <c r="BD248" i="9" s="1"/>
  <c r="BF300" i="9"/>
  <c r="BG300" i="9" s="1"/>
  <c r="BD300" i="9" s="1"/>
  <c r="BF303" i="9"/>
  <c r="BG303" i="9" s="1"/>
  <c r="BD303" i="9" s="1"/>
  <c r="BH153" i="9"/>
  <c r="BE153" i="9" s="1"/>
  <c r="O153" i="9"/>
  <c r="BF324" i="9"/>
  <c r="BG324" i="9" s="1"/>
  <c r="BD324" i="9" s="1"/>
  <c r="BH154" i="9"/>
  <c r="BE154" i="9" s="1"/>
  <c r="O154" i="9"/>
  <c r="S141" i="9"/>
  <c r="AV141" i="9" s="1"/>
  <c r="BF297" i="9"/>
  <c r="BG297" i="9" s="1"/>
  <c r="BD297" i="9" s="1"/>
  <c r="BF320" i="9"/>
  <c r="BG320" i="9" s="1"/>
  <c r="BD320" i="9" s="1"/>
  <c r="BF331" i="9"/>
  <c r="BG331" i="9" s="1"/>
  <c r="BD331" i="9" s="1"/>
  <c r="BF317" i="9"/>
  <c r="BG317" i="9" s="1"/>
  <c r="BD317" i="9" s="1"/>
  <c r="BF327" i="9"/>
  <c r="BG327" i="9" s="1"/>
  <c r="BD327" i="9" s="1"/>
  <c r="BF346" i="9"/>
  <c r="BG346" i="9" s="1"/>
  <c r="BD346" i="9" s="1"/>
  <c r="BF334" i="9"/>
  <c r="BG334" i="9" s="1"/>
  <c r="BD334" i="9" s="1"/>
  <c r="BF343" i="9"/>
  <c r="BG343" i="9" s="1"/>
  <c r="BD343" i="9" s="1"/>
  <c r="BF340" i="9"/>
  <c r="BG340" i="9" s="1"/>
  <c r="BD340" i="9" s="1"/>
  <c r="BF294" i="9"/>
  <c r="BG294" i="9" s="1"/>
  <c r="BD294" i="9" s="1"/>
  <c r="BF296" i="9"/>
  <c r="BG296" i="9" s="1"/>
  <c r="BD296" i="9" s="1"/>
  <c r="BF308" i="9"/>
  <c r="BG308" i="9" s="1"/>
  <c r="BD308" i="9" s="1"/>
  <c r="BC345" i="9"/>
  <c r="BF309" i="9"/>
  <c r="BG309" i="9" s="1"/>
  <c r="BD309" i="9" s="1"/>
  <c r="BF154" i="9"/>
  <c r="BG154" i="9" s="1"/>
  <c r="BD154" i="9" s="1"/>
  <c r="BF218" i="9"/>
  <c r="BG218" i="9" s="1"/>
  <c r="BD218" i="9" s="1"/>
  <c r="BF242" i="9"/>
  <c r="BG242" i="9" s="1"/>
  <c r="BD242" i="9" s="1"/>
  <c r="BF241" i="9"/>
  <c r="BG241" i="9" s="1"/>
  <c r="BD241" i="9" s="1"/>
  <c r="BF232" i="9"/>
  <c r="BG232" i="9" s="1"/>
  <c r="BD232" i="9" s="1"/>
  <c r="BF201" i="9"/>
  <c r="BG201" i="9" s="1"/>
  <c r="BD201" i="9" s="1"/>
  <c r="BF212" i="9"/>
  <c r="BG212" i="9" s="1"/>
  <c r="BD212" i="9" s="1"/>
  <c r="BH300" i="9"/>
  <c r="BE300" i="9" s="1"/>
  <c r="BH113" i="9"/>
  <c r="BE113" i="9" s="1"/>
  <c r="BH317" i="9"/>
  <c r="BE317" i="9" s="1"/>
  <c r="BH343" i="9"/>
  <c r="BE343" i="9" s="1"/>
  <c r="BF244" i="9"/>
  <c r="BG244" i="9" s="1"/>
  <c r="BD244" i="9" s="1"/>
  <c r="BF200" i="9"/>
  <c r="BG200" i="9" s="1"/>
  <c r="BD200" i="9" s="1"/>
  <c r="BF245" i="9"/>
  <c r="BG245" i="9" s="1"/>
  <c r="BD245" i="9" s="1"/>
  <c r="BF243" i="9"/>
  <c r="BG243" i="9" s="1"/>
  <c r="BD243" i="9" s="1"/>
  <c r="BH247" i="9"/>
  <c r="BE247" i="9" s="1"/>
  <c r="BH340" i="9"/>
  <c r="BE340" i="9" s="1"/>
  <c r="BH231" i="9"/>
  <c r="BE231" i="9" s="1"/>
  <c r="BF247" i="9"/>
  <c r="BG247" i="9" s="1"/>
  <c r="BD247" i="9" s="1"/>
  <c r="BF214" i="9"/>
  <c r="BG214" i="9" s="1"/>
  <c r="BD214" i="9" s="1"/>
  <c r="BF216" i="9"/>
  <c r="BG216" i="9" s="1"/>
  <c r="BD216" i="9" s="1"/>
  <c r="BD276" i="9"/>
  <c r="BD267" i="9"/>
  <c r="BH334" i="9"/>
  <c r="BE334" i="9" s="1"/>
  <c r="BH337" i="9"/>
  <c r="BE337" i="9" s="1"/>
  <c r="BF215" i="9"/>
  <c r="BG215" i="9" s="1"/>
  <c r="BD215" i="9" s="1"/>
  <c r="BD253" i="9"/>
  <c r="BD312" i="9"/>
  <c r="BH331" i="9"/>
  <c r="BE331" i="9" s="1"/>
  <c r="BH324" i="9"/>
  <c r="BE324" i="9" s="1"/>
  <c r="BF262" i="9"/>
  <c r="BG262" i="9" s="1"/>
  <c r="BD262" i="9" s="1"/>
  <c r="BF270" i="9"/>
  <c r="BG270" i="9" s="1"/>
  <c r="BD270" i="9" s="1"/>
  <c r="BF213" i="9"/>
  <c r="BG213" i="9" s="1"/>
  <c r="BD213" i="9" s="1"/>
  <c r="BH246" i="9"/>
  <c r="BE246" i="9" s="1"/>
  <c r="BD283" i="9"/>
  <c r="BH327" i="9"/>
  <c r="BE327" i="9" s="1"/>
  <c r="BF265" i="9"/>
  <c r="BG265" i="9" s="1"/>
  <c r="BD265" i="9" s="1"/>
  <c r="BH201" i="9"/>
  <c r="BE201" i="9" s="1"/>
  <c r="BH141" i="9"/>
  <c r="BE141" i="9" s="1"/>
  <c r="BH112" i="9"/>
  <c r="BE112" i="9" s="1"/>
  <c r="BH301" i="9"/>
  <c r="BE301" i="9" s="1"/>
  <c r="BH346" i="9"/>
  <c r="BE346" i="9" s="1"/>
  <c r="BF246" i="9"/>
  <c r="BG246" i="9" s="1"/>
  <c r="BD246" i="9" s="1"/>
  <c r="BF295" i="9"/>
  <c r="BG295" i="9" s="1"/>
  <c r="BD295" i="9" s="1"/>
  <c r="BD273" i="9"/>
  <c r="BH232" i="9"/>
  <c r="BE232" i="9" s="1"/>
  <c r="BH320" i="9"/>
  <c r="BE320" i="9" s="1"/>
  <c r="AS261" i="9"/>
  <c r="BB261" i="9" s="1"/>
  <c r="BF261" i="9" s="1"/>
  <c r="BG261" i="9" s="1"/>
  <c r="AS234" i="9"/>
  <c r="BB234" i="9" s="1"/>
  <c r="AS195" i="9"/>
  <c r="BB195" i="9" s="1"/>
  <c r="AS164" i="9"/>
  <c r="BB164" i="9" s="1"/>
  <c r="AS148" i="9"/>
  <c r="BB148" i="9" s="1"/>
  <c r="AS286" i="9"/>
  <c r="BB286" i="9" s="1"/>
  <c r="AS260" i="9"/>
  <c r="BB260" i="9" s="1"/>
  <c r="BF260" i="9" s="1"/>
  <c r="BG260" i="9" s="1"/>
  <c r="AS250" i="9"/>
  <c r="BB250" i="9" s="1"/>
  <c r="AS233" i="9"/>
  <c r="BB233" i="9" s="1"/>
  <c r="BF233" i="9" s="1"/>
  <c r="BG233" i="9" s="1"/>
  <c r="AS192" i="9"/>
  <c r="BB192" i="9" s="1"/>
  <c r="AS163" i="9"/>
  <c r="BB163" i="9" s="1"/>
  <c r="BF163" i="9" s="1"/>
  <c r="BG163" i="9" s="1"/>
  <c r="AS147" i="9"/>
  <c r="BB147" i="9" s="1"/>
  <c r="BF147" i="9" s="1"/>
  <c r="BG147" i="9" s="1"/>
  <c r="AS196" i="9"/>
  <c r="BB196" i="9" s="1"/>
  <c r="AS285" i="9"/>
  <c r="BB285" i="9" s="1"/>
  <c r="BF285" i="9" s="1"/>
  <c r="BG285" i="9" s="1"/>
  <c r="AS258" i="9"/>
  <c r="BB258" i="9" s="1"/>
  <c r="AS191" i="9"/>
  <c r="BB191" i="9" s="1"/>
  <c r="AS162" i="9"/>
  <c r="BB162" i="9" s="1"/>
  <c r="BF162" i="9" s="1"/>
  <c r="BG162" i="9" s="1"/>
  <c r="BD162" i="9" s="1"/>
  <c r="AS146" i="9"/>
  <c r="BB146" i="9" s="1"/>
  <c r="AS208" i="9"/>
  <c r="BB208" i="9" s="1"/>
  <c r="BF208" i="9" s="1"/>
  <c r="BG208" i="9" s="1"/>
  <c r="AS333" i="9"/>
  <c r="BB333" i="9" s="1"/>
  <c r="BF333" i="9" s="1"/>
  <c r="BG333" i="9" s="1"/>
  <c r="BD333" i="9" s="1"/>
  <c r="AS284" i="9"/>
  <c r="BB284" i="9" s="1"/>
  <c r="AS257" i="9"/>
  <c r="BB257" i="9" s="1"/>
  <c r="AS302" i="9"/>
  <c r="BB302" i="9" s="1"/>
  <c r="AS230" i="9"/>
  <c r="BB230" i="9" s="1"/>
  <c r="BF230" i="9" s="1"/>
  <c r="BG230" i="9" s="1"/>
  <c r="AS190" i="9"/>
  <c r="BB190" i="9" s="1"/>
  <c r="AS161" i="9"/>
  <c r="BB161" i="9" s="1"/>
  <c r="AS145" i="9"/>
  <c r="BB145" i="9" s="1"/>
  <c r="BF145" i="9" s="1"/>
  <c r="BG145" i="9" s="1"/>
  <c r="AS210" i="9"/>
  <c r="BB210" i="9" s="1"/>
  <c r="AS332" i="9"/>
  <c r="BB332" i="9" s="1"/>
  <c r="AS281" i="9"/>
  <c r="BB281" i="9" s="1"/>
  <c r="BF281" i="9" s="1"/>
  <c r="BG281" i="9" s="1"/>
  <c r="AS255" i="9"/>
  <c r="BB255" i="9" s="1"/>
  <c r="AS189" i="9"/>
  <c r="BB189" i="9" s="1"/>
  <c r="AS160" i="9"/>
  <c r="BB160" i="9" s="1"/>
  <c r="BF160" i="9" s="1"/>
  <c r="BG160" i="9" s="1"/>
  <c r="AS144" i="9"/>
  <c r="BB144" i="9" s="1"/>
  <c r="AS194" i="9"/>
  <c r="BB194" i="9" s="1"/>
  <c r="BF194" i="9" s="1"/>
  <c r="BG194" i="9" s="1"/>
  <c r="AS330" i="9"/>
  <c r="BB330" i="9" s="1"/>
  <c r="AS280" i="9"/>
  <c r="BB280" i="9" s="1"/>
  <c r="AS254" i="9"/>
  <c r="BB254" i="9" s="1"/>
  <c r="AS229" i="9"/>
  <c r="BB229" i="9" s="1"/>
  <c r="BF229" i="9" s="1"/>
  <c r="BG229" i="9" s="1"/>
  <c r="AS188" i="9"/>
  <c r="BB188" i="9" s="1"/>
  <c r="AS159" i="9"/>
  <c r="BB159" i="9" s="1"/>
  <c r="AS143" i="9"/>
  <c r="BB143" i="9" s="1"/>
  <c r="BF143" i="9" s="1"/>
  <c r="BG143" i="9" s="1"/>
  <c r="AS207" i="9"/>
  <c r="BB207" i="9" s="1"/>
  <c r="AS328" i="9"/>
  <c r="BB328" i="9" s="1"/>
  <c r="BF328" i="9" s="1"/>
  <c r="BG328" i="9" s="1"/>
  <c r="AS278" i="9"/>
  <c r="BB278" i="9" s="1"/>
  <c r="BF278" i="9" s="1"/>
  <c r="BG278" i="9" s="1"/>
  <c r="AS252" i="9"/>
  <c r="BB252" i="9" s="1"/>
  <c r="AS299" i="9"/>
  <c r="BB299" i="9" s="1"/>
  <c r="AS228" i="9"/>
  <c r="BB228" i="9" s="1"/>
  <c r="AS187" i="9"/>
  <c r="BB187" i="9" s="1"/>
  <c r="AS158" i="9"/>
  <c r="BB158" i="9" s="1"/>
  <c r="BF158" i="9" s="1"/>
  <c r="BG158" i="9" s="1"/>
  <c r="AS142" i="9"/>
  <c r="BB142" i="9" s="1"/>
  <c r="AS326" i="9"/>
  <c r="BB326" i="9" s="1"/>
  <c r="AS277" i="9"/>
  <c r="BB277" i="9" s="1"/>
  <c r="AS298" i="9"/>
  <c r="BB298" i="9" s="1"/>
  <c r="AS227" i="9"/>
  <c r="BB227" i="9" s="1"/>
  <c r="BF227" i="9" s="1"/>
  <c r="BG227" i="9" s="1"/>
  <c r="AS186" i="9"/>
  <c r="BB186" i="9" s="1"/>
  <c r="AS157" i="9"/>
  <c r="BB157" i="9" s="1"/>
  <c r="BF157" i="9" s="1"/>
  <c r="BG157" i="9" s="1"/>
  <c r="AS140" i="9"/>
  <c r="BB140" i="9" s="1"/>
  <c r="AS193" i="9"/>
  <c r="BB193" i="9" s="1"/>
  <c r="BF193" i="9" s="1"/>
  <c r="BG193" i="9" s="1"/>
  <c r="AS325" i="9"/>
  <c r="BB325" i="9" s="1"/>
  <c r="AS275" i="9"/>
  <c r="BB275" i="9" s="1"/>
  <c r="AS185" i="9"/>
  <c r="BB185" i="9" s="1"/>
  <c r="AS156" i="9"/>
  <c r="BB156" i="9" s="1"/>
  <c r="BF156" i="9" s="1"/>
  <c r="BG156" i="9" s="1"/>
  <c r="AS139" i="9"/>
  <c r="BB139" i="9" s="1"/>
  <c r="AS199" i="9"/>
  <c r="BB199" i="9" s="1"/>
  <c r="AS203" i="9"/>
  <c r="BB203" i="9" s="1"/>
  <c r="AS204" i="9"/>
  <c r="BB204" i="9" s="1"/>
  <c r="AS323" i="9"/>
  <c r="BB323" i="9" s="1"/>
  <c r="AS274" i="9"/>
  <c r="BB274" i="9" s="1"/>
  <c r="AS217" i="9"/>
  <c r="BB217" i="9" s="1"/>
  <c r="AS155" i="9"/>
  <c r="BB155" i="9" s="1"/>
  <c r="BF155" i="9" s="1"/>
  <c r="BG155" i="9" s="1"/>
  <c r="AS209" i="9"/>
  <c r="BB209" i="9" s="1"/>
  <c r="BF209" i="9" s="1"/>
  <c r="BG209" i="9" s="1"/>
  <c r="AS321" i="9"/>
  <c r="BB321" i="9" s="1"/>
  <c r="BF321" i="9" s="1"/>
  <c r="BG321" i="9" s="1"/>
  <c r="AS272" i="9"/>
  <c r="BB272" i="9" s="1"/>
  <c r="BF272" i="9" s="1"/>
  <c r="BG272" i="9" s="1"/>
  <c r="AS211" i="9"/>
  <c r="BB211" i="9" s="1"/>
  <c r="BF211" i="9" s="1"/>
  <c r="BG211" i="9" s="1"/>
  <c r="AS170" i="9"/>
  <c r="BB170" i="9" s="1"/>
  <c r="BF170" i="9" s="1"/>
  <c r="BG170" i="9" s="1"/>
  <c r="AS319" i="9"/>
  <c r="BB319" i="9" s="1"/>
  <c r="AS271" i="9"/>
  <c r="BB271" i="9" s="1"/>
  <c r="AS206" i="9"/>
  <c r="BB206" i="9" s="1"/>
  <c r="BF206" i="9" s="1"/>
  <c r="BG206" i="9" s="1"/>
  <c r="AS169" i="9"/>
  <c r="BB169" i="9" s="1"/>
  <c r="AS198" i="9"/>
  <c r="BB198" i="9" s="1"/>
  <c r="AS318" i="9"/>
  <c r="BB318" i="9" s="1"/>
  <c r="AS269" i="9"/>
  <c r="BB269" i="9" s="1"/>
  <c r="AS168" i="9"/>
  <c r="BB168" i="9" s="1"/>
  <c r="BF168" i="9" s="1"/>
  <c r="BG168" i="9" s="1"/>
  <c r="AS152" i="9"/>
  <c r="BB152" i="9" s="1"/>
  <c r="AT202" i="9"/>
  <c r="AS316" i="9"/>
  <c r="BB316" i="9" s="1"/>
  <c r="BF316" i="9" s="1"/>
  <c r="BG316" i="9" s="1"/>
  <c r="AS268" i="9"/>
  <c r="BB268" i="9" s="1"/>
  <c r="BF268" i="9" s="1"/>
  <c r="BG268" i="9" s="1"/>
  <c r="AS167" i="9"/>
  <c r="BB167" i="9" s="1"/>
  <c r="BF167" i="9" s="1"/>
  <c r="BG167" i="9" s="1"/>
  <c r="AS151" i="9"/>
  <c r="BB151" i="9" s="1"/>
  <c r="BF151" i="9" s="1"/>
  <c r="BG151" i="9" s="1"/>
  <c r="AS282" i="9"/>
  <c r="BB282" i="9" s="1"/>
  <c r="BF282" i="9" s="1"/>
  <c r="BG282" i="9" s="1"/>
  <c r="AS264" i="9"/>
  <c r="BB264" i="9" s="1"/>
  <c r="AS166" i="9"/>
  <c r="BB166" i="9" s="1"/>
  <c r="AS150" i="9"/>
  <c r="BB150" i="9" s="1"/>
  <c r="AS197" i="9"/>
  <c r="BB197" i="9" s="1"/>
  <c r="AS266" i="9"/>
  <c r="BB266" i="9" s="1"/>
  <c r="AS263" i="9"/>
  <c r="BB263" i="9" s="1"/>
  <c r="BF263" i="9" s="1"/>
  <c r="BG263" i="9" s="1"/>
  <c r="AS240" i="9"/>
  <c r="BB240" i="9" s="1"/>
  <c r="BF240" i="9" s="1"/>
  <c r="BG240" i="9" s="1"/>
  <c r="AS165" i="9"/>
  <c r="BB165" i="9" s="1"/>
  <c r="BF165" i="9" s="1"/>
  <c r="BG165" i="9" s="1"/>
  <c r="AS149" i="9"/>
  <c r="BB149" i="9" s="1"/>
  <c r="BF149" i="9" s="1"/>
  <c r="BG149" i="9" s="1"/>
  <c r="AS205" i="9"/>
  <c r="BB205" i="9" s="1"/>
  <c r="BC276" i="9"/>
  <c r="BC313" i="9"/>
  <c r="BC312" i="9"/>
  <c r="BC279" i="9"/>
  <c r="BC267" i="9"/>
  <c r="BC253" i="9"/>
  <c r="BC259" i="9"/>
  <c r="BC251" i="9"/>
  <c r="BC273" i="9"/>
  <c r="BC256" i="9"/>
  <c r="BC283" i="9"/>
  <c r="AR202" i="9"/>
  <c r="AS202" i="9" s="1"/>
  <c r="BB202" i="9" s="1"/>
  <c r="AR138" i="9"/>
  <c r="AS138" i="9" s="1"/>
  <c r="BB138" i="9" s="1"/>
  <c r="AU202" i="9"/>
  <c r="AT138" i="9"/>
  <c r="AW10" i="15" l="1"/>
  <c r="AK26" i="15"/>
  <c r="AY10" i="15" s="1"/>
  <c r="AG349" i="15"/>
  <c r="AJ349" i="15"/>
  <c r="AK349" i="15" s="1"/>
  <c r="AH349" i="15"/>
  <c r="AI349" i="15" s="1"/>
  <c r="AG275" i="15"/>
  <c r="AJ275" i="15"/>
  <c r="AH275" i="15"/>
  <c r="AI275" i="15" s="1"/>
  <c r="AG346" i="15"/>
  <c r="AJ346" i="15"/>
  <c r="AK346" i="15" s="1"/>
  <c r="AH346" i="15"/>
  <c r="AI346" i="15" s="1"/>
  <c r="AG291" i="15"/>
  <c r="AJ291" i="15"/>
  <c r="AK291" i="15" s="1"/>
  <c r="AH291" i="15"/>
  <c r="AI291" i="15" s="1"/>
  <c r="AG350" i="15"/>
  <c r="AJ350" i="15"/>
  <c r="AK350" i="15" s="1"/>
  <c r="AH350" i="15"/>
  <c r="AI350" i="15" s="1"/>
  <c r="AG341" i="15"/>
  <c r="AJ341" i="15"/>
  <c r="AK341" i="15" s="1"/>
  <c r="AH341" i="15"/>
  <c r="AI341" i="15" s="1"/>
  <c r="AG347" i="15"/>
  <c r="AJ347" i="15"/>
  <c r="AK347" i="15" s="1"/>
  <c r="AH347" i="15"/>
  <c r="AI347" i="15" s="1"/>
  <c r="AG278" i="15"/>
  <c r="AJ278" i="15"/>
  <c r="AK278" i="15" s="1"/>
  <c r="AH278" i="15"/>
  <c r="AI278" i="15" s="1"/>
  <c r="AG321" i="15"/>
  <c r="AH321" i="15"/>
  <c r="AI321" i="15" s="1"/>
  <c r="AJ321" i="15"/>
  <c r="AK321" i="15" s="1"/>
  <c r="AG280" i="15"/>
  <c r="AJ280" i="15"/>
  <c r="AK280" i="15" s="1"/>
  <c r="AH280" i="15"/>
  <c r="AI280" i="15" s="1"/>
  <c r="AG339" i="15"/>
  <c r="AH339" i="15"/>
  <c r="AI339" i="15" s="1"/>
  <c r="AJ339" i="15"/>
  <c r="AK339" i="15" s="1"/>
  <c r="AG348" i="15"/>
  <c r="AJ348" i="15"/>
  <c r="AK348" i="15" s="1"/>
  <c r="AH348" i="15"/>
  <c r="AI348" i="15" s="1"/>
  <c r="AG318" i="15"/>
  <c r="AJ318" i="15"/>
  <c r="AK318" i="15" s="1"/>
  <c r="AH318" i="15"/>
  <c r="AI318" i="15" s="1"/>
  <c r="AG288" i="15"/>
  <c r="AJ288" i="15"/>
  <c r="AH288" i="15"/>
  <c r="AI288" i="15" s="1"/>
  <c r="AJ317" i="15"/>
  <c r="AK317" i="15" s="1"/>
  <c r="AH317" i="15"/>
  <c r="AI317" i="15" s="1"/>
  <c r="AG360" i="15"/>
  <c r="AH360" i="15"/>
  <c r="AI360" i="15" s="1"/>
  <c r="AJ360" i="15"/>
  <c r="AK360" i="15" s="1"/>
  <c r="AG313" i="15"/>
  <c r="AH313" i="15"/>
  <c r="AI313" i="15" s="1"/>
  <c r="AJ313" i="15"/>
  <c r="AK313" i="15" s="1"/>
  <c r="AG367" i="15"/>
  <c r="AJ367" i="15"/>
  <c r="AK367" i="15" s="1"/>
  <c r="AH367" i="15"/>
  <c r="AI367" i="15" s="1"/>
  <c r="AG279" i="15"/>
  <c r="AJ279" i="15"/>
  <c r="AK279" i="15" s="1"/>
  <c r="AH279" i="15"/>
  <c r="AI279" i="15" s="1"/>
  <c r="AG302" i="15"/>
  <c r="AJ302" i="15"/>
  <c r="AH302" i="15"/>
  <c r="AI302" i="15" s="1"/>
  <c r="AG362" i="15"/>
  <c r="AJ362" i="15"/>
  <c r="AK362" i="15" s="1"/>
  <c r="AH362" i="15"/>
  <c r="AI362" i="15" s="1"/>
  <c r="AG314" i="15"/>
  <c r="AJ314" i="15"/>
  <c r="AK314" i="15" s="1"/>
  <c r="AH314" i="15"/>
  <c r="AI314" i="15" s="1"/>
  <c r="AG320" i="15"/>
  <c r="AJ320" i="15"/>
  <c r="AK320" i="15" s="1"/>
  <c r="AH320" i="15"/>
  <c r="AI320" i="15" s="1"/>
  <c r="AG289" i="15"/>
  <c r="AJ289" i="15"/>
  <c r="AK289" i="15" s="1"/>
  <c r="AH289" i="15"/>
  <c r="AI289" i="15" s="1"/>
  <c r="AG337" i="15"/>
  <c r="AJ337" i="15"/>
  <c r="AH337" i="15"/>
  <c r="AI337" i="15" s="1"/>
  <c r="AG290" i="15"/>
  <c r="AJ290" i="15"/>
  <c r="AK290" i="15" s="1"/>
  <c r="AH290" i="15"/>
  <c r="AI290" i="15" s="1"/>
  <c r="AJ316" i="15"/>
  <c r="AK316" i="15" s="1"/>
  <c r="AH316" i="15"/>
  <c r="AI316" i="15" s="1"/>
  <c r="AG343" i="15"/>
  <c r="AJ343" i="15"/>
  <c r="AK343" i="15" s="1"/>
  <c r="AH343" i="15"/>
  <c r="AI343" i="15" s="1"/>
  <c r="AG338" i="15"/>
  <c r="AJ338" i="15"/>
  <c r="AK338" i="15" s="1"/>
  <c r="AH338" i="15"/>
  <c r="AI338" i="15" s="1"/>
  <c r="AG340" i="15"/>
  <c r="AJ340" i="15"/>
  <c r="AK340" i="15" s="1"/>
  <c r="AH340" i="15"/>
  <c r="AI340" i="15" s="1"/>
  <c r="AG369" i="15"/>
  <c r="AJ369" i="15"/>
  <c r="AK369" i="15" s="1"/>
  <c r="AH369" i="15"/>
  <c r="AI369" i="15" s="1"/>
  <c r="AG371" i="15"/>
  <c r="AJ371" i="15"/>
  <c r="AK371" i="15" s="1"/>
  <c r="AH371" i="15"/>
  <c r="AI371" i="15" s="1"/>
  <c r="AG342" i="15"/>
  <c r="AJ342" i="15"/>
  <c r="AK342" i="15" s="1"/>
  <c r="AH342" i="15"/>
  <c r="AI342" i="15" s="1"/>
  <c r="AG312" i="15"/>
  <c r="AJ312" i="15"/>
  <c r="AH312" i="15"/>
  <c r="AI312" i="15" s="1"/>
  <c r="AG345" i="15"/>
  <c r="AJ345" i="15"/>
  <c r="AK345" i="15" s="1"/>
  <c r="AH345" i="15"/>
  <c r="AI345" i="15" s="1"/>
  <c r="AG305" i="15"/>
  <c r="AJ305" i="15"/>
  <c r="AK305" i="15" s="1"/>
  <c r="AH305" i="15"/>
  <c r="AI305" i="15" s="1"/>
  <c r="AJ344" i="15"/>
  <c r="AK344" i="15" s="1"/>
  <c r="AH344" i="15"/>
  <c r="AI344" i="15" s="1"/>
  <c r="AG293" i="15"/>
  <c r="AJ293" i="15"/>
  <c r="AK293" i="15" s="1"/>
  <c r="AH293" i="15"/>
  <c r="AI293" i="15" s="1"/>
  <c r="AG304" i="15"/>
  <c r="AJ304" i="15"/>
  <c r="AK304" i="15" s="1"/>
  <c r="AH304" i="15"/>
  <c r="AI304" i="15" s="1"/>
  <c r="AG323" i="15"/>
  <c r="AJ323" i="15"/>
  <c r="AK323" i="15" s="1"/>
  <c r="AH323" i="15"/>
  <c r="AI323" i="15" s="1"/>
  <c r="AG322" i="15"/>
  <c r="AJ322" i="15"/>
  <c r="AK322" i="15" s="1"/>
  <c r="AH322" i="15"/>
  <c r="AI322" i="15" s="1"/>
  <c r="AG276" i="15"/>
  <c r="AJ276" i="15"/>
  <c r="AK276" i="15" s="1"/>
  <c r="AH276" i="15"/>
  <c r="AI276" i="15" s="1"/>
  <c r="AG351" i="15"/>
  <c r="AJ351" i="15"/>
  <c r="AK351" i="15" s="1"/>
  <c r="AH351" i="15"/>
  <c r="AI351" i="15" s="1"/>
  <c r="AG306" i="15"/>
  <c r="AJ306" i="15"/>
  <c r="AK306" i="15" s="1"/>
  <c r="AH306" i="15"/>
  <c r="AI306" i="15" s="1"/>
  <c r="AG364" i="15"/>
  <c r="AJ364" i="15"/>
  <c r="AK364" i="15" s="1"/>
  <c r="AH364" i="15"/>
  <c r="AI364" i="15" s="1"/>
  <c r="AG319" i="15"/>
  <c r="AJ319" i="15"/>
  <c r="AK319" i="15" s="1"/>
  <c r="AH319" i="15"/>
  <c r="AI319" i="15" s="1"/>
  <c r="AG370" i="15"/>
  <c r="AJ370" i="15"/>
  <c r="AK370" i="15" s="1"/>
  <c r="AH370" i="15"/>
  <c r="AI370" i="15" s="1"/>
  <c r="AG315" i="15"/>
  <c r="AJ315" i="15"/>
  <c r="AK315" i="15" s="1"/>
  <c r="AH315" i="15"/>
  <c r="AI315" i="15" s="1"/>
  <c r="AG372" i="15"/>
  <c r="AJ372" i="15"/>
  <c r="AK372" i="15" s="1"/>
  <c r="AH372" i="15"/>
  <c r="AI372" i="15" s="1"/>
  <c r="AG366" i="15"/>
  <c r="AJ366" i="15"/>
  <c r="AK366" i="15" s="1"/>
  <c r="AH366" i="15"/>
  <c r="AI366" i="15" s="1"/>
  <c r="AG296" i="15"/>
  <c r="AJ296" i="15"/>
  <c r="AK296" i="15" s="1"/>
  <c r="AH296" i="15"/>
  <c r="AI296" i="15" s="1"/>
  <c r="AG282" i="15"/>
  <c r="AH282" i="15"/>
  <c r="AI282" i="15" s="1"/>
  <c r="AJ282" i="15"/>
  <c r="AK282" i="15" s="1"/>
  <c r="AG303" i="15"/>
  <c r="AJ303" i="15"/>
  <c r="AK303" i="15" s="1"/>
  <c r="AH303" i="15"/>
  <c r="AI303" i="15" s="1"/>
  <c r="AG361" i="15"/>
  <c r="AJ361" i="15"/>
  <c r="AK361" i="15" s="1"/>
  <c r="AH361" i="15"/>
  <c r="AI361" i="15" s="1"/>
  <c r="AG277" i="15"/>
  <c r="AJ277" i="15"/>
  <c r="AK277" i="15" s="1"/>
  <c r="AH277" i="15"/>
  <c r="AI277" i="15" s="1"/>
  <c r="AG363" i="15"/>
  <c r="AJ363" i="15"/>
  <c r="AK363" i="15" s="1"/>
  <c r="AH363" i="15"/>
  <c r="AI363" i="15" s="1"/>
  <c r="AG359" i="15"/>
  <c r="AJ359" i="15"/>
  <c r="AH359" i="15"/>
  <c r="AI359" i="15" s="1"/>
  <c r="AG295" i="15"/>
  <c r="AH295" i="15"/>
  <c r="AI295" i="15" s="1"/>
  <c r="AJ295" i="15"/>
  <c r="AK295" i="15" s="1"/>
  <c r="AG368" i="15"/>
  <c r="AH368" i="15"/>
  <c r="AI368" i="15" s="1"/>
  <c r="AJ368" i="15"/>
  <c r="AK368" i="15" s="1"/>
  <c r="AG294" i="15"/>
  <c r="AJ294" i="15"/>
  <c r="AK294" i="15" s="1"/>
  <c r="AH294" i="15"/>
  <c r="AI294" i="15" s="1"/>
  <c r="AG281" i="15"/>
  <c r="AJ281" i="15"/>
  <c r="AK281" i="15" s="1"/>
  <c r="AH281" i="15"/>
  <c r="AI281" i="15" s="1"/>
  <c r="E292" i="15"/>
  <c r="AA292" i="15" s="1"/>
  <c r="AG292" i="15"/>
  <c r="G317" i="15"/>
  <c r="H317" i="15" s="1"/>
  <c r="AG317" i="15"/>
  <c r="G316" i="15"/>
  <c r="H316" i="15" s="1"/>
  <c r="AG316" i="15"/>
  <c r="G344" i="15"/>
  <c r="H344" i="15" s="1"/>
  <c r="AG344" i="15"/>
  <c r="G365" i="15"/>
  <c r="H365" i="15" s="1"/>
  <c r="AG365" i="15"/>
  <c r="I365" i="15"/>
  <c r="J365" i="15" s="1"/>
  <c r="I316" i="15"/>
  <c r="J316" i="15" s="1"/>
  <c r="BC270" i="9"/>
  <c r="BF144" i="9"/>
  <c r="BG144" i="9" s="1"/>
  <c r="BD144" i="9" s="1"/>
  <c r="BF141" i="9"/>
  <c r="BG141" i="9" s="1"/>
  <c r="BD141" i="9" s="1"/>
  <c r="BC262" i="9"/>
  <c r="BF202" i="9"/>
  <c r="BG202" i="9" s="1"/>
  <c r="BD202" i="9" s="1"/>
  <c r="BH202" i="9"/>
  <c r="BE202" i="9" s="1"/>
  <c r="BD260" i="9"/>
  <c r="BF298" i="9"/>
  <c r="BG298" i="9" s="1"/>
  <c r="BD298" i="9" s="1"/>
  <c r="BF150" i="9"/>
  <c r="BG150" i="9" s="1"/>
  <c r="BD150" i="9" s="1"/>
  <c r="BD158" i="9"/>
  <c r="BD194" i="9"/>
  <c r="BD208" i="9"/>
  <c r="BF258" i="9"/>
  <c r="BG258" i="9" s="1"/>
  <c r="BD258" i="9" s="1"/>
  <c r="BF277" i="9"/>
  <c r="BG277" i="9" s="1"/>
  <c r="BD277" i="9" s="1"/>
  <c r="BD206" i="9"/>
  <c r="BF187" i="9"/>
  <c r="BG187" i="9" s="1"/>
  <c r="BD187" i="9" s="1"/>
  <c r="BD282" i="9"/>
  <c r="BD156" i="9"/>
  <c r="BD160" i="9"/>
  <c r="BF142" i="9"/>
  <c r="BG142" i="9" s="1"/>
  <c r="BD142" i="9" s="1"/>
  <c r="BD261" i="9"/>
  <c r="BF318" i="9"/>
  <c r="BG318" i="9" s="1"/>
  <c r="BD318" i="9" s="1"/>
  <c r="BF197" i="9"/>
  <c r="BG197" i="9" s="1"/>
  <c r="BD197" i="9" s="1"/>
  <c r="BF286" i="9"/>
  <c r="BG286" i="9" s="1"/>
  <c r="BD286" i="9" s="1"/>
  <c r="BF319" i="9"/>
  <c r="BG319" i="9" s="1"/>
  <c r="BD319" i="9" s="1"/>
  <c r="BF323" i="9"/>
  <c r="BG323" i="9" s="1"/>
  <c r="BD323" i="9" s="1"/>
  <c r="BF146" i="9"/>
  <c r="BG146" i="9" s="1"/>
  <c r="BD146" i="9" s="1"/>
  <c r="BF198" i="9"/>
  <c r="BG198" i="9" s="1"/>
  <c r="BD198" i="9" s="1"/>
  <c r="BF166" i="9"/>
  <c r="BG166" i="9" s="1"/>
  <c r="BD166" i="9" s="1"/>
  <c r="BF302" i="9"/>
  <c r="BG302" i="9" s="1"/>
  <c r="BD302" i="9" s="1"/>
  <c r="BD167" i="9"/>
  <c r="BD211" i="9"/>
  <c r="BD278" i="9"/>
  <c r="BD281" i="9"/>
  <c r="BD285" i="9"/>
  <c r="BD268" i="9"/>
  <c r="BD272" i="9"/>
  <c r="BD328" i="9"/>
  <c r="BF228" i="9"/>
  <c r="BG228" i="9" s="1"/>
  <c r="BD228" i="9" s="1"/>
  <c r="BF269" i="9"/>
  <c r="BG269" i="9" s="1"/>
  <c r="BD269" i="9" s="1"/>
  <c r="BF250" i="9"/>
  <c r="BG250" i="9" s="1"/>
  <c r="BD250" i="9" s="1"/>
  <c r="BF254" i="9"/>
  <c r="BG254" i="9" s="1"/>
  <c r="BD254" i="9" s="1"/>
  <c r="BF257" i="9"/>
  <c r="BG257" i="9" s="1"/>
  <c r="BD257" i="9" s="1"/>
  <c r="BD170" i="9"/>
  <c r="BD316" i="9"/>
  <c r="BD321" i="9"/>
  <c r="BD193" i="9"/>
  <c r="BF325" i="9"/>
  <c r="BG325" i="9" s="1"/>
  <c r="BD325" i="9" s="1"/>
  <c r="BF185" i="9"/>
  <c r="BG185" i="9" s="1"/>
  <c r="BD185" i="9" s="1"/>
  <c r="BF204" i="9"/>
  <c r="BG204" i="9" s="1"/>
  <c r="BD204" i="9" s="1"/>
  <c r="BF280" i="9"/>
  <c r="BG280" i="9" s="1"/>
  <c r="BD280" i="9" s="1"/>
  <c r="BF284" i="9"/>
  <c r="BG284" i="9" s="1"/>
  <c r="BD284" i="9" s="1"/>
  <c r="BF299" i="9"/>
  <c r="BG299" i="9" s="1"/>
  <c r="BD299" i="9" s="1"/>
  <c r="BF148" i="9"/>
  <c r="BG148" i="9" s="1"/>
  <c r="BD148" i="9" s="1"/>
  <c r="BF203" i="9"/>
  <c r="BG203" i="9" s="1"/>
  <c r="BD203" i="9" s="1"/>
  <c r="BF255" i="9"/>
  <c r="BG255" i="9" s="1"/>
  <c r="BD255" i="9" s="1"/>
  <c r="BF332" i="9"/>
  <c r="BG332" i="9" s="1"/>
  <c r="BD332" i="9" s="1"/>
  <c r="BF274" i="9"/>
  <c r="BG274" i="9" s="1"/>
  <c r="BD274" i="9" s="1"/>
  <c r="BD151" i="9"/>
  <c r="BD165" i="9"/>
  <c r="BD157" i="9"/>
  <c r="BD163" i="9"/>
  <c r="BF210" i="9"/>
  <c r="BG210" i="9" s="1"/>
  <c r="BD210" i="9" s="1"/>
  <c r="BF205" i="9"/>
  <c r="BG205" i="9" s="1"/>
  <c r="BD205" i="9" s="1"/>
  <c r="BF159" i="9"/>
  <c r="BG159" i="9" s="1"/>
  <c r="BD159" i="9" s="1"/>
  <c r="BF199" i="9"/>
  <c r="BG199" i="9" s="1"/>
  <c r="BD199" i="9" s="1"/>
  <c r="BF271" i="9"/>
  <c r="BG271" i="9" s="1"/>
  <c r="BD271" i="9" s="1"/>
  <c r="BF266" i="9"/>
  <c r="BG266" i="9" s="1"/>
  <c r="BD266" i="9" s="1"/>
  <c r="BD145" i="9"/>
  <c r="BD240" i="9"/>
  <c r="BD155" i="9"/>
  <c r="BF196" i="9"/>
  <c r="BG196" i="9" s="1"/>
  <c r="BD196" i="9" s="1"/>
  <c r="BF189" i="9"/>
  <c r="BG189" i="9" s="1"/>
  <c r="BD189" i="9" s="1"/>
  <c r="BF234" i="9"/>
  <c r="BG234" i="9" s="1"/>
  <c r="BD234" i="9" s="1"/>
  <c r="BF192" i="9"/>
  <c r="BG192" i="9" s="1"/>
  <c r="BD192" i="9" s="1"/>
  <c r="BF326" i="9"/>
  <c r="BG326" i="9" s="1"/>
  <c r="BD326" i="9" s="1"/>
  <c r="BF330" i="9"/>
  <c r="BG330" i="9" s="1"/>
  <c r="BD330" i="9" s="1"/>
  <c r="BD149" i="9"/>
  <c r="BD209" i="9"/>
  <c r="BD143" i="9"/>
  <c r="BD147" i="9"/>
  <c r="BD263" i="9"/>
  <c r="BD168" i="9"/>
  <c r="BD227" i="9"/>
  <c r="BD229" i="9"/>
  <c r="BD230" i="9"/>
  <c r="BD233" i="9"/>
  <c r="BF161" i="9"/>
  <c r="BG161" i="9" s="1"/>
  <c r="BD161" i="9" s="1"/>
  <c r="BF217" i="9"/>
  <c r="BG217" i="9" s="1"/>
  <c r="BD217" i="9" s="1"/>
  <c r="BH138" i="9"/>
  <c r="BE138" i="9" s="1"/>
  <c r="BF275" i="9"/>
  <c r="BG275" i="9" s="1"/>
  <c r="BD275" i="9" s="1"/>
  <c r="BF152" i="9"/>
  <c r="BG152" i="9" s="1"/>
  <c r="BD152" i="9" s="1"/>
  <c r="BF207" i="9"/>
  <c r="BG207" i="9" s="1"/>
  <c r="BD207" i="9" s="1"/>
  <c r="BF264" i="9"/>
  <c r="BG264" i="9" s="1"/>
  <c r="BD264" i="9" s="1"/>
  <c r="BF252" i="9"/>
  <c r="BG252" i="9" s="1"/>
  <c r="BD252" i="9" s="1"/>
  <c r="BC215" i="9"/>
  <c r="BC216" i="9"/>
  <c r="BC265" i="9"/>
  <c r="BC320" i="9"/>
  <c r="BC145" i="9"/>
  <c r="BC308" i="9"/>
  <c r="BC156" i="9"/>
  <c r="BC328" i="9"/>
  <c r="BC218" i="9"/>
  <c r="BC229" i="9"/>
  <c r="BC321" i="9"/>
  <c r="BC241" i="9"/>
  <c r="BC211" i="9"/>
  <c r="BC227" i="9"/>
  <c r="BC309" i="9"/>
  <c r="BC167" i="9"/>
  <c r="BC213" i="9"/>
  <c r="BC233" i="9"/>
  <c r="BC206" i="9"/>
  <c r="BC303" i="9"/>
  <c r="BC278" i="9"/>
  <c r="BC248" i="9"/>
  <c r="BC316" i="9"/>
  <c r="BC249" i="9"/>
  <c r="BC261" i="9"/>
  <c r="BC212" i="9"/>
  <c r="BC245" i="9"/>
  <c r="BC240" i="9"/>
  <c r="BC244" i="9"/>
  <c r="BC346" i="9"/>
  <c r="BC197" i="9"/>
  <c r="BC194" i="9"/>
  <c r="BC311" i="9"/>
  <c r="BC170" i="9"/>
  <c r="BC147" i="9"/>
  <c r="BC337" i="9"/>
  <c r="BC282" i="9"/>
  <c r="BC157" i="9"/>
  <c r="BC327" i="9"/>
  <c r="BC165" i="9"/>
  <c r="BC281" i="9"/>
  <c r="BC296" i="9"/>
  <c r="BC158" i="9"/>
  <c r="BC151" i="9"/>
  <c r="BC163" i="9"/>
  <c r="BC209" i="9"/>
  <c r="BC243" i="9"/>
  <c r="BC343" i="9"/>
  <c r="BC230" i="9"/>
  <c r="BC260" i="9"/>
  <c r="BC317" i="9"/>
  <c r="BC162" i="9"/>
  <c r="BC155" i="9"/>
  <c r="BC160" i="9"/>
  <c r="BC143" i="9"/>
  <c r="BC168" i="9"/>
  <c r="BC340" i="9"/>
  <c r="BC208" i="9"/>
  <c r="BC331" i="9"/>
  <c r="BC324" i="9"/>
  <c r="BC149" i="9"/>
  <c r="BC333" i="9"/>
  <c r="BC214" i="9"/>
  <c r="BC285" i="9"/>
  <c r="BC272" i="9"/>
  <c r="BC334" i="9"/>
  <c r="BC263" i="9"/>
  <c r="BC268" i="9"/>
  <c r="BC193" i="9"/>
  <c r="BC242" i="9"/>
  <c r="BC297" i="9"/>
  <c r="BC294" i="9"/>
  <c r="BC295" i="9"/>
  <c r="AZ10" i="15" l="1"/>
  <c r="AI307" i="15"/>
  <c r="AX27" i="15" s="1"/>
  <c r="AI352" i="15"/>
  <c r="AX30" i="15" s="1"/>
  <c r="AJ307" i="15"/>
  <c r="AV27" i="15" s="1"/>
  <c r="AK302" i="15"/>
  <c r="AK307" i="15" s="1"/>
  <c r="AY27" i="15" s="1"/>
  <c r="AI297" i="15"/>
  <c r="AX26" i="15" s="1"/>
  <c r="AK337" i="15"/>
  <c r="AK352" i="15" s="1"/>
  <c r="AY30" i="15" s="1"/>
  <c r="AJ352" i="15"/>
  <c r="AV30" i="15" s="1"/>
  <c r="AJ297" i="15"/>
  <c r="AV26" i="15" s="1"/>
  <c r="AK288" i="15"/>
  <c r="AK297" i="15" s="1"/>
  <c r="AY26" i="15" s="1"/>
  <c r="AI373" i="15"/>
  <c r="AX31" i="15" s="1"/>
  <c r="AK359" i="15"/>
  <c r="AK373" i="15" s="1"/>
  <c r="AY31" i="15" s="1"/>
  <c r="AJ373" i="15"/>
  <c r="AV31" i="15" s="1"/>
  <c r="AI283" i="15"/>
  <c r="AX25" i="15" s="1"/>
  <c r="AK275" i="15"/>
  <c r="AJ283" i="15"/>
  <c r="AV25" i="15" s="1"/>
  <c r="AI324" i="15"/>
  <c r="AX28" i="15" s="1"/>
  <c r="AJ324" i="15"/>
  <c r="AV28" i="15" s="1"/>
  <c r="AK312" i="15"/>
  <c r="AK324" i="15" s="1"/>
  <c r="AY28" i="15" s="1"/>
  <c r="AH307" i="15"/>
  <c r="AU27" i="15" s="1"/>
  <c r="AH352" i="15"/>
  <c r="AU30" i="15" s="1"/>
  <c r="AH297" i="15"/>
  <c r="AU26" i="15" s="1"/>
  <c r="AH373" i="15"/>
  <c r="AU31" i="15" s="1"/>
  <c r="AH283" i="15"/>
  <c r="AU25" i="15" s="1"/>
  <c r="AH324" i="15"/>
  <c r="AU28" i="15" s="1"/>
  <c r="G292" i="15"/>
  <c r="H292" i="15" s="1"/>
  <c r="I292" i="15"/>
  <c r="J292" i="15" s="1"/>
  <c r="BC144" i="9"/>
  <c r="BC319" i="9"/>
  <c r="BC318" i="9"/>
  <c r="BC141" i="9"/>
  <c r="BC286" i="9"/>
  <c r="BC142" i="9"/>
  <c r="BC148" i="9"/>
  <c r="BC269" i="9"/>
  <c r="BC254" i="9"/>
  <c r="BC284" i="9"/>
  <c r="BC274" i="9"/>
  <c r="BC150" i="9"/>
  <c r="BC323" i="9"/>
  <c r="BC234" i="9"/>
  <c r="BC258" i="9"/>
  <c r="BC146" i="9"/>
  <c r="BC277" i="9"/>
  <c r="BC204" i="9"/>
  <c r="BC203" i="9"/>
  <c r="BC189" i="9"/>
  <c r="BC250" i="9"/>
  <c r="BC298" i="9"/>
  <c r="BC166" i="9"/>
  <c r="BC228" i="9"/>
  <c r="BC205" i="9"/>
  <c r="BC210" i="9"/>
  <c r="BC325" i="9"/>
  <c r="BC187" i="9"/>
  <c r="BC207" i="9"/>
  <c r="BC264" i="9"/>
  <c r="BC192" i="9"/>
  <c r="BC199" i="9"/>
  <c r="BC280" i="9"/>
  <c r="BC330" i="9"/>
  <c r="BC266" i="9"/>
  <c r="BC196" i="9"/>
  <c r="BC326" i="9"/>
  <c r="BC198" i="9"/>
  <c r="BC252" i="9"/>
  <c r="BC159" i="9"/>
  <c r="BC217" i="9"/>
  <c r="BC302" i="9"/>
  <c r="BC255" i="9"/>
  <c r="BC275" i="9"/>
  <c r="BC152" i="9"/>
  <c r="BC299" i="9"/>
  <c r="BC271" i="9"/>
  <c r="BC257" i="9"/>
  <c r="BC332" i="9"/>
  <c r="BC161" i="9"/>
  <c r="BC185" i="9"/>
  <c r="BC246" i="9"/>
  <c r="BC301" i="9"/>
  <c r="BC154" i="9"/>
  <c r="BC231" i="9"/>
  <c r="BC247" i="9"/>
  <c r="BC153" i="9"/>
  <c r="BC200" i="9"/>
  <c r="BC202" i="9"/>
  <c r="BC201" i="9"/>
  <c r="BC232" i="9"/>
  <c r="BC300" i="9"/>
  <c r="AW26" i="15" l="1"/>
  <c r="AW31" i="15"/>
  <c r="AW28" i="15"/>
  <c r="AW30" i="15"/>
  <c r="AW27" i="15"/>
  <c r="AZ26" i="15"/>
  <c r="AX8" i="15"/>
  <c r="AZ31" i="15"/>
  <c r="AW25" i="15"/>
  <c r="AU8" i="15"/>
  <c r="AV8" i="15"/>
  <c r="AZ30" i="15"/>
  <c r="AZ28" i="15"/>
  <c r="AZ27" i="15"/>
  <c r="AK283" i="15"/>
  <c r="AY25" i="15" s="1"/>
  <c r="BC310" i="9"/>
  <c r="AT139" i="9"/>
  <c r="AT140" i="9"/>
  <c r="AU139" i="9"/>
  <c r="AU140" i="9"/>
  <c r="AV138" i="9"/>
  <c r="AV139" i="9"/>
  <c r="AV140" i="9"/>
  <c r="AW138" i="9"/>
  <c r="AW139" i="9"/>
  <c r="AW140" i="9"/>
  <c r="AX138" i="9"/>
  <c r="AX139" i="9"/>
  <c r="AX140" i="9"/>
  <c r="Y138" i="9"/>
  <c r="AY138" i="9" s="1"/>
  <c r="Y139" i="9"/>
  <c r="AY139" i="9" s="1"/>
  <c r="Y140" i="9"/>
  <c r="AY140" i="9" s="1"/>
  <c r="AA138" i="9"/>
  <c r="AA139" i="9"/>
  <c r="AA140" i="9"/>
  <c r="AC138" i="9"/>
  <c r="AZ138" i="9" s="1"/>
  <c r="AC139" i="9"/>
  <c r="AZ139" i="9" s="1"/>
  <c r="AC140" i="9"/>
  <c r="AZ140" i="9" s="1"/>
  <c r="AE138" i="9"/>
  <c r="BA138" i="9" s="1"/>
  <c r="AE139" i="9"/>
  <c r="BA139" i="9" s="1"/>
  <c r="AE140" i="9"/>
  <c r="BA140" i="9" s="1"/>
  <c r="AS135" i="9"/>
  <c r="BB135" i="9" s="1"/>
  <c r="AE135" i="9"/>
  <c r="BA135" i="9" s="1"/>
  <c r="AC135" i="9"/>
  <c r="AZ135" i="9" s="1"/>
  <c r="AA135" i="9"/>
  <c r="Y135" i="9"/>
  <c r="AY135" i="9" s="1"/>
  <c r="AX135" i="9"/>
  <c r="AW135" i="9"/>
  <c r="AV135" i="9"/>
  <c r="AU135" i="9"/>
  <c r="AT135" i="9"/>
  <c r="AS134" i="9"/>
  <c r="BB134" i="9" s="1"/>
  <c r="AE134" i="9"/>
  <c r="BA134" i="9" s="1"/>
  <c r="AC134" i="9"/>
  <c r="AZ134" i="9" s="1"/>
  <c r="AA134" i="9"/>
  <c r="Y134" i="9"/>
  <c r="AY134" i="9" s="1"/>
  <c r="AX134" i="9"/>
  <c r="AW134" i="9"/>
  <c r="AV134" i="9"/>
  <c r="AU134" i="9"/>
  <c r="AT134" i="9"/>
  <c r="AS133" i="9"/>
  <c r="BB133" i="9" s="1"/>
  <c r="AE133" i="9"/>
  <c r="BA133" i="9" s="1"/>
  <c r="AC133" i="9"/>
  <c r="AZ133" i="9" s="1"/>
  <c r="AA133" i="9"/>
  <c r="Y133" i="9"/>
  <c r="AY133" i="9" s="1"/>
  <c r="AX133" i="9"/>
  <c r="AW133" i="9"/>
  <c r="AV133" i="9"/>
  <c r="AU133" i="9"/>
  <c r="AT133" i="9"/>
  <c r="AS132" i="9"/>
  <c r="BB132" i="9" s="1"/>
  <c r="AE132" i="9"/>
  <c r="BA132" i="9" s="1"/>
  <c r="AC132" i="9"/>
  <c r="AZ132" i="9" s="1"/>
  <c r="AA132" i="9"/>
  <c r="Y132" i="9"/>
  <c r="AY132" i="9" s="1"/>
  <c r="AX132" i="9"/>
  <c r="AW132" i="9"/>
  <c r="AV132" i="9"/>
  <c r="AU132" i="9"/>
  <c r="AT132" i="9"/>
  <c r="AS131" i="9"/>
  <c r="BB131" i="9" s="1"/>
  <c r="AE131" i="9"/>
  <c r="BA131" i="9" s="1"/>
  <c r="AC131" i="9"/>
  <c r="AZ131" i="9" s="1"/>
  <c r="AA131" i="9"/>
  <c r="Y131" i="9"/>
  <c r="AY131" i="9" s="1"/>
  <c r="AX131" i="9"/>
  <c r="AW131" i="9"/>
  <c r="AV131" i="9"/>
  <c r="P131" i="9"/>
  <c r="AT131" i="9"/>
  <c r="AV127" i="9"/>
  <c r="P127" i="9"/>
  <c r="AT127" i="9"/>
  <c r="AS127" i="9"/>
  <c r="BB127" i="9" s="1"/>
  <c r="AE127" i="9"/>
  <c r="BA127" i="9" s="1"/>
  <c r="AC127" i="9"/>
  <c r="AZ127" i="9" s="1"/>
  <c r="AA127" i="9"/>
  <c r="Y127" i="9"/>
  <c r="AY127" i="9" s="1"/>
  <c r="AX127" i="9"/>
  <c r="AW127" i="9"/>
  <c r="AS126" i="9"/>
  <c r="BB126" i="9" s="1"/>
  <c r="AE126" i="9"/>
  <c r="BA126" i="9" s="1"/>
  <c r="AC126" i="9"/>
  <c r="AZ126" i="9" s="1"/>
  <c r="AA126" i="9"/>
  <c r="Y126" i="9"/>
  <c r="AY126" i="9" s="1"/>
  <c r="AX126" i="9"/>
  <c r="AW126" i="9"/>
  <c r="AV126" i="9"/>
  <c r="AU126" i="9"/>
  <c r="AT126" i="9"/>
  <c r="AS125" i="9"/>
  <c r="BB125" i="9" s="1"/>
  <c r="AE125" i="9"/>
  <c r="BA125" i="9" s="1"/>
  <c r="AC125" i="9"/>
  <c r="AZ125" i="9" s="1"/>
  <c r="AA125" i="9"/>
  <c r="Y125" i="9"/>
  <c r="AY125" i="9" s="1"/>
  <c r="AX125" i="9"/>
  <c r="AW125" i="9"/>
  <c r="AV125" i="9"/>
  <c r="AU125" i="9"/>
  <c r="AT125" i="9"/>
  <c r="AS124" i="9"/>
  <c r="BB124" i="9" s="1"/>
  <c r="AE124" i="9"/>
  <c r="BA124" i="9" s="1"/>
  <c r="AC124" i="9"/>
  <c r="AZ124" i="9" s="1"/>
  <c r="AA124" i="9"/>
  <c r="Y124" i="9"/>
  <c r="AY124" i="9" s="1"/>
  <c r="AX124" i="9"/>
  <c r="AW124" i="9"/>
  <c r="AV124" i="9"/>
  <c r="AU124" i="9"/>
  <c r="AT124" i="9"/>
  <c r="AS123" i="9"/>
  <c r="BB123" i="9" s="1"/>
  <c r="AE123" i="9"/>
  <c r="BA123" i="9" s="1"/>
  <c r="AC123" i="9"/>
  <c r="AZ123" i="9" s="1"/>
  <c r="AA123" i="9"/>
  <c r="Y123" i="9"/>
  <c r="AY123" i="9" s="1"/>
  <c r="AX123" i="9"/>
  <c r="AW123" i="9"/>
  <c r="AV123" i="9"/>
  <c r="AU123" i="9"/>
  <c r="AT123" i="9"/>
  <c r="AS121" i="9"/>
  <c r="BB121" i="9" s="1"/>
  <c r="AE121" i="9"/>
  <c r="BA121" i="9" s="1"/>
  <c r="AC121" i="9"/>
  <c r="AZ121" i="9" s="1"/>
  <c r="AA121" i="9"/>
  <c r="Y121" i="9"/>
  <c r="AY121" i="9" s="1"/>
  <c r="AX121" i="9"/>
  <c r="AW121" i="9"/>
  <c r="AV121" i="9"/>
  <c r="AU121" i="9"/>
  <c r="AT121" i="9"/>
  <c r="AV114" i="9"/>
  <c r="AV115" i="9"/>
  <c r="AV116" i="9"/>
  <c r="AV117" i="9"/>
  <c r="AV118" i="9"/>
  <c r="AV122" i="9"/>
  <c r="AV130" i="9"/>
  <c r="AV137" i="9"/>
  <c r="AV184" i="9"/>
  <c r="AV226" i="9"/>
  <c r="AV239" i="9"/>
  <c r="AV136" i="9"/>
  <c r="AV164" i="9"/>
  <c r="AV169" i="9"/>
  <c r="AV186" i="9"/>
  <c r="AV188" i="9"/>
  <c r="AV190" i="9"/>
  <c r="AV191" i="9"/>
  <c r="AV195" i="9"/>
  <c r="AV110" i="9"/>
  <c r="AU110" i="9"/>
  <c r="AT110" i="9"/>
  <c r="AS107" i="9"/>
  <c r="BB107" i="9" s="1"/>
  <c r="AE107" i="9"/>
  <c r="BA107" i="9" s="1"/>
  <c r="AC107" i="9"/>
  <c r="AZ107" i="9" s="1"/>
  <c r="AA107" i="9"/>
  <c r="Y107" i="9"/>
  <c r="AY107" i="9" s="1"/>
  <c r="AX107" i="9"/>
  <c r="AW107" i="9"/>
  <c r="AV107" i="9"/>
  <c r="AU107" i="9"/>
  <c r="AT107" i="9"/>
  <c r="AV105" i="9"/>
  <c r="AU105" i="9"/>
  <c r="AT105" i="9"/>
  <c r="AV98" i="9"/>
  <c r="P98" i="9"/>
  <c r="AT98" i="9"/>
  <c r="AS99" i="9"/>
  <c r="BB99" i="9" s="1"/>
  <c r="AE99" i="9"/>
  <c r="BA99" i="9" s="1"/>
  <c r="AC99" i="9"/>
  <c r="AZ99" i="9" s="1"/>
  <c r="AA99" i="9"/>
  <c r="Y99" i="9"/>
  <c r="AY99" i="9" s="1"/>
  <c r="AX99" i="9"/>
  <c r="AW99" i="9"/>
  <c r="AV99" i="9"/>
  <c r="AU99" i="9"/>
  <c r="AT99" i="9"/>
  <c r="AS97" i="9"/>
  <c r="BB97" i="9" s="1"/>
  <c r="AE97" i="9"/>
  <c r="BA97" i="9" s="1"/>
  <c r="AC97" i="9"/>
  <c r="AZ97" i="9" s="1"/>
  <c r="AA97" i="9"/>
  <c r="Y97" i="9"/>
  <c r="AY97" i="9" s="1"/>
  <c r="AX97" i="9"/>
  <c r="AW97" i="9"/>
  <c r="AV97" i="9"/>
  <c r="AU97" i="9"/>
  <c r="AT97" i="9"/>
  <c r="AS95" i="9"/>
  <c r="BB95" i="9" s="1"/>
  <c r="AE95" i="9"/>
  <c r="BA95" i="9" s="1"/>
  <c r="AC95" i="9"/>
  <c r="AZ95" i="9" s="1"/>
  <c r="AA95" i="9"/>
  <c r="Y95" i="9"/>
  <c r="AY95" i="9" s="1"/>
  <c r="AX95" i="9"/>
  <c r="AW95" i="9"/>
  <c r="AV95" i="9"/>
  <c r="AU95" i="9"/>
  <c r="AT95" i="9"/>
  <c r="AV94" i="9"/>
  <c r="P94" i="9"/>
  <c r="AS94" i="9"/>
  <c r="BB94" i="9" s="1"/>
  <c r="AE94" i="9"/>
  <c r="BA94" i="9" s="1"/>
  <c r="AC94" i="9"/>
  <c r="AZ94" i="9" s="1"/>
  <c r="AA94" i="9"/>
  <c r="Y94" i="9"/>
  <c r="AY94" i="9" s="1"/>
  <c r="AX94" i="9"/>
  <c r="AW94" i="9"/>
  <c r="AT94" i="9"/>
  <c r="AS93" i="9"/>
  <c r="BB93" i="9" s="1"/>
  <c r="AE93" i="9"/>
  <c r="BA93" i="9" s="1"/>
  <c r="AC93" i="9"/>
  <c r="AZ93" i="9" s="1"/>
  <c r="AA93" i="9"/>
  <c r="Y93" i="9"/>
  <c r="AY93" i="9" s="1"/>
  <c r="AX93" i="9"/>
  <c r="AW93" i="9"/>
  <c r="AV93" i="9"/>
  <c r="P93" i="9"/>
  <c r="AT93" i="9"/>
  <c r="P91" i="9"/>
  <c r="AS89" i="9"/>
  <c r="BB89" i="9" s="1"/>
  <c r="AE89" i="9"/>
  <c r="BA89" i="9" s="1"/>
  <c r="AC89" i="9"/>
  <c r="AZ89" i="9" s="1"/>
  <c r="AA89" i="9"/>
  <c r="Y89" i="9"/>
  <c r="AY89" i="9" s="1"/>
  <c r="AX89" i="9"/>
  <c r="AW89" i="9"/>
  <c r="AV89" i="9"/>
  <c r="AU89" i="9"/>
  <c r="AT89" i="9"/>
  <c r="AZ25" i="15" l="1"/>
  <c r="AY8" i="15"/>
  <c r="AZ8" i="15" s="1"/>
  <c r="AW8" i="15"/>
  <c r="BH93" i="9"/>
  <c r="BE93" i="9" s="1"/>
  <c r="Q93" i="9"/>
  <c r="AU93" i="9" s="1"/>
  <c r="BH94" i="9"/>
  <c r="BE94" i="9" s="1"/>
  <c r="Q94" i="9"/>
  <c r="AU94" i="9" s="1"/>
  <c r="BH127" i="9"/>
  <c r="BE127" i="9" s="1"/>
  <c r="Q127" i="9"/>
  <c r="AU127" i="9" s="1"/>
  <c r="BH98" i="9"/>
  <c r="BE98" i="9" s="1"/>
  <c r="Q98" i="9"/>
  <c r="AU98" i="9" s="1"/>
  <c r="BH131" i="9"/>
  <c r="BE131" i="9" s="1"/>
  <c r="Q131" i="9"/>
  <c r="AU131" i="9" s="1"/>
  <c r="BH91" i="9"/>
  <c r="BE91" i="9" s="1"/>
  <c r="Q91" i="9"/>
  <c r="BF89" i="9"/>
  <c r="BG89" i="9" s="1"/>
  <c r="BD89" i="9" s="1"/>
  <c r="BF95" i="9"/>
  <c r="BG95" i="9" s="1"/>
  <c r="BF123" i="9"/>
  <c r="BG123" i="9" s="1"/>
  <c r="BD123" i="9" s="1"/>
  <c r="BF134" i="9"/>
  <c r="BG134" i="9" s="1"/>
  <c r="BF99" i="9"/>
  <c r="BG99" i="9" s="1"/>
  <c r="BD99" i="9" s="1"/>
  <c r="BF107" i="9"/>
  <c r="BG107" i="9" s="1"/>
  <c r="BD107" i="9" s="1"/>
  <c r="BF126" i="9"/>
  <c r="BG126" i="9" s="1"/>
  <c r="BD126" i="9" s="1"/>
  <c r="BF125" i="9"/>
  <c r="BG125" i="9" s="1"/>
  <c r="BD125" i="9" s="1"/>
  <c r="BF121" i="9"/>
  <c r="BG121" i="9" s="1"/>
  <c r="BD121" i="9" s="1"/>
  <c r="BF133" i="9"/>
  <c r="BG133" i="9" s="1"/>
  <c r="BD133" i="9" s="1"/>
  <c r="BF97" i="9"/>
  <c r="BG97" i="9" s="1"/>
  <c r="BD97" i="9" s="1"/>
  <c r="BF138" i="9"/>
  <c r="BG138" i="9" s="1"/>
  <c r="BD138" i="9" s="1"/>
  <c r="BF124" i="9"/>
  <c r="BG124" i="9" s="1"/>
  <c r="BD124" i="9" s="1"/>
  <c r="BF135" i="9"/>
  <c r="BG135" i="9" s="1"/>
  <c r="BD135" i="9" s="1"/>
  <c r="BF140" i="9"/>
  <c r="BG140" i="9" s="1"/>
  <c r="BD140" i="9" s="1"/>
  <c r="BF132" i="9"/>
  <c r="BG132" i="9" s="1"/>
  <c r="BD132" i="9" s="1"/>
  <c r="BF139" i="9"/>
  <c r="BG139" i="9" s="1"/>
  <c r="BD139" i="9" s="1"/>
  <c r="AS88" i="9"/>
  <c r="BB88" i="9" s="1"/>
  <c r="AE88" i="9"/>
  <c r="BA88" i="9" s="1"/>
  <c r="AC88" i="9"/>
  <c r="AZ88" i="9" s="1"/>
  <c r="AA88" i="9"/>
  <c r="Y88" i="9"/>
  <c r="AY88" i="9" s="1"/>
  <c r="AX88" i="9"/>
  <c r="AW88" i="9"/>
  <c r="AV88" i="9"/>
  <c r="AU88" i="9"/>
  <c r="AT88" i="9"/>
  <c r="AS79" i="9"/>
  <c r="BB79" i="9" s="1"/>
  <c r="AE79" i="9"/>
  <c r="BA79" i="9" s="1"/>
  <c r="AC79" i="9"/>
  <c r="AZ79" i="9" s="1"/>
  <c r="AA79" i="9"/>
  <c r="Y79" i="9"/>
  <c r="AY79" i="9" s="1"/>
  <c r="AX79" i="9"/>
  <c r="AW79" i="9"/>
  <c r="AV79" i="9"/>
  <c r="AU79" i="9"/>
  <c r="AT79" i="9"/>
  <c r="AS78" i="9"/>
  <c r="BB78" i="9" s="1"/>
  <c r="AE78" i="9"/>
  <c r="BA78" i="9" s="1"/>
  <c r="AC78" i="9"/>
  <c r="AZ78" i="9" s="1"/>
  <c r="AA78" i="9"/>
  <c r="Y78" i="9"/>
  <c r="AY78" i="9" s="1"/>
  <c r="AX78" i="9"/>
  <c r="AW78" i="9"/>
  <c r="AV78" i="9"/>
  <c r="AU78" i="9"/>
  <c r="AT78" i="9"/>
  <c r="AS77" i="9"/>
  <c r="BB77" i="9" s="1"/>
  <c r="AE77" i="9"/>
  <c r="BA77" i="9" s="1"/>
  <c r="AC77" i="9"/>
  <c r="AZ77" i="9" s="1"/>
  <c r="AA77" i="9"/>
  <c r="Y77" i="9"/>
  <c r="AY77" i="9" s="1"/>
  <c r="AX77" i="9"/>
  <c r="AW77" i="9"/>
  <c r="AV77" i="9"/>
  <c r="AU77" i="9"/>
  <c r="AT77" i="9"/>
  <c r="AS76" i="9"/>
  <c r="BB76" i="9" s="1"/>
  <c r="AE76" i="9"/>
  <c r="BA76" i="9" s="1"/>
  <c r="AC76" i="9"/>
  <c r="AZ76" i="9" s="1"/>
  <c r="AA76" i="9"/>
  <c r="Y76" i="9"/>
  <c r="AY76" i="9" s="1"/>
  <c r="AX76" i="9"/>
  <c r="AW76" i="9"/>
  <c r="AV76" i="9"/>
  <c r="AU76" i="9"/>
  <c r="AT76" i="9"/>
  <c r="AS87" i="9"/>
  <c r="BB87" i="9" s="1"/>
  <c r="AS86" i="9"/>
  <c r="BB86" i="9" s="1"/>
  <c r="AS84" i="9"/>
  <c r="BB84" i="9" s="1"/>
  <c r="AS83" i="9"/>
  <c r="BB83" i="9" s="1"/>
  <c r="AS81" i="9"/>
  <c r="BB81" i="9" s="1"/>
  <c r="AS80" i="9"/>
  <c r="BB80" i="9" s="1"/>
  <c r="AS75" i="9"/>
  <c r="BB75" i="9" s="1"/>
  <c r="AS73" i="9"/>
  <c r="BB73" i="9" s="1"/>
  <c r="AS72" i="9"/>
  <c r="BB72" i="9" s="1"/>
  <c r="AS71" i="9"/>
  <c r="BB71" i="9" s="1"/>
  <c r="AS68" i="9"/>
  <c r="BB68" i="9" s="1"/>
  <c r="AS66" i="9"/>
  <c r="BB66" i="9" s="1"/>
  <c r="AS65" i="9"/>
  <c r="BB65" i="9" s="1"/>
  <c r="AS63" i="9"/>
  <c r="BB63" i="9" s="1"/>
  <c r="AS62" i="9"/>
  <c r="BB62" i="9" s="1"/>
  <c r="AS60" i="9"/>
  <c r="BB60" i="9" s="1"/>
  <c r="AS56" i="9"/>
  <c r="BB56" i="9" s="1"/>
  <c r="AS53" i="9"/>
  <c r="BB53" i="9" s="1"/>
  <c r="AS51" i="9"/>
  <c r="BB51" i="9" s="1"/>
  <c r="AS50" i="9"/>
  <c r="BB50" i="9" s="1"/>
  <c r="AS45" i="9"/>
  <c r="BB45" i="9" s="1"/>
  <c r="AE87" i="9"/>
  <c r="BA87" i="9" s="1"/>
  <c r="AC87" i="9"/>
  <c r="AZ87" i="9" s="1"/>
  <c r="AA87" i="9"/>
  <c r="Y87" i="9"/>
  <c r="AY87" i="9" s="1"/>
  <c r="AX87" i="9"/>
  <c r="AW87" i="9"/>
  <c r="AV87" i="9"/>
  <c r="AU87" i="9"/>
  <c r="AT87" i="9"/>
  <c r="AE86" i="9"/>
  <c r="BA86" i="9" s="1"/>
  <c r="AC86" i="9"/>
  <c r="AZ86" i="9" s="1"/>
  <c r="AA86" i="9"/>
  <c r="Y86" i="9"/>
  <c r="AY86" i="9" s="1"/>
  <c r="AX86" i="9"/>
  <c r="AW86" i="9"/>
  <c r="AV86" i="9"/>
  <c r="AU86" i="9"/>
  <c r="AT86" i="9"/>
  <c r="AE84" i="9"/>
  <c r="BA84" i="9" s="1"/>
  <c r="AC84" i="9"/>
  <c r="AZ84" i="9" s="1"/>
  <c r="AA84" i="9"/>
  <c r="Y84" i="9"/>
  <c r="AY84" i="9" s="1"/>
  <c r="AX84" i="9"/>
  <c r="AW84" i="9"/>
  <c r="AV84" i="9"/>
  <c r="AU84" i="9"/>
  <c r="AT84" i="9"/>
  <c r="AE83" i="9"/>
  <c r="BA83" i="9" s="1"/>
  <c r="AC83" i="9"/>
  <c r="AZ83" i="9" s="1"/>
  <c r="AA83" i="9"/>
  <c r="Y83" i="9"/>
  <c r="AY83" i="9" s="1"/>
  <c r="AX83" i="9"/>
  <c r="AW83" i="9"/>
  <c r="AV83" i="9"/>
  <c r="AU83" i="9"/>
  <c r="AT83" i="9"/>
  <c r="AE75" i="9"/>
  <c r="BA75" i="9" s="1"/>
  <c r="AC75" i="9"/>
  <c r="AZ75" i="9" s="1"/>
  <c r="AA75" i="9"/>
  <c r="Y75" i="9"/>
  <c r="AY75" i="9" s="1"/>
  <c r="AX75" i="9"/>
  <c r="AW75" i="9"/>
  <c r="AV75" i="9"/>
  <c r="AU75" i="9"/>
  <c r="AT75" i="9"/>
  <c r="AV82" i="9"/>
  <c r="AU82" i="9"/>
  <c r="AT82" i="9"/>
  <c r="AE81" i="9"/>
  <c r="BA81" i="9" s="1"/>
  <c r="AC81" i="9"/>
  <c r="AZ81" i="9" s="1"/>
  <c r="AA81" i="9"/>
  <c r="Y81" i="9"/>
  <c r="AY81" i="9" s="1"/>
  <c r="AX81" i="9"/>
  <c r="AW81" i="9"/>
  <c r="AV81" i="9"/>
  <c r="AU81" i="9"/>
  <c r="AT81" i="9"/>
  <c r="AE80" i="9"/>
  <c r="BA80" i="9" s="1"/>
  <c r="AC80" i="9"/>
  <c r="AZ80" i="9" s="1"/>
  <c r="AA80" i="9"/>
  <c r="Y80" i="9"/>
  <c r="AY80" i="9" s="1"/>
  <c r="AX80" i="9"/>
  <c r="AW80" i="9"/>
  <c r="AV80" i="9"/>
  <c r="AU80" i="9"/>
  <c r="AT80" i="9"/>
  <c r="AE73" i="9"/>
  <c r="BA73" i="9" s="1"/>
  <c r="AC73" i="9"/>
  <c r="AZ73" i="9" s="1"/>
  <c r="AA73" i="9"/>
  <c r="Y73" i="9"/>
  <c r="AY73" i="9" s="1"/>
  <c r="AX73" i="9"/>
  <c r="AW73" i="9"/>
  <c r="AV73" i="9"/>
  <c r="AU73" i="9"/>
  <c r="AT73" i="9"/>
  <c r="AE72" i="9"/>
  <c r="BA72" i="9" s="1"/>
  <c r="AC72" i="9"/>
  <c r="AZ72" i="9" s="1"/>
  <c r="AA72" i="9"/>
  <c r="Y72" i="9"/>
  <c r="AY72" i="9" s="1"/>
  <c r="AX72" i="9"/>
  <c r="AW72" i="9"/>
  <c r="AV72" i="9"/>
  <c r="AU72" i="9"/>
  <c r="AT72" i="9"/>
  <c r="AE71" i="9"/>
  <c r="BA71" i="9" s="1"/>
  <c r="AC71" i="9"/>
  <c r="AZ71" i="9" s="1"/>
  <c r="AA71" i="9"/>
  <c r="Y71" i="9"/>
  <c r="AY71" i="9" s="1"/>
  <c r="AX71" i="9"/>
  <c r="AW71" i="9"/>
  <c r="AV71" i="9"/>
  <c r="AU71" i="9"/>
  <c r="AT71" i="9"/>
  <c r="AV69" i="9"/>
  <c r="AU69" i="9"/>
  <c r="AT69" i="9"/>
  <c r="AV5" i="9"/>
  <c r="AU5" i="9"/>
  <c r="AT5" i="9"/>
  <c r="AE68" i="9"/>
  <c r="BA68" i="9" s="1"/>
  <c r="AC68" i="9"/>
  <c r="AZ68" i="9" s="1"/>
  <c r="AA68" i="9"/>
  <c r="Y68" i="9"/>
  <c r="AY68" i="9" s="1"/>
  <c r="AX68" i="9"/>
  <c r="AW68" i="9"/>
  <c r="AV68" i="9"/>
  <c r="AU68" i="9"/>
  <c r="AT68" i="9"/>
  <c r="AE66" i="9"/>
  <c r="BA66" i="9" s="1"/>
  <c r="AC66" i="9"/>
  <c r="AZ66" i="9" s="1"/>
  <c r="AA66" i="9"/>
  <c r="Y66" i="9"/>
  <c r="AY66" i="9" s="1"/>
  <c r="AX66" i="9"/>
  <c r="AW66" i="9"/>
  <c r="AV66" i="9"/>
  <c r="AU66" i="9"/>
  <c r="AT66" i="9"/>
  <c r="AE65" i="9"/>
  <c r="BA65" i="9" s="1"/>
  <c r="AC65" i="9"/>
  <c r="AZ65" i="9" s="1"/>
  <c r="AA65" i="9"/>
  <c r="Y65" i="9"/>
  <c r="AY65" i="9" s="1"/>
  <c r="AX65" i="9"/>
  <c r="AW65" i="9"/>
  <c r="AV65" i="9"/>
  <c r="AU65" i="9"/>
  <c r="AT65" i="9"/>
  <c r="AE63" i="9"/>
  <c r="BA63" i="9" s="1"/>
  <c r="AC63" i="9"/>
  <c r="AZ63" i="9" s="1"/>
  <c r="AA63" i="9"/>
  <c r="Y63" i="9"/>
  <c r="AY63" i="9" s="1"/>
  <c r="AX63" i="9"/>
  <c r="AW63" i="9"/>
  <c r="AV63" i="9"/>
  <c r="AU63" i="9"/>
  <c r="AT63" i="9"/>
  <c r="AE62" i="9"/>
  <c r="BA62" i="9" s="1"/>
  <c r="AC62" i="9"/>
  <c r="AZ62" i="9" s="1"/>
  <c r="AA62" i="9"/>
  <c r="Y62" i="9"/>
  <c r="AY62" i="9" s="1"/>
  <c r="AX62" i="9"/>
  <c r="AW62" i="9"/>
  <c r="AV62" i="9"/>
  <c r="AU62" i="9"/>
  <c r="AT62" i="9"/>
  <c r="AV61" i="9"/>
  <c r="AU61" i="9"/>
  <c r="AT61" i="9"/>
  <c r="AW61" i="9"/>
  <c r="AX61" i="9"/>
  <c r="Y61" i="9"/>
  <c r="AY61" i="9" s="1"/>
  <c r="AA61" i="9"/>
  <c r="AE60" i="9"/>
  <c r="BA60" i="9" s="1"/>
  <c r="AC60" i="9"/>
  <c r="AZ60" i="9" s="1"/>
  <c r="AA60" i="9"/>
  <c r="Y60" i="9"/>
  <c r="AY60" i="9" s="1"/>
  <c r="AX60" i="9"/>
  <c r="AW60" i="9"/>
  <c r="AV60" i="9"/>
  <c r="AU60" i="9"/>
  <c r="AT60" i="9"/>
  <c r="AV59" i="9"/>
  <c r="AU59" i="9"/>
  <c r="AT59" i="9"/>
  <c r="AE56" i="9"/>
  <c r="BA56" i="9" s="1"/>
  <c r="AC56" i="9"/>
  <c r="AZ56" i="9" s="1"/>
  <c r="AA56" i="9"/>
  <c r="Y56" i="9"/>
  <c r="AY56" i="9" s="1"/>
  <c r="AX56" i="9"/>
  <c r="AW56" i="9"/>
  <c r="AV56" i="9"/>
  <c r="AU56" i="9"/>
  <c r="AT56" i="9"/>
  <c r="AE45" i="9"/>
  <c r="BA45" i="9" s="1"/>
  <c r="AC45" i="9"/>
  <c r="AZ45" i="9" s="1"/>
  <c r="AA45" i="9"/>
  <c r="Y45" i="9"/>
  <c r="AY45" i="9" s="1"/>
  <c r="AX45" i="9"/>
  <c r="AW45" i="9"/>
  <c r="AV45" i="9"/>
  <c r="AU45" i="9"/>
  <c r="AT45" i="9"/>
  <c r="AE53" i="9"/>
  <c r="BA53" i="9" s="1"/>
  <c r="AC53" i="9"/>
  <c r="AZ53" i="9" s="1"/>
  <c r="AA53" i="9"/>
  <c r="Y53" i="9"/>
  <c r="AY53" i="9" s="1"/>
  <c r="AX53" i="9"/>
  <c r="AW53" i="9"/>
  <c r="AV53" i="9"/>
  <c r="AU53" i="9"/>
  <c r="AT53" i="9"/>
  <c r="AE52" i="9"/>
  <c r="BA52" i="9" s="1"/>
  <c r="AC52" i="9"/>
  <c r="AZ52" i="9" s="1"/>
  <c r="AA52" i="9"/>
  <c r="Y52" i="9"/>
  <c r="AY52" i="9" s="1"/>
  <c r="AX52" i="9"/>
  <c r="AW52" i="9"/>
  <c r="R52" i="9"/>
  <c r="P52" i="9"/>
  <c r="N52" i="9"/>
  <c r="O52" i="9" s="1"/>
  <c r="AE51" i="9"/>
  <c r="BA51" i="9" s="1"/>
  <c r="AC51" i="9"/>
  <c r="AZ51" i="9" s="1"/>
  <c r="AA51" i="9"/>
  <c r="Y51" i="9"/>
  <c r="AY51" i="9" s="1"/>
  <c r="N51" i="9"/>
  <c r="AE50" i="9"/>
  <c r="BA50" i="9" s="1"/>
  <c r="AC50" i="9"/>
  <c r="AZ50" i="9" s="1"/>
  <c r="AA50" i="9"/>
  <c r="Y50" i="9"/>
  <c r="AY50" i="9" s="1"/>
  <c r="N50" i="9"/>
  <c r="BC123" i="9" l="1"/>
  <c r="S52" i="9"/>
  <c r="AV52" i="9" s="1"/>
  <c r="Q52" i="9"/>
  <c r="AU52" i="9" s="1"/>
  <c r="BF50" i="9"/>
  <c r="BG50" i="9" s="1"/>
  <c r="BD50" i="9" s="1"/>
  <c r="BH50" i="9"/>
  <c r="BE50" i="9" s="1"/>
  <c r="O50" i="9"/>
  <c r="BH51" i="9"/>
  <c r="BE51" i="9" s="1"/>
  <c r="O51" i="9"/>
  <c r="BF51" i="9"/>
  <c r="BG51" i="9" s="1"/>
  <c r="BD51" i="9" s="1"/>
  <c r="BF81" i="9"/>
  <c r="BG81" i="9" s="1"/>
  <c r="BD81" i="9" s="1"/>
  <c r="BF71" i="9"/>
  <c r="BG71" i="9" s="1"/>
  <c r="BD71" i="9" s="1"/>
  <c r="BF75" i="9"/>
  <c r="BG75" i="9" s="1"/>
  <c r="BD75" i="9" s="1"/>
  <c r="BF79" i="9"/>
  <c r="BG79" i="9" s="1"/>
  <c r="BD79" i="9" s="1"/>
  <c r="BF60" i="9"/>
  <c r="BG60" i="9" s="1"/>
  <c r="BD60" i="9" s="1"/>
  <c r="BF62" i="9"/>
  <c r="BG62" i="9" s="1"/>
  <c r="BD62" i="9" s="1"/>
  <c r="BF53" i="9"/>
  <c r="BG53" i="9" s="1"/>
  <c r="BD53" i="9" s="1"/>
  <c r="BF65" i="9"/>
  <c r="BG65" i="9" s="1"/>
  <c r="BD65" i="9" s="1"/>
  <c r="BF56" i="9"/>
  <c r="BG56" i="9" s="1"/>
  <c r="BD56" i="9" s="1"/>
  <c r="BF68" i="9"/>
  <c r="BG68" i="9" s="1"/>
  <c r="BD68" i="9" s="1"/>
  <c r="BF73" i="9"/>
  <c r="BG73" i="9" s="1"/>
  <c r="BD73" i="9" s="1"/>
  <c r="BF84" i="9"/>
  <c r="BG84" i="9" s="1"/>
  <c r="BD84" i="9" s="1"/>
  <c r="BF76" i="9"/>
  <c r="BG76" i="9" s="1"/>
  <c r="BD76" i="9" s="1"/>
  <c r="BF87" i="9"/>
  <c r="BG87" i="9" s="1"/>
  <c r="BD87" i="9" s="1"/>
  <c r="BF63" i="9"/>
  <c r="BG63" i="9" s="1"/>
  <c r="BD63" i="9" s="1"/>
  <c r="BF78" i="9"/>
  <c r="BG78" i="9" s="1"/>
  <c r="BD78" i="9" s="1"/>
  <c r="BF94" i="9"/>
  <c r="BG94" i="9" s="1"/>
  <c r="BD94" i="9" s="1"/>
  <c r="BF45" i="9"/>
  <c r="BG45" i="9" s="1"/>
  <c r="BD45" i="9" s="1"/>
  <c r="BF66" i="9"/>
  <c r="BG66" i="9" s="1"/>
  <c r="BD66" i="9" s="1"/>
  <c r="BF131" i="9"/>
  <c r="BG131" i="9" s="1"/>
  <c r="BD131" i="9" s="1"/>
  <c r="BF72" i="9"/>
  <c r="BG72" i="9" s="1"/>
  <c r="BD72" i="9" s="1"/>
  <c r="BF83" i="9"/>
  <c r="BG83" i="9" s="1"/>
  <c r="BD83" i="9" s="1"/>
  <c r="BF93" i="9"/>
  <c r="BG93" i="9" s="1"/>
  <c r="BD93" i="9" s="1"/>
  <c r="BF88" i="9"/>
  <c r="BG88" i="9" s="1"/>
  <c r="BD88" i="9" s="1"/>
  <c r="BF127" i="9"/>
  <c r="BG127" i="9" s="1"/>
  <c r="BD127" i="9" s="1"/>
  <c r="BF80" i="9"/>
  <c r="BG80" i="9" s="1"/>
  <c r="BD80" i="9" s="1"/>
  <c r="BF86" i="9"/>
  <c r="BG86" i="9" s="1"/>
  <c r="BD86" i="9" s="1"/>
  <c r="BF77" i="9"/>
  <c r="BG77" i="9" s="1"/>
  <c r="BD77" i="9" s="1"/>
  <c r="BC134" i="9"/>
  <c r="BD134" i="9"/>
  <c r="BC95" i="9"/>
  <c r="BD95" i="9"/>
  <c r="BC99" i="9"/>
  <c r="BC124" i="9"/>
  <c r="BC89" i="9"/>
  <c r="BC107" i="9"/>
  <c r="BC94" i="9"/>
  <c r="BC97" i="9"/>
  <c r="BC135" i="9"/>
  <c r="BC138" i="9"/>
  <c r="BC121" i="9"/>
  <c r="BC133" i="9"/>
  <c r="BC126" i="9"/>
  <c r="BC140" i="9"/>
  <c r="BC132" i="9"/>
  <c r="BC125" i="9"/>
  <c r="BC139" i="9"/>
  <c r="AR52" i="9"/>
  <c r="AS52" i="9" s="1"/>
  <c r="BB52" i="9" s="1"/>
  <c r="AT52" i="9"/>
  <c r="BF52" i="9" l="1"/>
  <c r="BG52" i="9" s="1"/>
  <c r="BD52" i="9" s="1"/>
  <c r="BC127" i="9"/>
  <c r="BC93" i="9"/>
  <c r="BC131" i="9"/>
  <c r="BH52" i="9"/>
  <c r="BE52" i="9" s="1"/>
  <c r="BC68" i="9"/>
  <c r="BC63" i="9"/>
  <c r="BC62" i="9"/>
  <c r="BC86" i="9"/>
  <c r="BC84" i="9"/>
  <c r="BC81" i="9"/>
  <c r="BC66" i="9"/>
  <c r="BC80" i="9"/>
  <c r="BC87" i="9"/>
  <c r="BC78" i="9"/>
  <c r="BC83" i="9"/>
  <c r="BC79" i="9"/>
  <c r="BC45" i="9"/>
  <c r="BC76" i="9"/>
  <c r="BC73" i="9"/>
  <c r="BC72" i="9"/>
  <c r="BC53" i="9"/>
  <c r="BC77" i="9"/>
  <c r="BC88" i="9"/>
  <c r="BC75" i="9"/>
  <c r="BC56" i="9"/>
  <c r="BC60" i="9"/>
  <c r="BC71" i="9"/>
  <c r="BC65" i="9"/>
  <c r="R48" i="9"/>
  <c r="P48" i="9"/>
  <c r="N48" i="9"/>
  <c r="O48" i="9" s="1"/>
  <c r="N47" i="9"/>
  <c r="AT43" i="9"/>
  <c r="AT49" i="9"/>
  <c r="AU43" i="9"/>
  <c r="AU49" i="9"/>
  <c r="AV43" i="9"/>
  <c r="AV49" i="9"/>
  <c r="AW43" i="9"/>
  <c r="AW48" i="9"/>
  <c r="AW49" i="9"/>
  <c r="AX43" i="9"/>
  <c r="AX48" i="9"/>
  <c r="AX49" i="9"/>
  <c r="Y43" i="9"/>
  <c r="AY43" i="9" s="1"/>
  <c r="Y46" i="9"/>
  <c r="AY46" i="9" s="1"/>
  <c r="Y47" i="9"/>
  <c r="AY47" i="9" s="1"/>
  <c r="Y48" i="9"/>
  <c r="AY48" i="9" s="1"/>
  <c r="Y49" i="9"/>
  <c r="AY49" i="9" s="1"/>
  <c r="AA43" i="9"/>
  <c r="AA46" i="9"/>
  <c r="AA47" i="9"/>
  <c r="AA48" i="9"/>
  <c r="AA49" i="9"/>
  <c r="AC43" i="9"/>
  <c r="AZ43" i="9" s="1"/>
  <c r="AC46" i="9"/>
  <c r="AZ46" i="9" s="1"/>
  <c r="AC47" i="9"/>
  <c r="AZ47" i="9" s="1"/>
  <c r="AC48" i="9"/>
  <c r="AZ48" i="9" s="1"/>
  <c r="AC49" i="9"/>
  <c r="AZ49" i="9" s="1"/>
  <c r="AE43" i="9"/>
  <c r="BA43" i="9" s="1"/>
  <c r="AE46" i="9"/>
  <c r="BA46" i="9" s="1"/>
  <c r="AE47" i="9"/>
  <c r="BA47" i="9" s="1"/>
  <c r="AE48" i="9"/>
  <c r="BA48" i="9" s="1"/>
  <c r="AE49" i="9"/>
  <c r="BA49" i="9" s="1"/>
  <c r="AS43" i="9"/>
  <c r="BB43" i="9" s="1"/>
  <c r="AS46" i="9"/>
  <c r="BB46" i="9" s="1"/>
  <c r="AS47" i="9"/>
  <c r="BB47" i="9" s="1"/>
  <c r="AS49" i="9"/>
  <c r="BB49" i="9" s="1"/>
  <c r="AS37" i="9"/>
  <c r="BB37" i="9" s="1"/>
  <c r="AE37" i="9"/>
  <c r="BA37" i="9" s="1"/>
  <c r="AC37" i="9"/>
  <c r="AZ37" i="9" s="1"/>
  <c r="Z37" i="9"/>
  <c r="BH37" i="9" s="1"/>
  <c r="BE37" i="9" s="1"/>
  <c r="Y37" i="9"/>
  <c r="AY37" i="9" s="1"/>
  <c r="AX37" i="9"/>
  <c r="AW37" i="9"/>
  <c r="AV37" i="9"/>
  <c r="AU37" i="9"/>
  <c r="AT37" i="9"/>
  <c r="AS36" i="9"/>
  <c r="BB36" i="9" s="1"/>
  <c r="AE36" i="9"/>
  <c r="BA36" i="9" s="1"/>
  <c r="AC36" i="9"/>
  <c r="AZ36" i="9" s="1"/>
  <c r="Z36" i="9"/>
  <c r="BH36" i="9" s="1"/>
  <c r="Y36" i="9"/>
  <c r="AY36" i="9" s="1"/>
  <c r="AX36" i="9"/>
  <c r="AW36" i="9"/>
  <c r="AV36" i="9"/>
  <c r="AU36" i="9"/>
  <c r="AT36" i="9"/>
  <c r="AS35" i="9"/>
  <c r="BB35" i="9" s="1"/>
  <c r="AE35" i="9"/>
  <c r="BA35" i="9" s="1"/>
  <c r="AC35" i="9"/>
  <c r="AZ35" i="9" s="1"/>
  <c r="Z35" i="9"/>
  <c r="BH35" i="9" s="1"/>
  <c r="BE35" i="9" s="1"/>
  <c r="Y35" i="9"/>
  <c r="AY35" i="9" s="1"/>
  <c r="AX35" i="9"/>
  <c r="AW35" i="9"/>
  <c r="AV35" i="9"/>
  <c r="AU35" i="9"/>
  <c r="AT35" i="9"/>
  <c r="AS34" i="9"/>
  <c r="BB34" i="9" s="1"/>
  <c r="AE34" i="9"/>
  <c r="BA34" i="9" s="1"/>
  <c r="AC34" i="9"/>
  <c r="AZ34" i="9" s="1"/>
  <c r="Z34" i="9"/>
  <c r="BH34" i="9" s="1"/>
  <c r="BE34" i="9" s="1"/>
  <c r="Y34" i="9"/>
  <c r="AY34" i="9" s="1"/>
  <c r="AX34" i="9"/>
  <c r="AW34" i="9"/>
  <c r="AV34" i="9"/>
  <c r="AU34" i="9"/>
  <c r="AT34" i="9"/>
  <c r="AS33" i="9"/>
  <c r="BB33" i="9" s="1"/>
  <c r="AE33" i="9"/>
  <c r="BA33" i="9" s="1"/>
  <c r="AC33" i="9"/>
  <c r="AZ33" i="9" s="1"/>
  <c r="Z33" i="9"/>
  <c r="BH33" i="9" s="1"/>
  <c r="BE33" i="9" s="1"/>
  <c r="Y33" i="9"/>
  <c r="AY33" i="9" s="1"/>
  <c r="AX33" i="9"/>
  <c r="AW33" i="9"/>
  <c r="AV33" i="9"/>
  <c r="AU33" i="9"/>
  <c r="AT33" i="9"/>
  <c r="AS32" i="9"/>
  <c r="BB32" i="9" s="1"/>
  <c r="AE32" i="9"/>
  <c r="BA32" i="9" s="1"/>
  <c r="AC32" i="9"/>
  <c r="AZ32" i="9" s="1"/>
  <c r="Z32" i="9"/>
  <c r="BH32" i="9" s="1"/>
  <c r="BE32" i="9" s="1"/>
  <c r="Y32" i="9"/>
  <c r="AY32" i="9" s="1"/>
  <c r="AX32" i="9"/>
  <c r="AW32" i="9"/>
  <c r="AV32" i="9"/>
  <c r="AU32" i="9"/>
  <c r="AT32" i="9"/>
  <c r="AS31" i="9"/>
  <c r="BB31" i="9" s="1"/>
  <c r="AE31" i="9"/>
  <c r="BA31" i="9" s="1"/>
  <c r="AC31" i="9"/>
  <c r="AZ31" i="9" s="1"/>
  <c r="Z31" i="9"/>
  <c r="BH31" i="9" s="1"/>
  <c r="BE31" i="9" s="1"/>
  <c r="Y31" i="9"/>
  <c r="AY31" i="9" s="1"/>
  <c r="AX31" i="9"/>
  <c r="AW31" i="9"/>
  <c r="AV31" i="9"/>
  <c r="AU31" i="9"/>
  <c r="AT31" i="9"/>
  <c r="AS30" i="9"/>
  <c r="BB30" i="9" s="1"/>
  <c r="AE30" i="9"/>
  <c r="BA30" i="9" s="1"/>
  <c r="AC30" i="9"/>
  <c r="AZ30" i="9" s="1"/>
  <c r="Z30" i="9"/>
  <c r="BH30" i="9" s="1"/>
  <c r="Y30" i="9"/>
  <c r="AY30" i="9" s="1"/>
  <c r="AX30" i="9"/>
  <c r="AW30" i="9"/>
  <c r="AV30" i="9"/>
  <c r="AU30" i="9"/>
  <c r="AT30" i="9"/>
  <c r="Z184" i="9"/>
  <c r="BH184" i="9" s="1"/>
  <c r="BE184" i="9" s="1"/>
  <c r="Z42" i="9"/>
  <c r="BH42" i="9" s="1"/>
  <c r="BE42" i="9" s="1"/>
  <c r="Z293" i="9"/>
  <c r="BH293" i="9" s="1"/>
  <c r="BE293" i="9" s="1"/>
  <c r="Z44" i="9"/>
  <c r="BH44" i="9" s="1"/>
  <c r="BE44" i="9" s="1"/>
  <c r="Z239" i="9"/>
  <c r="BH239" i="9" s="1"/>
  <c r="BE239" i="9" s="1"/>
  <c r="Z137" i="9"/>
  <c r="BH137" i="9" s="1"/>
  <c r="BE137" i="9" s="1"/>
  <c r="Z307" i="9"/>
  <c r="BH307" i="9" s="1"/>
  <c r="BE307" i="9" s="1"/>
  <c r="Z104" i="9"/>
  <c r="BH104" i="9" s="1"/>
  <c r="BE104" i="9" s="1"/>
  <c r="Z226" i="9"/>
  <c r="BH226" i="9" s="1"/>
  <c r="BE226" i="9" s="1"/>
  <c r="Y184" i="9"/>
  <c r="AY184" i="9" s="1"/>
  <c r="Y42" i="9"/>
  <c r="AY42" i="9" s="1"/>
  <c r="AY293" i="9"/>
  <c r="Y44" i="9"/>
  <c r="AY44" i="9" s="1"/>
  <c r="Y239" i="9"/>
  <c r="AY239" i="9" s="1"/>
  <c r="Y137" i="9"/>
  <c r="AY137" i="9" s="1"/>
  <c r="AY307" i="9"/>
  <c r="Y104" i="9"/>
  <c r="AY104" i="9" s="1"/>
  <c r="Y54" i="9"/>
  <c r="AY54" i="9" s="1"/>
  <c r="Y57" i="9"/>
  <c r="AY57" i="9" s="1"/>
  <c r="Y58" i="9"/>
  <c r="AY58" i="9" s="1"/>
  <c r="Y59" i="9"/>
  <c r="AY59" i="9" s="1"/>
  <c r="Y67" i="9"/>
  <c r="AY67" i="9" s="1"/>
  <c r="Y69" i="9"/>
  <c r="AY69" i="9" s="1"/>
  <c r="Y70" i="9"/>
  <c r="AY70" i="9" s="1"/>
  <c r="Y74" i="9"/>
  <c r="AY74" i="9" s="1"/>
  <c r="Y85" i="9"/>
  <c r="AY85" i="9" s="1"/>
  <c r="Y82" i="9"/>
  <c r="AY82" i="9" s="1"/>
  <c r="Y90" i="9"/>
  <c r="AY90" i="9" s="1"/>
  <c r="Y91" i="9"/>
  <c r="AY91" i="9" s="1"/>
  <c r="Y92" i="9"/>
  <c r="AY92" i="9" s="1"/>
  <c r="Y96" i="9"/>
  <c r="AY96" i="9" s="1"/>
  <c r="Y98" i="9"/>
  <c r="AY98" i="9" s="1"/>
  <c r="Y105" i="9"/>
  <c r="AY105" i="9" s="1"/>
  <c r="Y106" i="9"/>
  <c r="AY106" i="9" s="1"/>
  <c r="Y108" i="9"/>
  <c r="AY108" i="9" s="1"/>
  <c r="Y109" i="9"/>
  <c r="AY109" i="9" s="1"/>
  <c r="Y110" i="9"/>
  <c r="AY110" i="9" s="1"/>
  <c r="Y111" i="9"/>
  <c r="AY111" i="9" s="1"/>
  <c r="Y112" i="9"/>
  <c r="AY112" i="9" s="1"/>
  <c r="Y113" i="9"/>
  <c r="AY113" i="9" s="1"/>
  <c r="Y114" i="9"/>
  <c r="AY114" i="9" s="1"/>
  <c r="Y115" i="9"/>
  <c r="AY115" i="9" s="1"/>
  <c r="Y116" i="9"/>
  <c r="AY116" i="9" s="1"/>
  <c r="Y117" i="9"/>
  <c r="AY117" i="9" s="1"/>
  <c r="Y118" i="9"/>
  <c r="AY118" i="9" s="1"/>
  <c r="Y122" i="9"/>
  <c r="AY122" i="9" s="1"/>
  <c r="Y130" i="9"/>
  <c r="AY130" i="9" s="1"/>
  <c r="Y136" i="9"/>
  <c r="AY136" i="9" s="1"/>
  <c r="Y164" i="9"/>
  <c r="AY164" i="9" s="1"/>
  <c r="Y169" i="9"/>
  <c r="AY169" i="9" s="1"/>
  <c r="Y186" i="9"/>
  <c r="AY186" i="9" s="1"/>
  <c r="Y188" i="9"/>
  <c r="AY188" i="9" s="1"/>
  <c r="Y190" i="9"/>
  <c r="AY190" i="9" s="1"/>
  <c r="Y191" i="9"/>
  <c r="AY191" i="9" s="1"/>
  <c r="Y195" i="9"/>
  <c r="AY195" i="9" s="1"/>
  <c r="BE36" i="9" l="1"/>
  <c r="BE36" i="10"/>
  <c r="Q48" i="9"/>
  <c r="AU48" i="9" s="1"/>
  <c r="S48" i="9"/>
  <c r="AV48" i="9" s="1"/>
  <c r="BE30" i="9"/>
  <c r="BF30" i="9"/>
  <c r="BG30" i="9" s="1"/>
  <c r="BD30" i="9" s="1"/>
  <c r="BH46" i="9"/>
  <c r="BE46" i="9" s="1"/>
  <c r="O46" i="9"/>
  <c r="BH47" i="9"/>
  <c r="BE47" i="9" s="1"/>
  <c r="O47" i="9"/>
  <c r="BF46" i="9"/>
  <c r="BG46" i="9" s="1"/>
  <c r="BD46" i="9" s="1"/>
  <c r="BF33" i="9"/>
  <c r="BG33" i="9" s="1"/>
  <c r="BD33" i="9" s="1"/>
  <c r="BF34" i="9"/>
  <c r="BG34" i="9" s="1"/>
  <c r="BD34" i="9" s="1"/>
  <c r="BF35" i="9"/>
  <c r="BG35" i="9" s="1"/>
  <c r="BD35" i="9" s="1"/>
  <c r="BF32" i="9"/>
  <c r="BG32" i="9" s="1"/>
  <c r="BD32" i="9" s="1"/>
  <c r="BF47" i="9"/>
  <c r="BG47" i="9" s="1"/>
  <c r="BD47" i="9" s="1"/>
  <c r="BF37" i="9"/>
  <c r="BG37" i="9" s="1"/>
  <c r="BD37" i="9" s="1"/>
  <c r="BF49" i="9"/>
  <c r="BG49" i="9" s="1"/>
  <c r="BD49" i="9" s="1"/>
  <c r="BF43" i="9"/>
  <c r="BG43" i="9" s="1"/>
  <c r="BD43" i="9" s="1"/>
  <c r="BF31" i="9"/>
  <c r="BG31" i="9" s="1"/>
  <c r="BD31" i="9" s="1"/>
  <c r="BF36" i="9"/>
  <c r="BG36" i="9" s="1"/>
  <c r="AA33" i="9"/>
  <c r="AA30" i="9"/>
  <c r="AA35" i="9"/>
  <c r="AA307" i="9"/>
  <c r="AA32" i="9"/>
  <c r="AA37" i="9"/>
  <c r="AA293" i="9"/>
  <c r="AA34" i="9"/>
  <c r="AA31" i="9"/>
  <c r="AA36" i="9"/>
  <c r="BC51" i="9"/>
  <c r="BC50" i="9"/>
  <c r="BC52" i="9"/>
  <c r="AR48" i="9"/>
  <c r="AS48" i="9" s="1"/>
  <c r="BB48" i="9" s="1"/>
  <c r="AT48" i="9"/>
  <c r="AS10" i="9"/>
  <c r="BB10" i="9" s="1"/>
  <c r="AE10" i="9"/>
  <c r="BA10" i="9" s="1"/>
  <c r="AC10" i="9"/>
  <c r="AZ10" i="9" s="1"/>
  <c r="AA10" i="9"/>
  <c r="Y10" i="9"/>
  <c r="AY10" i="9" s="1"/>
  <c r="AX10" i="9"/>
  <c r="AW10" i="9"/>
  <c r="AV10" i="9"/>
  <c r="AU10" i="9"/>
  <c r="AT10" i="9"/>
  <c r="AS21" i="9"/>
  <c r="BB21" i="9" s="1"/>
  <c r="AE21" i="9"/>
  <c r="BA21" i="9" s="1"/>
  <c r="AC21" i="9"/>
  <c r="AZ21" i="9" s="1"/>
  <c r="AA21" i="9"/>
  <c r="Y21" i="9"/>
  <c r="AY21" i="9" s="1"/>
  <c r="AX21" i="9"/>
  <c r="AW21" i="9"/>
  <c r="AV21" i="9"/>
  <c r="AU21" i="9"/>
  <c r="AT21" i="9"/>
  <c r="AV19" i="9"/>
  <c r="AU19" i="9"/>
  <c r="AT19" i="9"/>
  <c r="AV6" i="9"/>
  <c r="AU6" i="9"/>
  <c r="AT6" i="9"/>
  <c r="AT14" i="9"/>
  <c r="AU14" i="9"/>
  <c r="AV14" i="9"/>
  <c r="AW14" i="9"/>
  <c r="AX14" i="9"/>
  <c r="Y14" i="9"/>
  <c r="AY14" i="9" s="1"/>
  <c r="AA14" i="9"/>
  <c r="AC14" i="9"/>
  <c r="AZ14" i="9" s="1"/>
  <c r="AE14" i="9"/>
  <c r="BA14" i="9" s="1"/>
  <c r="AS14" i="9"/>
  <c r="BB14" i="9" s="1"/>
  <c r="BD36" i="9" l="1"/>
  <c r="BD36" i="10"/>
  <c r="K55" i="20"/>
  <c r="K55" i="15"/>
  <c r="I91" i="15"/>
  <c r="J91" i="15" s="1"/>
  <c r="I93" i="15"/>
  <c r="J93" i="15" s="1"/>
  <c r="I94" i="15"/>
  <c r="J94" i="15" s="1"/>
  <c r="BF48" i="9"/>
  <c r="BG48" i="9" s="1"/>
  <c r="BD48" i="9" s="1"/>
  <c r="BF21" i="9"/>
  <c r="BG21" i="9" s="1"/>
  <c r="BD21" i="9" s="1"/>
  <c r="BF14" i="9"/>
  <c r="BG14" i="9" s="1"/>
  <c r="BD14" i="9" s="1"/>
  <c r="BF10" i="9"/>
  <c r="BG10" i="9" s="1"/>
  <c r="BD10" i="9" s="1"/>
  <c r="BH48" i="9"/>
  <c r="E364" i="20" s="1" a="1"/>
  <c r="E364" i="20" s="1"/>
  <c r="BC32" i="9"/>
  <c r="BC43" i="9"/>
  <c r="BC37" i="9"/>
  <c r="BC36" i="9"/>
  <c r="BC33" i="9"/>
  <c r="BC30" i="9"/>
  <c r="BC31" i="9"/>
  <c r="BC49" i="9"/>
  <c r="BC35" i="9"/>
  <c r="BC34" i="9"/>
  <c r="AC195" i="9"/>
  <c r="AZ195" i="9" s="1"/>
  <c r="AA195" i="9"/>
  <c r="AX195" i="9"/>
  <c r="AW195" i="9"/>
  <c r="AU195" i="9"/>
  <c r="AT195" i="9"/>
  <c r="AE191" i="9"/>
  <c r="BA191" i="9" s="1"/>
  <c r="AC191" i="9"/>
  <c r="AZ191" i="9" s="1"/>
  <c r="AA191" i="9"/>
  <c r="AX191" i="9"/>
  <c r="AW191" i="9"/>
  <c r="AU191" i="9"/>
  <c r="AT191" i="9"/>
  <c r="AE190" i="9"/>
  <c r="BA190" i="9" s="1"/>
  <c r="AC190" i="9"/>
  <c r="AZ190" i="9" s="1"/>
  <c r="AA190" i="9"/>
  <c r="AX190" i="9"/>
  <c r="AW190" i="9"/>
  <c r="AU190" i="9"/>
  <c r="AT190" i="9"/>
  <c r="AE188" i="9"/>
  <c r="BA188" i="9" s="1"/>
  <c r="AC188" i="9"/>
  <c r="AZ188" i="9" s="1"/>
  <c r="AA188" i="9"/>
  <c r="AX188" i="9"/>
  <c r="AW188" i="9"/>
  <c r="AE186" i="9"/>
  <c r="BA186" i="9" s="1"/>
  <c r="AC186" i="9"/>
  <c r="AZ186" i="9" s="1"/>
  <c r="AA186" i="9"/>
  <c r="AX186" i="9"/>
  <c r="AW186" i="9"/>
  <c r="AU186" i="9"/>
  <c r="AT186" i="9"/>
  <c r="AE169" i="9"/>
  <c r="BA169" i="9" s="1"/>
  <c r="AC169" i="9"/>
  <c r="AZ169" i="9" s="1"/>
  <c r="AA169" i="9"/>
  <c r="AX169" i="9"/>
  <c r="AW169" i="9"/>
  <c r="AU169" i="9"/>
  <c r="AT169" i="9"/>
  <c r="AE164" i="9"/>
  <c r="BA164" i="9" s="1"/>
  <c r="AC164" i="9"/>
  <c r="AZ164" i="9" s="1"/>
  <c r="AA164" i="9"/>
  <c r="AX164" i="9"/>
  <c r="AW164" i="9"/>
  <c r="AU164" i="9"/>
  <c r="AT164" i="9"/>
  <c r="AS136" i="9"/>
  <c r="BB136" i="9" s="1"/>
  <c r="AE136" i="9"/>
  <c r="BA136" i="9" s="1"/>
  <c r="AC136" i="9"/>
  <c r="AZ136" i="9" s="1"/>
  <c r="AA136" i="9"/>
  <c r="AX136" i="9"/>
  <c r="AW136" i="9"/>
  <c r="AU136" i="9"/>
  <c r="AT136" i="9"/>
  <c r="AS130" i="9"/>
  <c r="BB130" i="9" s="1"/>
  <c r="AE130" i="9"/>
  <c r="BA130" i="9" s="1"/>
  <c r="AC130" i="9"/>
  <c r="AZ130" i="9" s="1"/>
  <c r="AA130" i="9"/>
  <c r="AX130" i="9"/>
  <c r="AW130" i="9"/>
  <c r="AU130" i="9"/>
  <c r="AT130" i="9"/>
  <c r="AS122" i="9"/>
  <c r="BB122" i="9" s="1"/>
  <c r="AE122" i="9"/>
  <c r="BA122" i="9" s="1"/>
  <c r="AC122" i="9"/>
  <c r="AZ122" i="9" s="1"/>
  <c r="AA122" i="9"/>
  <c r="AX122" i="9"/>
  <c r="AW122" i="9"/>
  <c r="AU122" i="9"/>
  <c r="AT122" i="9"/>
  <c r="AS118" i="9"/>
  <c r="BB118" i="9" s="1"/>
  <c r="AE118" i="9"/>
  <c r="BA118" i="9" s="1"/>
  <c r="AC118" i="9"/>
  <c r="AZ118" i="9" s="1"/>
  <c r="AA118" i="9"/>
  <c r="AX118" i="9"/>
  <c r="AW118" i="9"/>
  <c r="AU118" i="9"/>
  <c r="AT118" i="9"/>
  <c r="AS117" i="9"/>
  <c r="BB117" i="9" s="1"/>
  <c r="AE117" i="9"/>
  <c r="BA117" i="9" s="1"/>
  <c r="AC117" i="9"/>
  <c r="AZ117" i="9" s="1"/>
  <c r="AA117" i="9"/>
  <c r="AX117" i="9"/>
  <c r="AW117" i="9"/>
  <c r="AU117" i="9"/>
  <c r="AT117" i="9"/>
  <c r="AS116" i="9"/>
  <c r="BB116" i="9" s="1"/>
  <c r="AE116" i="9"/>
  <c r="BA116" i="9" s="1"/>
  <c r="AC116" i="9"/>
  <c r="AZ116" i="9" s="1"/>
  <c r="AA116" i="9"/>
  <c r="AX116" i="9"/>
  <c r="AW116" i="9"/>
  <c r="AU116" i="9"/>
  <c r="AT116" i="9"/>
  <c r="AS115" i="9"/>
  <c r="BB115" i="9" s="1"/>
  <c r="AE115" i="9"/>
  <c r="BA115" i="9" s="1"/>
  <c r="AC115" i="9"/>
  <c r="AZ115" i="9" s="1"/>
  <c r="AA115" i="9"/>
  <c r="AX115" i="9"/>
  <c r="AW115" i="9"/>
  <c r="AU115" i="9"/>
  <c r="AT115" i="9"/>
  <c r="AS114" i="9"/>
  <c r="BB114" i="9" s="1"/>
  <c r="AE114" i="9"/>
  <c r="BA114" i="9" s="1"/>
  <c r="AC114" i="9"/>
  <c r="AZ114" i="9" s="1"/>
  <c r="AA114" i="9"/>
  <c r="AX114" i="9"/>
  <c r="AW114" i="9"/>
  <c r="AU114" i="9"/>
  <c r="AT114" i="9"/>
  <c r="AS113" i="9"/>
  <c r="BB113" i="9" s="1"/>
  <c r="AE113" i="9"/>
  <c r="BA113" i="9" s="1"/>
  <c r="AC113" i="9"/>
  <c r="AZ113" i="9" s="1"/>
  <c r="AA113" i="9"/>
  <c r="AS112" i="9"/>
  <c r="BB112" i="9" s="1"/>
  <c r="AE112" i="9"/>
  <c r="BA112" i="9" s="1"/>
  <c r="AC112" i="9"/>
  <c r="AZ112" i="9" s="1"/>
  <c r="AA112" i="9"/>
  <c r="AS111" i="9"/>
  <c r="BB111" i="9" s="1"/>
  <c r="AE111" i="9"/>
  <c r="BA111" i="9" s="1"/>
  <c r="AC111" i="9"/>
  <c r="AZ111" i="9" s="1"/>
  <c r="AA111" i="9"/>
  <c r="AX111" i="9"/>
  <c r="AW111" i="9"/>
  <c r="AV111" i="9"/>
  <c r="AU111" i="9"/>
  <c r="AT111" i="9"/>
  <c r="AS110" i="9"/>
  <c r="BB110" i="9" s="1"/>
  <c r="AE110" i="9"/>
  <c r="BA110" i="9" s="1"/>
  <c r="AC110" i="9"/>
  <c r="AZ110" i="9" s="1"/>
  <c r="AA110" i="9"/>
  <c r="AX110" i="9"/>
  <c r="AW110" i="9"/>
  <c r="AS109" i="9"/>
  <c r="BB109" i="9" s="1"/>
  <c r="AE109" i="9"/>
  <c r="BA109" i="9" s="1"/>
  <c r="AC109" i="9"/>
  <c r="AZ109" i="9" s="1"/>
  <c r="AA109" i="9"/>
  <c r="AX109" i="9"/>
  <c r="AW109" i="9"/>
  <c r="AV109" i="9"/>
  <c r="AU109" i="9"/>
  <c r="AT109" i="9"/>
  <c r="AS108" i="9"/>
  <c r="BB108" i="9" s="1"/>
  <c r="AE108" i="9"/>
  <c r="BA108" i="9" s="1"/>
  <c r="AC108" i="9"/>
  <c r="AZ108" i="9" s="1"/>
  <c r="AA108" i="9"/>
  <c r="AX108" i="9"/>
  <c r="AW108" i="9"/>
  <c r="AV108" i="9"/>
  <c r="AU108" i="9"/>
  <c r="AT108" i="9"/>
  <c r="AS106" i="9"/>
  <c r="BB106" i="9" s="1"/>
  <c r="AE106" i="9"/>
  <c r="BA106" i="9" s="1"/>
  <c r="AC106" i="9"/>
  <c r="AZ106" i="9" s="1"/>
  <c r="AA106" i="9"/>
  <c r="AX106" i="9"/>
  <c r="AW106" i="9"/>
  <c r="AV106" i="9"/>
  <c r="AU106" i="9"/>
  <c r="AT106" i="9"/>
  <c r="AS105" i="9"/>
  <c r="BB105" i="9" s="1"/>
  <c r="AE105" i="9"/>
  <c r="BA105" i="9" s="1"/>
  <c r="AC105" i="9"/>
  <c r="AZ105" i="9" s="1"/>
  <c r="AA105" i="9"/>
  <c r="AX105" i="9"/>
  <c r="AW105" i="9"/>
  <c r="AS98" i="9"/>
  <c r="BB98" i="9" s="1"/>
  <c r="AE98" i="9"/>
  <c r="BA98" i="9" s="1"/>
  <c r="AC98" i="9"/>
  <c r="AZ98" i="9" s="1"/>
  <c r="AA98" i="9"/>
  <c r="AX98" i="9"/>
  <c r="AW98" i="9"/>
  <c r="AS96" i="9"/>
  <c r="BB96" i="9" s="1"/>
  <c r="AE96" i="9"/>
  <c r="BA96" i="9" s="1"/>
  <c r="AC96" i="9"/>
  <c r="AZ96" i="9" s="1"/>
  <c r="AA96" i="9"/>
  <c r="AX96" i="9"/>
  <c r="AW96" i="9"/>
  <c r="AV96" i="9"/>
  <c r="AU96" i="9"/>
  <c r="AT96" i="9"/>
  <c r="AS92" i="9"/>
  <c r="BB92" i="9" s="1"/>
  <c r="AE92" i="9"/>
  <c r="BA92" i="9" s="1"/>
  <c r="AC92" i="9"/>
  <c r="AZ92" i="9" s="1"/>
  <c r="AA92" i="9"/>
  <c r="AX92" i="9"/>
  <c r="AW92" i="9"/>
  <c r="AV92" i="9"/>
  <c r="AU92" i="9"/>
  <c r="AT92" i="9"/>
  <c r="AS91" i="9"/>
  <c r="BB91" i="9" s="1"/>
  <c r="AE91" i="9"/>
  <c r="BA91" i="9" s="1"/>
  <c r="AC91" i="9"/>
  <c r="AZ91" i="9" s="1"/>
  <c r="AA91" i="9"/>
  <c r="AX91" i="9"/>
  <c r="AW91" i="9"/>
  <c r="AV91" i="9"/>
  <c r="AU91" i="9"/>
  <c r="AT91" i="9"/>
  <c r="AS90" i="9"/>
  <c r="BB90" i="9" s="1"/>
  <c r="AE90" i="9"/>
  <c r="BA90" i="9" s="1"/>
  <c r="AC90" i="9"/>
  <c r="AZ90" i="9" s="1"/>
  <c r="AA90" i="9"/>
  <c r="AX90" i="9"/>
  <c r="AW90" i="9"/>
  <c r="AV90" i="9"/>
  <c r="AU90" i="9"/>
  <c r="AT90" i="9"/>
  <c r="AS82" i="9"/>
  <c r="BB82" i="9" s="1"/>
  <c r="AE82" i="9"/>
  <c r="BA82" i="9" s="1"/>
  <c r="AC82" i="9"/>
  <c r="AZ82" i="9" s="1"/>
  <c r="AA82" i="9"/>
  <c r="AX82" i="9"/>
  <c r="AW82" i="9"/>
  <c r="AS85" i="9"/>
  <c r="BB85" i="9" s="1"/>
  <c r="AE85" i="9"/>
  <c r="BA85" i="9" s="1"/>
  <c r="AC85" i="9"/>
  <c r="AZ85" i="9" s="1"/>
  <c r="AA85" i="9"/>
  <c r="AX85" i="9"/>
  <c r="AW85" i="9"/>
  <c r="AV85" i="9"/>
  <c r="AU85" i="9"/>
  <c r="AT85" i="9"/>
  <c r="AS74" i="9"/>
  <c r="BB74" i="9" s="1"/>
  <c r="AE74" i="9"/>
  <c r="BA74" i="9" s="1"/>
  <c r="AC74" i="9"/>
  <c r="AZ74" i="9" s="1"/>
  <c r="AA74" i="9"/>
  <c r="AX74" i="9"/>
  <c r="AW74" i="9"/>
  <c r="AV74" i="9"/>
  <c r="AU74" i="9"/>
  <c r="AT74" i="9"/>
  <c r="AS70" i="9"/>
  <c r="BB70" i="9" s="1"/>
  <c r="AE70" i="9"/>
  <c r="BA70" i="9" s="1"/>
  <c r="AC70" i="9"/>
  <c r="AZ70" i="9" s="1"/>
  <c r="AA70" i="9"/>
  <c r="AX70" i="9"/>
  <c r="AW70" i="9"/>
  <c r="AV70" i="9"/>
  <c r="AU70" i="9"/>
  <c r="AT70" i="9"/>
  <c r="AS69" i="9"/>
  <c r="BB69" i="9" s="1"/>
  <c r="AE69" i="9"/>
  <c r="BA69" i="9" s="1"/>
  <c r="AC69" i="9"/>
  <c r="AZ69" i="9" s="1"/>
  <c r="AA69" i="9"/>
  <c r="AX69" i="9"/>
  <c r="AW69" i="9"/>
  <c r="AS67" i="9"/>
  <c r="BB67" i="9" s="1"/>
  <c r="AE67" i="9"/>
  <c r="BA67" i="9" s="1"/>
  <c r="AC67" i="9"/>
  <c r="AZ67" i="9" s="1"/>
  <c r="AA67" i="9"/>
  <c r="AX67" i="9"/>
  <c r="AW67" i="9"/>
  <c r="AV67" i="9"/>
  <c r="AU67" i="9"/>
  <c r="AT67" i="9"/>
  <c r="AS61" i="9"/>
  <c r="BB61" i="9" s="1"/>
  <c r="AE61" i="9"/>
  <c r="BA61" i="9" s="1"/>
  <c r="AC61" i="9"/>
  <c r="AZ61" i="9" s="1"/>
  <c r="AS59" i="9"/>
  <c r="BB59" i="9" s="1"/>
  <c r="AE59" i="9"/>
  <c r="BA59" i="9" s="1"/>
  <c r="AC59" i="9"/>
  <c r="AZ59" i="9" s="1"/>
  <c r="AA59" i="9"/>
  <c r="AX59" i="9"/>
  <c r="AW59" i="9"/>
  <c r="AS58" i="9"/>
  <c r="BB58" i="9" s="1"/>
  <c r="AE58" i="9"/>
  <c r="BA58" i="9" s="1"/>
  <c r="AC58" i="9"/>
  <c r="AZ58" i="9" s="1"/>
  <c r="AA58" i="9"/>
  <c r="AX58" i="9"/>
  <c r="AW58" i="9"/>
  <c r="AV58" i="9"/>
  <c r="AU58" i="9"/>
  <c r="AT58" i="9"/>
  <c r="AS57" i="9"/>
  <c r="BB57" i="9" s="1"/>
  <c r="AE57" i="9"/>
  <c r="BA57" i="9" s="1"/>
  <c r="AC57" i="9"/>
  <c r="AZ57" i="9" s="1"/>
  <c r="AA57" i="9"/>
  <c r="AX57" i="9"/>
  <c r="AW57" i="9"/>
  <c r="AV57" i="9"/>
  <c r="AU57" i="9"/>
  <c r="AT57" i="9"/>
  <c r="AS54" i="9"/>
  <c r="BB54" i="9" s="1"/>
  <c r="AE54" i="9"/>
  <c r="BA54" i="9" s="1"/>
  <c r="AC54" i="9"/>
  <c r="AZ54" i="9" s="1"/>
  <c r="AA54" i="9"/>
  <c r="AX54" i="9"/>
  <c r="AW54" i="9"/>
  <c r="AV54" i="9"/>
  <c r="AU54" i="9"/>
  <c r="AT54" i="9"/>
  <c r="AS137" i="9"/>
  <c r="BB137" i="9" s="1"/>
  <c r="AE137" i="9"/>
  <c r="BA137" i="9" s="1"/>
  <c r="AC137" i="9"/>
  <c r="AZ137" i="9" s="1"/>
  <c r="AA137" i="9"/>
  <c r="AX137" i="9"/>
  <c r="AW137" i="9"/>
  <c r="AS104" i="9"/>
  <c r="BB104" i="9" s="1"/>
  <c r="AE104" i="9"/>
  <c r="BA104" i="9" s="1"/>
  <c r="AC104" i="9"/>
  <c r="AZ104" i="9" s="1"/>
  <c r="AA104" i="9"/>
  <c r="AX104" i="9"/>
  <c r="AW104" i="9"/>
  <c r="AV104" i="9"/>
  <c r="AU104" i="9"/>
  <c r="AT104" i="9"/>
  <c r="AE307" i="9"/>
  <c r="BA307" i="9" s="1"/>
  <c r="AC307" i="9"/>
  <c r="AZ307" i="9" s="1"/>
  <c r="AX307" i="9"/>
  <c r="AW307" i="9"/>
  <c r="AE239" i="9"/>
  <c r="BA239" i="9" s="1"/>
  <c r="AC239" i="9"/>
  <c r="AZ239" i="9" s="1"/>
  <c r="AA239" i="9"/>
  <c r="AX239" i="9"/>
  <c r="AW239" i="9"/>
  <c r="AU239" i="9"/>
  <c r="AT239" i="9"/>
  <c r="AS44" i="9"/>
  <c r="BB44" i="9" s="1"/>
  <c r="AE44" i="9"/>
  <c r="BA44" i="9" s="1"/>
  <c r="AC44" i="9"/>
  <c r="AZ44" i="9" s="1"/>
  <c r="AA44" i="9"/>
  <c r="AX44" i="9"/>
  <c r="AW44" i="9"/>
  <c r="AV44" i="9"/>
  <c r="AU44" i="9"/>
  <c r="AT44" i="9"/>
  <c r="AE293" i="9"/>
  <c r="BA293" i="9" s="1"/>
  <c r="AC293" i="9"/>
  <c r="AZ293" i="9" s="1"/>
  <c r="AX293" i="9"/>
  <c r="AW293" i="9"/>
  <c r="AS42" i="9"/>
  <c r="BB42" i="9" s="1"/>
  <c r="AE42" i="9"/>
  <c r="BA42" i="9" s="1"/>
  <c r="AC42" i="9"/>
  <c r="AZ42" i="9" s="1"/>
  <c r="AA42" i="9"/>
  <c r="AX42" i="9"/>
  <c r="AW42" i="9"/>
  <c r="AV42" i="9"/>
  <c r="AU42" i="9"/>
  <c r="AT42" i="9"/>
  <c r="AE184" i="9"/>
  <c r="BA184" i="9" s="1"/>
  <c r="AC184" i="9"/>
  <c r="AZ184" i="9" s="1"/>
  <c r="AA184" i="9"/>
  <c r="AX184" i="9"/>
  <c r="AW184" i="9"/>
  <c r="AU184" i="9"/>
  <c r="AT184" i="9"/>
  <c r="AE226" i="9"/>
  <c r="BA226" i="9" s="1"/>
  <c r="AC226" i="9"/>
  <c r="AZ226" i="9" s="1"/>
  <c r="AA226" i="9"/>
  <c r="Y226" i="9"/>
  <c r="AY226" i="9" s="1"/>
  <c r="AX226" i="9"/>
  <c r="AW226" i="9"/>
  <c r="AU226" i="9"/>
  <c r="AT226" i="9"/>
  <c r="AS29" i="9"/>
  <c r="BB29" i="9" s="1"/>
  <c r="AE29" i="9"/>
  <c r="BA29" i="9" s="1"/>
  <c r="AC29" i="9"/>
  <c r="AZ29" i="9" s="1"/>
  <c r="AA29" i="9"/>
  <c r="Y29" i="9"/>
  <c r="AY29" i="9" s="1"/>
  <c r="AX29" i="9"/>
  <c r="AW29" i="9"/>
  <c r="AV29" i="9"/>
  <c r="AU29" i="9"/>
  <c r="AT29" i="9"/>
  <c r="AS28" i="9"/>
  <c r="BB28" i="9" s="1"/>
  <c r="AE28" i="9"/>
  <c r="BA28" i="9" s="1"/>
  <c r="AC28" i="9"/>
  <c r="AZ28" i="9" s="1"/>
  <c r="AA28" i="9"/>
  <c r="Y28" i="9"/>
  <c r="AY28" i="9" s="1"/>
  <c r="AX28" i="9"/>
  <c r="AW28" i="9"/>
  <c r="AV28" i="9"/>
  <c r="AU28" i="9"/>
  <c r="AT28" i="9"/>
  <c r="AS27" i="9"/>
  <c r="BB27" i="9" s="1"/>
  <c r="AE27" i="9"/>
  <c r="BA27" i="9" s="1"/>
  <c r="AC27" i="9"/>
  <c r="AZ27" i="9" s="1"/>
  <c r="AA27" i="9"/>
  <c r="Y27" i="9"/>
  <c r="AY27" i="9" s="1"/>
  <c r="AX27" i="9"/>
  <c r="AW27" i="9"/>
  <c r="AV27" i="9"/>
  <c r="AU27" i="9"/>
  <c r="AT27" i="9"/>
  <c r="AS26" i="9"/>
  <c r="BB26" i="9" s="1"/>
  <c r="AE26" i="9"/>
  <c r="BA26" i="9" s="1"/>
  <c r="AC26" i="9"/>
  <c r="AZ26" i="9" s="1"/>
  <c r="AA26" i="9"/>
  <c r="Y26" i="9"/>
  <c r="AY26" i="9" s="1"/>
  <c r="AX26" i="9"/>
  <c r="AW26" i="9"/>
  <c r="AV26" i="9"/>
  <c r="AU26" i="9"/>
  <c r="AT26" i="9"/>
  <c r="AS23" i="9"/>
  <c r="BB23" i="9" s="1"/>
  <c r="AE23" i="9"/>
  <c r="BA23" i="9" s="1"/>
  <c r="AC23" i="9"/>
  <c r="AZ23" i="9" s="1"/>
  <c r="AA23" i="9"/>
  <c r="Y23" i="9"/>
  <c r="AY23" i="9" s="1"/>
  <c r="AX23" i="9"/>
  <c r="AW23" i="9"/>
  <c r="AV23" i="9"/>
  <c r="AU23" i="9"/>
  <c r="AT23" i="9"/>
  <c r="AS25" i="9"/>
  <c r="BB25" i="9" s="1"/>
  <c r="AE25" i="9"/>
  <c r="BA25" i="9" s="1"/>
  <c r="AC25" i="9"/>
  <c r="AZ25" i="9" s="1"/>
  <c r="AA25" i="9"/>
  <c r="Y25" i="9"/>
  <c r="AY25" i="9" s="1"/>
  <c r="AS24" i="9"/>
  <c r="BB24" i="9" s="1"/>
  <c r="AE24" i="9"/>
  <c r="BA24" i="9" s="1"/>
  <c r="AC24" i="9"/>
  <c r="AZ24" i="9" s="1"/>
  <c r="AA24" i="9"/>
  <c r="Y24" i="9"/>
  <c r="AY24" i="9" s="1"/>
  <c r="AS22" i="9"/>
  <c r="BB22" i="9" s="1"/>
  <c r="AE22" i="9"/>
  <c r="BA22" i="9" s="1"/>
  <c r="AC22" i="9"/>
  <c r="AZ22" i="9" s="1"/>
  <c r="AA22" i="9"/>
  <c r="Y22" i="9"/>
  <c r="AY22" i="9" s="1"/>
  <c r="AX22" i="9"/>
  <c r="AW22" i="9"/>
  <c r="AV22" i="9"/>
  <c r="AU22" i="9"/>
  <c r="AT22" i="9"/>
  <c r="AS20" i="9"/>
  <c r="BB20" i="9" s="1"/>
  <c r="AE20" i="9"/>
  <c r="BA20" i="9" s="1"/>
  <c r="AC20" i="9"/>
  <c r="AZ20" i="9" s="1"/>
  <c r="AA20" i="9"/>
  <c r="Y20" i="9"/>
  <c r="AY20" i="9" s="1"/>
  <c r="AX20" i="9"/>
  <c r="AW20" i="9"/>
  <c r="AV20" i="9"/>
  <c r="AU20" i="9"/>
  <c r="AT20" i="9"/>
  <c r="AS19" i="9"/>
  <c r="BB19" i="9" s="1"/>
  <c r="AE19" i="9"/>
  <c r="BA19" i="9" s="1"/>
  <c r="AC19" i="9"/>
  <c r="AZ19" i="9" s="1"/>
  <c r="AA19" i="9"/>
  <c r="Y19" i="9"/>
  <c r="AY19" i="9" s="1"/>
  <c r="AX19" i="9"/>
  <c r="AW19" i="9"/>
  <c r="AS18" i="9"/>
  <c r="BB18" i="9" s="1"/>
  <c r="AE18" i="9"/>
  <c r="BA18" i="9" s="1"/>
  <c r="AC18" i="9"/>
  <c r="AZ18" i="9" s="1"/>
  <c r="AA18" i="9"/>
  <c r="Y18" i="9"/>
  <c r="AY18" i="9" s="1"/>
  <c r="AX18" i="9"/>
  <c r="AW18" i="9"/>
  <c r="AV18" i="9"/>
  <c r="AU18" i="9"/>
  <c r="AT18" i="9"/>
  <c r="AS17" i="9"/>
  <c r="BB17" i="9" s="1"/>
  <c r="AE17" i="9"/>
  <c r="BA17" i="9" s="1"/>
  <c r="AC17" i="9"/>
  <c r="AZ17" i="9" s="1"/>
  <c r="AA17" i="9"/>
  <c r="Y17" i="9"/>
  <c r="AY17" i="9" s="1"/>
  <c r="AX17" i="9"/>
  <c r="AW17" i="9"/>
  <c r="AV17" i="9"/>
  <c r="AU17" i="9"/>
  <c r="AT17" i="9"/>
  <c r="AS6" i="9"/>
  <c r="BB6" i="9" s="1"/>
  <c r="AE6" i="9"/>
  <c r="BA6" i="9" s="1"/>
  <c r="AC6" i="9"/>
  <c r="AZ6" i="9" s="1"/>
  <c r="AA6" i="9"/>
  <c r="Y6" i="9"/>
  <c r="AY6" i="9" s="1"/>
  <c r="AX6" i="9"/>
  <c r="AW6" i="9"/>
  <c r="AS5" i="9"/>
  <c r="BB5" i="9" s="1"/>
  <c r="AE5" i="9"/>
  <c r="BA5" i="9" s="1"/>
  <c r="AC5" i="9"/>
  <c r="AZ5" i="9" s="1"/>
  <c r="AA5" i="9"/>
  <c r="Y5" i="9"/>
  <c r="AY5" i="9" s="1"/>
  <c r="AX5" i="9"/>
  <c r="AW5" i="9"/>
  <c r="AS16" i="9"/>
  <c r="BB16" i="9" s="1"/>
  <c r="AE16" i="9"/>
  <c r="BA16" i="9" s="1"/>
  <c r="AC16" i="9"/>
  <c r="AZ16" i="9" s="1"/>
  <c r="AA16" i="9"/>
  <c r="Y16" i="9"/>
  <c r="AY16" i="9" s="1"/>
  <c r="AX16" i="9"/>
  <c r="AW16" i="9"/>
  <c r="AV16" i="9"/>
  <c r="AU16" i="9"/>
  <c r="AT16" i="9"/>
  <c r="AS15" i="9"/>
  <c r="BB15" i="9" s="1"/>
  <c r="AE15" i="9"/>
  <c r="BA15" i="9" s="1"/>
  <c r="AC15" i="9"/>
  <c r="AZ15" i="9" s="1"/>
  <c r="AA15" i="9"/>
  <c r="Y15" i="9"/>
  <c r="AY15" i="9" s="1"/>
  <c r="AX15" i="9"/>
  <c r="AW15" i="9"/>
  <c r="AV15" i="9"/>
  <c r="AU15" i="9"/>
  <c r="AT15" i="9"/>
  <c r="AS13" i="9"/>
  <c r="BB13" i="9" s="1"/>
  <c r="AE13" i="9"/>
  <c r="BA13" i="9" s="1"/>
  <c r="AC13" i="9"/>
  <c r="AZ13" i="9" s="1"/>
  <c r="AA13" i="9"/>
  <c r="Y13" i="9"/>
  <c r="AY13" i="9" s="1"/>
  <c r="AX13" i="9"/>
  <c r="AW13" i="9"/>
  <c r="AV13" i="9"/>
  <c r="AU13" i="9"/>
  <c r="AT13" i="9"/>
  <c r="AS12" i="9"/>
  <c r="BB12" i="9" s="1"/>
  <c r="AE12" i="9"/>
  <c r="BA12" i="9" s="1"/>
  <c r="AC12" i="9"/>
  <c r="AZ12" i="9" s="1"/>
  <c r="AA12" i="9"/>
  <c r="Y12" i="9"/>
  <c r="AY12" i="9" s="1"/>
  <c r="AS11" i="9"/>
  <c r="BB11" i="9" s="1"/>
  <c r="AE11" i="9"/>
  <c r="BA11" i="9" s="1"/>
  <c r="AC11" i="9"/>
  <c r="AZ11" i="9" s="1"/>
  <c r="AA11" i="9"/>
  <c r="Y11" i="9"/>
  <c r="AY11" i="9" s="1"/>
  <c r="AS9" i="9"/>
  <c r="BB9" i="9" s="1"/>
  <c r="AE9" i="9"/>
  <c r="BA9" i="9" s="1"/>
  <c r="AC9" i="9"/>
  <c r="AZ9" i="9" s="1"/>
  <c r="AA9" i="9"/>
  <c r="Y9" i="9"/>
  <c r="AY9" i="9" s="1"/>
  <c r="AX9" i="9"/>
  <c r="AW9" i="9"/>
  <c r="AV9" i="9"/>
  <c r="AU9" i="9"/>
  <c r="AT9" i="9"/>
  <c r="AS8" i="9"/>
  <c r="BB8" i="9" s="1"/>
  <c r="AE8" i="9"/>
  <c r="BA8" i="9" s="1"/>
  <c r="AC8" i="9"/>
  <c r="AZ8" i="9" s="1"/>
  <c r="AA8" i="9"/>
  <c r="Y8" i="9"/>
  <c r="AY8" i="9" s="1"/>
  <c r="AX8" i="9"/>
  <c r="AW8" i="9"/>
  <c r="AV8" i="9"/>
  <c r="AU8" i="9"/>
  <c r="AT8" i="9"/>
  <c r="AS7" i="9"/>
  <c r="BB7" i="9" s="1"/>
  <c r="AE7" i="9"/>
  <c r="BA7" i="9" s="1"/>
  <c r="AC7" i="9"/>
  <c r="AZ7" i="9" s="1"/>
  <c r="AA7" i="9"/>
  <c r="Y7" i="9"/>
  <c r="AY7" i="9" s="1"/>
  <c r="AX7" i="9"/>
  <c r="AW7" i="9"/>
  <c r="AV7" i="9"/>
  <c r="AU7" i="9"/>
  <c r="AT7" i="9"/>
  <c r="BI5" i="7"/>
  <c r="BJ5" i="7"/>
  <c r="BL5" i="7"/>
  <c r="BI6" i="7"/>
  <c r="BJ6" i="7"/>
  <c r="BL6" i="7"/>
  <c r="BI7" i="7"/>
  <c r="BJ7" i="7"/>
  <c r="BL7" i="7"/>
  <c r="BI8" i="7"/>
  <c r="BJ8" i="7"/>
  <c r="BL8" i="7"/>
  <c r="BI9" i="7"/>
  <c r="BJ9" i="7"/>
  <c r="BL9" i="7"/>
  <c r="BI10" i="7"/>
  <c r="BJ10" i="7"/>
  <c r="BL10" i="7"/>
  <c r="BI11" i="7"/>
  <c r="BJ11" i="7"/>
  <c r="BL11" i="7"/>
  <c r="BI12" i="7"/>
  <c r="BJ12" i="7"/>
  <c r="BL12" i="7"/>
  <c r="BI13" i="7"/>
  <c r="BJ13" i="7"/>
  <c r="BL13" i="7"/>
  <c r="BI14" i="7"/>
  <c r="BJ14" i="7"/>
  <c r="BL14" i="7"/>
  <c r="BI15" i="7"/>
  <c r="BJ15" i="7"/>
  <c r="BL15" i="7"/>
  <c r="BI16" i="7"/>
  <c r="BJ16" i="7"/>
  <c r="BL16" i="7"/>
  <c r="BI17" i="7"/>
  <c r="BJ17" i="7"/>
  <c r="BL17" i="7"/>
  <c r="BI18" i="7"/>
  <c r="BJ18" i="7"/>
  <c r="BL18" i="7"/>
  <c r="BI19" i="7"/>
  <c r="BJ19" i="7"/>
  <c r="BL19" i="7"/>
  <c r="BI20" i="7"/>
  <c r="BJ20" i="7"/>
  <c r="BL20" i="7"/>
  <c r="BI21" i="7"/>
  <c r="BJ21" i="7"/>
  <c r="BL21" i="7"/>
  <c r="BI23" i="7"/>
  <c r="BJ23" i="7"/>
  <c r="BL23" i="7"/>
  <c r="BI25" i="7"/>
  <c r="BJ25" i="7"/>
  <c r="BL25" i="7"/>
  <c r="BI27" i="7"/>
  <c r="BJ27" i="7"/>
  <c r="BL27" i="7"/>
  <c r="BI28" i="7"/>
  <c r="BJ28" i="7"/>
  <c r="BL28" i="7"/>
  <c r="BI29" i="7"/>
  <c r="BJ29" i="7"/>
  <c r="BL29" i="7"/>
  <c r="BI30" i="7"/>
  <c r="BJ30" i="7"/>
  <c r="BL30" i="7"/>
  <c r="BI31" i="7"/>
  <c r="BJ31" i="7"/>
  <c r="BL31" i="7"/>
  <c r="BI32" i="7"/>
  <c r="BJ32" i="7"/>
  <c r="BL32" i="7"/>
  <c r="BI26" i="7"/>
  <c r="BJ26" i="7"/>
  <c r="BL26" i="7"/>
  <c r="BI33" i="7"/>
  <c r="BJ33" i="7"/>
  <c r="BL33" i="7"/>
  <c r="BI34" i="7"/>
  <c r="BJ34" i="7"/>
  <c r="BL34" i="7"/>
  <c r="BI35" i="7"/>
  <c r="BJ35" i="7"/>
  <c r="BL35" i="7"/>
  <c r="BI24" i="7"/>
  <c r="BJ24" i="7"/>
  <c r="BL24" i="7"/>
  <c r="BI36" i="7"/>
  <c r="BJ36" i="7"/>
  <c r="BL36" i="7"/>
  <c r="BI37" i="7"/>
  <c r="BJ37" i="7"/>
  <c r="BL37" i="7"/>
  <c r="BI38" i="7"/>
  <c r="BJ38" i="7"/>
  <c r="BL38" i="7"/>
  <c r="BI40" i="7"/>
  <c r="BJ40" i="7"/>
  <c r="BL40" i="7"/>
  <c r="BI39" i="7"/>
  <c r="BJ39" i="7"/>
  <c r="BL39" i="7"/>
  <c r="BI41" i="7"/>
  <c r="BJ41" i="7"/>
  <c r="BL41" i="7"/>
  <c r="BI42" i="7"/>
  <c r="BJ42" i="7"/>
  <c r="BL42" i="7"/>
  <c r="BI43" i="7"/>
  <c r="BJ43" i="7"/>
  <c r="BL43" i="7"/>
  <c r="BI44" i="7"/>
  <c r="BJ44" i="7"/>
  <c r="BL44" i="7"/>
  <c r="BI45" i="7"/>
  <c r="BJ45" i="7"/>
  <c r="BL45" i="7"/>
  <c r="BI46" i="7"/>
  <c r="BJ46" i="7"/>
  <c r="BL46" i="7"/>
  <c r="BI47" i="7"/>
  <c r="BJ47" i="7"/>
  <c r="BL47" i="7"/>
  <c r="BI48" i="7"/>
  <c r="BJ48" i="7"/>
  <c r="BL48" i="7"/>
  <c r="BI49" i="7"/>
  <c r="BJ49" i="7"/>
  <c r="BL49" i="7"/>
  <c r="BI50" i="7"/>
  <c r="BJ50" i="7"/>
  <c r="BL50" i="7"/>
  <c r="BI51" i="7"/>
  <c r="BJ51" i="7"/>
  <c r="BL51" i="7"/>
  <c r="BI52" i="7"/>
  <c r="BJ52" i="7"/>
  <c r="BL52" i="7"/>
  <c r="BI53" i="7"/>
  <c r="BJ53" i="7"/>
  <c r="BL53" i="7"/>
  <c r="BI54" i="7"/>
  <c r="BJ54" i="7"/>
  <c r="BL54" i="7"/>
  <c r="BI55" i="7"/>
  <c r="BJ55" i="7"/>
  <c r="BL55" i="7"/>
  <c r="BI56" i="7"/>
  <c r="BJ56" i="7"/>
  <c r="BL56" i="7"/>
  <c r="BI57" i="7"/>
  <c r="BJ57" i="7"/>
  <c r="BL57" i="7"/>
  <c r="BI58" i="7"/>
  <c r="BJ58" i="7"/>
  <c r="BL58" i="7"/>
  <c r="BI59" i="7"/>
  <c r="BJ59" i="7"/>
  <c r="BL59" i="7"/>
  <c r="BI60" i="7"/>
  <c r="BJ60" i="7"/>
  <c r="BL60" i="7"/>
  <c r="BI61" i="7"/>
  <c r="BJ61" i="7"/>
  <c r="BL61" i="7"/>
  <c r="BI62" i="7"/>
  <c r="BJ62" i="7"/>
  <c r="BL62" i="7"/>
  <c r="BI63" i="7"/>
  <c r="BJ63" i="7"/>
  <c r="BL63" i="7"/>
  <c r="BI64" i="7"/>
  <c r="BJ64" i="7"/>
  <c r="BL64" i="7"/>
  <c r="BI65" i="7"/>
  <c r="BJ65" i="7"/>
  <c r="BL65" i="7"/>
  <c r="BI66" i="7"/>
  <c r="BJ66" i="7"/>
  <c r="BL66" i="7"/>
  <c r="BI67" i="7"/>
  <c r="BJ67" i="7"/>
  <c r="BL67" i="7"/>
  <c r="BI68" i="7"/>
  <c r="BJ68" i="7"/>
  <c r="BL68" i="7"/>
  <c r="BI69" i="7"/>
  <c r="BJ69" i="7"/>
  <c r="BL69" i="7"/>
  <c r="BI70" i="7"/>
  <c r="BJ70" i="7"/>
  <c r="BL70" i="7"/>
  <c r="BI71" i="7"/>
  <c r="BJ71" i="7"/>
  <c r="BL71" i="7"/>
  <c r="BI72" i="7"/>
  <c r="BJ72" i="7"/>
  <c r="BL72" i="7"/>
  <c r="BI73" i="7"/>
  <c r="BJ73" i="7"/>
  <c r="BL73" i="7"/>
  <c r="BI74" i="7"/>
  <c r="BJ74" i="7"/>
  <c r="BL74" i="7"/>
  <c r="BI75" i="7"/>
  <c r="BJ75" i="7"/>
  <c r="BL75" i="7"/>
  <c r="BI76" i="7"/>
  <c r="BJ76" i="7"/>
  <c r="BL76" i="7"/>
  <c r="BI77" i="7"/>
  <c r="BJ77" i="7"/>
  <c r="BL77" i="7"/>
  <c r="BI78" i="7"/>
  <c r="BJ78" i="7"/>
  <c r="BL78" i="7"/>
  <c r="BI79" i="7"/>
  <c r="BJ79" i="7"/>
  <c r="BL79" i="7"/>
  <c r="BI80" i="7"/>
  <c r="BJ80" i="7"/>
  <c r="BL80" i="7"/>
  <c r="BI81" i="7"/>
  <c r="BJ81" i="7"/>
  <c r="BL81" i="7"/>
  <c r="BI82" i="7"/>
  <c r="BJ82" i="7"/>
  <c r="BL82" i="7"/>
  <c r="BI83" i="7"/>
  <c r="BJ83" i="7"/>
  <c r="BL83" i="7"/>
  <c r="BI84" i="7"/>
  <c r="BJ84" i="7"/>
  <c r="BL84" i="7"/>
  <c r="BI85" i="7"/>
  <c r="BJ85" i="7"/>
  <c r="BL85" i="7"/>
  <c r="BI86" i="7"/>
  <c r="BJ86" i="7"/>
  <c r="BL86" i="7"/>
  <c r="BI87" i="7"/>
  <c r="BJ87" i="7"/>
  <c r="BL87" i="7"/>
  <c r="BI88" i="7"/>
  <c r="BJ88" i="7"/>
  <c r="BL88" i="7"/>
  <c r="BI89" i="7"/>
  <c r="BJ89" i="7"/>
  <c r="BL89" i="7"/>
  <c r="BI90" i="7"/>
  <c r="BJ90" i="7"/>
  <c r="BL90" i="7"/>
  <c r="BI91" i="7"/>
  <c r="BJ91" i="7"/>
  <c r="BL91" i="7"/>
  <c r="BI92" i="7"/>
  <c r="BJ92" i="7"/>
  <c r="BL92" i="7"/>
  <c r="BI93" i="7"/>
  <c r="BJ93" i="7"/>
  <c r="BL93" i="7"/>
  <c r="BI94" i="7"/>
  <c r="BJ94" i="7"/>
  <c r="BL94" i="7"/>
  <c r="BI95" i="7"/>
  <c r="BJ95" i="7"/>
  <c r="BL95" i="7"/>
  <c r="BI96" i="7"/>
  <c r="BJ96" i="7"/>
  <c r="BL96" i="7"/>
  <c r="BI97" i="7"/>
  <c r="BJ97" i="7"/>
  <c r="BL97" i="7"/>
  <c r="BI98" i="7"/>
  <c r="BJ98" i="7"/>
  <c r="BL98" i="7"/>
  <c r="E303" i="15" l="1" a="1"/>
  <c r="E303" i="15" s="1"/>
  <c r="BF186" i="9"/>
  <c r="BG186" i="9" s="1"/>
  <c r="E273" i="15" a="1"/>
  <c r="E273" i="15" s="1"/>
  <c r="E272" i="15" a="1"/>
  <c r="E272" i="15" s="1"/>
  <c r="E271" i="15" a="1"/>
  <c r="E271" i="15" s="1"/>
  <c r="E291" i="15" a="1"/>
  <c r="E291" i="15" s="1"/>
  <c r="E302" i="15" a="1"/>
  <c r="E302" i="15" s="1"/>
  <c r="E293" i="15" a="1"/>
  <c r="E293" i="15" s="1"/>
  <c r="E312" i="15" a="1"/>
  <c r="E312" i="15" s="1"/>
  <c r="BF116" i="9"/>
  <c r="BG116" i="9" s="1"/>
  <c r="BD116" i="9" s="1"/>
  <c r="BF164" i="9"/>
  <c r="BG164" i="9" s="1"/>
  <c r="BD164" i="9" s="1"/>
  <c r="BF12" i="9"/>
  <c r="BG12" i="9" s="1"/>
  <c r="BD12" i="9" s="1"/>
  <c r="BF24" i="9"/>
  <c r="BG24" i="9" s="1"/>
  <c r="BD24" i="9" s="1"/>
  <c r="BF118" i="9"/>
  <c r="BG118" i="9" s="1"/>
  <c r="BF113" i="9"/>
  <c r="BG113" i="9" s="1"/>
  <c r="BD113" i="9" s="1"/>
  <c r="BF114" i="9"/>
  <c r="BG114" i="9" s="1"/>
  <c r="BD114" i="9" s="1"/>
  <c r="BF130" i="9"/>
  <c r="BG130" i="9" s="1"/>
  <c r="BD130" i="9" s="1"/>
  <c r="G364" i="20"/>
  <c r="H364" i="20" s="1"/>
  <c r="I364" i="20"/>
  <c r="J364" i="20" s="1"/>
  <c r="E274" i="15" a="1"/>
  <c r="E274" i="15" s="1"/>
  <c r="E312" i="20" a="1"/>
  <c r="E312" i="20" s="1"/>
  <c r="E272" i="20" a="1"/>
  <c r="E272" i="20" s="1"/>
  <c r="E293" i="20" a="1"/>
  <c r="E293" i="20" s="1"/>
  <c r="E345" i="20" a="1"/>
  <c r="E345" i="20" s="1"/>
  <c r="E274" i="20" a="1"/>
  <c r="E274" i="20" s="1"/>
  <c r="E271" i="20" a="1"/>
  <c r="E271" i="20" s="1"/>
  <c r="E302" i="20" a="1"/>
  <c r="E302" i="20" s="1"/>
  <c r="E313" i="20" a="1"/>
  <c r="E313" i="20" s="1"/>
  <c r="E291" i="20" a="1"/>
  <c r="E291" i="20" s="1"/>
  <c r="E367" i="20" a="1"/>
  <c r="E367" i="20" s="1"/>
  <c r="E343" i="20" a="1"/>
  <c r="E343" i="20" s="1"/>
  <c r="E366" i="20" a="1"/>
  <c r="E366" i="20" s="1"/>
  <c r="E273" i="20" a="1"/>
  <c r="E273" i="20" s="1"/>
  <c r="E303" i="20" a="1"/>
  <c r="E303" i="20" s="1"/>
  <c r="BF191" i="9"/>
  <c r="BG191" i="9" s="1"/>
  <c r="BD191" i="9" s="1"/>
  <c r="BF5" i="9"/>
  <c r="BG5" i="9" s="1"/>
  <c r="BF293" i="9"/>
  <c r="BG293" i="9" s="1"/>
  <c r="BD293" i="9" s="1"/>
  <c r="BF184" i="9"/>
  <c r="BG184" i="9" s="1"/>
  <c r="BD184" i="9" s="1"/>
  <c r="BF19" i="9"/>
  <c r="BG19" i="9" s="1"/>
  <c r="BD19" i="9" s="1"/>
  <c r="BF25" i="9"/>
  <c r="BG25" i="9" s="1"/>
  <c r="BD25" i="9" s="1"/>
  <c r="BF137" i="9"/>
  <c r="BG137" i="9" s="1"/>
  <c r="BD137" i="9" s="1"/>
  <c r="E366" i="15" a="1"/>
  <c r="E366" i="15" s="1"/>
  <c r="BE48" i="9"/>
  <c r="K364" i="20" s="1"/>
  <c r="E367" i="15" a="1"/>
  <c r="E367" i="15" s="1"/>
  <c r="BF57" i="9"/>
  <c r="BG57" i="9" s="1"/>
  <c r="BD57" i="9" s="1"/>
  <c r="BF11" i="9"/>
  <c r="BG11" i="9" s="1"/>
  <c r="BD11" i="9" s="1"/>
  <c r="BF61" i="9"/>
  <c r="BG61" i="9" s="1"/>
  <c r="BD61" i="9" s="1"/>
  <c r="BF26" i="9"/>
  <c r="BG26" i="9" s="1"/>
  <c r="BD26" i="9" s="1"/>
  <c r="BF6" i="9"/>
  <c r="BG6" i="9" s="1"/>
  <c r="BF110" i="9"/>
  <c r="BG110" i="9" s="1"/>
  <c r="BD110" i="9" s="1"/>
  <c r="BF59" i="9"/>
  <c r="BG59" i="9" s="1"/>
  <c r="BD59" i="9" s="1"/>
  <c r="BF188" i="9"/>
  <c r="BG188" i="9" s="1"/>
  <c r="BD188" i="9" s="1"/>
  <c r="BF74" i="9"/>
  <c r="BG74" i="9" s="1"/>
  <c r="BD74" i="9" s="1"/>
  <c r="BF28" i="9"/>
  <c r="BG28" i="9" s="1"/>
  <c r="BD28" i="9" s="1"/>
  <c r="BF44" i="9"/>
  <c r="BG44" i="9" s="1"/>
  <c r="BD44" i="9" s="1"/>
  <c r="BF307" i="9"/>
  <c r="BG307" i="9" s="1"/>
  <c r="BD307" i="9" s="1"/>
  <c r="BF69" i="9"/>
  <c r="BG69" i="9" s="1"/>
  <c r="BD69" i="9" s="1"/>
  <c r="BF91" i="9"/>
  <c r="BG91" i="9" s="1"/>
  <c r="BD91" i="9" s="1"/>
  <c r="BF108" i="9"/>
  <c r="BG108" i="9" s="1"/>
  <c r="BD108" i="9" s="1"/>
  <c r="BF82" i="9"/>
  <c r="BG82" i="9" s="1"/>
  <c r="BD82" i="9" s="1"/>
  <c r="BF105" i="9"/>
  <c r="BG105" i="9" s="1"/>
  <c r="BD105" i="9" s="1"/>
  <c r="BF7" i="9"/>
  <c r="BG7" i="9" s="1"/>
  <c r="BD7" i="9" s="1"/>
  <c r="BF96" i="9"/>
  <c r="BG96" i="9" s="1"/>
  <c r="BD96" i="9" s="1"/>
  <c r="BF15" i="9"/>
  <c r="BG15" i="9" s="1"/>
  <c r="BD15" i="9" s="1"/>
  <c r="BF8" i="9"/>
  <c r="BG8" i="9" s="1"/>
  <c r="BD8" i="9" s="1"/>
  <c r="BF17" i="9"/>
  <c r="BG17" i="9" s="1"/>
  <c r="BD17" i="9" s="1"/>
  <c r="BF54" i="9"/>
  <c r="BG54" i="9" s="1"/>
  <c r="BD54" i="9" s="1"/>
  <c r="BF18" i="9"/>
  <c r="BG18" i="9" s="1"/>
  <c r="BD18" i="9" s="1"/>
  <c r="BF239" i="9"/>
  <c r="BG239" i="9" s="1"/>
  <c r="BD239" i="9" s="1"/>
  <c r="BF92" i="9"/>
  <c r="BG92" i="9" s="1"/>
  <c r="BD92" i="9" s="1"/>
  <c r="BF109" i="9"/>
  <c r="BG109" i="9" s="1"/>
  <c r="BD109" i="9" s="1"/>
  <c r="BF190" i="9"/>
  <c r="BG190" i="9" s="1"/>
  <c r="BD190" i="9" s="1"/>
  <c r="BF20" i="9"/>
  <c r="BG20" i="9" s="1"/>
  <c r="BD20" i="9" s="1"/>
  <c r="BF29" i="9"/>
  <c r="BG29" i="9" s="1"/>
  <c r="BD29" i="9" s="1"/>
  <c r="BF98" i="9"/>
  <c r="BG98" i="9" s="1"/>
  <c r="BD98" i="9" s="1"/>
  <c r="BF23" i="9"/>
  <c r="BG23" i="9" s="1"/>
  <c r="BD23" i="9" s="1"/>
  <c r="BF22" i="9"/>
  <c r="BG22" i="9" s="1"/>
  <c r="BD22" i="9" s="1"/>
  <c r="BF226" i="9"/>
  <c r="BG226" i="9" s="1"/>
  <c r="BD226" i="9" s="1"/>
  <c r="BF104" i="9"/>
  <c r="BG104" i="9" s="1"/>
  <c r="BD104" i="9" s="1"/>
  <c r="BF42" i="9"/>
  <c r="BG42" i="9" s="1"/>
  <c r="BF9" i="9"/>
  <c r="BG9" i="9" s="1"/>
  <c r="BD9" i="9" s="1"/>
  <c r="BF58" i="9"/>
  <c r="BG58" i="9" s="1"/>
  <c r="BD58" i="9" s="1"/>
  <c r="BF112" i="9"/>
  <c r="BG112" i="9" s="1"/>
  <c r="BD112" i="9" s="1"/>
  <c r="BF27" i="9"/>
  <c r="BG27" i="9" s="1"/>
  <c r="BD27" i="9" s="1"/>
  <c r="BF70" i="9"/>
  <c r="BG70" i="9" s="1"/>
  <c r="BD70" i="9" s="1"/>
  <c r="BF169" i="9"/>
  <c r="BG169" i="9" s="1"/>
  <c r="BD169" i="9" s="1"/>
  <c r="BF13" i="9"/>
  <c r="BG13" i="9" s="1"/>
  <c r="BD13" i="9" s="1"/>
  <c r="BF16" i="9"/>
  <c r="BG16" i="9" s="1"/>
  <c r="BD16" i="9" s="1"/>
  <c r="BF67" i="9"/>
  <c r="BG67" i="9" s="1"/>
  <c r="BD67" i="9" s="1"/>
  <c r="BF90" i="9"/>
  <c r="BG90" i="9" s="1"/>
  <c r="BD90" i="9" s="1"/>
  <c r="BF106" i="9"/>
  <c r="BG106" i="9" s="1"/>
  <c r="BD106" i="9" s="1"/>
  <c r="BF115" i="9"/>
  <c r="BG115" i="9" s="1"/>
  <c r="BD115" i="9" s="1"/>
  <c r="BF117" i="9"/>
  <c r="BG117" i="9" s="1"/>
  <c r="BD117" i="9" s="1"/>
  <c r="BF122" i="9"/>
  <c r="BG122" i="9" s="1"/>
  <c r="BD122" i="9" s="1"/>
  <c r="BF136" i="9"/>
  <c r="BG136" i="9" s="1"/>
  <c r="BD136" i="9" s="1"/>
  <c r="BF195" i="9"/>
  <c r="BG195" i="9" s="1"/>
  <c r="BD195" i="9" s="1"/>
  <c r="BF85" i="9"/>
  <c r="BG85" i="9" s="1"/>
  <c r="BD85" i="9" s="1"/>
  <c r="BF111" i="9"/>
  <c r="BG111" i="9" s="1"/>
  <c r="BD111" i="9" s="1"/>
  <c r="I317" i="15"/>
  <c r="J317" i="15" s="1"/>
  <c r="BD186" i="9"/>
  <c r="BD118" i="9"/>
  <c r="AZ349" i="9"/>
  <c r="BC21" i="9"/>
  <c r="BC47" i="9"/>
  <c r="BC10" i="9"/>
  <c r="BC46" i="9"/>
  <c r="BC48" i="9"/>
  <c r="BC14" i="9"/>
  <c r="AW349" i="9"/>
  <c r="AY349" i="9"/>
  <c r="BB349" i="9"/>
  <c r="AX349" i="9"/>
  <c r="BA349" i="9"/>
  <c r="AD367" i="15" l="1"/>
  <c r="AE367" i="15" s="1"/>
  <c r="AB367" i="15"/>
  <c r="AC367" i="15" s="1"/>
  <c r="AA366" i="15"/>
  <c r="AB366" i="15"/>
  <c r="AC366" i="15" s="1"/>
  <c r="AD366" i="15"/>
  <c r="AE366" i="15" s="1"/>
  <c r="AD312" i="15"/>
  <c r="AB312" i="15"/>
  <c r="AC312" i="15" s="1"/>
  <c r="AB293" i="15"/>
  <c r="AC293" i="15" s="1"/>
  <c r="AD293" i="15"/>
  <c r="AE293" i="15" s="1"/>
  <c r="AD302" i="15"/>
  <c r="AB302" i="15"/>
  <c r="AC302" i="15" s="1"/>
  <c r="AD291" i="15"/>
  <c r="AE291" i="15" s="1"/>
  <c r="AB291" i="15"/>
  <c r="AC291" i="15" s="1"/>
  <c r="AD303" i="15"/>
  <c r="AE303" i="15" s="1"/>
  <c r="AB303" i="15"/>
  <c r="AC303" i="15" s="1"/>
  <c r="G367" i="15"/>
  <c r="H367" i="15" s="1"/>
  <c r="AA367" i="15"/>
  <c r="G312" i="15"/>
  <c r="H312" i="15" s="1"/>
  <c r="AA312" i="15"/>
  <c r="G293" i="15"/>
  <c r="H293" i="15" s="1"/>
  <c r="AA293" i="15"/>
  <c r="G302" i="15"/>
  <c r="H302" i="15" s="1"/>
  <c r="AA302" i="15"/>
  <c r="G291" i="15"/>
  <c r="H291" i="15" s="1"/>
  <c r="AA291" i="15"/>
  <c r="K271" i="15"/>
  <c r="AA271" i="15"/>
  <c r="I274" i="15"/>
  <c r="J274" i="15" s="1"/>
  <c r="AA274" i="15"/>
  <c r="G272" i="15"/>
  <c r="H272" i="15" s="1"/>
  <c r="AA272" i="15"/>
  <c r="G273" i="15"/>
  <c r="H273" i="15" s="1"/>
  <c r="AA273" i="15"/>
  <c r="G303" i="15"/>
  <c r="H303" i="15" s="1"/>
  <c r="AA303" i="15"/>
  <c r="I303" i="15"/>
  <c r="J303" i="15" s="1"/>
  <c r="I273" i="15"/>
  <c r="J273" i="15" s="1"/>
  <c r="I302" i="15"/>
  <c r="J302" i="15" s="1"/>
  <c r="I271" i="15"/>
  <c r="J271" i="15" s="1"/>
  <c r="I293" i="15"/>
  <c r="J293" i="15" s="1"/>
  <c r="I291" i="15"/>
  <c r="J291" i="15" s="1"/>
  <c r="I272" i="15"/>
  <c r="J272" i="15" s="1"/>
  <c r="G271" i="15"/>
  <c r="H271" i="15" s="1"/>
  <c r="K273" i="15"/>
  <c r="K272" i="15"/>
  <c r="E351" i="15" a="1"/>
  <c r="E351" i="15" s="1"/>
  <c r="G343" i="20"/>
  <c r="H343" i="20" s="1"/>
  <c r="K343" i="20"/>
  <c r="I343" i="20"/>
  <c r="J343" i="20" s="1"/>
  <c r="I367" i="20"/>
  <c r="J367" i="20" s="1"/>
  <c r="G367" i="20"/>
  <c r="H367" i="20" s="1"/>
  <c r="G291" i="20"/>
  <c r="H291" i="20" s="1"/>
  <c r="I291" i="20"/>
  <c r="J291" i="20" s="1"/>
  <c r="E362" i="20" a="1"/>
  <c r="E362" i="20" s="1"/>
  <c r="E347" i="20" a="1"/>
  <c r="E347" i="20" s="1"/>
  <c r="E349" i="20" a="1"/>
  <c r="E349" i="20" s="1"/>
  <c r="E294" i="20" a="1"/>
  <c r="E294" i="20" s="1"/>
  <c r="E276" i="20" a="1"/>
  <c r="E276" i="20" s="1"/>
  <c r="E372" i="20" a="1"/>
  <c r="E372" i="20" s="1"/>
  <c r="E280" i="20" a="1"/>
  <c r="E280" i="20" s="1"/>
  <c r="E337" i="20" a="1"/>
  <c r="E337" i="20" s="1"/>
  <c r="E357" i="20" a="1"/>
  <c r="E357" i="20" s="1"/>
  <c r="E335" i="20" a="1"/>
  <c r="E335" i="20" s="1"/>
  <c r="E339" i="20" a="1"/>
  <c r="E339" i="20" s="1"/>
  <c r="E289" i="20" a="1"/>
  <c r="E289" i="20" s="1"/>
  <c r="E358" i="20" a="1"/>
  <c r="E358" i="20" s="1"/>
  <c r="E304" i="20" a="1"/>
  <c r="E304" i="20" s="1"/>
  <c r="E296" i="20" a="1"/>
  <c r="E296" i="20" s="1"/>
  <c r="E278" i="20" a="1"/>
  <c r="E278" i="20" s="1"/>
  <c r="E351" i="20" a="1"/>
  <c r="E351" i="20" s="1"/>
  <c r="E288" i="20" a="1"/>
  <c r="E288" i="20" s="1"/>
  <c r="E369" i="20" a="1"/>
  <c r="E369" i="20" s="1"/>
  <c r="E314" i="20" a="1"/>
  <c r="E314" i="20" s="1"/>
  <c r="E315" i="20" a="1"/>
  <c r="E315" i="20" s="1"/>
  <c r="E282" i="20" a="1"/>
  <c r="E282" i="20" s="1"/>
  <c r="E363" i="20" a="1"/>
  <c r="E363" i="20" s="1"/>
  <c r="E319" i="20" a="1"/>
  <c r="E319" i="20" s="1"/>
  <c r="E323" i="20" a="1"/>
  <c r="E323" i="20" s="1"/>
  <c r="E371" i="20" a="1"/>
  <c r="E371" i="20" s="1"/>
  <c r="E290" i="20" a="1"/>
  <c r="E290" i="20" s="1"/>
  <c r="E281" i="20" a="1"/>
  <c r="E281" i="20" s="1"/>
  <c r="E348" i="20" a="1"/>
  <c r="E348" i="20" s="1"/>
  <c r="E321" i="20" a="1"/>
  <c r="E321" i="20" s="1"/>
  <c r="E336" i="20" a="1"/>
  <c r="E336" i="20" s="1"/>
  <c r="E346" i="20" a="1"/>
  <c r="E346" i="20" s="1"/>
  <c r="E275" i="20" a="1"/>
  <c r="E275" i="20" s="1"/>
  <c r="E318" i="20" a="1"/>
  <c r="E318" i="20" s="1"/>
  <c r="E306" i="20" a="1"/>
  <c r="E306" i="20" s="1"/>
  <c r="E305" i="20" a="1"/>
  <c r="E305" i="20" s="1"/>
  <c r="E338" i="20" a="1"/>
  <c r="E338" i="20" s="1"/>
  <c r="E295" i="20" a="1"/>
  <c r="E295" i="20" s="1"/>
  <c r="E279" i="20" a="1"/>
  <c r="E279" i="20" s="1"/>
  <c r="E277" i="20" a="1"/>
  <c r="E277" i="20" s="1"/>
  <c r="E350" i="20" a="1"/>
  <c r="E350" i="20" s="1"/>
  <c r="E360" i="20" a="1"/>
  <c r="E360" i="20" s="1"/>
  <c r="E370" i="20" a="1"/>
  <c r="E370" i="20" s="1"/>
  <c r="E340" i="20" a="1"/>
  <c r="E340" i="20" s="1"/>
  <c r="E322" i="20" a="1"/>
  <c r="E322" i="20" s="1"/>
  <c r="E361" i="20" a="1"/>
  <c r="E361" i="20" s="1"/>
  <c r="E320" i="20" a="1"/>
  <c r="E320" i="20" s="1"/>
  <c r="E342" i="20" a="1"/>
  <c r="E342" i="20" s="1"/>
  <c r="E329" i="20" a="1"/>
  <c r="E329" i="20" s="1"/>
  <c r="E359" i="20" a="1"/>
  <c r="E359" i="20" s="1"/>
  <c r="E368" i="20" a="1"/>
  <c r="E368" i="20" s="1"/>
  <c r="I313" i="20"/>
  <c r="J313" i="20" s="1"/>
  <c r="G313" i="20"/>
  <c r="H313" i="20" s="1"/>
  <c r="G302" i="20"/>
  <c r="H302" i="20" s="1"/>
  <c r="I302" i="20"/>
  <c r="J302" i="20" s="1"/>
  <c r="G274" i="15"/>
  <c r="H274" i="15" s="1"/>
  <c r="I271" i="20"/>
  <c r="J271" i="20" s="1"/>
  <c r="K271" i="20"/>
  <c r="G271" i="20"/>
  <c r="H271" i="20" s="1"/>
  <c r="K274" i="15"/>
  <c r="I274" i="20"/>
  <c r="J274" i="20" s="1"/>
  <c r="G274" i="20"/>
  <c r="H274" i="20" s="1"/>
  <c r="K274" i="20"/>
  <c r="I366" i="20"/>
  <c r="J366" i="20" s="1"/>
  <c r="K366" i="20"/>
  <c r="G366" i="20"/>
  <c r="H366" i="20" s="1"/>
  <c r="K345" i="20"/>
  <c r="I345" i="20"/>
  <c r="J345" i="20" s="1"/>
  <c r="G345" i="20"/>
  <c r="H345" i="20" s="1"/>
  <c r="I293" i="20"/>
  <c r="J293" i="20" s="1"/>
  <c r="G293" i="20"/>
  <c r="H293" i="20" s="1"/>
  <c r="K272" i="20"/>
  <c r="I272" i="20"/>
  <c r="J272" i="20" s="1"/>
  <c r="G272" i="20"/>
  <c r="H272" i="20" s="1"/>
  <c r="E340" i="15" a="1"/>
  <c r="E340" i="15" s="1"/>
  <c r="I312" i="20"/>
  <c r="J312" i="20" s="1"/>
  <c r="G312" i="20"/>
  <c r="H312" i="20" s="1"/>
  <c r="K303" i="20"/>
  <c r="I303" i="20"/>
  <c r="J303" i="20" s="1"/>
  <c r="G303" i="20"/>
  <c r="H303" i="20" s="1"/>
  <c r="I273" i="20"/>
  <c r="J273" i="20" s="1"/>
  <c r="K273" i="20"/>
  <c r="G273" i="20"/>
  <c r="H273" i="20" s="1"/>
  <c r="K366" i="15"/>
  <c r="G366" i="15"/>
  <c r="H366" i="15" s="1"/>
  <c r="K303" i="15"/>
  <c r="BD6" i="9"/>
  <c r="I367" i="15"/>
  <c r="J367" i="15" s="1"/>
  <c r="I366" i="15"/>
  <c r="J366" i="15" s="1"/>
  <c r="BD42" i="9"/>
  <c r="E369" i="15" a="1"/>
  <c r="E369" i="15" s="1"/>
  <c r="E372" i="15" a="1"/>
  <c r="E372" i="15" s="1"/>
  <c r="E364" i="15" a="1"/>
  <c r="E364" i="15" s="1"/>
  <c r="E363" i="15" a="1"/>
  <c r="E363" i="15" s="1"/>
  <c r="E335" i="15" a="1"/>
  <c r="E335" i="15" s="1"/>
  <c r="E358" i="15" a="1"/>
  <c r="E358" i="15" s="1"/>
  <c r="E368" i="15" a="1"/>
  <c r="E368" i="15" s="1"/>
  <c r="E370" i="15" a="1"/>
  <c r="E370" i="15" s="1"/>
  <c r="E336" i="15" a="1"/>
  <c r="E336" i="15" s="1"/>
  <c r="E357" i="15" a="1"/>
  <c r="E357" i="15" s="1"/>
  <c r="E362" i="15" a="1"/>
  <c r="E362" i="15" s="1"/>
  <c r="E371" i="15" a="1"/>
  <c r="E371" i="15" s="1"/>
  <c r="E359" i="15" a="1"/>
  <c r="E359" i="15" s="1"/>
  <c r="E361" i="15" a="1"/>
  <c r="E361" i="15" s="1"/>
  <c r="E360" i="15" a="1"/>
  <c r="E360" i="15" s="1"/>
  <c r="E342" i="15" a="1"/>
  <c r="E342" i="15" s="1"/>
  <c r="E343" i="15" a="1"/>
  <c r="E343" i="15" s="1"/>
  <c r="AA343" i="15" s="1"/>
  <c r="E349" i="15" a="1"/>
  <c r="E349" i="15" s="1"/>
  <c r="E345" i="15" a="1"/>
  <c r="E345" i="15" s="1"/>
  <c r="AA345" i="15" s="1"/>
  <c r="E347" i="15" a="1"/>
  <c r="E347" i="15" s="1"/>
  <c r="E337" i="15" a="1"/>
  <c r="E337" i="15" s="1"/>
  <c r="E348" i="15" a="1"/>
  <c r="E348" i="15" s="1"/>
  <c r="E338" i="15" a="1"/>
  <c r="E338" i="15" s="1"/>
  <c r="E350" i="15" a="1"/>
  <c r="E350" i="15" s="1"/>
  <c r="E339" i="15" a="1"/>
  <c r="E339" i="15" s="1"/>
  <c r="E346" i="15" a="1"/>
  <c r="E346" i="15" s="1"/>
  <c r="E315" i="15" a="1"/>
  <c r="E315" i="15" s="1"/>
  <c r="BD5" i="9"/>
  <c r="E318" i="15" a="1"/>
  <c r="E318" i="15" s="1"/>
  <c r="E319" i="15" a="1"/>
  <c r="E319" i="15" s="1"/>
  <c r="E320" i="15" a="1"/>
  <c r="E320" i="15" s="1"/>
  <c r="E314" i="15" a="1"/>
  <c r="E314" i="15" s="1"/>
  <c r="E289" i="15" a="1"/>
  <c r="E289" i="15" s="1"/>
  <c r="E313" i="15" a="1"/>
  <c r="E313" i="15" s="1"/>
  <c r="E296" i="15" a="1"/>
  <c r="E296" i="15" s="1"/>
  <c r="E295" i="15" a="1"/>
  <c r="E295" i="15" s="1"/>
  <c r="E306" i="15" a="1"/>
  <c r="E306" i="15" s="1"/>
  <c r="E288" i="15" a="1"/>
  <c r="E288" i="15" s="1"/>
  <c r="E294" i="15" a="1"/>
  <c r="E294" i="15" s="1"/>
  <c r="E304" i="15" a="1"/>
  <c r="E304" i="15" s="1"/>
  <c r="E323" i="15" a="1"/>
  <c r="E323" i="15" s="1"/>
  <c r="E305" i="15" a="1"/>
  <c r="E305" i="15" s="1"/>
  <c r="E322" i="15" a="1"/>
  <c r="E322" i="15" s="1"/>
  <c r="E321" i="15" a="1"/>
  <c r="E321" i="15" s="1"/>
  <c r="E290" i="15" a="1"/>
  <c r="E290" i="15" s="1"/>
  <c r="E279" i="15" a="1"/>
  <c r="E279" i="15" s="1"/>
  <c r="E280" i="15" a="1"/>
  <c r="E280" i="15" s="1"/>
  <c r="E278" i="15" a="1"/>
  <c r="E278" i="15" s="1"/>
  <c r="E277" i="15" a="1"/>
  <c r="E277" i="15" s="1"/>
  <c r="E276" i="15" a="1"/>
  <c r="E276" i="15" s="1"/>
  <c r="AA276" i="15" s="1"/>
  <c r="E275" i="15" a="1"/>
  <c r="E275" i="15" s="1"/>
  <c r="E282" i="15" a="1"/>
  <c r="E282" i="15" s="1"/>
  <c r="AA282" i="15" s="1"/>
  <c r="E281" i="15" a="1"/>
  <c r="E281" i="15" s="1"/>
  <c r="BC136" i="9"/>
  <c r="BC61" i="9"/>
  <c r="BC7" i="9"/>
  <c r="BC85" i="9"/>
  <c r="BC22" i="9"/>
  <c r="BC9" i="9"/>
  <c r="BC96" i="9"/>
  <c r="BC17" i="9"/>
  <c r="BC195" i="9"/>
  <c r="BC57" i="9"/>
  <c r="BC8" i="9"/>
  <c r="BC122" i="9"/>
  <c r="BC239" i="9"/>
  <c r="BC16" i="9"/>
  <c r="BC23" i="9"/>
  <c r="BC190" i="9"/>
  <c r="BC98" i="9"/>
  <c r="BC104" i="9"/>
  <c r="BC164" i="9"/>
  <c r="BC74" i="9"/>
  <c r="BC28" i="9"/>
  <c r="BC58" i="9"/>
  <c r="BC20" i="9"/>
  <c r="BC18" i="9"/>
  <c r="BC191" i="9"/>
  <c r="BC117" i="9"/>
  <c r="BC105" i="9"/>
  <c r="BC184" i="9"/>
  <c r="BC44" i="9"/>
  <c r="BC92" i="9"/>
  <c r="BC111" i="9"/>
  <c r="BC106" i="9"/>
  <c r="BC59" i="9"/>
  <c r="BC42" i="9"/>
  <c r="BC15" i="9"/>
  <c r="BC130" i="9"/>
  <c r="BC116" i="9"/>
  <c r="BC137" i="9"/>
  <c r="BC226" i="9"/>
  <c r="BC29" i="9"/>
  <c r="BC108" i="9"/>
  <c r="BC90" i="9"/>
  <c r="BC54" i="9"/>
  <c r="BC19" i="9"/>
  <c r="BC27" i="9"/>
  <c r="BC69" i="9"/>
  <c r="BC115" i="9"/>
  <c r="BC82" i="9"/>
  <c r="BC169" i="9"/>
  <c r="BC118" i="9"/>
  <c r="BC114" i="9"/>
  <c r="BC70" i="9"/>
  <c r="BC293" i="9"/>
  <c r="BC13" i="9"/>
  <c r="BC5" i="9"/>
  <c r="BC186" i="9"/>
  <c r="BC109" i="9"/>
  <c r="BC91" i="9"/>
  <c r="BC110" i="9"/>
  <c r="BC67" i="9"/>
  <c r="BC26" i="9"/>
  <c r="BC307" i="9"/>
  <c r="BC6" i="9"/>
  <c r="BC188" i="9"/>
  <c r="AT349" i="9"/>
  <c r="AU349" i="9"/>
  <c r="AV349" i="9"/>
  <c r="O17" i="8"/>
  <c r="AT17" i="8" s="1"/>
  <c r="Q17" i="8"/>
  <c r="AU17" i="8" s="1"/>
  <c r="S17" i="8"/>
  <c r="AV17" i="8" s="1"/>
  <c r="U17" i="8"/>
  <c r="AW17" i="8" s="1"/>
  <c r="W17" i="8"/>
  <c r="AX17" i="8" s="1"/>
  <c r="Y17" i="8"/>
  <c r="AY17" i="8" s="1"/>
  <c r="AA17" i="8"/>
  <c r="AC17" i="8"/>
  <c r="AZ17" i="8" s="1"/>
  <c r="AE17" i="8"/>
  <c r="BA17" i="8" s="1"/>
  <c r="AR17" i="8"/>
  <c r="BH17" i="8" s="1"/>
  <c r="AR18" i="8"/>
  <c r="BH18" i="8" s="1"/>
  <c r="BE18" i="8" s="1"/>
  <c r="AR19" i="8"/>
  <c r="BH19" i="8" s="1"/>
  <c r="BE19" i="8" s="1"/>
  <c r="AR20" i="8"/>
  <c r="BH20" i="8" s="1"/>
  <c r="BE20" i="8" s="1"/>
  <c r="AR21" i="8"/>
  <c r="BH21" i="8" s="1"/>
  <c r="BE21" i="8" s="1"/>
  <c r="AR22" i="8"/>
  <c r="BH22" i="8" s="1"/>
  <c r="BE22" i="8" s="1"/>
  <c r="AR25" i="8"/>
  <c r="BH25" i="8" s="1"/>
  <c r="BE25" i="8" s="1"/>
  <c r="AR26" i="8"/>
  <c r="BH26" i="8" s="1"/>
  <c r="BE26" i="8" s="1"/>
  <c r="AR27" i="8"/>
  <c r="BH27" i="8" s="1"/>
  <c r="BE27" i="8" s="1"/>
  <c r="AR28" i="8"/>
  <c r="BH28" i="8" s="1"/>
  <c r="BE28" i="8" s="1"/>
  <c r="AR29" i="8"/>
  <c r="BH29" i="8" s="1"/>
  <c r="BE29" i="8" s="1"/>
  <c r="AR30" i="8"/>
  <c r="BH30" i="8" s="1"/>
  <c r="BE30" i="8" s="1"/>
  <c r="AR31" i="8"/>
  <c r="BH31" i="8" s="1"/>
  <c r="BE31" i="8" s="1"/>
  <c r="AR32" i="8"/>
  <c r="BH32" i="8" s="1"/>
  <c r="BE32" i="8" s="1"/>
  <c r="AR33" i="8"/>
  <c r="BH33" i="8" s="1"/>
  <c r="BE33" i="8" s="1"/>
  <c r="AR34" i="8"/>
  <c r="BH34" i="8" s="1"/>
  <c r="BE34" i="8" s="1"/>
  <c r="AR37" i="8"/>
  <c r="BH37" i="8" s="1"/>
  <c r="BE37" i="8" s="1"/>
  <c r="AR38" i="8"/>
  <c r="BH38" i="8" s="1"/>
  <c r="BE38" i="8" s="1"/>
  <c r="AR39" i="8"/>
  <c r="BH39" i="8" s="1"/>
  <c r="BE39" i="8" s="1"/>
  <c r="AR40" i="8"/>
  <c r="BH40" i="8" s="1"/>
  <c r="BE40" i="8" s="1"/>
  <c r="AR41" i="8"/>
  <c r="BH41" i="8" s="1"/>
  <c r="BE41" i="8" s="1"/>
  <c r="AR42" i="8"/>
  <c r="BH42" i="8" s="1"/>
  <c r="BE42" i="8" s="1"/>
  <c r="AR43" i="8"/>
  <c r="BH43" i="8" s="1"/>
  <c r="BE43" i="8" s="1"/>
  <c r="AR44" i="8"/>
  <c r="BH44" i="8" s="1"/>
  <c r="BE44" i="8" s="1"/>
  <c r="AR45" i="8"/>
  <c r="BH45" i="8" s="1"/>
  <c r="BE45" i="8" s="1"/>
  <c r="AR46" i="8"/>
  <c r="BH46" i="8" s="1"/>
  <c r="BE46" i="8" s="1"/>
  <c r="AR47" i="8"/>
  <c r="BH47" i="8" s="1"/>
  <c r="BE47" i="8" s="1"/>
  <c r="AR48" i="8"/>
  <c r="BH48" i="8" s="1"/>
  <c r="BE48" i="8" s="1"/>
  <c r="AR49" i="8"/>
  <c r="BH49" i="8" s="1"/>
  <c r="BE49" i="8" s="1"/>
  <c r="AR50" i="8"/>
  <c r="BH50" i="8" s="1"/>
  <c r="BE50" i="8" s="1"/>
  <c r="AR51" i="8"/>
  <c r="BH51" i="8" s="1"/>
  <c r="BE51" i="8" s="1"/>
  <c r="AR52" i="8"/>
  <c r="BH52" i="8" s="1"/>
  <c r="BE52" i="8" s="1"/>
  <c r="AR53" i="8"/>
  <c r="BH53" i="8" s="1"/>
  <c r="BE53" i="8" s="1"/>
  <c r="AR54" i="8"/>
  <c r="BH54" i="8" s="1"/>
  <c r="BE54" i="8" s="1"/>
  <c r="AR55" i="8"/>
  <c r="BH55" i="8" s="1"/>
  <c r="BE55" i="8" s="1"/>
  <c r="AR56" i="8"/>
  <c r="BH56" i="8" s="1"/>
  <c r="BE56" i="8" s="1"/>
  <c r="AR57" i="8"/>
  <c r="BH57" i="8" s="1"/>
  <c r="BE57" i="8" s="1"/>
  <c r="AR58" i="8"/>
  <c r="BH58" i="8" s="1"/>
  <c r="BE58" i="8" s="1"/>
  <c r="AR60" i="8"/>
  <c r="BH60" i="8" s="1"/>
  <c r="BE60" i="8" s="1"/>
  <c r="AR61" i="8"/>
  <c r="BH61" i="8" s="1"/>
  <c r="BE61" i="8" s="1"/>
  <c r="AR63" i="8"/>
  <c r="BH63" i="8" s="1"/>
  <c r="BE63" i="8" s="1"/>
  <c r="AR64" i="8"/>
  <c r="BH64" i="8" s="1"/>
  <c r="BE64" i="8" s="1"/>
  <c r="AR71" i="8"/>
  <c r="BH71" i="8" s="1"/>
  <c r="BE71" i="8" s="1"/>
  <c r="AR72" i="8"/>
  <c r="BH72" i="8" s="1"/>
  <c r="BE72" i="8" s="1"/>
  <c r="AR73" i="8"/>
  <c r="BH73" i="8" s="1"/>
  <c r="BE73" i="8" s="1"/>
  <c r="AR76" i="8"/>
  <c r="BH76" i="8" s="1"/>
  <c r="BE76" i="8" s="1"/>
  <c r="AR77" i="8"/>
  <c r="BH77" i="8" s="1"/>
  <c r="BE77" i="8" s="1"/>
  <c r="AR78" i="8"/>
  <c r="BH78" i="8" s="1"/>
  <c r="BE78" i="8" s="1"/>
  <c r="AR79" i="8"/>
  <c r="BH79" i="8" s="1"/>
  <c r="BE79" i="8" s="1"/>
  <c r="AR80" i="8"/>
  <c r="BH80" i="8" s="1"/>
  <c r="BE80" i="8" s="1"/>
  <c r="AR81" i="8"/>
  <c r="BH81" i="8" s="1"/>
  <c r="BE81" i="8" s="1"/>
  <c r="AR82" i="8"/>
  <c r="BH82" i="8" s="1"/>
  <c r="BE82" i="8" s="1"/>
  <c r="AR83" i="8"/>
  <c r="BH83" i="8" s="1"/>
  <c r="BE83" i="8" s="1"/>
  <c r="AR84" i="8"/>
  <c r="BH84" i="8" s="1"/>
  <c r="BE84" i="8" s="1"/>
  <c r="AR85" i="8"/>
  <c r="BH85" i="8" s="1"/>
  <c r="BE85" i="8" s="1"/>
  <c r="AR86" i="8"/>
  <c r="BH86" i="8" s="1"/>
  <c r="BE86" i="8" s="1"/>
  <c r="AR87" i="8"/>
  <c r="BH87" i="8" s="1"/>
  <c r="BE87" i="8" s="1"/>
  <c r="AR88" i="8"/>
  <c r="BH88" i="8" s="1"/>
  <c r="BE88" i="8" s="1"/>
  <c r="AR89" i="8"/>
  <c r="BH89" i="8" s="1"/>
  <c r="BE89" i="8" s="1"/>
  <c r="AR90" i="8"/>
  <c r="BH90" i="8" s="1"/>
  <c r="BE90" i="8" s="1"/>
  <c r="AR91" i="8"/>
  <c r="BH91" i="8" s="1"/>
  <c r="BE91" i="8" s="1"/>
  <c r="AR92" i="8"/>
  <c r="BH92" i="8" s="1"/>
  <c r="BE92" i="8" s="1"/>
  <c r="AR93" i="8"/>
  <c r="BH93" i="8" s="1"/>
  <c r="BE93" i="8" s="1"/>
  <c r="AR114" i="8"/>
  <c r="BH114" i="8" s="1"/>
  <c r="BE114" i="8" s="1"/>
  <c r="AR115" i="8"/>
  <c r="BH115" i="8" s="1"/>
  <c r="BE115" i="8" s="1"/>
  <c r="AR116" i="8"/>
  <c r="BH116" i="8" s="1"/>
  <c r="BE116" i="8" s="1"/>
  <c r="AR117" i="8"/>
  <c r="BH117" i="8" s="1"/>
  <c r="BE117" i="8" s="1"/>
  <c r="AR118" i="8"/>
  <c r="BH118" i="8" s="1"/>
  <c r="BE118" i="8" s="1"/>
  <c r="AR119" i="8"/>
  <c r="BH119" i="8" s="1"/>
  <c r="BE119" i="8" s="1"/>
  <c r="AR120" i="8"/>
  <c r="BH120" i="8" s="1"/>
  <c r="BE120" i="8" s="1"/>
  <c r="AR121" i="8"/>
  <c r="BH121" i="8" s="1"/>
  <c r="BE121" i="8" s="1"/>
  <c r="AR122" i="8"/>
  <c r="BH122" i="8" s="1"/>
  <c r="BE122" i="8" s="1"/>
  <c r="AR123" i="8"/>
  <c r="BH123" i="8" s="1"/>
  <c r="BE123" i="8" s="1"/>
  <c r="AR124" i="8"/>
  <c r="BH124" i="8" s="1"/>
  <c r="BE124" i="8" s="1"/>
  <c r="AR125" i="8"/>
  <c r="BH125" i="8" s="1"/>
  <c r="BE125" i="8" s="1"/>
  <c r="AR126" i="8"/>
  <c r="BH126" i="8" s="1"/>
  <c r="BE126" i="8" s="1"/>
  <c r="AR127" i="8"/>
  <c r="BH127" i="8" s="1"/>
  <c r="BE127" i="8" s="1"/>
  <c r="AR128" i="8"/>
  <c r="BH128" i="8" s="1"/>
  <c r="BE128" i="8" s="1"/>
  <c r="AR129" i="8"/>
  <c r="BH129" i="8" s="1"/>
  <c r="BE129" i="8" s="1"/>
  <c r="AR130" i="8"/>
  <c r="BH130" i="8" s="1"/>
  <c r="BE130" i="8" s="1"/>
  <c r="AR131" i="8"/>
  <c r="BH131" i="8" s="1"/>
  <c r="BE131" i="8" s="1"/>
  <c r="AR132" i="8"/>
  <c r="BH132" i="8" s="1"/>
  <c r="BE132" i="8" s="1"/>
  <c r="AR133" i="8"/>
  <c r="BH133" i="8" s="1"/>
  <c r="BE133" i="8" s="1"/>
  <c r="AR134" i="8"/>
  <c r="BH134" i="8" s="1"/>
  <c r="BE134" i="8" s="1"/>
  <c r="AR135" i="8"/>
  <c r="BH135" i="8" s="1"/>
  <c r="BE135" i="8" s="1"/>
  <c r="AR136" i="8"/>
  <c r="BH136" i="8" s="1"/>
  <c r="BE136" i="8" s="1"/>
  <c r="AR137" i="8"/>
  <c r="BH137" i="8" s="1"/>
  <c r="BE137" i="8" s="1"/>
  <c r="AR138" i="8"/>
  <c r="BH138" i="8" s="1"/>
  <c r="BE138" i="8" s="1"/>
  <c r="AR139" i="8"/>
  <c r="BH139" i="8" s="1"/>
  <c r="BE139" i="8" s="1"/>
  <c r="AR140" i="8"/>
  <c r="BH140" i="8" s="1"/>
  <c r="BE140" i="8" s="1"/>
  <c r="AR94" i="8"/>
  <c r="BH94" i="8" s="1"/>
  <c r="BE94" i="8" s="1"/>
  <c r="AR95" i="8"/>
  <c r="BH95" i="8" s="1"/>
  <c r="BE95" i="8" s="1"/>
  <c r="AR96" i="8"/>
  <c r="BH96" i="8" s="1"/>
  <c r="BE96" i="8" s="1"/>
  <c r="AR97" i="8"/>
  <c r="BH97" i="8" s="1"/>
  <c r="BE97" i="8" s="1"/>
  <c r="AR98" i="8"/>
  <c r="BH98" i="8" s="1"/>
  <c r="BE98" i="8" s="1"/>
  <c r="AR99" i="8"/>
  <c r="BH99" i="8" s="1"/>
  <c r="BE99" i="8" s="1"/>
  <c r="AR147" i="8"/>
  <c r="BH147" i="8" s="1"/>
  <c r="BE147" i="8" s="1"/>
  <c r="AR148" i="8"/>
  <c r="BH148" i="8" s="1"/>
  <c r="BE148" i="8" s="1"/>
  <c r="AR149" i="8"/>
  <c r="BH149" i="8" s="1"/>
  <c r="BE149" i="8" s="1"/>
  <c r="AR150" i="8"/>
  <c r="BH150" i="8" s="1"/>
  <c r="BE150" i="8" s="1"/>
  <c r="AR151" i="8"/>
  <c r="BH151" i="8" s="1"/>
  <c r="BE151" i="8" s="1"/>
  <c r="AR159" i="8"/>
  <c r="BH159" i="8" s="1"/>
  <c r="BE159" i="8" s="1"/>
  <c r="AR160" i="8"/>
  <c r="BH160" i="8" s="1"/>
  <c r="BE160" i="8" s="1"/>
  <c r="AR175" i="8"/>
  <c r="BH175" i="8" s="1"/>
  <c r="BE175" i="8" s="1"/>
  <c r="AR100" i="8"/>
  <c r="BH100" i="8" s="1"/>
  <c r="BE100" i="8" s="1"/>
  <c r="AR101" i="8"/>
  <c r="BH101" i="8" s="1"/>
  <c r="BE101" i="8" s="1"/>
  <c r="AR102" i="8"/>
  <c r="BH102" i="8" s="1"/>
  <c r="BE102" i="8" s="1"/>
  <c r="AR103" i="8"/>
  <c r="BH103" i="8" s="1"/>
  <c r="BE103" i="8" s="1"/>
  <c r="AR104" i="8"/>
  <c r="BH104" i="8" s="1"/>
  <c r="BE104" i="8" s="1"/>
  <c r="AR105" i="8"/>
  <c r="BH105" i="8" s="1"/>
  <c r="BE105" i="8" s="1"/>
  <c r="AR107" i="8"/>
  <c r="BH107" i="8" s="1"/>
  <c r="BE107" i="8" s="1"/>
  <c r="AR106" i="8"/>
  <c r="BH106" i="8" s="1"/>
  <c r="BE106" i="8" s="1"/>
  <c r="AR108" i="8"/>
  <c r="BH108" i="8" s="1"/>
  <c r="BE108" i="8" s="1"/>
  <c r="AR109" i="8"/>
  <c r="BH109" i="8" s="1"/>
  <c r="BE109" i="8" s="1"/>
  <c r="AR110" i="8"/>
  <c r="BH110" i="8" s="1"/>
  <c r="BE110" i="8" s="1"/>
  <c r="AR111" i="8"/>
  <c r="BH111" i="8" s="1"/>
  <c r="BE111" i="8" s="1"/>
  <c r="AR112" i="8"/>
  <c r="BH112" i="8" s="1"/>
  <c r="BE112" i="8" s="1"/>
  <c r="AR113" i="8"/>
  <c r="BH113" i="8" s="1"/>
  <c r="BE113" i="8" s="1"/>
  <c r="BI17" i="8"/>
  <c r="BI18" i="8"/>
  <c r="BI19" i="8"/>
  <c r="BI20" i="8"/>
  <c r="BI21" i="8"/>
  <c r="BI22" i="8"/>
  <c r="BI25" i="8"/>
  <c r="BI26" i="8"/>
  <c r="BI27" i="8"/>
  <c r="BI28" i="8"/>
  <c r="BI29" i="8"/>
  <c r="BI30" i="8"/>
  <c r="BI31" i="8"/>
  <c r="BI32" i="8"/>
  <c r="BI33" i="8"/>
  <c r="BI34" i="8"/>
  <c r="BI37" i="8"/>
  <c r="BI38" i="8"/>
  <c r="BI39" i="8"/>
  <c r="BI40" i="8"/>
  <c r="BI41" i="8"/>
  <c r="BI42" i="8"/>
  <c r="BI43" i="8"/>
  <c r="BI44" i="8"/>
  <c r="BI45" i="8"/>
  <c r="BI46" i="8"/>
  <c r="BI47" i="8"/>
  <c r="BI48" i="8"/>
  <c r="BI49" i="8"/>
  <c r="BI50" i="8"/>
  <c r="BI51" i="8"/>
  <c r="BI52" i="8"/>
  <c r="BI53" i="8"/>
  <c r="BI54" i="8"/>
  <c r="BI55" i="8"/>
  <c r="BI56" i="8"/>
  <c r="BI57" i="8"/>
  <c r="BI58" i="8"/>
  <c r="BI60" i="8"/>
  <c r="BI61" i="8"/>
  <c r="BI63" i="8"/>
  <c r="BI64" i="8"/>
  <c r="BI71" i="8"/>
  <c r="BI72" i="8"/>
  <c r="BI73" i="8"/>
  <c r="BI76" i="8"/>
  <c r="BI77" i="8"/>
  <c r="BI78" i="8"/>
  <c r="BI79" i="8"/>
  <c r="BI80" i="8"/>
  <c r="BI81" i="8"/>
  <c r="BI82" i="8"/>
  <c r="BI83" i="8"/>
  <c r="BI84" i="8"/>
  <c r="BI85" i="8"/>
  <c r="BI86" i="8"/>
  <c r="BI87" i="8"/>
  <c r="BI88" i="8"/>
  <c r="BI89" i="8"/>
  <c r="BI90" i="8"/>
  <c r="BI91" i="8"/>
  <c r="BI92" i="8"/>
  <c r="BI93" i="8"/>
  <c r="BI114" i="8"/>
  <c r="BI115" i="8"/>
  <c r="BI116" i="8"/>
  <c r="BI117" i="8"/>
  <c r="BI118" i="8"/>
  <c r="BI119" i="8"/>
  <c r="BI120" i="8"/>
  <c r="BI121" i="8"/>
  <c r="BI122" i="8"/>
  <c r="BI123" i="8"/>
  <c r="BI124" i="8"/>
  <c r="BI125" i="8"/>
  <c r="BI126" i="8"/>
  <c r="BI127" i="8"/>
  <c r="BI128" i="8"/>
  <c r="BI129" i="8"/>
  <c r="BI130" i="8"/>
  <c r="BI131" i="8"/>
  <c r="BI132" i="8"/>
  <c r="BI133" i="8"/>
  <c r="BI134" i="8"/>
  <c r="BI135" i="8"/>
  <c r="BI136" i="8"/>
  <c r="BI137" i="8"/>
  <c r="BI138" i="8"/>
  <c r="BI139" i="8"/>
  <c r="BI140" i="8"/>
  <c r="BI94" i="8"/>
  <c r="BI95" i="8"/>
  <c r="BI96" i="8"/>
  <c r="BI97" i="8"/>
  <c r="BI98" i="8"/>
  <c r="BI99" i="8"/>
  <c r="BI147" i="8"/>
  <c r="BI148" i="8"/>
  <c r="BI149" i="8"/>
  <c r="BI150" i="8"/>
  <c r="BI151" i="8"/>
  <c r="BI159" i="8"/>
  <c r="BI160" i="8"/>
  <c r="BI175" i="8"/>
  <c r="BI100" i="8"/>
  <c r="BI101" i="8"/>
  <c r="BI102" i="8"/>
  <c r="BI103" i="8"/>
  <c r="BI104" i="8"/>
  <c r="BI105" i="8"/>
  <c r="BI107" i="8"/>
  <c r="BI106" i="8"/>
  <c r="BI108" i="8"/>
  <c r="BI109" i="8"/>
  <c r="BI110" i="8"/>
  <c r="BI111" i="8"/>
  <c r="BI112" i="8"/>
  <c r="BI113" i="8"/>
  <c r="BJ17" i="8"/>
  <c r="BJ18" i="8"/>
  <c r="BJ19" i="8"/>
  <c r="BJ20" i="8"/>
  <c r="BJ21" i="8"/>
  <c r="BJ22" i="8"/>
  <c r="BJ25" i="8"/>
  <c r="BJ26" i="8"/>
  <c r="BJ27" i="8"/>
  <c r="BJ28" i="8"/>
  <c r="BJ29" i="8"/>
  <c r="BJ30" i="8"/>
  <c r="BJ31" i="8"/>
  <c r="BJ32" i="8"/>
  <c r="BJ33" i="8"/>
  <c r="BJ34" i="8"/>
  <c r="BJ37" i="8"/>
  <c r="BJ38" i="8"/>
  <c r="BJ39" i="8"/>
  <c r="BJ40" i="8"/>
  <c r="BJ41" i="8"/>
  <c r="BJ42" i="8"/>
  <c r="BJ43" i="8"/>
  <c r="BJ44" i="8"/>
  <c r="BJ45" i="8"/>
  <c r="BJ46" i="8"/>
  <c r="BJ47" i="8"/>
  <c r="BJ48" i="8"/>
  <c r="BJ49" i="8"/>
  <c r="BJ50" i="8"/>
  <c r="BJ51" i="8"/>
  <c r="BJ52" i="8"/>
  <c r="BJ53" i="8"/>
  <c r="BJ54" i="8"/>
  <c r="BJ55" i="8"/>
  <c r="BJ56" i="8"/>
  <c r="BJ57" i="8"/>
  <c r="BJ58" i="8"/>
  <c r="BJ60" i="8"/>
  <c r="BJ61" i="8"/>
  <c r="BJ63" i="8"/>
  <c r="BJ64" i="8"/>
  <c r="BJ71" i="8"/>
  <c r="BJ72" i="8"/>
  <c r="BJ73" i="8"/>
  <c r="BJ76" i="8"/>
  <c r="BJ77" i="8"/>
  <c r="BJ78" i="8"/>
  <c r="BJ79" i="8"/>
  <c r="BJ80" i="8"/>
  <c r="BJ81" i="8"/>
  <c r="BJ82" i="8"/>
  <c r="BJ83" i="8"/>
  <c r="BJ84" i="8"/>
  <c r="BJ85" i="8"/>
  <c r="BJ86" i="8"/>
  <c r="BJ87" i="8"/>
  <c r="BJ88" i="8"/>
  <c r="BJ89" i="8"/>
  <c r="BJ90" i="8"/>
  <c r="BJ91" i="8"/>
  <c r="BJ92" i="8"/>
  <c r="BJ93" i="8"/>
  <c r="BJ114" i="8"/>
  <c r="BJ115" i="8"/>
  <c r="BJ116" i="8"/>
  <c r="BJ117" i="8"/>
  <c r="BJ118" i="8"/>
  <c r="BJ119" i="8"/>
  <c r="BJ120" i="8"/>
  <c r="BJ121" i="8"/>
  <c r="BJ122" i="8"/>
  <c r="BJ123" i="8"/>
  <c r="BJ124" i="8"/>
  <c r="BJ125" i="8"/>
  <c r="BJ126" i="8"/>
  <c r="BJ127" i="8"/>
  <c r="BJ128" i="8"/>
  <c r="BJ129" i="8"/>
  <c r="BJ130" i="8"/>
  <c r="BJ131" i="8"/>
  <c r="BJ132" i="8"/>
  <c r="BJ133" i="8"/>
  <c r="BJ134" i="8"/>
  <c r="BJ135" i="8"/>
  <c r="BJ136" i="8"/>
  <c r="BJ137" i="8"/>
  <c r="BJ138" i="8"/>
  <c r="BJ139" i="8"/>
  <c r="BJ140" i="8"/>
  <c r="BJ94" i="8"/>
  <c r="BJ95" i="8"/>
  <c r="BJ96" i="8"/>
  <c r="BJ97" i="8"/>
  <c r="BJ98" i="8"/>
  <c r="BJ99" i="8"/>
  <c r="BJ147" i="8"/>
  <c r="BJ148" i="8"/>
  <c r="BJ149" i="8"/>
  <c r="BJ150" i="8"/>
  <c r="BJ151" i="8"/>
  <c r="BJ159" i="8"/>
  <c r="BJ160" i="8"/>
  <c r="BJ175" i="8"/>
  <c r="BJ100" i="8"/>
  <c r="BJ101" i="8"/>
  <c r="BJ102" i="8"/>
  <c r="BJ103" i="8"/>
  <c r="BJ104" i="8"/>
  <c r="BJ105" i="8"/>
  <c r="BJ107" i="8"/>
  <c r="BJ106" i="8"/>
  <c r="BJ108" i="8"/>
  <c r="BJ109" i="8"/>
  <c r="BJ110" i="8"/>
  <c r="BJ111" i="8"/>
  <c r="BJ112" i="8"/>
  <c r="BJ113" i="8"/>
  <c r="BL17" i="8"/>
  <c r="BL18" i="8"/>
  <c r="BL19" i="8"/>
  <c r="BL20" i="8"/>
  <c r="BL21" i="8"/>
  <c r="BL22" i="8"/>
  <c r="BL25" i="8"/>
  <c r="BL26" i="8"/>
  <c r="BL27" i="8"/>
  <c r="BL28" i="8"/>
  <c r="BL29" i="8"/>
  <c r="BL30" i="8"/>
  <c r="BL31" i="8"/>
  <c r="BL32" i="8"/>
  <c r="BL33" i="8"/>
  <c r="BL34" i="8"/>
  <c r="BL37" i="8"/>
  <c r="BL38" i="8"/>
  <c r="BL39" i="8"/>
  <c r="BL40" i="8"/>
  <c r="BL41" i="8"/>
  <c r="BL42" i="8"/>
  <c r="BL43" i="8"/>
  <c r="BL44" i="8"/>
  <c r="BL45" i="8"/>
  <c r="BL46" i="8"/>
  <c r="BL47" i="8"/>
  <c r="BL48" i="8"/>
  <c r="BL49" i="8"/>
  <c r="BL50" i="8"/>
  <c r="BL51" i="8"/>
  <c r="BL52" i="8"/>
  <c r="BL53" i="8"/>
  <c r="BL54" i="8"/>
  <c r="BL55" i="8"/>
  <c r="BL56" i="8"/>
  <c r="BL57" i="8"/>
  <c r="BL58" i="8"/>
  <c r="BL60" i="8"/>
  <c r="BL61" i="8"/>
  <c r="BL63" i="8"/>
  <c r="BL64" i="8"/>
  <c r="BL71" i="8"/>
  <c r="BL72" i="8"/>
  <c r="BL73" i="8"/>
  <c r="BL76" i="8"/>
  <c r="BL77" i="8"/>
  <c r="BL78" i="8"/>
  <c r="BL79" i="8"/>
  <c r="BL80" i="8"/>
  <c r="BL81" i="8"/>
  <c r="BL82" i="8"/>
  <c r="BL83" i="8"/>
  <c r="BL84" i="8"/>
  <c r="BL85" i="8"/>
  <c r="BL86" i="8"/>
  <c r="BL87" i="8"/>
  <c r="BL88" i="8"/>
  <c r="BL89" i="8"/>
  <c r="BL90" i="8"/>
  <c r="BL91" i="8"/>
  <c r="BL92" i="8"/>
  <c r="BL93" i="8"/>
  <c r="BL114" i="8"/>
  <c r="BL115" i="8"/>
  <c r="BL116" i="8"/>
  <c r="BL117" i="8"/>
  <c r="BL118" i="8"/>
  <c r="BL119" i="8"/>
  <c r="BL120" i="8"/>
  <c r="BL121" i="8"/>
  <c r="BL122" i="8"/>
  <c r="BL123" i="8"/>
  <c r="BL124" i="8"/>
  <c r="BL125" i="8"/>
  <c r="BL126" i="8"/>
  <c r="BL127" i="8"/>
  <c r="BL128" i="8"/>
  <c r="BL129" i="8"/>
  <c r="BL130" i="8"/>
  <c r="BL131" i="8"/>
  <c r="BL132" i="8"/>
  <c r="BL133" i="8"/>
  <c r="BL134" i="8"/>
  <c r="BL135" i="8"/>
  <c r="BL136" i="8"/>
  <c r="BL137" i="8"/>
  <c r="BL138" i="8"/>
  <c r="BL139" i="8"/>
  <c r="BL140" i="8"/>
  <c r="BL94" i="8"/>
  <c r="BL95" i="8"/>
  <c r="BL96" i="8"/>
  <c r="BL97" i="8"/>
  <c r="BL98" i="8"/>
  <c r="BL99" i="8"/>
  <c r="BL147" i="8"/>
  <c r="BL148" i="8"/>
  <c r="BL149" i="8"/>
  <c r="BL150" i="8"/>
  <c r="BL151" i="8"/>
  <c r="BL159" i="8"/>
  <c r="BL160" i="8"/>
  <c r="BL175" i="8"/>
  <c r="BL100" i="8"/>
  <c r="BL101" i="8"/>
  <c r="BL102" i="8"/>
  <c r="BL103" i="8"/>
  <c r="BL104" i="8"/>
  <c r="BL105" i="8"/>
  <c r="BL107" i="8"/>
  <c r="BL106" i="8"/>
  <c r="BL108" i="8"/>
  <c r="BL109" i="8"/>
  <c r="BL110" i="8"/>
  <c r="BL111" i="8"/>
  <c r="BL112" i="8"/>
  <c r="BL113" i="8"/>
  <c r="AE113" i="8"/>
  <c r="BA113" i="8" s="1"/>
  <c r="AC113" i="8"/>
  <c r="AZ113" i="8" s="1"/>
  <c r="AA113" i="8"/>
  <c r="Y113" i="8"/>
  <c r="AY113" i="8" s="1"/>
  <c r="W113" i="8"/>
  <c r="AX113" i="8" s="1"/>
  <c r="U113" i="8"/>
  <c r="AW113" i="8" s="1"/>
  <c r="S113" i="8"/>
  <c r="AV113" i="8" s="1"/>
  <c r="Q113" i="8"/>
  <c r="AU113" i="8" s="1"/>
  <c r="O113" i="8"/>
  <c r="AT113" i="8" s="1"/>
  <c r="AE112" i="8"/>
  <c r="BA112" i="8" s="1"/>
  <c r="AC112" i="8"/>
  <c r="AZ112" i="8" s="1"/>
  <c r="AA112" i="8"/>
  <c r="Y112" i="8"/>
  <c r="AY112" i="8" s="1"/>
  <c r="W112" i="8"/>
  <c r="AX112" i="8" s="1"/>
  <c r="U112" i="8"/>
  <c r="AW112" i="8" s="1"/>
  <c r="S112" i="8"/>
  <c r="AV112" i="8" s="1"/>
  <c r="Q112" i="8"/>
  <c r="AU112" i="8" s="1"/>
  <c r="O112" i="8"/>
  <c r="AT112" i="8" s="1"/>
  <c r="AE109" i="8"/>
  <c r="BA109" i="8" s="1"/>
  <c r="AC109" i="8"/>
  <c r="AZ109" i="8" s="1"/>
  <c r="AA109" i="8"/>
  <c r="Y109" i="8"/>
  <c r="AY109" i="8" s="1"/>
  <c r="W109" i="8"/>
  <c r="AX109" i="8" s="1"/>
  <c r="U109" i="8"/>
  <c r="AW109" i="8" s="1"/>
  <c r="S109" i="8"/>
  <c r="AV109" i="8" s="1"/>
  <c r="Q109" i="8"/>
  <c r="AU109" i="8" s="1"/>
  <c r="O109" i="8"/>
  <c r="AT109" i="8" s="1"/>
  <c r="AE108" i="8"/>
  <c r="BA108" i="8" s="1"/>
  <c r="AC108" i="8"/>
  <c r="AZ108" i="8" s="1"/>
  <c r="AA108" i="8"/>
  <c r="Y108" i="8"/>
  <c r="AY108" i="8" s="1"/>
  <c r="W108" i="8"/>
  <c r="AX108" i="8" s="1"/>
  <c r="U108" i="8"/>
  <c r="AW108" i="8" s="1"/>
  <c r="S108" i="8"/>
  <c r="AV108" i="8" s="1"/>
  <c r="Q108" i="8"/>
  <c r="AU108" i="8" s="1"/>
  <c r="O108" i="8"/>
  <c r="AT108" i="8" s="1"/>
  <c r="AE106" i="8"/>
  <c r="BA106" i="8" s="1"/>
  <c r="AC106" i="8"/>
  <c r="AZ106" i="8" s="1"/>
  <c r="AA106" i="8"/>
  <c r="Y106" i="8"/>
  <c r="AY106" i="8" s="1"/>
  <c r="W106" i="8"/>
  <c r="AX106" i="8" s="1"/>
  <c r="U106" i="8"/>
  <c r="AW106" i="8" s="1"/>
  <c r="S106" i="8"/>
  <c r="AV106" i="8" s="1"/>
  <c r="Q106" i="8"/>
  <c r="AU106" i="8" s="1"/>
  <c r="O106" i="8"/>
  <c r="AT106" i="8" s="1"/>
  <c r="AE107" i="8"/>
  <c r="BA107" i="8" s="1"/>
  <c r="AC107" i="8"/>
  <c r="AZ107" i="8" s="1"/>
  <c r="AA107" i="8"/>
  <c r="Y107" i="8"/>
  <c r="AY107" i="8" s="1"/>
  <c r="W107" i="8"/>
  <c r="AX107" i="8" s="1"/>
  <c r="U107" i="8"/>
  <c r="AW107" i="8" s="1"/>
  <c r="S107" i="8"/>
  <c r="AV107" i="8" s="1"/>
  <c r="Q107" i="8"/>
  <c r="AU107" i="8" s="1"/>
  <c r="O107" i="8"/>
  <c r="AT107" i="8" s="1"/>
  <c r="AE105" i="8"/>
  <c r="BA105" i="8" s="1"/>
  <c r="AC105" i="8"/>
  <c r="AZ105" i="8" s="1"/>
  <c r="AA105" i="8"/>
  <c r="Y105" i="8"/>
  <c r="AY105" i="8" s="1"/>
  <c r="W105" i="8"/>
  <c r="AX105" i="8" s="1"/>
  <c r="U105" i="8"/>
  <c r="AW105" i="8" s="1"/>
  <c r="S105" i="8"/>
  <c r="AV105" i="8" s="1"/>
  <c r="Q105" i="8"/>
  <c r="AU105" i="8" s="1"/>
  <c r="O105" i="8"/>
  <c r="AT105" i="8" s="1"/>
  <c r="AE101" i="8"/>
  <c r="BA101" i="8" s="1"/>
  <c r="AC101" i="8"/>
  <c r="AZ101" i="8" s="1"/>
  <c r="AA101" i="8"/>
  <c r="Y101" i="8"/>
  <c r="AY101" i="8" s="1"/>
  <c r="W101" i="8"/>
  <c r="AX101" i="8" s="1"/>
  <c r="U101" i="8"/>
  <c r="AW101" i="8" s="1"/>
  <c r="S101" i="8"/>
  <c r="AV101" i="8" s="1"/>
  <c r="Q101" i="8"/>
  <c r="AU101" i="8" s="1"/>
  <c r="O101" i="8"/>
  <c r="AT101" i="8" s="1"/>
  <c r="AE100" i="8"/>
  <c r="BA100" i="8" s="1"/>
  <c r="AC100" i="8"/>
  <c r="AZ100" i="8" s="1"/>
  <c r="AA100" i="8"/>
  <c r="Y100" i="8"/>
  <c r="AY100" i="8" s="1"/>
  <c r="W100" i="8"/>
  <c r="AX100" i="8" s="1"/>
  <c r="U100" i="8"/>
  <c r="AW100" i="8" s="1"/>
  <c r="S100" i="8"/>
  <c r="AV100" i="8" s="1"/>
  <c r="Q100" i="8"/>
  <c r="AU100" i="8" s="1"/>
  <c r="O100" i="8"/>
  <c r="AT100" i="8" s="1"/>
  <c r="AH175" i="8"/>
  <c r="AE175" i="8"/>
  <c r="BA175" i="8" s="1"/>
  <c r="AC175" i="8"/>
  <c r="AZ175" i="8" s="1"/>
  <c r="AA175" i="8"/>
  <c r="Y175" i="8"/>
  <c r="AY175" i="8" s="1"/>
  <c r="W175" i="8"/>
  <c r="AX175" i="8" s="1"/>
  <c r="U175" i="8"/>
  <c r="AW175" i="8" s="1"/>
  <c r="S175" i="8"/>
  <c r="AV175" i="8" s="1"/>
  <c r="Q175" i="8"/>
  <c r="AU175" i="8" s="1"/>
  <c r="O175" i="8"/>
  <c r="AT175" i="8" s="1"/>
  <c r="AE151" i="8"/>
  <c r="BA151" i="8" s="1"/>
  <c r="AC151" i="8"/>
  <c r="AZ151" i="8" s="1"/>
  <c r="AA151" i="8"/>
  <c r="Y151" i="8"/>
  <c r="AY151" i="8" s="1"/>
  <c r="W151" i="8"/>
  <c r="AX151" i="8" s="1"/>
  <c r="U151" i="8"/>
  <c r="AW151" i="8" s="1"/>
  <c r="S151" i="8"/>
  <c r="AV151" i="8" s="1"/>
  <c r="Q151" i="8"/>
  <c r="AU151" i="8" s="1"/>
  <c r="O151" i="8"/>
  <c r="AT151" i="8" s="1"/>
  <c r="AE150" i="8"/>
  <c r="BA150" i="8" s="1"/>
  <c r="AC150" i="8"/>
  <c r="AZ150" i="8" s="1"/>
  <c r="AA150" i="8"/>
  <c r="Y150" i="8"/>
  <c r="AY150" i="8" s="1"/>
  <c r="W150" i="8"/>
  <c r="AX150" i="8" s="1"/>
  <c r="U150" i="8"/>
  <c r="AW150" i="8" s="1"/>
  <c r="S150" i="8"/>
  <c r="AV150" i="8" s="1"/>
  <c r="Q150" i="8"/>
  <c r="AU150" i="8" s="1"/>
  <c r="O150" i="8"/>
  <c r="AT150" i="8" s="1"/>
  <c r="AE147" i="8"/>
  <c r="BA147" i="8" s="1"/>
  <c r="AC147" i="8"/>
  <c r="AZ147" i="8" s="1"/>
  <c r="AA147" i="8"/>
  <c r="Y147" i="8"/>
  <c r="AY147" i="8" s="1"/>
  <c r="W147" i="8"/>
  <c r="AX147" i="8" s="1"/>
  <c r="U147" i="8"/>
  <c r="AW147" i="8" s="1"/>
  <c r="S147" i="8"/>
  <c r="AV147" i="8" s="1"/>
  <c r="Q147" i="8"/>
  <c r="AU147" i="8" s="1"/>
  <c r="O147" i="8"/>
  <c r="AT147" i="8" s="1"/>
  <c r="AE97" i="8"/>
  <c r="BA97" i="8" s="1"/>
  <c r="AC97" i="8"/>
  <c r="AZ97" i="8" s="1"/>
  <c r="AA97" i="8"/>
  <c r="Y97" i="8"/>
  <c r="AY97" i="8" s="1"/>
  <c r="W97" i="8"/>
  <c r="AX97" i="8" s="1"/>
  <c r="U97" i="8"/>
  <c r="AW97" i="8" s="1"/>
  <c r="S97" i="8"/>
  <c r="AV97" i="8" s="1"/>
  <c r="Q97" i="8"/>
  <c r="AU97" i="8" s="1"/>
  <c r="O97" i="8"/>
  <c r="AT97" i="8" s="1"/>
  <c r="O98" i="8"/>
  <c r="AT98" i="8" s="1"/>
  <c r="Q98" i="8"/>
  <c r="AU98" i="8" s="1"/>
  <c r="S98" i="8"/>
  <c r="AV98" i="8" s="1"/>
  <c r="U98" i="8"/>
  <c r="AW98" i="8" s="1"/>
  <c r="W98" i="8"/>
  <c r="AX98" i="8" s="1"/>
  <c r="Y98" i="8"/>
  <c r="AY98" i="8" s="1"/>
  <c r="AA98" i="8"/>
  <c r="AC98" i="8"/>
  <c r="AZ98" i="8" s="1"/>
  <c r="AE98" i="8"/>
  <c r="BA98" i="8" s="1"/>
  <c r="O96" i="8"/>
  <c r="AT96" i="8" s="1"/>
  <c r="Q96" i="8"/>
  <c r="AU96" i="8" s="1"/>
  <c r="S96" i="8"/>
  <c r="AV96" i="8" s="1"/>
  <c r="U96" i="8"/>
  <c r="AW96" i="8" s="1"/>
  <c r="W96" i="8"/>
  <c r="AX96" i="8" s="1"/>
  <c r="Y96" i="8"/>
  <c r="AY96" i="8" s="1"/>
  <c r="AA96" i="8"/>
  <c r="AC96" i="8"/>
  <c r="AZ96" i="8" s="1"/>
  <c r="AE96" i="8"/>
  <c r="BA96" i="8" s="1"/>
  <c r="AE99" i="8"/>
  <c r="BA99" i="8" s="1"/>
  <c r="AC99" i="8"/>
  <c r="AZ99" i="8" s="1"/>
  <c r="AA99" i="8"/>
  <c r="Y99" i="8"/>
  <c r="AY99" i="8" s="1"/>
  <c r="W99" i="8"/>
  <c r="AX99" i="8" s="1"/>
  <c r="U99" i="8"/>
  <c r="AW99" i="8" s="1"/>
  <c r="S99" i="8"/>
  <c r="AV99" i="8" s="1"/>
  <c r="Q99" i="8"/>
  <c r="AU99" i="8" s="1"/>
  <c r="O99" i="8"/>
  <c r="AT99" i="8" s="1"/>
  <c r="AE95" i="8"/>
  <c r="BA95" i="8" s="1"/>
  <c r="AC95" i="8"/>
  <c r="AZ95" i="8" s="1"/>
  <c r="AA95" i="8"/>
  <c r="Y95" i="8"/>
  <c r="AY95" i="8" s="1"/>
  <c r="W95" i="8"/>
  <c r="AX95" i="8" s="1"/>
  <c r="U95" i="8"/>
  <c r="AW95" i="8" s="1"/>
  <c r="S95" i="8"/>
  <c r="AV95" i="8" s="1"/>
  <c r="Q95" i="8"/>
  <c r="AU95" i="8" s="1"/>
  <c r="O95" i="8"/>
  <c r="AT95" i="8" s="1"/>
  <c r="AE94" i="8"/>
  <c r="BA94" i="8" s="1"/>
  <c r="AC94" i="8"/>
  <c r="AZ94" i="8" s="1"/>
  <c r="AA94" i="8"/>
  <c r="Y94" i="8"/>
  <c r="AY94" i="8" s="1"/>
  <c r="W94" i="8"/>
  <c r="AX94" i="8" s="1"/>
  <c r="U94" i="8"/>
  <c r="AW94" i="8" s="1"/>
  <c r="S94" i="8"/>
  <c r="AV94" i="8" s="1"/>
  <c r="Q94" i="8"/>
  <c r="AU94" i="8" s="1"/>
  <c r="O94" i="8"/>
  <c r="AT94" i="8" s="1"/>
  <c r="S140" i="8"/>
  <c r="AV140" i="8" s="1"/>
  <c r="Q140" i="8"/>
  <c r="AU140" i="8" s="1"/>
  <c r="O140" i="8"/>
  <c r="AT140" i="8" s="1"/>
  <c r="S138" i="8"/>
  <c r="AV138" i="8" s="1"/>
  <c r="Q138" i="8"/>
  <c r="AU138" i="8" s="1"/>
  <c r="O138" i="8"/>
  <c r="AT138" i="8" s="1"/>
  <c r="AE139" i="8"/>
  <c r="BA139" i="8" s="1"/>
  <c r="AC139" i="8"/>
  <c r="AZ139" i="8" s="1"/>
  <c r="AA139" i="8"/>
  <c r="Y139" i="8"/>
  <c r="AY139" i="8" s="1"/>
  <c r="W139" i="8"/>
  <c r="AX139" i="8" s="1"/>
  <c r="U139" i="8"/>
  <c r="AW139" i="8" s="1"/>
  <c r="S139" i="8"/>
  <c r="AV139" i="8" s="1"/>
  <c r="Q139" i="8"/>
  <c r="AU139" i="8" s="1"/>
  <c r="O139" i="8"/>
  <c r="AT139" i="8" s="1"/>
  <c r="AE138" i="8"/>
  <c r="BA138" i="8" s="1"/>
  <c r="AC138" i="8"/>
  <c r="AZ138" i="8" s="1"/>
  <c r="AA138" i="8"/>
  <c r="Y138" i="8"/>
  <c r="AY138" i="8" s="1"/>
  <c r="W138" i="8"/>
  <c r="AX138" i="8" s="1"/>
  <c r="U138" i="8"/>
  <c r="AW138" i="8" s="1"/>
  <c r="AE137" i="8"/>
  <c r="BA137" i="8" s="1"/>
  <c r="AC137" i="8"/>
  <c r="AZ137" i="8" s="1"/>
  <c r="AA137" i="8"/>
  <c r="Y137" i="8"/>
  <c r="AY137" i="8" s="1"/>
  <c r="W137" i="8"/>
  <c r="AX137" i="8" s="1"/>
  <c r="U137" i="8"/>
  <c r="AW137" i="8" s="1"/>
  <c r="S137" i="8"/>
  <c r="AV137" i="8" s="1"/>
  <c r="Q137" i="8"/>
  <c r="AU137" i="8" s="1"/>
  <c r="O137" i="8"/>
  <c r="AT137" i="8" s="1"/>
  <c r="AE302" i="15" l="1"/>
  <c r="AE312" i="15"/>
  <c r="AA277" i="15"/>
  <c r="AD277" i="15"/>
  <c r="AE277" i="15" s="1"/>
  <c r="AB277" i="15"/>
  <c r="AC277" i="15" s="1"/>
  <c r="AD340" i="15"/>
  <c r="AE340" i="15" s="1"/>
  <c r="AB340" i="15"/>
  <c r="AC340" i="15" s="1"/>
  <c r="AA278" i="15"/>
  <c r="AD278" i="15"/>
  <c r="AE278" i="15" s="1"/>
  <c r="AB278" i="15"/>
  <c r="AC278" i="15" s="1"/>
  <c r="AA314" i="15"/>
  <c r="AD314" i="15"/>
  <c r="AE314" i="15" s="1"/>
  <c r="AB314" i="15"/>
  <c r="AC314" i="15" s="1"/>
  <c r="AA342" i="15"/>
  <c r="AD342" i="15"/>
  <c r="AE342" i="15" s="1"/>
  <c r="AB342" i="15"/>
  <c r="AC342" i="15" s="1"/>
  <c r="AD369" i="15"/>
  <c r="AE369" i="15" s="1"/>
  <c r="AB369" i="15"/>
  <c r="AC369" i="15" s="1"/>
  <c r="AA280" i="15"/>
  <c r="AB280" i="15"/>
  <c r="AC280" i="15" s="1"/>
  <c r="AD280" i="15"/>
  <c r="AE280" i="15" s="1"/>
  <c r="AA320" i="15"/>
  <c r="AD320" i="15"/>
  <c r="AE320" i="15" s="1"/>
  <c r="AB320" i="15"/>
  <c r="AC320" i="15" s="1"/>
  <c r="AD360" i="15"/>
  <c r="AE360" i="15" s="1"/>
  <c r="AB360" i="15"/>
  <c r="AC360" i="15" s="1"/>
  <c r="AD351" i="15"/>
  <c r="AE351" i="15" s="1"/>
  <c r="AB351" i="15"/>
  <c r="AC351" i="15" s="1"/>
  <c r="AA275" i="15"/>
  <c r="AD275" i="15"/>
  <c r="AB275" i="15"/>
  <c r="AC275" i="15" s="1"/>
  <c r="AA279" i="15"/>
  <c r="AD279" i="15"/>
  <c r="AE279" i="15" s="1"/>
  <c r="AB279" i="15"/>
  <c r="AC279" i="15" s="1"/>
  <c r="AB319" i="15"/>
  <c r="AC319" i="15" s="1"/>
  <c r="AD319" i="15"/>
  <c r="AE319" i="15" s="1"/>
  <c r="AD361" i="15"/>
  <c r="AE361" i="15" s="1"/>
  <c r="AB361" i="15"/>
  <c r="AC361" i="15" s="1"/>
  <c r="AA290" i="15"/>
  <c r="AD290" i="15"/>
  <c r="AE290" i="15" s="1"/>
  <c r="AB290" i="15"/>
  <c r="AC290" i="15" s="1"/>
  <c r="AA318" i="15"/>
  <c r="AD318" i="15"/>
  <c r="AE318" i="15" s="1"/>
  <c r="AB318" i="15"/>
  <c r="AC318" i="15" s="1"/>
  <c r="AD359" i="15"/>
  <c r="AE359" i="15" s="1"/>
  <c r="AB359" i="15"/>
  <c r="AC359" i="15" s="1"/>
  <c r="AA321" i="15"/>
  <c r="AD321" i="15"/>
  <c r="AE321" i="15" s="1"/>
  <c r="AB321" i="15"/>
  <c r="AC321" i="15" s="1"/>
  <c r="AA371" i="15"/>
  <c r="AD371" i="15"/>
  <c r="AE371" i="15" s="1"/>
  <c r="AB371" i="15"/>
  <c r="AC371" i="15" s="1"/>
  <c r="AA322" i="15"/>
  <c r="AD322" i="15"/>
  <c r="AE322" i="15" s="1"/>
  <c r="AB322" i="15"/>
  <c r="AC322" i="15" s="1"/>
  <c r="AA315" i="15"/>
  <c r="AD315" i="15"/>
  <c r="AE315" i="15" s="1"/>
  <c r="AB315" i="15"/>
  <c r="AC315" i="15" s="1"/>
  <c r="AD362" i="15"/>
  <c r="AE362" i="15" s="1"/>
  <c r="AB362" i="15"/>
  <c r="AC362" i="15" s="1"/>
  <c r="AA289" i="15"/>
  <c r="AD289" i="15"/>
  <c r="AE289" i="15" s="1"/>
  <c r="AB289" i="15"/>
  <c r="AC289" i="15" s="1"/>
  <c r="AA305" i="15"/>
  <c r="AD305" i="15"/>
  <c r="AE305" i="15" s="1"/>
  <c r="AB305" i="15"/>
  <c r="AC305" i="15" s="1"/>
  <c r="AA346" i="15"/>
  <c r="AD346" i="15"/>
  <c r="AE346" i="15" s="1"/>
  <c r="AB346" i="15"/>
  <c r="AC346" i="15" s="1"/>
  <c r="AD357" i="15"/>
  <c r="AB357" i="15"/>
  <c r="AC357" i="15" s="1"/>
  <c r="AA296" i="15"/>
  <c r="AD296" i="15"/>
  <c r="AE296" i="15" s="1"/>
  <c r="AB296" i="15"/>
  <c r="AC296" i="15" s="1"/>
  <c r="AA323" i="15"/>
  <c r="AD323" i="15"/>
  <c r="AE323" i="15" s="1"/>
  <c r="AB323" i="15"/>
  <c r="AC323" i="15" s="1"/>
  <c r="AD339" i="15"/>
  <c r="AE339" i="15" s="1"/>
  <c r="AB339" i="15"/>
  <c r="AC339" i="15" s="1"/>
  <c r="AA304" i="15"/>
  <c r="AD304" i="15"/>
  <c r="AE304" i="15" s="1"/>
  <c r="AB304" i="15"/>
  <c r="AA350" i="15"/>
  <c r="AD350" i="15"/>
  <c r="AE350" i="15" s="1"/>
  <c r="AB350" i="15"/>
  <c r="AC350" i="15" s="1"/>
  <c r="AD370" i="15"/>
  <c r="AE370" i="15" s="1"/>
  <c r="AB370" i="15"/>
  <c r="AC370" i="15" s="1"/>
  <c r="AA294" i="15"/>
  <c r="AD294" i="15"/>
  <c r="AE294" i="15" s="1"/>
  <c r="AB294" i="15"/>
  <c r="AC294" i="15" s="1"/>
  <c r="AA338" i="15"/>
  <c r="AD338" i="15"/>
  <c r="AE338" i="15" s="1"/>
  <c r="AB338" i="15"/>
  <c r="AC338" i="15" s="1"/>
  <c r="AA368" i="15"/>
  <c r="AD368" i="15"/>
  <c r="AE368" i="15" s="1"/>
  <c r="AB368" i="15"/>
  <c r="AC368" i="15" s="1"/>
  <c r="AA288" i="15"/>
  <c r="AD288" i="15"/>
  <c r="AB288" i="15"/>
  <c r="AC288" i="15" s="1"/>
  <c r="AA348" i="15"/>
  <c r="AD348" i="15"/>
  <c r="AE348" i="15" s="1"/>
  <c r="AB348" i="15"/>
  <c r="AC348" i="15" s="1"/>
  <c r="AB358" i="15"/>
  <c r="AC358" i="15" s="1"/>
  <c r="AD358" i="15"/>
  <c r="AE358" i="15" s="1"/>
  <c r="AA281" i="15"/>
  <c r="AD281" i="15"/>
  <c r="AE281" i="15" s="1"/>
  <c r="AB281" i="15"/>
  <c r="AC281" i="15" s="1"/>
  <c r="AA306" i="15"/>
  <c r="AD306" i="15"/>
  <c r="AE306" i="15" s="1"/>
  <c r="AB306" i="15"/>
  <c r="AC306" i="15" s="1"/>
  <c r="AA337" i="15"/>
  <c r="AB337" i="15"/>
  <c r="AC337" i="15" s="1"/>
  <c r="AD337" i="15"/>
  <c r="AA295" i="15"/>
  <c r="AD295" i="15"/>
  <c r="AE295" i="15" s="1"/>
  <c r="AB295" i="15"/>
  <c r="AC295" i="15" s="1"/>
  <c r="AA347" i="15"/>
  <c r="AD347" i="15"/>
  <c r="AE347" i="15" s="1"/>
  <c r="AB347" i="15"/>
  <c r="AC347" i="15" s="1"/>
  <c r="AD363" i="15"/>
  <c r="AE363" i="15" s="1"/>
  <c r="AB363" i="15"/>
  <c r="AC363" i="15" s="1"/>
  <c r="AA364" i="15"/>
  <c r="AD364" i="15"/>
  <c r="AE364" i="15" s="1"/>
  <c r="AB364" i="15"/>
  <c r="AC364" i="15" s="1"/>
  <c r="AA313" i="15"/>
  <c r="AD313" i="15"/>
  <c r="AE313" i="15" s="1"/>
  <c r="AB313" i="15"/>
  <c r="AA349" i="15"/>
  <c r="AD349" i="15"/>
  <c r="AE349" i="15" s="1"/>
  <c r="AB349" i="15"/>
  <c r="AC349" i="15" s="1"/>
  <c r="AD372" i="15"/>
  <c r="AE372" i="15" s="1"/>
  <c r="AB372" i="15"/>
  <c r="AC372" i="15" s="1"/>
  <c r="G360" i="15"/>
  <c r="H360" i="15" s="1"/>
  <c r="AA360" i="15"/>
  <c r="G351" i="15"/>
  <c r="H351" i="15" s="1"/>
  <c r="AA351" i="15"/>
  <c r="G319" i="15"/>
  <c r="H319" i="15" s="1"/>
  <c r="AA319" i="15"/>
  <c r="G361" i="15"/>
  <c r="H361" i="15" s="1"/>
  <c r="AA361" i="15"/>
  <c r="G359" i="15"/>
  <c r="H359" i="15" s="1"/>
  <c r="AA359" i="15"/>
  <c r="G362" i="15"/>
  <c r="H362" i="15" s="1"/>
  <c r="AA362" i="15"/>
  <c r="G357" i="15"/>
  <c r="H357" i="15" s="1"/>
  <c r="AA357" i="15"/>
  <c r="G339" i="15"/>
  <c r="H339" i="15" s="1"/>
  <c r="AA339" i="15"/>
  <c r="G336" i="15"/>
  <c r="H336" i="15" s="1"/>
  <c r="AA336" i="15"/>
  <c r="G370" i="15"/>
  <c r="H370" i="15" s="1"/>
  <c r="AA370" i="15"/>
  <c r="G358" i="15"/>
  <c r="H358" i="15" s="1"/>
  <c r="AA358" i="15"/>
  <c r="G335" i="15"/>
  <c r="H335" i="15" s="1"/>
  <c r="AA335" i="15"/>
  <c r="G363" i="15"/>
  <c r="H363" i="15" s="1"/>
  <c r="AA363" i="15"/>
  <c r="G372" i="15"/>
  <c r="H372" i="15" s="1"/>
  <c r="AA372" i="15"/>
  <c r="G369" i="15"/>
  <c r="H369" i="15" s="1"/>
  <c r="AA369" i="15"/>
  <c r="G340" i="15"/>
  <c r="H340" i="15" s="1"/>
  <c r="AA340" i="15"/>
  <c r="K367" i="20"/>
  <c r="I351" i="15"/>
  <c r="J351" i="15" s="1"/>
  <c r="G295" i="20"/>
  <c r="H295" i="20" s="1"/>
  <c r="I295" i="20"/>
  <c r="J295" i="20" s="1"/>
  <c r="K295" i="20"/>
  <c r="K282" i="20"/>
  <c r="I282" i="20"/>
  <c r="J282" i="20" s="1"/>
  <c r="G282" i="20"/>
  <c r="H282" i="20" s="1"/>
  <c r="K372" i="20"/>
  <c r="I372" i="20"/>
  <c r="J372" i="20" s="1"/>
  <c r="G372" i="20"/>
  <c r="H372" i="20" s="1"/>
  <c r="G338" i="20"/>
  <c r="H338" i="20" s="1"/>
  <c r="K338" i="20"/>
  <c r="I338" i="20"/>
  <c r="J338" i="20" s="1"/>
  <c r="K315" i="20"/>
  <c r="I315" i="20"/>
  <c r="J315" i="20" s="1"/>
  <c r="G315" i="20"/>
  <c r="H315" i="20" s="1"/>
  <c r="I276" i="20"/>
  <c r="J276" i="20" s="1"/>
  <c r="K276" i="20"/>
  <c r="G276" i="20"/>
  <c r="H276" i="20" s="1"/>
  <c r="I340" i="15"/>
  <c r="J340" i="15" s="1"/>
  <c r="K313" i="20"/>
  <c r="I305" i="20"/>
  <c r="J305" i="20" s="1"/>
  <c r="G305" i="20"/>
  <c r="H305" i="20" s="1"/>
  <c r="K305" i="20"/>
  <c r="K314" i="20"/>
  <c r="I314" i="20"/>
  <c r="J314" i="20" s="1"/>
  <c r="G314" i="20"/>
  <c r="H314" i="20" s="1"/>
  <c r="I294" i="20"/>
  <c r="J294" i="20" s="1"/>
  <c r="K294" i="20"/>
  <c r="G294" i="20"/>
  <c r="H294" i="20" s="1"/>
  <c r="G368" i="20"/>
  <c r="H368" i="20" s="1"/>
  <c r="K368" i="20"/>
  <c r="I368" i="20"/>
  <c r="J368" i="20" s="1"/>
  <c r="G306" i="20"/>
  <c r="H306" i="20" s="1"/>
  <c r="K306" i="20"/>
  <c r="I306" i="20"/>
  <c r="J306" i="20" s="1"/>
  <c r="K369" i="20"/>
  <c r="G369" i="20"/>
  <c r="H369" i="20" s="1"/>
  <c r="I369" i="20"/>
  <c r="J369" i="20" s="1"/>
  <c r="K349" i="20"/>
  <c r="G349" i="20"/>
  <c r="H349" i="20" s="1"/>
  <c r="I349" i="20"/>
  <c r="J349" i="20" s="1"/>
  <c r="G359" i="20"/>
  <c r="H359" i="20" s="1"/>
  <c r="K359" i="20"/>
  <c r="I359" i="20"/>
  <c r="J359" i="20" s="1"/>
  <c r="G318" i="20"/>
  <c r="H318" i="20" s="1"/>
  <c r="I318" i="20"/>
  <c r="J318" i="20" s="1"/>
  <c r="K318" i="20"/>
  <c r="K288" i="20"/>
  <c r="I288" i="20"/>
  <c r="J288" i="20" s="1"/>
  <c r="G288" i="20"/>
  <c r="H288" i="20" s="1"/>
  <c r="I347" i="20"/>
  <c r="J347" i="20" s="1"/>
  <c r="G347" i="20"/>
  <c r="H347" i="20" s="1"/>
  <c r="K347" i="20"/>
  <c r="K329" i="20"/>
  <c r="G329" i="20"/>
  <c r="H329" i="20" s="1"/>
  <c r="I329" i="20"/>
  <c r="J329" i="20" s="1"/>
  <c r="G275" i="20"/>
  <c r="H275" i="20" s="1"/>
  <c r="K275" i="20"/>
  <c r="I275" i="20"/>
  <c r="J275" i="20" s="1"/>
  <c r="I351" i="20"/>
  <c r="J351" i="20" s="1"/>
  <c r="G351" i="20"/>
  <c r="H351" i="20" s="1"/>
  <c r="K351" i="20"/>
  <c r="I362" i="20"/>
  <c r="J362" i="20" s="1"/>
  <c r="K362" i="20"/>
  <c r="G362" i="20"/>
  <c r="H362" i="20" s="1"/>
  <c r="K312" i="20"/>
  <c r="I342" i="20"/>
  <c r="J342" i="20" s="1"/>
  <c r="K342" i="20"/>
  <c r="G342" i="20"/>
  <c r="H342" i="20" s="1"/>
  <c r="K346" i="20"/>
  <c r="G346" i="20"/>
  <c r="H346" i="20" s="1"/>
  <c r="I346" i="20"/>
  <c r="J346" i="20" s="1"/>
  <c r="K278" i="20"/>
  <c r="I278" i="20"/>
  <c r="J278" i="20" s="1"/>
  <c r="G278" i="20"/>
  <c r="H278" i="20" s="1"/>
  <c r="G320" i="20"/>
  <c r="H320" i="20" s="1"/>
  <c r="I320" i="20"/>
  <c r="J320" i="20" s="1"/>
  <c r="K320" i="20"/>
  <c r="K336" i="20"/>
  <c r="I336" i="20"/>
  <c r="J336" i="20" s="1"/>
  <c r="G336" i="20"/>
  <c r="H336" i="20" s="1"/>
  <c r="I296" i="20"/>
  <c r="J296" i="20" s="1"/>
  <c r="K296" i="20"/>
  <c r="G296" i="20"/>
  <c r="H296" i="20" s="1"/>
  <c r="G280" i="20"/>
  <c r="H280" i="20" s="1"/>
  <c r="K280" i="20"/>
  <c r="I280" i="20"/>
  <c r="J280" i="20" s="1"/>
  <c r="BE17" i="8"/>
  <c r="E247" i="20" a="1"/>
  <c r="E247" i="20" s="1"/>
  <c r="E262" i="20" a="1"/>
  <c r="E262" i="20" s="1"/>
  <c r="E263" i="20" a="1"/>
  <c r="E263" i="20" s="1"/>
  <c r="E256" i="20" a="1"/>
  <c r="E256" i="20" s="1"/>
  <c r="E237" i="20" a="1"/>
  <c r="E237" i="20" s="1"/>
  <c r="E255" i="20" a="1"/>
  <c r="E255" i="20" s="1"/>
  <c r="E236" i="20" a="1"/>
  <c r="E236" i="20" s="1"/>
  <c r="K361" i="20"/>
  <c r="I361" i="20"/>
  <c r="J361" i="20" s="1"/>
  <c r="G361" i="20"/>
  <c r="H361" i="20" s="1"/>
  <c r="K321" i="20"/>
  <c r="G321" i="20"/>
  <c r="H321" i="20" s="1"/>
  <c r="I321" i="20"/>
  <c r="J321" i="20" s="1"/>
  <c r="G304" i="20"/>
  <c r="H304" i="20" s="1"/>
  <c r="I304" i="20"/>
  <c r="J304" i="20" s="1"/>
  <c r="K304" i="20"/>
  <c r="K291" i="20"/>
  <c r="G322" i="20"/>
  <c r="H322" i="20" s="1"/>
  <c r="K322" i="20"/>
  <c r="I322" i="20"/>
  <c r="J322" i="20" s="1"/>
  <c r="K348" i="20"/>
  <c r="I348" i="20"/>
  <c r="J348" i="20" s="1"/>
  <c r="G348" i="20"/>
  <c r="H348" i="20" s="1"/>
  <c r="G358" i="20"/>
  <c r="H358" i="20" s="1"/>
  <c r="I358" i="20"/>
  <c r="J358" i="20" s="1"/>
  <c r="K358" i="20"/>
  <c r="K291" i="15"/>
  <c r="I340" i="20"/>
  <c r="J340" i="20" s="1"/>
  <c r="K340" i="20"/>
  <c r="G340" i="20"/>
  <c r="H340" i="20" s="1"/>
  <c r="I281" i="20"/>
  <c r="J281" i="20" s="1"/>
  <c r="G281" i="20"/>
  <c r="H281" i="20" s="1"/>
  <c r="K281" i="20"/>
  <c r="I289" i="20"/>
  <c r="J289" i="20" s="1"/>
  <c r="K289" i="20"/>
  <c r="G289" i="20"/>
  <c r="H289" i="20" s="1"/>
  <c r="K370" i="20"/>
  <c r="G370" i="20"/>
  <c r="H370" i="20" s="1"/>
  <c r="I370" i="20"/>
  <c r="J370" i="20" s="1"/>
  <c r="K290" i="20"/>
  <c r="I290" i="20"/>
  <c r="J290" i="20" s="1"/>
  <c r="G290" i="20"/>
  <c r="H290" i="20" s="1"/>
  <c r="E341" i="20"/>
  <c r="I339" i="20"/>
  <c r="J339" i="20" s="1"/>
  <c r="G339" i="20"/>
  <c r="H339" i="20" s="1"/>
  <c r="K339" i="20"/>
  <c r="K341" i="20" s="1"/>
  <c r="G279" i="20"/>
  <c r="H279" i="20" s="1"/>
  <c r="K279" i="20"/>
  <c r="I279" i="20"/>
  <c r="J279" i="20" s="1"/>
  <c r="I360" i="20"/>
  <c r="J360" i="20" s="1"/>
  <c r="G360" i="20"/>
  <c r="H360" i="20" s="1"/>
  <c r="K360" i="20"/>
  <c r="G371" i="20"/>
  <c r="H371" i="20" s="1"/>
  <c r="I371" i="20"/>
  <c r="J371" i="20" s="1"/>
  <c r="K371" i="20"/>
  <c r="K335" i="20"/>
  <c r="G335" i="20"/>
  <c r="H335" i="20" s="1"/>
  <c r="I335" i="20"/>
  <c r="J335" i="20" s="1"/>
  <c r="K350" i="20"/>
  <c r="G350" i="20"/>
  <c r="H350" i="20" s="1"/>
  <c r="I350" i="20"/>
  <c r="J350" i="20" s="1"/>
  <c r="K323" i="20"/>
  <c r="G323" i="20"/>
  <c r="H323" i="20" s="1"/>
  <c r="I323" i="20"/>
  <c r="J323" i="20" s="1"/>
  <c r="I357" i="20"/>
  <c r="J357" i="20" s="1"/>
  <c r="G357" i="20"/>
  <c r="H357" i="20" s="1"/>
  <c r="K357" i="20"/>
  <c r="G363" i="20"/>
  <c r="H363" i="20" s="1"/>
  <c r="K363" i="20"/>
  <c r="I363" i="20"/>
  <c r="J363" i="20" s="1"/>
  <c r="K293" i="20"/>
  <c r="K302" i="20"/>
  <c r="I277" i="20"/>
  <c r="J277" i="20" s="1"/>
  <c r="G277" i="20"/>
  <c r="H277" i="20" s="1"/>
  <c r="K277" i="20"/>
  <c r="G319" i="20"/>
  <c r="H319" i="20" s="1"/>
  <c r="I319" i="20"/>
  <c r="J319" i="20" s="1"/>
  <c r="K319" i="20"/>
  <c r="K337" i="20"/>
  <c r="I337" i="20"/>
  <c r="J337" i="20" s="1"/>
  <c r="G337" i="20"/>
  <c r="H337" i="20" s="1"/>
  <c r="K294" i="15"/>
  <c r="G294" i="15"/>
  <c r="H294" i="15" s="1"/>
  <c r="K338" i="15"/>
  <c r="G338" i="15"/>
  <c r="H338" i="15" s="1"/>
  <c r="K288" i="15"/>
  <c r="G288" i="15"/>
  <c r="H288" i="15" s="1"/>
  <c r="K348" i="15"/>
  <c r="G348" i="15"/>
  <c r="H348" i="15" s="1"/>
  <c r="K281" i="15"/>
  <c r="G281" i="15"/>
  <c r="H281" i="15" s="1"/>
  <c r="K306" i="15"/>
  <c r="G306" i="15"/>
  <c r="H306" i="15" s="1"/>
  <c r="K337" i="15"/>
  <c r="G337" i="15"/>
  <c r="H337" i="15" s="1"/>
  <c r="K368" i="15"/>
  <c r="G368" i="15"/>
  <c r="H368" i="15" s="1"/>
  <c r="K282" i="15"/>
  <c r="G282" i="15"/>
  <c r="H282" i="15" s="1"/>
  <c r="K295" i="15"/>
  <c r="G295" i="15"/>
  <c r="H295" i="15" s="1"/>
  <c r="K275" i="15"/>
  <c r="G275" i="15"/>
  <c r="H275" i="15" s="1"/>
  <c r="K296" i="15"/>
  <c r="G296" i="15"/>
  <c r="H296" i="15" s="1"/>
  <c r="K347" i="15"/>
  <c r="G347" i="15"/>
  <c r="H347" i="15" s="1"/>
  <c r="K276" i="15"/>
  <c r="G276" i="15"/>
  <c r="H276" i="15" s="1"/>
  <c r="K313" i="15"/>
  <c r="G313" i="15"/>
  <c r="H313" i="15" s="1"/>
  <c r="K345" i="15"/>
  <c r="G345" i="15"/>
  <c r="H345" i="15" s="1"/>
  <c r="K277" i="15"/>
  <c r="G277" i="15"/>
  <c r="H277" i="15" s="1"/>
  <c r="K289" i="15"/>
  <c r="G289" i="15"/>
  <c r="H289" i="15" s="1"/>
  <c r="K349" i="15"/>
  <c r="G349" i="15"/>
  <c r="H349" i="15" s="1"/>
  <c r="K364" i="15"/>
  <c r="G364" i="15"/>
  <c r="H364" i="15" s="1"/>
  <c r="K278" i="15"/>
  <c r="G278" i="15"/>
  <c r="H278" i="15" s="1"/>
  <c r="K314" i="15"/>
  <c r="G314" i="15"/>
  <c r="H314" i="15" s="1"/>
  <c r="K343" i="15"/>
  <c r="G343" i="15"/>
  <c r="H343" i="15" s="1"/>
  <c r="K280" i="15"/>
  <c r="G280" i="15"/>
  <c r="H280" i="15" s="1"/>
  <c r="K320" i="15"/>
  <c r="G320" i="15"/>
  <c r="H320" i="15" s="1"/>
  <c r="K342" i="15"/>
  <c r="G342" i="15"/>
  <c r="H342" i="15" s="1"/>
  <c r="K279" i="15"/>
  <c r="G279" i="15"/>
  <c r="H279" i="15" s="1"/>
  <c r="K290" i="15"/>
  <c r="G290" i="15"/>
  <c r="H290" i="15" s="1"/>
  <c r="K318" i="15"/>
  <c r="G318" i="15"/>
  <c r="H318" i="15" s="1"/>
  <c r="K321" i="15"/>
  <c r="G321" i="15"/>
  <c r="H321" i="15" s="1"/>
  <c r="K322" i="15"/>
  <c r="G322" i="15"/>
  <c r="H322" i="15" s="1"/>
  <c r="K315" i="15"/>
  <c r="G315" i="15"/>
  <c r="H315" i="15" s="1"/>
  <c r="K305" i="15"/>
  <c r="G305" i="15"/>
  <c r="H305" i="15" s="1"/>
  <c r="K346" i="15"/>
  <c r="G346" i="15"/>
  <c r="H346" i="15" s="1"/>
  <c r="K371" i="15"/>
  <c r="G371" i="15"/>
  <c r="H371" i="15" s="1"/>
  <c r="K323" i="15"/>
  <c r="G323" i="15"/>
  <c r="H323" i="15" s="1"/>
  <c r="K304" i="15"/>
  <c r="G304" i="15"/>
  <c r="H304" i="15" s="1"/>
  <c r="K350" i="15"/>
  <c r="G350" i="15"/>
  <c r="H350" i="15" s="1"/>
  <c r="K372" i="15"/>
  <c r="K362" i="15"/>
  <c r="K363" i="15"/>
  <c r="K335" i="15"/>
  <c r="K369" i="15"/>
  <c r="K319" i="15"/>
  <c r="K360" i="15"/>
  <c r="K361" i="15"/>
  <c r="K359" i="15"/>
  <c r="E341" i="15"/>
  <c r="K339" i="15"/>
  <c r="K341" i="15" s="1"/>
  <c r="K302" i="15"/>
  <c r="K357" i="15"/>
  <c r="K293" i="15"/>
  <c r="K336" i="15"/>
  <c r="K312" i="15"/>
  <c r="K370" i="15"/>
  <c r="K351" i="15"/>
  <c r="K367" i="15"/>
  <c r="K358" i="15"/>
  <c r="K340" i="15"/>
  <c r="I86" i="15"/>
  <c r="J86" i="15" s="1"/>
  <c r="I88" i="15"/>
  <c r="J88" i="15" s="1"/>
  <c r="I90" i="15"/>
  <c r="J90" i="15" s="1"/>
  <c r="I84" i="15"/>
  <c r="J84" i="15" s="1"/>
  <c r="I96" i="15"/>
  <c r="J96" i="15" s="1"/>
  <c r="I85" i="15"/>
  <c r="J85" i="15" s="1"/>
  <c r="I97" i="15"/>
  <c r="J97" i="15" s="1"/>
  <c r="I87" i="15"/>
  <c r="J87" i="15" s="1"/>
  <c r="I98" i="15"/>
  <c r="J98" i="15" s="1"/>
  <c r="I89" i="15"/>
  <c r="J89" i="15" s="1"/>
  <c r="I95" i="15"/>
  <c r="J95" i="15" s="1"/>
  <c r="I361" i="15"/>
  <c r="J361" i="15" s="1"/>
  <c r="I371" i="15"/>
  <c r="J371" i="15" s="1"/>
  <c r="I359" i="15"/>
  <c r="J359" i="15" s="1"/>
  <c r="I362" i="15"/>
  <c r="J362" i="15" s="1"/>
  <c r="I357" i="15"/>
  <c r="J357" i="15" s="1"/>
  <c r="I336" i="15"/>
  <c r="J336" i="15" s="1"/>
  <c r="I370" i="15"/>
  <c r="J370" i="15" s="1"/>
  <c r="I368" i="15"/>
  <c r="J368" i="15" s="1"/>
  <c r="I358" i="15"/>
  <c r="J358" i="15" s="1"/>
  <c r="I335" i="15"/>
  <c r="J335" i="15" s="1"/>
  <c r="I363" i="15"/>
  <c r="J363" i="15" s="1"/>
  <c r="I364" i="15"/>
  <c r="J364" i="15" s="1"/>
  <c r="I372" i="15"/>
  <c r="J372" i="15" s="1"/>
  <c r="I369" i="15"/>
  <c r="J369" i="15" s="1"/>
  <c r="I360" i="15"/>
  <c r="J360" i="15" s="1"/>
  <c r="I339" i="15"/>
  <c r="J339" i="15" s="1"/>
  <c r="I338" i="15"/>
  <c r="J338" i="15" s="1"/>
  <c r="I348" i="15"/>
  <c r="J348" i="15" s="1"/>
  <c r="I337" i="15"/>
  <c r="J337" i="15" s="1"/>
  <c r="I350" i="15"/>
  <c r="J350" i="15" s="1"/>
  <c r="I344" i="15"/>
  <c r="J344" i="15" s="1"/>
  <c r="I347" i="15"/>
  <c r="J347" i="15" s="1"/>
  <c r="I345" i="15"/>
  <c r="J345" i="15" s="1"/>
  <c r="I349" i="15"/>
  <c r="J349" i="15" s="1"/>
  <c r="I343" i="15"/>
  <c r="J343" i="15" s="1"/>
  <c r="I342" i="15"/>
  <c r="J342" i="15" s="1"/>
  <c r="I346" i="15"/>
  <c r="J346" i="15" s="1"/>
  <c r="E329" i="15" a="1"/>
  <c r="E329" i="15" s="1"/>
  <c r="I320" i="15"/>
  <c r="J320" i="15" s="1"/>
  <c r="I319" i="15"/>
  <c r="J319" i="15" s="1"/>
  <c r="I318" i="15"/>
  <c r="J318" i="15" s="1"/>
  <c r="I315" i="15"/>
  <c r="J315" i="15" s="1"/>
  <c r="I290" i="15"/>
  <c r="J290" i="15" s="1"/>
  <c r="I321" i="15"/>
  <c r="J321" i="15" s="1"/>
  <c r="I322" i="15"/>
  <c r="J322" i="15" s="1"/>
  <c r="I305" i="15"/>
  <c r="J305" i="15" s="1"/>
  <c r="I323" i="15"/>
  <c r="J323" i="15" s="1"/>
  <c r="I304" i="15"/>
  <c r="J304" i="15" s="1"/>
  <c r="I312" i="15"/>
  <c r="J312" i="15" s="1"/>
  <c r="I294" i="15"/>
  <c r="J294" i="15" s="1"/>
  <c r="I288" i="15"/>
  <c r="J288" i="15" s="1"/>
  <c r="I306" i="15"/>
  <c r="J306" i="15" s="1"/>
  <c r="I295" i="15"/>
  <c r="J295" i="15" s="1"/>
  <c r="I296" i="15"/>
  <c r="J296" i="15" s="1"/>
  <c r="I313" i="15"/>
  <c r="J313" i="15" s="1"/>
  <c r="I289" i="15"/>
  <c r="J289" i="15" s="1"/>
  <c r="I314" i="15"/>
  <c r="J314" i="15" s="1"/>
  <c r="E247" i="15" a="1"/>
  <c r="E247" i="15" s="1"/>
  <c r="E263" i="15" a="1"/>
  <c r="E263" i="15" s="1"/>
  <c r="E262" i="15" a="1"/>
  <c r="E262" i="15" s="1"/>
  <c r="E256" i="15" a="1"/>
  <c r="E256" i="15" s="1"/>
  <c r="E255" i="15" a="1"/>
  <c r="E255" i="15" s="1"/>
  <c r="E237" i="15" a="1"/>
  <c r="E237" i="15" s="1"/>
  <c r="AA237" i="15" s="1"/>
  <c r="E236" i="15" a="1"/>
  <c r="E236" i="15" s="1"/>
  <c r="I281" i="15"/>
  <c r="J281" i="15" s="1"/>
  <c r="I282" i="15"/>
  <c r="J282" i="15" s="1"/>
  <c r="I275" i="15"/>
  <c r="J275" i="15" s="1"/>
  <c r="I276" i="15"/>
  <c r="J276" i="15" s="1"/>
  <c r="I277" i="15"/>
  <c r="J277" i="15" s="1"/>
  <c r="I278" i="15"/>
  <c r="J278" i="15" s="1"/>
  <c r="I280" i="15"/>
  <c r="J280" i="15" s="1"/>
  <c r="I279" i="15"/>
  <c r="J279" i="15" s="1"/>
  <c r="AS109" i="8"/>
  <c r="BB109" i="8" s="1"/>
  <c r="BF109" i="8" s="1"/>
  <c r="BG109" i="8" s="1"/>
  <c r="AS150" i="8"/>
  <c r="BB150" i="8" s="1"/>
  <c r="BF150" i="8" s="1"/>
  <c r="BG150" i="8" s="1"/>
  <c r="AS108" i="8"/>
  <c r="BB108" i="8" s="1"/>
  <c r="BF108" i="8" s="1"/>
  <c r="BG108" i="8" s="1"/>
  <c r="AS147" i="8"/>
  <c r="BB147" i="8" s="1"/>
  <c r="BF147" i="8" s="1"/>
  <c r="BG147" i="8" s="1"/>
  <c r="AS17" i="8"/>
  <c r="BB17" i="8" s="1"/>
  <c r="BF17" i="8" s="1"/>
  <c r="BG17" i="8" s="1"/>
  <c r="AS106" i="8"/>
  <c r="BB106" i="8" s="1"/>
  <c r="BF106" i="8" s="1"/>
  <c r="BG106" i="8" s="1"/>
  <c r="AS99" i="8"/>
  <c r="BB99" i="8" s="1"/>
  <c r="BF99" i="8" s="1"/>
  <c r="BG99" i="8" s="1"/>
  <c r="AS107" i="8"/>
  <c r="BB107" i="8" s="1"/>
  <c r="BF107" i="8" s="1"/>
  <c r="BG107" i="8" s="1"/>
  <c r="AS98" i="8"/>
  <c r="BB98" i="8" s="1"/>
  <c r="BF98" i="8" s="1"/>
  <c r="BG98" i="8" s="1"/>
  <c r="AS105" i="8"/>
  <c r="BB105" i="8" s="1"/>
  <c r="BF105" i="8" s="1"/>
  <c r="BG105" i="8" s="1"/>
  <c r="AS97" i="8"/>
  <c r="BB97" i="8" s="1"/>
  <c r="BF97" i="8" s="1"/>
  <c r="BG97" i="8" s="1"/>
  <c r="AS96" i="8"/>
  <c r="BB96" i="8" s="1"/>
  <c r="BF96" i="8" s="1"/>
  <c r="BG96" i="8" s="1"/>
  <c r="AS95" i="8"/>
  <c r="BB95" i="8" s="1"/>
  <c r="BF95" i="8" s="1"/>
  <c r="BG95" i="8" s="1"/>
  <c r="AS94" i="8"/>
  <c r="BB94" i="8" s="1"/>
  <c r="BF94" i="8" s="1"/>
  <c r="BG94" i="8" s="1"/>
  <c r="AS101" i="8"/>
  <c r="BB101" i="8" s="1"/>
  <c r="BF101" i="8" s="1"/>
  <c r="BG101" i="8" s="1"/>
  <c r="AS100" i="8"/>
  <c r="BB100" i="8" s="1"/>
  <c r="BF100" i="8" s="1"/>
  <c r="BG100" i="8" s="1"/>
  <c r="AS139" i="8"/>
  <c r="BB139" i="8" s="1"/>
  <c r="BF139" i="8" s="1"/>
  <c r="BG139" i="8" s="1"/>
  <c r="AS175" i="8"/>
  <c r="BB175" i="8" s="1"/>
  <c r="BF175" i="8" s="1"/>
  <c r="BG175" i="8" s="1"/>
  <c r="AS138" i="8"/>
  <c r="BB138" i="8" s="1"/>
  <c r="BF138" i="8" s="1"/>
  <c r="BG138" i="8" s="1"/>
  <c r="AS137" i="8"/>
  <c r="BB137" i="8" s="1"/>
  <c r="BF137" i="8" s="1"/>
  <c r="BG137" i="8" s="1"/>
  <c r="AS113" i="8"/>
  <c r="BB113" i="8" s="1"/>
  <c r="BF113" i="8" s="1"/>
  <c r="BG113" i="8" s="1"/>
  <c r="AS112" i="8"/>
  <c r="BB112" i="8" s="1"/>
  <c r="BF112" i="8" s="1"/>
  <c r="BG112" i="8" s="1"/>
  <c r="AS151" i="8"/>
  <c r="BB151" i="8" s="1"/>
  <c r="BF151" i="8" s="1"/>
  <c r="BG151" i="8" s="1"/>
  <c r="F121" i="6" a="1"/>
  <c r="F121" i="6" s="1"/>
  <c r="G178" i="13" s="1"/>
  <c r="F120" i="6" a="1"/>
  <c r="F120" i="6" s="1"/>
  <c r="G177" i="13" s="1"/>
  <c r="BF349" i="9"/>
  <c r="BC113" i="9"/>
  <c r="BC112" i="9"/>
  <c r="BC25" i="9"/>
  <c r="BC12" i="9"/>
  <c r="BC24" i="9"/>
  <c r="BC11" i="9"/>
  <c r="F67" i="6" a="1"/>
  <c r="F67" i="6" s="1"/>
  <c r="G51" i="13" s="1"/>
  <c r="F115" i="6" a="1"/>
  <c r="F115" i="6" s="1"/>
  <c r="G172" i="13" s="1"/>
  <c r="F101" i="6" a="1"/>
  <c r="F101" i="6" s="1"/>
  <c r="G160" i="13" s="1"/>
  <c r="F86" i="6" a="1"/>
  <c r="F86" i="6" s="1"/>
  <c r="G180" i="13" s="1"/>
  <c r="F103" i="6" a="1"/>
  <c r="F103" i="6" s="1"/>
  <c r="G162" i="13" s="1"/>
  <c r="F80" i="6" a="1"/>
  <c r="F80" i="6" s="1"/>
  <c r="G191" i="13" s="1"/>
  <c r="F122" i="6" a="1"/>
  <c r="F122" i="6" s="1"/>
  <c r="F123" i="6" a="1"/>
  <c r="F123" i="6" s="1"/>
  <c r="F108" i="6" a="1"/>
  <c r="F108" i="6" s="1"/>
  <c r="G167" i="13" s="1"/>
  <c r="F90" i="6" a="1"/>
  <c r="F90" i="6" s="1"/>
  <c r="G182" i="13" s="1"/>
  <c r="F70" i="6" a="1"/>
  <c r="F70" i="6" s="1"/>
  <c r="F85" i="6" a="1"/>
  <c r="F85" i="6" s="1"/>
  <c r="G179" i="13" s="1"/>
  <c r="F104" i="6" a="1"/>
  <c r="F104" i="6" s="1"/>
  <c r="G163" i="13" s="1"/>
  <c r="F113" i="6" a="1"/>
  <c r="F113" i="6" s="1"/>
  <c r="G170" i="13" s="1"/>
  <c r="F118" i="6" a="1"/>
  <c r="F118" i="6" s="1"/>
  <c r="G175" i="13" s="1"/>
  <c r="F92" i="6" a="1"/>
  <c r="F92" i="6" s="1"/>
  <c r="G184" i="13" s="1"/>
  <c r="F77" i="6" a="1"/>
  <c r="F77" i="6" s="1"/>
  <c r="G188" i="13" s="1"/>
  <c r="F109" i="6" a="1"/>
  <c r="F109" i="6" s="1"/>
  <c r="G168" i="13" s="1"/>
  <c r="F66" i="6" a="1"/>
  <c r="F66" i="6" s="1"/>
  <c r="F106" i="6" a="1"/>
  <c r="F106" i="6" s="1"/>
  <c r="G165" i="13" s="1"/>
  <c r="F89" i="6" a="1"/>
  <c r="F89" i="6" s="1"/>
  <c r="G49" i="13" s="1"/>
  <c r="F72" i="6" a="1"/>
  <c r="F72" i="6" s="1"/>
  <c r="F105" i="6" a="1"/>
  <c r="F105" i="6" s="1"/>
  <c r="G164" i="13" s="1"/>
  <c r="F84" i="6" a="1"/>
  <c r="F84" i="6" s="1"/>
  <c r="G69" i="13" s="1"/>
  <c r="F68" i="6" a="1"/>
  <c r="F68" i="6" s="1"/>
  <c r="G48" i="13" s="1"/>
  <c r="F112" i="6" a="1"/>
  <c r="F112" i="6" s="1"/>
  <c r="G68" i="13" s="1"/>
  <c r="F91" i="6" a="1"/>
  <c r="F91" i="6" s="1"/>
  <c r="G183" i="13" s="1"/>
  <c r="F74" i="6" a="1"/>
  <c r="F74" i="6" s="1"/>
  <c r="G44" i="13" s="1"/>
  <c r="F107" i="6" a="1"/>
  <c r="F107" i="6" s="1"/>
  <c r="G166" i="13" s="1"/>
  <c r="F94" i="6" a="1"/>
  <c r="F94" i="6" s="1"/>
  <c r="G70" i="13" s="1"/>
  <c r="F69" i="6" a="1"/>
  <c r="F69" i="6" s="1"/>
  <c r="G45" i="13" s="1"/>
  <c r="F81" i="6" a="1"/>
  <c r="F81" i="6" s="1"/>
  <c r="G192" i="13" s="1"/>
  <c r="F100" i="6" a="1"/>
  <c r="F100" i="6" s="1"/>
  <c r="G159" i="13" s="1"/>
  <c r="F76" i="6" a="1"/>
  <c r="F76" i="6" s="1"/>
  <c r="G66" i="13" s="1"/>
  <c r="F117" i="6" a="1"/>
  <c r="F117" i="6" s="1"/>
  <c r="G174" i="13" s="1"/>
  <c r="F99" i="6" a="1"/>
  <c r="F99" i="6" s="1"/>
  <c r="G67" i="13" s="1"/>
  <c r="F82" i="6" a="1"/>
  <c r="F82" i="6" s="1"/>
  <c r="G193" i="13" s="1"/>
  <c r="F119" i="6" a="1"/>
  <c r="F119" i="6" s="1"/>
  <c r="G176" i="13" s="1"/>
  <c r="F102" i="6" a="1"/>
  <c r="F102" i="6" s="1"/>
  <c r="G161" i="13" s="1"/>
  <c r="F78" i="6" a="1"/>
  <c r="F78" i="6" s="1"/>
  <c r="G189" i="13" s="1"/>
  <c r="F96" i="6" a="1"/>
  <c r="F96" i="6" s="1"/>
  <c r="G186" i="13" s="1"/>
  <c r="F110" i="6" a="1"/>
  <c r="F110" i="6" s="1"/>
  <c r="G169" i="13" s="1"/>
  <c r="F87" i="6" a="1"/>
  <c r="F87" i="6" s="1"/>
  <c r="G181" i="13" s="1"/>
  <c r="F71" i="6" a="1"/>
  <c r="F71" i="6" s="1"/>
  <c r="G47" i="13" s="1"/>
  <c r="F114" i="6" a="1"/>
  <c r="F114" i="6" s="1"/>
  <c r="G171" i="13" s="1"/>
  <c r="F95" i="6" a="1"/>
  <c r="F95" i="6" s="1"/>
  <c r="G185" i="13" s="1"/>
  <c r="F79" i="6" a="1"/>
  <c r="F79" i="6" s="1"/>
  <c r="G190" i="13" s="1"/>
  <c r="F116" i="6" a="1"/>
  <c r="F116" i="6" s="1"/>
  <c r="G173" i="13" s="1"/>
  <c r="F97" i="6" a="1"/>
  <c r="F97" i="6" s="1"/>
  <c r="G187" i="13" s="1"/>
  <c r="F73" i="6" a="1"/>
  <c r="F73" i="6" s="1"/>
  <c r="G50" i="13" s="1"/>
  <c r="S136" i="8"/>
  <c r="AV136" i="8" s="1"/>
  <c r="Q136" i="8"/>
  <c r="AU136" i="8" s="1"/>
  <c r="O136" i="8"/>
  <c r="AT136" i="8" s="1"/>
  <c r="S135" i="8"/>
  <c r="AV135" i="8" s="1"/>
  <c r="Q135" i="8"/>
  <c r="AU135" i="8" s="1"/>
  <c r="O135" i="8"/>
  <c r="AT135" i="8" s="1"/>
  <c r="S134" i="8"/>
  <c r="AV134" i="8" s="1"/>
  <c r="Q134" i="8"/>
  <c r="AU134" i="8" s="1"/>
  <c r="O134" i="8"/>
  <c r="AT134" i="8" s="1"/>
  <c r="S133" i="8"/>
  <c r="AV133" i="8" s="1"/>
  <c r="Q133" i="8"/>
  <c r="AU133" i="8" s="1"/>
  <c r="O133" i="8"/>
  <c r="AT133" i="8" s="1"/>
  <c r="AS127" i="8"/>
  <c r="BB127" i="8" s="1"/>
  <c r="AE127" i="8"/>
  <c r="BA127" i="8" s="1"/>
  <c r="AC127" i="8"/>
  <c r="AZ127" i="8" s="1"/>
  <c r="AA127" i="8"/>
  <c r="Y127" i="8"/>
  <c r="AY127" i="8" s="1"/>
  <c r="W127" i="8"/>
  <c r="AX127" i="8" s="1"/>
  <c r="U127" i="8"/>
  <c r="AW127" i="8" s="1"/>
  <c r="S127" i="8"/>
  <c r="AV127" i="8" s="1"/>
  <c r="Q127" i="8"/>
  <c r="AU127" i="8" s="1"/>
  <c r="O127" i="8"/>
  <c r="AT127" i="8" s="1"/>
  <c r="S126" i="8"/>
  <c r="AV126" i="8" s="1"/>
  <c r="Q126" i="8"/>
  <c r="AU126" i="8" s="1"/>
  <c r="O126" i="8"/>
  <c r="AT126" i="8" s="1"/>
  <c r="AS123" i="8"/>
  <c r="BB123" i="8" s="1"/>
  <c r="AE123" i="8"/>
  <c r="BA123" i="8" s="1"/>
  <c r="AC123" i="8"/>
  <c r="AZ123" i="8" s="1"/>
  <c r="AA123" i="8"/>
  <c r="Y123" i="8"/>
  <c r="AY123" i="8" s="1"/>
  <c r="W123" i="8"/>
  <c r="AX123" i="8" s="1"/>
  <c r="U123" i="8"/>
  <c r="AW123" i="8" s="1"/>
  <c r="S123" i="8"/>
  <c r="AV123" i="8" s="1"/>
  <c r="Q123" i="8"/>
  <c r="AU123" i="8" s="1"/>
  <c r="O123" i="8"/>
  <c r="AT123" i="8" s="1"/>
  <c r="AS122" i="8"/>
  <c r="BB122" i="8" s="1"/>
  <c r="AE122" i="8"/>
  <c r="BA122" i="8" s="1"/>
  <c r="AC122" i="8"/>
  <c r="AZ122" i="8" s="1"/>
  <c r="AA122" i="8"/>
  <c r="Y122" i="8"/>
  <c r="AY122" i="8" s="1"/>
  <c r="W122" i="8"/>
  <c r="AX122" i="8" s="1"/>
  <c r="U122" i="8"/>
  <c r="AW122" i="8" s="1"/>
  <c r="S122" i="8"/>
  <c r="AV122" i="8" s="1"/>
  <c r="Q122" i="8"/>
  <c r="AU122" i="8" s="1"/>
  <c r="O122" i="8"/>
  <c r="AT122" i="8" s="1"/>
  <c r="AS119" i="8"/>
  <c r="BB119" i="8" s="1"/>
  <c r="AE119" i="8"/>
  <c r="BA119" i="8" s="1"/>
  <c r="AC119" i="8"/>
  <c r="AZ119" i="8" s="1"/>
  <c r="AA119" i="8"/>
  <c r="Y119" i="8"/>
  <c r="AY119" i="8" s="1"/>
  <c r="W119" i="8"/>
  <c r="AX119" i="8" s="1"/>
  <c r="U119" i="8"/>
  <c r="AW119" i="8" s="1"/>
  <c r="S119" i="8"/>
  <c r="AV119" i="8" s="1"/>
  <c r="Q119" i="8"/>
  <c r="AU119" i="8" s="1"/>
  <c r="O119" i="8"/>
  <c r="AT119" i="8" s="1"/>
  <c r="AS118" i="8"/>
  <c r="BB118" i="8" s="1"/>
  <c r="AE118" i="8"/>
  <c r="BA118" i="8" s="1"/>
  <c r="AC118" i="8"/>
  <c r="AZ118" i="8" s="1"/>
  <c r="AA118" i="8"/>
  <c r="Y118" i="8"/>
  <c r="AY118" i="8" s="1"/>
  <c r="W118" i="8"/>
  <c r="AX118" i="8" s="1"/>
  <c r="U118" i="8"/>
  <c r="AW118" i="8" s="1"/>
  <c r="S118" i="8"/>
  <c r="AV118" i="8" s="1"/>
  <c r="Q118" i="8"/>
  <c r="AU118" i="8" s="1"/>
  <c r="O118" i="8"/>
  <c r="AT118" i="8" s="1"/>
  <c r="AS117" i="8"/>
  <c r="BB117" i="8" s="1"/>
  <c r="AE117" i="8"/>
  <c r="BA117" i="8" s="1"/>
  <c r="AC117" i="8"/>
  <c r="AZ117" i="8" s="1"/>
  <c r="AA117" i="8"/>
  <c r="Y117" i="8"/>
  <c r="AY117" i="8" s="1"/>
  <c r="W117" i="8"/>
  <c r="AX117" i="8" s="1"/>
  <c r="U117" i="8"/>
  <c r="AW117" i="8" s="1"/>
  <c r="S117" i="8"/>
  <c r="AV117" i="8" s="1"/>
  <c r="Q117" i="8"/>
  <c r="AU117" i="8" s="1"/>
  <c r="O117" i="8"/>
  <c r="AT117" i="8" s="1"/>
  <c r="AS116" i="8"/>
  <c r="BB116" i="8" s="1"/>
  <c r="AE116" i="8"/>
  <c r="BA116" i="8" s="1"/>
  <c r="AC116" i="8"/>
  <c r="AZ116" i="8" s="1"/>
  <c r="AA116" i="8"/>
  <c r="Y116" i="8"/>
  <c r="AY116" i="8" s="1"/>
  <c r="W116" i="8"/>
  <c r="AX116" i="8" s="1"/>
  <c r="U116" i="8"/>
  <c r="AW116" i="8" s="1"/>
  <c r="S116" i="8"/>
  <c r="AV116" i="8" s="1"/>
  <c r="Q116" i="8"/>
  <c r="AU116" i="8" s="1"/>
  <c r="O116" i="8"/>
  <c r="AT116" i="8" s="1"/>
  <c r="AS115" i="8"/>
  <c r="BB115" i="8" s="1"/>
  <c r="AE115" i="8"/>
  <c r="BA115" i="8" s="1"/>
  <c r="AC115" i="8"/>
  <c r="AZ115" i="8" s="1"/>
  <c r="AA115" i="8"/>
  <c r="Y115" i="8"/>
  <c r="AY115" i="8" s="1"/>
  <c r="W115" i="8"/>
  <c r="AX115" i="8" s="1"/>
  <c r="U115" i="8"/>
  <c r="AW115" i="8" s="1"/>
  <c r="S115" i="8"/>
  <c r="AV115" i="8" s="1"/>
  <c r="Q115" i="8"/>
  <c r="AU115" i="8" s="1"/>
  <c r="O115" i="8"/>
  <c r="AT115" i="8" s="1"/>
  <c r="AS114" i="8"/>
  <c r="BB114" i="8" s="1"/>
  <c r="AE114" i="8"/>
  <c r="BA114" i="8" s="1"/>
  <c r="AC114" i="8"/>
  <c r="AZ114" i="8" s="1"/>
  <c r="AA114" i="8"/>
  <c r="Y114" i="8"/>
  <c r="AY114" i="8" s="1"/>
  <c r="W114" i="8"/>
  <c r="AX114" i="8" s="1"/>
  <c r="U114" i="8"/>
  <c r="AW114" i="8" s="1"/>
  <c r="S114" i="8"/>
  <c r="AV114" i="8" s="1"/>
  <c r="Q114" i="8"/>
  <c r="AU114" i="8" s="1"/>
  <c r="O114" i="8"/>
  <c r="AT114" i="8" s="1"/>
  <c r="S93" i="8"/>
  <c r="AV93" i="8" s="1"/>
  <c r="Q93" i="8"/>
  <c r="AU93" i="8" s="1"/>
  <c r="O93" i="8"/>
  <c r="AT93" i="8" s="1"/>
  <c r="S92" i="8"/>
  <c r="AV92" i="8" s="1"/>
  <c r="Q92" i="8"/>
  <c r="AU92" i="8" s="1"/>
  <c r="O92" i="8"/>
  <c r="AT92" i="8" s="1"/>
  <c r="S89" i="8"/>
  <c r="AV89" i="8" s="1"/>
  <c r="Q89" i="8"/>
  <c r="AU89" i="8" s="1"/>
  <c r="O89" i="8"/>
  <c r="AT89" i="8" s="1"/>
  <c r="AS76" i="8"/>
  <c r="BB76" i="8" s="1"/>
  <c r="AE76" i="8"/>
  <c r="BA76" i="8" s="1"/>
  <c r="AC76" i="8"/>
  <c r="AZ76" i="8" s="1"/>
  <c r="AA76" i="8"/>
  <c r="Y76" i="8"/>
  <c r="AY76" i="8" s="1"/>
  <c r="W76" i="8"/>
  <c r="AX76" i="8" s="1"/>
  <c r="U76" i="8"/>
  <c r="AW76" i="8" s="1"/>
  <c r="S76" i="8"/>
  <c r="AV76" i="8" s="1"/>
  <c r="Q76" i="8"/>
  <c r="AU76" i="8" s="1"/>
  <c r="O76" i="8"/>
  <c r="AT76" i="8" s="1"/>
  <c r="AS73" i="8"/>
  <c r="BB73" i="8" s="1"/>
  <c r="AE73" i="8"/>
  <c r="BA73" i="8" s="1"/>
  <c r="AC73" i="8"/>
  <c r="AZ73" i="8" s="1"/>
  <c r="AA73" i="8"/>
  <c r="Y73" i="8"/>
  <c r="AY73" i="8" s="1"/>
  <c r="W73" i="8"/>
  <c r="AX73" i="8" s="1"/>
  <c r="U73" i="8"/>
  <c r="AW73" i="8" s="1"/>
  <c r="S73" i="8"/>
  <c r="AV73" i="8" s="1"/>
  <c r="Q73" i="8"/>
  <c r="AU73" i="8" s="1"/>
  <c r="O73" i="8"/>
  <c r="AT73" i="8" s="1"/>
  <c r="AS72" i="8"/>
  <c r="BB72" i="8" s="1"/>
  <c r="AE72" i="8"/>
  <c r="BA72" i="8" s="1"/>
  <c r="AC72" i="8"/>
  <c r="AZ72" i="8" s="1"/>
  <c r="AA72" i="8"/>
  <c r="Y72" i="8"/>
  <c r="AY72" i="8" s="1"/>
  <c r="W72" i="8"/>
  <c r="AX72" i="8" s="1"/>
  <c r="U72" i="8"/>
  <c r="AW72" i="8" s="1"/>
  <c r="S72" i="8"/>
  <c r="AV72" i="8" s="1"/>
  <c r="Q72" i="8"/>
  <c r="AU72" i="8" s="1"/>
  <c r="O72" i="8"/>
  <c r="AT72" i="8" s="1"/>
  <c r="S71" i="8"/>
  <c r="AV71" i="8" s="1"/>
  <c r="Q71" i="8"/>
  <c r="AU71" i="8" s="1"/>
  <c r="O71" i="8"/>
  <c r="AT71" i="8" s="1"/>
  <c r="AS84" i="8"/>
  <c r="BB84" i="8" s="1"/>
  <c r="AS81" i="8"/>
  <c r="BB81" i="8" s="1"/>
  <c r="AS71" i="8"/>
  <c r="BB71" i="8" s="1"/>
  <c r="AS64" i="8"/>
  <c r="BB64" i="8" s="1"/>
  <c r="AS63" i="8"/>
  <c r="BB63" i="8" s="1"/>
  <c r="AS61" i="8"/>
  <c r="BB61" i="8" s="1"/>
  <c r="AS60" i="8"/>
  <c r="BB60" i="8" s="1"/>
  <c r="AS58" i="8"/>
  <c r="BB58" i="8" s="1"/>
  <c r="AS57" i="8"/>
  <c r="BB57" i="8" s="1"/>
  <c r="AS56" i="8"/>
  <c r="BB56" i="8" s="1"/>
  <c r="AS55" i="8"/>
  <c r="BB55" i="8" s="1"/>
  <c r="AS54" i="8"/>
  <c r="BB54" i="8" s="1"/>
  <c r="AS53" i="8"/>
  <c r="BB53" i="8" s="1"/>
  <c r="AS52" i="8"/>
  <c r="BB52" i="8" s="1"/>
  <c r="AS51" i="8"/>
  <c r="BB51" i="8" s="1"/>
  <c r="AS50" i="8"/>
  <c r="BB50" i="8" s="1"/>
  <c r="AS49" i="8"/>
  <c r="BB49" i="8" s="1"/>
  <c r="AS48" i="8"/>
  <c r="BB48" i="8" s="1"/>
  <c r="AS47" i="8"/>
  <c r="BB47" i="8" s="1"/>
  <c r="AS46" i="8"/>
  <c r="BB46" i="8" s="1"/>
  <c r="AS45" i="8"/>
  <c r="BB45" i="8" s="1"/>
  <c r="AS44" i="8"/>
  <c r="BB44" i="8" s="1"/>
  <c r="AS42" i="8"/>
  <c r="BB42" i="8" s="1"/>
  <c r="AS41" i="8"/>
  <c r="BB41" i="8" s="1"/>
  <c r="AS40" i="8"/>
  <c r="BB40" i="8" s="1"/>
  <c r="AS39" i="8"/>
  <c r="BB39" i="8" s="1"/>
  <c r="AS38" i="8"/>
  <c r="BB38" i="8" s="1"/>
  <c r="AS37" i="8"/>
  <c r="BB37" i="8" s="1"/>
  <c r="AS31" i="8"/>
  <c r="BB31" i="8" s="1"/>
  <c r="AS28" i="8"/>
  <c r="BB28" i="8" s="1"/>
  <c r="AS26" i="8"/>
  <c r="BB26" i="8" s="1"/>
  <c r="U71" i="8"/>
  <c r="AW71" i="8" s="1"/>
  <c r="W71" i="8"/>
  <c r="AX71" i="8" s="1"/>
  <c r="Y71" i="8"/>
  <c r="AY71" i="8" s="1"/>
  <c r="AA71" i="8"/>
  <c r="AC71" i="8"/>
  <c r="AZ71" i="8" s="1"/>
  <c r="AE71" i="8"/>
  <c r="BA71" i="8" s="1"/>
  <c r="O63" i="8"/>
  <c r="O64" i="8"/>
  <c r="Q63" i="8"/>
  <c r="Q64" i="8"/>
  <c r="S63" i="8"/>
  <c r="S64" i="8"/>
  <c r="U63" i="8"/>
  <c r="AW63" i="8" s="1"/>
  <c r="U64" i="8"/>
  <c r="AW64" i="8" s="1"/>
  <c r="W63" i="8"/>
  <c r="AX63" i="8" s="1"/>
  <c r="W64" i="8"/>
  <c r="AX64" i="8" s="1"/>
  <c r="Y63" i="8"/>
  <c r="AY63" i="8" s="1"/>
  <c r="Y64" i="8"/>
  <c r="AY64" i="8" s="1"/>
  <c r="AA63" i="8"/>
  <c r="AA64" i="8"/>
  <c r="AC63" i="8"/>
  <c r="AZ63" i="8" s="1"/>
  <c r="AC64" i="8"/>
  <c r="AZ64" i="8" s="1"/>
  <c r="AE63" i="8"/>
  <c r="BA63" i="8" s="1"/>
  <c r="AE64" i="8"/>
  <c r="BA64" i="8" s="1"/>
  <c r="AE58" i="8"/>
  <c r="BA58" i="8" s="1"/>
  <c r="AC58" i="8"/>
  <c r="AZ58" i="8" s="1"/>
  <c r="AA58" i="8"/>
  <c r="Y58" i="8"/>
  <c r="AY58" i="8" s="1"/>
  <c r="W58" i="8"/>
  <c r="AX58" i="8" s="1"/>
  <c r="U58" i="8"/>
  <c r="AW58" i="8" s="1"/>
  <c r="S58" i="8"/>
  <c r="AV58" i="8" s="1"/>
  <c r="Q58" i="8"/>
  <c r="AU58" i="8" s="1"/>
  <c r="O58" i="8"/>
  <c r="AT58" i="8" s="1"/>
  <c r="O57" i="8"/>
  <c r="AT57" i="8" s="1"/>
  <c r="O60" i="8"/>
  <c r="AT60" i="8" s="1"/>
  <c r="O61" i="8"/>
  <c r="AT61" i="8" s="1"/>
  <c r="Q57" i="8"/>
  <c r="AU57" i="8" s="1"/>
  <c r="Q60" i="8"/>
  <c r="AU60" i="8" s="1"/>
  <c r="Q61" i="8"/>
  <c r="AU61" i="8" s="1"/>
  <c r="S57" i="8"/>
  <c r="AV57" i="8" s="1"/>
  <c r="S60" i="8"/>
  <c r="AV60" i="8" s="1"/>
  <c r="S61" i="8"/>
  <c r="AV61" i="8" s="1"/>
  <c r="U57" i="8"/>
  <c r="AW57" i="8" s="1"/>
  <c r="U60" i="8"/>
  <c r="AW60" i="8" s="1"/>
  <c r="U61" i="8"/>
  <c r="AW61" i="8" s="1"/>
  <c r="W57" i="8"/>
  <c r="AX57" i="8" s="1"/>
  <c r="W60" i="8"/>
  <c r="AX60" i="8" s="1"/>
  <c r="W61" i="8"/>
  <c r="AX61" i="8" s="1"/>
  <c r="Y57" i="8"/>
  <c r="AY57" i="8" s="1"/>
  <c r="Y60" i="8"/>
  <c r="AY60" i="8" s="1"/>
  <c r="Y61" i="8"/>
  <c r="AY61" i="8" s="1"/>
  <c r="AA57" i="8"/>
  <c r="AA60" i="8"/>
  <c r="AA61" i="8"/>
  <c r="AC57" i="8"/>
  <c r="AZ57" i="8" s="1"/>
  <c r="AC60" i="8"/>
  <c r="AZ60" i="8" s="1"/>
  <c r="AC61" i="8"/>
  <c r="AZ61" i="8" s="1"/>
  <c r="AE57" i="8"/>
  <c r="BA57" i="8" s="1"/>
  <c r="AE60" i="8"/>
  <c r="BA60" i="8" s="1"/>
  <c r="AE61" i="8"/>
  <c r="BA61" i="8" s="1"/>
  <c r="AE56" i="8"/>
  <c r="BA56" i="8" s="1"/>
  <c r="AC56" i="8"/>
  <c r="AZ56" i="8" s="1"/>
  <c r="AA56" i="8"/>
  <c r="Y56" i="8"/>
  <c r="AY56" i="8" s="1"/>
  <c r="W56" i="8"/>
  <c r="AX56" i="8" s="1"/>
  <c r="U56" i="8"/>
  <c r="AW56" i="8" s="1"/>
  <c r="S56" i="8"/>
  <c r="AV56" i="8" s="1"/>
  <c r="Q56" i="8"/>
  <c r="AU56" i="8" s="1"/>
  <c r="O56" i="8"/>
  <c r="AT56" i="8" s="1"/>
  <c r="AE55" i="8"/>
  <c r="BA55" i="8" s="1"/>
  <c r="AC55" i="8"/>
  <c r="AZ55" i="8" s="1"/>
  <c r="AA55" i="8"/>
  <c r="Y55" i="8"/>
  <c r="AY55" i="8" s="1"/>
  <c r="W55" i="8"/>
  <c r="AX55" i="8" s="1"/>
  <c r="U55" i="8"/>
  <c r="AW55" i="8" s="1"/>
  <c r="S55" i="8"/>
  <c r="AV55" i="8" s="1"/>
  <c r="Q55" i="8"/>
  <c r="AU55" i="8" s="1"/>
  <c r="O55" i="8"/>
  <c r="AT55" i="8" s="1"/>
  <c r="S54" i="8"/>
  <c r="AV54" i="8" s="1"/>
  <c r="Q54" i="8"/>
  <c r="AU54" i="8" s="1"/>
  <c r="O54" i="8"/>
  <c r="AT54" i="8" s="1"/>
  <c r="S53" i="8"/>
  <c r="AV53" i="8" s="1"/>
  <c r="O53" i="8"/>
  <c r="AT53" i="8" s="1"/>
  <c r="Q53" i="8"/>
  <c r="AU53" i="8" s="1"/>
  <c r="S52" i="8"/>
  <c r="AV52" i="8" s="1"/>
  <c r="Q52" i="8"/>
  <c r="AU52" i="8" s="1"/>
  <c r="O52" i="8"/>
  <c r="AT52" i="8" s="1"/>
  <c r="AE50" i="8"/>
  <c r="BA50" i="8" s="1"/>
  <c r="AC50" i="8"/>
  <c r="AZ50" i="8" s="1"/>
  <c r="AA50" i="8"/>
  <c r="Y50" i="8"/>
  <c r="AY50" i="8" s="1"/>
  <c r="W50" i="8"/>
  <c r="AX50" i="8" s="1"/>
  <c r="U50" i="8"/>
  <c r="AW50" i="8" s="1"/>
  <c r="S50" i="8"/>
  <c r="AV50" i="8" s="1"/>
  <c r="Q50" i="8"/>
  <c r="AU50" i="8" s="1"/>
  <c r="O50" i="8"/>
  <c r="AT50" i="8" s="1"/>
  <c r="O47" i="8"/>
  <c r="AT47" i="8" s="1"/>
  <c r="Q47" i="8"/>
  <c r="AU47" i="8" s="1"/>
  <c r="S47" i="8"/>
  <c r="AV47" i="8" s="1"/>
  <c r="AH46" i="8"/>
  <c r="S46" i="8"/>
  <c r="AV46" i="8" s="1"/>
  <c r="Q46" i="8"/>
  <c r="AU46" i="8" s="1"/>
  <c r="O46" i="8"/>
  <c r="AT46" i="8" s="1"/>
  <c r="AE45" i="8"/>
  <c r="BA45" i="8" s="1"/>
  <c r="AC45" i="8"/>
  <c r="AZ45" i="8" s="1"/>
  <c r="AA45" i="8"/>
  <c r="Y45" i="8"/>
  <c r="AY45" i="8" s="1"/>
  <c r="W45" i="8"/>
  <c r="AX45" i="8" s="1"/>
  <c r="U45" i="8"/>
  <c r="AW45" i="8" s="1"/>
  <c r="S45" i="8"/>
  <c r="AV45" i="8" s="1"/>
  <c r="Q45" i="8"/>
  <c r="AU45" i="8" s="1"/>
  <c r="O45" i="8"/>
  <c r="AT45" i="8" s="1"/>
  <c r="AE42" i="8"/>
  <c r="BA42" i="8" s="1"/>
  <c r="AC42" i="8"/>
  <c r="AZ42" i="8" s="1"/>
  <c r="AA42" i="8"/>
  <c r="Y42" i="8"/>
  <c r="AY42" i="8" s="1"/>
  <c r="W42" i="8"/>
  <c r="AX42" i="8" s="1"/>
  <c r="U42" i="8"/>
  <c r="AW42" i="8" s="1"/>
  <c r="S42" i="8"/>
  <c r="AV42" i="8" s="1"/>
  <c r="Q42" i="8"/>
  <c r="AU42" i="8" s="1"/>
  <c r="O42" i="8"/>
  <c r="AT42" i="8" s="1"/>
  <c r="AE38" i="8"/>
  <c r="BA38" i="8" s="1"/>
  <c r="AC38" i="8"/>
  <c r="AZ38" i="8" s="1"/>
  <c r="AA38" i="8"/>
  <c r="Y38" i="8"/>
  <c r="AY38" i="8" s="1"/>
  <c r="W38" i="8"/>
  <c r="AX38" i="8" s="1"/>
  <c r="U38" i="8"/>
  <c r="AW38" i="8" s="1"/>
  <c r="S38" i="8"/>
  <c r="AV38" i="8" s="1"/>
  <c r="Q38" i="8"/>
  <c r="AU38" i="8" s="1"/>
  <c r="O38" i="8"/>
  <c r="AT38" i="8" s="1"/>
  <c r="O40" i="8"/>
  <c r="AT40" i="8" s="1"/>
  <c r="O41" i="8"/>
  <c r="AT41" i="8" s="1"/>
  <c r="O43" i="8"/>
  <c r="AT43" i="8" s="1"/>
  <c r="O44" i="8"/>
  <c r="AT44" i="8" s="1"/>
  <c r="Q40" i="8"/>
  <c r="AU40" i="8" s="1"/>
  <c r="Q41" i="8"/>
  <c r="AU41" i="8" s="1"/>
  <c r="Q43" i="8"/>
  <c r="AU43" i="8" s="1"/>
  <c r="Q44" i="8"/>
  <c r="AU44" i="8" s="1"/>
  <c r="S40" i="8"/>
  <c r="AV40" i="8" s="1"/>
  <c r="S41" i="8"/>
  <c r="AV41" i="8" s="1"/>
  <c r="S43" i="8"/>
  <c r="AV43" i="8" s="1"/>
  <c r="S44" i="8"/>
  <c r="AV44" i="8" s="1"/>
  <c r="U40" i="8"/>
  <c r="AW40" i="8" s="1"/>
  <c r="U41" i="8"/>
  <c r="AW41" i="8" s="1"/>
  <c r="U43" i="8"/>
  <c r="AW43" i="8" s="1"/>
  <c r="U44" i="8"/>
  <c r="AW44" i="8" s="1"/>
  <c r="U46" i="8"/>
  <c r="AW46" i="8" s="1"/>
  <c r="U47" i="8"/>
  <c r="AW47" i="8" s="1"/>
  <c r="W40" i="8"/>
  <c r="AX40" i="8" s="1"/>
  <c r="W41" i="8"/>
  <c r="AX41" i="8" s="1"/>
  <c r="W43" i="8"/>
  <c r="AX43" i="8" s="1"/>
  <c r="W44" i="8"/>
  <c r="AX44" i="8" s="1"/>
  <c r="W46" i="8"/>
  <c r="AX46" i="8" s="1"/>
  <c r="W47" i="8"/>
  <c r="AX47" i="8" s="1"/>
  <c r="Y40" i="8"/>
  <c r="AY40" i="8" s="1"/>
  <c r="Y41" i="8"/>
  <c r="AY41" i="8" s="1"/>
  <c r="Y43" i="8"/>
  <c r="AY43" i="8" s="1"/>
  <c r="Y44" i="8"/>
  <c r="AY44" i="8" s="1"/>
  <c r="Y46" i="8"/>
  <c r="AY46" i="8" s="1"/>
  <c r="Y47" i="8"/>
  <c r="AY47" i="8" s="1"/>
  <c r="AA40" i="8"/>
  <c r="AA41" i="8"/>
  <c r="AA43" i="8"/>
  <c r="AA44" i="8"/>
  <c r="AA46" i="8"/>
  <c r="AA47" i="8"/>
  <c r="AC40" i="8"/>
  <c r="AZ40" i="8" s="1"/>
  <c r="AC41" i="8"/>
  <c r="AZ41" i="8" s="1"/>
  <c r="AC43" i="8"/>
  <c r="AZ43" i="8" s="1"/>
  <c r="AC44" i="8"/>
  <c r="AZ44" i="8" s="1"/>
  <c r="AC46" i="8"/>
  <c r="AZ46" i="8" s="1"/>
  <c r="AC47" i="8"/>
  <c r="AZ47" i="8" s="1"/>
  <c r="AE40" i="8"/>
  <c r="BA40" i="8" s="1"/>
  <c r="AE41" i="8"/>
  <c r="BA41" i="8" s="1"/>
  <c r="AE43" i="8"/>
  <c r="BA43" i="8" s="1"/>
  <c r="AE44" i="8"/>
  <c r="BA44" i="8" s="1"/>
  <c r="AE46" i="8"/>
  <c r="BA46" i="8" s="1"/>
  <c r="AE47" i="8"/>
  <c r="BA47" i="8" s="1"/>
  <c r="AS43" i="8"/>
  <c r="BB43" i="8" s="1"/>
  <c r="O39" i="8"/>
  <c r="AT39" i="8" s="1"/>
  <c r="O48" i="8"/>
  <c r="AT48" i="8" s="1"/>
  <c r="O49" i="8"/>
  <c r="AT49" i="8" s="1"/>
  <c r="O51" i="8"/>
  <c r="AT51" i="8" s="1"/>
  <c r="Q39" i="8"/>
  <c r="AU39" i="8" s="1"/>
  <c r="Q48" i="8"/>
  <c r="AU48" i="8" s="1"/>
  <c r="Q49" i="8"/>
  <c r="AU49" i="8" s="1"/>
  <c r="Q51" i="8"/>
  <c r="AU51" i="8" s="1"/>
  <c r="S39" i="8"/>
  <c r="AV39" i="8" s="1"/>
  <c r="S48" i="8"/>
  <c r="AV48" i="8" s="1"/>
  <c r="S49" i="8"/>
  <c r="AV49" i="8" s="1"/>
  <c r="S51" i="8"/>
  <c r="AV51" i="8" s="1"/>
  <c r="U39" i="8"/>
  <c r="AW39" i="8" s="1"/>
  <c r="U48" i="8"/>
  <c r="AW48" i="8" s="1"/>
  <c r="U49" i="8"/>
  <c r="AW49" i="8" s="1"/>
  <c r="U51" i="8"/>
  <c r="AW51" i="8" s="1"/>
  <c r="U52" i="8"/>
  <c r="AW52" i="8" s="1"/>
  <c r="U53" i="8"/>
  <c r="AW53" i="8" s="1"/>
  <c r="U54" i="8"/>
  <c r="AW54" i="8" s="1"/>
  <c r="W39" i="8"/>
  <c r="AX39" i="8" s="1"/>
  <c r="W48" i="8"/>
  <c r="AX48" i="8" s="1"/>
  <c r="W49" i="8"/>
  <c r="AX49" i="8" s="1"/>
  <c r="W51" i="8"/>
  <c r="AX51" i="8" s="1"/>
  <c r="W52" i="8"/>
  <c r="AX52" i="8" s="1"/>
  <c r="W53" i="8"/>
  <c r="AX53" i="8" s="1"/>
  <c r="W54" i="8"/>
  <c r="AX54" i="8" s="1"/>
  <c r="Y39" i="8"/>
  <c r="AY39" i="8" s="1"/>
  <c r="Y48" i="8"/>
  <c r="AY48" i="8" s="1"/>
  <c r="Y49" i="8"/>
  <c r="AY49" i="8" s="1"/>
  <c r="Y51" i="8"/>
  <c r="AY51" i="8" s="1"/>
  <c r="Y52" i="8"/>
  <c r="AY52" i="8" s="1"/>
  <c r="Y53" i="8"/>
  <c r="AY53" i="8" s="1"/>
  <c r="Y54" i="8"/>
  <c r="AY54" i="8" s="1"/>
  <c r="AA39" i="8"/>
  <c r="AA48" i="8"/>
  <c r="AA49" i="8"/>
  <c r="AA51" i="8"/>
  <c r="AA52" i="8"/>
  <c r="AA53" i="8"/>
  <c r="AA54" i="8"/>
  <c r="AC39" i="8"/>
  <c r="AZ39" i="8" s="1"/>
  <c r="AC48" i="8"/>
  <c r="AZ48" i="8" s="1"/>
  <c r="AC49" i="8"/>
  <c r="AZ49" i="8" s="1"/>
  <c r="AC51" i="8"/>
  <c r="AZ51" i="8" s="1"/>
  <c r="AC52" i="8"/>
  <c r="AZ52" i="8" s="1"/>
  <c r="AC53" i="8"/>
  <c r="AZ53" i="8" s="1"/>
  <c r="AC54" i="8"/>
  <c r="AZ54" i="8" s="1"/>
  <c r="AE39" i="8"/>
  <c r="BA39" i="8" s="1"/>
  <c r="AE48" i="8"/>
  <c r="BA48" i="8" s="1"/>
  <c r="AE49" i="8"/>
  <c r="BA49" i="8" s="1"/>
  <c r="AE51" i="8"/>
  <c r="BA51" i="8" s="1"/>
  <c r="AE52" i="8"/>
  <c r="BA52" i="8" s="1"/>
  <c r="AE53" i="8"/>
  <c r="BA53" i="8" s="1"/>
  <c r="AE54" i="8"/>
  <c r="BA54" i="8" s="1"/>
  <c r="AE84" i="8"/>
  <c r="BA84" i="8" s="1"/>
  <c r="AC84" i="8"/>
  <c r="AZ84" i="8" s="1"/>
  <c r="AA84" i="8"/>
  <c r="Y84" i="8"/>
  <c r="AY84" i="8" s="1"/>
  <c r="W84" i="8"/>
  <c r="AX84" i="8" s="1"/>
  <c r="U84" i="8"/>
  <c r="AW84" i="8" s="1"/>
  <c r="S84" i="8"/>
  <c r="AV84" i="8" s="1"/>
  <c r="Q84" i="8"/>
  <c r="AU84" i="8" s="1"/>
  <c r="O84" i="8"/>
  <c r="AT84" i="8" s="1"/>
  <c r="S83" i="8"/>
  <c r="Q83" i="8"/>
  <c r="O83" i="8"/>
  <c r="S82" i="8"/>
  <c r="Q82" i="8"/>
  <c r="O82" i="8"/>
  <c r="AE81" i="8"/>
  <c r="BA81" i="8" s="1"/>
  <c r="AC81" i="8"/>
  <c r="AZ81" i="8" s="1"/>
  <c r="AA81" i="8"/>
  <c r="Y81" i="8"/>
  <c r="AY81" i="8" s="1"/>
  <c r="W81" i="8"/>
  <c r="AX81" i="8" s="1"/>
  <c r="U81" i="8"/>
  <c r="AW81" i="8" s="1"/>
  <c r="S81" i="8"/>
  <c r="AV81" i="8" s="1"/>
  <c r="Q81" i="8"/>
  <c r="AU81" i="8" s="1"/>
  <c r="O81" i="8"/>
  <c r="AT81" i="8" s="1"/>
  <c r="AE37" i="8"/>
  <c r="BA37" i="8" s="1"/>
  <c r="AC37" i="8"/>
  <c r="AZ37" i="8" s="1"/>
  <c r="AA37" i="8"/>
  <c r="Y37" i="8"/>
  <c r="AY37" i="8" s="1"/>
  <c r="AX37" i="8"/>
  <c r="AW37" i="8"/>
  <c r="S37" i="8"/>
  <c r="AV37" i="8" s="1"/>
  <c r="Q37" i="8"/>
  <c r="AU37" i="8" s="1"/>
  <c r="O37" i="8"/>
  <c r="AT37" i="8" s="1"/>
  <c r="O26" i="8"/>
  <c r="AT26" i="8" s="1"/>
  <c r="Q26" i="8"/>
  <c r="AU26" i="8" s="1"/>
  <c r="S26" i="8"/>
  <c r="AV26" i="8" s="1"/>
  <c r="U26" i="8"/>
  <c r="AW26" i="8" s="1"/>
  <c r="W26" i="8"/>
  <c r="AX26" i="8" s="1"/>
  <c r="Y26" i="8"/>
  <c r="AY26" i="8" s="1"/>
  <c r="AA26" i="8"/>
  <c r="AC26" i="8"/>
  <c r="AZ26" i="8" s="1"/>
  <c r="AE26" i="8"/>
  <c r="BA26" i="8" s="1"/>
  <c r="O28" i="8"/>
  <c r="AT28" i="8" s="1"/>
  <c r="Q28" i="8"/>
  <c r="AU28" i="8" s="1"/>
  <c r="S28" i="8"/>
  <c r="AV28" i="8" s="1"/>
  <c r="U28" i="8"/>
  <c r="AW28" i="8" s="1"/>
  <c r="W28" i="8"/>
  <c r="AX28" i="8" s="1"/>
  <c r="Y28" i="8"/>
  <c r="AY28" i="8" s="1"/>
  <c r="AA28" i="8"/>
  <c r="AC28" i="8"/>
  <c r="AZ28" i="8" s="1"/>
  <c r="AE28" i="8"/>
  <c r="BA28" i="8" s="1"/>
  <c r="AE31" i="8"/>
  <c r="BA31" i="8" s="1"/>
  <c r="AC31" i="8"/>
  <c r="AZ31" i="8" s="1"/>
  <c r="AA31" i="8"/>
  <c r="Y31" i="8"/>
  <c r="AY31" i="8" s="1"/>
  <c r="W31" i="8"/>
  <c r="AX31" i="8" s="1"/>
  <c r="U31" i="8"/>
  <c r="AW31" i="8" s="1"/>
  <c r="S31" i="8"/>
  <c r="AV31" i="8" s="1"/>
  <c r="Q31" i="8"/>
  <c r="AU31" i="8" s="1"/>
  <c r="O31" i="8"/>
  <c r="AT31" i="8" s="1"/>
  <c r="AC373" i="15" l="1"/>
  <c r="AR31" i="15" s="1"/>
  <c r="AD373" i="15"/>
  <c r="AP31" i="15" s="1"/>
  <c r="AE357" i="15"/>
  <c r="AE373" i="15" s="1"/>
  <c r="AS31" i="15" s="1"/>
  <c r="AC297" i="15"/>
  <c r="AR26" i="15" s="1"/>
  <c r="AE288" i="15"/>
  <c r="AE297" i="15" s="1"/>
  <c r="AS26" i="15" s="1"/>
  <c r="AD297" i="15"/>
  <c r="AP26" i="15" s="1"/>
  <c r="AB307" i="15"/>
  <c r="AO27" i="15" s="1"/>
  <c r="AC304" i="15"/>
  <c r="AC307" i="15" s="1"/>
  <c r="AR27" i="15" s="1"/>
  <c r="AD324" i="15"/>
  <c r="AP28" i="15" s="1"/>
  <c r="AE337" i="15"/>
  <c r="AE324" i="15"/>
  <c r="AS28" i="15" s="1"/>
  <c r="AB324" i="15"/>
  <c r="AO28" i="15" s="1"/>
  <c r="AC313" i="15"/>
  <c r="AC324" i="15" s="1"/>
  <c r="AR28" i="15" s="1"/>
  <c r="AC283" i="15"/>
  <c r="AR25" i="15" s="1"/>
  <c r="AE307" i="15"/>
  <c r="AS27" i="15" s="1"/>
  <c r="AE275" i="15"/>
  <c r="AE283" i="15" s="1"/>
  <c r="AS25" i="15" s="1"/>
  <c r="AD283" i="15"/>
  <c r="AP25" i="15" s="1"/>
  <c r="AD307" i="15"/>
  <c r="AP27" i="15" s="1"/>
  <c r="AB373" i="15"/>
  <c r="AO31" i="15" s="1"/>
  <c r="AB297" i="15"/>
  <c r="AO26" i="15" s="1"/>
  <c r="AB283" i="15"/>
  <c r="AO25" i="15" s="1"/>
  <c r="AD255" i="15"/>
  <c r="AB255" i="15"/>
  <c r="AC255" i="15" s="1"/>
  <c r="AA256" i="15"/>
  <c r="AD256" i="15"/>
  <c r="AE256" i="15" s="1"/>
  <c r="AB256" i="15"/>
  <c r="AC256" i="15" s="1"/>
  <c r="AA262" i="15"/>
  <c r="AD262" i="15"/>
  <c r="AB262" i="15"/>
  <c r="AA263" i="15"/>
  <c r="AD263" i="15"/>
  <c r="AE263" i="15" s="1"/>
  <c r="AB263" i="15"/>
  <c r="AC263" i="15" s="1"/>
  <c r="AA247" i="15"/>
  <c r="AD247" i="15"/>
  <c r="AB247" i="15"/>
  <c r="AC247" i="15" s="1"/>
  <c r="AD341" i="15"/>
  <c r="AE341" i="15" s="1"/>
  <c r="AB341" i="15"/>
  <c r="G236" i="15"/>
  <c r="H236" i="15" s="1"/>
  <c r="AA236" i="15"/>
  <c r="G255" i="15"/>
  <c r="H255" i="15" s="1"/>
  <c r="AA255" i="15"/>
  <c r="G329" i="15"/>
  <c r="H329" i="15" s="1"/>
  <c r="AA329" i="15"/>
  <c r="G341" i="15"/>
  <c r="H341" i="15" s="1"/>
  <c r="AA341" i="15"/>
  <c r="I341" i="15"/>
  <c r="J341" i="15" s="1"/>
  <c r="G236" i="20"/>
  <c r="H236" i="20" s="1"/>
  <c r="I236" i="20"/>
  <c r="J236" i="20" s="1"/>
  <c r="G255" i="20"/>
  <c r="H255" i="20" s="1"/>
  <c r="I255" i="20"/>
  <c r="J255" i="20" s="1"/>
  <c r="K237" i="20"/>
  <c r="G237" i="20"/>
  <c r="H237" i="20" s="1"/>
  <c r="I237" i="20"/>
  <c r="J237" i="20" s="1"/>
  <c r="K256" i="20"/>
  <c r="I256" i="20"/>
  <c r="J256" i="20" s="1"/>
  <c r="G256" i="20"/>
  <c r="H256" i="20" s="1"/>
  <c r="I263" i="20"/>
  <c r="J263" i="20" s="1"/>
  <c r="K263" i="20"/>
  <c r="G263" i="20"/>
  <c r="H263" i="20" s="1"/>
  <c r="K262" i="20"/>
  <c r="I262" i="20"/>
  <c r="J262" i="20" s="1"/>
  <c r="G262" i="20"/>
  <c r="H262" i="20" s="1"/>
  <c r="G247" i="20"/>
  <c r="H247" i="20" s="1"/>
  <c r="K247" i="20"/>
  <c r="I247" i="20"/>
  <c r="J247" i="20" s="1"/>
  <c r="I341" i="20"/>
  <c r="J341" i="20" s="1"/>
  <c r="G341" i="20"/>
  <c r="H341" i="20" s="1"/>
  <c r="K262" i="15"/>
  <c r="G262" i="15"/>
  <c r="H262" i="15" s="1"/>
  <c r="K263" i="15"/>
  <c r="G263" i="15"/>
  <c r="H263" i="15" s="1"/>
  <c r="K247" i="15"/>
  <c r="G247" i="15"/>
  <c r="H247" i="15" s="1"/>
  <c r="K237" i="15"/>
  <c r="G237" i="15"/>
  <c r="H237" i="15" s="1"/>
  <c r="K256" i="15"/>
  <c r="G256" i="15"/>
  <c r="H256" i="15" s="1"/>
  <c r="I329" i="15"/>
  <c r="J329" i="15" s="1"/>
  <c r="K329" i="15"/>
  <c r="I236" i="15"/>
  <c r="J236" i="15" s="1"/>
  <c r="I237" i="15"/>
  <c r="J237" i="15" s="1"/>
  <c r="I255" i="15"/>
  <c r="J255" i="15" s="1"/>
  <c r="I256" i="15"/>
  <c r="J256" i="15" s="1"/>
  <c r="I262" i="15"/>
  <c r="J262" i="15" s="1"/>
  <c r="I263" i="15"/>
  <c r="J263" i="15" s="1"/>
  <c r="I247" i="15"/>
  <c r="J247" i="15" s="1"/>
  <c r="BD150" i="8"/>
  <c r="BD94" i="8"/>
  <c r="BD95" i="8"/>
  <c r="BD100" i="8"/>
  <c r="BD96" i="8"/>
  <c r="BD147" i="8"/>
  <c r="BD98" i="8"/>
  <c r="BD151" i="8"/>
  <c r="BD107" i="8"/>
  <c r="BD112" i="8"/>
  <c r="BD99" i="8"/>
  <c r="BD97" i="8"/>
  <c r="BD105" i="8"/>
  <c r="BD113" i="8"/>
  <c r="BD106" i="8"/>
  <c r="BD137" i="8"/>
  <c r="BD175" i="8"/>
  <c r="BD108" i="8"/>
  <c r="BD109" i="8"/>
  <c r="BD138" i="8"/>
  <c r="BD139" i="8"/>
  <c r="BD101" i="8"/>
  <c r="BF31" i="8"/>
  <c r="BG31" i="8" s="1"/>
  <c r="BD31" i="8" s="1"/>
  <c r="BF73" i="8"/>
  <c r="BF51" i="8"/>
  <c r="BG51" i="8" s="1"/>
  <c r="BF49" i="8"/>
  <c r="BG49" i="8" s="1"/>
  <c r="BD49" i="8" s="1"/>
  <c r="BF44" i="8"/>
  <c r="BG44" i="8" s="1"/>
  <c r="BF48" i="8"/>
  <c r="BG48" i="8" s="1"/>
  <c r="BF43" i="8"/>
  <c r="BG43" i="8" s="1"/>
  <c r="BF56" i="8"/>
  <c r="BF119" i="8"/>
  <c r="BG119" i="8" s="1"/>
  <c r="BF61" i="8"/>
  <c r="BG61" i="8" s="1"/>
  <c r="BF127" i="8"/>
  <c r="BF28" i="8"/>
  <c r="BG28" i="8" s="1"/>
  <c r="BF40" i="8"/>
  <c r="BG40" i="8" s="1"/>
  <c r="BF53" i="8"/>
  <c r="BG53" i="8" s="1"/>
  <c r="BF60" i="8"/>
  <c r="BG60" i="8" s="1"/>
  <c r="BF116" i="8"/>
  <c r="BG116" i="8" s="1"/>
  <c r="BF84" i="8"/>
  <c r="BG84" i="8" s="1"/>
  <c r="BF38" i="8"/>
  <c r="BF57" i="8"/>
  <c r="BG57" i="8" s="1"/>
  <c r="BF81" i="8"/>
  <c r="BG81" i="8" s="1"/>
  <c r="BD81" i="8" s="1"/>
  <c r="BF47" i="8"/>
  <c r="BG47" i="8" s="1"/>
  <c r="BF54" i="8"/>
  <c r="BG54" i="8" s="1"/>
  <c r="BF58" i="8"/>
  <c r="BG58" i="8" s="1"/>
  <c r="BF71" i="8"/>
  <c r="BG71" i="8" s="1"/>
  <c r="BF123" i="8"/>
  <c r="BG123" i="8" s="1"/>
  <c r="BF39" i="8"/>
  <c r="BF45" i="8"/>
  <c r="BF50" i="8"/>
  <c r="BF41" i="8"/>
  <c r="BG41" i="8" s="1"/>
  <c r="BF118" i="8"/>
  <c r="BG118" i="8" s="1"/>
  <c r="BF55" i="8"/>
  <c r="BG55" i="8" s="1"/>
  <c r="BF72" i="8"/>
  <c r="BG72" i="8" s="1"/>
  <c r="BF63" i="8"/>
  <c r="BG63" i="8" s="1"/>
  <c r="BF115" i="8"/>
  <c r="BF26" i="8"/>
  <c r="BG26" i="8" s="1"/>
  <c r="BF122" i="8"/>
  <c r="BG122" i="8" s="1"/>
  <c r="BD122" i="8" s="1"/>
  <c r="BF37" i="8"/>
  <c r="BG37" i="8" s="1"/>
  <c r="BF76" i="8"/>
  <c r="BG76" i="8" s="1"/>
  <c r="BF42" i="8"/>
  <c r="BF117" i="8"/>
  <c r="BF64" i="8"/>
  <c r="BG64" i="8" s="1"/>
  <c r="BF46" i="8"/>
  <c r="BF52" i="8"/>
  <c r="BF114" i="8"/>
  <c r="BG114" i="8" s="1"/>
  <c r="BD17" i="8"/>
  <c r="K121" i="6" a="1"/>
  <c r="K121" i="6" s="1"/>
  <c r="H121" i="6" s="1"/>
  <c r="B121" i="6"/>
  <c r="B120" i="6"/>
  <c r="C120" i="6"/>
  <c r="D120" i="6"/>
  <c r="K120" i="6" a="1"/>
  <c r="K120" i="6" s="1"/>
  <c r="E120" i="6"/>
  <c r="E121" i="6"/>
  <c r="D121" i="6"/>
  <c r="C121" i="6"/>
  <c r="BC95" i="8"/>
  <c r="BC139" i="8"/>
  <c r="BC137" i="8"/>
  <c r="BC113" i="8"/>
  <c r="BC101" i="8"/>
  <c r="BC98" i="8"/>
  <c r="BC99" i="8"/>
  <c r="BC151" i="8"/>
  <c r="BC94" i="8"/>
  <c r="BC100" i="8"/>
  <c r="BC147" i="8"/>
  <c r="BC150" i="8"/>
  <c r="BC175" i="8"/>
  <c r="BC105" i="8"/>
  <c r="BC97" i="8"/>
  <c r="BC112" i="8"/>
  <c r="BC138" i="8"/>
  <c r="BC107" i="8"/>
  <c r="BC106" i="8"/>
  <c r="BC109" i="8"/>
  <c r="BC108" i="8"/>
  <c r="BC96" i="8"/>
  <c r="K69" i="6" a="1"/>
  <c r="K69" i="6" s="1"/>
  <c r="J69" i="6" s="1"/>
  <c r="K73" i="6" a="1"/>
  <c r="K73" i="6" s="1"/>
  <c r="K72" i="6" a="1"/>
  <c r="K72" i="6" s="1"/>
  <c r="H72" i="6" s="1"/>
  <c r="K70" i="6" a="1"/>
  <c r="K70" i="6" s="1"/>
  <c r="I70" i="6" s="1"/>
  <c r="K68" i="6" a="1"/>
  <c r="K68" i="6" s="1"/>
  <c r="H68" i="6" s="1"/>
  <c r="K71" i="6" a="1"/>
  <c r="K71" i="6" s="1"/>
  <c r="G71" i="6" s="1"/>
  <c r="K74" i="6" a="1"/>
  <c r="K74" i="6" s="1"/>
  <c r="K67" i="6" a="1"/>
  <c r="K67" i="6" s="1"/>
  <c r="G67" i="6" s="1"/>
  <c r="K99" i="6" a="1"/>
  <c r="K99" i="6" s="1"/>
  <c r="K79" i="6" a="1"/>
  <c r="K79" i="6" s="1"/>
  <c r="K87" i="6" a="1"/>
  <c r="K87" i="6" s="1"/>
  <c r="K102" i="6" a="1"/>
  <c r="K102" i="6" s="1"/>
  <c r="K117" i="6" a="1"/>
  <c r="K117" i="6" s="1"/>
  <c r="K91" i="6" a="1"/>
  <c r="K91" i="6" s="1"/>
  <c r="K105" i="6" a="1"/>
  <c r="K105" i="6" s="1"/>
  <c r="K85" i="6" a="1"/>
  <c r="K85" i="6" s="1"/>
  <c r="K123" i="6" a="1"/>
  <c r="K123" i="6" s="1"/>
  <c r="K86" i="6" a="1"/>
  <c r="K86" i="6" s="1"/>
  <c r="K95" i="6" a="1"/>
  <c r="K95" i="6" s="1"/>
  <c r="K119" i="6" a="1"/>
  <c r="K119" i="6" s="1"/>
  <c r="K94" i="6" a="1"/>
  <c r="K94" i="6" s="1"/>
  <c r="K112" i="6" a="1"/>
  <c r="K112" i="6" s="1"/>
  <c r="K109" i="6" a="1"/>
  <c r="K109" i="6" s="1"/>
  <c r="K118" i="6" a="1"/>
  <c r="K118" i="6" s="1"/>
  <c r="K122" i="6" a="1"/>
  <c r="K122" i="6" s="1"/>
  <c r="G122" i="6" s="1"/>
  <c r="K101" i="6" a="1"/>
  <c r="K101" i="6" s="1"/>
  <c r="K110" i="6" a="1"/>
  <c r="K110" i="6" s="1"/>
  <c r="K97" i="6" a="1"/>
  <c r="K97" i="6" s="1"/>
  <c r="K114" i="6" a="1"/>
  <c r="K114" i="6" s="1"/>
  <c r="K96" i="6" a="1"/>
  <c r="K96" i="6" s="1"/>
  <c r="K82" i="6" a="1"/>
  <c r="K82" i="6" s="1"/>
  <c r="C100" i="6"/>
  <c r="K107" i="6" a="1"/>
  <c r="K107" i="6" s="1"/>
  <c r="K89" i="6" a="1"/>
  <c r="K89" i="6" s="1"/>
  <c r="D113" i="6"/>
  <c r="K90" i="6" a="1"/>
  <c r="K90" i="6" s="1"/>
  <c r="K80" i="6" a="1"/>
  <c r="K80" i="6" s="1"/>
  <c r="K115" i="6" a="1"/>
  <c r="K115" i="6" s="1"/>
  <c r="K116" i="6" a="1"/>
  <c r="K116" i="6" s="1"/>
  <c r="K78" i="6" a="1"/>
  <c r="K78" i="6" s="1"/>
  <c r="K81" i="6" a="1"/>
  <c r="K81" i="6" s="1"/>
  <c r="K84" i="6" a="1"/>
  <c r="K84" i="6" s="1"/>
  <c r="K106" i="6" a="1"/>
  <c r="K106" i="6" s="1"/>
  <c r="K92" i="6" a="1"/>
  <c r="K92" i="6" s="1"/>
  <c r="K104" i="6" a="1"/>
  <c r="K104" i="6" s="1"/>
  <c r="K108" i="6" a="1"/>
  <c r="K108" i="6" s="1"/>
  <c r="K103" i="6" a="1"/>
  <c r="K103" i="6" s="1"/>
  <c r="K77" i="6" a="1"/>
  <c r="K77" i="6" s="1"/>
  <c r="C66" i="6"/>
  <c r="K76" i="6" a="1"/>
  <c r="K76" i="6" s="1"/>
  <c r="E67" i="6"/>
  <c r="C67" i="6"/>
  <c r="B67" i="6"/>
  <c r="D67" i="6"/>
  <c r="E101" i="6"/>
  <c r="B115" i="6"/>
  <c r="D115" i="6"/>
  <c r="C115" i="6"/>
  <c r="B101" i="6"/>
  <c r="E115" i="6"/>
  <c r="C101" i="6"/>
  <c r="D101" i="6"/>
  <c r="D86" i="6"/>
  <c r="C107" i="6"/>
  <c r="C90" i="6"/>
  <c r="B114" i="6"/>
  <c r="B113" i="6"/>
  <c r="C80" i="6"/>
  <c r="E86" i="6"/>
  <c r="B86" i="6"/>
  <c r="C86" i="6"/>
  <c r="D103" i="6"/>
  <c r="E103" i="6"/>
  <c r="C103" i="6"/>
  <c r="B103" i="6"/>
  <c r="C77" i="6"/>
  <c r="B90" i="6"/>
  <c r="B80" i="6"/>
  <c r="B107" i="6"/>
  <c r="K113" i="6" a="1"/>
  <c r="K113" i="6" s="1"/>
  <c r="D80" i="6"/>
  <c r="E68" i="6"/>
  <c r="D68" i="6"/>
  <c r="C113" i="6"/>
  <c r="E90" i="6"/>
  <c r="D90" i="6"/>
  <c r="E100" i="6"/>
  <c r="E122" i="6"/>
  <c r="E80" i="6"/>
  <c r="B77" i="6"/>
  <c r="E77" i="6"/>
  <c r="D107" i="6"/>
  <c r="E107" i="6"/>
  <c r="B89" i="6"/>
  <c r="E113" i="6"/>
  <c r="B82" i="6"/>
  <c r="D77" i="6"/>
  <c r="E89" i="6"/>
  <c r="B100" i="6"/>
  <c r="D70" i="6"/>
  <c r="C70" i="6"/>
  <c r="B70" i="6"/>
  <c r="B122" i="6"/>
  <c r="B108" i="6"/>
  <c r="E70" i="6"/>
  <c r="D122" i="6"/>
  <c r="C122" i="6"/>
  <c r="C104" i="6"/>
  <c r="D104" i="6"/>
  <c r="C108" i="6"/>
  <c r="B104" i="6"/>
  <c r="D123" i="6"/>
  <c r="D108" i="6"/>
  <c r="B123" i="6"/>
  <c r="E104" i="6"/>
  <c r="E108" i="6"/>
  <c r="E123" i="6"/>
  <c r="D85" i="6"/>
  <c r="C85" i="6"/>
  <c r="B85" i="6"/>
  <c r="C123" i="6"/>
  <c r="C82" i="6"/>
  <c r="E85" i="6"/>
  <c r="D82" i="6"/>
  <c r="E82" i="6"/>
  <c r="B68" i="6"/>
  <c r="D89" i="6"/>
  <c r="C68" i="6"/>
  <c r="C89" i="6"/>
  <c r="D96" i="6"/>
  <c r="B96" i="6"/>
  <c r="E94" i="6"/>
  <c r="C94" i="6"/>
  <c r="D76" i="6"/>
  <c r="D118" i="6"/>
  <c r="B94" i="6"/>
  <c r="B109" i="6"/>
  <c r="C97" i="6"/>
  <c r="E97" i="6"/>
  <c r="D114" i="6"/>
  <c r="C96" i="6"/>
  <c r="E119" i="6"/>
  <c r="E109" i="6"/>
  <c r="E114" i="6"/>
  <c r="B97" i="6"/>
  <c r="E96" i="6"/>
  <c r="E73" i="6"/>
  <c r="C73" i="6"/>
  <c r="C95" i="6"/>
  <c r="B72" i="6"/>
  <c r="D72" i="6"/>
  <c r="C72" i="6"/>
  <c r="E118" i="6"/>
  <c r="C118" i="6"/>
  <c r="D109" i="6"/>
  <c r="D94" i="6"/>
  <c r="E112" i="6"/>
  <c r="D97" i="6"/>
  <c r="B95" i="6"/>
  <c r="C114" i="6"/>
  <c r="D73" i="6"/>
  <c r="C92" i="6"/>
  <c r="B106" i="6"/>
  <c r="B99" i="6"/>
  <c r="B78" i="6"/>
  <c r="D106" i="6"/>
  <c r="C99" i="6"/>
  <c r="D99" i="6"/>
  <c r="D81" i="6"/>
  <c r="E106" i="6"/>
  <c r="C81" i="6"/>
  <c r="D78" i="6"/>
  <c r="E110" i="6"/>
  <c r="D95" i="6"/>
  <c r="C110" i="6"/>
  <c r="B87" i="6"/>
  <c r="B110" i="6"/>
  <c r="C76" i="6"/>
  <c r="B76" i="6"/>
  <c r="B73" i="6"/>
  <c r="D110" i="6"/>
  <c r="C109" i="6"/>
  <c r="B66" i="6"/>
  <c r="E95" i="6"/>
  <c r="E116" i="6"/>
  <c r="D112" i="6"/>
  <c r="B112" i="6"/>
  <c r="E72" i="6"/>
  <c r="C69" i="6"/>
  <c r="C112" i="6"/>
  <c r="B119" i="6"/>
  <c r="B118" i="6"/>
  <c r="B117" i="6"/>
  <c r="C119" i="6"/>
  <c r="E84" i="6"/>
  <c r="C106" i="6"/>
  <c r="B74" i="6"/>
  <c r="E92" i="6"/>
  <c r="C71" i="6"/>
  <c r="C79" i="6"/>
  <c r="B71" i="6"/>
  <c r="E71" i="6"/>
  <c r="D84" i="6"/>
  <c r="D74" i="6"/>
  <c r="D69" i="6"/>
  <c r="E81" i="6"/>
  <c r="E99" i="6"/>
  <c r="C78" i="6"/>
  <c r="B102" i="6"/>
  <c r="B116" i="6"/>
  <c r="C116" i="6"/>
  <c r="C74" i="6"/>
  <c r="B81" i="6"/>
  <c r="B92" i="6"/>
  <c r="D92" i="6"/>
  <c r="D116" i="6"/>
  <c r="D71" i="6"/>
  <c r="C105" i="6"/>
  <c r="B84" i="6"/>
  <c r="E74" i="6"/>
  <c r="C84" i="6"/>
  <c r="E78" i="6"/>
  <c r="B79" i="6"/>
  <c r="D91" i="6"/>
  <c r="K66" i="6" a="1"/>
  <c r="K66" i="6" s="1"/>
  <c r="D105" i="6"/>
  <c r="C87" i="6"/>
  <c r="C91" i="6"/>
  <c r="D87" i="6"/>
  <c r="D66" i="6"/>
  <c r="E79" i="6"/>
  <c r="D79" i="6"/>
  <c r="B105" i="6"/>
  <c r="B69" i="6"/>
  <c r="E91" i="6"/>
  <c r="E102" i="6"/>
  <c r="D117" i="6"/>
  <c r="C102" i="6"/>
  <c r="D119" i="6"/>
  <c r="E76" i="6"/>
  <c r="E87" i="6"/>
  <c r="E66" i="6"/>
  <c r="E117" i="6"/>
  <c r="D102" i="6"/>
  <c r="E105" i="6"/>
  <c r="E69" i="6"/>
  <c r="B91" i="6"/>
  <c r="C117" i="6"/>
  <c r="K100" i="6" a="1"/>
  <c r="K100" i="6" s="1"/>
  <c r="D100" i="6"/>
  <c r="BC17" i="8"/>
  <c r="BD119" i="8"/>
  <c r="BD47" i="8"/>
  <c r="AS30" i="8"/>
  <c r="BB30" i="8" s="1"/>
  <c r="AE30" i="8"/>
  <c r="BA30" i="8" s="1"/>
  <c r="AC30" i="8"/>
  <c r="AZ30" i="8" s="1"/>
  <c r="AA30" i="8"/>
  <c r="Y30" i="8"/>
  <c r="AY30" i="8" s="1"/>
  <c r="W30" i="8"/>
  <c r="AX30" i="8" s="1"/>
  <c r="U30" i="8"/>
  <c r="AW30" i="8" s="1"/>
  <c r="S30" i="8"/>
  <c r="AV30" i="8" s="1"/>
  <c r="Q30" i="8"/>
  <c r="AU30" i="8" s="1"/>
  <c r="O30" i="8"/>
  <c r="AT30" i="8" s="1"/>
  <c r="AS29" i="8"/>
  <c r="BB29" i="8" s="1"/>
  <c r="AE29" i="8"/>
  <c r="BA29" i="8" s="1"/>
  <c r="AC29" i="8"/>
  <c r="AZ29" i="8" s="1"/>
  <c r="AA29" i="8"/>
  <c r="Y29" i="8"/>
  <c r="AY29" i="8" s="1"/>
  <c r="W29" i="8"/>
  <c r="AX29" i="8" s="1"/>
  <c r="U29" i="8"/>
  <c r="AW29" i="8" s="1"/>
  <c r="S29" i="8"/>
  <c r="AV29" i="8" s="1"/>
  <c r="Q29" i="8"/>
  <c r="AU29" i="8" s="1"/>
  <c r="O29" i="8"/>
  <c r="AT29" i="8" s="1"/>
  <c r="AS27" i="8"/>
  <c r="BB27" i="8" s="1"/>
  <c r="AE27" i="8"/>
  <c r="BA27" i="8" s="1"/>
  <c r="AC27" i="8"/>
  <c r="AZ27" i="8" s="1"/>
  <c r="AA27" i="8"/>
  <c r="Y27" i="8"/>
  <c r="AY27" i="8" s="1"/>
  <c r="W27" i="8"/>
  <c r="AX27" i="8" s="1"/>
  <c r="U27" i="8"/>
  <c r="AW27" i="8" s="1"/>
  <c r="S27" i="8"/>
  <c r="AV27" i="8" s="1"/>
  <c r="Q27" i="8"/>
  <c r="AU27" i="8" s="1"/>
  <c r="O27" i="8"/>
  <c r="AT27" i="8" s="1"/>
  <c r="AS25" i="8"/>
  <c r="BB25" i="8" s="1"/>
  <c r="AE25" i="8"/>
  <c r="BA25" i="8" s="1"/>
  <c r="AC25" i="8"/>
  <c r="AZ25" i="8" s="1"/>
  <c r="AA25" i="8"/>
  <c r="Y25" i="8"/>
  <c r="AY25" i="8" s="1"/>
  <c r="W25" i="8"/>
  <c r="AX25" i="8" s="1"/>
  <c r="U25" i="8"/>
  <c r="AW25" i="8" s="1"/>
  <c r="S25" i="8"/>
  <c r="AV25" i="8" s="1"/>
  <c r="Q25" i="8"/>
  <c r="AU25" i="8" s="1"/>
  <c r="O25" i="8"/>
  <c r="AT25" i="8" s="1"/>
  <c r="AQ31" i="15" l="1"/>
  <c r="AQ26" i="15"/>
  <c r="AQ25" i="15"/>
  <c r="AT28" i="15"/>
  <c r="AQ28" i="15"/>
  <c r="AT25" i="15"/>
  <c r="AD352" i="15"/>
  <c r="AP30" i="15" s="1"/>
  <c r="AE352" i="15"/>
  <c r="AS30" i="15" s="1"/>
  <c r="AT27" i="15"/>
  <c r="AQ27" i="15"/>
  <c r="AT26" i="15"/>
  <c r="AT31" i="15"/>
  <c r="AB266" i="15"/>
  <c r="AO24" i="15" s="1"/>
  <c r="AC262" i="15"/>
  <c r="AC266" i="15" s="1"/>
  <c r="AR24" i="15" s="1"/>
  <c r="AE262" i="15"/>
  <c r="AE266" i="15" s="1"/>
  <c r="AS24" i="15" s="1"/>
  <c r="AD266" i="15"/>
  <c r="AP24" i="15" s="1"/>
  <c r="AC257" i="15"/>
  <c r="AR23" i="15" s="1"/>
  <c r="AD257" i="15"/>
  <c r="AP23" i="15" s="1"/>
  <c r="AE255" i="15"/>
  <c r="AE257" i="15" s="1"/>
  <c r="AS23" i="15" s="1"/>
  <c r="AB352" i="15"/>
  <c r="AO30" i="15" s="1"/>
  <c r="AC341" i="15"/>
  <c r="AC352" i="15" s="1"/>
  <c r="AR30" i="15" s="1"/>
  <c r="AE247" i="15"/>
  <c r="AB257" i="15"/>
  <c r="AO23" i="15" s="1"/>
  <c r="BG50" i="8"/>
  <c r="BD50" i="8" s="1"/>
  <c r="BG52" i="8"/>
  <c r="BD52" i="8" s="1"/>
  <c r="BG45" i="8"/>
  <c r="BD45" i="8" s="1"/>
  <c r="BG127" i="8"/>
  <c r="BD127" i="8" s="1"/>
  <c r="BG46" i="8"/>
  <c r="BD46" i="8" s="1"/>
  <c r="BG39" i="8"/>
  <c r="BD39" i="8" s="1"/>
  <c r="BG56" i="8"/>
  <c r="BD56" i="8" s="1"/>
  <c r="BG117" i="8"/>
  <c r="BD117" i="8" s="1"/>
  <c r="BG42" i="8"/>
  <c r="BD42" i="8" s="1"/>
  <c r="BG115" i="8"/>
  <c r="BD115" i="8" s="1"/>
  <c r="BG38" i="8"/>
  <c r="BD38" i="8" s="1"/>
  <c r="BG73" i="8"/>
  <c r="BD73" i="8" s="1"/>
  <c r="BD61" i="8"/>
  <c r="BD26" i="8"/>
  <c r="BD57" i="8"/>
  <c r="BD51" i="8"/>
  <c r="BD84" i="8"/>
  <c r="BD72" i="8"/>
  <c r="BD116" i="8"/>
  <c r="BD55" i="8"/>
  <c r="BD60" i="8"/>
  <c r="BD118" i="8"/>
  <c r="BD53" i="8"/>
  <c r="BD41" i="8"/>
  <c r="BD40" i="8"/>
  <c r="BD114" i="8"/>
  <c r="BD28" i="8"/>
  <c r="BD123" i="8"/>
  <c r="BD71" i="8"/>
  <c r="BD58" i="8"/>
  <c r="BD43" i="8"/>
  <c r="BD76" i="8"/>
  <c r="BD54" i="8"/>
  <c r="BD48" i="8"/>
  <c r="BD37" i="8"/>
  <c r="BD44" i="8"/>
  <c r="BF25" i="8"/>
  <c r="BF29" i="8"/>
  <c r="BG29" i="8" s="1"/>
  <c r="BF27" i="8"/>
  <c r="BF30" i="8"/>
  <c r="G121" i="6"/>
  <c r="J121" i="6"/>
  <c r="I121" i="6"/>
  <c r="H120" i="6"/>
  <c r="I120" i="6"/>
  <c r="G120" i="6"/>
  <c r="J120" i="6"/>
  <c r="I67" i="6"/>
  <c r="I69" i="6"/>
  <c r="BC56" i="8"/>
  <c r="BC127" i="8"/>
  <c r="BC49" i="8"/>
  <c r="BC119" i="8"/>
  <c r="BC76" i="8"/>
  <c r="BC61" i="8"/>
  <c r="BC44" i="8"/>
  <c r="BC118" i="8"/>
  <c r="BC26" i="8"/>
  <c r="BC72" i="8"/>
  <c r="BC50" i="8"/>
  <c r="BC123" i="8"/>
  <c r="BC53" i="8"/>
  <c r="BC122" i="8"/>
  <c r="BC45" i="8"/>
  <c r="BC43" i="8"/>
  <c r="BC46" i="8"/>
  <c r="BC60" i="8"/>
  <c r="BC71" i="8"/>
  <c r="BC39" i="8"/>
  <c r="BC117" i="8"/>
  <c r="BC81" i="8"/>
  <c r="BC52" i="8"/>
  <c r="BC28" i="8"/>
  <c r="BC55" i="8"/>
  <c r="BC73" i="8"/>
  <c r="BC58" i="8"/>
  <c r="BC41" i="8"/>
  <c r="BC115" i="8"/>
  <c r="BC31" i="8"/>
  <c r="BC84" i="8"/>
  <c r="BC116" i="8"/>
  <c r="BC42" i="8"/>
  <c r="BC48" i="8"/>
  <c r="BC38" i="8"/>
  <c r="BC47" i="8"/>
  <c r="BC54" i="8"/>
  <c r="BC37" i="8"/>
  <c r="BC57" i="8"/>
  <c r="BC40" i="8"/>
  <c r="BC114" i="8"/>
  <c r="BC51" i="8"/>
  <c r="I71" i="6"/>
  <c r="J72" i="6"/>
  <c r="G72" i="6"/>
  <c r="I68" i="6"/>
  <c r="J68" i="6"/>
  <c r="H77" i="6"/>
  <c r="J90" i="6"/>
  <c r="J102" i="6"/>
  <c r="J74" i="6"/>
  <c r="I74" i="6"/>
  <c r="J67" i="6"/>
  <c r="H108" i="6"/>
  <c r="J84" i="6"/>
  <c r="H115" i="6"/>
  <c r="J89" i="6"/>
  <c r="H96" i="6"/>
  <c r="H101" i="6"/>
  <c r="H112" i="6"/>
  <c r="H86" i="6"/>
  <c r="J91" i="6"/>
  <c r="J79" i="6"/>
  <c r="H73" i="6"/>
  <c r="H92" i="6"/>
  <c r="H78" i="6"/>
  <c r="I118" i="6"/>
  <c r="I119" i="6"/>
  <c r="H67" i="6"/>
  <c r="H70" i="6"/>
  <c r="G66" i="6"/>
  <c r="J76" i="6"/>
  <c r="H74" i="6"/>
  <c r="H71" i="6"/>
  <c r="G74" i="6"/>
  <c r="J104" i="6"/>
  <c r="I81" i="6"/>
  <c r="G80" i="6"/>
  <c r="H107" i="6"/>
  <c r="J114" i="6"/>
  <c r="I122" i="6"/>
  <c r="I94" i="6"/>
  <c r="I123" i="6"/>
  <c r="I117" i="6"/>
  <c r="G99" i="6"/>
  <c r="G68" i="6"/>
  <c r="I72" i="6"/>
  <c r="J97" i="6"/>
  <c r="G85" i="6"/>
  <c r="J71" i="6"/>
  <c r="H113" i="6"/>
  <c r="I103" i="6"/>
  <c r="G106" i="6"/>
  <c r="H116" i="6"/>
  <c r="H82" i="6"/>
  <c r="I110" i="6"/>
  <c r="G109" i="6"/>
  <c r="G95" i="6"/>
  <c r="H105" i="6"/>
  <c r="J87" i="6"/>
  <c r="H69" i="6"/>
  <c r="I73" i="6"/>
  <c r="G73" i="6"/>
  <c r="G69" i="6"/>
  <c r="G70" i="6"/>
  <c r="J73" i="6"/>
  <c r="J70" i="6"/>
  <c r="J117" i="6"/>
  <c r="H114" i="6"/>
  <c r="H99" i="6"/>
  <c r="G117" i="6"/>
  <c r="J94" i="6"/>
  <c r="J99" i="6"/>
  <c r="G94" i="6"/>
  <c r="H122" i="6"/>
  <c r="I107" i="6"/>
  <c r="J123" i="6"/>
  <c r="I99" i="6"/>
  <c r="H94" i="6"/>
  <c r="G123" i="6"/>
  <c r="H117" i="6"/>
  <c r="G107" i="6"/>
  <c r="J122" i="6"/>
  <c r="H81" i="6"/>
  <c r="I114" i="6"/>
  <c r="G114" i="6"/>
  <c r="H123" i="6"/>
  <c r="J108" i="6"/>
  <c r="I104" i="6"/>
  <c r="G91" i="6"/>
  <c r="G96" i="6"/>
  <c r="I112" i="6"/>
  <c r="G112" i="6"/>
  <c r="G81" i="6"/>
  <c r="G86" i="6"/>
  <c r="I101" i="6"/>
  <c r="BD63" i="8"/>
  <c r="G84" i="6"/>
  <c r="H79" i="6"/>
  <c r="I91" i="6"/>
  <c r="G79" i="6"/>
  <c r="I79" i="6"/>
  <c r="J96" i="6"/>
  <c r="I89" i="6"/>
  <c r="I86" i="6"/>
  <c r="J86" i="6"/>
  <c r="H89" i="6"/>
  <c r="J101" i="6"/>
  <c r="J115" i="6"/>
  <c r="I80" i="6"/>
  <c r="H91" i="6"/>
  <c r="I96" i="6"/>
  <c r="J112" i="6"/>
  <c r="G89" i="6"/>
  <c r="G101" i="6"/>
  <c r="H95" i="6"/>
  <c r="J109" i="6"/>
  <c r="H84" i="6"/>
  <c r="I84" i="6"/>
  <c r="J116" i="6"/>
  <c r="G115" i="6"/>
  <c r="I106" i="6"/>
  <c r="H106" i="6"/>
  <c r="G116" i="6"/>
  <c r="I95" i="6"/>
  <c r="G110" i="6"/>
  <c r="H80" i="6"/>
  <c r="I78" i="6"/>
  <c r="G105" i="6"/>
  <c r="G87" i="6"/>
  <c r="G82" i="6"/>
  <c r="H110" i="6"/>
  <c r="J110" i="6"/>
  <c r="J85" i="6"/>
  <c r="J82" i="6"/>
  <c r="J105" i="6"/>
  <c r="I92" i="6"/>
  <c r="H109" i="6"/>
  <c r="J118" i="6"/>
  <c r="J119" i="6"/>
  <c r="H87" i="6"/>
  <c r="G102" i="6"/>
  <c r="I102" i="6"/>
  <c r="H102" i="6"/>
  <c r="I105" i="6"/>
  <c r="I87" i="6"/>
  <c r="J106" i="6"/>
  <c r="G78" i="6"/>
  <c r="I116" i="6"/>
  <c r="G119" i="6"/>
  <c r="G92" i="6"/>
  <c r="J95" i="6"/>
  <c r="I109" i="6"/>
  <c r="H118" i="6"/>
  <c r="G118" i="6"/>
  <c r="I85" i="6"/>
  <c r="J78" i="6"/>
  <c r="I82" i="6"/>
  <c r="J81" i="6"/>
  <c r="J92" i="6"/>
  <c r="H119" i="6"/>
  <c r="G97" i="6"/>
  <c r="H85" i="6"/>
  <c r="H104" i="6"/>
  <c r="G104" i="6"/>
  <c r="G108" i="6"/>
  <c r="I108" i="6"/>
  <c r="J80" i="6"/>
  <c r="J107" i="6"/>
  <c r="I115" i="6"/>
  <c r="H97" i="6"/>
  <c r="I97" i="6"/>
  <c r="G90" i="6"/>
  <c r="H90" i="6"/>
  <c r="I90" i="6"/>
  <c r="H103" i="6"/>
  <c r="J103" i="6"/>
  <c r="G103" i="6"/>
  <c r="I77" i="6"/>
  <c r="J77" i="6"/>
  <c r="G77" i="6"/>
  <c r="I76" i="6"/>
  <c r="G76" i="6"/>
  <c r="H76" i="6"/>
  <c r="BD64" i="8"/>
  <c r="G113" i="6"/>
  <c r="J113" i="6"/>
  <c r="I113" i="6"/>
  <c r="H66" i="6"/>
  <c r="J66" i="6"/>
  <c r="I66" i="6"/>
  <c r="J100" i="6"/>
  <c r="I100" i="6"/>
  <c r="G100" i="6"/>
  <c r="H100" i="6"/>
  <c r="AS111" i="8"/>
  <c r="BB111" i="8" s="1"/>
  <c r="AE111" i="8"/>
  <c r="BA111" i="8" s="1"/>
  <c r="AC111" i="8"/>
  <c r="AZ111" i="8" s="1"/>
  <c r="AA111" i="8"/>
  <c r="Y111" i="8"/>
  <c r="AY111" i="8" s="1"/>
  <c r="W111" i="8"/>
  <c r="AX111" i="8" s="1"/>
  <c r="U111" i="8"/>
  <c r="AW111" i="8" s="1"/>
  <c r="S111" i="8"/>
  <c r="AV111" i="8" s="1"/>
  <c r="Q111" i="8"/>
  <c r="AU111" i="8" s="1"/>
  <c r="O111" i="8"/>
  <c r="AT111" i="8" s="1"/>
  <c r="AS110" i="8"/>
  <c r="BB110" i="8" s="1"/>
  <c r="AE110" i="8"/>
  <c r="BA110" i="8" s="1"/>
  <c r="AC110" i="8"/>
  <c r="AZ110" i="8" s="1"/>
  <c r="AA110" i="8"/>
  <c r="Y110" i="8"/>
  <c r="AY110" i="8" s="1"/>
  <c r="W110" i="8"/>
  <c r="AX110" i="8" s="1"/>
  <c r="U110" i="8"/>
  <c r="AW110" i="8" s="1"/>
  <c r="S110" i="8"/>
  <c r="AV110" i="8" s="1"/>
  <c r="Q110" i="8"/>
  <c r="AU110" i="8" s="1"/>
  <c r="O110" i="8"/>
  <c r="AT110" i="8" s="1"/>
  <c r="AS104" i="8"/>
  <c r="BB104" i="8" s="1"/>
  <c r="AE104" i="8"/>
  <c r="BA104" i="8" s="1"/>
  <c r="AC104" i="8"/>
  <c r="AZ104" i="8" s="1"/>
  <c r="AA104" i="8"/>
  <c r="Y104" i="8"/>
  <c r="AY104" i="8" s="1"/>
  <c r="W104" i="8"/>
  <c r="AX104" i="8" s="1"/>
  <c r="U104" i="8"/>
  <c r="AW104" i="8" s="1"/>
  <c r="S104" i="8"/>
  <c r="AV104" i="8" s="1"/>
  <c r="Q104" i="8"/>
  <c r="AU104" i="8" s="1"/>
  <c r="O104" i="8"/>
  <c r="AT104" i="8" s="1"/>
  <c r="AS103" i="8"/>
  <c r="BB103" i="8" s="1"/>
  <c r="AE103" i="8"/>
  <c r="BA103" i="8" s="1"/>
  <c r="AC103" i="8"/>
  <c r="AZ103" i="8" s="1"/>
  <c r="AA103" i="8"/>
  <c r="Y103" i="8"/>
  <c r="AY103" i="8" s="1"/>
  <c r="W103" i="8"/>
  <c r="AX103" i="8" s="1"/>
  <c r="U103" i="8"/>
  <c r="AW103" i="8" s="1"/>
  <c r="S103" i="8"/>
  <c r="AV103" i="8" s="1"/>
  <c r="Q103" i="8"/>
  <c r="AU103" i="8" s="1"/>
  <c r="O103" i="8"/>
  <c r="AT103" i="8" s="1"/>
  <c r="AS102" i="8"/>
  <c r="BB102" i="8" s="1"/>
  <c r="AE102" i="8"/>
  <c r="BA102" i="8" s="1"/>
  <c r="AC102" i="8"/>
  <c r="AZ102" i="8" s="1"/>
  <c r="AA102" i="8"/>
  <c r="Y102" i="8"/>
  <c r="AY102" i="8" s="1"/>
  <c r="W102" i="8"/>
  <c r="AX102" i="8" s="1"/>
  <c r="U102" i="8"/>
  <c r="AW102" i="8" s="1"/>
  <c r="S102" i="8"/>
  <c r="AV102" i="8" s="1"/>
  <c r="Q102" i="8"/>
  <c r="AU102" i="8" s="1"/>
  <c r="O102" i="8"/>
  <c r="AT102" i="8" s="1"/>
  <c r="AS160" i="8"/>
  <c r="BB160" i="8" s="1"/>
  <c r="AE160" i="8"/>
  <c r="BA160" i="8" s="1"/>
  <c r="AC160" i="8"/>
  <c r="AZ160" i="8" s="1"/>
  <c r="AA160" i="8"/>
  <c r="Y160" i="8"/>
  <c r="AY160" i="8" s="1"/>
  <c r="W160" i="8"/>
  <c r="AX160" i="8" s="1"/>
  <c r="U160" i="8"/>
  <c r="AW160" i="8" s="1"/>
  <c r="S160" i="8"/>
  <c r="Q160" i="8"/>
  <c r="O160" i="8"/>
  <c r="AS159" i="8"/>
  <c r="BB159" i="8" s="1"/>
  <c r="AE159" i="8"/>
  <c r="BA159" i="8" s="1"/>
  <c r="AC159" i="8"/>
  <c r="AZ159" i="8" s="1"/>
  <c r="AA159" i="8"/>
  <c r="Y159" i="8"/>
  <c r="AY159" i="8" s="1"/>
  <c r="W159" i="8"/>
  <c r="AX159" i="8" s="1"/>
  <c r="U159" i="8"/>
  <c r="AW159" i="8" s="1"/>
  <c r="S159" i="8"/>
  <c r="Q159" i="8"/>
  <c r="O159" i="8"/>
  <c r="AS149" i="8"/>
  <c r="BB149" i="8" s="1"/>
  <c r="AE149" i="8"/>
  <c r="BA149" i="8" s="1"/>
  <c r="AC149" i="8"/>
  <c r="AZ149" i="8" s="1"/>
  <c r="AA149" i="8"/>
  <c r="Y149" i="8"/>
  <c r="AY149" i="8" s="1"/>
  <c r="W149" i="8"/>
  <c r="AX149" i="8" s="1"/>
  <c r="U149" i="8"/>
  <c r="AW149" i="8" s="1"/>
  <c r="S149" i="8"/>
  <c r="AV149" i="8" s="1"/>
  <c r="Q149" i="8"/>
  <c r="AU149" i="8" s="1"/>
  <c r="O149" i="8"/>
  <c r="AT149" i="8" s="1"/>
  <c r="AS148" i="8"/>
  <c r="BB148" i="8" s="1"/>
  <c r="AE148" i="8"/>
  <c r="BA148" i="8" s="1"/>
  <c r="AC148" i="8"/>
  <c r="AZ148" i="8" s="1"/>
  <c r="AA148" i="8"/>
  <c r="Y148" i="8"/>
  <c r="AY148" i="8" s="1"/>
  <c r="W148" i="8"/>
  <c r="AX148" i="8" s="1"/>
  <c r="U148" i="8"/>
  <c r="AW148" i="8" s="1"/>
  <c r="S148" i="8"/>
  <c r="AV148" i="8" s="1"/>
  <c r="Q148" i="8"/>
  <c r="AU148" i="8" s="1"/>
  <c r="O148" i="8"/>
  <c r="AT148" i="8" s="1"/>
  <c r="AS140" i="8"/>
  <c r="BB140" i="8" s="1"/>
  <c r="AE140" i="8"/>
  <c r="BA140" i="8" s="1"/>
  <c r="AC140" i="8"/>
  <c r="AZ140" i="8" s="1"/>
  <c r="AA140" i="8"/>
  <c r="Y140" i="8"/>
  <c r="AY140" i="8" s="1"/>
  <c r="W140" i="8"/>
  <c r="AX140" i="8" s="1"/>
  <c r="U140" i="8"/>
  <c r="AW140" i="8" s="1"/>
  <c r="AS136" i="8"/>
  <c r="BB136" i="8" s="1"/>
  <c r="AE136" i="8"/>
  <c r="BA136" i="8" s="1"/>
  <c r="AC136" i="8"/>
  <c r="AZ136" i="8" s="1"/>
  <c r="AA136" i="8"/>
  <c r="Y136" i="8"/>
  <c r="AY136" i="8" s="1"/>
  <c r="W136" i="8"/>
  <c r="AX136" i="8" s="1"/>
  <c r="U136" i="8"/>
  <c r="AW136" i="8" s="1"/>
  <c r="AS135" i="8"/>
  <c r="BB135" i="8" s="1"/>
  <c r="AE135" i="8"/>
  <c r="BA135" i="8" s="1"/>
  <c r="AC135" i="8"/>
  <c r="AZ135" i="8" s="1"/>
  <c r="AA135" i="8"/>
  <c r="Y135" i="8"/>
  <c r="AY135" i="8" s="1"/>
  <c r="W135" i="8"/>
  <c r="AX135" i="8" s="1"/>
  <c r="U135" i="8"/>
  <c r="AW135" i="8" s="1"/>
  <c r="AS134" i="8"/>
  <c r="BB134" i="8" s="1"/>
  <c r="AE134" i="8"/>
  <c r="BA134" i="8" s="1"/>
  <c r="AC134" i="8"/>
  <c r="AZ134" i="8" s="1"/>
  <c r="AA134" i="8"/>
  <c r="Y134" i="8"/>
  <c r="AY134" i="8" s="1"/>
  <c r="W134" i="8"/>
  <c r="AX134" i="8" s="1"/>
  <c r="U134" i="8"/>
  <c r="AW134" i="8" s="1"/>
  <c r="AS133" i="8"/>
  <c r="BB133" i="8" s="1"/>
  <c r="AE133" i="8"/>
  <c r="BA133" i="8" s="1"/>
  <c r="AC133" i="8"/>
  <c r="AZ133" i="8" s="1"/>
  <c r="AA133" i="8"/>
  <c r="Y133" i="8"/>
  <c r="AY133" i="8" s="1"/>
  <c r="W133" i="8"/>
  <c r="AX133" i="8" s="1"/>
  <c r="U133" i="8"/>
  <c r="AW133" i="8" s="1"/>
  <c r="AS132" i="8"/>
  <c r="BB132" i="8" s="1"/>
  <c r="AE132" i="8"/>
  <c r="BA132" i="8" s="1"/>
  <c r="AC132" i="8"/>
  <c r="AZ132" i="8" s="1"/>
  <c r="AA132" i="8"/>
  <c r="Y132" i="8"/>
  <c r="AY132" i="8" s="1"/>
  <c r="W132" i="8"/>
  <c r="AX132" i="8" s="1"/>
  <c r="U132" i="8"/>
  <c r="AW132" i="8" s="1"/>
  <c r="S132" i="8"/>
  <c r="Q132" i="8"/>
  <c r="O132" i="8"/>
  <c r="AS131" i="8"/>
  <c r="BB131" i="8" s="1"/>
  <c r="AE131" i="8"/>
  <c r="BA131" i="8" s="1"/>
  <c r="AC131" i="8"/>
  <c r="AZ131" i="8" s="1"/>
  <c r="AA131" i="8"/>
  <c r="Y131" i="8"/>
  <c r="AY131" i="8" s="1"/>
  <c r="W131" i="8"/>
  <c r="AX131" i="8" s="1"/>
  <c r="U131" i="8"/>
  <c r="AW131" i="8" s="1"/>
  <c r="S131" i="8"/>
  <c r="Q131" i="8"/>
  <c r="O131" i="8"/>
  <c r="AS130" i="8"/>
  <c r="BB130" i="8" s="1"/>
  <c r="AE130" i="8"/>
  <c r="BA130" i="8" s="1"/>
  <c r="AC130" i="8"/>
  <c r="AZ130" i="8" s="1"/>
  <c r="AA130" i="8"/>
  <c r="Y130" i="8"/>
  <c r="AY130" i="8" s="1"/>
  <c r="W130" i="8"/>
  <c r="AX130" i="8" s="1"/>
  <c r="U130" i="8"/>
  <c r="AW130" i="8" s="1"/>
  <c r="S130" i="8"/>
  <c r="AV130" i="8" s="1"/>
  <c r="Q130" i="8"/>
  <c r="AU130" i="8" s="1"/>
  <c r="O130" i="8"/>
  <c r="AT130" i="8" s="1"/>
  <c r="AS129" i="8"/>
  <c r="BB129" i="8" s="1"/>
  <c r="AE129" i="8"/>
  <c r="BA129" i="8" s="1"/>
  <c r="AC129" i="8"/>
  <c r="AZ129" i="8" s="1"/>
  <c r="AA129" i="8"/>
  <c r="Y129" i="8"/>
  <c r="AY129" i="8" s="1"/>
  <c r="W129" i="8"/>
  <c r="AX129" i="8" s="1"/>
  <c r="U129" i="8"/>
  <c r="AW129" i="8" s="1"/>
  <c r="S129" i="8"/>
  <c r="AV129" i="8" s="1"/>
  <c r="Q129" i="8"/>
  <c r="AU129" i="8" s="1"/>
  <c r="AT129" i="8"/>
  <c r="AS128" i="8"/>
  <c r="BB128" i="8" s="1"/>
  <c r="AE128" i="8"/>
  <c r="BA128" i="8" s="1"/>
  <c r="AC128" i="8"/>
  <c r="AZ128" i="8" s="1"/>
  <c r="AA128" i="8"/>
  <c r="Y128" i="8"/>
  <c r="AY128" i="8" s="1"/>
  <c r="W128" i="8"/>
  <c r="AX128" i="8" s="1"/>
  <c r="U128" i="8"/>
  <c r="AW128" i="8" s="1"/>
  <c r="S128" i="8"/>
  <c r="AV128" i="8" s="1"/>
  <c r="Q128" i="8"/>
  <c r="AU128" i="8" s="1"/>
  <c r="O128" i="8"/>
  <c r="AT128" i="8" s="1"/>
  <c r="AS126" i="8"/>
  <c r="BB126" i="8" s="1"/>
  <c r="AE126" i="8"/>
  <c r="BA126" i="8" s="1"/>
  <c r="AC126" i="8"/>
  <c r="AZ126" i="8" s="1"/>
  <c r="AA126" i="8"/>
  <c r="Y126" i="8"/>
  <c r="AY126" i="8" s="1"/>
  <c r="W126" i="8"/>
  <c r="AX126" i="8" s="1"/>
  <c r="U126" i="8"/>
  <c r="AW126" i="8" s="1"/>
  <c r="AS125" i="8"/>
  <c r="BB125" i="8" s="1"/>
  <c r="AE125" i="8"/>
  <c r="BA125" i="8" s="1"/>
  <c r="AC125" i="8"/>
  <c r="AZ125" i="8" s="1"/>
  <c r="AA125" i="8"/>
  <c r="Y125" i="8"/>
  <c r="AY125" i="8" s="1"/>
  <c r="W125" i="8"/>
  <c r="AX125" i="8" s="1"/>
  <c r="U125" i="8"/>
  <c r="AW125" i="8" s="1"/>
  <c r="S125" i="8"/>
  <c r="AV125" i="8" s="1"/>
  <c r="Q125" i="8"/>
  <c r="AU125" i="8" s="1"/>
  <c r="O125" i="8"/>
  <c r="AT125" i="8" s="1"/>
  <c r="AS124" i="8"/>
  <c r="BB124" i="8" s="1"/>
  <c r="AE124" i="8"/>
  <c r="BA124" i="8" s="1"/>
  <c r="AC124" i="8"/>
  <c r="AZ124" i="8" s="1"/>
  <c r="AA124" i="8"/>
  <c r="Y124" i="8"/>
  <c r="AY124" i="8" s="1"/>
  <c r="W124" i="8"/>
  <c r="AX124" i="8" s="1"/>
  <c r="U124" i="8"/>
  <c r="AW124" i="8" s="1"/>
  <c r="S124" i="8"/>
  <c r="AV124" i="8" s="1"/>
  <c r="Q124" i="8"/>
  <c r="AU124" i="8" s="1"/>
  <c r="O124" i="8"/>
  <c r="AT124" i="8" s="1"/>
  <c r="AS121" i="8"/>
  <c r="BB121" i="8" s="1"/>
  <c r="AE121" i="8"/>
  <c r="BA121" i="8" s="1"/>
  <c r="AC121" i="8"/>
  <c r="AZ121" i="8" s="1"/>
  <c r="AA121" i="8"/>
  <c r="Y121" i="8"/>
  <c r="AY121" i="8" s="1"/>
  <c r="W121" i="8"/>
  <c r="AX121" i="8" s="1"/>
  <c r="U121" i="8"/>
  <c r="AW121" i="8" s="1"/>
  <c r="S121" i="8"/>
  <c r="AV121" i="8" s="1"/>
  <c r="Q121" i="8"/>
  <c r="AU121" i="8" s="1"/>
  <c r="O121" i="8"/>
  <c r="AT121" i="8" s="1"/>
  <c r="AS120" i="8"/>
  <c r="BB120" i="8" s="1"/>
  <c r="AE120" i="8"/>
  <c r="BA120" i="8" s="1"/>
  <c r="AC120" i="8"/>
  <c r="AZ120" i="8" s="1"/>
  <c r="AA120" i="8"/>
  <c r="Y120" i="8"/>
  <c r="AY120" i="8" s="1"/>
  <c r="W120" i="8"/>
  <c r="AX120" i="8" s="1"/>
  <c r="U120" i="8"/>
  <c r="AW120" i="8" s="1"/>
  <c r="S120" i="8"/>
  <c r="AV120" i="8" s="1"/>
  <c r="Q120" i="8"/>
  <c r="AU120" i="8" s="1"/>
  <c r="O120" i="8"/>
  <c r="AT120" i="8" s="1"/>
  <c r="AS93" i="8"/>
  <c r="BB93" i="8" s="1"/>
  <c r="AE93" i="8"/>
  <c r="BA93" i="8" s="1"/>
  <c r="AC93" i="8"/>
  <c r="AZ93" i="8" s="1"/>
  <c r="AA93" i="8"/>
  <c r="Y93" i="8"/>
  <c r="AY93" i="8" s="1"/>
  <c r="W93" i="8"/>
  <c r="AX93" i="8" s="1"/>
  <c r="U93" i="8"/>
  <c r="AW93" i="8" s="1"/>
  <c r="AS92" i="8"/>
  <c r="BB92" i="8" s="1"/>
  <c r="AE92" i="8"/>
  <c r="BA92" i="8" s="1"/>
  <c r="AC92" i="8"/>
  <c r="AZ92" i="8" s="1"/>
  <c r="AA92" i="8"/>
  <c r="Y92" i="8"/>
  <c r="AY92" i="8" s="1"/>
  <c r="W92" i="8"/>
  <c r="AX92" i="8" s="1"/>
  <c r="U92" i="8"/>
  <c r="AW92" i="8" s="1"/>
  <c r="AS91" i="8"/>
  <c r="BB91" i="8" s="1"/>
  <c r="AE91" i="8"/>
  <c r="BA91" i="8" s="1"/>
  <c r="AC91" i="8"/>
  <c r="AZ91" i="8" s="1"/>
  <c r="AA91" i="8"/>
  <c r="Y91" i="8"/>
  <c r="AY91" i="8" s="1"/>
  <c r="W91" i="8"/>
  <c r="AX91" i="8" s="1"/>
  <c r="U91" i="8"/>
  <c r="AW91" i="8" s="1"/>
  <c r="S91" i="8"/>
  <c r="AV91" i="8" s="1"/>
  <c r="Q91" i="8"/>
  <c r="AU91" i="8" s="1"/>
  <c r="O91" i="8"/>
  <c r="AT91" i="8" s="1"/>
  <c r="AS90" i="8"/>
  <c r="BB90" i="8" s="1"/>
  <c r="AE90" i="8"/>
  <c r="BA90" i="8" s="1"/>
  <c r="AC90" i="8"/>
  <c r="AZ90" i="8" s="1"/>
  <c r="AA90" i="8"/>
  <c r="Y90" i="8"/>
  <c r="AY90" i="8" s="1"/>
  <c r="W90" i="8"/>
  <c r="AX90" i="8" s="1"/>
  <c r="U90" i="8"/>
  <c r="AW90" i="8" s="1"/>
  <c r="S90" i="8"/>
  <c r="AV90" i="8" s="1"/>
  <c r="Q90" i="8"/>
  <c r="AU90" i="8" s="1"/>
  <c r="O90" i="8"/>
  <c r="AT90" i="8" s="1"/>
  <c r="AS89" i="8"/>
  <c r="BB89" i="8" s="1"/>
  <c r="AE89" i="8"/>
  <c r="BA89" i="8" s="1"/>
  <c r="AC89" i="8"/>
  <c r="AZ89" i="8" s="1"/>
  <c r="AA89" i="8"/>
  <c r="Y89" i="8"/>
  <c r="AY89" i="8" s="1"/>
  <c r="W89" i="8"/>
  <c r="AX89" i="8" s="1"/>
  <c r="U89" i="8"/>
  <c r="AW89" i="8" s="1"/>
  <c r="AS88" i="8"/>
  <c r="BB88" i="8" s="1"/>
  <c r="AE88" i="8"/>
  <c r="BA88" i="8" s="1"/>
  <c r="AC88" i="8"/>
  <c r="AZ88" i="8" s="1"/>
  <c r="AA88" i="8"/>
  <c r="Y88" i="8"/>
  <c r="AY88" i="8" s="1"/>
  <c r="W88" i="8"/>
  <c r="AX88" i="8" s="1"/>
  <c r="U88" i="8"/>
  <c r="AW88" i="8" s="1"/>
  <c r="S88" i="8"/>
  <c r="AV88" i="8" s="1"/>
  <c r="Q88" i="8"/>
  <c r="AU88" i="8" s="1"/>
  <c r="O88" i="8"/>
  <c r="AT88" i="8" s="1"/>
  <c r="AS87" i="8"/>
  <c r="BB87" i="8" s="1"/>
  <c r="AE87" i="8"/>
  <c r="BA87" i="8" s="1"/>
  <c r="AC87" i="8"/>
  <c r="AZ87" i="8" s="1"/>
  <c r="AA87" i="8"/>
  <c r="Y87" i="8"/>
  <c r="AY87" i="8" s="1"/>
  <c r="W87" i="8"/>
  <c r="AX87" i="8" s="1"/>
  <c r="U87" i="8"/>
  <c r="AW87" i="8" s="1"/>
  <c r="S87" i="8"/>
  <c r="AV87" i="8" s="1"/>
  <c r="Q87" i="8"/>
  <c r="AU87" i="8" s="1"/>
  <c r="O87" i="8"/>
  <c r="AT87" i="8" s="1"/>
  <c r="AS86" i="8"/>
  <c r="BB86" i="8" s="1"/>
  <c r="AE86" i="8"/>
  <c r="BA86" i="8" s="1"/>
  <c r="AC86" i="8"/>
  <c r="AZ86" i="8" s="1"/>
  <c r="AA86" i="8"/>
  <c r="Y86" i="8"/>
  <c r="AY86" i="8" s="1"/>
  <c r="W86" i="8"/>
  <c r="AX86" i="8" s="1"/>
  <c r="U86" i="8"/>
  <c r="AW86" i="8" s="1"/>
  <c r="S86" i="8"/>
  <c r="AV86" i="8" s="1"/>
  <c r="Q86" i="8"/>
  <c r="AU86" i="8" s="1"/>
  <c r="O86" i="8"/>
  <c r="AT86" i="8" s="1"/>
  <c r="AS85" i="8"/>
  <c r="BB85" i="8" s="1"/>
  <c r="AE85" i="8"/>
  <c r="BA85" i="8" s="1"/>
  <c r="AC85" i="8"/>
  <c r="AZ85" i="8" s="1"/>
  <c r="AA85" i="8"/>
  <c r="Y85" i="8"/>
  <c r="AY85" i="8" s="1"/>
  <c r="W85" i="8"/>
  <c r="AX85" i="8" s="1"/>
  <c r="U85" i="8"/>
  <c r="AW85" i="8" s="1"/>
  <c r="S85" i="8"/>
  <c r="AV85" i="8" s="1"/>
  <c r="Q85" i="8"/>
  <c r="AU85" i="8" s="1"/>
  <c r="O85" i="8"/>
  <c r="AT85" i="8" s="1"/>
  <c r="AS83" i="8"/>
  <c r="BB83" i="8" s="1"/>
  <c r="AE83" i="8"/>
  <c r="BA83" i="8" s="1"/>
  <c r="AC83" i="8"/>
  <c r="AZ83" i="8" s="1"/>
  <c r="AA83" i="8"/>
  <c r="Y83" i="8"/>
  <c r="AY83" i="8" s="1"/>
  <c r="W83" i="8"/>
  <c r="AX83" i="8" s="1"/>
  <c r="U83" i="8"/>
  <c r="AW83" i="8" s="1"/>
  <c r="AS82" i="8"/>
  <c r="BB82" i="8" s="1"/>
  <c r="AE82" i="8"/>
  <c r="BA82" i="8" s="1"/>
  <c r="AC82" i="8"/>
  <c r="AZ82" i="8" s="1"/>
  <c r="AA82" i="8"/>
  <c r="Y82" i="8"/>
  <c r="AY82" i="8" s="1"/>
  <c r="W82" i="8"/>
  <c r="AX82" i="8" s="1"/>
  <c r="U82" i="8"/>
  <c r="AW82" i="8" s="1"/>
  <c r="AS80" i="8"/>
  <c r="BB80" i="8" s="1"/>
  <c r="AE80" i="8"/>
  <c r="BA80" i="8" s="1"/>
  <c r="AC80" i="8"/>
  <c r="AZ80" i="8" s="1"/>
  <c r="AA80" i="8"/>
  <c r="Y80" i="8"/>
  <c r="AY80" i="8" s="1"/>
  <c r="W80" i="8"/>
  <c r="AX80" i="8" s="1"/>
  <c r="U80" i="8"/>
  <c r="AW80" i="8" s="1"/>
  <c r="S80" i="8"/>
  <c r="AV80" i="8" s="1"/>
  <c r="Q80" i="8"/>
  <c r="AU80" i="8" s="1"/>
  <c r="O80" i="8"/>
  <c r="AT80" i="8" s="1"/>
  <c r="AS79" i="8"/>
  <c r="BB79" i="8" s="1"/>
  <c r="AE79" i="8"/>
  <c r="BA79" i="8" s="1"/>
  <c r="AC79" i="8"/>
  <c r="AZ79" i="8" s="1"/>
  <c r="AA79" i="8"/>
  <c r="Y79" i="8"/>
  <c r="AY79" i="8" s="1"/>
  <c r="W79" i="8"/>
  <c r="AX79" i="8" s="1"/>
  <c r="U79" i="8"/>
  <c r="AW79" i="8" s="1"/>
  <c r="S79" i="8"/>
  <c r="AV79" i="8" s="1"/>
  <c r="Q79" i="8"/>
  <c r="AU79" i="8" s="1"/>
  <c r="O79" i="8"/>
  <c r="AT79" i="8" s="1"/>
  <c r="AS78" i="8"/>
  <c r="BB78" i="8" s="1"/>
  <c r="AE78" i="8"/>
  <c r="BA78" i="8" s="1"/>
  <c r="AC78" i="8"/>
  <c r="AZ78" i="8" s="1"/>
  <c r="AA78" i="8"/>
  <c r="Y78" i="8"/>
  <c r="AY78" i="8" s="1"/>
  <c r="W78" i="8"/>
  <c r="AX78" i="8" s="1"/>
  <c r="U78" i="8"/>
  <c r="AW78" i="8" s="1"/>
  <c r="S78" i="8"/>
  <c r="AV78" i="8" s="1"/>
  <c r="Q78" i="8"/>
  <c r="AU78" i="8" s="1"/>
  <c r="O78" i="8"/>
  <c r="AT78" i="8" s="1"/>
  <c r="AS77" i="8"/>
  <c r="BB77" i="8" s="1"/>
  <c r="AE77" i="8"/>
  <c r="BA77" i="8" s="1"/>
  <c r="AC77" i="8"/>
  <c r="AZ77" i="8" s="1"/>
  <c r="AA77" i="8"/>
  <c r="Y77" i="8"/>
  <c r="AY77" i="8" s="1"/>
  <c r="W77" i="8"/>
  <c r="AX77" i="8" s="1"/>
  <c r="U77" i="8"/>
  <c r="AW77" i="8" s="1"/>
  <c r="Q77" i="8"/>
  <c r="AU77" i="8" s="1"/>
  <c r="O77" i="8"/>
  <c r="AT77" i="8" s="1"/>
  <c r="AS34" i="8"/>
  <c r="BB34" i="8" s="1"/>
  <c r="AE34" i="8"/>
  <c r="BA34" i="8" s="1"/>
  <c r="AC34" i="8"/>
  <c r="AZ34" i="8" s="1"/>
  <c r="AA34" i="8"/>
  <c r="Y34" i="8"/>
  <c r="AY34" i="8" s="1"/>
  <c r="W34" i="8"/>
  <c r="AX34" i="8" s="1"/>
  <c r="U34" i="8"/>
  <c r="AW34" i="8" s="1"/>
  <c r="O34" i="8"/>
  <c r="AT34" i="8" s="1"/>
  <c r="AS33" i="8"/>
  <c r="BB33" i="8" s="1"/>
  <c r="AE33" i="8"/>
  <c r="BA33" i="8" s="1"/>
  <c r="AC33" i="8"/>
  <c r="AZ33" i="8" s="1"/>
  <c r="AA33" i="8"/>
  <c r="Y33" i="8"/>
  <c r="AY33" i="8" s="1"/>
  <c r="W33" i="8"/>
  <c r="AX33" i="8" s="1"/>
  <c r="U33" i="8"/>
  <c r="AW33" i="8" s="1"/>
  <c r="S33" i="8"/>
  <c r="AV33" i="8" s="1"/>
  <c r="Q33" i="8"/>
  <c r="AU33" i="8" s="1"/>
  <c r="O33" i="8"/>
  <c r="AT33" i="8" s="1"/>
  <c r="AS32" i="8"/>
  <c r="BB32" i="8" s="1"/>
  <c r="AE32" i="8"/>
  <c r="BA32" i="8" s="1"/>
  <c r="AC32" i="8"/>
  <c r="AZ32" i="8" s="1"/>
  <c r="AA32" i="8"/>
  <c r="Y32" i="8"/>
  <c r="AY32" i="8" s="1"/>
  <c r="W32" i="8"/>
  <c r="AX32" i="8" s="1"/>
  <c r="U32" i="8"/>
  <c r="AW32" i="8" s="1"/>
  <c r="O32" i="8"/>
  <c r="AT32" i="8" s="1"/>
  <c r="AS22" i="8"/>
  <c r="BB22" i="8" s="1"/>
  <c r="AE22" i="8"/>
  <c r="BA22" i="8" s="1"/>
  <c r="AC22" i="8"/>
  <c r="AZ22" i="8" s="1"/>
  <c r="AA22" i="8"/>
  <c r="Y22" i="8"/>
  <c r="AY22" i="8" s="1"/>
  <c r="W22" i="8"/>
  <c r="AX22" i="8" s="1"/>
  <c r="U22" i="8"/>
  <c r="AW22" i="8" s="1"/>
  <c r="S22" i="8"/>
  <c r="AV22" i="8" s="1"/>
  <c r="Q22" i="8"/>
  <c r="AU22" i="8" s="1"/>
  <c r="O22" i="8"/>
  <c r="AT22" i="8" s="1"/>
  <c r="AS21" i="8"/>
  <c r="BB21" i="8" s="1"/>
  <c r="AE21" i="8"/>
  <c r="BA21" i="8" s="1"/>
  <c r="AC21" i="8"/>
  <c r="AZ21" i="8" s="1"/>
  <c r="AA21" i="8"/>
  <c r="Y21" i="8"/>
  <c r="AY21" i="8" s="1"/>
  <c r="W21" i="8"/>
  <c r="AX21" i="8" s="1"/>
  <c r="U21" i="8"/>
  <c r="AW21" i="8" s="1"/>
  <c r="S21" i="8"/>
  <c r="AV21" i="8" s="1"/>
  <c r="Q21" i="8"/>
  <c r="AU21" i="8" s="1"/>
  <c r="O21" i="8"/>
  <c r="AT21" i="8" s="1"/>
  <c r="AS19" i="8"/>
  <c r="BB19" i="8" s="1"/>
  <c r="AE19" i="8"/>
  <c r="BA19" i="8" s="1"/>
  <c r="AC19" i="8"/>
  <c r="AZ19" i="8" s="1"/>
  <c r="AA19" i="8"/>
  <c r="Y19" i="8"/>
  <c r="AY19" i="8" s="1"/>
  <c r="W19" i="8"/>
  <c r="AX19" i="8" s="1"/>
  <c r="U19" i="8"/>
  <c r="AW19" i="8" s="1"/>
  <c r="S19" i="8"/>
  <c r="Q19" i="8"/>
  <c r="O19" i="8"/>
  <c r="AS20" i="8"/>
  <c r="BB20" i="8" s="1"/>
  <c r="AE20" i="8"/>
  <c r="BA20" i="8" s="1"/>
  <c r="AC20" i="8"/>
  <c r="AZ20" i="8" s="1"/>
  <c r="AA20" i="8"/>
  <c r="Y20" i="8"/>
  <c r="AY20" i="8" s="1"/>
  <c r="W20" i="8"/>
  <c r="AX20" i="8" s="1"/>
  <c r="U20" i="8"/>
  <c r="AW20" i="8" s="1"/>
  <c r="S20" i="8"/>
  <c r="Q20" i="8"/>
  <c r="O20" i="8"/>
  <c r="AS18" i="8"/>
  <c r="BB18" i="8" s="1"/>
  <c r="AE18" i="8"/>
  <c r="BA18" i="8" s="1"/>
  <c r="AC18" i="8"/>
  <c r="AZ18" i="8" s="1"/>
  <c r="AA18" i="8"/>
  <c r="Y18" i="8"/>
  <c r="AY18" i="8" s="1"/>
  <c r="W18" i="8"/>
  <c r="AX18" i="8" s="1"/>
  <c r="U18" i="8"/>
  <c r="AW18" i="8" s="1"/>
  <c r="S18" i="8"/>
  <c r="AV18" i="8" s="1"/>
  <c r="Q18" i="8"/>
  <c r="AU18" i="8" s="1"/>
  <c r="O18" i="8"/>
  <c r="AT18" i="8" s="1"/>
  <c r="AV96" i="7"/>
  <c r="AV94" i="7"/>
  <c r="O94" i="7"/>
  <c r="AT94" i="7" s="1"/>
  <c r="O96" i="7"/>
  <c r="AT96" i="7" s="1"/>
  <c r="AV98" i="7"/>
  <c r="AU98" i="7"/>
  <c r="O98" i="7"/>
  <c r="AT98" i="7" s="1"/>
  <c r="U98" i="7"/>
  <c r="AW98" i="7" s="1"/>
  <c r="W98" i="7"/>
  <c r="AX98" i="7" s="1"/>
  <c r="Y98" i="7"/>
  <c r="AY98" i="7" s="1"/>
  <c r="AA98" i="7"/>
  <c r="AC98" i="7"/>
  <c r="AZ98" i="7" s="1"/>
  <c r="AE98" i="7"/>
  <c r="BA98" i="7" s="1"/>
  <c r="AR98" i="7"/>
  <c r="AR96" i="7"/>
  <c r="AE96" i="7"/>
  <c r="BA96" i="7" s="1"/>
  <c r="AC96" i="7"/>
  <c r="AZ96" i="7" s="1"/>
  <c r="AA96" i="7"/>
  <c r="Y96" i="7"/>
  <c r="AY96" i="7" s="1"/>
  <c r="W96" i="7"/>
  <c r="AX96" i="7" s="1"/>
  <c r="U96" i="7"/>
  <c r="AW96" i="7" s="1"/>
  <c r="AU96" i="7"/>
  <c r="AU94" i="7"/>
  <c r="AR91" i="7"/>
  <c r="AE91" i="7"/>
  <c r="BA91" i="7" s="1"/>
  <c r="AC91" i="7"/>
  <c r="AZ91" i="7" s="1"/>
  <c r="AA91" i="7"/>
  <c r="Y91" i="7"/>
  <c r="AY91" i="7" s="1"/>
  <c r="W91" i="7"/>
  <c r="AX91" i="7" s="1"/>
  <c r="U91" i="7"/>
  <c r="AW91" i="7" s="1"/>
  <c r="AV91" i="7"/>
  <c r="AU91" i="7"/>
  <c r="O91" i="7"/>
  <c r="AT91" i="7" s="1"/>
  <c r="AR92" i="7"/>
  <c r="AE92" i="7"/>
  <c r="BA92" i="7" s="1"/>
  <c r="AC92" i="7"/>
  <c r="AZ92" i="7" s="1"/>
  <c r="AA92" i="7"/>
  <c r="Y92" i="7"/>
  <c r="AY92" i="7" s="1"/>
  <c r="W92" i="7"/>
  <c r="AX92" i="7" s="1"/>
  <c r="U92" i="7"/>
  <c r="AW92" i="7" s="1"/>
  <c r="AV92" i="7"/>
  <c r="AU92" i="7"/>
  <c r="O92" i="7"/>
  <c r="AT92" i="7" s="1"/>
  <c r="AR90" i="7"/>
  <c r="AE90" i="7"/>
  <c r="BA90" i="7" s="1"/>
  <c r="AC90" i="7"/>
  <c r="AZ90" i="7" s="1"/>
  <c r="AA90" i="7"/>
  <c r="Y90" i="7"/>
  <c r="AY90" i="7" s="1"/>
  <c r="W90" i="7"/>
  <c r="AX90" i="7" s="1"/>
  <c r="U90" i="7"/>
  <c r="AW90" i="7" s="1"/>
  <c r="AV90" i="7"/>
  <c r="AU90" i="7"/>
  <c r="O90" i="7"/>
  <c r="AT90" i="7" s="1"/>
  <c r="AR87" i="7"/>
  <c r="AE87" i="7"/>
  <c r="BA87" i="7" s="1"/>
  <c r="AC87" i="7"/>
  <c r="AZ87" i="7" s="1"/>
  <c r="AA87" i="7"/>
  <c r="Y87" i="7"/>
  <c r="AY87" i="7" s="1"/>
  <c r="W87" i="7"/>
  <c r="AX87" i="7" s="1"/>
  <c r="U87" i="7"/>
  <c r="AW87" i="7" s="1"/>
  <c r="AV87" i="7"/>
  <c r="AU87" i="7"/>
  <c r="O87" i="7"/>
  <c r="AT87" i="7" s="1"/>
  <c r="AR88" i="7"/>
  <c r="AE88" i="7"/>
  <c r="BA88" i="7" s="1"/>
  <c r="AC88" i="7"/>
  <c r="AZ88" i="7" s="1"/>
  <c r="AA88" i="7"/>
  <c r="Y88" i="7"/>
  <c r="AY88" i="7" s="1"/>
  <c r="W88" i="7"/>
  <c r="AX88" i="7" s="1"/>
  <c r="U88" i="7"/>
  <c r="AW88" i="7" s="1"/>
  <c r="AV88" i="7"/>
  <c r="AU88" i="7"/>
  <c r="O88" i="7"/>
  <c r="AT88" i="7" s="1"/>
  <c r="AR84" i="7"/>
  <c r="AE84" i="7"/>
  <c r="BA84" i="7" s="1"/>
  <c r="AC84" i="7"/>
  <c r="AZ84" i="7" s="1"/>
  <c r="AA84" i="7"/>
  <c r="Y84" i="7"/>
  <c r="AY84" i="7" s="1"/>
  <c r="W84" i="7"/>
  <c r="AX84" i="7" s="1"/>
  <c r="U84" i="7"/>
  <c r="AW84" i="7" s="1"/>
  <c r="AV84" i="7"/>
  <c r="AU84" i="7"/>
  <c r="O84" i="7"/>
  <c r="AT84" i="7" s="1"/>
  <c r="AR81" i="7"/>
  <c r="AE81" i="7"/>
  <c r="BA81" i="7" s="1"/>
  <c r="AC81" i="7"/>
  <c r="AZ81" i="7" s="1"/>
  <c r="AA81" i="7"/>
  <c r="Y81" i="7"/>
  <c r="AY81" i="7" s="1"/>
  <c r="W81" i="7"/>
  <c r="AX81" i="7" s="1"/>
  <c r="U81" i="7"/>
  <c r="AW81" i="7" s="1"/>
  <c r="AV81" i="7"/>
  <c r="AU81" i="7"/>
  <c r="O81" i="7"/>
  <c r="AT81" i="7" s="1"/>
  <c r="AQ30" i="15" l="1"/>
  <c r="AQ23" i="15"/>
  <c r="AT30" i="15"/>
  <c r="AT23" i="15"/>
  <c r="AT24" i="15"/>
  <c r="AQ24" i="15"/>
  <c r="BG30" i="8"/>
  <c r="BD30" i="8" s="1"/>
  <c r="BG27" i="8"/>
  <c r="BD27" i="8" s="1"/>
  <c r="BG25" i="8"/>
  <c r="BD25" i="8" s="1"/>
  <c r="AS91" i="7"/>
  <c r="BB91" i="7" s="1"/>
  <c r="BF91" i="7" s="1"/>
  <c r="BG91" i="7" s="1"/>
  <c r="BH91" i="7"/>
  <c r="BE91" i="7" s="1"/>
  <c r="AS88" i="7"/>
  <c r="BB88" i="7" s="1"/>
  <c r="BF88" i="7" s="1"/>
  <c r="BH88" i="7"/>
  <c r="BE88" i="7" s="1"/>
  <c r="AS96" i="7"/>
  <c r="BB96" i="7" s="1"/>
  <c r="BF96" i="7" s="1"/>
  <c r="BH96" i="7"/>
  <c r="BE96" i="7" s="1"/>
  <c r="AS98" i="7"/>
  <c r="BB98" i="7" s="1"/>
  <c r="BF98" i="7" s="1"/>
  <c r="BG98" i="7" s="1"/>
  <c r="BH98" i="7"/>
  <c r="BE98" i="7" s="1"/>
  <c r="AS90" i="7"/>
  <c r="BB90" i="7" s="1"/>
  <c r="BF90" i="7" s="1"/>
  <c r="BG90" i="7" s="1"/>
  <c r="BH90" i="7"/>
  <c r="BE90" i="7" s="1"/>
  <c r="AS84" i="7"/>
  <c r="BB84" i="7" s="1"/>
  <c r="BF84" i="7" s="1"/>
  <c r="BG84" i="7" s="1"/>
  <c r="BH84" i="7"/>
  <c r="BE84" i="7" s="1"/>
  <c r="AS87" i="7"/>
  <c r="BB87" i="7" s="1"/>
  <c r="BF87" i="7" s="1"/>
  <c r="BG87" i="7" s="1"/>
  <c r="BH87" i="7"/>
  <c r="BE87" i="7" s="1"/>
  <c r="AS81" i="7"/>
  <c r="BB81" i="7" s="1"/>
  <c r="BF81" i="7" s="1"/>
  <c r="BG81" i="7" s="1"/>
  <c r="BH81" i="7"/>
  <c r="BE81" i="7" s="1"/>
  <c r="AS92" i="7"/>
  <c r="BB92" i="7" s="1"/>
  <c r="BF92" i="7" s="1"/>
  <c r="BG92" i="7" s="1"/>
  <c r="BH92" i="7"/>
  <c r="BE92" i="7" s="1"/>
  <c r="BD29" i="8"/>
  <c r="BF86" i="8"/>
  <c r="BG86" i="8" s="1"/>
  <c r="BD86" i="8" s="1"/>
  <c r="BF93" i="8"/>
  <c r="BG93" i="8" s="1"/>
  <c r="BD93" i="8" s="1"/>
  <c r="BF129" i="8"/>
  <c r="BG129" i="8" s="1"/>
  <c r="BD129" i="8" s="1"/>
  <c r="BF133" i="8"/>
  <c r="BG133" i="8" s="1"/>
  <c r="BD133" i="8" s="1"/>
  <c r="BF121" i="8"/>
  <c r="BF132" i="8"/>
  <c r="BG132" i="8" s="1"/>
  <c r="BF110" i="8"/>
  <c r="BG110" i="8" s="1"/>
  <c r="BF21" i="8"/>
  <c r="BG21" i="8" s="1"/>
  <c r="BF102" i="8"/>
  <c r="BG102" i="8" s="1"/>
  <c r="BF82" i="8"/>
  <c r="BG82" i="8" s="1"/>
  <c r="BD82" i="8" s="1"/>
  <c r="BF20" i="8"/>
  <c r="BG20" i="8" s="1"/>
  <c r="BF159" i="8"/>
  <c r="BG159" i="8" s="1"/>
  <c r="BF79" i="8"/>
  <c r="BG79" i="8" s="1"/>
  <c r="BF88" i="8"/>
  <c r="BG88" i="8" s="1"/>
  <c r="BF140" i="8"/>
  <c r="BG140" i="8" s="1"/>
  <c r="BF18" i="8"/>
  <c r="BG18" i="8" s="1"/>
  <c r="BF90" i="8"/>
  <c r="BF125" i="8"/>
  <c r="BG125" i="8" s="1"/>
  <c r="BF149" i="8"/>
  <c r="BG149" i="8" s="1"/>
  <c r="BF85" i="8"/>
  <c r="BG85" i="8" s="1"/>
  <c r="BF128" i="8"/>
  <c r="BG128" i="8" s="1"/>
  <c r="BF135" i="8"/>
  <c r="BG135" i="8" s="1"/>
  <c r="BF120" i="8"/>
  <c r="BG120" i="8" s="1"/>
  <c r="BF131" i="8"/>
  <c r="BG131" i="8" s="1"/>
  <c r="BF104" i="8"/>
  <c r="BG104" i="8" s="1"/>
  <c r="BF92" i="8"/>
  <c r="BG92" i="8" s="1"/>
  <c r="BF78" i="8"/>
  <c r="BG78" i="8" s="1"/>
  <c r="BF87" i="8"/>
  <c r="BG87" i="8" s="1"/>
  <c r="BF130" i="8"/>
  <c r="BG130" i="8" s="1"/>
  <c r="BF124" i="8"/>
  <c r="BG124" i="8" s="1"/>
  <c r="BF148" i="8"/>
  <c r="BG148" i="8" s="1"/>
  <c r="BF111" i="8"/>
  <c r="BG111" i="8" s="1"/>
  <c r="BF19" i="8"/>
  <c r="BG19" i="8" s="1"/>
  <c r="BF160" i="8"/>
  <c r="BG160" i="8" s="1"/>
  <c r="BF22" i="8"/>
  <c r="BG22" i="8" s="1"/>
  <c r="BF136" i="8"/>
  <c r="BG136" i="8" s="1"/>
  <c r="BF103" i="8"/>
  <c r="BG103" i="8" s="1"/>
  <c r="BF80" i="8"/>
  <c r="BG80" i="8" s="1"/>
  <c r="BF89" i="8"/>
  <c r="BG89" i="8" s="1"/>
  <c r="BF33" i="8"/>
  <c r="BG33" i="8" s="1"/>
  <c r="BF83" i="8"/>
  <c r="BG83" i="8" s="1"/>
  <c r="BF91" i="8"/>
  <c r="BG91" i="8" s="1"/>
  <c r="BF126" i="8"/>
  <c r="BG126" i="8" s="1"/>
  <c r="BF134" i="8"/>
  <c r="BG134" i="8" s="1"/>
  <c r="BC27" i="8"/>
  <c r="BC29" i="8"/>
  <c r="BC64" i="8"/>
  <c r="BC63" i="8"/>
  <c r="BC25" i="8"/>
  <c r="BC30" i="8"/>
  <c r="S34" i="8"/>
  <c r="AV34" i="8" s="1"/>
  <c r="Q34" i="8"/>
  <c r="AU34" i="8" s="1"/>
  <c r="S77" i="8"/>
  <c r="AV77" i="8" s="1"/>
  <c r="BF77" i="8" s="1"/>
  <c r="BG77" i="8" s="1"/>
  <c r="S32" i="8"/>
  <c r="AV32" i="8" s="1"/>
  <c r="Q32" i="8"/>
  <c r="AU32" i="8" s="1"/>
  <c r="AR78" i="7"/>
  <c r="AE78" i="7"/>
  <c r="BA78" i="7" s="1"/>
  <c r="AC78" i="7"/>
  <c r="AZ78" i="7" s="1"/>
  <c r="AA78" i="7"/>
  <c r="Y78" i="7"/>
  <c r="AY78" i="7" s="1"/>
  <c r="W78" i="7"/>
  <c r="AX78" i="7" s="1"/>
  <c r="U78" i="7"/>
  <c r="AW78" i="7" s="1"/>
  <c r="AV78" i="7"/>
  <c r="AU78" i="7"/>
  <c r="O78" i="7"/>
  <c r="AT78" i="7" s="1"/>
  <c r="AR76" i="7"/>
  <c r="AE76" i="7"/>
  <c r="BA76" i="7" s="1"/>
  <c r="AC76" i="7"/>
  <c r="AZ76" i="7" s="1"/>
  <c r="AA76" i="7"/>
  <c r="Y76" i="7"/>
  <c r="AY76" i="7" s="1"/>
  <c r="W76" i="7"/>
  <c r="AX76" i="7" s="1"/>
  <c r="U76" i="7"/>
  <c r="AW76" i="7" s="1"/>
  <c r="AV76" i="7"/>
  <c r="AU76" i="7"/>
  <c r="O76" i="7"/>
  <c r="AT76" i="7" s="1"/>
  <c r="O74" i="7"/>
  <c r="O75" i="7"/>
  <c r="O77" i="7"/>
  <c r="AT77" i="7" s="1"/>
  <c r="AU77" i="7"/>
  <c r="AV77" i="7"/>
  <c r="U74" i="7"/>
  <c r="U75" i="7"/>
  <c r="U77" i="7"/>
  <c r="AW77" i="7" s="1"/>
  <c r="W74" i="7"/>
  <c r="W75" i="7"/>
  <c r="W77" i="7"/>
  <c r="AX77" i="7" s="1"/>
  <c r="Y74" i="7"/>
  <c r="AY74" i="7" s="1"/>
  <c r="Y75" i="7"/>
  <c r="AY75" i="7" s="1"/>
  <c r="Y77" i="7"/>
  <c r="AY77" i="7" s="1"/>
  <c r="AA74" i="7"/>
  <c r="AA75" i="7"/>
  <c r="AA77" i="7"/>
  <c r="AC74" i="7"/>
  <c r="AZ74" i="7" s="1"/>
  <c r="AC75" i="7"/>
  <c r="AZ75" i="7" s="1"/>
  <c r="AC77" i="7"/>
  <c r="AZ77" i="7" s="1"/>
  <c r="AE74" i="7"/>
  <c r="BA74" i="7" s="1"/>
  <c r="AE75" i="7"/>
  <c r="BA75" i="7" s="1"/>
  <c r="AE77" i="7"/>
  <c r="BA77" i="7" s="1"/>
  <c r="AR74" i="7"/>
  <c r="AR75" i="7"/>
  <c r="AR77" i="7"/>
  <c r="O79" i="7"/>
  <c r="AT79" i="7" s="1"/>
  <c r="O80" i="7"/>
  <c r="AT80" i="7" s="1"/>
  <c r="AU79" i="7"/>
  <c r="AU80" i="7"/>
  <c r="AV79" i="7"/>
  <c r="AV80" i="7"/>
  <c r="U79" i="7"/>
  <c r="AW79" i="7" s="1"/>
  <c r="U80" i="7"/>
  <c r="AW80" i="7" s="1"/>
  <c r="W79" i="7"/>
  <c r="AX79" i="7" s="1"/>
  <c r="W80" i="7"/>
  <c r="AX80" i="7" s="1"/>
  <c r="Y79" i="7"/>
  <c r="AY79" i="7" s="1"/>
  <c r="Y80" i="7"/>
  <c r="AY80" i="7" s="1"/>
  <c r="AA79" i="7"/>
  <c r="AA80" i="7"/>
  <c r="AC79" i="7"/>
  <c r="AZ79" i="7" s="1"/>
  <c r="AC80" i="7"/>
  <c r="AZ80" i="7" s="1"/>
  <c r="AE79" i="7"/>
  <c r="BA79" i="7" s="1"/>
  <c r="AE80" i="7"/>
  <c r="BA80" i="7" s="1"/>
  <c r="AR79" i="7"/>
  <c r="AR80" i="7"/>
  <c r="O82" i="7"/>
  <c r="AT82" i="7" s="1"/>
  <c r="O83" i="7"/>
  <c r="AT83" i="7" s="1"/>
  <c r="O85" i="7"/>
  <c r="AT85" i="7" s="1"/>
  <c r="AU82" i="7"/>
  <c r="AU83" i="7"/>
  <c r="AU85" i="7"/>
  <c r="AV82" i="7"/>
  <c r="AV83" i="7"/>
  <c r="AV85" i="7"/>
  <c r="U82" i="7"/>
  <c r="AW82" i="7" s="1"/>
  <c r="U83" i="7"/>
  <c r="AW83" i="7" s="1"/>
  <c r="U85" i="7"/>
  <c r="AW85" i="7" s="1"/>
  <c r="W82" i="7"/>
  <c r="AX82" i="7" s="1"/>
  <c r="W83" i="7"/>
  <c r="AX83" i="7" s="1"/>
  <c r="W85" i="7"/>
  <c r="AX85" i="7" s="1"/>
  <c r="Y82" i="7"/>
  <c r="AY82" i="7" s="1"/>
  <c r="Y83" i="7"/>
  <c r="AY83" i="7" s="1"/>
  <c r="Y85" i="7"/>
  <c r="AY85" i="7" s="1"/>
  <c r="AA82" i="7"/>
  <c r="AA83" i="7"/>
  <c r="AA85" i="7"/>
  <c r="AC82" i="7"/>
  <c r="AZ82" i="7" s="1"/>
  <c r="AC83" i="7"/>
  <c r="AZ83" i="7" s="1"/>
  <c r="AC85" i="7"/>
  <c r="AZ85" i="7" s="1"/>
  <c r="AE82" i="7"/>
  <c r="BA82" i="7" s="1"/>
  <c r="AE83" i="7"/>
  <c r="BA83" i="7" s="1"/>
  <c r="AE85" i="7"/>
  <c r="BA85" i="7" s="1"/>
  <c r="AR82" i="7"/>
  <c r="AR83" i="7"/>
  <c r="AR85" i="7"/>
  <c r="O86" i="7"/>
  <c r="AT86" i="7" s="1"/>
  <c r="O89" i="7"/>
  <c r="AT89" i="7" s="1"/>
  <c r="AU86" i="7"/>
  <c r="AU89" i="7"/>
  <c r="AV86" i="7"/>
  <c r="AV89" i="7"/>
  <c r="U86" i="7"/>
  <c r="AW86" i="7" s="1"/>
  <c r="U89" i="7"/>
  <c r="AW89" i="7" s="1"/>
  <c r="W86" i="7"/>
  <c r="AX86" i="7" s="1"/>
  <c r="W89" i="7"/>
  <c r="AX89" i="7" s="1"/>
  <c r="Y86" i="7"/>
  <c r="AY86" i="7" s="1"/>
  <c r="Y89" i="7"/>
  <c r="AY89" i="7" s="1"/>
  <c r="AA86" i="7"/>
  <c r="AA89" i="7"/>
  <c r="AC86" i="7"/>
  <c r="AZ86" i="7" s="1"/>
  <c r="AC89" i="7"/>
  <c r="AZ89" i="7" s="1"/>
  <c r="AE86" i="7"/>
  <c r="BA86" i="7" s="1"/>
  <c r="AE89" i="7"/>
  <c r="BA89" i="7" s="1"/>
  <c r="AR86" i="7"/>
  <c r="AR89" i="7"/>
  <c r="O93" i="7"/>
  <c r="AT93" i="7" s="1"/>
  <c r="AU93" i="7"/>
  <c r="AV93" i="7"/>
  <c r="U93" i="7"/>
  <c r="AW93" i="7" s="1"/>
  <c r="W93" i="7"/>
  <c r="AX93" i="7" s="1"/>
  <c r="Y93" i="7"/>
  <c r="AY93" i="7" s="1"/>
  <c r="AA93" i="7"/>
  <c r="AC93" i="7"/>
  <c r="AZ93" i="7" s="1"/>
  <c r="AE93" i="7"/>
  <c r="BA93" i="7" s="1"/>
  <c r="AR93" i="7"/>
  <c r="AR71" i="7"/>
  <c r="AE71" i="7"/>
  <c r="BA71" i="7" s="1"/>
  <c r="AC71" i="7"/>
  <c r="AZ71" i="7" s="1"/>
  <c r="AA71" i="7"/>
  <c r="Y71" i="7"/>
  <c r="AY71" i="7" s="1"/>
  <c r="W71" i="7"/>
  <c r="AX71" i="7" s="1"/>
  <c r="U71" i="7"/>
  <c r="AW71" i="7" s="1"/>
  <c r="AV71" i="7"/>
  <c r="AU71" i="7"/>
  <c r="O71" i="7"/>
  <c r="AT71" i="7" s="1"/>
  <c r="AR69" i="7"/>
  <c r="AE69" i="7"/>
  <c r="BA69" i="7" s="1"/>
  <c r="AC69" i="7"/>
  <c r="AZ69" i="7" s="1"/>
  <c r="AA69" i="7"/>
  <c r="Y69" i="7"/>
  <c r="AY69" i="7" s="1"/>
  <c r="W69" i="7"/>
  <c r="AX69" i="7" s="1"/>
  <c r="U69" i="7"/>
  <c r="AW69" i="7" s="1"/>
  <c r="AV69" i="7"/>
  <c r="AU69" i="7"/>
  <c r="O69" i="7"/>
  <c r="AT69" i="7" s="1"/>
  <c r="BG90" i="8" l="1"/>
  <c r="BD90" i="8" s="1"/>
  <c r="BG121" i="8"/>
  <c r="BD121" i="8" s="1"/>
  <c r="BG88" i="7"/>
  <c r="BD88" i="7" s="1"/>
  <c r="BG96" i="7"/>
  <c r="BD96" i="7" s="1"/>
  <c r="BD81" i="7"/>
  <c r="BD87" i="7"/>
  <c r="BD90" i="7"/>
  <c r="BD84" i="7"/>
  <c r="BD98" i="7"/>
  <c r="BD91" i="7"/>
  <c r="BD92" i="7"/>
  <c r="AS76" i="7"/>
  <c r="BB76" i="7" s="1"/>
  <c r="BF76" i="7" s="1"/>
  <c r="BG76" i="7" s="1"/>
  <c r="BH76" i="7"/>
  <c r="BE76" i="7" s="1"/>
  <c r="AS89" i="7"/>
  <c r="BB89" i="7" s="1"/>
  <c r="BF89" i="7" s="1"/>
  <c r="BG89" i="7" s="1"/>
  <c r="BH89" i="7"/>
  <c r="BE89" i="7" s="1"/>
  <c r="AS86" i="7"/>
  <c r="BB86" i="7" s="1"/>
  <c r="BF86" i="7" s="1"/>
  <c r="BG86" i="7" s="1"/>
  <c r="BH86" i="7"/>
  <c r="BE86" i="7" s="1"/>
  <c r="AS80" i="7"/>
  <c r="BB80" i="7" s="1"/>
  <c r="BF80" i="7" s="1"/>
  <c r="BG80" i="7" s="1"/>
  <c r="BH80" i="7"/>
  <c r="BE80" i="7" s="1"/>
  <c r="AS79" i="7"/>
  <c r="BB79" i="7" s="1"/>
  <c r="BF79" i="7" s="1"/>
  <c r="BG79" i="7" s="1"/>
  <c r="BH79" i="7"/>
  <c r="BE79" i="7" s="1"/>
  <c r="AS85" i="7"/>
  <c r="BB85" i="7" s="1"/>
  <c r="BF85" i="7" s="1"/>
  <c r="BG85" i="7" s="1"/>
  <c r="BH85" i="7"/>
  <c r="BE85" i="7" s="1"/>
  <c r="AS71" i="7"/>
  <c r="BB71" i="7" s="1"/>
  <c r="BF71" i="7" s="1"/>
  <c r="BG71" i="7" s="1"/>
  <c r="BH71" i="7"/>
  <c r="BE71" i="7" s="1"/>
  <c r="AS83" i="7"/>
  <c r="BB83" i="7" s="1"/>
  <c r="BF83" i="7" s="1"/>
  <c r="BG83" i="7" s="1"/>
  <c r="BH83" i="7"/>
  <c r="BE83" i="7" s="1"/>
  <c r="AS93" i="7"/>
  <c r="BB93" i="7" s="1"/>
  <c r="BF93" i="7" s="1"/>
  <c r="BG93" i="7" s="1"/>
  <c r="BH93" i="7"/>
  <c r="BE93" i="7" s="1"/>
  <c r="AS82" i="7"/>
  <c r="BB82" i="7" s="1"/>
  <c r="BF82" i="7" s="1"/>
  <c r="BG82" i="7" s="1"/>
  <c r="BH82" i="7"/>
  <c r="BE82" i="7" s="1"/>
  <c r="AS77" i="7"/>
  <c r="BB77" i="7" s="1"/>
  <c r="BF77" i="7" s="1"/>
  <c r="BG77" i="7" s="1"/>
  <c r="BH77" i="7"/>
  <c r="BE77" i="7" s="1"/>
  <c r="AS75" i="7"/>
  <c r="BB75" i="7" s="1"/>
  <c r="BF75" i="7" s="1"/>
  <c r="BH75" i="7"/>
  <c r="BE75" i="7" s="1"/>
  <c r="AS78" i="7"/>
  <c r="BB78" i="7" s="1"/>
  <c r="BF78" i="7" s="1"/>
  <c r="BG78" i="7" s="1"/>
  <c r="BH78" i="7"/>
  <c r="BE78" i="7" s="1"/>
  <c r="AS74" i="7"/>
  <c r="BB74" i="7" s="1"/>
  <c r="BF74" i="7" s="1"/>
  <c r="BH74" i="7"/>
  <c r="BE74" i="7" s="1"/>
  <c r="AS69" i="7"/>
  <c r="BB69" i="7" s="1"/>
  <c r="BF69" i="7" s="1"/>
  <c r="BG69" i="7" s="1"/>
  <c r="BH69" i="7"/>
  <c r="BE69" i="7" s="1"/>
  <c r="BD124" i="8"/>
  <c r="BD88" i="8"/>
  <c r="BD130" i="8"/>
  <c r="BD134" i="8"/>
  <c r="BD87" i="8"/>
  <c r="BD126" i="8"/>
  <c r="BD78" i="8"/>
  <c r="BD91" i="8"/>
  <c r="BD92" i="8"/>
  <c r="BD83" i="8"/>
  <c r="BD104" i="8"/>
  <c r="BD102" i="8"/>
  <c r="BD33" i="8"/>
  <c r="BD21" i="8"/>
  <c r="BD89" i="8"/>
  <c r="BD120" i="8"/>
  <c r="BD110" i="8"/>
  <c r="BD80" i="8"/>
  <c r="BD135" i="8"/>
  <c r="BD103" i="8"/>
  <c r="BD128" i="8"/>
  <c r="BD136" i="8"/>
  <c r="BD85" i="8"/>
  <c r="BD22" i="8"/>
  <c r="BD149" i="8"/>
  <c r="BD125" i="8"/>
  <c r="BD111" i="8"/>
  <c r="BD148" i="8"/>
  <c r="BD140" i="8"/>
  <c r="BF32" i="8"/>
  <c r="BG32" i="8" s="1"/>
  <c r="BF34" i="8"/>
  <c r="BD18" i="8"/>
  <c r="BC126" i="8"/>
  <c r="BC79" i="8"/>
  <c r="BC22" i="8"/>
  <c r="BC135" i="8"/>
  <c r="BC136" i="8"/>
  <c r="BC87" i="8"/>
  <c r="BC111" i="8"/>
  <c r="BC125" i="8"/>
  <c r="BC82" i="8"/>
  <c r="BC88" i="8"/>
  <c r="BC89" i="8"/>
  <c r="BC124" i="8"/>
  <c r="BC130" i="8"/>
  <c r="BC85" i="8"/>
  <c r="BC104" i="8"/>
  <c r="BC149" i="8"/>
  <c r="BC121" i="8"/>
  <c r="BC134" i="8"/>
  <c r="BC86" i="8"/>
  <c r="BC33" i="8"/>
  <c r="BC110" i="8"/>
  <c r="BC120" i="8"/>
  <c r="BC128" i="8"/>
  <c r="BC80" i="8"/>
  <c r="BC102" i="8"/>
  <c r="BC140" i="8"/>
  <c r="BC93" i="8"/>
  <c r="BC129" i="8"/>
  <c r="BC83" i="8"/>
  <c r="BC103" i="8"/>
  <c r="BC148" i="8"/>
  <c r="BC91" i="8"/>
  <c r="BC92" i="8"/>
  <c r="BC78" i="8"/>
  <c r="BC133" i="8"/>
  <c r="BC90" i="8"/>
  <c r="BC81" i="7"/>
  <c r="BC90" i="7"/>
  <c r="BC87" i="7"/>
  <c r="BC92" i="7"/>
  <c r="BC84" i="7"/>
  <c r="BC98" i="7"/>
  <c r="BC88" i="7"/>
  <c r="BC91" i="7"/>
  <c r="BC96" i="7"/>
  <c r="BD20" i="8"/>
  <c r="BD19" i="8"/>
  <c r="BD159" i="8"/>
  <c r="BD131" i="8"/>
  <c r="BD160" i="8"/>
  <c r="BC21" i="8"/>
  <c r="BD132" i="8"/>
  <c r="BD77" i="8"/>
  <c r="BC18" i="8"/>
  <c r="R68" i="7"/>
  <c r="S68" i="7" s="1"/>
  <c r="R67" i="7"/>
  <c r="S67" i="7" s="1"/>
  <c r="P68" i="7"/>
  <c r="Q68" i="7" s="1"/>
  <c r="P67" i="7"/>
  <c r="Q67" i="7" s="1"/>
  <c r="N67" i="7"/>
  <c r="N68" i="7"/>
  <c r="AR65" i="7"/>
  <c r="AE65" i="7"/>
  <c r="BA65" i="7" s="1"/>
  <c r="AC65" i="7"/>
  <c r="AZ65" i="7" s="1"/>
  <c r="AA65" i="7"/>
  <c r="Y65" i="7"/>
  <c r="AY65" i="7" s="1"/>
  <c r="W65" i="7"/>
  <c r="AX65" i="7" s="1"/>
  <c r="U65" i="7"/>
  <c r="AW65" i="7" s="1"/>
  <c r="AV65" i="7"/>
  <c r="AU65" i="7"/>
  <c r="O65" i="7"/>
  <c r="AT65" i="7" s="1"/>
  <c r="K236" i="20" l="1"/>
  <c r="K236" i="15"/>
  <c r="BG34" i="8"/>
  <c r="BG74" i="7"/>
  <c r="BD74" i="7" s="1"/>
  <c r="BG75" i="7"/>
  <c r="BD75" i="7" s="1"/>
  <c r="BD79" i="8"/>
  <c r="E234" i="15" a="1"/>
  <c r="E234" i="15" s="1"/>
  <c r="AA234" i="15" s="1"/>
  <c r="E265" i="15" a="1"/>
  <c r="E265" i="15" s="1"/>
  <c r="AA265" i="15" s="1"/>
  <c r="E264" i="15" a="1"/>
  <c r="E264" i="15" s="1"/>
  <c r="AA264" i="15" s="1"/>
  <c r="E241" i="15" a="1"/>
  <c r="E241" i="15" s="1"/>
  <c r="E240" i="15" a="1"/>
  <c r="E240" i="15" s="1"/>
  <c r="E239" i="15" a="1"/>
  <c r="E239" i="15" s="1"/>
  <c r="E238" i="15" a="1"/>
  <c r="E238" i="15" s="1"/>
  <c r="E249" i="15" a="1"/>
  <c r="E249" i="15" s="1"/>
  <c r="E248" i="15" a="1"/>
  <c r="E248" i="15" s="1"/>
  <c r="E235" i="15" a="1"/>
  <c r="E235" i="15" s="1"/>
  <c r="BD83" i="7"/>
  <c r="BD69" i="7"/>
  <c r="BD71" i="7"/>
  <c r="BD76" i="7"/>
  <c r="BD85" i="7"/>
  <c r="BD78" i="7"/>
  <c r="BD79" i="7"/>
  <c r="BD86" i="7"/>
  <c r="BD77" i="7"/>
  <c r="BD80" i="7"/>
  <c r="BD82" i="7"/>
  <c r="BD93" i="7"/>
  <c r="BD89" i="7"/>
  <c r="AS65" i="7"/>
  <c r="BB65" i="7" s="1"/>
  <c r="BF65" i="7" s="1"/>
  <c r="BG65" i="7" s="1"/>
  <c r="BH65" i="7"/>
  <c r="BE65" i="7" s="1"/>
  <c r="BD32" i="8"/>
  <c r="F47" i="6" a="1"/>
  <c r="F47" i="6" s="1"/>
  <c r="BF176" i="8"/>
  <c r="BC34" i="8"/>
  <c r="BC32" i="8"/>
  <c r="BC160" i="8"/>
  <c r="BC20" i="8"/>
  <c r="BC77" i="8"/>
  <c r="BC132" i="8"/>
  <c r="BC159" i="8"/>
  <c r="BC131" i="8"/>
  <c r="BC19" i="8"/>
  <c r="BC78" i="7"/>
  <c r="BC86" i="7"/>
  <c r="BC89" i="7"/>
  <c r="BC79" i="7"/>
  <c r="BC93" i="7"/>
  <c r="BC69" i="7"/>
  <c r="BC82" i="7"/>
  <c r="BC76" i="7"/>
  <c r="BC83" i="7"/>
  <c r="BC71" i="7"/>
  <c r="BC85" i="7"/>
  <c r="BC80" i="7"/>
  <c r="BC77" i="7"/>
  <c r="F49" i="6" a="1"/>
  <c r="F49" i="6" s="1"/>
  <c r="G153" i="13" s="1"/>
  <c r="F48" i="6" a="1"/>
  <c r="F48" i="6" s="1"/>
  <c r="G152" i="13" s="1"/>
  <c r="F55" i="6" a="1"/>
  <c r="F55" i="6" s="1"/>
  <c r="G61" i="13" s="1"/>
  <c r="F62" i="6" a="1"/>
  <c r="F62" i="6" s="1"/>
  <c r="G157" i="13" s="1"/>
  <c r="F53" i="6" a="1"/>
  <c r="F53" i="6" s="1"/>
  <c r="G156" i="13" s="1"/>
  <c r="F45" i="6" a="1"/>
  <c r="F45" i="6" s="1"/>
  <c r="G150" i="13" s="1"/>
  <c r="F46" i="6" a="1"/>
  <c r="F46" i="6" s="1"/>
  <c r="G151" i="13" s="1"/>
  <c r="F51" i="6" a="1"/>
  <c r="F51" i="6" s="1"/>
  <c r="G62" i="13" s="1"/>
  <c r="F56" i="6" a="1"/>
  <c r="F56" i="6" s="1"/>
  <c r="G154" i="13" s="1"/>
  <c r="F61" i="6" a="1"/>
  <c r="F61" i="6" s="1"/>
  <c r="G60" i="13" s="1"/>
  <c r="F44" i="6" a="1"/>
  <c r="F44" i="6" s="1"/>
  <c r="G59" i="13" s="1"/>
  <c r="F58" i="6" a="1"/>
  <c r="F58" i="6" s="1"/>
  <c r="G41" i="13" s="1"/>
  <c r="F43" i="6" a="1"/>
  <c r="F43" i="6" s="1"/>
  <c r="G21" i="13" s="1"/>
  <c r="F59" i="6" a="1"/>
  <c r="F59" i="6" s="1"/>
  <c r="G43" i="13" s="1"/>
  <c r="F52" i="6" a="1"/>
  <c r="F52" i="6" s="1"/>
  <c r="G155" i="13" s="1"/>
  <c r="F63" i="6" a="1"/>
  <c r="F63" i="6" s="1"/>
  <c r="G158" i="13" s="1"/>
  <c r="AR61" i="7"/>
  <c r="AE61" i="7"/>
  <c r="BA61" i="7" s="1"/>
  <c r="AC61" i="7"/>
  <c r="AZ61" i="7" s="1"/>
  <c r="AA61" i="7"/>
  <c r="Y61" i="7"/>
  <c r="AY61" i="7" s="1"/>
  <c r="W61" i="7"/>
  <c r="AX61" i="7" s="1"/>
  <c r="U61" i="7"/>
  <c r="AW61" i="7" s="1"/>
  <c r="AV61" i="7"/>
  <c r="AU61" i="7"/>
  <c r="O61" i="7"/>
  <c r="AT61" i="7" s="1"/>
  <c r="AD248" i="15" l="1"/>
  <c r="AB248" i="15"/>
  <c r="AC248" i="15" s="1"/>
  <c r="AB249" i="15"/>
  <c r="AC249" i="15" s="1"/>
  <c r="AD249" i="15"/>
  <c r="AE249" i="15" s="1"/>
  <c r="AD240" i="15"/>
  <c r="AE240" i="15" s="1"/>
  <c r="AB240" i="15"/>
  <c r="AC240" i="15" s="1"/>
  <c r="AD241" i="15"/>
  <c r="AE241" i="15" s="1"/>
  <c r="AB241" i="15"/>
  <c r="AC241" i="15" s="1"/>
  <c r="AD239" i="15"/>
  <c r="AE239" i="15" s="1"/>
  <c r="AB239" i="15"/>
  <c r="AC239" i="15" s="1"/>
  <c r="AD238" i="15"/>
  <c r="AE238" i="15" s="1"/>
  <c r="AB238" i="15"/>
  <c r="AC238" i="15" s="1"/>
  <c r="AD235" i="15"/>
  <c r="AB235" i="15"/>
  <c r="G248" i="15"/>
  <c r="H248" i="15" s="1"/>
  <c r="AA248" i="15"/>
  <c r="G235" i="15"/>
  <c r="H235" i="15" s="1"/>
  <c r="AA235" i="15"/>
  <c r="G249" i="15"/>
  <c r="H249" i="15" s="1"/>
  <c r="AA249" i="15"/>
  <c r="G238" i="15"/>
  <c r="H238" i="15" s="1"/>
  <c r="AA238" i="15"/>
  <c r="G239" i="15"/>
  <c r="H239" i="15" s="1"/>
  <c r="AA239" i="15"/>
  <c r="G240" i="15"/>
  <c r="H240" i="15" s="1"/>
  <c r="AA240" i="15"/>
  <c r="G241" i="15"/>
  <c r="H241" i="15" s="1"/>
  <c r="AA241" i="15"/>
  <c r="BD34" i="8"/>
  <c r="K255" i="20" s="1"/>
  <c r="E248" i="20" a="1"/>
  <c r="E248" i="20" s="1"/>
  <c r="E240" i="20" a="1"/>
  <c r="E240" i="20" s="1"/>
  <c r="E238" i="20" a="1"/>
  <c r="E238" i="20" s="1"/>
  <c r="E239" i="20" a="1"/>
  <c r="E239" i="20" s="1"/>
  <c r="E264" i="20" a="1"/>
  <c r="E264" i="20" s="1"/>
  <c r="E234" i="20" a="1"/>
  <c r="E234" i="20" s="1"/>
  <c r="E265" i="20" a="1"/>
  <c r="E265" i="20" s="1"/>
  <c r="E241" i="20" a="1"/>
  <c r="E241" i="20" s="1"/>
  <c r="E249" i="20" a="1"/>
  <c r="E249" i="20" s="1"/>
  <c r="E235" i="20" a="1"/>
  <c r="E235" i="20" s="1"/>
  <c r="K234" i="15"/>
  <c r="G234" i="15"/>
  <c r="H234" i="15" s="1"/>
  <c r="I235" i="15"/>
  <c r="J235" i="15" s="1"/>
  <c r="I248" i="15"/>
  <c r="J248" i="15" s="1"/>
  <c r="I249" i="15"/>
  <c r="J249" i="15" s="1"/>
  <c r="I238" i="15"/>
  <c r="J238" i="15" s="1"/>
  <c r="I239" i="15"/>
  <c r="J239" i="15" s="1"/>
  <c r="I240" i="15"/>
  <c r="J240" i="15" s="1"/>
  <c r="I241" i="15"/>
  <c r="J241" i="15" s="1"/>
  <c r="I234" i="15"/>
  <c r="J234" i="15" s="1"/>
  <c r="BD65" i="7"/>
  <c r="AS61" i="7"/>
  <c r="BB61" i="7" s="1"/>
  <c r="BF61" i="7" s="1"/>
  <c r="BG61" i="7" s="1"/>
  <c r="BH61" i="7"/>
  <c r="BE61" i="7" s="1"/>
  <c r="K47" i="6" a="1"/>
  <c r="K47" i="6" s="1"/>
  <c r="G47" i="6" s="1"/>
  <c r="B47" i="6"/>
  <c r="C47" i="6"/>
  <c r="D47" i="6"/>
  <c r="E47" i="6"/>
  <c r="BC65" i="7"/>
  <c r="BC74" i="7"/>
  <c r="BC75" i="7"/>
  <c r="D53" i="6"/>
  <c r="E62" i="6"/>
  <c r="E55" i="6"/>
  <c r="B48" i="6"/>
  <c r="B45" i="6"/>
  <c r="C49" i="6"/>
  <c r="D49" i="6"/>
  <c r="E49" i="6"/>
  <c r="K49" i="6" a="1"/>
  <c r="K49" i="6" s="1"/>
  <c r="B49" i="6"/>
  <c r="D48" i="6"/>
  <c r="C48" i="6"/>
  <c r="K48" i="6" a="1"/>
  <c r="K48" i="6" s="1"/>
  <c r="E48" i="6"/>
  <c r="C62" i="6"/>
  <c r="K62" i="6" a="1"/>
  <c r="K62" i="6" s="1"/>
  <c r="C55" i="6"/>
  <c r="B55" i="6"/>
  <c r="C45" i="6"/>
  <c r="E45" i="6"/>
  <c r="K55" i="6" a="1"/>
  <c r="K55" i="6" s="1"/>
  <c r="B62" i="6"/>
  <c r="D45" i="6"/>
  <c r="D55" i="6"/>
  <c r="K45" i="6" a="1"/>
  <c r="K45" i="6" s="1"/>
  <c r="D62" i="6"/>
  <c r="E53" i="6"/>
  <c r="K53" i="6" a="1"/>
  <c r="K53" i="6" s="1"/>
  <c r="C53" i="6"/>
  <c r="B53" i="6"/>
  <c r="B58" i="6"/>
  <c r="E58" i="6"/>
  <c r="C58" i="6"/>
  <c r="K58" i="6" a="1"/>
  <c r="K58" i="6" s="1"/>
  <c r="D58" i="6"/>
  <c r="B44" i="6"/>
  <c r="E44" i="6"/>
  <c r="C44" i="6"/>
  <c r="K44" i="6" a="1"/>
  <c r="K44" i="6" s="1"/>
  <c r="D44" i="6"/>
  <c r="B52" i="6"/>
  <c r="E52" i="6"/>
  <c r="C52" i="6"/>
  <c r="D52" i="6"/>
  <c r="K52" i="6" a="1"/>
  <c r="K52" i="6" s="1"/>
  <c r="B61" i="6"/>
  <c r="E61" i="6"/>
  <c r="K61" i="6" a="1"/>
  <c r="K61" i="6" s="1"/>
  <c r="D61" i="6"/>
  <c r="C61" i="6"/>
  <c r="B51" i="6"/>
  <c r="E51" i="6"/>
  <c r="D51" i="6"/>
  <c r="C51" i="6"/>
  <c r="K51" i="6" a="1"/>
  <c r="K51" i="6" s="1"/>
  <c r="B56" i="6"/>
  <c r="E56" i="6"/>
  <c r="K56" i="6" a="1"/>
  <c r="K56" i="6" s="1"/>
  <c r="D56" i="6"/>
  <c r="C56" i="6"/>
  <c r="B46" i="6"/>
  <c r="E46" i="6"/>
  <c r="C46" i="6"/>
  <c r="K46" i="6" a="1"/>
  <c r="K46" i="6" s="1"/>
  <c r="D46" i="6"/>
  <c r="D63" i="6"/>
  <c r="E63" i="6"/>
  <c r="B63" i="6"/>
  <c r="C63" i="6"/>
  <c r="B59" i="6"/>
  <c r="E59" i="6"/>
  <c r="K59" i="6" a="1"/>
  <c r="K59" i="6" s="1"/>
  <c r="D59" i="6"/>
  <c r="C59" i="6"/>
  <c r="K63" i="6" a="1"/>
  <c r="K63" i="6" s="1"/>
  <c r="B43" i="6"/>
  <c r="E43" i="6"/>
  <c r="K43" i="6" a="1"/>
  <c r="K43" i="6" s="1"/>
  <c r="D43" i="6"/>
  <c r="C43" i="6"/>
  <c r="AR56" i="7"/>
  <c r="AE56" i="7"/>
  <c r="BA56" i="7" s="1"/>
  <c r="AC56" i="7"/>
  <c r="AZ56" i="7" s="1"/>
  <c r="AA56" i="7"/>
  <c r="Y56" i="7"/>
  <c r="AY56" i="7" s="1"/>
  <c r="W56" i="7"/>
  <c r="AX56" i="7" s="1"/>
  <c r="U56" i="7"/>
  <c r="AW56" i="7" s="1"/>
  <c r="AV56" i="7"/>
  <c r="AU56" i="7"/>
  <c r="O56" i="7"/>
  <c r="AT56" i="7" s="1"/>
  <c r="AR55" i="7"/>
  <c r="AE55" i="7"/>
  <c r="BA55" i="7" s="1"/>
  <c r="AC55" i="7"/>
  <c r="AZ55" i="7" s="1"/>
  <c r="AA55" i="7"/>
  <c r="Y55" i="7"/>
  <c r="AY55" i="7" s="1"/>
  <c r="W55" i="7"/>
  <c r="AX55" i="7" s="1"/>
  <c r="U55" i="7"/>
  <c r="AW55" i="7" s="1"/>
  <c r="AV55" i="7"/>
  <c r="AU55" i="7"/>
  <c r="O55" i="7"/>
  <c r="AT55" i="7" s="1"/>
  <c r="AR53" i="7"/>
  <c r="AE53" i="7"/>
  <c r="BA53" i="7" s="1"/>
  <c r="AC53" i="7"/>
  <c r="AZ53" i="7" s="1"/>
  <c r="AA53" i="7"/>
  <c r="Y53" i="7"/>
  <c r="AY53" i="7" s="1"/>
  <c r="W53" i="7"/>
  <c r="AX53" i="7" s="1"/>
  <c r="U53" i="7"/>
  <c r="AW53" i="7" s="1"/>
  <c r="AV53" i="7"/>
  <c r="AU53" i="7"/>
  <c r="O53" i="7"/>
  <c r="AT53" i="7" s="1"/>
  <c r="AR51" i="7"/>
  <c r="AE51" i="7"/>
  <c r="BA51" i="7" s="1"/>
  <c r="AC51" i="7"/>
  <c r="AZ51" i="7" s="1"/>
  <c r="AA51" i="7"/>
  <c r="Y51" i="7"/>
  <c r="AY51" i="7" s="1"/>
  <c r="W51" i="7"/>
  <c r="AX51" i="7" s="1"/>
  <c r="U51" i="7"/>
  <c r="AW51" i="7" s="1"/>
  <c r="AV51" i="7"/>
  <c r="AU51" i="7"/>
  <c r="O51" i="7"/>
  <c r="AT51" i="7" s="1"/>
  <c r="AR50" i="7"/>
  <c r="AE50" i="7"/>
  <c r="BA50" i="7" s="1"/>
  <c r="AC50" i="7"/>
  <c r="AZ50" i="7" s="1"/>
  <c r="AA50" i="7"/>
  <c r="Y50" i="7"/>
  <c r="AY50" i="7" s="1"/>
  <c r="W50" i="7"/>
  <c r="AX50" i="7" s="1"/>
  <c r="U50" i="7"/>
  <c r="AW50" i="7" s="1"/>
  <c r="AV50" i="7"/>
  <c r="AU50" i="7"/>
  <c r="O50" i="7"/>
  <c r="AT50" i="7" s="1"/>
  <c r="AR49" i="7"/>
  <c r="AE49" i="7"/>
  <c r="BA49" i="7" s="1"/>
  <c r="AC49" i="7"/>
  <c r="AZ49" i="7" s="1"/>
  <c r="AA49" i="7"/>
  <c r="Y49" i="7"/>
  <c r="AY49" i="7" s="1"/>
  <c r="W49" i="7"/>
  <c r="AX49" i="7" s="1"/>
  <c r="U49" i="7"/>
  <c r="AW49" i="7" s="1"/>
  <c r="AV49" i="7"/>
  <c r="AU49" i="7"/>
  <c r="O49" i="7"/>
  <c r="AT49" i="7" s="1"/>
  <c r="AR48" i="7"/>
  <c r="AE48" i="7"/>
  <c r="BA48" i="7" s="1"/>
  <c r="AC48" i="7"/>
  <c r="AZ48" i="7" s="1"/>
  <c r="AA48" i="7"/>
  <c r="Y48" i="7"/>
  <c r="AY48" i="7" s="1"/>
  <c r="W48" i="7"/>
  <c r="AX48" i="7" s="1"/>
  <c r="U48" i="7"/>
  <c r="AW48" i="7" s="1"/>
  <c r="AV48" i="7"/>
  <c r="AR46" i="7"/>
  <c r="AE46" i="7"/>
  <c r="BA46" i="7" s="1"/>
  <c r="AC46" i="7"/>
  <c r="AZ46" i="7" s="1"/>
  <c r="AA46" i="7"/>
  <c r="Y46" i="7"/>
  <c r="AY46" i="7" s="1"/>
  <c r="W46" i="7"/>
  <c r="AX46" i="7" s="1"/>
  <c r="U46" i="7"/>
  <c r="AW46" i="7" s="1"/>
  <c r="AV46" i="7"/>
  <c r="AU46" i="7"/>
  <c r="O46" i="7"/>
  <c r="AT46" i="7" s="1"/>
  <c r="AR45" i="7"/>
  <c r="AE45" i="7"/>
  <c r="BA45" i="7" s="1"/>
  <c r="AC45" i="7"/>
  <c r="AZ45" i="7" s="1"/>
  <c r="AA45" i="7"/>
  <c r="Y45" i="7"/>
  <c r="AY45" i="7" s="1"/>
  <c r="W45" i="7"/>
  <c r="AX45" i="7" s="1"/>
  <c r="U45" i="7"/>
  <c r="AW45" i="7" s="1"/>
  <c r="AV45" i="7"/>
  <c r="AU45" i="7"/>
  <c r="O45" i="7"/>
  <c r="AT45" i="7" s="1"/>
  <c r="AR43" i="7"/>
  <c r="AE43" i="7"/>
  <c r="BA43" i="7" s="1"/>
  <c r="AC43" i="7"/>
  <c r="AZ43" i="7" s="1"/>
  <c r="AA43" i="7"/>
  <c r="Y43" i="7"/>
  <c r="AY43" i="7" s="1"/>
  <c r="W43" i="7"/>
  <c r="AX43" i="7" s="1"/>
  <c r="U43" i="7"/>
  <c r="AW43" i="7" s="1"/>
  <c r="AV43" i="7"/>
  <c r="AU43" i="7"/>
  <c r="O43" i="7"/>
  <c r="AT43" i="7" s="1"/>
  <c r="AB242" i="15" l="1"/>
  <c r="AO21" i="15" s="1"/>
  <c r="AC235" i="15"/>
  <c r="AC242" i="15" s="1"/>
  <c r="AR21" i="15" s="1"/>
  <c r="AE235" i="15"/>
  <c r="AE242" i="15" s="1"/>
  <c r="AS21" i="15" s="1"/>
  <c r="AD242" i="15"/>
  <c r="AP21" i="15" s="1"/>
  <c r="AC250" i="15"/>
  <c r="AR22" i="15" s="1"/>
  <c r="AE248" i="15"/>
  <c r="AE250" i="15" s="1"/>
  <c r="AS22" i="15" s="1"/>
  <c r="AD250" i="15"/>
  <c r="AP22" i="15" s="1"/>
  <c r="AB250" i="15"/>
  <c r="AO22" i="15" s="1"/>
  <c r="K265" i="15"/>
  <c r="K241" i="15"/>
  <c r="K264" i="15"/>
  <c r="K240" i="15"/>
  <c r="K265" i="20"/>
  <c r="K239" i="15"/>
  <c r="K238" i="15"/>
  <c r="K264" i="20"/>
  <c r="K249" i="15"/>
  <c r="K248" i="15"/>
  <c r="K235" i="15"/>
  <c r="K255" i="15"/>
  <c r="K235" i="20"/>
  <c r="I235" i="20"/>
  <c r="J235" i="20" s="1"/>
  <c r="G235" i="20"/>
  <c r="H235" i="20" s="1"/>
  <c r="G249" i="20"/>
  <c r="H249" i="20" s="1"/>
  <c r="K249" i="20"/>
  <c r="I249" i="20"/>
  <c r="J249" i="20" s="1"/>
  <c r="G241" i="20"/>
  <c r="H241" i="20" s="1"/>
  <c r="I241" i="20"/>
  <c r="J241" i="20" s="1"/>
  <c r="K241" i="20"/>
  <c r="I234" i="20"/>
  <c r="J234" i="20" s="1"/>
  <c r="G234" i="20"/>
  <c r="H234" i="20" s="1"/>
  <c r="K234" i="20"/>
  <c r="K239" i="20"/>
  <c r="I239" i="20"/>
  <c r="J239" i="20" s="1"/>
  <c r="G239" i="20"/>
  <c r="H239" i="20" s="1"/>
  <c r="I238" i="20"/>
  <c r="J238" i="20" s="1"/>
  <c r="K238" i="20"/>
  <c r="G238" i="20"/>
  <c r="H238" i="20" s="1"/>
  <c r="K240" i="20"/>
  <c r="G240" i="20"/>
  <c r="H240" i="20" s="1"/>
  <c r="I240" i="20"/>
  <c r="J240" i="20" s="1"/>
  <c r="K248" i="20"/>
  <c r="I248" i="20"/>
  <c r="J248" i="20" s="1"/>
  <c r="G248" i="20"/>
  <c r="H248" i="20" s="1"/>
  <c r="BD61" i="7"/>
  <c r="AS46" i="7"/>
  <c r="BB46" i="7" s="1"/>
  <c r="BF46" i="7" s="1"/>
  <c r="BH46" i="7"/>
  <c r="BE46" i="7" s="1"/>
  <c r="AS53" i="7"/>
  <c r="BB53" i="7" s="1"/>
  <c r="BF53" i="7" s="1"/>
  <c r="BG53" i="7" s="1"/>
  <c r="BH53" i="7"/>
  <c r="BE53" i="7" s="1"/>
  <c r="AS45" i="7"/>
  <c r="BB45" i="7" s="1"/>
  <c r="BF45" i="7" s="1"/>
  <c r="BG45" i="7" s="1"/>
  <c r="BH45" i="7"/>
  <c r="BE45" i="7" s="1"/>
  <c r="AS49" i="7"/>
  <c r="BB49" i="7" s="1"/>
  <c r="BF49" i="7" s="1"/>
  <c r="BG49" i="7" s="1"/>
  <c r="BH49" i="7"/>
  <c r="BE49" i="7" s="1"/>
  <c r="AS48" i="7"/>
  <c r="BB48" i="7" s="1"/>
  <c r="BF48" i="7" s="1"/>
  <c r="BG48" i="7" s="1"/>
  <c r="BH48" i="7"/>
  <c r="BE48" i="7" s="1"/>
  <c r="AS56" i="7"/>
  <c r="BB56" i="7" s="1"/>
  <c r="BF56" i="7" s="1"/>
  <c r="BG56" i="7" s="1"/>
  <c r="BH56" i="7"/>
  <c r="BE56" i="7" s="1"/>
  <c r="AS51" i="7"/>
  <c r="BB51" i="7" s="1"/>
  <c r="BF51" i="7" s="1"/>
  <c r="BG51" i="7" s="1"/>
  <c r="BH51" i="7"/>
  <c r="BE51" i="7" s="1"/>
  <c r="AS55" i="7"/>
  <c r="BB55" i="7" s="1"/>
  <c r="BF55" i="7" s="1"/>
  <c r="BG55" i="7" s="1"/>
  <c r="BH55" i="7"/>
  <c r="BE55" i="7" s="1"/>
  <c r="AS43" i="7"/>
  <c r="BB43" i="7" s="1"/>
  <c r="BF43" i="7" s="1"/>
  <c r="BG43" i="7" s="1"/>
  <c r="BH43" i="7"/>
  <c r="BE43" i="7" s="1"/>
  <c r="AS50" i="7"/>
  <c r="BB50" i="7" s="1"/>
  <c r="BF50" i="7" s="1"/>
  <c r="BG50" i="7" s="1"/>
  <c r="BH50" i="7"/>
  <c r="BE50" i="7" s="1"/>
  <c r="J47" i="6"/>
  <c r="I47" i="6"/>
  <c r="H47" i="6"/>
  <c r="BC61" i="7"/>
  <c r="I55" i="6"/>
  <c r="G45" i="6"/>
  <c r="I49" i="6"/>
  <c r="H53" i="6"/>
  <c r="G48" i="6"/>
  <c r="H62" i="6"/>
  <c r="G49" i="6"/>
  <c r="H49" i="6"/>
  <c r="J49" i="6"/>
  <c r="H48" i="6"/>
  <c r="J48" i="6"/>
  <c r="I62" i="6"/>
  <c r="I48" i="6"/>
  <c r="J55" i="6"/>
  <c r="I53" i="6"/>
  <c r="J62" i="6"/>
  <c r="G62" i="6"/>
  <c r="H55" i="6"/>
  <c r="G55" i="6"/>
  <c r="J45" i="6"/>
  <c r="G53" i="6"/>
  <c r="J53" i="6"/>
  <c r="H45" i="6"/>
  <c r="I45" i="6"/>
  <c r="J59" i="6"/>
  <c r="G59" i="6"/>
  <c r="H59" i="6"/>
  <c r="I59" i="6"/>
  <c r="I63" i="6"/>
  <c r="J63" i="6"/>
  <c r="G63" i="6"/>
  <c r="H63" i="6"/>
  <c r="I51" i="6"/>
  <c r="J51" i="6"/>
  <c r="G51" i="6"/>
  <c r="H51" i="6"/>
  <c r="H61" i="6"/>
  <c r="I61" i="6"/>
  <c r="J61" i="6"/>
  <c r="G61" i="6"/>
  <c r="J58" i="6"/>
  <c r="G58" i="6"/>
  <c r="H58" i="6"/>
  <c r="I58" i="6"/>
  <c r="I46" i="6"/>
  <c r="J46" i="6"/>
  <c r="H46" i="6"/>
  <c r="G46" i="6"/>
  <c r="J52" i="6"/>
  <c r="H52" i="6"/>
  <c r="G52" i="6"/>
  <c r="I52" i="6"/>
  <c r="I43" i="6"/>
  <c r="J43" i="6"/>
  <c r="G43" i="6"/>
  <c r="H43" i="6"/>
  <c r="I56" i="6"/>
  <c r="G56" i="6"/>
  <c r="H56" i="6"/>
  <c r="J56" i="6"/>
  <c r="I44" i="6"/>
  <c r="J44" i="6"/>
  <c r="H44" i="6"/>
  <c r="G44" i="6"/>
  <c r="AR36" i="7"/>
  <c r="AE36" i="7"/>
  <c r="BA36" i="7" s="1"/>
  <c r="AC36" i="7"/>
  <c r="AZ36" i="7" s="1"/>
  <c r="AA36" i="7"/>
  <c r="Y36" i="7"/>
  <c r="AY36" i="7" s="1"/>
  <c r="W36" i="7"/>
  <c r="AX36" i="7" s="1"/>
  <c r="U36" i="7"/>
  <c r="AW36" i="7" s="1"/>
  <c r="AV36" i="7"/>
  <c r="AU36" i="7"/>
  <c r="O36" i="7"/>
  <c r="AT36" i="7" s="1"/>
  <c r="AT22" i="15" l="1"/>
  <c r="AQ22" i="15"/>
  <c r="AT21" i="15"/>
  <c r="AQ21" i="15"/>
  <c r="BG46" i="7"/>
  <c r="BD46" i="7" s="1"/>
  <c r="BD53" i="7"/>
  <c r="BD56" i="7"/>
  <c r="BD50" i="7"/>
  <c r="BD48" i="7"/>
  <c r="BD45" i="7"/>
  <c r="BD55" i="7"/>
  <c r="BD49" i="7"/>
  <c r="BD43" i="7"/>
  <c r="BD51" i="7"/>
  <c r="AS36" i="7"/>
  <c r="BB36" i="7" s="1"/>
  <c r="BF36" i="7" s="1"/>
  <c r="BH36" i="7"/>
  <c r="BE36" i="7" s="1"/>
  <c r="BC56" i="7"/>
  <c r="BC45" i="7"/>
  <c r="BC55" i="7"/>
  <c r="BC43" i="7"/>
  <c r="BC48" i="7"/>
  <c r="BC51" i="7"/>
  <c r="BC53" i="7"/>
  <c r="BC49" i="7"/>
  <c r="BC50" i="7"/>
  <c r="BC46" i="7"/>
  <c r="AR35" i="7"/>
  <c r="AE35" i="7"/>
  <c r="BA35" i="7" s="1"/>
  <c r="AC35" i="7"/>
  <c r="AZ35" i="7" s="1"/>
  <c r="AA35" i="7"/>
  <c r="Y35" i="7"/>
  <c r="AY35" i="7" s="1"/>
  <c r="W35" i="7"/>
  <c r="AX35" i="7" s="1"/>
  <c r="U35" i="7"/>
  <c r="AW35" i="7" s="1"/>
  <c r="AV35" i="7"/>
  <c r="AU35" i="7"/>
  <c r="O35" i="7"/>
  <c r="AT35" i="7" s="1"/>
  <c r="AR33" i="7"/>
  <c r="AE33" i="7"/>
  <c r="BA33" i="7" s="1"/>
  <c r="AC33" i="7"/>
  <c r="AZ33" i="7" s="1"/>
  <c r="AA33" i="7"/>
  <c r="Y33" i="7"/>
  <c r="AY33" i="7" s="1"/>
  <c r="W33" i="7"/>
  <c r="AX33" i="7" s="1"/>
  <c r="U33" i="7"/>
  <c r="AW33" i="7" s="1"/>
  <c r="AV33" i="7"/>
  <c r="AU33" i="7"/>
  <c r="O33" i="7"/>
  <c r="AT33" i="7" s="1"/>
  <c r="O31" i="7"/>
  <c r="AT31" i="7" s="1"/>
  <c r="AU31" i="7"/>
  <c r="AV31" i="7"/>
  <c r="U31" i="7"/>
  <c r="AW31" i="7" s="1"/>
  <c r="W31" i="7"/>
  <c r="AX31" i="7" s="1"/>
  <c r="Y31" i="7"/>
  <c r="AY31" i="7" s="1"/>
  <c r="AA31" i="7"/>
  <c r="AC31" i="7"/>
  <c r="AZ31" i="7" s="1"/>
  <c r="AE31" i="7"/>
  <c r="BA31" i="7" s="1"/>
  <c r="AR31" i="7"/>
  <c r="AR28" i="7"/>
  <c r="O28" i="7"/>
  <c r="AT28" i="7" s="1"/>
  <c r="AU28" i="7"/>
  <c r="AV28" i="7"/>
  <c r="U28" i="7"/>
  <c r="AW28" i="7" s="1"/>
  <c r="W28" i="7"/>
  <c r="AX28" i="7" s="1"/>
  <c r="Y28" i="7"/>
  <c r="AY28" i="7" s="1"/>
  <c r="AA28" i="7"/>
  <c r="AC28" i="7"/>
  <c r="AZ28" i="7" s="1"/>
  <c r="AE28" i="7"/>
  <c r="BA28" i="7" s="1"/>
  <c r="O32" i="7"/>
  <c r="AT32" i="7" s="1"/>
  <c r="O5" i="7"/>
  <c r="AT5" i="7" s="1"/>
  <c r="O6" i="7"/>
  <c r="AT6" i="7" s="1"/>
  <c r="O7" i="7"/>
  <c r="AT7" i="7" s="1"/>
  <c r="O8" i="7"/>
  <c r="AT8" i="7" s="1"/>
  <c r="O9" i="7"/>
  <c r="AT9" i="7" s="1"/>
  <c r="O10" i="7"/>
  <c r="AT10" i="7" s="1"/>
  <c r="O11" i="7"/>
  <c r="AT11" i="7" s="1"/>
  <c r="O12" i="7"/>
  <c r="O13" i="7"/>
  <c r="AT13" i="7" s="1"/>
  <c r="O14" i="7"/>
  <c r="AT14" i="7" s="1"/>
  <c r="O15" i="7"/>
  <c r="AT15" i="7" s="1"/>
  <c r="O16" i="7"/>
  <c r="AT16" i="7" s="1"/>
  <c r="O17" i="7"/>
  <c r="O18" i="7"/>
  <c r="AT18" i="7" s="1"/>
  <c r="O19" i="7"/>
  <c r="AT19" i="7" s="1"/>
  <c r="O20" i="7"/>
  <c r="AT20" i="7" s="1"/>
  <c r="O21" i="7"/>
  <c r="AT21" i="7" s="1"/>
  <c r="O23" i="7"/>
  <c r="AT23" i="7" s="1"/>
  <c r="O24" i="7"/>
  <c r="AT24" i="7" s="1"/>
  <c r="O25" i="7"/>
  <c r="AT25" i="7" s="1"/>
  <c r="O26" i="7"/>
  <c r="AT26" i="7" s="1"/>
  <c r="O27" i="7"/>
  <c r="AT27" i="7" s="1"/>
  <c r="O30" i="7"/>
  <c r="AT30" i="7" s="1"/>
  <c r="O34" i="7"/>
  <c r="AT34" i="7" s="1"/>
  <c r="O37" i="7"/>
  <c r="AT37" i="7" s="1"/>
  <c r="O38" i="7"/>
  <c r="AT38" i="7" s="1"/>
  <c r="O40" i="7"/>
  <c r="O39" i="7"/>
  <c r="O41" i="7"/>
  <c r="AT41" i="7" s="1"/>
  <c r="O42" i="7"/>
  <c r="AT42" i="7" s="1"/>
  <c r="O44" i="7"/>
  <c r="AT44" i="7" s="1"/>
  <c r="O47" i="7"/>
  <c r="AT47" i="7" s="1"/>
  <c r="O52" i="7"/>
  <c r="AT52" i="7" s="1"/>
  <c r="O54" i="7"/>
  <c r="AT54" i="7" s="1"/>
  <c r="O57" i="7"/>
  <c r="AT57" i="7" s="1"/>
  <c r="O58" i="7"/>
  <c r="AT58" i="7" s="1"/>
  <c r="O59" i="7"/>
  <c r="AT59" i="7" s="1"/>
  <c r="O60" i="7"/>
  <c r="AT60" i="7" s="1"/>
  <c r="O62" i="7"/>
  <c r="AT62" i="7" s="1"/>
  <c r="O63" i="7"/>
  <c r="AT63" i="7" s="1"/>
  <c r="O64" i="7"/>
  <c r="AT64" i="7" s="1"/>
  <c r="O66" i="7"/>
  <c r="AT66" i="7" s="1"/>
  <c r="O67" i="7"/>
  <c r="O68" i="7"/>
  <c r="O70" i="7"/>
  <c r="AT70" i="7" s="1"/>
  <c r="O72" i="7"/>
  <c r="AT72" i="7" s="1"/>
  <c r="O73" i="7"/>
  <c r="AT73" i="7" s="1"/>
  <c r="O95" i="7"/>
  <c r="AT95" i="7" s="1"/>
  <c r="O97" i="7"/>
  <c r="AT97" i="7" s="1"/>
  <c r="BG36" i="7" l="1"/>
  <c r="BD36" i="7" s="1"/>
  <c r="AS35" i="7"/>
  <c r="BB35" i="7" s="1"/>
  <c r="BF35" i="7" s="1"/>
  <c r="BG35" i="7" s="1"/>
  <c r="BH35" i="7"/>
  <c r="BE35" i="7" s="1"/>
  <c r="AS28" i="7"/>
  <c r="BB28" i="7" s="1"/>
  <c r="BF28" i="7" s="1"/>
  <c r="BG28" i="7" s="1"/>
  <c r="BH28" i="7"/>
  <c r="BE28" i="7" s="1"/>
  <c r="AS31" i="7"/>
  <c r="BB31" i="7" s="1"/>
  <c r="BF31" i="7" s="1"/>
  <c r="BG31" i="7" s="1"/>
  <c r="BH31" i="7"/>
  <c r="BE31" i="7" s="1"/>
  <c r="AS33" i="7"/>
  <c r="BB33" i="7" s="1"/>
  <c r="BF33" i="7" s="1"/>
  <c r="BG33" i="7" s="1"/>
  <c r="BH33" i="7"/>
  <c r="BE33" i="7" s="1"/>
  <c r="BC36" i="7"/>
  <c r="O29" i="7"/>
  <c r="AT29" i="7" s="1"/>
  <c r="BD33" i="7" l="1"/>
  <c r="BD35" i="7"/>
  <c r="BD31" i="7"/>
  <c r="BD28" i="7"/>
  <c r="BC33" i="7"/>
  <c r="BC28" i="7"/>
  <c r="BC35" i="7"/>
  <c r="BC31" i="7"/>
  <c r="AT176" i="8"/>
  <c r="AU5" i="7"/>
  <c r="AV5" i="7"/>
  <c r="U5" i="7"/>
  <c r="AW5" i="7" s="1"/>
  <c r="W5" i="7"/>
  <c r="AX5" i="7" s="1"/>
  <c r="Y5" i="7"/>
  <c r="AY5" i="7" s="1"/>
  <c r="AA5" i="7"/>
  <c r="AC5" i="7"/>
  <c r="AZ5" i="7" s="1"/>
  <c r="AE5" i="7"/>
  <c r="BA5" i="7" s="1"/>
  <c r="AR5" i="7"/>
  <c r="AU6" i="7"/>
  <c r="AV6" i="7"/>
  <c r="U6" i="7"/>
  <c r="AW6" i="7" s="1"/>
  <c r="W6" i="7"/>
  <c r="AX6" i="7" s="1"/>
  <c r="Y6" i="7"/>
  <c r="AY6" i="7" s="1"/>
  <c r="AA6" i="7"/>
  <c r="AC6" i="7"/>
  <c r="AZ6" i="7" s="1"/>
  <c r="AE6" i="7"/>
  <c r="BA6" i="7" s="1"/>
  <c r="AR6" i="7"/>
  <c r="AU7" i="7"/>
  <c r="AV7" i="7"/>
  <c r="U7" i="7"/>
  <c r="AW7" i="7" s="1"/>
  <c r="W7" i="7"/>
  <c r="AX7" i="7" s="1"/>
  <c r="Y7" i="7"/>
  <c r="AY7" i="7" s="1"/>
  <c r="AA7" i="7"/>
  <c r="AC7" i="7"/>
  <c r="AZ7" i="7" s="1"/>
  <c r="AE7" i="7"/>
  <c r="BA7" i="7" s="1"/>
  <c r="AR7" i="7"/>
  <c r="AU8" i="7"/>
  <c r="AV8" i="7"/>
  <c r="U8" i="7"/>
  <c r="AW8" i="7" s="1"/>
  <c r="W8" i="7"/>
  <c r="AX8" i="7" s="1"/>
  <c r="Y8" i="7"/>
  <c r="AY8" i="7" s="1"/>
  <c r="AA8" i="7"/>
  <c r="AC8" i="7"/>
  <c r="AZ8" i="7" s="1"/>
  <c r="AE8" i="7"/>
  <c r="BA8" i="7" s="1"/>
  <c r="AR8" i="7"/>
  <c r="AU9" i="7"/>
  <c r="AV9" i="7"/>
  <c r="U9" i="7"/>
  <c r="AW9" i="7" s="1"/>
  <c r="W9" i="7"/>
  <c r="AX9" i="7" s="1"/>
  <c r="Y9" i="7"/>
  <c r="AY9" i="7" s="1"/>
  <c r="AA9" i="7"/>
  <c r="AC9" i="7"/>
  <c r="AZ9" i="7" s="1"/>
  <c r="AE9" i="7"/>
  <c r="BA9" i="7" s="1"/>
  <c r="AR9" i="7"/>
  <c r="AU10" i="7"/>
  <c r="AV10" i="7"/>
  <c r="U10" i="7"/>
  <c r="AW10" i="7" s="1"/>
  <c r="W10" i="7"/>
  <c r="AX10" i="7" s="1"/>
  <c r="Y10" i="7"/>
  <c r="AY10" i="7" s="1"/>
  <c r="AA10" i="7"/>
  <c r="AC10" i="7"/>
  <c r="AZ10" i="7" s="1"/>
  <c r="AE10" i="7"/>
  <c r="BA10" i="7" s="1"/>
  <c r="AR10" i="7"/>
  <c r="AU11" i="7"/>
  <c r="AV11" i="7"/>
  <c r="U11" i="7"/>
  <c r="AW11" i="7" s="1"/>
  <c r="W11" i="7"/>
  <c r="AX11" i="7" s="1"/>
  <c r="Y11" i="7"/>
  <c r="AY11" i="7" s="1"/>
  <c r="AA11" i="7"/>
  <c r="AC11" i="7"/>
  <c r="AZ11" i="7" s="1"/>
  <c r="AE11" i="7"/>
  <c r="BA11" i="7" s="1"/>
  <c r="AR11" i="7"/>
  <c r="U12" i="7"/>
  <c r="W12" i="7"/>
  <c r="Y12" i="7"/>
  <c r="AY12" i="7" s="1"/>
  <c r="AA12" i="7"/>
  <c r="AC12" i="7"/>
  <c r="AZ12" i="7" s="1"/>
  <c r="AE12" i="7"/>
  <c r="BA12" i="7" s="1"/>
  <c r="AR12" i="7"/>
  <c r="P13" i="7"/>
  <c r="Q13" i="7" s="1"/>
  <c r="U13" i="7"/>
  <c r="AW13" i="7" s="1"/>
  <c r="V13" i="7"/>
  <c r="W13" i="7" s="1"/>
  <c r="AX13" i="7" s="1"/>
  <c r="Y13" i="7"/>
  <c r="AY13" i="7" s="1"/>
  <c r="AA13" i="7"/>
  <c r="AC13" i="7"/>
  <c r="AZ13" i="7" s="1"/>
  <c r="AE13" i="7"/>
  <c r="BA13" i="7" s="1"/>
  <c r="AR13" i="7"/>
  <c r="AS13" i="7" s="1"/>
  <c r="BB13" i="7" s="1"/>
  <c r="P14" i="7"/>
  <c r="Q14" i="7" s="1"/>
  <c r="U14" i="7"/>
  <c r="AW14" i="7" s="1"/>
  <c r="V14" i="7"/>
  <c r="W14" i="7" s="1"/>
  <c r="AX14" i="7" s="1"/>
  <c r="Y14" i="7"/>
  <c r="AY14" i="7" s="1"/>
  <c r="AA14" i="7"/>
  <c r="AC14" i="7"/>
  <c r="AZ14" i="7" s="1"/>
  <c r="AE14" i="7"/>
  <c r="BA14" i="7" s="1"/>
  <c r="AR14" i="7"/>
  <c r="AS14" i="7" s="1"/>
  <c r="BB14" i="7" s="1"/>
  <c r="P15" i="7"/>
  <c r="Q15" i="7" s="1"/>
  <c r="U15" i="7"/>
  <c r="AW15" i="7" s="1"/>
  <c r="V15" i="7"/>
  <c r="W15" i="7" s="1"/>
  <c r="AX15" i="7" s="1"/>
  <c r="Y15" i="7"/>
  <c r="AY15" i="7" s="1"/>
  <c r="AA15" i="7"/>
  <c r="AC15" i="7"/>
  <c r="AZ15" i="7" s="1"/>
  <c r="AE15" i="7"/>
  <c r="BA15" i="7" s="1"/>
  <c r="AR15" i="7"/>
  <c r="AS15" i="7" s="1"/>
  <c r="BB15" i="7" s="1"/>
  <c r="P16" i="7"/>
  <c r="Q16" i="7" s="1"/>
  <c r="U16" i="7"/>
  <c r="AW16" i="7" s="1"/>
  <c r="V16" i="7"/>
  <c r="W16" i="7" s="1"/>
  <c r="AX16" i="7" s="1"/>
  <c r="Y16" i="7"/>
  <c r="AY16" i="7" s="1"/>
  <c r="AA16" i="7"/>
  <c r="AC16" i="7"/>
  <c r="AZ16" i="7" s="1"/>
  <c r="AE16" i="7"/>
  <c r="BA16" i="7" s="1"/>
  <c r="AR16" i="7"/>
  <c r="AS16" i="7" s="1"/>
  <c r="BB16" i="7" s="1"/>
  <c r="U17" i="7"/>
  <c r="W17" i="7"/>
  <c r="Y17" i="7"/>
  <c r="AY17" i="7" s="1"/>
  <c r="AA17" i="7"/>
  <c r="AC17" i="7"/>
  <c r="AZ17" i="7" s="1"/>
  <c r="AE17" i="7"/>
  <c r="BA17" i="7" s="1"/>
  <c r="AR17" i="7"/>
  <c r="P18" i="7"/>
  <c r="Q18" i="7" s="1"/>
  <c r="U18" i="7"/>
  <c r="AW18" i="7" s="1"/>
  <c r="V18" i="7"/>
  <c r="W18" i="7" s="1"/>
  <c r="AX18" i="7" s="1"/>
  <c r="Y18" i="7"/>
  <c r="AY18" i="7" s="1"/>
  <c r="AA18" i="7"/>
  <c r="AC18" i="7"/>
  <c r="AZ18" i="7" s="1"/>
  <c r="AE18" i="7"/>
  <c r="BA18" i="7" s="1"/>
  <c r="AR18" i="7"/>
  <c r="AS18" i="7" s="1"/>
  <c r="BB18" i="7" s="1"/>
  <c r="P19" i="7"/>
  <c r="Q19" i="7" s="1"/>
  <c r="U19" i="7"/>
  <c r="AW19" i="7" s="1"/>
  <c r="V19" i="7"/>
  <c r="W19" i="7" s="1"/>
  <c r="AX19" i="7" s="1"/>
  <c r="Y19" i="7"/>
  <c r="AY19" i="7" s="1"/>
  <c r="AA19" i="7"/>
  <c r="AC19" i="7"/>
  <c r="AZ19" i="7" s="1"/>
  <c r="AE19" i="7"/>
  <c r="BA19" i="7" s="1"/>
  <c r="AR19" i="7"/>
  <c r="AS19" i="7" s="1"/>
  <c r="BB19" i="7" s="1"/>
  <c r="P20" i="7"/>
  <c r="Q20" i="7" s="1"/>
  <c r="U20" i="7"/>
  <c r="AW20" i="7" s="1"/>
  <c r="V20" i="7"/>
  <c r="W20" i="7" s="1"/>
  <c r="AX20" i="7" s="1"/>
  <c r="Y20" i="7"/>
  <c r="AY20" i="7" s="1"/>
  <c r="AA20" i="7"/>
  <c r="AC20" i="7"/>
  <c r="AZ20" i="7" s="1"/>
  <c r="AE20" i="7"/>
  <c r="BA20" i="7" s="1"/>
  <c r="AR20" i="7"/>
  <c r="AS20" i="7" s="1"/>
  <c r="BB20" i="7" s="1"/>
  <c r="P21" i="7"/>
  <c r="Q21" i="7" s="1"/>
  <c r="U21" i="7"/>
  <c r="AW21" i="7" s="1"/>
  <c r="W21" i="7"/>
  <c r="AX21" i="7" s="1"/>
  <c r="Y21" i="7"/>
  <c r="AY21" i="7" s="1"/>
  <c r="AA21" i="7"/>
  <c r="AC21" i="7"/>
  <c r="AZ21" i="7" s="1"/>
  <c r="AE21" i="7"/>
  <c r="BA21" i="7" s="1"/>
  <c r="AR21" i="7"/>
  <c r="AS21" i="7" s="1"/>
  <c r="BB21" i="7" s="1"/>
  <c r="AU23" i="7"/>
  <c r="AV23" i="7"/>
  <c r="U23" i="7"/>
  <c r="AW23" i="7" s="1"/>
  <c r="W23" i="7"/>
  <c r="AX23" i="7" s="1"/>
  <c r="Y23" i="7"/>
  <c r="AY23" i="7" s="1"/>
  <c r="AA23" i="7"/>
  <c r="AC23" i="7"/>
  <c r="AZ23" i="7" s="1"/>
  <c r="AE23" i="7"/>
  <c r="BA23" i="7" s="1"/>
  <c r="AR23" i="7"/>
  <c r="AU24" i="7"/>
  <c r="AV24" i="7"/>
  <c r="U24" i="7"/>
  <c r="AW24" i="7" s="1"/>
  <c r="W24" i="7"/>
  <c r="AX24" i="7" s="1"/>
  <c r="Y24" i="7"/>
  <c r="AY24" i="7" s="1"/>
  <c r="AA24" i="7"/>
  <c r="AC24" i="7"/>
  <c r="AZ24" i="7" s="1"/>
  <c r="AE24" i="7"/>
  <c r="BA24" i="7" s="1"/>
  <c r="AR24" i="7"/>
  <c r="AU25" i="7"/>
  <c r="AV25" i="7"/>
  <c r="U25" i="7"/>
  <c r="AW25" i="7" s="1"/>
  <c r="W25" i="7"/>
  <c r="AX25" i="7" s="1"/>
  <c r="Y25" i="7"/>
  <c r="AY25" i="7" s="1"/>
  <c r="AA25" i="7"/>
  <c r="AC25" i="7"/>
  <c r="AZ25" i="7" s="1"/>
  <c r="AE25" i="7"/>
  <c r="BA25" i="7" s="1"/>
  <c r="AR25" i="7"/>
  <c r="AU26" i="7"/>
  <c r="AV26" i="7"/>
  <c r="U26" i="7"/>
  <c r="AW26" i="7" s="1"/>
  <c r="W26" i="7"/>
  <c r="AX26" i="7" s="1"/>
  <c r="Y26" i="7"/>
  <c r="AY26" i="7" s="1"/>
  <c r="AA26" i="7"/>
  <c r="AC26" i="7"/>
  <c r="AZ26" i="7" s="1"/>
  <c r="AE26" i="7"/>
  <c r="BA26" i="7" s="1"/>
  <c r="AR26" i="7"/>
  <c r="AU27" i="7"/>
  <c r="AV27" i="7"/>
  <c r="U27" i="7"/>
  <c r="AW27" i="7" s="1"/>
  <c r="W27" i="7"/>
  <c r="AX27" i="7" s="1"/>
  <c r="Y27" i="7"/>
  <c r="AY27" i="7" s="1"/>
  <c r="AA27" i="7"/>
  <c r="AC27" i="7"/>
  <c r="AZ27" i="7" s="1"/>
  <c r="AE27" i="7"/>
  <c r="BA27" i="7" s="1"/>
  <c r="AR27" i="7"/>
  <c r="AU29" i="7"/>
  <c r="AV29" i="7"/>
  <c r="U29" i="7"/>
  <c r="AW29" i="7" s="1"/>
  <c r="W29" i="7"/>
  <c r="AX29" i="7" s="1"/>
  <c r="Y29" i="7"/>
  <c r="AY29" i="7" s="1"/>
  <c r="AA29" i="7"/>
  <c r="AC29" i="7"/>
  <c r="AZ29" i="7" s="1"/>
  <c r="AE29" i="7"/>
  <c r="BA29" i="7" s="1"/>
  <c r="AR29" i="7"/>
  <c r="AU30" i="7"/>
  <c r="AV30" i="7"/>
  <c r="U30" i="7"/>
  <c r="AW30" i="7" s="1"/>
  <c r="W30" i="7"/>
  <c r="AX30" i="7" s="1"/>
  <c r="Y30" i="7"/>
  <c r="AY30" i="7" s="1"/>
  <c r="AA30" i="7"/>
  <c r="AC30" i="7"/>
  <c r="AZ30" i="7" s="1"/>
  <c r="AE30" i="7"/>
  <c r="BA30" i="7" s="1"/>
  <c r="AR30" i="7"/>
  <c r="AU32" i="7"/>
  <c r="AV32" i="7"/>
  <c r="U32" i="7"/>
  <c r="AW32" i="7" s="1"/>
  <c r="W32" i="7"/>
  <c r="AX32" i="7" s="1"/>
  <c r="Y32" i="7"/>
  <c r="AY32" i="7" s="1"/>
  <c r="AA32" i="7"/>
  <c r="AC32" i="7"/>
  <c r="AZ32" i="7" s="1"/>
  <c r="AE32" i="7"/>
  <c r="BA32" i="7" s="1"/>
  <c r="AR32" i="7"/>
  <c r="AU34" i="7"/>
  <c r="AV34" i="7"/>
  <c r="U34" i="7"/>
  <c r="AW34" i="7" s="1"/>
  <c r="W34" i="7"/>
  <c r="AX34" i="7" s="1"/>
  <c r="Y34" i="7"/>
  <c r="AY34" i="7" s="1"/>
  <c r="AA34" i="7"/>
  <c r="AC34" i="7"/>
  <c r="AZ34" i="7" s="1"/>
  <c r="AE34" i="7"/>
  <c r="BA34" i="7" s="1"/>
  <c r="AR34" i="7"/>
  <c r="AU37" i="7"/>
  <c r="AV37" i="7"/>
  <c r="U37" i="7"/>
  <c r="AW37" i="7" s="1"/>
  <c r="W37" i="7"/>
  <c r="AX37" i="7" s="1"/>
  <c r="Y37" i="7"/>
  <c r="AY37" i="7" s="1"/>
  <c r="AA37" i="7"/>
  <c r="AC37" i="7"/>
  <c r="AZ37" i="7" s="1"/>
  <c r="AE37" i="7"/>
  <c r="BA37" i="7" s="1"/>
  <c r="AR37" i="7"/>
  <c r="AU38" i="7"/>
  <c r="AV38" i="7"/>
  <c r="U38" i="7"/>
  <c r="AW38" i="7" s="1"/>
  <c r="W38" i="7"/>
  <c r="AX38" i="7" s="1"/>
  <c r="Y38" i="7"/>
  <c r="AY38" i="7" s="1"/>
  <c r="AA38" i="7"/>
  <c r="AC38" i="7"/>
  <c r="AZ38" i="7" s="1"/>
  <c r="AE38" i="7"/>
  <c r="BA38" i="7" s="1"/>
  <c r="AR38" i="7"/>
  <c r="U40" i="7"/>
  <c r="W40" i="7"/>
  <c r="Y40" i="7"/>
  <c r="AY40" i="7" s="1"/>
  <c r="AA40" i="7"/>
  <c r="AC40" i="7"/>
  <c r="AZ40" i="7" s="1"/>
  <c r="AE40" i="7"/>
  <c r="BA40" i="7" s="1"/>
  <c r="AR40" i="7"/>
  <c r="U39" i="7"/>
  <c r="W39" i="7"/>
  <c r="Y39" i="7"/>
  <c r="AY39" i="7" s="1"/>
  <c r="AA39" i="7"/>
  <c r="AC39" i="7"/>
  <c r="AZ39" i="7" s="1"/>
  <c r="AE39" i="7"/>
  <c r="BA39" i="7" s="1"/>
  <c r="AR39" i="7"/>
  <c r="AU41" i="7"/>
  <c r="AV41" i="7"/>
  <c r="U41" i="7"/>
  <c r="AW41" i="7" s="1"/>
  <c r="W41" i="7"/>
  <c r="AX41" i="7" s="1"/>
  <c r="Y41" i="7"/>
  <c r="AY41" i="7" s="1"/>
  <c r="AA41" i="7"/>
  <c r="AC41" i="7"/>
  <c r="AZ41" i="7" s="1"/>
  <c r="AE41" i="7"/>
  <c r="BA41" i="7" s="1"/>
  <c r="AR41" i="7"/>
  <c r="AU42" i="7"/>
  <c r="AV42" i="7"/>
  <c r="U42" i="7"/>
  <c r="AW42" i="7" s="1"/>
  <c r="W42" i="7"/>
  <c r="AX42" i="7" s="1"/>
  <c r="Y42" i="7"/>
  <c r="AY42" i="7" s="1"/>
  <c r="AA42" i="7"/>
  <c r="AC42" i="7"/>
  <c r="AZ42" i="7" s="1"/>
  <c r="AE42" i="7"/>
  <c r="BA42" i="7" s="1"/>
  <c r="AR42" i="7"/>
  <c r="AU44" i="7"/>
  <c r="AV44" i="7"/>
  <c r="U44" i="7"/>
  <c r="AW44" i="7" s="1"/>
  <c r="W44" i="7"/>
  <c r="AX44" i="7" s="1"/>
  <c r="Y44" i="7"/>
  <c r="AY44" i="7" s="1"/>
  <c r="AA44" i="7"/>
  <c r="AC44" i="7"/>
  <c r="AZ44" i="7" s="1"/>
  <c r="AE44" i="7"/>
  <c r="BA44" i="7" s="1"/>
  <c r="AR44" i="7"/>
  <c r="AU47" i="7"/>
  <c r="AV47" i="7"/>
  <c r="U47" i="7"/>
  <c r="AW47" i="7" s="1"/>
  <c r="W47" i="7"/>
  <c r="AX47" i="7" s="1"/>
  <c r="Y47" i="7"/>
  <c r="AY47" i="7" s="1"/>
  <c r="AA47" i="7"/>
  <c r="AC47" i="7"/>
  <c r="AZ47" i="7" s="1"/>
  <c r="AE47" i="7"/>
  <c r="BA47" i="7" s="1"/>
  <c r="AR47" i="7"/>
  <c r="AU52" i="7"/>
  <c r="AV52" i="7"/>
  <c r="U52" i="7"/>
  <c r="AW52" i="7" s="1"/>
  <c r="W52" i="7"/>
  <c r="AX52" i="7" s="1"/>
  <c r="Y52" i="7"/>
  <c r="AY52" i="7" s="1"/>
  <c r="AA52" i="7"/>
  <c r="AC52" i="7"/>
  <c r="AZ52" i="7" s="1"/>
  <c r="AE52" i="7"/>
  <c r="BA52" i="7" s="1"/>
  <c r="AR52" i="7"/>
  <c r="AU54" i="7"/>
  <c r="AV54" i="7"/>
  <c r="U54" i="7"/>
  <c r="AW54" i="7" s="1"/>
  <c r="W54" i="7"/>
  <c r="AX54" i="7" s="1"/>
  <c r="Y54" i="7"/>
  <c r="AY54" i="7" s="1"/>
  <c r="AA54" i="7"/>
  <c r="AC54" i="7"/>
  <c r="AZ54" i="7" s="1"/>
  <c r="AE54" i="7"/>
  <c r="BA54" i="7" s="1"/>
  <c r="AR54" i="7"/>
  <c r="AU57" i="7"/>
  <c r="AV57" i="7"/>
  <c r="U57" i="7"/>
  <c r="AW57" i="7" s="1"/>
  <c r="W57" i="7"/>
  <c r="AX57" i="7" s="1"/>
  <c r="Y57" i="7"/>
  <c r="AY57" i="7" s="1"/>
  <c r="AA57" i="7"/>
  <c r="AC57" i="7"/>
  <c r="AZ57" i="7" s="1"/>
  <c r="AE57" i="7"/>
  <c r="BA57" i="7" s="1"/>
  <c r="AR57" i="7"/>
  <c r="AU58" i="7"/>
  <c r="AV58" i="7"/>
  <c r="U58" i="7"/>
  <c r="AW58" i="7" s="1"/>
  <c r="W58" i="7"/>
  <c r="AX58" i="7" s="1"/>
  <c r="Y58" i="7"/>
  <c r="AY58" i="7" s="1"/>
  <c r="AA58" i="7"/>
  <c r="AC58" i="7"/>
  <c r="AZ58" i="7" s="1"/>
  <c r="AE58" i="7"/>
  <c r="BA58" i="7" s="1"/>
  <c r="AR58" i="7"/>
  <c r="AU59" i="7"/>
  <c r="AV59" i="7"/>
  <c r="U59" i="7"/>
  <c r="AW59" i="7" s="1"/>
  <c r="W59" i="7"/>
  <c r="AX59" i="7" s="1"/>
  <c r="Y59" i="7"/>
  <c r="AY59" i="7" s="1"/>
  <c r="AA59" i="7"/>
  <c r="AC59" i="7"/>
  <c r="AZ59" i="7" s="1"/>
  <c r="AE59" i="7"/>
  <c r="BA59" i="7" s="1"/>
  <c r="AR59" i="7"/>
  <c r="AU60" i="7"/>
  <c r="AV60" i="7"/>
  <c r="U60" i="7"/>
  <c r="AW60" i="7" s="1"/>
  <c r="W60" i="7"/>
  <c r="AX60" i="7" s="1"/>
  <c r="Y60" i="7"/>
  <c r="AY60" i="7" s="1"/>
  <c r="AA60" i="7"/>
  <c r="AC60" i="7"/>
  <c r="AZ60" i="7" s="1"/>
  <c r="AE60" i="7"/>
  <c r="BA60" i="7" s="1"/>
  <c r="AR60" i="7"/>
  <c r="AU62" i="7"/>
  <c r="AV62" i="7"/>
  <c r="U62" i="7"/>
  <c r="AW62" i="7" s="1"/>
  <c r="W62" i="7"/>
  <c r="AX62" i="7" s="1"/>
  <c r="Y62" i="7"/>
  <c r="AY62" i="7" s="1"/>
  <c r="AA62" i="7"/>
  <c r="AC62" i="7"/>
  <c r="AZ62" i="7" s="1"/>
  <c r="AE62" i="7"/>
  <c r="BA62" i="7" s="1"/>
  <c r="AR62" i="7"/>
  <c r="AU63" i="7"/>
  <c r="AV63" i="7"/>
  <c r="U63" i="7"/>
  <c r="AW63" i="7" s="1"/>
  <c r="W63" i="7"/>
  <c r="AX63" i="7" s="1"/>
  <c r="Y63" i="7"/>
  <c r="AY63" i="7" s="1"/>
  <c r="AA63" i="7"/>
  <c r="AC63" i="7"/>
  <c r="AZ63" i="7" s="1"/>
  <c r="AE63" i="7"/>
  <c r="BA63" i="7" s="1"/>
  <c r="AR63" i="7"/>
  <c r="AU64" i="7"/>
  <c r="AV64" i="7"/>
  <c r="U64" i="7"/>
  <c r="AW64" i="7" s="1"/>
  <c r="W64" i="7"/>
  <c r="AX64" i="7" s="1"/>
  <c r="Y64" i="7"/>
  <c r="AY64" i="7" s="1"/>
  <c r="AA64" i="7"/>
  <c r="AC64" i="7"/>
  <c r="AZ64" i="7" s="1"/>
  <c r="AE64" i="7"/>
  <c r="BA64" i="7" s="1"/>
  <c r="AR64" i="7"/>
  <c r="AU66" i="7"/>
  <c r="AV66" i="7"/>
  <c r="U66" i="7"/>
  <c r="AW66" i="7" s="1"/>
  <c r="W66" i="7"/>
  <c r="AX66" i="7" s="1"/>
  <c r="Y66" i="7"/>
  <c r="AY66" i="7" s="1"/>
  <c r="AA66" i="7"/>
  <c r="AC66" i="7"/>
  <c r="AZ66" i="7" s="1"/>
  <c r="AE66" i="7"/>
  <c r="BA66" i="7" s="1"/>
  <c r="AR66" i="7"/>
  <c r="U67" i="7"/>
  <c r="W67" i="7"/>
  <c r="Y67" i="7"/>
  <c r="AY67" i="7" s="1"/>
  <c r="AA67" i="7"/>
  <c r="AC67" i="7"/>
  <c r="AZ67" i="7" s="1"/>
  <c r="AE67" i="7"/>
  <c r="BA67" i="7" s="1"/>
  <c r="AR67" i="7"/>
  <c r="U68" i="7"/>
  <c r="W68" i="7"/>
  <c r="Y68" i="7"/>
  <c r="AY68" i="7" s="1"/>
  <c r="AA68" i="7"/>
  <c r="AC68" i="7"/>
  <c r="AZ68" i="7" s="1"/>
  <c r="AE68" i="7"/>
  <c r="BA68" i="7" s="1"/>
  <c r="AR68" i="7"/>
  <c r="AU70" i="7"/>
  <c r="AV70" i="7"/>
  <c r="U70" i="7"/>
  <c r="AW70" i="7" s="1"/>
  <c r="W70" i="7"/>
  <c r="AX70" i="7" s="1"/>
  <c r="Y70" i="7"/>
  <c r="AY70" i="7" s="1"/>
  <c r="AA70" i="7"/>
  <c r="AC70" i="7"/>
  <c r="AZ70" i="7" s="1"/>
  <c r="AE70" i="7"/>
  <c r="BA70" i="7" s="1"/>
  <c r="AR70" i="7"/>
  <c r="AU72" i="7"/>
  <c r="AV72" i="7"/>
  <c r="U72" i="7"/>
  <c r="AW72" i="7" s="1"/>
  <c r="W72" i="7"/>
  <c r="AX72" i="7" s="1"/>
  <c r="Y72" i="7"/>
  <c r="AY72" i="7" s="1"/>
  <c r="AA72" i="7"/>
  <c r="AC72" i="7"/>
  <c r="AZ72" i="7" s="1"/>
  <c r="AE72" i="7"/>
  <c r="BA72" i="7" s="1"/>
  <c r="AR72" i="7"/>
  <c r="AU73" i="7"/>
  <c r="AV73" i="7"/>
  <c r="U73" i="7"/>
  <c r="AW73" i="7" s="1"/>
  <c r="W73" i="7"/>
  <c r="AX73" i="7" s="1"/>
  <c r="Y73" i="7"/>
  <c r="AY73" i="7" s="1"/>
  <c r="AA73" i="7"/>
  <c r="AC73" i="7"/>
  <c r="AZ73" i="7" s="1"/>
  <c r="AE73" i="7"/>
  <c r="BA73" i="7" s="1"/>
  <c r="AR73" i="7"/>
  <c r="U94" i="7"/>
  <c r="AW94" i="7" s="1"/>
  <c r="W94" i="7"/>
  <c r="AX94" i="7" s="1"/>
  <c r="Y94" i="7"/>
  <c r="AY94" i="7" s="1"/>
  <c r="AA94" i="7"/>
  <c r="AC94" i="7"/>
  <c r="AZ94" i="7" s="1"/>
  <c r="AE94" i="7"/>
  <c r="BA94" i="7" s="1"/>
  <c r="AR94" i="7"/>
  <c r="AU95" i="7"/>
  <c r="AV95" i="7"/>
  <c r="U95" i="7"/>
  <c r="AW95" i="7" s="1"/>
  <c r="W95" i="7"/>
  <c r="AX95" i="7" s="1"/>
  <c r="Y95" i="7"/>
  <c r="AY95" i="7" s="1"/>
  <c r="AA95" i="7"/>
  <c r="AC95" i="7"/>
  <c r="AZ95" i="7" s="1"/>
  <c r="AE95" i="7"/>
  <c r="BA95" i="7" s="1"/>
  <c r="AR95" i="7"/>
  <c r="AU97" i="7"/>
  <c r="AV97" i="7"/>
  <c r="U97" i="7"/>
  <c r="AW97" i="7" s="1"/>
  <c r="W97" i="7"/>
  <c r="AX97" i="7" s="1"/>
  <c r="Y97" i="7"/>
  <c r="AY97" i="7" s="1"/>
  <c r="AA97" i="7"/>
  <c r="AC97" i="7"/>
  <c r="AZ97" i="7" s="1"/>
  <c r="AE97" i="7"/>
  <c r="BA97" i="7" s="1"/>
  <c r="AR97" i="7"/>
  <c r="AS32" i="7" l="1"/>
  <c r="BB32" i="7" s="1"/>
  <c r="BF32" i="7" s="1"/>
  <c r="BH32" i="7"/>
  <c r="BE32" i="7" s="1"/>
  <c r="R15" i="7"/>
  <c r="AU13" i="7"/>
  <c r="AS5" i="7"/>
  <c r="BB5" i="7" s="1"/>
  <c r="BF5" i="7" s="1"/>
  <c r="BH5" i="7"/>
  <c r="AS42" i="7"/>
  <c r="BB42" i="7" s="1"/>
  <c r="BF42" i="7" s="1"/>
  <c r="BG42" i="7" s="1"/>
  <c r="BH42" i="7"/>
  <c r="BE42" i="7" s="1"/>
  <c r="AS12" i="7"/>
  <c r="BB12" i="7" s="1"/>
  <c r="BF12" i="7" s="1"/>
  <c r="BH12" i="7"/>
  <c r="BE12" i="7" s="1"/>
  <c r="AS47" i="7"/>
  <c r="BB47" i="7" s="1"/>
  <c r="BF47" i="7" s="1"/>
  <c r="BG47" i="7" s="1"/>
  <c r="BH47" i="7"/>
  <c r="BE47" i="7" s="1"/>
  <c r="AU21" i="7"/>
  <c r="AS59" i="7"/>
  <c r="BB59" i="7" s="1"/>
  <c r="BF59" i="7" s="1"/>
  <c r="BG59" i="7" s="1"/>
  <c r="BH59" i="7"/>
  <c r="BE59" i="7" s="1"/>
  <c r="AS29" i="7"/>
  <c r="BB29" i="7" s="1"/>
  <c r="BF29" i="7" s="1"/>
  <c r="BH29" i="7"/>
  <c r="BE29" i="7" s="1"/>
  <c r="AS68" i="7"/>
  <c r="BB68" i="7" s="1"/>
  <c r="BF68" i="7" s="1"/>
  <c r="BH68" i="7"/>
  <c r="BE68" i="7" s="1"/>
  <c r="AS39" i="7"/>
  <c r="BB39" i="7" s="1"/>
  <c r="BF39" i="7" s="1"/>
  <c r="BH39" i="7"/>
  <c r="BE39" i="7" s="1"/>
  <c r="AS10" i="7"/>
  <c r="BB10" i="7" s="1"/>
  <c r="BF10" i="7" s="1"/>
  <c r="BG10" i="7" s="1"/>
  <c r="BH10" i="7"/>
  <c r="BE10" i="7" s="1"/>
  <c r="AS62" i="7"/>
  <c r="BB62" i="7" s="1"/>
  <c r="BF62" i="7" s="1"/>
  <c r="BG62" i="7" s="1"/>
  <c r="BH62" i="7"/>
  <c r="BE62" i="7" s="1"/>
  <c r="AS94" i="7"/>
  <c r="BB94" i="7" s="1"/>
  <c r="BF94" i="7" s="1"/>
  <c r="BG94" i="7" s="1"/>
  <c r="BH94" i="7"/>
  <c r="BE94" i="7" s="1"/>
  <c r="AS57" i="7"/>
  <c r="BB57" i="7" s="1"/>
  <c r="BF57" i="7" s="1"/>
  <c r="BG57" i="7" s="1"/>
  <c r="BH57" i="7"/>
  <c r="BE57" i="7" s="1"/>
  <c r="AS26" i="7"/>
  <c r="BB26" i="7" s="1"/>
  <c r="BF26" i="7" s="1"/>
  <c r="BG26" i="7" s="1"/>
  <c r="BH26" i="7"/>
  <c r="BE26" i="7" s="1"/>
  <c r="AS66" i="7"/>
  <c r="BB66" i="7" s="1"/>
  <c r="BF66" i="7" s="1"/>
  <c r="BG66" i="7" s="1"/>
  <c r="BH66" i="7"/>
  <c r="BE66" i="7" s="1"/>
  <c r="AS38" i="7"/>
  <c r="BB38" i="7" s="1"/>
  <c r="BF38" i="7" s="1"/>
  <c r="BG38" i="7" s="1"/>
  <c r="BH38" i="7"/>
  <c r="BE38" i="7" s="1"/>
  <c r="AS8" i="7"/>
  <c r="BB8" i="7" s="1"/>
  <c r="BF8" i="7" s="1"/>
  <c r="BG8" i="7" s="1"/>
  <c r="BH8" i="7"/>
  <c r="BE8" i="7" s="1"/>
  <c r="AS97" i="7"/>
  <c r="BB97" i="7" s="1"/>
  <c r="BF97" i="7" s="1"/>
  <c r="BG97" i="7" s="1"/>
  <c r="BH97" i="7"/>
  <c r="BE97" i="7" s="1"/>
  <c r="AS72" i="7"/>
  <c r="BB72" i="7" s="1"/>
  <c r="BF72" i="7" s="1"/>
  <c r="BG72" i="7" s="1"/>
  <c r="BH72" i="7"/>
  <c r="BE72" i="7" s="1"/>
  <c r="AS52" i="7"/>
  <c r="BB52" i="7" s="1"/>
  <c r="BF52" i="7" s="1"/>
  <c r="BH52" i="7"/>
  <c r="BE52" i="7" s="1"/>
  <c r="AS24" i="7"/>
  <c r="BB24" i="7" s="1"/>
  <c r="BF24" i="7" s="1"/>
  <c r="BG24" i="7" s="1"/>
  <c r="BH24" i="7"/>
  <c r="BE24" i="7" s="1"/>
  <c r="AS63" i="7"/>
  <c r="BB63" i="7" s="1"/>
  <c r="BF63" i="7" s="1"/>
  <c r="BG63" i="7" s="1"/>
  <c r="BH63" i="7"/>
  <c r="BE63" i="7" s="1"/>
  <c r="AS34" i="7"/>
  <c r="BB34" i="7" s="1"/>
  <c r="BF34" i="7" s="1"/>
  <c r="BG34" i="7" s="1"/>
  <c r="BH34" i="7"/>
  <c r="BE34" i="7" s="1"/>
  <c r="R20" i="7"/>
  <c r="AS6" i="7"/>
  <c r="BB6" i="7" s="1"/>
  <c r="BF6" i="7" s="1"/>
  <c r="BG6" i="7" s="1"/>
  <c r="BH6" i="7"/>
  <c r="BE6" i="7" s="1"/>
  <c r="AS95" i="7"/>
  <c r="BB95" i="7" s="1"/>
  <c r="BF95" i="7" s="1"/>
  <c r="BG95" i="7" s="1"/>
  <c r="BH95" i="7"/>
  <c r="BE95" i="7" s="1"/>
  <c r="AS73" i="7"/>
  <c r="BB73" i="7" s="1"/>
  <c r="BF73" i="7" s="1"/>
  <c r="BG73" i="7" s="1"/>
  <c r="BH73" i="7"/>
  <c r="BE73" i="7" s="1"/>
  <c r="AS44" i="7"/>
  <c r="BB44" i="7" s="1"/>
  <c r="BF44" i="7" s="1"/>
  <c r="BG44" i="7" s="1"/>
  <c r="BH44" i="7"/>
  <c r="BE44" i="7" s="1"/>
  <c r="AS17" i="7"/>
  <c r="BB17" i="7" s="1"/>
  <c r="BF17" i="7" s="1"/>
  <c r="BH17" i="7"/>
  <c r="BE17" i="7" s="1"/>
  <c r="R14" i="7"/>
  <c r="AS23" i="7"/>
  <c r="BB23" i="7" s="1"/>
  <c r="BF23" i="7" s="1"/>
  <c r="BG23" i="7" s="1"/>
  <c r="BH23" i="7"/>
  <c r="BE23" i="7" s="1"/>
  <c r="AS41" i="7"/>
  <c r="BB41" i="7" s="1"/>
  <c r="BF41" i="7" s="1"/>
  <c r="BG41" i="7" s="1"/>
  <c r="BH41" i="7"/>
  <c r="BE41" i="7" s="1"/>
  <c r="AS11" i="7"/>
  <c r="BB11" i="7" s="1"/>
  <c r="BF11" i="7" s="1"/>
  <c r="BG11" i="7" s="1"/>
  <c r="BH11" i="7"/>
  <c r="BE11" i="7" s="1"/>
  <c r="AS30" i="7"/>
  <c r="BB30" i="7" s="1"/>
  <c r="BF30" i="7" s="1"/>
  <c r="BG30" i="7" s="1"/>
  <c r="BH30" i="7"/>
  <c r="BE30" i="7" s="1"/>
  <c r="AS70" i="7"/>
  <c r="BB70" i="7" s="1"/>
  <c r="BF70" i="7" s="1"/>
  <c r="BG70" i="7" s="1"/>
  <c r="BH70" i="7"/>
  <c r="BE70" i="7" s="1"/>
  <c r="AS58" i="7"/>
  <c r="BB58" i="7" s="1"/>
  <c r="BF58" i="7" s="1"/>
  <c r="BG58" i="7" s="1"/>
  <c r="BH58" i="7"/>
  <c r="BE58" i="7" s="1"/>
  <c r="AS27" i="7"/>
  <c r="BB27" i="7" s="1"/>
  <c r="BF27" i="7" s="1"/>
  <c r="BG27" i="7" s="1"/>
  <c r="BH27" i="7"/>
  <c r="BE27" i="7" s="1"/>
  <c r="AS60" i="7"/>
  <c r="BB60" i="7" s="1"/>
  <c r="BF60" i="7" s="1"/>
  <c r="BG60" i="7" s="1"/>
  <c r="BH60" i="7"/>
  <c r="BE60" i="7" s="1"/>
  <c r="AS67" i="7"/>
  <c r="BB67" i="7" s="1"/>
  <c r="BF67" i="7" s="1"/>
  <c r="BH67" i="7"/>
  <c r="BE67" i="7" s="1"/>
  <c r="AS40" i="7"/>
  <c r="BB40" i="7" s="1"/>
  <c r="BF40" i="7" s="1"/>
  <c r="BH40" i="7"/>
  <c r="BE40" i="7" s="1"/>
  <c r="AS9" i="7"/>
  <c r="BB9" i="7" s="1"/>
  <c r="BF9" i="7" s="1"/>
  <c r="BG9" i="7" s="1"/>
  <c r="BH9" i="7"/>
  <c r="BE9" i="7" s="1"/>
  <c r="AS54" i="7"/>
  <c r="BB54" i="7" s="1"/>
  <c r="BF54" i="7" s="1"/>
  <c r="BG54" i="7" s="1"/>
  <c r="BH54" i="7"/>
  <c r="BE54" i="7" s="1"/>
  <c r="AS25" i="7"/>
  <c r="BB25" i="7" s="1"/>
  <c r="BF25" i="7" s="1"/>
  <c r="BG25" i="7" s="1"/>
  <c r="BH25" i="7"/>
  <c r="BE25" i="7" s="1"/>
  <c r="AS64" i="7"/>
  <c r="BB64" i="7" s="1"/>
  <c r="BF64" i="7" s="1"/>
  <c r="BG64" i="7" s="1"/>
  <c r="BH64" i="7"/>
  <c r="BE64" i="7" s="1"/>
  <c r="AS37" i="7"/>
  <c r="BB37" i="7" s="1"/>
  <c r="BF37" i="7" s="1"/>
  <c r="BG37" i="7" s="1"/>
  <c r="BH37" i="7"/>
  <c r="BE37" i="7" s="1"/>
  <c r="AS7" i="7"/>
  <c r="BB7" i="7" s="1"/>
  <c r="BF7" i="7" s="1"/>
  <c r="BG7" i="7" s="1"/>
  <c r="BH7" i="7"/>
  <c r="BE7" i="7" s="1"/>
  <c r="AY99" i="7"/>
  <c r="AX99" i="7"/>
  <c r="AZ99" i="7"/>
  <c r="AW99" i="7"/>
  <c r="BA99" i="7"/>
  <c r="BB176" i="8"/>
  <c r="AU15" i="7"/>
  <c r="AU20" i="7"/>
  <c r="R21" i="7"/>
  <c r="S21" i="7" s="1"/>
  <c r="AU14" i="7"/>
  <c r="R13" i="7"/>
  <c r="R18" i="7"/>
  <c r="AU18" i="7"/>
  <c r="AU19" i="7"/>
  <c r="R19" i="7"/>
  <c r="AU16" i="7"/>
  <c r="R16" i="7"/>
  <c r="BL5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BL76" i="3"/>
  <c r="BJ5" i="3"/>
  <c r="BJ6" i="3"/>
  <c r="BJ7" i="3"/>
  <c r="BJ8" i="3"/>
  <c r="BJ9" i="3"/>
  <c r="BJ10" i="3"/>
  <c r="BJ11" i="3"/>
  <c r="BJ12" i="3"/>
  <c r="BJ13" i="3"/>
  <c r="BJ14" i="3"/>
  <c r="BJ15" i="3"/>
  <c r="BJ16" i="3"/>
  <c r="BJ17" i="3"/>
  <c r="BJ18" i="3"/>
  <c r="BJ19" i="3"/>
  <c r="BJ20" i="3"/>
  <c r="BJ21" i="3"/>
  <c r="BJ22" i="3"/>
  <c r="BJ23" i="3"/>
  <c r="BJ24" i="3"/>
  <c r="BJ25" i="3"/>
  <c r="BJ26" i="3"/>
  <c r="BJ27" i="3"/>
  <c r="BJ28" i="3"/>
  <c r="BJ29" i="3"/>
  <c r="BJ30" i="3"/>
  <c r="BJ31" i="3"/>
  <c r="BJ32" i="3"/>
  <c r="BJ33" i="3"/>
  <c r="BJ34" i="3"/>
  <c r="BJ35" i="3"/>
  <c r="BJ36" i="3"/>
  <c r="BJ37" i="3"/>
  <c r="BJ38" i="3"/>
  <c r="BJ39" i="3"/>
  <c r="BJ40" i="3"/>
  <c r="BJ41" i="3"/>
  <c r="BJ42" i="3"/>
  <c r="BJ43" i="3"/>
  <c r="BJ44" i="3"/>
  <c r="BJ45" i="3"/>
  <c r="BJ46" i="3"/>
  <c r="BJ47" i="3"/>
  <c r="BJ48" i="3"/>
  <c r="BJ49" i="3"/>
  <c r="BJ50" i="3"/>
  <c r="BJ51" i="3"/>
  <c r="BJ52" i="3"/>
  <c r="BJ53" i="3"/>
  <c r="BJ54" i="3"/>
  <c r="BJ55" i="3"/>
  <c r="BJ56" i="3"/>
  <c r="BJ58" i="3"/>
  <c r="BJ59" i="3"/>
  <c r="BJ60" i="3"/>
  <c r="BJ61" i="3"/>
  <c r="BJ62" i="3"/>
  <c r="BJ63" i="3"/>
  <c r="BJ64" i="3"/>
  <c r="BJ65" i="3"/>
  <c r="BJ66" i="3"/>
  <c r="BJ67" i="3"/>
  <c r="BJ68" i="3"/>
  <c r="BJ69" i="3"/>
  <c r="BJ70" i="3"/>
  <c r="BJ71" i="3"/>
  <c r="BJ72" i="3"/>
  <c r="BJ73" i="3"/>
  <c r="BJ74" i="3"/>
  <c r="BJ75" i="3"/>
  <c r="BJ76" i="3"/>
  <c r="BI5" i="3"/>
  <c r="BI6" i="3"/>
  <c r="BI7" i="3"/>
  <c r="BI8" i="3"/>
  <c r="BI9" i="3"/>
  <c r="BI10" i="3"/>
  <c r="BI11" i="3"/>
  <c r="BI12" i="3"/>
  <c r="BI13" i="3"/>
  <c r="BI14" i="3"/>
  <c r="BI15" i="3"/>
  <c r="BI16" i="3"/>
  <c r="BI17" i="3"/>
  <c r="BI18" i="3"/>
  <c r="BI19" i="3"/>
  <c r="BI20" i="3"/>
  <c r="BI21" i="3"/>
  <c r="BI22" i="3"/>
  <c r="BI23" i="3"/>
  <c r="BI24" i="3"/>
  <c r="BI25" i="3"/>
  <c r="BI26" i="3"/>
  <c r="BI27" i="3"/>
  <c r="BI28" i="3"/>
  <c r="BI29" i="3"/>
  <c r="BI30" i="3"/>
  <c r="BI31" i="3"/>
  <c r="BI32" i="3"/>
  <c r="BI33" i="3"/>
  <c r="BI34" i="3"/>
  <c r="BI35" i="3"/>
  <c r="BI36" i="3"/>
  <c r="BI37" i="3"/>
  <c r="BI38" i="3"/>
  <c r="BI39" i="3"/>
  <c r="BI40" i="3"/>
  <c r="BI41" i="3"/>
  <c r="BI42" i="3"/>
  <c r="BI43" i="3"/>
  <c r="BI44" i="3"/>
  <c r="BI45" i="3"/>
  <c r="BI46" i="3"/>
  <c r="BI47" i="3"/>
  <c r="BI48" i="3"/>
  <c r="BI49" i="3"/>
  <c r="BI50" i="3"/>
  <c r="BI51" i="3"/>
  <c r="BI52" i="3"/>
  <c r="BI53" i="3"/>
  <c r="BI54" i="3"/>
  <c r="BI55" i="3"/>
  <c r="BI56" i="3"/>
  <c r="BI58" i="3"/>
  <c r="BI59" i="3"/>
  <c r="BI60" i="3"/>
  <c r="BI61" i="3"/>
  <c r="BI62" i="3"/>
  <c r="BI63" i="3"/>
  <c r="BI64" i="3"/>
  <c r="BI65" i="3"/>
  <c r="BI66" i="3"/>
  <c r="BI67" i="3"/>
  <c r="BI68" i="3"/>
  <c r="BI69" i="3"/>
  <c r="BI70" i="3"/>
  <c r="BI71" i="3"/>
  <c r="BI72" i="3"/>
  <c r="BI73" i="3"/>
  <c r="BI74" i="3"/>
  <c r="BI75" i="3"/>
  <c r="BI76" i="3"/>
  <c r="AR76" i="3"/>
  <c r="AE76" i="3"/>
  <c r="BA76" i="3" s="1"/>
  <c r="AC76" i="3"/>
  <c r="AZ76" i="3" s="1"/>
  <c r="AA76" i="3"/>
  <c r="Y76" i="3"/>
  <c r="AY76" i="3" s="1"/>
  <c r="W76" i="3"/>
  <c r="AX76" i="3" s="1"/>
  <c r="U76" i="3"/>
  <c r="AW76" i="3" s="1"/>
  <c r="S76" i="3"/>
  <c r="AV76" i="3" s="1"/>
  <c r="Q76" i="3"/>
  <c r="AU76" i="3" s="1"/>
  <c r="O76" i="3"/>
  <c r="AT76" i="3" s="1"/>
  <c r="AR62" i="3"/>
  <c r="AE62" i="3"/>
  <c r="BA62" i="3" s="1"/>
  <c r="AC62" i="3"/>
  <c r="AZ62" i="3" s="1"/>
  <c r="AA62" i="3"/>
  <c r="Y62" i="3"/>
  <c r="AY62" i="3" s="1"/>
  <c r="W62" i="3"/>
  <c r="AX62" i="3" s="1"/>
  <c r="U62" i="3"/>
  <c r="AW62" i="3" s="1"/>
  <c r="S62" i="3"/>
  <c r="AV62" i="3" s="1"/>
  <c r="Q62" i="3"/>
  <c r="AU62" i="3" s="1"/>
  <c r="O62" i="3"/>
  <c r="AT62" i="3" s="1"/>
  <c r="AR55" i="3"/>
  <c r="AE55" i="3"/>
  <c r="BA55" i="3" s="1"/>
  <c r="AC55" i="3"/>
  <c r="AZ55" i="3" s="1"/>
  <c r="AA55" i="3"/>
  <c r="Y55" i="3"/>
  <c r="AY55" i="3" s="1"/>
  <c r="W55" i="3"/>
  <c r="AX55" i="3" s="1"/>
  <c r="U55" i="3"/>
  <c r="AW55" i="3" s="1"/>
  <c r="S55" i="3"/>
  <c r="AV55" i="3" s="1"/>
  <c r="Q55" i="3"/>
  <c r="AU55" i="3" s="1"/>
  <c r="O55" i="3"/>
  <c r="AT55" i="3" s="1"/>
  <c r="O70" i="3"/>
  <c r="AT70" i="3" s="1"/>
  <c r="Q70" i="3"/>
  <c r="AU70" i="3" s="1"/>
  <c r="S70" i="3"/>
  <c r="AV70" i="3" s="1"/>
  <c r="U70" i="3"/>
  <c r="AW70" i="3" s="1"/>
  <c r="W70" i="3"/>
  <c r="AX70" i="3" s="1"/>
  <c r="Y70" i="3"/>
  <c r="AY70" i="3" s="1"/>
  <c r="AA70" i="3"/>
  <c r="AC70" i="3"/>
  <c r="AZ70" i="3" s="1"/>
  <c r="AE70" i="3"/>
  <c r="BA70" i="3" s="1"/>
  <c r="AR70" i="3"/>
  <c r="O69" i="3"/>
  <c r="AT69" i="3" s="1"/>
  <c r="Q69" i="3"/>
  <c r="AU69" i="3" s="1"/>
  <c r="S69" i="3"/>
  <c r="AV69" i="3" s="1"/>
  <c r="U69" i="3"/>
  <c r="AW69" i="3" s="1"/>
  <c r="W69" i="3"/>
  <c r="AX69" i="3" s="1"/>
  <c r="Y69" i="3"/>
  <c r="AY69" i="3" s="1"/>
  <c r="AA69" i="3"/>
  <c r="AC69" i="3"/>
  <c r="AZ69" i="3" s="1"/>
  <c r="AE69" i="3"/>
  <c r="BA69" i="3" s="1"/>
  <c r="AR69" i="3"/>
  <c r="AR75" i="3"/>
  <c r="AE75" i="3"/>
  <c r="BA75" i="3" s="1"/>
  <c r="AC75" i="3"/>
  <c r="AZ75" i="3" s="1"/>
  <c r="AA75" i="3"/>
  <c r="Y75" i="3"/>
  <c r="AY75" i="3" s="1"/>
  <c r="W75" i="3"/>
  <c r="AX75" i="3" s="1"/>
  <c r="U75" i="3"/>
  <c r="AW75" i="3" s="1"/>
  <c r="S75" i="3"/>
  <c r="AV75" i="3" s="1"/>
  <c r="Q75" i="3"/>
  <c r="AU75" i="3" s="1"/>
  <c r="O75" i="3"/>
  <c r="AT75" i="3" s="1"/>
  <c r="AR74" i="3"/>
  <c r="AE74" i="3"/>
  <c r="BA74" i="3" s="1"/>
  <c r="AC74" i="3"/>
  <c r="AZ74" i="3" s="1"/>
  <c r="AA74" i="3"/>
  <c r="Y74" i="3"/>
  <c r="AY74" i="3" s="1"/>
  <c r="W74" i="3"/>
  <c r="AX74" i="3" s="1"/>
  <c r="U74" i="3"/>
  <c r="AW74" i="3" s="1"/>
  <c r="S74" i="3"/>
  <c r="AV74" i="3" s="1"/>
  <c r="Q74" i="3"/>
  <c r="AU74" i="3" s="1"/>
  <c r="O74" i="3"/>
  <c r="AT74" i="3" s="1"/>
  <c r="AR68" i="3"/>
  <c r="AE68" i="3"/>
  <c r="BA68" i="3" s="1"/>
  <c r="AC68" i="3"/>
  <c r="AZ68" i="3" s="1"/>
  <c r="AA68" i="3"/>
  <c r="Y68" i="3"/>
  <c r="AY68" i="3" s="1"/>
  <c r="W68" i="3"/>
  <c r="AX68" i="3" s="1"/>
  <c r="U68" i="3"/>
  <c r="AW68" i="3" s="1"/>
  <c r="S68" i="3"/>
  <c r="AV68" i="3" s="1"/>
  <c r="Q68" i="3"/>
  <c r="AU68" i="3" s="1"/>
  <c r="O68" i="3"/>
  <c r="AT68" i="3" s="1"/>
  <c r="AR66" i="3"/>
  <c r="AE66" i="3"/>
  <c r="BA66" i="3" s="1"/>
  <c r="AC66" i="3"/>
  <c r="AZ66" i="3" s="1"/>
  <c r="AA66" i="3"/>
  <c r="Y66" i="3"/>
  <c r="AY66" i="3" s="1"/>
  <c r="W66" i="3"/>
  <c r="AX66" i="3" s="1"/>
  <c r="U66" i="3"/>
  <c r="AW66" i="3" s="1"/>
  <c r="S66" i="3"/>
  <c r="AV66" i="3" s="1"/>
  <c r="Q66" i="3"/>
  <c r="AU66" i="3" s="1"/>
  <c r="AT66" i="3"/>
  <c r="AR65" i="3"/>
  <c r="AE65" i="3"/>
  <c r="BA65" i="3" s="1"/>
  <c r="AC65" i="3"/>
  <c r="AZ65" i="3" s="1"/>
  <c r="AA65" i="3"/>
  <c r="Y65" i="3"/>
  <c r="AY65" i="3" s="1"/>
  <c r="W65" i="3"/>
  <c r="AX65" i="3" s="1"/>
  <c r="U65" i="3"/>
  <c r="AW65" i="3" s="1"/>
  <c r="S65" i="3"/>
  <c r="AV65" i="3" s="1"/>
  <c r="Q65" i="3"/>
  <c r="AU65" i="3" s="1"/>
  <c r="O65" i="3"/>
  <c r="AT65" i="3" s="1"/>
  <c r="AR63" i="3"/>
  <c r="AE63" i="3"/>
  <c r="BA63" i="3" s="1"/>
  <c r="AC63" i="3"/>
  <c r="AZ63" i="3" s="1"/>
  <c r="AA63" i="3"/>
  <c r="Y63" i="3"/>
  <c r="AY63" i="3" s="1"/>
  <c r="W63" i="3"/>
  <c r="AX63" i="3" s="1"/>
  <c r="U63" i="3"/>
  <c r="AW63" i="3" s="1"/>
  <c r="S63" i="3"/>
  <c r="AV63" i="3" s="1"/>
  <c r="Q63" i="3"/>
  <c r="AU63" i="3" s="1"/>
  <c r="O63" i="3"/>
  <c r="AT63" i="3" s="1"/>
  <c r="AR61" i="3"/>
  <c r="AE61" i="3"/>
  <c r="BA61" i="3" s="1"/>
  <c r="AC61" i="3"/>
  <c r="AZ61" i="3" s="1"/>
  <c r="AA61" i="3"/>
  <c r="Y61" i="3"/>
  <c r="AY61" i="3" s="1"/>
  <c r="W61" i="3"/>
  <c r="AX61" i="3" s="1"/>
  <c r="U61" i="3"/>
  <c r="AW61" i="3" s="1"/>
  <c r="S61" i="3"/>
  <c r="AV61" i="3" s="1"/>
  <c r="Q61" i="3"/>
  <c r="AU61" i="3" s="1"/>
  <c r="O61" i="3"/>
  <c r="AT61" i="3" s="1"/>
  <c r="BE5" i="7" l="1"/>
  <c r="S13" i="7"/>
  <c r="AV13" i="7" s="1"/>
  <c r="BF13" i="7" s="1"/>
  <c r="S14" i="7"/>
  <c r="AV14" i="7" s="1"/>
  <c r="BF14" i="7" s="1"/>
  <c r="S16" i="7"/>
  <c r="AV16" i="7" s="1"/>
  <c r="BF16" i="7" s="1"/>
  <c r="S19" i="7"/>
  <c r="AV19" i="7" s="1"/>
  <c r="BF19" i="7" s="1"/>
  <c r="BG19" i="7" s="1"/>
  <c r="S15" i="7"/>
  <c r="AV15" i="7" s="1"/>
  <c r="BF15" i="7" s="1"/>
  <c r="BG15" i="7" s="1"/>
  <c r="BD15" i="7" s="1"/>
  <c r="S20" i="7"/>
  <c r="AV20" i="7" s="1"/>
  <c r="BF20" i="7" s="1"/>
  <c r="BG20" i="7" s="1"/>
  <c r="BD20" i="7" s="1"/>
  <c r="S18" i="7"/>
  <c r="AV18" i="7" s="1"/>
  <c r="BF18" i="7" s="1"/>
  <c r="BG18" i="7" s="1"/>
  <c r="BG68" i="7"/>
  <c r="BD68" i="7" s="1"/>
  <c r="BG29" i="7"/>
  <c r="BD29" i="7" s="1"/>
  <c r="BG32" i="7"/>
  <c r="BD32" i="7" s="1"/>
  <c r="BG52" i="7"/>
  <c r="BD52" i="7" s="1"/>
  <c r="BG12" i="7"/>
  <c r="BD12" i="7" s="1"/>
  <c r="BG17" i="7"/>
  <c r="BD17" i="7" s="1"/>
  <c r="BG40" i="7"/>
  <c r="BD40" i="7" s="1"/>
  <c r="BG67" i="7"/>
  <c r="BD67" i="7" s="1"/>
  <c r="BG39" i="7"/>
  <c r="BD39" i="7" s="1"/>
  <c r="BG5" i="7"/>
  <c r="BD27" i="7"/>
  <c r="BD10" i="7"/>
  <c r="BD34" i="7"/>
  <c r="BD66" i="7"/>
  <c r="BD54" i="7"/>
  <c r="BD58" i="7"/>
  <c r="BD24" i="7"/>
  <c r="BD42" i="7"/>
  <c r="BD47" i="7"/>
  <c r="BD70" i="7"/>
  <c r="BD44" i="7"/>
  <c r="BD94" i="7"/>
  <c r="BD38" i="7"/>
  <c r="BD7" i="7"/>
  <c r="BD9" i="7"/>
  <c r="BD26" i="7"/>
  <c r="BD30" i="7"/>
  <c r="BD73" i="7"/>
  <c r="BD72" i="7"/>
  <c r="BD62" i="7"/>
  <c r="BD63" i="7"/>
  <c r="BD25" i="7"/>
  <c r="BD37" i="7"/>
  <c r="BD11" i="7"/>
  <c r="BD95" i="7"/>
  <c r="BD97" i="7"/>
  <c r="BD57" i="7"/>
  <c r="BD41" i="7"/>
  <c r="BD6" i="7"/>
  <c r="BD64" i="7"/>
  <c r="BD59" i="7"/>
  <c r="BD8" i="7"/>
  <c r="BD60" i="7"/>
  <c r="BD23" i="7"/>
  <c r="BH14" i="7"/>
  <c r="BH15" i="7"/>
  <c r="BE15" i="7" s="1"/>
  <c r="AS69" i="3"/>
  <c r="BB69" i="3" s="1"/>
  <c r="BF69" i="3" s="1"/>
  <c r="BG69" i="3" s="1"/>
  <c r="BH69" i="3"/>
  <c r="BE69" i="3" s="1"/>
  <c r="BH18" i="7"/>
  <c r="BE18" i="7" s="1"/>
  <c r="AS66" i="3"/>
  <c r="BB66" i="3" s="1"/>
  <c r="BF66" i="3" s="1"/>
  <c r="BG66" i="3" s="1"/>
  <c r="BH66" i="3"/>
  <c r="BE66" i="3" s="1"/>
  <c r="AS76" i="3"/>
  <c r="BB76" i="3" s="1"/>
  <c r="BF76" i="3" s="1"/>
  <c r="BG76" i="3" s="1"/>
  <c r="BH76" i="3"/>
  <c r="BE76" i="3" s="1"/>
  <c r="BH16" i="7"/>
  <c r="BH20" i="7"/>
  <c r="BE20" i="7" s="1"/>
  <c r="AS61" i="3"/>
  <c r="BB61" i="3" s="1"/>
  <c r="BF61" i="3" s="1"/>
  <c r="BG61" i="3" s="1"/>
  <c r="BH61" i="3"/>
  <c r="BE61" i="3" s="1"/>
  <c r="BB99" i="7"/>
  <c r="AS74" i="3"/>
  <c r="BB74" i="3" s="1"/>
  <c r="BF74" i="3" s="1"/>
  <c r="BG74" i="3" s="1"/>
  <c r="BH74" i="3"/>
  <c r="BE74" i="3" s="1"/>
  <c r="AS75" i="3"/>
  <c r="BB75" i="3" s="1"/>
  <c r="BF75" i="3" s="1"/>
  <c r="BG75" i="3" s="1"/>
  <c r="BH75" i="3"/>
  <c r="BE75" i="3" s="1"/>
  <c r="AS65" i="3"/>
  <c r="BB65" i="3" s="1"/>
  <c r="BF65" i="3" s="1"/>
  <c r="BG65" i="3" s="1"/>
  <c r="BH65" i="3"/>
  <c r="BE65" i="3" s="1"/>
  <c r="AS62" i="3"/>
  <c r="BB62" i="3" s="1"/>
  <c r="BF62" i="3" s="1"/>
  <c r="BG62" i="3" s="1"/>
  <c r="BH62" i="3"/>
  <c r="BE62" i="3" s="1"/>
  <c r="BH13" i="7"/>
  <c r="BE13" i="7" s="1"/>
  <c r="BH19" i="7"/>
  <c r="BE19" i="7" s="1"/>
  <c r="AS70" i="3"/>
  <c r="BB70" i="3" s="1"/>
  <c r="BF70" i="3" s="1"/>
  <c r="BG70" i="3" s="1"/>
  <c r="BH70" i="3"/>
  <c r="BE70" i="3" s="1"/>
  <c r="AS68" i="3"/>
  <c r="BB68" i="3" s="1"/>
  <c r="BF68" i="3" s="1"/>
  <c r="BG68" i="3" s="1"/>
  <c r="BH68" i="3"/>
  <c r="BE68" i="3" s="1"/>
  <c r="BH21" i="7"/>
  <c r="BE21" i="7" s="1"/>
  <c r="AS63" i="3"/>
  <c r="BB63" i="3" s="1"/>
  <c r="BF63" i="3" s="1"/>
  <c r="BG63" i="3" s="1"/>
  <c r="BH63" i="3"/>
  <c r="BE63" i="3" s="1"/>
  <c r="AS55" i="3"/>
  <c r="BB55" i="3" s="1"/>
  <c r="BF55" i="3" s="1"/>
  <c r="BG55" i="3" s="1"/>
  <c r="BH55" i="3"/>
  <c r="BE55" i="3" s="1"/>
  <c r="AV21" i="7"/>
  <c r="BF21" i="7" s="1"/>
  <c r="BC23" i="7"/>
  <c r="BC58" i="7"/>
  <c r="BC94" i="7"/>
  <c r="BC7" i="7"/>
  <c r="BC41" i="7"/>
  <c r="BC38" i="7"/>
  <c r="BC66" i="7"/>
  <c r="BC44" i="7"/>
  <c r="BC95" i="7"/>
  <c r="BC27" i="7"/>
  <c r="BC59" i="7"/>
  <c r="BC97" i="7"/>
  <c r="BC11" i="7"/>
  <c r="BC52" i="7"/>
  <c r="BC8" i="7"/>
  <c r="BC42" i="7"/>
  <c r="BC72" i="7"/>
  <c r="BC9" i="7"/>
  <c r="BC57" i="7"/>
  <c r="BC29" i="7"/>
  <c r="BC6" i="7"/>
  <c r="BC34" i="7"/>
  <c r="BC24" i="7"/>
  <c r="BC64" i="7"/>
  <c r="BC25" i="7"/>
  <c r="BC54" i="7"/>
  <c r="BC26" i="7"/>
  <c r="BC62" i="7"/>
  <c r="BC10" i="7"/>
  <c r="BC47" i="7"/>
  <c r="BC63" i="7"/>
  <c r="BC70" i="7"/>
  <c r="BC30" i="7"/>
  <c r="BC60" i="7"/>
  <c r="BC32" i="7"/>
  <c r="BC73" i="7"/>
  <c r="BC37" i="7"/>
  <c r="AT99" i="7"/>
  <c r="BC5" i="7"/>
  <c r="AW176" i="8"/>
  <c r="AX176" i="8"/>
  <c r="AY176" i="8"/>
  <c r="AZ176" i="8"/>
  <c r="BA176" i="8"/>
  <c r="E10" i="20" l="1" a="1"/>
  <c r="E10" i="20" s="1"/>
  <c r="G10" i="20" s="1"/>
  <c r="H10" i="20" s="1"/>
  <c r="BD5" i="7"/>
  <c r="E21" i="15" a="1"/>
  <c r="E21" i="15" s="1"/>
  <c r="E22" i="15" a="1"/>
  <c r="E22" i="15" s="1"/>
  <c r="E21" i="20" a="1"/>
  <c r="E21" i="20" s="1"/>
  <c r="E9" i="20" a="1"/>
  <c r="E9" i="20" s="1"/>
  <c r="E22" i="20" a="1"/>
  <c r="E22" i="20" s="1"/>
  <c r="E10" i="15" a="1"/>
  <c r="E10" i="15" s="1"/>
  <c r="I10" i="15" s="1"/>
  <c r="BE16" i="7"/>
  <c r="E9" i="15" a="1"/>
  <c r="E9" i="15" s="1"/>
  <c r="BE14" i="7"/>
  <c r="BG14" i="7"/>
  <c r="BD14" i="7" s="1"/>
  <c r="BG21" i="7"/>
  <c r="BD21" i="7" s="1"/>
  <c r="BG16" i="7"/>
  <c r="BD16" i="7" s="1"/>
  <c r="BG13" i="7"/>
  <c r="BD13" i="7" s="1"/>
  <c r="BD18" i="7"/>
  <c r="BD19" i="7"/>
  <c r="BC21" i="7"/>
  <c r="BF99" i="7"/>
  <c r="BC68" i="3"/>
  <c r="BD68" i="3"/>
  <c r="BC76" i="3"/>
  <c r="BD76" i="3"/>
  <c r="BC63" i="3"/>
  <c r="BD63" i="3"/>
  <c r="BC65" i="3"/>
  <c r="BD65" i="3"/>
  <c r="BC55" i="3"/>
  <c r="BD55" i="3"/>
  <c r="BC70" i="3"/>
  <c r="BD70" i="3"/>
  <c r="BC62" i="3"/>
  <c r="BD62" i="3"/>
  <c r="BC61" i="3"/>
  <c r="BD61" i="3"/>
  <c r="BC74" i="3"/>
  <c r="BD74" i="3"/>
  <c r="BC75" i="3"/>
  <c r="BD75" i="3"/>
  <c r="BC69" i="3"/>
  <c r="BD69" i="3"/>
  <c r="BC66" i="3"/>
  <c r="BD66" i="3"/>
  <c r="BC19" i="7"/>
  <c r="BC16" i="7"/>
  <c r="BC12" i="7"/>
  <c r="BC18" i="7"/>
  <c r="BC14" i="7"/>
  <c r="BC15" i="7"/>
  <c r="BC68" i="7"/>
  <c r="BC39" i="7"/>
  <c r="BC17" i="7"/>
  <c r="BC20" i="7"/>
  <c r="BC13" i="7"/>
  <c r="BC67" i="7"/>
  <c r="BC40" i="7"/>
  <c r="F5" i="6" a="1"/>
  <c r="F5" i="6" s="1"/>
  <c r="G53" i="13" s="1"/>
  <c r="AU99" i="7"/>
  <c r="AV99" i="7"/>
  <c r="F12" i="6" a="1"/>
  <c r="F12" i="6" s="1"/>
  <c r="G81" i="13" s="1"/>
  <c r="F13" i="6" a="1"/>
  <c r="F13" i="6" s="1"/>
  <c r="G82" i="13" s="1"/>
  <c r="F7" i="6" a="1"/>
  <c r="F7" i="6" s="1"/>
  <c r="G78" i="13" s="1"/>
  <c r="F6" i="6" a="1"/>
  <c r="F6" i="6" s="1"/>
  <c r="G77" i="13" s="1"/>
  <c r="F14" i="6" a="1"/>
  <c r="F14" i="6" s="1"/>
  <c r="F4" i="6" a="1"/>
  <c r="F4" i="6" s="1"/>
  <c r="F10" i="6" a="1"/>
  <c r="F10" i="6" s="1"/>
  <c r="G54" i="13" s="1"/>
  <c r="F11" i="6" a="1"/>
  <c r="F11" i="6" s="1"/>
  <c r="G80" i="13" s="1"/>
  <c r="F8" i="6" a="1"/>
  <c r="F8" i="6" s="1"/>
  <c r="AV176" i="8"/>
  <c r="AU176" i="8"/>
  <c r="AC5" i="3"/>
  <c r="AZ5" i="3" s="1"/>
  <c r="AC6" i="3"/>
  <c r="AZ6" i="3" s="1"/>
  <c r="AC7" i="3"/>
  <c r="AZ7" i="3" s="1"/>
  <c r="AC8" i="3"/>
  <c r="AZ8" i="3" s="1"/>
  <c r="AC9" i="3"/>
  <c r="AZ9" i="3" s="1"/>
  <c r="AC10" i="3"/>
  <c r="AZ10" i="3" s="1"/>
  <c r="AC11" i="3"/>
  <c r="AZ11" i="3" s="1"/>
  <c r="AC12" i="3"/>
  <c r="AZ12" i="3" s="1"/>
  <c r="AC13" i="3"/>
  <c r="AZ13" i="3" s="1"/>
  <c r="AC14" i="3"/>
  <c r="AZ14" i="3" s="1"/>
  <c r="AC15" i="3"/>
  <c r="AZ15" i="3" s="1"/>
  <c r="AC16" i="3"/>
  <c r="AZ16" i="3" s="1"/>
  <c r="AC17" i="3"/>
  <c r="AZ17" i="3" s="1"/>
  <c r="AC18" i="3"/>
  <c r="AZ18" i="3" s="1"/>
  <c r="AC19" i="3"/>
  <c r="AZ19" i="3" s="1"/>
  <c r="AC20" i="3"/>
  <c r="AZ20" i="3" s="1"/>
  <c r="AC21" i="3"/>
  <c r="AZ21" i="3" s="1"/>
  <c r="AC22" i="3"/>
  <c r="AZ22" i="3" s="1"/>
  <c r="AC23" i="3"/>
  <c r="AZ23" i="3" s="1"/>
  <c r="AC24" i="3"/>
  <c r="AZ24" i="3" s="1"/>
  <c r="AC25" i="3"/>
  <c r="AZ25" i="3" s="1"/>
  <c r="AC26" i="3"/>
  <c r="AZ26" i="3" s="1"/>
  <c r="AC27" i="3"/>
  <c r="AZ27" i="3" s="1"/>
  <c r="AC28" i="3"/>
  <c r="AZ28" i="3" s="1"/>
  <c r="AC29" i="3"/>
  <c r="AZ29" i="3" s="1"/>
  <c r="AC30" i="3"/>
  <c r="AZ30" i="3" s="1"/>
  <c r="AC31" i="3"/>
  <c r="AZ31" i="3" s="1"/>
  <c r="AC32" i="3"/>
  <c r="AZ32" i="3" s="1"/>
  <c r="AC33" i="3"/>
  <c r="AZ33" i="3" s="1"/>
  <c r="AC34" i="3"/>
  <c r="AZ34" i="3" s="1"/>
  <c r="AC35" i="3"/>
  <c r="AZ35" i="3" s="1"/>
  <c r="AC36" i="3"/>
  <c r="AZ36" i="3" s="1"/>
  <c r="AC37" i="3"/>
  <c r="AZ37" i="3" s="1"/>
  <c r="AC38" i="3"/>
  <c r="AZ38" i="3" s="1"/>
  <c r="AC39" i="3"/>
  <c r="AZ39" i="3" s="1"/>
  <c r="AC40" i="3"/>
  <c r="AZ40" i="3" s="1"/>
  <c r="AC41" i="3"/>
  <c r="AZ41" i="3" s="1"/>
  <c r="AC42" i="3"/>
  <c r="AZ42" i="3" s="1"/>
  <c r="AC43" i="3"/>
  <c r="AZ43" i="3" s="1"/>
  <c r="AC44" i="3"/>
  <c r="AZ44" i="3" s="1"/>
  <c r="AC45" i="3"/>
  <c r="AZ45" i="3" s="1"/>
  <c r="AC46" i="3"/>
  <c r="AZ46" i="3" s="1"/>
  <c r="AC47" i="3"/>
  <c r="AZ47" i="3" s="1"/>
  <c r="AC48" i="3"/>
  <c r="AZ48" i="3" s="1"/>
  <c r="AC49" i="3"/>
  <c r="AZ49" i="3" s="1"/>
  <c r="AC50" i="3"/>
  <c r="AZ50" i="3" s="1"/>
  <c r="AC51" i="3"/>
  <c r="AZ51" i="3" s="1"/>
  <c r="AC52" i="3"/>
  <c r="AZ52" i="3" s="1"/>
  <c r="AC53" i="3"/>
  <c r="AZ53" i="3" s="1"/>
  <c r="AC54" i="3"/>
  <c r="AZ54" i="3" s="1"/>
  <c r="AC56" i="3"/>
  <c r="AZ56" i="3" s="1"/>
  <c r="AC58" i="3"/>
  <c r="AZ58" i="3" s="1"/>
  <c r="AC59" i="3"/>
  <c r="AZ59" i="3" s="1"/>
  <c r="AC60" i="3"/>
  <c r="AZ60" i="3" s="1"/>
  <c r="AC64" i="3"/>
  <c r="AZ64" i="3" s="1"/>
  <c r="AC67" i="3"/>
  <c r="AZ67" i="3" s="1"/>
  <c r="AC71" i="3"/>
  <c r="AZ71" i="3" s="1"/>
  <c r="AC72" i="3"/>
  <c r="AZ72" i="3" s="1"/>
  <c r="AC73" i="3"/>
  <c r="AZ73" i="3" s="1"/>
  <c r="O56" i="3"/>
  <c r="AT56" i="3" s="1"/>
  <c r="AA9" i="15" l="1"/>
  <c r="I9" i="15"/>
  <c r="J9" i="15" s="1"/>
  <c r="AD22" i="15"/>
  <c r="AE22" i="15" s="1"/>
  <c r="AB22" i="15"/>
  <c r="AC22" i="15" s="1"/>
  <c r="AD21" i="15"/>
  <c r="AE21" i="15" s="1"/>
  <c r="AB21" i="15"/>
  <c r="AC21" i="15" s="1"/>
  <c r="G10" i="15"/>
  <c r="H10" i="15" s="1"/>
  <c r="AA10" i="15"/>
  <c r="G22" i="15"/>
  <c r="H22" i="15" s="1"/>
  <c r="AA22" i="15"/>
  <c r="G21" i="15"/>
  <c r="H21" i="15" s="1"/>
  <c r="AA21" i="15"/>
  <c r="G79" i="13"/>
  <c r="G17" i="13"/>
  <c r="I10" i="20"/>
  <c r="J10" i="20" s="1"/>
  <c r="E11" i="15" a="1"/>
  <c r="E11" i="15" s="1"/>
  <c r="K10" i="20"/>
  <c r="E20" i="20" a="1"/>
  <c r="E20" i="20" s="1"/>
  <c r="G20" i="20" s="1"/>
  <c r="H20" i="20" s="1"/>
  <c r="E14" i="15" a="1"/>
  <c r="E14" i="15" s="1"/>
  <c r="E13" i="15" a="1"/>
  <c r="E13" i="15" s="1"/>
  <c r="I21" i="15"/>
  <c r="J21" i="15" s="1"/>
  <c r="K9" i="20"/>
  <c r="G9" i="20"/>
  <c r="H9" i="20" s="1"/>
  <c r="I9" i="20"/>
  <c r="J9" i="20" s="1"/>
  <c r="I21" i="20"/>
  <c r="J21" i="20" s="1"/>
  <c r="K21" i="20"/>
  <c r="G21" i="20"/>
  <c r="H21" i="20" s="1"/>
  <c r="E20" i="15" a="1"/>
  <c r="E20" i="15" s="1"/>
  <c r="E13" i="20" a="1"/>
  <c r="E13" i="20" s="1"/>
  <c r="E23" i="15" a="1"/>
  <c r="E23" i="15" s="1"/>
  <c r="E11" i="20" a="1"/>
  <c r="E11" i="20" s="1"/>
  <c r="E25" i="15" a="1"/>
  <c r="E25" i="15" s="1"/>
  <c r="E14" i="20" a="1"/>
  <c r="E14" i="20" s="1"/>
  <c r="E23" i="20" a="1"/>
  <c r="E23" i="20" s="1"/>
  <c r="E12" i="20" a="1"/>
  <c r="E12" i="20" s="1"/>
  <c r="E24" i="20" a="1"/>
  <c r="E24" i="20" s="1"/>
  <c r="E25" i="20" a="1"/>
  <c r="E25" i="20" s="1"/>
  <c r="I22" i="15"/>
  <c r="J22" i="15" s="1"/>
  <c r="K22" i="20"/>
  <c r="G22" i="20"/>
  <c r="H22" i="20" s="1"/>
  <c r="I22" i="20"/>
  <c r="J22" i="20" s="1"/>
  <c r="K9" i="15"/>
  <c r="G9" i="15"/>
  <c r="H9" i="15" s="1"/>
  <c r="E24" i="15" a="1"/>
  <c r="E24" i="15" s="1"/>
  <c r="K21" i="15"/>
  <c r="K22" i="15"/>
  <c r="J10" i="15"/>
  <c r="K10" i="15"/>
  <c r="E12" i="15" a="1"/>
  <c r="E12" i="15" s="1"/>
  <c r="D12" i="6"/>
  <c r="K7" i="6" a="1"/>
  <c r="K7" i="6" s="1"/>
  <c r="K13" i="6" a="1"/>
  <c r="K13" i="6" s="1"/>
  <c r="H13" i="6" s="1"/>
  <c r="B5" i="6"/>
  <c r="K5" i="6" a="1"/>
  <c r="K5" i="6" s="1"/>
  <c r="D5" i="6"/>
  <c r="C5" i="6"/>
  <c r="E5" i="6"/>
  <c r="C12" i="6"/>
  <c r="E12" i="6"/>
  <c r="B12" i="6"/>
  <c r="C13" i="6"/>
  <c r="K12" i="6" a="1"/>
  <c r="K12" i="6" s="1"/>
  <c r="E7" i="6"/>
  <c r="D13" i="6"/>
  <c r="B13" i="6"/>
  <c r="C7" i="6"/>
  <c r="D7" i="6"/>
  <c r="E13" i="6"/>
  <c r="B7" i="6"/>
  <c r="B10" i="6"/>
  <c r="E10" i="6"/>
  <c r="C10" i="6"/>
  <c r="D10" i="6"/>
  <c r="K10" i="6" a="1"/>
  <c r="K10" i="6" s="1"/>
  <c r="K4" i="6" a="1"/>
  <c r="K4" i="6" s="1"/>
  <c r="C4" i="6"/>
  <c r="B4" i="6"/>
  <c r="E4" i="6"/>
  <c r="D4" i="6"/>
  <c r="C14" i="6"/>
  <c r="D14" i="6"/>
  <c r="K14" i="6" a="1"/>
  <c r="K14" i="6" s="1"/>
  <c r="B14" i="6"/>
  <c r="E14" i="6"/>
  <c r="K6" i="6" a="1"/>
  <c r="K6" i="6" s="1"/>
  <c r="B6" i="6"/>
  <c r="E6" i="6"/>
  <c r="C6" i="6"/>
  <c r="D6" i="6"/>
  <c r="B8" i="6"/>
  <c r="E8" i="6"/>
  <c r="C8" i="6"/>
  <c r="D8" i="6"/>
  <c r="K8" i="6" a="1"/>
  <c r="K8" i="6" s="1"/>
  <c r="K11" i="6" a="1"/>
  <c r="K11" i="6" s="1"/>
  <c r="B11" i="6"/>
  <c r="E11" i="6"/>
  <c r="C11" i="6"/>
  <c r="D11" i="6"/>
  <c r="AZ82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S46" i="3" s="1"/>
  <c r="AR47" i="3"/>
  <c r="AS47" i="3" s="1"/>
  <c r="AR48" i="3"/>
  <c r="AR49" i="3"/>
  <c r="AR50" i="3"/>
  <c r="AR51" i="3"/>
  <c r="AR52" i="3"/>
  <c r="AR53" i="3"/>
  <c r="AR54" i="3"/>
  <c r="AR56" i="3"/>
  <c r="AR58" i="3"/>
  <c r="AR59" i="3"/>
  <c r="AR60" i="3"/>
  <c r="AR64" i="3"/>
  <c r="AR67" i="3"/>
  <c r="AR71" i="3"/>
  <c r="AR72" i="3"/>
  <c r="AR73" i="3"/>
  <c r="AD25" i="15" l="1"/>
  <c r="AE25" i="15" s="1"/>
  <c r="AB25" i="15"/>
  <c r="AC25" i="15" s="1"/>
  <c r="AD11" i="15"/>
  <c r="AB11" i="15"/>
  <c r="AD23" i="15"/>
  <c r="AE23" i="15" s="1"/>
  <c r="AB23" i="15"/>
  <c r="AC23" i="15" s="1"/>
  <c r="AD20" i="15"/>
  <c r="AB20" i="15"/>
  <c r="AC20" i="15" s="1"/>
  <c r="AA24" i="15"/>
  <c r="AD24" i="15"/>
  <c r="AE24" i="15" s="1"/>
  <c r="AB24" i="15"/>
  <c r="AC24" i="15" s="1"/>
  <c r="AA12" i="15"/>
  <c r="AD12" i="15"/>
  <c r="AE12" i="15" s="1"/>
  <c r="AB12" i="15"/>
  <c r="AC12" i="15" s="1"/>
  <c r="AD13" i="15"/>
  <c r="AE13" i="15" s="1"/>
  <c r="AB13" i="15"/>
  <c r="AC13" i="15" s="1"/>
  <c r="AD14" i="15"/>
  <c r="AE14" i="15" s="1"/>
  <c r="AB14" i="15"/>
  <c r="AC14" i="15" s="1"/>
  <c r="G13" i="15"/>
  <c r="H13" i="15" s="1"/>
  <c r="AA13" i="15"/>
  <c r="G14" i="15"/>
  <c r="H14" i="15" s="1"/>
  <c r="AA14" i="15"/>
  <c r="K25" i="15"/>
  <c r="AA25" i="15"/>
  <c r="G11" i="15"/>
  <c r="H11" i="15" s="1"/>
  <c r="AA11" i="15"/>
  <c r="G23" i="15"/>
  <c r="H23" i="15" s="1"/>
  <c r="AA23" i="15"/>
  <c r="G20" i="15"/>
  <c r="H20" i="15" s="1"/>
  <c r="AA20" i="15"/>
  <c r="K13" i="15"/>
  <c r="K14" i="15"/>
  <c r="K11" i="15"/>
  <c r="K20" i="15"/>
  <c r="I11" i="15"/>
  <c r="J11" i="15" s="1"/>
  <c r="I13" i="15"/>
  <c r="J13" i="15" s="1"/>
  <c r="I14" i="15"/>
  <c r="J14" i="15" s="1"/>
  <c r="I25" i="15"/>
  <c r="J25" i="15" s="1"/>
  <c r="G25" i="15"/>
  <c r="H25" i="15" s="1"/>
  <c r="I20" i="15"/>
  <c r="J20" i="15" s="1"/>
  <c r="K20" i="20"/>
  <c r="I20" i="20"/>
  <c r="J20" i="20" s="1"/>
  <c r="I24" i="20"/>
  <c r="J24" i="20" s="1"/>
  <c r="G24" i="20"/>
  <c r="H24" i="20" s="1"/>
  <c r="K24" i="20"/>
  <c r="K12" i="20"/>
  <c r="I12" i="20"/>
  <c r="J12" i="20" s="1"/>
  <c r="G12" i="20"/>
  <c r="H12" i="20" s="1"/>
  <c r="K23" i="20"/>
  <c r="I23" i="20"/>
  <c r="J23" i="20" s="1"/>
  <c r="G23" i="20"/>
  <c r="H23" i="20" s="1"/>
  <c r="G14" i="20"/>
  <c r="H14" i="20" s="1"/>
  <c r="K14" i="20"/>
  <c r="I14" i="20"/>
  <c r="J14" i="20" s="1"/>
  <c r="K11" i="20"/>
  <c r="I11" i="20"/>
  <c r="J11" i="20" s="1"/>
  <c r="G11" i="20"/>
  <c r="H11" i="20" s="1"/>
  <c r="I23" i="15"/>
  <c r="J23" i="15" s="1"/>
  <c r="I13" i="20"/>
  <c r="J13" i="20" s="1"/>
  <c r="G13" i="20"/>
  <c r="H13" i="20" s="1"/>
  <c r="K13" i="20"/>
  <c r="K25" i="20"/>
  <c r="I25" i="20"/>
  <c r="J25" i="20" s="1"/>
  <c r="G25" i="20"/>
  <c r="H25" i="20" s="1"/>
  <c r="K23" i="15"/>
  <c r="K24" i="15"/>
  <c r="G24" i="15"/>
  <c r="H24" i="15" s="1"/>
  <c r="K12" i="15"/>
  <c r="G12" i="15"/>
  <c r="H12" i="15" s="1"/>
  <c r="I24" i="15"/>
  <c r="J24" i="15" s="1"/>
  <c r="I12" i="15"/>
  <c r="J12" i="15" s="1"/>
  <c r="AS32" i="3"/>
  <c r="BB32" i="3" s="1"/>
  <c r="BH32" i="3"/>
  <c r="BE32" i="3" s="1"/>
  <c r="AS16" i="3"/>
  <c r="BB16" i="3" s="1"/>
  <c r="BH16" i="3"/>
  <c r="BE16" i="3" s="1"/>
  <c r="AS14" i="3"/>
  <c r="BB14" i="3" s="1"/>
  <c r="BH14" i="3"/>
  <c r="BE14" i="3" s="1"/>
  <c r="AS71" i="3"/>
  <c r="BB71" i="3" s="1"/>
  <c r="BH71" i="3"/>
  <c r="BE71" i="3" s="1"/>
  <c r="AS45" i="3"/>
  <c r="BB45" i="3" s="1"/>
  <c r="BH45" i="3"/>
  <c r="BE45" i="3" s="1"/>
  <c r="AS29" i="3"/>
  <c r="BB29" i="3" s="1"/>
  <c r="BH29" i="3"/>
  <c r="BE29" i="3" s="1"/>
  <c r="AS13" i="3"/>
  <c r="BB13" i="3" s="1"/>
  <c r="BH13" i="3"/>
  <c r="BE13" i="3" s="1"/>
  <c r="AS67" i="3"/>
  <c r="BB67" i="3" s="1"/>
  <c r="BH67" i="3"/>
  <c r="BE67" i="3" s="1"/>
  <c r="AS44" i="3"/>
  <c r="BB44" i="3" s="1"/>
  <c r="BH44" i="3"/>
  <c r="BE44" i="3" s="1"/>
  <c r="AS28" i="3"/>
  <c r="BB28" i="3" s="1"/>
  <c r="BH28" i="3"/>
  <c r="BE28" i="3" s="1"/>
  <c r="AS12" i="3"/>
  <c r="BB12" i="3" s="1"/>
  <c r="BH12" i="3"/>
  <c r="BE12" i="3" s="1"/>
  <c r="AS34" i="3"/>
  <c r="BB34" i="3" s="1"/>
  <c r="BH34" i="3"/>
  <c r="BE34" i="3" s="1"/>
  <c r="AS49" i="3"/>
  <c r="BB49" i="3" s="1"/>
  <c r="BH49" i="3"/>
  <c r="BE49" i="3" s="1"/>
  <c r="AS17" i="3"/>
  <c r="BB17" i="3" s="1"/>
  <c r="BH17" i="3"/>
  <c r="BE17" i="3" s="1"/>
  <c r="AS73" i="3"/>
  <c r="BB73" i="3" s="1"/>
  <c r="BH73" i="3"/>
  <c r="BE73" i="3" s="1"/>
  <c r="AS72" i="3"/>
  <c r="BB72" i="3" s="1"/>
  <c r="BH72" i="3"/>
  <c r="BE72" i="3" s="1"/>
  <c r="AS43" i="3"/>
  <c r="BB43" i="3" s="1"/>
  <c r="BH43" i="3"/>
  <c r="BE43" i="3" s="1"/>
  <c r="AS26" i="3"/>
  <c r="BB26" i="3" s="1"/>
  <c r="BH26" i="3"/>
  <c r="BE26" i="3" s="1"/>
  <c r="AS10" i="3"/>
  <c r="BB10" i="3" s="1"/>
  <c r="BH10" i="3"/>
  <c r="BE10" i="3" s="1"/>
  <c r="AS59" i="3"/>
  <c r="BB59" i="3" s="1"/>
  <c r="BH59" i="3"/>
  <c r="BE59" i="3" s="1"/>
  <c r="AS41" i="3"/>
  <c r="BB41" i="3" s="1"/>
  <c r="BH41" i="3"/>
  <c r="BE41" i="3" s="1"/>
  <c r="AS25" i="3"/>
  <c r="BB25" i="3" s="1"/>
  <c r="BH25" i="3"/>
  <c r="BE25" i="3" s="1"/>
  <c r="AS9" i="3"/>
  <c r="BB9" i="3" s="1"/>
  <c r="BH9" i="3"/>
  <c r="BE9" i="3" s="1"/>
  <c r="AS64" i="3"/>
  <c r="BB64" i="3" s="1"/>
  <c r="BH64" i="3"/>
  <c r="BE64" i="3" s="1"/>
  <c r="AS27" i="3"/>
  <c r="BB27" i="3" s="1"/>
  <c r="BH27" i="3"/>
  <c r="BE27" i="3" s="1"/>
  <c r="AS11" i="3"/>
  <c r="BB11" i="3" s="1"/>
  <c r="BH11" i="3"/>
  <c r="BE11" i="3" s="1"/>
  <c r="AS60" i="3"/>
  <c r="BB60" i="3" s="1"/>
  <c r="BH60" i="3"/>
  <c r="BE60" i="3" s="1"/>
  <c r="AS58" i="3"/>
  <c r="BB58" i="3" s="1"/>
  <c r="BH58" i="3"/>
  <c r="BE58" i="3" s="1"/>
  <c r="AS40" i="3"/>
  <c r="BB40" i="3" s="1"/>
  <c r="BH40" i="3"/>
  <c r="BE40" i="3" s="1"/>
  <c r="AS24" i="3"/>
  <c r="BB24" i="3" s="1"/>
  <c r="BH24" i="3"/>
  <c r="BE24" i="3" s="1"/>
  <c r="AS8" i="3"/>
  <c r="BB8" i="3" s="1"/>
  <c r="BH8" i="3"/>
  <c r="BE8" i="3" s="1"/>
  <c r="AS31" i="3"/>
  <c r="BB31" i="3" s="1"/>
  <c r="BH31" i="3"/>
  <c r="BE31" i="3" s="1"/>
  <c r="AS15" i="3"/>
  <c r="BB15" i="3" s="1"/>
  <c r="BH15" i="3"/>
  <c r="BE15" i="3" s="1"/>
  <c r="AS30" i="3"/>
  <c r="BB30" i="3" s="1"/>
  <c r="BH30" i="3"/>
  <c r="BE30" i="3" s="1"/>
  <c r="AS42" i="3"/>
  <c r="BB42" i="3" s="1"/>
  <c r="BH42" i="3"/>
  <c r="BE42" i="3" s="1"/>
  <c r="AS56" i="3"/>
  <c r="BB56" i="3" s="1"/>
  <c r="BH56" i="3"/>
  <c r="BE56" i="3" s="1"/>
  <c r="AS39" i="3"/>
  <c r="BB39" i="3" s="1"/>
  <c r="BH39" i="3"/>
  <c r="BE39" i="3" s="1"/>
  <c r="AS23" i="3"/>
  <c r="BB23" i="3" s="1"/>
  <c r="BH23" i="3"/>
  <c r="BE23" i="3" s="1"/>
  <c r="AS7" i="3"/>
  <c r="BB7" i="3" s="1"/>
  <c r="BH7" i="3"/>
  <c r="BE7" i="3" s="1"/>
  <c r="AS50" i="3"/>
  <c r="BB50" i="3" s="1"/>
  <c r="BH50" i="3"/>
  <c r="BE50" i="3" s="1"/>
  <c r="AS48" i="3"/>
  <c r="BB48" i="3" s="1"/>
  <c r="BH48" i="3"/>
  <c r="BE48" i="3" s="1"/>
  <c r="AS18" i="3"/>
  <c r="BB18" i="3" s="1"/>
  <c r="BH18" i="3"/>
  <c r="BE18" i="3" s="1"/>
  <c r="AS33" i="3"/>
  <c r="BB33" i="3" s="1"/>
  <c r="BH33" i="3"/>
  <c r="BE33" i="3" s="1"/>
  <c r="AS38" i="3"/>
  <c r="BB38" i="3" s="1"/>
  <c r="BH38" i="3"/>
  <c r="BE38" i="3" s="1"/>
  <c r="AS22" i="3"/>
  <c r="BB22" i="3" s="1"/>
  <c r="BH22" i="3"/>
  <c r="BE22" i="3" s="1"/>
  <c r="AS6" i="3"/>
  <c r="BB6" i="3" s="1"/>
  <c r="BH6" i="3"/>
  <c r="BE6" i="3" s="1"/>
  <c r="AS53" i="3"/>
  <c r="BB53" i="3" s="1"/>
  <c r="BH53" i="3"/>
  <c r="BE53" i="3" s="1"/>
  <c r="AS54" i="3"/>
  <c r="BB54" i="3" s="1"/>
  <c r="BH54" i="3"/>
  <c r="BE54" i="3" s="1"/>
  <c r="AS37" i="3"/>
  <c r="BB37" i="3" s="1"/>
  <c r="BH37" i="3"/>
  <c r="AS21" i="3"/>
  <c r="BB21" i="3" s="1"/>
  <c r="BH21" i="3"/>
  <c r="BE21" i="3" s="1"/>
  <c r="AS5" i="3"/>
  <c r="BB5" i="3" s="1"/>
  <c r="BH5" i="3"/>
  <c r="BE5" i="3" s="1"/>
  <c r="AS52" i="3"/>
  <c r="BB52" i="3" s="1"/>
  <c r="BH52" i="3"/>
  <c r="BE52" i="3" s="1"/>
  <c r="AS36" i="3"/>
  <c r="BB36" i="3" s="1"/>
  <c r="BH36" i="3"/>
  <c r="BE36" i="3" s="1"/>
  <c r="AS20" i="3"/>
  <c r="BB20" i="3" s="1"/>
  <c r="BH20" i="3"/>
  <c r="BE20" i="3" s="1"/>
  <c r="AS51" i="3"/>
  <c r="BB51" i="3" s="1"/>
  <c r="BH51" i="3"/>
  <c r="BE51" i="3" s="1"/>
  <c r="AS35" i="3"/>
  <c r="BB35" i="3" s="1"/>
  <c r="BH35" i="3"/>
  <c r="BE35" i="3" s="1"/>
  <c r="AS19" i="3"/>
  <c r="BB19" i="3" s="1"/>
  <c r="BH19" i="3"/>
  <c r="BE19" i="3" s="1"/>
  <c r="I7" i="6"/>
  <c r="J12" i="6"/>
  <c r="H5" i="6"/>
  <c r="G13" i="6"/>
  <c r="J7" i="6"/>
  <c r="J13" i="6"/>
  <c r="H7" i="6"/>
  <c r="G7" i="6"/>
  <c r="I13" i="6"/>
  <c r="I5" i="6"/>
  <c r="J5" i="6"/>
  <c r="G5" i="6"/>
  <c r="H12" i="6"/>
  <c r="I12" i="6"/>
  <c r="G12" i="6"/>
  <c r="I4" i="6"/>
  <c r="G4" i="6"/>
  <c r="H4" i="6"/>
  <c r="J4" i="6"/>
  <c r="H14" i="6"/>
  <c r="I14" i="6"/>
  <c r="J14" i="6"/>
  <c r="G14" i="6"/>
  <c r="G6" i="6"/>
  <c r="H6" i="6"/>
  <c r="I6" i="6"/>
  <c r="J6" i="6"/>
  <c r="H11" i="6"/>
  <c r="I11" i="6"/>
  <c r="J11" i="6"/>
  <c r="G11" i="6"/>
  <c r="G8" i="6"/>
  <c r="H8" i="6"/>
  <c r="I8" i="6"/>
  <c r="J8" i="6"/>
  <c r="G10" i="6"/>
  <c r="H10" i="6"/>
  <c r="I10" i="6"/>
  <c r="J10" i="6"/>
  <c r="BB47" i="3"/>
  <c r="BB46" i="3"/>
  <c r="Q47" i="3"/>
  <c r="Q46" i="3"/>
  <c r="Q5" i="3"/>
  <c r="AU5" i="3" s="1"/>
  <c r="Q6" i="3"/>
  <c r="AU6" i="3" s="1"/>
  <c r="Q7" i="3"/>
  <c r="AU7" i="3" s="1"/>
  <c r="Q8" i="3"/>
  <c r="AU8" i="3" s="1"/>
  <c r="Q9" i="3"/>
  <c r="AU9" i="3" s="1"/>
  <c r="Q10" i="3"/>
  <c r="AU10" i="3" s="1"/>
  <c r="Q11" i="3"/>
  <c r="AU11" i="3" s="1"/>
  <c r="Q12" i="3"/>
  <c r="AU12" i="3" s="1"/>
  <c r="Q13" i="3"/>
  <c r="AU13" i="3" s="1"/>
  <c r="Q14" i="3"/>
  <c r="AU14" i="3" s="1"/>
  <c r="Q15" i="3"/>
  <c r="AU15" i="3" s="1"/>
  <c r="Q16" i="3"/>
  <c r="AU16" i="3" s="1"/>
  <c r="Q17" i="3"/>
  <c r="AU17" i="3" s="1"/>
  <c r="Q18" i="3"/>
  <c r="AU18" i="3" s="1"/>
  <c r="Q19" i="3"/>
  <c r="Q20" i="3"/>
  <c r="Q21" i="3"/>
  <c r="AU21" i="3" s="1"/>
  <c r="Q22" i="3"/>
  <c r="AU22" i="3" s="1"/>
  <c r="Q23" i="3"/>
  <c r="AU23" i="3" s="1"/>
  <c r="Q24" i="3"/>
  <c r="AU24" i="3" s="1"/>
  <c r="Q25" i="3"/>
  <c r="AU25" i="3" s="1"/>
  <c r="Q26" i="3"/>
  <c r="AU26" i="3" s="1"/>
  <c r="Q27" i="3"/>
  <c r="AU27" i="3" s="1"/>
  <c r="Q28" i="3"/>
  <c r="AU28" i="3" s="1"/>
  <c r="Q29" i="3"/>
  <c r="AU29" i="3" s="1"/>
  <c r="Q30" i="3"/>
  <c r="AU30" i="3" s="1"/>
  <c r="Q31" i="3"/>
  <c r="AU31" i="3" s="1"/>
  <c r="Q32" i="3"/>
  <c r="AU32" i="3" s="1"/>
  <c r="Q33" i="3"/>
  <c r="AU33" i="3" s="1"/>
  <c r="Q34" i="3"/>
  <c r="AU34" i="3" s="1"/>
  <c r="Q35" i="3"/>
  <c r="AU35" i="3" s="1"/>
  <c r="Q36" i="3"/>
  <c r="AU36" i="3" s="1"/>
  <c r="Q37" i="3"/>
  <c r="AU37" i="3" s="1"/>
  <c r="Q38" i="3"/>
  <c r="AU38" i="3" s="1"/>
  <c r="Q39" i="3"/>
  <c r="AU39" i="3" s="1"/>
  <c r="Q40" i="3"/>
  <c r="AU40" i="3" s="1"/>
  <c r="Q41" i="3"/>
  <c r="AU41" i="3" s="1"/>
  <c r="Q42" i="3"/>
  <c r="AU42" i="3" s="1"/>
  <c r="Q43" i="3"/>
  <c r="AU43" i="3" s="1"/>
  <c r="Q44" i="3"/>
  <c r="AU44" i="3" s="1"/>
  <c r="Q45" i="3"/>
  <c r="AU45" i="3" s="1"/>
  <c r="Q48" i="3"/>
  <c r="AU48" i="3" s="1"/>
  <c r="Q49" i="3"/>
  <c r="AU49" i="3" s="1"/>
  <c r="Q50" i="3"/>
  <c r="AU50" i="3" s="1"/>
  <c r="Q51" i="3"/>
  <c r="AU51" i="3" s="1"/>
  <c r="Q52" i="3"/>
  <c r="AU52" i="3" s="1"/>
  <c r="Q53" i="3"/>
  <c r="AU53" i="3" s="1"/>
  <c r="Q54" i="3"/>
  <c r="AU54" i="3" s="1"/>
  <c r="Q56" i="3"/>
  <c r="AU56" i="3" s="1"/>
  <c r="Q58" i="3"/>
  <c r="AU58" i="3" s="1"/>
  <c r="Q59" i="3"/>
  <c r="AU59" i="3" s="1"/>
  <c r="Q60" i="3"/>
  <c r="AU60" i="3" s="1"/>
  <c r="Q64" i="3"/>
  <c r="AU64" i="3" s="1"/>
  <c r="Q67" i="3"/>
  <c r="AU67" i="3" s="1"/>
  <c r="Q71" i="3"/>
  <c r="AU71" i="3" s="1"/>
  <c r="Q72" i="3"/>
  <c r="AU72" i="3" s="1"/>
  <c r="Q73" i="3"/>
  <c r="AU73" i="3" s="1"/>
  <c r="BH47" i="3"/>
  <c r="BE47" i="3" s="1"/>
  <c r="AC11" i="15" l="1"/>
  <c r="AC15" i="15" s="1"/>
  <c r="AR9" i="15" s="1"/>
  <c r="AC26" i="15"/>
  <c r="AR10" i="15" s="1"/>
  <c r="AD26" i="15"/>
  <c r="AP10" i="15" s="1"/>
  <c r="AE20" i="15"/>
  <c r="AE26" i="15" s="1"/>
  <c r="AS10" i="15" s="1"/>
  <c r="AE11" i="15"/>
  <c r="AB26" i="15"/>
  <c r="AO10" i="15" s="1"/>
  <c r="AB15" i="15"/>
  <c r="AO9" i="15" s="1"/>
  <c r="AD15" i="15"/>
  <c r="AP9" i="15" s="1"/>
  <c r="BE37" i="3"/>
  <c r="BH46" i="3"/>
  <c r="BE46" i="3" s="1"/>
  <c r="BB82" i="3"/>
  <c r="O42" i="3"/>
  <c r="AT42" i="3" s="1"/>
  <c r="S42" i="3"/>
  <c r="AV42" i="3" s="1"/>
  <c r="S41" i="3"/>
  <c r="AV41" i="3" s="1"/>
  <c r="O41" i="3"/>
  <c r="AT41" i="3" s="1"/>
  <c r="O5" i="3"/>
  <c r="AT5" i="3" s="1"/>
  <c r="O6" i="3"/>
  <c r="AT6" i="3" s="1"/>
  <c r="O7" i="3"/>
  <c r="AT7" i="3" s="1"/>
  <c r="O8" i="3"/>
  <c r="AT8" i="3" s="1"/>
  <c r="O9" i="3"/>
  <c r="AT9" i="3" s="1"/>
  <c r="O10" i="3"/>
  <c r="AT10" i="3" s="1"/>
  <c r="O11" i="3"/>
  <c r="AT11" i="3" s="1"/>
  <c r="O12" i="3"/>
  <c r="AT12" i="3" s="1"/>
  <c r="O13" i="3"/>
  <c r="AT13" i="3" s="1"/>
  <c r="O14" i="3"/>
  <c r="AT14" i="3" s="1"/>
  <c r="O15" i="3"/>
  <c r="AT15" i="3" s="1"/>
  <c r="O16" i="3"/>
  <c r="AT16" i="3" s="1"/>
  <c r="O17" i="3"/>
  <c r="AT17" i="3" s="1"/>
  <c r="O18" i="3"/>
  <c r="AT18" i="3" s="1"/>
  <c r="O19" i="3"/>
  <c r="O20" i="3"/>
  <c r="O21" i="3"/>
  <c r="AT21" i="3" s="1"/>
  <c r="O22" i="3"/>
  <c r="AT22" i="3" s="1"/>
  <c r="O23" i="3"/>
  <c r="AT23" i="3" s="1"/>
  <c r="O24" i="3"/>
  <c r="AT24" i="3" s="1"/>
  <c r="O25" i="3"/>
  <c r="AT25" i="3" s="1"/>
  <c r="O26" i="3"/>
  <c r="AT26" i="3" s="1"/>
  <c r="O27" i="3"/>
  <c r="AT27" i="3" s="1"/>
  <c r="O28" i="3"/>
  <c r="AT28" i="3" s="1"/>
  <c r="O29" i="3"/>
  <c r="AT29" i="3" s="1"/>
  <c r="O30" i="3"/>
  <c r="AT30" i="3" s="1"/>
  <c r="O31" i="3"/>
  <c r="AT31" i="3" s="1"/>
  <c r="O32" i="3"/>
  <c r="AT32" i="3" s="1"/>
  <c r="O33" i="3"/>
  <c r="AT33" i="3" s="1"/>
  <c r="O34" i="3"/>
  <c r="AT34" i="3" s="1"/>
  <c r="O35" i="3"/>
  <c r="AT35" i="3" s="1"/>
  <c r="O36" i="3"/>
  <c r="AT36" i="3" s="1"/>
  <c r="O37" i="3"/>
  <c r="AT37" i="3" s="1"/>
  <c r="O38" i="3"/>
  <c r="AT38" i="3" s="1"/>
  <c r="O39" i="3"/>
  <c r="AT39" i="3" s="1"/>
  <c r="O40" i="3"/>
  <c r="AT40" i="3" s="1"/>
  <c r="O43" i="3"/>
  <c r="AT43" i="3" s="1"/>
  <c r="O44" i="3"/>
  <c r="AT44" i="3" s="1"/>
  <c r="O45" i="3"/>
  <c r="AT45" i="3" s="1"/>
  <c r="O46" i="3"/>
  <c r="O47" i="3"/>
  <c r="O48" i="3"/>
  <c r="AT48" i="3" s="1"/>
  <c r="O49" i="3"/>
  <c r="AT49" i="3" s="1"/>
  <c r="O50" i="3"/>
  <c r="AT50" i="3" s="1"/>
  <c r="O51" i="3"/>
  <c r="AT51" i="3" s="1"/>
  <c r="O52" i="3"/>
  <c r="AT52" i="3" s="1"/>
  <c r="O53" i="3"/>
  <c r="AT53" i="3" s="1"/>
  <c r="O54" i="3"/>
  <c r="AT54" i="3" s="1"/>
  <c r="O58" i="3"/>
  <c r="AT58" i="3" s="1"/>
  <c r="O59" i="3"/>
  <c r="AT59" i="3" s="1"/>
  <c r="O60" i="3"/>
  <c r="AT60" i="3" s="1"/>
  <c r="O64" i="3"/>
  <c r="AT64" i="3" s="1"/>
  <c r="O67" i="3"/>
  <c r="AT67" i="3" s="1"/>
  <c r="O71" i="3"/>
  <c r="AT71" i="3" s="1"/>
  <c r="O72" i="3"/>
  <c r="AT72" i="3" s="1"/>
  <c r="O73" i="3"/>
  <c r="AT73" i="3" s="1"/>
  <c r="S5" i="3"/>
  <c r="AV5" i="3" s="1"/>
  <c r="S6" i="3"/>
  <c r="AV6" i="3" s="1"/>
  <c r="S7" i="3"/>
  <c r="AV7" i="3" s="1"/>
  <c r="S8" i="3"/>
  <c r="AV8" i="3" s="1"/>
  <c r="S9" i="3"/>
  <c r="AV9" i="3" s="1"/>
  <c r="S10" i="3"/>
  <c r="AV10" i="3" s="1"/>
  <c r="S11" i="3"/>
  <c r="AV11" i="3" s="1"/>
  <c r="S12" i="3"/>
  <c r="AV12" i="3" s="1"/>
  <c r="S13" i="3"/>
  <c r="AV13" i="3" s="1"/>
  <c r="S14" i="3"/>
  <c r="AV14" i="3" s="1"/>
  <c r="S15" i="3"/>
  <c r="AV15" i="3" s="1"/>
  <c r="S16" i="3"/>
  <c r="AV16" i="3" s="1"/>
  <c r="S17" i="3"/>
  <c r="AV17" i="3" s="1"/>
  <c r="S18" i="3"/>
  <c r="AV18" i="3" s="1"/>
  <c r="S19" i="3"/>
  <c r="S20" i="3"/>
  <c r="S21" i="3"/>
  <c r="AV21" i="3" s="1"/>
  <c r="S22" i="3"/>
  <c r="AV22" i="3" s="1"/>
  <c r="S23" i="3"/>
  <c r="AV23" i="3" s="1"/>
  <c r="S24" i="3"/>
  <c r="AV24" i="3" s="1"/>
  <c r="S25" i="3"/>
  <c r="AV25" i="3" s="1"/>
  <c r="S26" i="3"/>
  <c r="AV26" i="3" s="1"/>
  <c r="S27" i="3"/>
  <c r="AV27" i="3" s="1"/>
  <c r="S28" i="3"/>
  <c r="AV28" i="3" s="1"/>
  <c r="S29" i="3"/>
  <c r="AV29" i="3" s="1"/>
  <c r="S30" i="3"/>
  <c r="AV30" i="3" s="1"/>
  <c r="S31" i="3"/>
  <c r="AV31" i="3" s="1"/>
  <c r="S32" i="3"/>
  <c r="AV32" i="3" s="1"/>
  <c r="S33" i="3"/>
  <c r="AV33" i="3" s="1"/>
  <c r="S34" i="3"/>
  <c r="AV34" i="3" s="1"/>
  <c r="S35" i="3"/>
  <c r="AV35" i="3" s="1"/>
  <c r="S36" i="3"/>
  <c r="AV36" i="3" s="1"/>
  <c r="S37" i="3"/>
  <c r="AV37" i="3" s="1"/>
  <c r="S38" i="3"/>
  <c r="AV38" i="3" s="1"/>
  <c r="S39" i="3"/>
  <c r="AV39" i="3" s="1"/>
  <c r="S40" i="3"/>
  <c r="AV40" i="3" s="1"/>
  <c r="S43" i="3"/>
  <c r="AV43" i="3" s="1"/>
  <c r="S44" i="3"/>
  <c r="AV44" i="3" s="1"/>
  <c r="S45" i="3"/>
  <c r="AV45" i="3" s="1"/>
  <c r="S46" i="3"/>
  <c r="S47" i="3"/>
  <c r="S48" i="3"/>
  <c r="AV48" i="3" s="1"/>
  <c r="S49" i="3"/>
  <c r="AV49" i="3" s="1"/>
  <c r="S50" i="3"/>
  <c r="AV50" i="3" s="1"/>
  <c r="S51" i="3"/>
  <c r="AV51" i="3" s="1"/>
  <c r="S52" i="3"/>
  <c r="AV52" i="3" s="1"/>
  <c r="S53" i="3"/>
  <c r="AV53" i="3" s="1"/>
  <c r="S54" i="3"/>
  <c r="AV54" i="3" s="1"/>
  <c r="S56" i="3"/>
  <c r="AV56" i="3" s="1"/>
  <c r="S58" i="3"/>
  <c r="AV58" i="3" s="1"/>
  <c r="S59" i="3"/>
  <c r="AV59" i="3" s="1"/>
  <c r="S60" i="3"/>
  <c r="AV60" i="3" s="1"/>
  <c r="S64" i="3"/>
  <c r="AV64" i="3" s="1"/>
  <c r="S67" i="3"/>
  <c r="AV67" i="3" s="1"/>
  <c r="S71" i="3"/>
  <c r="AV71" i="3" s="1"/>
  <c r="S72" i="3"/>
  <c r="AV72" i="3" s="1"/>
  <c r="S73" i="3"/>
  <c r="AV73" i="3" s="1"/>
  <c r="U5" i="3"/>
  <c r="AW5" i="3" s="1"/>
  <c r="U6" i="3"/>
  <c r="AW6" i="3" s="1"/>
  <c r="U7" i="3"/>
  <c r="AW7" i="3" s="1"/>
  <c r="U8" i="3"/>
  <c r="AW8" i="3" s="1"/>
  <c r="U9" i="3"/>
  <c r="AW9" i="3" s="1"/>
  <c r="U10" i="3"/>
  <c r="AW10" i="3" s="1"/>
  <c r="U11" i="3"/>
  <c r="AW11" i="3" s="1"/>
  <c r="U12" i="3"/>
  <c r="AW12" i="3" s="1"/>
  <c r="U13" i="3"/>
  <c r="AW13" i="3" s="1"/>
  <c r="U14" i="3"/>
  <c r="AW14" i="3" s="1"/>
  <c r="U15" i="3"/>
  <c r="AW15" i="3" s="1"/>
  <c r="U16" i="3"/>
  <c r="AW16" i="3" s="1"/>
  <c r="U17" i="3"/>
  <c r="AW17" i="3" s="1"/>
  <c r="U18" i="3"/>
  <c r="AW18" i="3" s="1"/>
  <c r="U19" i="3"/>
  <c r="AW19" i="3" s="1"/>
  <c r="U20" i="3"/>
  <c r="AW20" i="3" s="1"/>
  <c r="U21" i="3"/>
  <c r="AW21" i="3" s="1"/>
  <c r="U22" i="3"/>
  <c r="AW22" i="3" s="1"/>
  <c r="U23" i="3"/>
  <c r="AW23" i="3" s="1"/>
  <c r="U24" i="3"/>
  <c r="AW24" i="3" s="1"/>
  <c r="U25" i="3"/>
  <c r="AW25" i="3" s="1"/>
  <c r="U26" i="3"/>
  <c r="AW26" i="3" s="1"/>
  <c r="U27" i="3"/>
  <c r="AW27" i="3" s="1"/>
  <c r="U28" i="3"/>
  <c r="AW28" i="3" s="1"/>
  <c r="U29" i="3"/>
  <c r="AW29" i="3" s="1"/>
  <c r="U30" i="3"/>
  <c r="AW30" i="3" s="1"/>
  <c r="U31" i="3"/>
  <c r="AW31" i="3" s="1"/>
  <c r="U32" i="3"/>
  <c r="AW32" i="3" s="1"/>
  <c r="U33" i="3"/>
  <c r="AW33" i="3" s="1"/>
  <c r="U34" i="3"/>
  <c r="AW34" i="3" s="1"/>
  <c r="U35" i="3"/>
  <c r="AW35" i="3" s="1"/>
  <c r="U36" i="3"/>
  <c r="AW36" i="3" s="1"/>
  <c r="U37" i="3"/>
  <c r="AW37" i="3" s="1"/>
  <c r="U38" i="3"/>
  <c r="AW38" i="3" s="1"/>
  <c r="U39" i="3"/>
  <c r="AW39" i="3" s="1"/>
  <c r="U40" i="3"/>
  <c r="AW40" i="3" s="1"/>
  <c r="U41" i="3"/>
  <c r="AW41" i="3" s="1"/>
  <c r="U42" i="3"/>
  <c r="AW42" i="3" s="1"/>
  <c r="U43" i="3"/>
  <c r="AW43" i="3" s="1"/>
  <c r="U44" i="3"/>
  <c r="AW44" i="3" s="1"/>
  <c r="U45" i="3"/>
  <c r="AW45" i="3" s="1"/>
  <c r="U46" i="3"/>
  <c r="AW46" i="3" s="1"/>
  <c r="U47" i="3"/>
  <c r="AW47" i="3" s="1"/>
  <c r="U48" i="3"/>
  <c r="AW48" i="3" s="1"/>
  <c r="U49" i="3"/>
  <c r="AW49" i="3" s="1"/>
  <c r="U50" i="3"/>
  <c r="AW50" i="3" s="1"/>
  <c r="U51" i="3"/>
  <c r="AW51" i="3" s="1"/>
  <c r="U52" i="3"/>
  <c r="AW52" i="3" s="1"/>
  <c r="U53" i="3"/>
  <c r="AW53" i="3" s="1"/>
  <c r="U54" i="3"/>
  <c r="AW54" i="3" s="1"/>
  <c r="U56" i="3"/>
  <c r="AW56" i="3" s="1"/>
  <c r="U58" i="3"/>
  <c r="AW58" i="3" s="1"/>
  <c r="U59" i="3"/>
  <c r="AW59" i="3" s="1"/>
  <c r="U60" i="3"/>
  <c r="AW60" i="3" s="1"/>
  <c r="U64" i="3"/>
  <c r="AW64" i="3" s="1"/>
  <c r="U67" i="3"/>
  <c r="AW67" i="3" s="1"/>
  <c r="U71" i="3"/>
  <c r="AW71" i="3" s="1"/>
  <c r="U72" i="3"/>
  <c r="AW72" i="3" s="1"/>
  <c r="U73" i="3"/>
  <c r="AW73" i="3" s="1"/>
  <c r="W5" i="3"/>
  <c r="AX5" i="3" s="1"/>
  <c r="W6" i="3"/>
  <c r="AX6" i="3" s="1"/>
  <c r="W7" i="3"/>
  <c r="AX7" i="3" s="1"/>
  <c r="W8" i="3"/>
  <c r="AX8" i="3" s="1"/>
  <c r="W9" i="3"/>
  <c r="AX9" i="3" s="1"/>
  <c r="W10" i="3"/>
  <c r="AX10" i="3" s="1"/>
  <c r="W11" i="3"/>
  <c r="AX11" i="3" s="1"/>
  <c r="W12" i="3"/>
  <c r="AX12" i="3" s="1"/>
  <c r="W13" i="3"/>
  <c r="AX13" i="3" s="1"/>
  <c r="W14" i="3"/>
  <c r="AX14" i="3" s="1"/>
  <c r="W15" i="3"/>
  <c r="AX15" i="3" s="1"/>
  <c r="W16" i="3"/>
  <c r="AX16" i="3" s="1"/>
  <c r="W17" i="3"/>
  <c r="AX17" i="3" s="1"/>
  <c r="W18" i="3"/>
  <c r="AX18" i="3" s="1"/>
  <c r="W19" i="3"/>
  <c r="AX19" i="3" s="1"/>
  <c r="W20" i="3"/>
  <c r="AX20" i="3" s="1"/>
  <c r="W21" i="3"/>
  <c r="AX21" i="3" s="1"/>
  <c r="W22" i="3"/>
  <c r="AX22" i="3" s="1"/>
  <c r="W23" i="3"/>
  <c r="AX23" i="3" s="1"/>
  <c r="W24" i="3"/>
  <c r="AX24" i="3" s="1"/>
  <c r="W25" i="3"/>
  <c r="AX25" i="3" s="1"/>
  <c r="W26" i="3"/>
  <c r="AX26" i="3" s="1"/>
  <c r="W27" i="3"/>
  <c r="AX27" i="3" s="1"/>
  <c r="W28" i="3"/>
  <c r="AX28" i="3" s="1"/>
  <c r="W29" i="3"/>
  <c r="AX29" i="3" s="1"/>
  <c r="W30" i="3"/>
  <c r="AX30" i="3" s="1"/>
  <c r="W31" i="3"/>
  <c r="AX31" i="3" s="1"/>
  <c r="W32" i="3"/>
  <c r="AX32" i="3" s="1"/>
  <c r="W33" i="3"/>
  <c r="AX33" i="3" s="1"/>
  <c r="W34" i="3"/>
  <c r="AX34" i="3" s="1"/>
  <c r="W35" i="3"/>
  <c r="AX35" i="3" s="1"/>
  <c r="W36" i="3"/>
  <c r="AX36" i="3" s="1"/>
  <c r="W37" i="3"/>
  <c r="AX37" i="3" s="1"/>
  <c r="W38" i="3"/>
  <c r="AX38" i="3" s="1"/>
  <c r="W39" i="3"/>
  <c r="AX39" i="3" s="1"/>
  <c r="W40" i="3"/>
  <c r="AX40" i="3" s="1"/>
  <c r="W41" i="3"/>
  <c r="AX41" i="3" s="1"/>
  <c r="W42" i="3"/>
  <c r="AX42" i="3" s="1"/>
  <c r="W43" i="3"/>
  <c r="AX43" i="3" s="1"/>
  <c r="W44" i="3"/>
  <c r="AX44" i="3" s="1"/>
  <c r="W45" i="3"/>
  <c r="AX45" i="3" s="1"/>
  <c r="W46" i="3"/>
  <c r="AX46" i="3" s="1"/>
  <c r="W47" i="3"/>
  <c r="AX47" i="3" s="1"/>
  <c r="W48" i="3"/>
  <c r="AX48" i="3" s="1"/>
  <c r="W49" i="3"/>
  <c r="AX49" i="3" s="1"/>
  <c r="W50" i="3"/>
  <c r="AX50" i="3" s="1"/>
  <c r="W51" i="3"/>
  <c r="AX51" i="3" s="1"/>
  <c r="W52" i="3"/>
  <c r="AX52" i="3" s="1"/>
  <c r="W53" i="3"/>
  <c r="AX53" i="3" s="1"/>
  <c r="W54" i="3"/>
  <c r="AX54" i="3" s="1"/>
  <c r="W56" i="3"/>
  <c r="AX56" i="3" s="1"/>
  <c r="W58" i="3"/>
  <c r="AX58" i="3" s="1"/>
  <c r="W59" i="3"/>
  <c r="AX59" i="3" s="1"/>
  <c r="W60" i="3"/>
  <c r="AX60" i="3" s="1"/>
  <c r="W64" i="3"/>
  <c r="AX64" i="3" s="1"/>
  <c r="W67" i="3"/>
  <c r="AX67" i="3" s="1"/>
  <c r="W71" i="3"/>
  <c r="AX71" i="3" s="1"/>
  <c r="W72" i="3"/>
  <c r="AX72" i="3" s="1"/>
  <c r="W73" i="3"/>
  <c r="AX73" i="3" s="1"/>
  <c r="Y5" i="3"/>
  <c r="AY5" i="3" s="1"/>
  <c r="Y6" i="3"/>
  <c r="AY6" i="3" s="1"/>
  <c r="Y7" i="3"/>
  <c r="AY7" i="3" s="1"/>
  <c r="Y8" i="3"/>
  <c r="AY8" i="3" s="1"/>
  <c r="Y9" i="3"/>
  <c r="AY9" i="3" s="1"/>
  <c r="Y10" i="3"/>
  <c r="AY10" i="3" s="1"/>
  <c r="Y11" i="3"/>
  <c r="AY11" i="3" s="1"/>
  <c r="Y12" i="3"/>
  <c r="AY12" i="3" s="1"/>
  <c r="Y13" i="3"/>
  <c r="AY13" i="3" s="1"/>
  <c r="Y14" i="3"/>
  <c r="AY14" i="3" s="1"/>
  <c r="Y15" i="3"/>
  <c r="AY15" i="3" s="1"/>
  <c r="Y16" i="3"/>
  <c r="AY16" i="3" s="1"/>
  <c r="Y17" i="3"/>
  <c r="AY17" i="3" s="1"/>
  <c r="Y18" i="3"/>
  <c r="AY18" i="3" s="1"/>
  <c r="Y19" i="3"/>
  <c r="AY19" i="3" s="1"/>
  <c r="Y20" i="3"/>
  <c r="AY20" i="3" s="1"/>
  <c r="Y21" i="3"/>
  <c r="AY21" i="3" s="1"/>
  <c r="Y22" i="3"/>
  <c r="AY22" i="3" s="1"/>
  <c r="Y23" i="3"/>
  <c r="AY23" i="3" s="1"/>
  <c r="Y24" i="3"/>
  <c r="AY24" i="3" s="1"/>
  <c r="Y25" i="3"/>
  <c r="AY25" i="3" s="1"/>
  <c r="Y26" i="3"/>
  <c r="AY26" i="3" s="1"/>
  <c r="Y27" i="3"/>
  <c r="AY27" i="3" s="1"/>
  <c r="Y28" i="3"/>
  <c r="AY28" i="3" s="1"/>
  <c r="Y29" i="3"/>
  <c r="AY29" i="3" s="1"/>
  <c r="Y30" i="3"/>
  <c r="AY30" i="3" s="1"/>
  <c r="Y31" i="3"/>
  <c r="AY31" i="3" s="1"/>
  <c r="Y32" i="3"/>
  <c r="AY32" i="3" s="1"/>
  <c r="Y33" i="3"/>
  <c r="AY33" i="3" s="1"/>
  <c r="Y34" i="3"/>
  <c r="AY34" i="3" s="1"/>
  <c r="Y35" i="3"/>
  <c r="AY35" i="3" s="1"/>
  <c r="Y36" i="3"/>
  <c r="AY36" i="3" s="1"/>
  <c r="Y37" i="3"/>
  <c r="AY37" i="3" s="1"/>
  <c r="Y38" i="3"/>
  <c r="AY38" i="3" s="1"/>
  <c r="Y39" i="3"/>
  <c r="AY39" i="3" s="1"/>
  <c r="Y40" i="3"/>
  <c r="AY40" i="3" s="1"/>
  <c r="Y41" i="3"/>
  <c r="AY41" i="3" s="1"/>
  <c r="Y42" i="3"/>
  <c r="AY42" i="3" s="1"/>
  <c r="Y43" i="3"/>
  <c r="AY43" i="3" s="1"/>
  <c r="Y44" i="3"/>
  <c r="AY44" i="3" s="1"/>
  <c r="Y45" i="3"/>
  <c r="AY45" i="3" s="1"/>
  <c r="Y46" i="3"/>
  <c r="AY46" i="3" s="1"/>
  <c r="Y47" i="3"/>
  <c r="AY47" i="3" s="1"/>
  <c r="Y48" i="3"/>
  <c r="AY48" i="3" s="1"/>
  <c r="Y49" i="3"/>
  <c r="AY49" i="3" s="1"/>
  <c r="Y50" i="3"/>
  <c r="AY50" i="3" s="1"/>
  <c r="Y51" i="3"/>
  <c r="AY51" i="3" s="1"/>
  <c r="Y52" i="3"/>
  <c r="AY52" i="3" s="1"/>
  <c r="Y53" i="3"/>
  <c r="AY53" i="3" s="1"/>
  <c r="Y54" i="3"/>
  <c r="AY54" i="3" s="1"/>
  <c r="Y56" i="3"/>
  <c r="AY56" i="3" s="1"/>
  <c r="Y58" i="3"/>
  <c r="AY58" i="3" s="1"/>
  <c r="Y59" i="3"/>
  <c r="AY59" i="3" s="1"/>
  <c r="Y60" i="3"/>
  <c r="AY60" i="3" s="1"/>
  <c r="Y64" i="3"/>
  <c r="AY64" i="3" s="1"/>
  <c r="Y67" i="3"/>
  <c r="AY67" i="3" s="1"/>
  <c r="Y71" i="3"/>
  <c r="AY71" i="3" s="1"/>
  <c r="Y72" i="3"/>
  <c r="AY72" i="3" s="1"/>
  <c r="Y73" i="3"/>
  <c r="AY73" i="3" s="1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6" i="3"/>
  <c r="AA58" i="3"/>
  <c r="AA59" i="3"/>
  <c r="AA60" i="3"/>
  <c r="AA64" i="3"/>
  <c r="AA67" i="3"/>
  <c r="AA71" i="3"/>
  <c r="AA72" i="3"/>
  <c r="AA73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6" i="3"/>
  <c r="AE58" i="3"/>
  <c r="AE59" i="3"/>
  <c r="AE60" i="3"/>
  <c r="AE64" i="3"/>
  <c r="AE67" i="3"/>
  <c r="AE71" i="3"/>
  <c r="AE72" i="3"/>
  <c r="AE73" i="3"/>
  <c r="E385" i="15" l="1" a="1"/>
  <c r="E385" i="15" s="1"/>
  <c r="I385" i="15" s="1"/>
  <c r="J385" i="15" s="1"/>
  <c r="E385" i="20" a="1"/>
  <c r="E385" i="20" s="1"/>
  <c r="G385" i="20" s="1"/>
  <c r="H385" i="20" s="1"/>
  <c r="AQ10" i="15"/>
  <c r="AQ9" i="15"/>
  <c r="AT10" i="15"/>
  <c r="AE15" i="15"/>
  <c r="AS9" i="15" s="1"/>
  <c r="AW82" i="3"/>
  <c r="AX82" i="3"/>
  <c r="AY82" i="3"/>
  <c r="BA59" i="3"/>
  <c r="BA49" i="3"/>
  <c r="BA41" i="3"/>
  <c r="BF41" i="3" s="1"/>
  <c r="BG41" i="3" s="1"/>
  <c r="BA33" i="3"/>
  <c r="BF33" i="3" s="1"/>
  <c r="BG33" i="3" s="1"/>
  <c r="BA25" i="3"/>
  <c r="BF25" i="3" s="1"/>
  <c r="BG25" i="3" s="1"/>
  <c r="BA17" i="3"/>
  <c r="BF17" i="3" s="1"/>
  <c r="BG17" i="3" s="1"/>
  <c r="BA9" i="3"/>
  <c r="BA67" i="3"/>
  <c r="BF67" i="3" s="1"/>
  <c r="BG67" i="3" s="1"/>
  <c r="BA58" i="3"/>
  <c r="BF58" i="3" s="1"/>
  <c r="BG58" i="3" s="1"/>
  <c r="BA52" i="3"/>
  <c r="BA48" i="3"/>
  <c r="BA44" i="3"/>
  <c r="BF44" i="3" s="1"/>
  <c r="BG44" i="3" s="1"/>
  <c r="BA40" i="3"/>
  <c r="BF40" i="3" s="1"/>
  <c r="BG40" i="3" s="1"/>
  <c r="BA36" i="3"/>
  <c r="BA32" i="3"/>
  <c r="BA28" i="3"/>
  <c r="BA24" i="3"/>
  <c r="BA20" i="3"/>
  <c r="BF20" i="3" s="1"/>
  <c r="BG20" i="3" s="1"/>
  <c r="BA16" i="3"/>
  <c r="BF16" i="3" s="1"/>
  <c r="BG16" i="3" s="1"/>
  <c r="BA12" i="3"/>
  <c r="BF12" i="3" s="1"/>
  <c r="BG12" i="3" s="1"/>
  <c r="BA8" i="3"/>
  <c r="BF8" i="3" s="1"/>
  <c r="BG8" i="3" s="1"/>
  <c r="BA64" i="3"/>
  <c r="BA51" i="3"/>
  <c r="BF51" i="3" s="1"/>
  <c r="BG51" i="3" s="1"/>
  <c r="BA43" i="3"/>
  <c r="BF43" i="3" s="1"/>
  <c r="BG43" i="3" s="1"/>
  <c r="BA35" i="3"/>
  <c r="BA27" i="3"/>
  <c r="BF27" i="3" s="1"/>
  <c r="BG27" i="3" s="1"/>
  <c r="BA23" i="3"/>
  <c r="BA15" i="3"/>
  <c r="BF15" i="3" s="1"/>
  <c r="BG15" i="3" s="1"/>
  <c r="BA7" i="3"/>
  <c r="BF7" i="3" s="1"/>
  <c r="BG7" i="3" s="1"/>
  <c r="BA60" i="3"/>
  <c r="BF60" i="3" s="1"/>
  <c r="BG60" i="3" s="1"/>
  <c r="BA50" i="3"/>
  <c r="BF50" i="3" s="1"/>
  <c r="BG50" i="3" s="1"/>
  <c r="BA46" i="3"/>
  <c r="BF46" i="3" s="1"/>
  <c r="BG46" i="3" s="1"/>
  <c r="BA38" i="3"/>
  <c r="BF38" i="3" s="1"/>
  <c r="BG38" i="3" s="1"/>
  <c r="BA30" i="3"/>
  <c r="BA22" i="3"/>
  <c r="BF22" i="3" s="1"/>
  <c r="BG22" i="3" s="1"/>
  <c r="BA14" i="3"/>
  <c r="BF14" i="3" s="1"/>
  <c r="BG14" i="3" s="1"/>
  <c r="BA10" i="3"/>
  <c r="BF10" i="3" s="1"/>
  <c r="BG10" i="3" s="1"/>
  <c r="BA73" i="3"/>
  <c r="BF73" i="3" s="1"/>
  <c r="BG73" i="3" s="1"/>
  <c r="BA56" i="3"/>
  <c r="BA47" i="3"/>
  <c r="BF47" i="3" s="1"/>
  <c r="BG47" i="3" s="1"/>
  <c r="BA39" i="3"/>
  <c r="BA31" i="3"/>
  <c r="BA19" i="3"/>
  <c r="BF19" i="3" s="1"/>
  <c r="BG19" i="3" s="1"/>
  <c r="BA11" i="3"/>
  <c r="BF11" i="3" s="1"/>
  <c r="BG11" i="3" s="1"/>
  <c r="BA72" i="3"/>
  <c r="BF72" i="3" s="1"/>
  <c r="BG72" i="3" s="1"/>
  <c r="BA54" i="3"/>
  <c r="BA42" i="3"/>
  <c r="BF42" i="3" s="1"/>
  <c r="BG42" i="3" s="1"/>
  <c r="BA34" i="3"/>
  <c r="BA26" i="3"/>
  <c r="BF26" i="3" s="1"/>
  <c r="BG26" i="3" s="1"/>
  <c r="BA18" i="3"/>
  <c r="BF18" i="3" s="1"/>
  <c r="BA6" i="3"/>
  <c r="BF6" i="3" s="1"/>
  <c r="BG6" i="3" s="1"/>
  <c r="BA71" i="3"/>
  <c r="BF71" i="3" s="1"/>
  <c r="BG71" i="3" s="1"/>
  <c r="BA53" i="3"/>
  <c r="BF53" i="3" s="1"/>
  <c r="BG53" i="3" s="1"/>
  <c r="BA45" i="3"/>
  <c r="BF45" i="3" s="1"/>
  <c r="BG45" i="3" s="1"/>
  <c r="BA37" i="3"/>
  <c r="BA29" i="3"/>
  <c r="BF29" i="3" s="1"/>
  <c r="BG29" i="3" s="1"/>
  <c r="BA21" i="3"/>
  <c r="BF21" i="3" s="1"/>
  <c r="BG21" i="3" s="1"/>
  <c r="BA13" i="3"/>
  <c r="BA5" i="3"/>
  <c r="BF5" i="3" s="1"/>
  <c r="BC5" i="3" l="1"/>
  <c r="BG18" i="3"/>
  <c r="I385" i="20"/>
  <c r="J385" i="20" s="1"/>
  <c r="K385" i="20"/>
  <c r="K385" i="15"/>
  <c r="AB385" i="15"/>
  <c r="AC385" i="15" s="1"/>
  <c r="AD385" i="15"/>
  <c r="AE385" i="15" s="1"/>
  <c r="AA385" i="15"/>
  <c r="G385" i="15"/>
  <c r="H385" i="15" s="1"/>
  <c r="AT9" i="15"/>
  <c r="BG5" i="3"/>
  <c r="BD5" i="3" s="1"/>
  <c r="BF59" i="3"/>
  <c r="BG59" i="3" s="1"/>
  <c r="BD11" i="3"/>
  <c r="BD27" i="3"/>
  <c r="BF31" i="3"/>
  <c r="BG31" i="3" s="1"/>
  <c r="BF34" i="3"/>
  <c r="BG34" i="3" s="1"/>
  <c r="BD38" i="3"/>
  <c r="BF49" i="3"/>
  <c r="BG49" i="3" s="1"/>
  <c r="BF52" i="3"/>
  <c r="BG52" i="3" s="1"/>
  <c r="BF23" i="3"/>
  <c r="BG23" i="3" s="1"/>
  <c r="BD67" i="3"/>
  <c r="BF35" i="3"/>
  <c r="BG35" i="3" s="1"/>
  <c r="BF39" i="3"/>
  <c r="BG39" i="3" s="1"/>
  <c r="BD7" i="3"/>
  <c r="BF28" i="3"/>
  <c r="BG28" i="3" s="1"/>
  <c r="BD72" i="3"/>
  <c r="BF24" i="3"/>
  <c r="BG24" i="3" s="1"/>
  <c r="BF30" i="3"/>
  <c r="BG30" i="3" s="1"/>
  <c r="BD50" i="3"/>
  <c r="BD15" i="3"/>
  <c r="BD29" i="3"/>
  <c r="BD10" i="3"/>
  <c r="BF37" i="3"/>
  <c r="BF36" i="3"/>
  <c r="BG36" i="3" s="1"/>
  <c r="BF48" i="3"/>
  <c r="BG48" i="3" s="1"/>
  <c r="BD71" i="3"/>
  <c r="BD14" i="3"/>
  <c r="BD33" i="3"/>
  <c r="BF54" i="3"/>
  <c r="BG54" i="3" s="1"/>
  <c r="BF64" i="3"/>
  <c r="BG64" i="3" s="1"/>
  <c r="BF13" i="3"/>
  <c r="BG13" i="3" s="1"/>
  <c r="BD44" i="3"/>
  <c r="BD6" i="3"/>
  <c r="BF32" i="3"/>
  <c r="BG32" i="3" s="1"/>
  <c r="BF9" i="3"/>
  <c r="BG9" i="3" s="1"/>
  <c r="BF56" i="3"/>
  <c r="BG56" i="3" s="1"/>
  <c r="BD60" i="3"/>
  <c r="BC21" i="3"/>
  <c r="BD21" i="3"/>
  <c r="BC53" i="3"/>
  <c r="BD53" i="3"/>
  <c r="BC26" i="3"/>
  <c r="BD26" i="3"/>
  <c r="BC72" i="3"/>
  <c r="BC10" i="3"/>
  <c r="BC38" i="3"/>
  <c r="BC7" i="3"/>
  <c r="BC8" i="3"/>
  <c r="BD8" i="3"/>
  <c r="BC40" i="3"/>
  <c r="BD40" i="3"/>
  <c r="BC58" i="3"/>
  <c r="BD58" i="3"/>
  <c r="BC25" i="3"/>
  <c r="BD25" i="3"/>
  <c r="BC29" i="3"/>
  <c r="BC71" i="3"/>
  <c r="BC11" i="3"/>
  <c r="BC14" i="3"/>
  <c r="BC15" i="3"/>
  <c r="BC43" i="3"/>
  <c r="BD43" i="3"/>
  <c r="BC12" i="3"/>
  <c r="BD12" i="3"/>
  <c r="BC44" i="3"/>
  <c r="BC67" i="3"/>
  <c r="BC33" i="3"/>
  <c r="BC6" i="3"/>
  <c r="BC42" i="3"/>
  <c r="BD42" i="3"/>
  <c r="BC22" i="3"/>
  <c r="BD22" i="3"/>
  <c r="BC50" i="3"/>
  <c r="BC51" i="3"/>
  <c r="BD51" i="3"/>
  <c r="BC16" i="3"/>
  <c r="BD16" i="3"/>
  <c r="BC41" i="3"/>
  <c r="BD41" i="3"/>
  <c r="BC45" i="3"/>
  <c r="BD45" i="3"/>
  <c r="BC18" i="3"/>
  <c r="BD18" i="3"/>
  <c r="BC73" i="3"/>
  <c r="BD73" i="3"/>
  <c r="BC60" i="3"/>
  <c r="BC27" i="3"/>
  <c r="BC17" i="3"/>
  <c r="BD17" i="3"/>
  <c r="AT82" i="3"/>
  <c r="AV82" i="3"/>
  <c r="AU82" i="3"/>
  <c r="BA82" i="3"/>
  <c r="BF82" i="3" l="1"/>
  <c r="BC34" i="3"/>
  <c r="BC49" i="3"/>
  <c r="BC36" i="3"/>
  <c r="BC32" i="3"/>
  <c r="BC59" i="3"/>
  <c r="BC31" i="3"/>
  <c r="BC37" i="3"/>
  <c r="BG37" i="3"/>
  <c r="E387" i="15" s="1" a="1"/>
  <c r="E387" i="15" s="1"/>
  <c r="BD13" i="3"/>
  <c r="BD28" i="3"/>
  <c r="BC64" i="3"/>
  <c r="BC54" i="3"/>
  <c r="BD54" i="3"/>
  <c r="BC39" i="3"/>
  <c r="BD39" i="3"/>
  <c r="BD35" i="3"/>
  <c r="BD23" i="3"/>
  <c r="BD48" i="3"/>
  <c r="BC52" i="3"/>
  <c r="BD52" i="3"/>
  <c r="BD36" i="3"/>
  <c r="BD49" i="3"/>
  <c r="BD34" i="3"/>
  <c r="BD31" i="3"/>
  <c r="BD56" i="3"/>
  <c r="BD24" i="3"/>
  <c r="BD9" i="3"/>
  <c r="BD32" i="3"/>
  <c r="BD30" i="3"/>
  <c r="BD59" i="3"/>
  <c r="BC28" i="3"/>
  <c r="BC24" i="3"/>
  <c r="BC23" i="3"/>
  <c r="BC13" i="3"/>
  <c r="BC30" i="3"/>
  <c r="BC35" i="3"/>
  <c r="BC56" i="3"/>
  <c r="BC9" i="3"/>
  <c r="BC48" i="3"/>
  <c r="BD64" i="3"/>
  <c r="BC47" i="3"/>
  <c r="BD47" i="3"/>
  <c r="BC20" i="3"/>
  <c r="BD20" i="3"/>
  <c r="BC19" i="3"/>
  <c r="BD19" i="3"/>
  <c r="BC46" i="3"/>
  <c r="BD46" i="3"/>
  <c r="F223" i="6" a="1"/>
  <c r="F223" i="6" s="1"/>
  <c r="G52" i="13" s="1"/>
  <c r="F227" i="6" a="1"/>
  <c r="F227" i="6" s="1"/>
  <c r="G196" i="13" s="1"/>
  <c r="F224" i="6" a="1"/>
  <c r="F224" i="6" s="1"/>
  <c r="G71" i="13" s="1"/>
  <c r="F228" i="6" a="1"/>
  <c r="F228" i="6" s="1"/>
  <c r="G197" i="13" s="1"/>
  <c r="F226" i="6" a="1"/>
  <c r="F226" i="6" s="1"/>
  <c r="G195" i="13" s="1"/>
  <c r="F225" i="6" a="1"/>
  <c r="F225" i="6" s="1"/>
  <c r="G194" i="13" s="1"/>
  <c r="AD387" i="15" l="1"/>
  <c r="AE387" i="15" s="1"/>
  <c r="AB387" i="15"/>
  <c r="AC387" i="15" s="1"/>
  <c r="G387" i="15"/>
  <c r="H387" i="15" s="1"/>
  <c r="AA387" i="15"/>
  <c r="E382" i="20" a="1"/>
  <c r="E382" i="20" s="1"/>
  <c r="I382" i="20" s="1"/>
  <c r="J382" i="20" s="1"/>
  <c r="E378" i="20" a="1"/>
  <c r="E378" i="20" s="1"/>
  <c r="K378" i="20" s="1"/>
  <c r="E380" i="20" a="1"/>
  <c r="E380" i="20" s="1"/>
  <c r="G380" i="20" s="1"/>
  <c r="H380" i="20" s="1"/>
  <c r="E381" i="20" a="1"/>
  <c r="E381" i="20" s="1"/>
  <c r="I381" i="20" s="1"/>
  <c r="J381" i="20" s="1"/>
  <c r="E387" i="20" a="1"/>
  <c r="E387" i="20" s="1"/>
  <c r="I387" i="20" s="1"/>
  <c r="J387" i="20" s="1"/>
  <c r="E383" i="20" a="1"/>
  <c r="E383" i="20" s="1"/>
  <c r="G383" i="20" s="1"/>
  <c r="H383" i="20" s="1"/>
  <c r="E379" i="20" a="1"/>
  <c r="E379" i="20" s="1"/>
  <c r="I379" i="20" s="1"/>
  <c r="J379" i="20" s="1"/>
  <c r="I387" i="15"/>
  <c r="J387" i="15" s="1"/>
  <c r="BD37" i="3"/>
  <c r="K387" i="15" s="1"/>
  <c r="E382" i="15" a="1"/>
  <c r="E382" i="15" s="1"/>
  <c r="K382" i="15" s="1"/>
  <c r="E379" i="15" a="1"/>
  <c r="E379" i="15" s="1"/>
  <c r="E378" i="15" a="1"/>
  <c r="E378" i="15" s="1"/>
  <c r="AA378" i="15" s="1"/>
  <c r="E383" i="15" a="1"/>
  <c r="E383" i="15" s="1"/>
  <c r="E380" i="15" a="1"/>
  <c r="E380" i="15" s="1"/>
  <c r="E381" i="15" a="1"/>
  <c r="E381" i="15" s="1"/>
  <c r="B223" i="6"/>
  <c r="E223" i="6"/>
  <c r="C223" i="6"/>
  <c r="K227" i="6" a="1"/>
  <c r="K227" i="6" s="1"/>
  <c r="J227" i="6" s="1"/>
  <c r="D223" i="6"/>
  <c r="B227" i="6"/>
  <c r="E224" i="6"/>
  <c r="K225" i="6" a="1"/>
  <c r="K225" i="6" s="1"/>
  <c r="K226" i="6" a="1"/>
  <c r="K226" i="6" s="1"/>
  <c r="H226" i="6" s="1"/>
  <c r="D228" i="6"/>
  <c r="K228" i="6" a="1"/>
  <c r="K228" i="6" s="1"/>
  <c r="K223" i="6" a="1"/>
  <c r="K223" i="6" s="1"/>
  <c r="D227" i="6"/>
  <c r="C227" i="6"/>
  <c r="E227" i="6"/>
  <c r="B224" i="6"/>
  <c r="C224" i="6"/>
  <c r="D224" i="6"/>
  <c r="B226" i="6"/>
  <c r="B228" i="6"/>
  <c r="E228" i="6"/>
  <c r="K224" i="6" a="1"/>
  <c r="K224" i="6" s="1"/>
  <c r="C228" i="6"/>
  <c r="D225" i="6"/>
  <c r="E226" i="6"/>
  <c r="E225" i="6"/>
  <c r="D226" i="6"/>
  <c r="B225" i="6"/>
  <c r="C226" i="6"/>
  <c r="C225" i="6"/>
  <c r="K381" i="15" l="1"/>
  <c r="K380" i="15"/>
  <c r="K383" i="15"/>
  <c r="AA382" i="15"/>
  <c r="AD382" i="15"/>
  <c r="AE382" i="15" s="1"/>
  <c r="AB382" i="15"/>
  <c r="AC382" i="15" s="1"/>
  <c r="AA379" i="15"/>
  <c r="AB379" i="15"/>
  <c r="AC379" i="15" s="1"/>
  <c r="AD379" i="15"/>
  <c r="AA381" i="15"/>
  <c r="AD381" i="15"/>
  <c r="AE381" i="15" s="1"/>
  <c r="AB381" i="15"/>
  <c r="AC381" i="15" s="1"/>
  <c r="AA380" i="15"/>
  <c r="AD380" i="15"/>
  <c r="AE380" i="15" s="1"/>
  <c r="AB380" i="15"/>
  <c r="AC380" i="15" s="1"/>
  <c r="AA383" i="15"/>
  <c r="AD383" i="15"/>
  <c r="AE383" i="15" s="1"/>
  <c r="AB383" i="15"/>
  <c r="AC383" i="15" s="1"/>
  <c r="G379" i="20"/>
  <c r="H379" i="20" s="1"/>
  <c r="I383" i="20"/>
  <c r="J383" i="20" s="1"/>
  <c r="G381" i="20"/>
  <c r="H381" i="20" s="1"/>
  <c r="I380" i="20"/>
  <c r="J380" i="20" s="1"/>
  <c r="G378" i="20"/>
  <c r="H378" i="20" s="1"/>
  <c r="I378" i="20"/>
  <c r="J378" i="20" s="1"/>
  <c r="G382" i="20"/>
  <c r="H382" i="20" s="1"/>
  <c r="G387" i="20"/>
  <c r="H387" i="20" s="1"/>
  <c r="K387" i="20"/>
  <c r="K381" i="20"/>
  <c r="K380" i="20"/>
  <c r="K379" i="20"/>
  <c r="K383" i="20"/>
  <c r="K382" i="20"/>
  <c r="G381" i="15"/>
  <c r="H381" i="15" s="1"/>
  <c r="G380" i="15"/>
  <c r="H380" i="15" s="1"/>
  <c r="G383" i="15"/>
  <c r="H383" i="15" s="1"/>
  <c r="K378" i="15"/>
  <c r="G378" i="15"/>
  <c r="H378" i="15" s="1"/>
  <c r="K379" i="15"/>
  <c r="G379" i="15"/>
  <c r="H379" i="15" s="1"/>
  <c r="G382" i="15"/>
  <c r="H382" i="15" s="1"/>
  <c r="I381" i="15"/>
  <c r="J381" i="15" s="1"/>
  <c r="I380" i="15"/>
  <c r="J380" i="15" s="1"/>
  <c r="I383" i="15"/>
  <c r="J383" i="15" s="1"/>
  <c r="I378" i="15"/>
  <c r="J378" i="15" s="1"/>
  <c r="I379" i="15"/>
  <c r="J379" i="15" s="1"/>
  <c r="I382" i="15"/>
  <c r="J382" i="15" s="1"/>
  <c r="H227" i="6"/>
  <c r="I226" i="6"/>
  <c r="G227" i="6"/>
  <c r="I223" i="6"/>
  <c r="J228" i="6"/>
  <c r="G226" i="6"/>
  <c r="I227" i="6"/>
  <c r="J224" i="6"/>
  <c r="G225" i="6"/>
  <c r="I225" i="6"/>
  <c r="J225" i="6"/>
  <c r="G228" i="6"/>
  <c r="J226" i="6"/>
  <c r="H225" i="6"/>
  <c r="G223" i="6"/>
  <c r="J223" i="6"/>
  <c r="H223" i="6"/>
  <c r="I228" i="6"/>
  <c r="H228" i="6"/>
  <c r="H224" i="6"/>
  <c r="I224" i="6"/>
  <c r="G224" i="6"/>
  <c r="AE379" i="15" l="1"/>
  <c r="AE388" i="15" s="1"/>
  <c r="AS32" i="15" s="1"/>
  <c r="AD388" i="15"/>
  <c r="AP32" i="15" s="1"/>
  <c r="AC388" i="15"/>
  <c r="AR32" i="15" s="1"/>
  <c r="AB388" i="15"/>
  <c r="AO32" i="15" s="1"/>
  <c r="H198" i="13"/>
  <c r="AT32" i="15" l="1"/>
  <c r="AQ32" i="15"/>
  <c r="BF33" i="10"/>
  <c r="BF90" i="10"/>
  <c r="BF32" i="10"/>
  <c r="BF22" i="10"/>
  <c r="BF83" i="10"/>
  <c r="BF40" i="10"/>
  <c r="BF52" i="10"/>
  <c r="BF42" i="10"/>
  <c r="BF7" i="10"/>
  <c r="BF19" i="10"/>
  <c r="BF77" i="10"/>
  <c r="BF66" i="10"/>
  <c r="BF41" i="10"/>
  <c r="BF61" i="10"/>
  <c r="BF9" i="10"/>
  <c r="BF5" i="10"/>
  <c r="BF59" i="10"/>
  <c r="BF92" i="10"/>
  <c r="BF47" i="10"/>
  <c r="BF56" i="10"/>
  <c r="BF64" i="10"/>
  <c r="BF20" i="10"/>
  <c r="BF6" i="10"/>
  <c r="BF87" i="10"/>
  <c r="BF45" i="10"/>
  <c r="BF39" i="10"/>
  <c r="BF44" i="10"/>
  <c r="BF21" i="10"/>
  <c r="BF37" i="10"/>
  <c r="BF50" i="10"/>
  <c r="BF84" i="10"/>
  <c r="BF93" i="10"/>
  <c r="BF48" i="10"/>
  <c r="BF30" i="10"/>
  <c r="BF24" i="10"/>
  <c r="BF35" i="10"/>
  <c r="BF31" i="10"/>
  <c r="BF23" i="10"/>
  <c r="BF78" i="10"/>
  <c r="BF46" i="10"/>
  <c r="BF53" i="10"/>
  <c r="BF63" i="10"/>
  <c r="BF89" i="10"/>
  <c r="BF60" i="10"/>
  <c r="BF51" i="10"/>
  <c r="BF58" i="10"/>
  <c r="BF57" i="10"/>
  <c r="BF8" i="10"/>
  <c r="BF86" i="10"/>
  <c r="BF54" i="10"/>
  <c r="BF34" i="10"/>
  <c r="BG9" i="10" l="1"/>
  <c r="BD9" i="10" s="1"/>
  <c r="BG57" i="10"/>
  <c r="BD57" i="10" s="1"/>
  <c r="BG77" i="10"/>
  <c r="BD77" i="10" s="1"/>
  <c r="BG19" i="10"/>
  <c r="BD19" i="10" s="1"/>
  <c r="BG7" i="10"/>
  <c r="BD7" i="10" s="1"/>
  <c r="BG21" i="10"/>
  <c r="BD21" i="10" s="1"/>
  <c r="BG42" i="10"/>
  <c r="BD42" i="10" s="1"/>
  <c r="BG61" i="10"/>
  <c r="BD61" i="10" s="1"/>
  <c r="BG78" i="10"/>
  <c r="BD78" i="10" s="1"/>
  <c r="BG52" i="10"/>
  <c r="BD52" i="10" s="1"/>
  <c r="BG58" i="10"/>
  <c r="BD58" i="10" s="1"/>
  <c r="BG44" i="10"/>
  <c r="BD44" i="10" s="1"/>
  <c r="BG20" i="10"/>
  <c r="BD20" i="10" s="1"/>
  <c r="BG40" i="10"/>
  <c r="BD40" i="10" s="1"/>
  <c r="BG66" i="10"/>
  <c r="BD66" i="10" s="1"/>
  <c r="BG46" i="10"/>
  <c r="BD46" i="10" s="1"/>
  <c r="BG31" i="10"/>
  <c r="BD31" i="10" s="1"/>
  <c r="BG64" i="10"/>
  <c r="BD64" i="10" s="1"/>
  <c r="BG83" i="10"/>
  <c r="BD83" i="10" s="1"/>
  <c r="BG41" i="10"/>
  <c r="BD41" i="10" s="1"/>
  <c r="BG45" i="10"/>
  <c r="BD45" i="10" s="1"/>
  <c r="BG35" i="10"/>
  <c r="BD35" i="10" s="1"/>
  <c r="BG56" i="10"/>
  <c r="BD56" i="10" s="1"/>
  <c r="BG22" i="10"/>
  <c r="BD22" i="10" s="1"/>
  <c r="BG84" i="10"/>
  <c r="BD84" i="10" s="1"/>
  <c r="BG60" i="10"/>
  <c r="BD60" i="10" s="1"/>
  <c r="BG53" i="10"/>
  <c r="BD53" i="10" s="1"/>
  <c r="BG24" i="10"/>
  <c r="BD24" i="10" s="1"/>
  <c r="BG47" i="10"/>
  <c r="BD47" i="10" s="1"/>
  <c r="BG32" i="10"/>
  <c r="BD32" i="10" s="1"/>
  <c r="BG37" i="10"/>
  <c r="BD37" i="10" s="1"/>
  <c r="BG39" i="10"/>
  <c r="BD39" i="10" s="1"/>
  <c r="BG23" i="10"/>
  <c r="BD23" i="10" s="1"/>
  <c r="BG30" i="10"/>
  <c r="BD30" i="10" s="1"/>
  <c r="BG92" i="10"/>
  <c r="BD92" i="10" s="1"/>
  <c r="BG90" i="10"/>
  <c r="BD90" i="10" s="1"/>
  <c r="BG51" i="10"/>
  <c r="BD51" i="10" s="1"/>
  <c r="BG63" i="10"/>
  <c r="BD63" i="10" s="1"/>
  <c r="BG6" i="10"/>
  <c r="BG54" i="10"/>
  <c r="BD54" i="10" s="1"/>
  <c r="BG86" i="10"/>
  <c r="BD86" i="10" s="1"/>
  <c r="BG48" i="10"/>
  <c r="BD48" i="10" s="1"/>
  <c r="BG59" i="10"/>
  <c r="BD59" i="10" s="1"/>
  <c r="BG33" i="10"/>
  <c r="BD33" i="10" s="1"/>
  <c r="BG50" i="10"/>
  <c r="BD50" i="10" s="1"/>
  <c r="BG89" i="10"/>
  <c r="BD89" i="10" s="1"/>
  <c r="BG87" i="10"/>
  <c r="BD87" i="10" s="1"/>
  <c r="BG34" i="10"/>
  <c r="BD34" i="10" s="1"/>
  <c r="BG8" i="10"/>
  <c r="BD8" i="10" s="1"/>
  <c r="BG93" i="10"/>
  <c r="BD93" i="10" s="1"/>
  <c r="BG5" i="10"/>
  <c r="BC34" i="10"/>
  <c r="BC84" i="10"/>
  <c r="BC52" i="10"/>
  <c r="BC40" i="10"/>
  <c r="BC83" i="10"/>
  <c r="BC54" i="10"/>
  <c r="BC22" i="10"/>
  <c r="BC8" i="10"/>
  <c r="F27" i="6" a="1"/>
  <c r="F27" i="6" s="1"/>
  <c r="G57" i="13" s="1"/>
  <c r="F19" i="6" a="1"/>
  <c r="F19" i="6" s="1"/>
  <c r="G83" i="13" s="1"/>
  <c r="F31" i="6" a="1"/>
  <c r="F31" i="6" s="1"/>
  <c r="G91" i="13" s="1"/>
  <c r="F30" i="6" a="1"/>
  <c r="F30" i="6" s="1"/>
  <c r="G90" i="13" s="1"/>
  <c r="F25" i="6" a="1"/>
  <c r="F25" i="6" s="1"/>
  <c r="F22" i="6" a="1"/>
  <c r="F22" i="6" s="1"/>
  <c r="G87" i="13" s="1"/>
  <c r="F28" i="6" a="1"/>
  <c r="F28" i="6" s="1"/>
  <c r="G88" i="13" s="1"/>
  <c r="F23" i="6" a="1"/>
  <c r="F23" i="6" s="1"/>
  <c r="G86" i="13" s="1"/>
  <c r="F21" i="6" a="1"/>
  <c r="F21" i="6" s="1"/>
  <c r="G85" i="13" s="1"/>
  <c r="F24" i="6" a="1"/>
  <c r="F24" i="6" s="1"/>
  <c r="F18" i="6" a="1"/>
  <c r="F18" i="6" s="1"/>
  <c r="G55" i="13" s="1"/>
  <c r="F20" i="6" a="1"/>
  <c r="F20" i="6" s="1"/>
  <c r="G84" i="13" s="1"/>
  <c r="F17" i="6" a="1"/>
  <c r="F17" i="6" s="1"/>
  <c r="F29" i="6" a="1"/>
  <c r="F29" i="6" s="1"/>
  <c r="G89" i="13" s="1"/>
  <c r="BC32" i="10"/>
  <c r="BC47" i="10"/>
  <c r="BC9" i="10"/>
  <c r="BC90" i="10"/>
  <c r="BC64" i="10"/>
  <c r="BC57" i="10"/>
  <c r="BC50" i="10"/>
  <c r="BC61" i="10"/>
  <c r="BC33" i="10"/>
  <c r="BC30" i="10"/>
  <c r="BC41" i="10"/>
  <c r="BC37" i="10"/>
  <c r="BC58" i="10"/>
  <c r="BC63" i="10"/>
  <c r="BC5" i="10"/>
  <c r="BC86" i="10"/>
  <c r="BC93" i="10"/>
  <c r="BC87" i="10"/>
  <c r="BC59" i="10"/>
  <c r="BC60" i="10"/>
  <c r="BC46" i="10"/>
  <c r="BC39" i="10"/>
  <c r="BC66" i="10"/>
  <c r="BC53" i="10"/>
  <c r="BC78" i="10"/>
  <c r="BC45" i="10"/>
  <c r="BC77" i="10"/>
  <c r="BC56" i="10"/>
  <c r="BC89" i="10"/>
  <c r="BC44" i="10"/>
  <c r="BC19" i="10"/>
  <c r="BC24" i="10"/>
  <c r="BC48" i="10"/>
  <c r="BC51" i="10"/>
  <c r="BC21" i="10"/>
  <c r="BC23" i="10"/>
  <c r="BC31" i="10"/>
  <c r="BC6" i="10"/>
  <c r="BC7" i="10"/>
  <c r="BC92" i="10"/>
  <c r="BC35" i="10"/>
  <c r="BC20" i="10"/>
  <c r="BC42" i="10"/>
  <c r="G19" i="13" l="1"/>
  <c r="G20" i="13"/>
  <c r="G56" i="13"/>
  <c r="E62" i="15" a="1"/>
  <c r="E62" i="15" s="1"/>
  <c r="BD5" i="10"/>
  <c r="E64" i="20" a="1"/>
  <c r="E64" i="20" s="1"/>
  <c r="E59" i="20" a="1"/>
  <c r="E59" i="20" s="1"/>
  <c r="E61" i="20" a="1"/>
  <c r="E61" i="20" s="1"/>
  <c r="E47" i="20" a="1"/>
  <c r="E47" i="20" s="1"/>
  <c r="E62" i="20" a="1"/>
  <c r="E62" i="20" s="1"/>
  <c r="E36" i="20" a="1"/>
  <c r="E36" i="20" s="1"/>
  <c r="E63" i="20" a="1"/>
  <c r="E63" i="20" s="1"/>
  <c r="E46" i="20" a="1"/>
  <c r="E46" i="20" s="1"/>
  <c r="E35" i="20" a="1"/>
  <c r="E35" i="20" s="1"/>
  <c r="E60" i="20" a="1"/>
  <c r="E60" i="20" s="1"/>
  <c r="E48" i="20" a="1"/>
  <c r="E48" i="20" s="1"/>
  <c r="E63" i="15" a="1"/>
  <c r="E63" i="15" s="1"/>
  <c r="E32" i="15" a="1"/>
  <c r="E32" i="15" s="1"/>
  <c r="E46" i="15" a="1"/>
  <c r="E46" i="15" s="1"/>
  <c r="E47" i="15" a="1"/>
  <c r="E47" i="15" s="1"/>
  <c r="BD6" i="10"/>
  <c r="E59" i="15" a="1"/>
  <c r="E59" i="15" s="1"/>
  <c r="E64" i="15" a="1"/>
  <c r="E64" i="15" s="1"/>
  <c r="E35" i="15" a="1"/>
  <c r="E35" i="15" s="1"/>
  <c r="E36" i="15" a="1"/>
  <c r="E36" i="15" s="1"/>
  <c r="E42" i="15" a="1"/>
  <c r="E42" i="15" s="1"/>
  <c r="E48" i="15" a="1"/>
  <c r="E48" i="15" s="1"/>
  <c r="E61" i="15" a="1"/>
  <c r="E61" i="15" s="1"/>
  <c r="E60" i="15" a="1"/>
  <c r="E60" i="15" s="1"/>
  <c r="K27" i="6" a="1"/>
  <c r="K27" i="6" s="1"/>
  <c r="D27" i="6"/>
  <c r="E27" i="6"/>
  <c r="C27" i="6"/>
  <c r="B27" i="6"/>
  <c r="K29" i="6" a="1"/>
  <c r="K29" i="6" s="1"/>
  <c r="C29" i="6"/>
  <c r="B29" i="6"/>
  <c r="D29" i="6"/>
  <c r="E29" i="6"/>
  <c r="K17" i="6" a="1"/>
  <c r="K17" i="6" s="1"/>
  <c r="D17" i="6"/>
  <c r="B17" i="6"/>
  <c r="E17" i="6"/>
  <c r="C17" i="6"/>
  <c r="K20" i="6" a="1"/>
  <c r="K20" i="6" s="1"/>
  <c r="H20" i="6" s="1"/>
  <c r="E20" i="6"/>
  <c r="C20" i="6"/>
  <c r="D20" i="6"/>
  <c r="B20" i="6"/>
  <c r="K18" i="6" a="1"/>
  <c r="K18" i="6" s="1"/>
  <c r="D18" i="6"/>
  <c r="B18" i="6"/>
  <c r="E18" i="6"/>
  <c r="C18" i="6"/>
  <c r="K24" i="6" a="1"/>
  <c r="K24" i="6" s="1"/>
  <c r="D24" i="6"/>
  <c r="E24" i="6"/>
  <c r="B24" i="6"/>
  <c r="C24" i="6"/>
  <c r="K21" i="6" a="1"/>
  <c r="K21" i="6" s="1"/>
  <c r="D21" i="6"/>
  <c r="E21" i="6"/>
  <c r="C21" i="6"/>
  <c r="B21" i="6"/>
  <c r="K23" i="6" a="1"/>
  <c r="K23" i="6" s="1"/>
  <c r="B23" i="6"/>
  <c r="D23" i="6"/>
  <c r="C23" i="6"/>
  <c r="E23" i="6"/>
  <c r="K28" i="6" a="1"/>
  <c r="K28" i="6" s="1"/>
  <c r="C28" i="6"/>
  <c r="B28" i="6"/>
  <c r="E28" i="6"/>
  <c r="D28" i="6"/>
  <c r="K22" i="6" a="1"/>
  <c r="K22" i="6" s="1"/>
  <c r="D22" i="6"/>
  <c r="B22" i="6"/>
  <c r="C22" i="6"/>
  <c r="E22" i="6"/>
  <c r="K25" i="6" a="1"/>
  <c r="K25" i="6" s="1"/>
  <c r="B25" i="6"/>
  <c r="D25" i="6"/>
  <c r="C25" i="6"/>
  <c r="E25" i="6"/>
  <c r="K30" i="6" a="1"/>
  <c r="K30" i="6" s="1"/>
  <c r="D30" i="6"/>
  <c r="E30" i="6"/>
  <c r="B30" i="6"/>
  <c r="C30" i="6"/>
  <c r="K31" i="6" a="1"/>
  <c r="K31" i="6" s="1"/>
  <c r="C31" i="6"/>
  <c r="E31" i="6"/>
  <c r="D31" i="6"/>
  <c r="B31" i="6"/>
  <c r="K19" i="6" a="1"/>
  <c r="K19" i="6" s="1"/>
  <c r="C19" i="6"/>
  <c r="B19" i="6"/>
  <c r="D19" i="6"/>
  <c r="E19" i="6"/>
  <c r="AA60" i="15" l="1"/>
  <c r="AD60" i="15"/>
  <c r="AE60" i="15" s="1"/>
  <c r="AB60" i="15"/>
  <c r="AC60" i="15" s="1"/>
  <c r="AA61" i="15"/>
  <c r="AD61" i="15"/>
  <c r="AE61" i="15" s="1"/>
  <c r="AB61" i="15"/>
  <c r="AC61" i="15" s="1"/>
  <c r="AA48" i="15"/>
  <c r="AD48" i="15"/>
  <c r="AE48" i="15" s="1"/>
  <c r="AB48" i="15"/>
  <c r="AC48" i="15" s="1"/>
  <c r="AA42" i="15"/>
  <c r="AB42" i="15"/>
  <c r="AC42" i="15" s="1"/>
  <c r="AD42" i="15"/>
  <c r="AA36" i="15"/>
  <c r="AD36" i="15"/>
  <c r="AE36" i="15" s="1"/>
  <c r="AB36" i="15"/>
  <c r="AC36" i="15" s="1"/>
  <c r="AA35" i="15"/>
  <c r="AD35" i="15"/>
  <c r="AE35" i="15" s="1"/>
  <c r="AB35" i="15"/>
  <c r="AC35" i="15" s="1"/>
  <c r="AA64" i="15"/>
  <c r="AD64" i="15"/>
  <c r="AE64" i="15" s="1"/>
  <c r="AB64" i="15"/>
  <c r="AC64" i="15" s="1"/>
  <c r="AA59" i="15"/>
  <c r="AD59" i="15"/>
  <c r="AB59" i="15"/>
  <c r="AA47" i="15"/>
  <c r="AD47" i="15"/>
  <c r="AE47" i="15" s="1"/>
  <c r="AB47" i="15"/>
  <c r="AC47" i="15" s="1"/>
  <c r="AD62" i="15"/>
  <c r="AE62" i="15" s="1"/>
  <c r="AB62" i="15"/>
  <c r="AC62" i="15" s="1"/>
  <c r="AA46" i="15"/>
  <c r="AD46" i="15"/>
  <c r="AE46" i="15" s="1"/>
  <c r="AB46" i="15"/>
  <c r="AC46" i="15" s="1"/>
  <c r="AA32" i="15"/>
  <c r="AD32" i="15"/>
  <c r="AB32" i="15"/>
  <c r="AA63" i="15"/>
  <c r="AB63" i="15"/>
  <c r="AC63" i="15" s="1"/>
  <c r="AD63" i="15"/>
  <c r="AE63" i="15" s="1"/>
  <c r="G62" i="15"/>
  <c r="H62" i="15" s="1"/>
  <c r="AA62" i="15"/>
  <c r="I62" i="15"/>
  <c r="J62" i="15" s="1"/>
  <c r="K62" i="15"/>
  <c r="K54" i="15"/>
  <c r="K48" i="20"/>
  <c r="G48" i="20"/>
  <c r="H48" i="20" s="1"/>
  <c r="I48" i="20"/>
  <c r="J48" i="20" s="1"/>
  <c r="K60" i="20"/>
  <c r="G60" i="20"/>
  <c r="H60" i="20" s="1"/>
  <c r="I60" i="20"/>
  <c r="J60" i="20" s="1"/>
  <c r="K35" i="20"/>
  <c r="I35" i="20"/>
  <c r="J35" i="20" s="1"/>
  <c r="G35" i="20"/>
  <c r="H35" i="20" s="1"/>
  <c r="I46" i="20"/>
  <c r="J46" i="20" s="1"/>
  <c r="K46" i="20"/>
  <c r="G46" i="20"/>
  <c r="H46" i="20" s="1"/>
  <c r="K63" i="20"/>
  <c r="G63" i="20"/>
  <c r="H63" i="20" s="1"/>
  <c r="I63" i="20"/>
  <c r="J63" i="20" s="1"/>
  <c r="K36" i="20"/>
  <c r="I36" i="20"/>
  <c r="J36" i="20" s="1"/>
  <c r="G36" i="20"/>
  <c r="H36" i="20" s="1"/>
  <c r="K62" i="20"/>
  <c r="G62" i="20"/>
  <c r="H62" i="20" s="1"/>
  <c r="I62" i="20"/>
  <c r="J62" i="20" s="1"/>
  <c r="I47" i="20"/>
  <c r="J47" i="20" s="1"/>
  <c r="G47" i="20"/>
  <c r="H47" i="20" s="1"/>
  <c r="K47" i="20"/>
  <c r="K61" i="20"/>
  <c r="I61" i="20"/>
  <c r="J61" i="20" s="1"/>
  <c r="G61" i="20"/>
  <c r="H61" i="20" s="1"/>
  <c r="G59" i="20"/>
  <c r="H59" i="20" s="1"/>
  <c r="I59" i="20"/>
  <c r="J59" i="20" s="1"/>
  <c r="K59" i="20"/>
  <c r="G64" i="20"/>
  <c r="H64" i="20" s="1"/>
  <c r="I64" i="20"/>
  <c r="J64" i="20" s="1"/>
  <c r="K64" i="20"/>
  <c r="K42" i="20"/>
  <c r="K32" i="20"/>
  <c r="K54" i="20"/>
  <c r="G32" i="15"/>
  <c r="K35" i="15"/>
  <c r="G35" i="15"/>
  <c r="H35" i="15" s="1"/>
  <c r="K48" i="15"/>
  <c r="G48" i="15"/>
  <c r="H48" i="15" s="1"/>
  <c r="K42" i="15"/>
  <c r="G42" i="15"/>
  <c r="H42" i="15" s="1"/>
  <c r="K60" i="15"/>
  <c r="G60" i="15"/>
  <c r="H60" i="15" s="1"/>
  <c r="K61" i="15"/>
  <c r="G61" i="15"/>
  <c r="H61" i="15" s="1"/>
  <c r="K64" i="15"/>
  <c r="G64" i="15"/>
  <c r="H64" i="15" s="1"/>
  <c r="K59" i="15"/>
  <c r="G59" i="15"/>
  <c r="H59" i="15" s="1"/>
  <c r="K47" i="15"/>
  <c r="G47" i="15"/>
  <c r="H47" i="15" s="1"/>
  <c r="K46" i="15"/>
  <c r="G46" i="15"/>
  <c r="H46" i="15" s="1"/>
  <c r="K36" i="15"/>
  <c r="G36" i="15"/>
  <c r="H36" i="15" s="1"/>
  <c r="I63" i="15"/>
  <c r="J63" i="15" s="1"/>
  <c r="G63" i="15"/>
  <c r="H63" i="15" s="1"/>
  <c r="I32" i="15"/>
  <c r="J32" i="15" s="1"/>
  <c r="K32" i="15"/>
  <c r="K63" i="15"/>
  <c r="I42" i="15"/>
  <c r="J42" i="15" s="1"/>
  <c r="I35" i="15"/>
  <c r="J35" i="15" s="1"/>
  <c r="I48" i="15"/>
  <c r="J48" i="15" s="1"/>
  <c r="I64" i="15"/>
  <c r="I61" i="15"/>
  <c r="J61" i="15" s="1"/>
  <c r="I36" i="15"/>
  <c r="J36" i="15" s="1"/>
  <c r="I59" i="15"/>
  <c r="J59" i="15" s="1"/>
  <c r="I47" i="15"/>
  <c r="J47" i="15" s="1"/>
  <c r="I46" i="15"/>
  <c r="J46" i="15" s="1"/>
  <c r="I60" i="15"/>
  <c r="J60" i="15" s="1"/>
  <c r="I45" i="15"/>
  <c r="J45" i="15" s="1"/>
  <c r="I34" i="15"/>
  <c r="J30" i="6"/>
  <c r="H30" i="6"/>
  <c r="I30" i="6"/>
  <c r="G30" i="6"/>
  <c r="G24" i="6"/>
  <c r="I24" i="6"/>
  <c r="H24" i="6"/>
  <c r="J24" i="6"/>
  <c r="H17" i="6"/>
  <c r="G17" i="6"/>
  <c r="J17" i="6"/>
  <c r="I17" i="6"/>
  <c r="I19" i="6"/>
  <c r="G19" i="6"/>
  <c r="H19" i="6"/>
  <c r="J19" i="6"/>
  <c r="H25" i="6"/>
  <c r="I25" i="6"/>
  <c r="J25" i="6"/>
  <c r="G25" i="6"/>
  <c r="H23" i="6"/>
  <c r="G23" i="6"/>
  <c r="J23" i="6"/>
  <c r="I23" i="6"/>
  <c r="I29" i="6"/>
  <c r="G29" i="6"/>
  <c r="J29" i="6"/>
  <c r="H29" i="6"/>
  <c r="H18" i="6"/>
  <c r="G18" i="6"/>
  <c r="J18" i="6"/>
  <c r="I18" i="6"/>
  <c r="J22" i="6"/>
  <c r="I22" i="6"/>
  <c r="H22" i="6"/>
  <c r="G22" i="6"/>
  <c r="H31" i="6"/>
  <c r="I31" i="6"/>
  <c r="J31" i="6"/>
  <c r="G31" i="6"/>
  <c r="J21" i="6"/>
  <c r="H21" i="6"/>
  <c r="G21" i="6"/>
  <c r="I21" i="6"/>
  <c r="G20" i="6"/>
  <c r="I20" i="6"/>
  <c r="J20" i="6"/>
  <c r="J27" i="6"/>
  <c r="H27" i="6"/>
  <c r="G27" i="6"/>
  <c r="I27" i="6"/>
  <c r="H28" i="6"/>
  <c r="G28" i="6"/>
  <c r="I28" i="6"/>
  <c r="J28" i="6"/>
  <c r="AC32" i="15" l="1"/>
  <c r="AC49" i="15" s="1"/>
  <c r="AR11" i="15" s="1"/>
  <c r="AE42" i="15"/>
  <c r="AD49" i="15"/>
  <c r="AP11" i="15" s="1"/>
  <c r="AB65" i="15"/>
  <c r="AO12" i="15" s="1"/>
  <c r="AC59" i="15"/>
  <c r="AC65" i="15" s="1"/>
  <c r="AR12" i="15" s="1"/>
  <c r="AE59" i="15"/>
  <c r="AE65" i="15" s="1"/>
  <c r="AS12" i="15" s="1"/>
  <c r="AD65" i="15"/>
  <c r="AP12" i="15" s="1"/>
  <c r="AE32" i="15"/>
  <c r="AB49" i="15"/>
  <c r="AO11" i="15" s="1"/>
  <c r="J34" i="15"/>
  <c r="H32" i="15"/>
  <c r="J64" i="15"/>
  <c r="AO8" i="15" l="1"/>
  <c r="AQ11" i="15"/>
  <c r="AR8" i="15"/>
  <c r="AP8" i="15"/>
  <c r="AT12" i="15"/>
  <c r="AQ12" i="15"/>
  <c r="AE49" i="15"/>
  <c r="AS11" i="15" s="1"/>
  <c r="H70" i="13"/>
  <c r="AQ8" i="15" l="1"/>
  <c r="AT11" i="15"/>
  <c r="AS8" i="15"/>
  <c r="AT8" i="15" s="1"/>
  <c r="BA8" i="15" s="1"/>
  <c r="E59" i="13" l="1"/>
  <c r="H59" i="13" s="1"/>
  <c r="E187" i="13"/>
  <c r="H187" i="13" s="1"/>
  <c r="E182" i="13"/>
  <c r="H182" i="13" s="1"/>
  <c r="E185" i="13"/>
  <c r="H185" i="13" s="1"/>
  <c r="E168" i="13"/>
  <c r="H168" i="13" s="1"/>
  <c r="E78" i="13"/>
  <c r="H78" i="13" s="1"/>
  <c r="E94" i="13"/>
  <c r="H94" i="13" s="1"/>
  <c r="E171" i="13"/>
  <c r="H171" i="13" s="1"/>
  <c r="E97" i="13"/>
  <c r="H97" i="13" s="1"/>
  <c r="E188" i="13"/>
  <c r="H188" i="13" s="1"/>
  <c r="E190" i="13"/>
  <c r="H190" i="13" s="1"/>
  <c r="E163" i="13"/>
  <c r="H163" i="13" s="1"/>
  <c r="E176" i="13"/>
  <c r="H176" i="13" s="1"/>
  <c r="E54" i="13"/>
  <c r="H54" i="13" s="1"/>
  <c r="E87" i="13"/>
  <c r="H87" i="13" s="1"/>
  <c r="E41" i="13"/>
  <c r="E86" i="13"/>
  <c r="H86" i="13" s="1"/>
  <c r="E164" i="13"/>
  <c r="H164" i="13" s="1"/>
  <c r="E90" i="13"/>
  <c r="H90" i="13" s="1"/>
  <c r="E21" i="13"/>
  <c r="H21" i="13" s="1"/>
  <c r="E166" i="13"/>
  <c r="H166" i="13" s="1"/>
  <c r="E53" i="13"/>
  <c r="H53" i="13" s="1"/>
  <c r="E181" i="13"/>
  <c r="H181" i="13" s="1"/>
  <c r="E88" i="13"/>
  <c r="H88" i="13" s="1"/>
  <c r="E45" i="13"/>
  <c r="H45" i="13" s="1"/>
  <c r="E152" i="13"/>
  <c r="H152" i="13" s="1"/>
  <c r="E172" i="13"/>
  <c r="H172" i="13" s="1"/>
  <c r="E83" i="13"/>
  <c r="H83" i="13" s="1"/>
  <c r="E179" i="13"/>
  <c r="H179" i="13" s="1"/>
  <c r="E175" i="13"/>
  <c r="H175" i="13" s="1"/>
  <c r="E71" i="13"/>
  <c r="H71" i="13" s="1"/>
  <c r="E180" i="13"/>
  <c r="H180" i="13" s="1"/>
  <c r="E196" i="13"/>
  <c r="H196" i="13" s="1"/>
  <c r="E184" i="13"/>
  <c r="H184" i="13" s="1"/>
  <c r="E159" i="13"/>
  <c r="H159" i="13" s="1"/>
  <c r="E155" i="13"/>
  <c r="H155" i="13" s="1"/>
  <c r="E49" i="13"/>
  <c r="H49" i="13" s="1"/>
  <c r="E183" i="13"/>
  <c r="H183" i="13" s="1"/>
  <c r="E68" i="13"/>
  <c r="H68" i="13" s="1"/>
  <c r="E170" i="13"/>
  <c r="H170" i="13" s="1"/>
  <c r="E173" i="13"/>
  <c r="H173" i="13" s="1"/>
  <c r="E66" i="13"/>
  <c r="H66" i="13" s="1"/>
  <c r="E197" i="13"/>
  <c r="H197" i="13" s="1"/>
  <c r="E81" i="13"/>
  <c r="H81" i="13" s="1"/>
  <c r="E69" i="13"/>
  <c r="H69" i="13" s="1"/>
  <c r="E153" i="13"/>
  <c r="H153" i="13" s="1"/>
  <c r="E44" i="13"/>
  <c r="H44" i="13" s="1"/>
  <c r="E51" i="13"/>
  <c r="H51" i="13" s="1"/>
  <c r="E80" i="13"/>
  <c r="H80" i="13" s="1"/>
  <c r="E84" i="13"/>
  <c r="H84" i="13" s="1"/>
  <c r="E162" i="13"/>
  <c r="H162" i="13" s="1"/>
  <c r="E189" i="13"/>
  <c r="H189" i="13" s="1"/>
  <c r="E154" i="13"/>
  <c r="H154" i="13" s="1"/>
  <c r="E17" i="13"/>
  <c r="H17" i="13" s="1"/>
  <c r="E79" i="13"/>
  <c r="H79" i="13" s="1"/>
  <c r="E85" i="13"/>
  <c r="H85" i="13" s="1"/>
  <c r="E58" i="13"/>
  <c r="H58" i="13" s="1"/>
  <c r="E50" i="13"/>
  <c r="H50" i="13" s="1"/>
  <c r="E82" i="13"/>
  <c r="H82" i="13" s="1"/>
  <c r="E150" i="13"/>
  <c r="H150" i="13" s="1"/>
  <c r="E95" i="13"/>
  <c r="H95" i="13" s="1"/>
  <c r="E96" i="13"/>
  <c r="H96" i="13" s="1"/>
  <c r="E61" i="13"/>
  <c r="H61" i="13" s="1"/>
  <c r="E62" i="13"/>
  <c r="H62" i="13" s="1"/>
  <c r="E60" i="13"/>
  <c r="H60" i="13" s="1"/>
  <c r="E89" i="13"/>
  <c r="H89" i="13" s="1"/>
  <c r="E161" i="13"/>
  <c r="H161" i="13" s="1"/>
  <c r="E156" i="13"/>
  <c r="H156" i="13" s="1"/>
  <c r="E151" i="13"/>
  <c r="H151" i="13" s="1"/>
  <c r="E57" i="13"/>
  <c r="H57" i="13" s="1"/>
  <c r="E193" i="13"/>
  <c r="H193" i="13" s="1"/>
  <c r="E192" i="13"/>
  <c r="H192" i="13" s="1"/>
  <c r="E52" i="13"/>
  <c r="H52" i="13" s="1"/>
  <c r="E191" i="13"/>
  <c r="H191" i="13" s="1"/>
  <c r="E167" i="13"/>
  <c r="H167" i="13" s="1"/>
  <c r="E19" i="13"/>
  <c r="H19" i="13" s="1"/>
  <c r="E20" i="13"/>
  <c r="H20" i="13" s="1"/>
  <c r="E56" i="13"/>
  <c r="H56" i="13" s="1"/>
  <c r="E92" i="13"/>
  <c r="H92" i="13" s="1"/>
  <c r="E178" i="13"/>
  <c r="H178" i="13" s="1"/>
  <c r="E48" i="13"/>
  <c r="H48" i="13" s="1"/>
  <c r="E165" i="13"/>
  <c r="H165" i="13" s="1"/>
  <c r="E67" i="13"/>
  <c r="H67" i="13" s="1"/>
  <c r="E177" i="13"/>
  <c r="H177" i="13" s="1"/>
  <c r="E160" i="13"/>
  <c r="H160" i="13" s="1"/>
  <c r="E43" i="13"/>
  <c r="H43" i="13" s="1"/>
  <c r="E186" i="13"/>
  <c r="H186" i="13" s="1"/>
  <c r="E93" i="13"/>
  <c r="H93" i="13" s="1"/>
  <c r="E157" i="13"/>
  <c r="H157" i="13" s="1"/>
  <c r="E174" i="13"/>
  <c r="H174" i="13" s="1"/>
  <c r="E194" i="13"/>
  <c r="H194" i="13" s="1"/>
  <c r="E91" i="13"/>
  <c r="H91" i="13" s="1"/>
  <c r="E169" i="13"/>
  <c r="H169" i="13" s="1"/>
  <c r="E55" i="13"/>
  <c r="H55" i="13" s="1"/>
  <c r="E77" i="13"/>
  <c r="H77" i="13" s="1"/>
  <c r="E195" i="13"/>
  <c r="H195" i="13" s="1"/>
  <c r="E158" i="13"/>
  <c r="H158" i="13" s="1"/>
  <c r="E47" i="13"/>
  <c r="H47" i="13" s="1"/>
  <c r="E138" i="13" l="1"/>
  <c r="H138" i="13" s="1"/>
  <c r="E65" i="13"/>
  <c r="H65" i="13" s="1"/>
  <c r="E75" i="13"/>
  <c r="H75" i="13" s="1"/>
  <c r="E117" i="13"/>
  <c r="H117" i="13" s="1"/>
  <c r="E127" i="13"/>
  <c r="H127" i="13" s="1"/>
  <c r="E110" i="13"/>
  <c r="H110" i="13" s="1"/>
  <c r="E76" i="13"/>
  <c r="H76" i="13" s="1"/>
  <c r="E115" i="13"/>
  <c r="H115" i="13" s="1"/>
  <c r="E121" i="13"/>
  <c r="H121" i="13" s="1"/>
  <c r="E99" i="13"/>
  <c r="H99" i="13" s="1"/>
  <c r="E142" i="13"/>
  <c r="H142" i="13" s="1"/>
  <c r="E141" i="13"/>
  <c r="H141" i="13" s="1"/>
  <c r="E102" i="13"/>
  <c r="H102" i="13" s="1"/>
  <c r="E33" i="13"/>
  <c r="H33" i="13" s="1"/>
  <c r="E119" i="13"/>
  <c r="H119" i="13" s="1"/>
  <c r="E100" i="13"/>
  <c r="H100" i="13" s="1"/>
  <c r="E28" i="13"/>
  <c r="H28" i="13" s="1"/>
  <c r="E27" i="13"/>
  <c r="H27" i="13" s="1"/>
  <c r="E29" i="13"/>
  <c r="H29" i="13" s="1"/>
  <c r="E30" i="13"/>
  <c r="H30" i="13" s="1"/>
  <c r="E101" i="13"/>
  <c r="H101" i="13" s="1"/>
  <c r="E144" i="13"/>
  <c r="H144" i="13" s="1"/>
  <c r="E132" i="13"/>
  <c r="H132" i="13" s="1"/>
  <c r="E135" i="13"/>
  <c r="H135" i="13" s="1"/>
  <c r="E129" i="13"/>
  <c r="H129" i="13" s="1"/>
  <c r="E122" i="13"/>
  <c r="H122" i="13" s="1"/>
  <c r="E98" i="13"/>
  <c r="H98" i="13" s="1"/>
  <c r="E131" i="13"/>
  <c r="H131" i="13" s="1"/>
  <c r="E149" i="13"/>
  <c r="H149" i="13" s="1"/>
  <c r="E143" i="13"/>
  <c r="H143" i="13" s="1"/>
  <c r="E116" i="13"/>
  <c r="H116" i="13" s="1"/>
  <c r="E36" i="13"/>
  <c r="H36" i="13" s="1"/>
  <c r="E63" i="13"/>
  <c r="H63" i="13" s="1"/>
  <c r="E73" i="13"/>
  <c r="H73" i="13" s="1"/>
  <c r="E134" i="13"/>
  <c r="H134" i="13" s="1"/>
  <c r="E125" i="13"/>
  <c r="H125" i="13" s="1"/>
  <c r="E126" i="13"/>
  <c r="H126" i="13" s="1"/>
  <c r="E106" i="13"/>
  <c r="H106" i="13" s="1"/>
  <c r="E37" i="13"/>
  <c r="H37" i="13" s="1"/>
  <c r="E108" i="13"/>
  <c r="H108" i="13" s="1"/>
  <c r="E112" i="13"/>
  <c r="H112" i="13" s="1"/>
  <c r="E147" i="13"/>
  <c r="H147" i="13" s="1"/>
  <c r="E145" i="13"/>
  <c r="H145" i="13" s="1"/>
  <c r="E146" i="13"/>
  <c r="H146" i="13" s="1"/>
  <c r="E128" i="13"/>
  <c r="H128" i="13" s="1"/>
  <c r="E113" i="13"/>
  <c r="H113" i="13" s="1"/>
  <c r="E148" i="13"/>
  <c r="H148" i="13" s="1"/>
  <c r="E109" i="13"/>
  <c r="H109" i="13" s="1"/>
  <c r="E107" i="13"/>
  <c r="H107" i="13" s="1"/>
  <c r="E104" i="13"/>
  <c r="H104" i="13" s="1"/>
  <c r="E105" i="13"/>
  <c r="H105" i="13" s="1"/>
  <c r="E118" i="13"/>
  <c r="H118" i="13" s="1"/>
  <c r="E130" i="13"/>
  <c r="H130" i="13" s="1"/>
  <c r="E111" i="13"/>
  <c r="H111" i="13" s="1"/>
  <c r="E38" i="13"/>
  <c r="H38" i="13" s="1"/>
  <c r="E64" i="13"/>
  <c r="H64" i="13" s="1"/>
  <c r="E74" i="13"/>
  <c r="H74" i="13" s="1"/>
  <c r="E140" i="13"/>
  <c r="H140" i="13" s="1"/>
  <c r="E25" i="13"/>
  <c r="H25" i="13" s="1"/>
  <c r="E26" i="13"/>
  <c r="H26" i="13" s="1"/>
  <c r="E39" i="13"/>
  <c r="H39" i="13" s="1"/>
  <c r="E136" i="13"/>
  <c r="H136" i="13" s="1"/>
  <c r="E120" i="13"/>
  <c r="H120" i="13" s="1"/>
  <c r="E24" i="13"/>
  <c r="H24" i="13" s="1"/>
  <c r="E124" i="13"/>
  <c r="H124" i="13" s="1"/>
  <c r="E137" i="13"/>
  <c r="H137" i="13" s="1"/>
  <c r="E35" i="13"/>
  <c r="H35" i="13" s="1"/>
  <c r="E123" i="13"/>
  <c r="H123" i="13" s="1"/>
  <c r="E103" i="13"/>
  <c r="H103" i="13" s="1"/>
  <c r="E139" i="13"/>
  <c r="H139" i="13" s="1"/>
  <c r="E133" i="13"/>
  <c r="H133" i="13" s="1"/>
  <c r="E34" i="13"/>
  <c r="H34" i="13" s="1"/>
  <c r="E40" i="13"/>
  <c r="H40" i="13" s="1"/>
  <c r="E114" i="13"/>
  <c r="H114" i="13" s="1"/>
  <c r="E22" i="13"/>
  <c r="H22" i="13" s="1"/>
  <c r="E23" i="13"/>
  <c r="H23" i="13" s="1"/>
  <c r="E32" i="13"/>
  <c r="H32" i="13" s="1"/>
  <c r="E31" i="13"/>
  <c r="H31" i="13" s="1"/>
  <c r="H41" i="13"/>
  <c r="K42" i="13"/>
  <c r="E42" i="13" l="1"/>
  <c r="G42" i="13"/>
  <c r="H42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J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Link to Service and Asset Health Engagement paper attached</t>
        </r>
      </text>
    </comment>
    <comment ref="E18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OPU gen rated at 7 MW</t>
        </r>
      </text>
    </comment>
    <comment ref="E2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 TIM to GRM demand is divided by 4</t>
        </r>
      </text>
    </comment>
    <comment ref="E28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 TIM to GRM demand is divided by 4</t>
        </r>
      </text>
    </comment>
    <comment ref="E29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 TIM to GRM demand is divided by 4</t>
        </r>
      </text>
    </comment>
    <comment ref="E30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 TIM to GRM demand is divided by 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 agreed upon by Network Departments on the 01/03/2021
During SCADA Alarams proposal session</t>
        </r>
      </text>
    </comment>
    <comment ref="D3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 agreed upon by Network Departments on the 01/03/2021
During SCADA Alarams proposal session</t>
        </r>
      </text>
    </comment>
    <comment ref="R6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Leave blank if not used
</t>
        </r>
      </text>
    </comment>
    <comment ref="E34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Digrams</t>
        </r>
      </text>
    </comment>
    <comment ref="F34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Digrams</t>
        </r>
      </text>
    </comment>
    <comment ref="K34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44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K44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45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K45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M46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Survalent comment "Normally Disabled"</t>
        </r>
      </text>
    </comment>
    <comment ref="E56" authorId="0" shapeId="0" xr:uid="{00000000-0006-0000-03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I56" authorId="0" shapeId="0" xr:uid="{00000000-0006-0000-03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K56" authorId="0" shapeId="0" xr:uid="{00000000-0006-0000-03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E57" authorId="0" shapeId="0" xr:uid="{00000000-0006-0000-03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F57" authorId="0" shapeId="0" xr:uid="{00000000-0006-0000-0300-00001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Equal value above</t>
        </r>
      </text>
    </comment>
    <comment ref="I57" authorId="0" shapeId="0" xr:uid="{00000000-0006-0000-03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K57" authorId="0" shapeId="0" xr:uid="{00000000-0006-0000-0300-00001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E58" authorId="0" shapeId="0" xr:uid="{00000000-0006-0000-03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F58" authorId="0" shapeId="0" xr:uid="{00000000-0006-0000-03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Equal value above</t>
        </r>
      </text>
    </comment>
    <comment ref="I58" authorId="0" shapeId="0" xr:uid="{00000000-0006-0000-03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K58" authorId="0" shapeId="0" xr:uid="{00000000-0006-0000-0300-00001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E90" authorId="0" shapeId="0" xr:uid="{00000000-0006-0000-0300-00001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12528 rating of the CB</t>
        </r>
      </text>
    </comment>
    <comment ref="K90" authorId="0" shapeId="0" xr:uid="{00000000-0006-0000-0300-00001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96" authorId="0" shapeId="0" xr:uid="{00000000-0006-0000-0300-00001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12528 rating of the CB</t>
        </r>
      </text>
    </comment>
    <comment ref="K96" authorId="0" shapeId="0" xr:uid="{00000000-0006-0000-0300-00001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103" authorId="0" shapeId="0" xr:uid="{00000000-0006-0000-0300-00001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12528 rating of the CB</t>
        </r>
      </text>
    </comment>
    <comment ref="K103" authorId="0" shapeId="0" xr:uid="{00000000-0006-0000-0300-00001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109" authorId="0" shapeId="0" xr:uid="{00000000-0006-0000-0300-00001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12528 rating of the CB</t>
        </r>
      </text>
    </comment>
    <comment ref="K109" authorId="0" shapeId="0" xr:uid="{00000000-0006-0000-0300-00001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138" authorId="0" shapeId="0" xr:uid="{00000000-0006-0000-0300-00001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T269-01 rating of the CB</t>
        </r>
      </text>
    </comment>
    <comment ref="F138" authorId="0" shapeId="0" xr:uid="{00000000-0006-0000-0300-00002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OC protection, only EF</t>
        </r>
      </text>
    </comment>
    <comment ref="K138" authorId="0" shapeId="0" xr:uid="{00000000-0006-0000-0300-00002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139" authorId="0" shapeId="0" xr:uid="{00000000-0006-0000-0300-00002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T269-01 rating of the CB</t>
        </r>
      </text>
    </comment>
    <comment ref="F139" authorId="0" shapeId="0" xr:uid="{00000000-0006-0000-0300-00002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OC protection, only EF</t>
        </r>
      </text>
    </comment>
    <comment ref="K139" authorId="0" shapeId="0" xr:uid="{00000000-0006-0000-0300-00002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152" authorId="0" shapeId="0" xr:uid="{00000000-0006-0000-0300-00002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NA as it does not have any backbone assets asscoiated with it</t>
        </r>
      </text>
    </comment>
    <comment ref="K152" authorId="0" shapeId="0" xr:uid="{00000000-0006-0000-0300-00002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NA as it does not have any backbone assets asscoiated with it</t>
        </r>
      </text>
    </comment>
    <comment ref="E153" authorId="0" shapeId="0" xr:uid="{00000000-0006-0000-0300-00002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T269-02 rating of the CB</t>
        </r>
      </text>
    </comment>
    <comment ref="F153" authorId="0" shapeId="0" xr:uid="{00000000-0006-0000-0300-00002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protection seetings set</t>
        </r>
      </text>
    </comment>
    <comment ref="K153" authorId="0" shapeId="0" xr:uid="{00000000-0006-0000-0300-00002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161" authorId="0" shapeId="0" xr:uid="{00000000-0006-0000-0300-00002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NA as it does not have any backbone assets asscoiated with it</t>
        </r>
      </text>
    </comment>
    <comment ref="K161" authorId="0" shapeId="0" xr:uid="{00000000-0006-0000-0300-00002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NA as it does not have any backbone assets asscoiated with it</t>
        </r>
      </text>
    </comment>
    <comment ref="E183" authorId="0" shapeId="0" xr:uid="{00000000-0006-0000-0300-00002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T269-03
 rating of the CB</t>
        </r>
      </text>
    </comment>
    <comment ref="F183" authorId="0" shapeId="0" xr:uid="{00000000-0006-0000-0300-00002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T269-03
 rating of the CB</t>
        </r>
      </text>
    </comment>
    <comment ref="K183" authorId="0" shapeId="0" xr:uid="{00000000-0006-0000-0300-00002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184" authorId="0" shapeId="0" xr:uid="{00000000-0006-0000-0300-00002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T269-03
 rating of the CB</t>
        </r>
      </text>
    </comment>
    <comment ref="F184" authorId="0" shapeId="0" xr:uid="{00000000-0006-0000-0300-00003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T269-03
 rating of the CB</t>
        </r>
      </text>
    </comment>
    <comment ref="K184" authorId="0" shapeId="0" xr:uid="{00000000-0006-0000-0300-00003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F194" authorId="0" shapeId="0" xr:uid="{00000000-0006-0000-0300-00003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G194" authorId="0" shapeId="0" xr:uid="{00000000-0006-0000-0300-00003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H194" authorId="0" shapeId="0" xr:uid="{00000000-0006-0000-0300-00003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I194" authorId="0" shapeId="0" xr:uid="{00000000-0006-0000-0300-00003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J194" authorId="0" shapeId="0" xr:uid="{00000000-0006-0000-0300-00003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F195" authorId="0" shapeId="0" xr:uid="{00000000-0006-0000-0300-00003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G195" authorId="0" shapeId="0" xr:uid="{00000000-0006-0000-0300-00003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H195" authorId="0" shapeId="0" xr:uid="{00000000-0006-0000-0300-00003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I195" authorId="0" shapeId="0" xr:uid="{00000000-0006-0000-0300-00003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J195" authorId="0" shapeId="0" xr:uid="{00000000-0006-0000-0300-00003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F196" authorId="0" shapeId="0" xr:uid="{00000000-0006-0000-0300-00003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AEL protection database under TIM GXP sheet</t>
        </r>
      </text>
    </comment>
    <comment ref="F197" authorId="0" shapeId="0" xr:uid="{00000000-0006-0000-0300-00003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AEL protection database under TIM GXP sheet</t>
        </r>
      </text>
    </comment>
    <comment ref="F198" authorId="0" shapeId="0" xr:uid="{00000000-0006-0000-0300-00003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AEL protection database under TIM GXP sheet</t>
        </r>
      </text>
    </comment>
    <comment ref="E206" authorId="0" shapeId="0" xr:uid="{00000000-0006-0000-0300-00003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digram</t>
        </r>
      </text>
    </comment>
    <comment ref="K206" authorId="0" shapeId="0" xr:uid="{00000000-0006-0000-0300-00004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207" authorId="0" shapeId="0" xr:uid="{00000000-0006-0000-0300-00004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digram</t>
        </r>
      </text>
    </comment>
    <comment ref="K207" authorId="0" shapeId="0" xr:uid="{00000000-0006-0000-0300-00004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210" authorId="0" shapeId="0" xr:uid="{00000000-0006-0000-0300-00004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digram</t>
        </r>
      </text>
    </comment>
    <comment ref="K210" authorId="0" shapeId="0" xr:uid="{00000000-0006-0000-0300-00004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M239" authorId="0" shapeId="0" xr:uid="{00000000-0006-0000-0300-00004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Disabled due to fire risk as of 01/04/21</t>
        </r>
      </text>
    </comment>
    <comment ref="M240" authorId="0" shapeId="0" xr:uid="{00000000-0006-0000-0300-00004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Disabled due to fire risk as of 01/04/21</t>
        </r>
      </text>
    </comment>
    <comment ref="M256" authorId="0" shapeId="0" xr:uid="{00000000-0006-0000-0300-00004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Diabled due to fire risk as of 01/04/21</t>
        </r>
      </text>
    </comment>
    <comment ref="M263" authorId="0" shapeId="0" xr:uid="{00000000-0006-0000-0300-00004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Diabled due to fire risk as of 01/04/21</t>
        </r>
      </text>
    </comment>
    <comment ref="F264" authorId="0" shapeId="0" xr:uid="{00000000-0006-0000-0300-00004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G264" authorId="0" shapeId="0" xr:uid="{00000000-0006-0000-0300-00004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H264" authorId="0" shapeId="0" xr:uid="{00000000-0006-0000-0300-00004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I264" authorId="0" shapeId="0" xr:uid="{00000000-0006-0000-0300-00004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J264" authorId="0" shapeId="0" xr:uid="{00000000-0006-0000-0300-00004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F265" authorId="0" shapeId="0" xr:uid="{00000000-0006-0000-0300-00004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G265" authorId="0" shapeId="0" xr:uid="{00000000-0006-0000-0300-00004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H265" authorId="0" shapeId="0" xr:uid="{00000000-0006-0000-0300-00005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I265" authorId="0" shapeId="0" xr:uid="{00000000-0006-0000-0300-00005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J265" authorId="0" shapeId="0" xr:uid="{00000000-0006-0000-0300-00005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E292" authorId="0" shapeId="0" xr:uid="{00000000-0006-0000-0300-00005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entry.
=OC limit
</t>
        </r>
      </text>
    </comment>
    <comment ref="K292" authorId="0" shapeId="0" xr:uid="{00000000-0006-0000-0300-00005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316" authorId="0" shapeId="0" xr:uid="{00000000-0006-0000-0300-00005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K316" authorId="0" shapeId="0" xr:uid="{00000000-0006-0000-0300-00005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317" authorId="0" shapeId="0" xr:uid="{00000000-0006-0000-0300-00005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K317" authorId="0" shapeId="0" xr:uid="{00000000-0006-0000-0300-00005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341" authorId="0" shapeId="0" xr:uid="{00000000-0006-0000-0300-00005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Set to equal T602 for now</t>
        </r>
      </text>
    </comment>
    <comment ref="K341" authorId="0" shapeId="0" xr:uid="{00000000-0006-0000-0300-00005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Set to equal T602 for now</t>
        </r>
      </text>
    </comment>
    <comment ref="E344" authorId="0" shapeId="0" xr:uid="{00000000-0006-0000-0300-00005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previous switching diagram</t>
        </r>
      </text>
    </comment>
    <comment ref="K344" authorId="0" shapeId="0" xr:uid="{00000000-0006-0000-0300-00005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365" authorId="0" shapeId="0" xr:uid="{00000000-0006-0000-0300-00005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previous switching diagram</t>
        </r>
      </text>
    </comment>
    <comment ref="K365" authorId="0" shapeId="0" xr:uid="{00000000-0006-0000-0300-00005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384" authorId="0" shapeId="0" xr:uid="{00000000-0006-0000-0300-00005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  <comment ref="F384" authorId="0" shapeId="0" xr:uid="{00000000-0006-0000-0300-00006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  <comment ref="I384" authorId="0" shapeId="0" xr:uid="{00000000-0006-0000-0300-00006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  <comment ref="J384" authorId="0" shapeId="0" xr:uid="{00000000-0006-0000-0300-00006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  <comment ref="K384" authorId="0" shapeId="0" xr:uid="{00000000-0006-0000-0300-00006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  <comment ref="F385" authorId="0" shapeId="0" xr:uid="{00000000-0006-0000-0300-00006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protection information in AEL protection database</t>
        </r>
      </text>
    </comment>
    <comment ref="E386" authorId="0" shapeId="0" xr:uid="{00000000-0006-0000-0300-00006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  <comment ref="F386" authorId="0" shapeId="0" xr:uid="{00000000-0006-0000-0300-00006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  <comment ref="I386" authorId="0" shapeId="0" xr:uid="{00000000-0006-0000-0300-00006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  <comment ref="J386" authorId="0" shapeId="0" xr:uid="{00000000-0006-0000-0300-00006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  <comment ref="K386" authorId="0" shapeId="0" xr:uid="{00000000-0006-0000-0300-00006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2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 agreed upon by Network Departments on the 01/03/2021
During SCADA Alarams proposal session</t>
        </r>
      </text>
    </comment>
    <comment ref="D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 agreed upon by Network Departments on the 01/03/2021
During SCADA Alarams proposal session</t>
        </r>
      </text>
    </comment>
    <comment ref="R6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Leave blank if not used
</t>
        </r>
      </text>
    </comment>
    <comment ref="E34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Digrams</t>
        </r>
      </text>
    </comment>
    <comment ref="F34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Digrams</t>
        </r>
      </text>
    </comment>
    <comment ref="K34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44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K44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45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K45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56" authorId="0" shapeId="0" xr:uid="{00000000-0006-0000-04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I56" authorId="0" shapeId="0" xr:uid="{00000000-0006-0000-04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K56" authorId="0" shapeId="0" xr:uid="{00000000-0006-0000-04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E57" authorId="0" shapeId="0" xr:uid="{00000000-0006-0000-04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F57" authorId="0" shapeId="0" xr:uid="{00000000-0006-0000-04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Equal value above</t>
        </r>
      </text>
    </comment>
    <comment ref="I57" authorId="0" shapeId="0" xr:uid="{00000000-0006-0000-0400-00001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K57" authorId="0" shapeId="0" xr:uid="{00000000-0006-0000-04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E58" authorId="0" shapeId="0" xr:uid="{00000000-0006-0000-0400-00001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F58" authorId="0" shapeId="0" xr:uid="{00000000-0006-0000-04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Equal value above</t>
        </r>
      </text>
    </comment>
    <comment ref="I58" authorId="0" shapeId="0" xr:uid="{00000000-0006-0000-04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K58" authorId="0" shapeId="0" xr:uid="{00000000-0006-0000-04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Diagrams</t>
        </r>
      </text>
    </comment>
    <comment ref="E90" authorId="0" shapeId="0" xr:uid="{00000000-0006-0000-0400-00001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12528 rating of the CB</t>
        </r>
      </text>
    </comment>
    <comment ref="K90" authorId="0" shapeId="0" xr:uid="{00000000-0006-0000-0400-00001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96" authorId="0" shapeId="0" xr:uid="{00000000-0006-0000-0400-00001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12528 rating of the CB</t>
        </r>
      </text>
    </comment>
    <comment ref="K96" authorId="0" shapeId="0" xr:uid="{00000000-0006-0000-0400-00001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103" authorId="0" shapeId="0" xr:uid="{00000000-0006-0000-0400-00001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12528 rating of the CB</t>
        </r>
      </text>
    </comment>
    <comment ref="K103" authorId="0" shapeId="0" xr:uid="{00000000-0006-0000-0400-00001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109" authorId="0" shapeId="0" xr:uid="{00000000-0006-0000-0400-00001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12528 rating of the CB</t>
        </r>
      </text>
    </comment>
    <comment ref="K109" authorId="0" shapeId="0" xr:uid="{00000000-0006-0000-0400-00001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138" authorId="0" shapeId="0" xr:uid="{00000000-0006-0000-0400-00001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T269-01 rating of the CB</t>
        </r>
      </text>
    </comment>
    <comment ref="K138" authorId="0" shapeId="0" xr:uid="{00000000-0006-0000-0400-00001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139" authorId="0" shapeId="0" xr:uid="{00000000-0006-0000-0400-00002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T269-01 rating of the CB</t>
        </r>
      </text>
    </comment>
    <comment ref="K139" authorId="0" shapeId="0" xr:uid="{00000000-0006-0000-0400-00002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153" authorId="0" shapeId="0" xr:uid="{00000000-0006-0000-0400-00002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T269-02 rating of the CB</t>
        </r>
      </text>
    </comment>
    <comment ref="K153" authorId="0" shapeId="0" xr:uid="{00000000-0006-0000-0400-00002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183" authorId="0" shapeId="0" xr:uid="{00000000-0006-0000-0400-00002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T269-03
 rating of the CB</t>
        </r>
      </text>
    </comment>
    <comment ref="F183" authorId="0" shapeId="0" xr:uid="{00000000-0006-0000-0400-00002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T269-03
 rating of the CB</t>
        </r>
      </text>
    </comment>
    <comment ref="K183" authorId="0" shapeId="0" xr:uid="{00000000-0006-0000-0400-00002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184" authorId="0" shapeId="0" xr:uid="{00000000-0006-0000-0400-00002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T269-03
 rating of the CB</t>
        </r>
      </text>
    </comment>
    <comment ref="F184" authorId="0" shapeId="0" xr:uid="{00000000-0006-0000-0400-00002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substation drawing T269-03
 rating of the CB</t>
        </r>
      </text>
    </comment>
    <comment ref="K184" authorId="0" shapeId="0" xr:uid="{00000000-0006-0000-0400-00002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F194" authorId="0" shapeId="0" xr:uid="{00000000-0006-0000-0400-00002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G194" authorId="0" shapeId="0" xr:uid="{00000000-0006-0000-0400-00002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H194" authorId="0" shapeId="0" xr:uid="{00000000-0006-0000-0400-00002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I194" authorId="0" shapeId="0" xr:uid="{00000000-0006-0000-0400-00002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J194" authorId="0" shapeId="0" xr:uid="{00000000-0006-0000-0400-00002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F195" authorId="0" shapeId="0" xr:uid="{00000000-0006-0000-0400-00002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G195" authorId="0" shapeId="0" xr:uid="{00000000-0006-0000-0400-00003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H195" authorId="0" shapeId="0" xr:uid="{00000000-0006-0000-0400-00003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I195" authorId="0" shapeId="0" xr:uid="{00000000-0006-0000-0400-00003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J195" authorId="0" shapeId="0" xr:uid="{00000000-0006-0000-0400-00003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F196" authorId="0" shapeId="0" xr:uid="{00000000-0006-0000-0400-00003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AEL protection database under TIM GXP sheet</t>
        </r>
      </text>
    </comment>
    <comment ref="F197" authorId="0" shapeId="0" xr:uid="{00000000-0006-0000-0400-00003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AEL protection database under TIM GXP sheet</t>
        </r>
      </text>
    </comment>
    <comment ref="F198" authorId="0" shapeId="0" xr:uid="{00000000-0006-0000-0400-00003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AEL protection database under TIM GXP sheet</t>
        </r>
      </text>
    </comment>
    <comment ref="E206" authorId="0" shapeId="0" xr:uid="{00000000-0006-0000-0400-00003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digram</t>
        </r>
      </text>
    </comment>
    <comment ref="K206" authorId="0" shapeId="0" xr:uid="{00000000-0006-0000-0400-00003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207" authorId="0" shapeId="0" xr:uid="{00000000-0006-0000-0400-00003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digram</t>
        </r>
      </text>
    </comment>
    <comment ref="K207" authorId="0" shapeId="0" xr:uid="{00000000-0006-0000-0400-00003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210" authorId="0" shapeId="0" xr:uid="{00000000-0006-0000-0400-00003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from previous switching digram</t>
        </r>
      </text>
    </comment>
    <comment ref="K210" authorId="0" shapeId="0" xr:uid="{00000000-0006-0000-0400-00003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F264" authorId="0" shapeId="0" xr:uid="{00000000-0006-0000-0400-00003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G264" authorId="0" shapeId="0" xr:uid="{00000000-0006-0000-0400-00003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H264" authorId="0" shapeId="0" xr:uid="{00000000-0006-0000-0400-00003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I264" authorId="0" shapeId="0" xr:uid="{00000000-0006-0000-0400-00004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J264" authorId="0" shapeId="0" xr:uid="{00000000-0006-0000-0400-00004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F265" authorId="0" shapeId="0" xr:uid="{00000000-0006-0000-0400-00004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G265" authorId="0" shapeId="0" xr:uid="{00000000-0006-0000-0400-00004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H265" authorId="0" shapeId="0" xr:uid="{00000000-0006-0000-0400-00004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I265" authorId="0" shapeId="0" xr:uid="{00000000-0006-0000-0400-00004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J265" authorId="0" shapeId="0" xr:uid="{00000000-0006-0000-0400-00004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a CB so no protection or SCADA alarms</t>
        </r>
      </text>
    </comment>
    <comment ref="E292" authorId="0" shapeId="0" xr:uid="{00000000-0006-0000-0400-00004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entry.
=OC limit
</t>
        </r>
      </text>
    </comment>
    <comment ref="K292" authorId="0" shapeId="0" xr:uid="{00000000-0006-0000-0400-00004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316" authorId="0" shapeId="0" xr:uid="{00000000-0006-0000-0400-00004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K316" authorId="0" shapeId="0" xr:uid="{00000000-0006-0000-0400-00004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317" authorId="0" shapeId="0" xr:uid="{00000000-0006-0000-0400-00004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K317" authorId="0" shapeId="0" xr:uid="{00000000-0006-0000-0400-00004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341" authorId="0" shapeId="0" xr:uid="{00000000-0006-0000-0400-00004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Set to equal T602 for now</t>
        </r>
      </text>
    </comment>
    <comment ref="K341" authorId="0" shapeId="0" xr:uid="{00000000-0006-0000-0400-00004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Set to equal T602 for now</t>
        </r>
      </text>
    </comment>
    <comment ref="E344" authorId="0" shapeId="0" xr:uid="{00000000-0006-0000-0400-00004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previous switching diagram</t>
        </r>
      </text>
    </comment>
    <comment ref="K344" authorId="0" shapeId="0" xr:uid="{00000000-0006-0000-0400-00005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365" authorId="0" shapeId="0" xr:uid="{00000000-0006-0000-0400-00005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 based on previous switching diagram</t>
        </r>
      </text>
    </comment>
    <comment ref="K365" authorId="0" shapeId="0" xr:uid="{00000000-0006-0000-0400-00005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  <comment ref="E384" authorId="0" shapeId="0" xr:uid="{00000000-0006-0000-0400-00005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  <comment ref="F384" authorId="0" shapeId="0" xr:uid="{00000000-0006-0000-0400-00005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  <comment ref="I384" authorId="0" shapeId="0" xr:uid="{00000000-0006-0000-0400-00005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  <comment ref="J384" authorId="0" shapeId="0" xr:uid="{00000000-0006-0000-0400-00005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  <comment ref="K384" authorId="0" shapeId="0" xr:uid="{00000000-0006-0000-0400-00005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  <comment ref="F385" authorId="0" shapeId="0" xr:uid="{00000000-0006-0000-0400-00005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protection information in AEL protection database</t>
        </r>
      </text>
    </comment>
    <comment ref="E386" authorId="0" shapeId="0" xr:uid="{00000000-0006-0000-0400-00005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  <comment ref="F386" authorId="0" shapeId="0" xr:uid="{00000000-0006-0000-0400-00005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  <comment ref="I386" authorId="0" shapeId="0" xr:uid="{00000000-0006-0000-0400-00005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  <comment ref="J386" authorId="0" shapeId="0" xr:uid="{00000000-0006-0000-0400-00005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  <comment ref="K386" authorId="0" shapeId="0" xr:uid="{00000000-0006-0000-0400-00005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Utilised at the moment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N29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9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30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30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31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32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32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33" authorId="0" shapeId="0" xr:uid="{00000000-0006-0000-06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34" authorId="0" shapeId="0" xr:uid="{00000000-0006-0000-06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35" authorId="0" shapeId="0" xr:uid="{00000000-0006-0000-06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35" authorId="0" shapeId="0" xr:uid="{00000000-0006-0000-06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38" authorId="0" shapeId="0" xr:uid="{00000000-0006-0000-06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38" authorId="0" shapeId="0" xr:uid="{00000000-0006-0000-06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41" authorId="0" shapeId="0" xr:uid="{00000000-0006-0000-06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41" authorId="0" shapeId="0" xr:uid="{00000000-0006-0000-06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43" authorId="0" shapeId="0" xr:uid="{00000000-0006-0000-0600-00001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43" authorId="0" shapeId="0" xr:uid="{00000000-0006-0000-06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45" authorId="0" shapeId="0" xr:uid="{00000000-0006-0000-0600-00001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45" authorId="0" shapeId="0" xr:uid="{00000000-0006-0000-06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46" authorId="0" shapeId="0" xr:uid="{00000000-0006-0000-06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46" authorId="0" shapeId="0" xr:uid="{00000000-0006-0000-06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48" authorId="0" shapeId="0" xr:uid="{00000000-0006-0000-0600-00001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48" authorId="0" shapeId="0" xr:uid="{00000000-0006-0000-0600-00001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49" authorId="0" shapeId="0" xr:uid="{00000000-0006-0000-0600-00001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49" authorId="0" shapeId="0" xr:uid="{00000000-0006-0000-0600-00001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I50" authorId="0" shapeId="0" xr:uid="{00000000-0006-0000-0600-00001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Rating obtained by using rating from drawijng 782 of 200 A and scaling it similar to DOG</t>
        </r>
      </text>
    </comment>
    <comment ref="N50" authorId="0" shapeId="0" xr:uid="{00000000-0006-0000-0600-00001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50" authorId="0" shapeId="0" xr:uid="{00000000-0006-0000-0600-00001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51" authorId="0" shapeId="0" xr:uid="{00000000-0006-0000-0600-00001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51" authorId="0" shapeId="0" xr:uid="{00000000-0006-0000-0600-00001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53" authorId="0" shapeId="0" xr:uid="{00000000-0006-0000-0600-00001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53" authorId="0" shapeId="0" xr:uid="{00000000-0006-0000-0600-00002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55" authorId="0" shapeId="0" xr:uid="{00000000-0006-0000-0600-00002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55" authorId="0" shapeId="0" xr:uid="{00000000-0006-0000-0600-00002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56" authorId="0" shapeId="0" xr:uid="{00000000-0006-0000-0600-00002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56" authorId="0" shapeId="0" xr:uid="{00000000-0006-0000-0600-00002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61" authorId="0" shapeId="0" xr:uid="{00000000-0006-0000-0600-00002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61" authorId="0" shapeId="0" xr:uid="{00000000-0006-0000-0600-00002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AM62" authorId="0" shapeId="0" xr:uid="{00000000-0006-0000-0600-00002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Bedded in river sand or inside 150 mm Duct</t>
        </r>
      </text>
    </comment>
    <comment ref="N63" authorId="0" shapeId="0" xr:uid="{00000000-0006-0000-0600-00002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63" authorId="0" shapeId="0" xr:uid="{00000000-0006-0000-0600-00002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64" authorId="0" shapeId="0" xr:uid="{00000000-0006-0000-0600-00002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64" authorId="0" shapeId="0" xr:uid="{00000000-0006-0000-0600-00002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65" authorId="0" shapeId="0" xr:uid="{00000000-0006-0000-0600-00002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65" authorId="0" shapeId="0" xr:uid="{00000000-0006-0000-0600-00002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69" authorId="0" shapeId="0" xr:uid="{00000000-0006-0000-0600-00002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69" authorId="0" shapeId="0" xr:uid="{00000000-0006-0000-0600-00002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71" authorId="0" shapeId="0" xr:uid="{00000000-0006-0000-0600-00003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71" authorId="0" shapeId="0" xr:uid="{00000000-0006-0000-0600-00003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76" authorId="0" shapeId="0" xr:uid="{00000000-0006-0000-0600-00003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76" authorId="0" shapeId="0" xr:uid="{00000000-0006-0000-0600-00003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AG81" authorId="0" shapeId="0" xr:uid="{00000000-0006-0000-0600-00003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 covered enclosed conduit </t>
        </r>
      </text>
    </comment>
    <comment ref="AI81" authorId="0" shapeId="0" xr:uid="{00000000-0006-0000-0600-00003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 covered enclosed conduit </t>
        </r>
      </text>
    </comment>
    <comment ref="N86" authorId="0" shapeId="0" xr:uid="{00000000-0006-0000-0600-00003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86" authorId="0" shapeId="0" xr:uid="{00000000-0006-0000-0600-00003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90" authorId="0" shapeId="0" xr:uid="{00000000-0006-0000-0600-00003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90" authorId="0" shapeId="0" xr:uid="{00000000-0006-0000-0600-00003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94" authorId="0" shapeId="0" xr:uid="{00000000-0006-0000-0600-00003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94" authorId="0" shapeId="0" xr:uid="{00000000-0006-0000-0600-00003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96" authorId="0" shapeId="0" xr:uid="{00000000-0006-0000-0600-00003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96" authorId="0" shapeId="0" xr:uid="{00000000-0006-0000-0600-00003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98" authorId="0" shapeId="0" xr:uid="{00000000-0006-0000-0600-00003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98" authorId="0" shapeId="0" xr:uid="{00000000-0006-0000-0600-00003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N26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Incomer cable ratings</t>
        </r>
      </text>
    </comment>
    <comment ref="P2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Incomer cable ratings</t>
        </r>
      </text>
    </comment>
    <comment ref="R26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Incomer cable ratings</t>
        </r>
      </text>
    </comment>
    <comment ref="N28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Incomer cable ratings</t>
        </r>
      </text>
    </comment>
    <comment ref="P2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Incomer cable ratings</t>
        </r>
      </text>
    </comment>
    <comment ref="R28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Incomer cable ratings</t>
        </r>
      </text>
    </comment>
    <comment ref="N33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50 Degrees Celcius</t>
        </r>
      </text>
    </comment>
    <comment ref="R33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Author:
Derated for 50 Degrees Celcius</t>
        </r>
      </text>
    </comment>
    <comment ref="N41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50 Degrees Celcius</t>
        </r>
      </text>
    </comment>
    <comment ref="R4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Author:
Derated for 50 Degrees Celcius</t>
        </r>
      </text>
    </comment>
    <comment ref="N47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50 Degrees Celcius</t>
        </r>
      </text>
    </comment>
    <comment ref="R47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Author:
Derated for 50 Degrees Celcius</t>
        </r>
      </text>
    </comment>
    <comment ref="N5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50 Degrees Celcius</t>
        </r>
      </text>
    </comment>
    <comment ref="R53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Author:
Derated for 50 Degrees Celcius</t>
        </r>
      </text>
    </comment>
    <comment ref="N67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75 Degrees Celcius</t>
        </r>
      </text>
    </comment>
    <comment ref="R67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75 Degrees Celcius</t>
        </r>
      </text>
    </comment>
    <comment ref="N68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75 Degrees Celcius</t>
        </r>
      </text>
    </comment>
    <comment ref="R6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75 Degrees Celcius</t>
        </r>
      </text>
    </comment>
    <comment ref="N6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75 Degrees Celcius</t>
        </r>
      </text>
    </comment>
    <comment ref="R69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75 Degrees Celcius</t>
        </r>
      </text>
    </comment>
    <comment ref="N70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75 Degrees Celcius</t>
        </r>
      </text>
    </comment>
    <comment ref="R70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75 Degrees Celcius</t>
        </r>
      </text>
    </comment>
    <comment ref="R71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Author:
Derated for 50 Degrees Celcius</t>
        </r>
      </text>
    </comment>
    <comment ref="N72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75 Degrees Celcius</t>
        </r>
      </text>
    </comment>
    <comment ref="R72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75 Degrees Celcius</t>
        </r>
      </text>
    </comment>
    <comment ref="N73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75 Degrees Celcius</t>
        </r>
      </text>
    </comment>
    <comment ref="R73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75 Degrees Celcius</t>
        </r>
      </text>
    </comment>
    <comment ref="N74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75 Degrees Celcius</t>
        </r>
      </text>
    </comment>
    <comment ref="R74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75 Degrees Celcius</t>
        </r>
      </text>
    </comment>
    <comment ref="N75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75 Degrees Celcius</t>
        </r>
      </text>
    </comment>
    <comment ref="R75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for 75 Degrees Celcius</t>
        </r>
      </text>
    </comment>
    <comment ref="R76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Author:
Derated for 50 Degrees Celcius</t>
        </r>
      </text>
    </comment>
    <comment ref="P77" authorId="0" shapeId="0" xr:uid="{00000000-0006-0000-0700-00002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ONAF Rating</t>
        </r>
      </text>
    </comment>
    <comment ref="R77" authorId="0" shapeId="0" xr:uid="{00000000-0006-0000-0700-00002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ONAF Rating</t>
        </r>
      </text>
    </comment>
    <comment ref="P78" authorId="0" shapeId="0" xr:uid="{00000000-0006-0000-0700-00002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ONAF Rating</t>
        </r>
      </text>
    </comment>
    <comment ref="R78" authorId="0" shapeId="0" xr:uid="{00000000-0006-0000-0700-00002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ONAF Rating</t>
        </r>
      </text>
    </comment>
    <comment ref="D81" authorId="0" shapeId="0" xr:uid="{00000000-0006-0000-0700-00002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Tie capability rather than supply capability, hence why it is not getting accounted for.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N18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degress celcius operation</t>
        </r>
      </text>
    </comment>
    <comment ref="R18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degress celcius operation</t>
        </r>
      </text>
    </comment>
    <comment ref="N19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degress celcius operation</t>
        </r>
      </text>
    </comment>
    <comment ref="R19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degress celcius operation</t>
        </r>
      </text>
    </comment>
    <comment ref="N23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degress celcius operation</t>
        </r>
      </text>
    </comment>
    <comment ref="R23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degress celcius operation</t>
        </r>
      </text>
    </comment>
    <comment ref="N27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degress celcius operation</t>
        </r>
      </text>
    </comment>
    <comment ref="R27" authorId="0" shapeId="0" xr:uid="{00000000-0006-0000-08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degress celcius operation</t>
        </r>
      </text>
    </comment>
    <comment ref="N34" authorId="0" shapeId="0" xr:uid="{00000000-0006-0000-08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degress celcius operation</t>
        </r>
      </text>
    </comment>
    <comment ref="R34" authorId="0" shapeId="0" xr:uid="{00000000-0006-0000-08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degress celcius operation</t>
        </r>
      </text>
    </comment>
    <comment ref="N37" authorId="0" shapeId="0" xr:uid="{00000000-0006-0000-08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degress celcius operation</t>
        </r>
      </text>
    </comment>
    <comment ref="R37" authorId="0" shapeId="0" xr:uid="{00000000-0006-0000-08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degress celcius operation</t>
        </r>
      </text>
    </comment>
    <comment ref="N38" authorId="0" shapeId="0" xr:uid="{00000000-0006-0000-08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degress celcius operation</t>
        </r>
      </text>
    </comment>
    <comment ref="R38" authorId="0" shapeId="0" xr:uid="{00000000-0006-0000-08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degress celcius operation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N2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ONAN Transfomer ratings
</t>
        </r>
      </text>
    </comment>
    <comment ref="P2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ONAF Transfomer ratings</t>
        </r>
      </text>
    </comment>
    <comment ref="R2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ODAN Transformer ratings</t>
        </r>
      </text>
    </comment>
    <comment ref="AR16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 per Transpower Branch reports 2018</t>
        </r>
      </text>
    </comment>
    <comment ref="AR28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 per Transpower Branch reports 2018</t>
        </r>
      </text>
    </comment>
    <comment ref="AR38" authorId="0" shapeId="0" xr:uid="{00000000-0006-0000-09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 per Transpower Branch reports 2018</t>
        </r>
      </text>
    </comment>
    <comment ref="N40" authorId="0" shapeId="0" xr:uid="{00000000-0006-0000-09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P40" authorId="0" shapeId="0" xr:uid="{00000000-0006-0000-09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R40" authorId="0" shapeId="0" xr:uid="{00000000-0006-0000-09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N48" authorId="0" shapeId="0" xr:uid="{00000000-0006-0000-09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P48" authorId="0" shapeId="0" xr:uid="{00000000-0006-0000-09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R48" authorId="0" shapeId="0" xr:uid="{00000000-0006-0000-09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N62" authorId="0" shapeId="0" xr:uid="{00000000-0006-0000-09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62" authorId="0" shapeId="0" xr:uid="{00000000-0006-0000-09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66" authorId="0" shapeId="0" xr:uid="{00000000-0006-0000-09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67" authorId="0" shapeId="0" xr:uid="{00000000-0006-0000-0900-00001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68" authorId="0" shapeId="0" xr:uid="{00000000-0006-0000-09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69" authorId="0" shapeId="0" xr:uid="{00000000-0006-0000-0900-00001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70" authorId="0" shapeId="0" xr:uid="{00000000-0006-0000-09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71" authorId="0" shapeId="0" xr:uid="{00000000-0006-0000-09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72" authorId="0" shapeId="0" xr:uid="{00000000-0006-0000-09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73" authorId="0" shapeId="0" xr:uid="{00000000-0006-0000-0900-00001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74" authorId="0" shapeId="0" xr:uid="{00000000-0006-0000-0900-00001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75" authorId="0" shapeId="0" xr:uid="{00000000-0006-0000-0900-00001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76" authorId="0" shapeId="0" xr:uid="{00000000-0006-0000-0900-00001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77" authorId="0" shapeId="0" xr:uid="{00000000-0006-0000-0900-00001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78" authorId="0" shapeId="0" xr:uid="{00000000-0006-0000-0900-00001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79" authorId="0" shapeId="0" xr:uid="{00000000-0006-0000-0900-00001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80" authorId="0" shapeId="0" xr:uid="{00000000-0006-0000-0900-00001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81" authorId="0" shapeId="0" xr:uid="{00000000-0006-0000-0900-00001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82" authorId="0" shapeId="0" xr:uid="{00000000-0006-0000-0900-00001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83" authorId="0" shapeId="0" xr:uid="{00000000-0006-0000-0900-00002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84" authorId="0" shapeId="0" xr:uid="{00000000-0006-0000-0900-00002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85" authorId="0" shapeId="0" xr:uid="{00000000-0006-0000-0900-00002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86" authorId="0" shapeId="0" xr:uid="{00000000-0006-0000-0900-00002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87" authorId="0" shapeId="0" xr:uid="{00000000-0006-0000-0900-00002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88" authorId="0" shapeId="0" xr:uid="{00000000-0006-0000-0900-00002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89" authorId="0" shapeId="0" xr:uid="{00000000-0006-0000-0900-00002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90" authorId="0" shapeId="0" xr:uid="{00000000-0006-0000-0900-00002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91" authorId="0" shapeId="0" xr:uid="{00000000-0006-0000-0900-00002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92" authorId="0" shapeId="0" xr:uid="{00000000-0006-0000-0900-00002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93" authorId="0" shapeId="0" xr:uid="{00000000-0006-0000-0900-00002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94" authorId="0" shapeId="0" xr:uid="{00000000-0006-0000-0900-00002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95" authorId="0" shapeId="0" xr:uid="{00000000-0006-0000-0900-00002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96" authorId="0" shapeId="0" xr:uid="{00000000-0006-0000-0900-00002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97" authorId="0" shapeId="0" xr:uid="{00000000-0006-0000-0900-00002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98" authorId="0" shapeId="0" xr:uid="{00000000-0006-0000-0900-00002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99" authorId="0" shapeId="0" xr:uid="{00000000-0006-0000-0900-00003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00" authorId="0" shapeId="0" xr:uid="{00000000-0006-0000-0900-00003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01" authorId="0" shapeId="0" xr:uid="{00000000-0006-0000-0900-00003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02" authorId="0" shapeId="0" xr:uid="{00000000-0006-0000-0900-00003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03" authorId="0" shapeId="0" xr:uid="{00000000-0006-0000-0900-00003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04" authorId="0" shapeId="0" xr:uid="{00000000-0006-0000-0900-00003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05" authorId="0" shapeId="0" xr:uid="{00000000-0006-0000-0900-00003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06" authorId="0" shapeId="0" xr:uid="{00000000-0006-0000-0900-00003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07" authorId="0" shapeId="0" xr:uid="{00000000-0006-0000-0900-00003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08" authorId="0" shapeId="0" xr:uid="{00000000-0006-0000-0900-00003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09" authorId="0" shapeId="0" xr:uid="{00000000-0006-0000-0900-00003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10" authorId="0" shapeId="0" xr:uid="{00000000-0006-0000-0900-00003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11" authorId="0" shapeId="0" xr:uid="{00000000-0006-0000-0900-00003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12" authorId="0" shapeId="0" xr:uid="{00000000-0006-0000-0900-00003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13" authorId="0" shapeId="0" xr:uid="{00000000-0006-0000-0900-00003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14" authorId="0" shapeId="0" xr:uid="{00000000-0006-0000-0900-00003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15" authorId="0" shapeId="0" xr:uid="{00000000-0006-0000-0900-00004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16" authorId="0" shapeId="0" xr:uid="{00000000-0006-0000-0900-00004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17" authorId="0" shapeId="0" xr:uid="{00000000-0006-0000-0900-00004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18" authorId="0" shapeId="0" xr:uid="{00000000-0006-0000-0900-00004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19" authorId="0" shapeId="0" xr:uid="{00000000-0006-0000-0900-00004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20" authorId="0" shapeId="0" xr:uid="{00000000-0006-0000-0900-00004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21" authorId="0" shapeId="0" xr:uid="{00000000-0006-0000-0900-00004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22" authorId="0" shapeId="0" xr:uid="{00000000-0006-0000-0900-00004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23" authorId="0" shapeId="0" xr:uid="{00000000-0006-0000-0900-00004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24" authorId="0" shapeId="0" xr:uid="{00000000-0006-0000-0900-00004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25" authorId="0" shapeId="0" xr:uid="{00000000-0006-0000-0900-00004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26" authorId="0" shapeId="0" xr:uid="{00000000-0006-0000-0900-00004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27" authorId="0" shapeId="0" xr:uid="{00000000-0006-0000-0900-00004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28" authorId="0" shapeId="0" xr:uid="{00000000-0006-0000-0900-00004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31" authorId="0" shapeId="0" xr:uid="{00000000-0006-0000-0900-00004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32" authorId="0" shapeId="0" xr:uid="{00000000-0006-0000-0900-00004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33" authorId="0" shapeId="0" xr:uid="{00000000-0006-0000-0900-00005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34" authorId="0" shapeId="0" xr:uid="{00000000-0006-0000-0900-00005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N136" authorId="0" shapeId="0" xr:uid="{00000000-0006-0000-0900-00005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P136" authorId="0" shapeId="0" xr:uid="{00000000-0006-0000-0900-00005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R136" authorId="0" shapeId="0" xr:uid="{00000000-0006-0000-0900-00005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R144" authorId="0" shapeId="0" xr:uid="{00000000-0006-0000-0900-00005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N146" authorId="0" shapeId="0" xr:uid="{00000000-0006-0000-0900-00005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P146" authorId="0" shapeId="0" xr:uid="{00000000-0006-0000-0900-00005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R146" authorId="0" shapeId="0" xr:uid="{00000000-0006-0000-0900-00005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R153" authorId="0" shapeId="0" xr:uid="{00000000-0006-0000-0900-00005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54" authorId="0" shapeId="0" xr:uid="{00000000-0006-0000-0900-00005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55" authorId="0" shapeId="0" xr:uid="{00000000-0006-0000-0900-00005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56" authorId="0" shapeId="0" xr:uid="{00000000-0006-0000-0900-00005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57" authorId="0" shapeId="0" xr:uid="{00000000-0006-0000-0900-00005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58" authorId="0" shapeId="0" xr:uid="{00000000-0006-0000-0900-00005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59" authorId="0" shapeId="0" xr:uid="{00000000-0006-0000-0900-00005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62" authorId="0" shapeId="0" xr:uid="{00000000-0006-0000-0900-00006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63" authorId="0" shapeId="0" xr:uid="{00000000-0006-0000-0900-00006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64" authorId="0" shapeId="0" xr:uid="{00000000-0006-0000-0900-00006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65" authorId="0" shapeId="0" xr:uid="{00000000-0006-0000-0900-00006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66" authorId="0" shapeId="0" xr:uid="{00000000-0006-0000-0900-00006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67" authorId="0" shapeId="0" xr:uid="{00000000-0006-0000-0900-00006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68" authorId="0" shapeId="0" xr:uid="{00000000-0006-0000-0900-00006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69" authorId="0" shapeId="0" xr:uid="{00000000-0006-0000-0900-00006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70" authorId="0" shapeId="0" xr:uid="{00000000-0006-0000-0900-00006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71" authorId="0" shapeId="0" xr:uid="{00000000-0006-0000-0900-00006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76" authorId="0" shapeId="0" xr:uid="{00000000-0006-0000-0900-00006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77" authorId="0" shapeId="0" xr:uid="{00000000-0006-0000-0900-00006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78" authorId="0" shapeId="0" xr:uid="{00000000-0006-0000-0900-00006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79" authorId="0" shapeId="0" xr:uid="{00000000-0006-0000-0900-00006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80" authorId="0" shapeId="0" xr:uid="{00000000-0006-0000-0900-00006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81" authorId="0" shapeId="0" xr:uid="{00000000-0006-0000-0900-00006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82" authorId="0" shapeId="0" xr:uid="{00000000-0006-0000-0900-00007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83" authorId="0" shapeId="0" xr:uid="{00000000-0006-0000-0900-00007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86" authorId="0" shapeId="0" xr:uid="{00000000-0006-0000-0900-00007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87" authorId="0" shapeId="0" xr:uid="{00000000-0006-0000-0900-00007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92" authorId="0" shapeId="0" xr:uid="{00000000-0006-0000-0900-00007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93" authorId="0" shapeId="0" xr:uid="{00000000-0006-0000-0900-00007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94" authorId="0" shapeId="0" xr:uid="{00000000-0006-0000-0900-00007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95" authorId="0" shapeId="0" xr:uid="{00000000-0006-0000-0900-00007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96" authorId="0" shapeId="0" xr:uid="{00000000-0006-0000-0900-00007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97" authorId="0" shapeId="0" xr:uid="{00000000-0006-0000-0900-00007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98" authorId="0" shapeId="0" xr:uid="{00000000-0006-0000-0900-00007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199" authorId="0" shapeId="0" xr:uid="{00000000-0006-0000-0900-00007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00" authorId="0" shapeId="0" xr:uid="{00000000-0006-0000-0900-00007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01" authorId="0" shapeId="0" xr:uid="{00000000-0006-0000-0900-00007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02" authorId="0" shapeId="0" xr:uid="{00000000-0006-0000-0900-00007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03" authorId="0" shapeId="0" xr:uid="{00000000-0006-0000-0900-00007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04" authorId="0" shapeId="0" xr:uid="{00000000-0006-0000-0900-00008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05" authorId="0" shapeId="0" xr:uid="{00000000-0006-0000-0900-00008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06" authorId="0" shapeId="0" xr:uid="{00000000-0006-0000-0900-00008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11" authorId="0" shapeId="0" xr:uid="{00000000-0006-0000-0900-00008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12" authorId="0" shapeId="0" xr:uid="{00000000-0006-0000-0900-00008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13" authorId="0" shapeId="0" xr:uid="{00000000-0006-0000-0900-00008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14" authorId="0" shapeId="0" xr:uid="{00000000-0006-0000-0900-00008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15" authorId="0" shapeId="0" xr:uid="{00000000-0006-0000-0900-00008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16" authorId="0" shapeId="0" xr:uid="{00000000-0006-0000-0900-00008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17" authorId="0" shapeId="0" xr:uid="{00000000-0006-0000-0900-00008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18" authorId="0" shapeId="0" xr:uid="{00000000-0006-0000-0900-00008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19" authorId="0" shapeId="0" xr:uid="{00000000-0006-0000-0900-00008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20" authorId="0" shapeId="0" xr:uid="{00000000-0006-0000-0900-00008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21" authorId="0" shapeId="0" xr:uid="{00000000-0006-0000-0900-00008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46" authorId="0" shapeId="0" xr:uid="{00000000-0006-0000-0900-00008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47" authorId="0" shapeId="0" xr:uid="{00000000-0006-0000-0900-00008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50" authorId="0" shapeId="0" xr:uid="{00000000-0006-0000-0900-00009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51" authorId="0" shapeId="0" xr:uid="{00000000-0006-0000-0900-00009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52" authorId="0" shapeId="0" xr:uid="{00000000-0006-0000-0900-00009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53" authorId="0" shapeId="0" xr:uid="{00000000-0006-0000-0900-00009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54" authorId="0" shapeId="0" xr:uid="{00000000-0006-0000-0900-00009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58" authorId="0" shapeId="0" xr:uid="{00000000-0006-0000-0900-00009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59" authorId="0" shapeId="0" xr:uid="{00000000-0006-0000-0900-00009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60" authorId="0" shapeId="0" xr:uid="{00000000-0006-0000-0900-00009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61" authorId="0" shapeId="0" xr:uid="{00000000-0006-0000-0900-00009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62" authorId="0" shapeId="0" xr:uid="{00000000-0006-0000-0900-00009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64" authorId="0" shapeId="0" xr:uid="{00000000-0006-0000-0900-00009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65" authorId="0" shapeId="0" xr:uid="{00000000-0006-0000-0900-00009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66" authorId="0" shapeId="0" xr:uid="{00000000-0006-0000-0900-00009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67" authorId="0" shapeId="0" xr:uid="{00000000-0006-0000-0900-00009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68" authorId="0" shapeId="0" xr:uid="{00000000-0006-0000-0900-00009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69" authorId="0" shapeId="0" xr:uid="{00000000-0006-0000-0900-00009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70" authorId="0" shapeId="0" xr:uid="{00000000-0006-0000-0900-0000A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71" authorId="0" shapeId="0" xr:uid="{00000000-0006-0000-0900-0000A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72" authorId="0" shapeId="0" xr:uid="{00000000-0006-0000-0900-0000A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73" authorId="0" shapeId="0" xr:uid="{00000000-0006-0000-0900-0000A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74" authorId="0" shapeId="0" xr:uid="{00000000-0006-0000-0900-0000A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75" authorId="0" shapeId="0" xr:uid="{00000000-0006-0000-0900-0000A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76" authorId="0" shapeId="0" xr:uid="{00000000-0006-0000-0900-0000A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77" authorId="0" shapeId="0" xr:uid="{00000000-0006-0000-0900-0000A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78" authorId="0" shapeId="0" xr:uid="{00000000-0006-0000-0900-0000A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79" authorId="0" shapeId="0" xr:uid="{00000000-0006-0000-0900-0000A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80" authorId="0" shapeId="0" xr:uid="{00000000-0006-0000-0900-0000A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81" authorId="0" shapeId="0" xr:uid="{00000000-0006-0000-0900-0000A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82" authorId="0" shapeId="0" xr:uid="{00000000-0006-0000-0900-0000A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83" authorId="0" shapeId="0" xr:uid="{00000000-0006-0000-0900-0000A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84" authorId="0" shapeId="0" xr:uid="{00000000-0006-0000-0900-0000A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86" authorId="0" shapeId="0" xr:uid="{00000000-0006-0000-0900-0000A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87" authorId="0" shapeId="0" xr:uid="{00000000-0006-0000-0900-0000B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88" authorId="0" shapeId="0" xr:uid="{00000000-0006-0000-0900-0000B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89" authorId="0" shapeId="0" xr:uid="{00000000-0006-0000-0900-0000B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90" authorId="0" shapeId="0" xr:uid="{00000000-0006-0000-0900-0000B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91" authorId="0" shapeId="0" xr:uid="{00000000-0006-0000-0900-0000B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92" authorId="0" shapeId="0" xr:uid="{00000000-0006-0000-0900-0000B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93" authorId="0" shapeId="0" xr:uid="{00000000-0006-0000-0900-0000B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94" authorId="0" shapeId="0" xr:uid="{00000000-0006-0000-0900-0000B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95" authorId="0" shapeId="0" xr:uid="{00000000-0006-0000-0900-0000B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96" authorId="0" shapeId="0" xr:uid="{00000000-0006-0000-0900-0000B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97" authorId="0" shapeId="0" xr:uid="{00000000-0006-0000-0900-0000B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98" authorId="0" shapeId="0" xr:uid="{00000000-0006-0000-0900-0000B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299" authorId="0" shapeId="0" xr:uid="{00000000-0006-0000-0900-0000B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300" authorId="0" shapeId="0" xr:uid="{00000000-0006-0000-0900-0000B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301" authorId="0" shapeId="0" xr:uid="{00000000-0006-0000-0900-0000B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302" authorId="0" shapeId="0" xr:uid="{00000000-0006-0000-0900-0000B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303" authorId="0" shapeId="0" xr:uid="{00000000-0006-0000-0900-0000C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304" authorId="0" shapeId="0" xr:uid="{00000000-0006-0000-0900-0000C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305" authorId="0" shapeId="0" xr:uid="{00000000-0006-0000-0900-0000C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306" authorId="0" shapeId="0" xr:uid="{00000000-0006-0000-0900-0000C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307" authorId="0" shapeId="0" xr:uid="{00000000-0006-0000-0900-0000C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308" authorId="0" shapeId="0" xr:uid="{00000000-0006-0000-0900-0000C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309" authorId="0" shapeId="0" xr:uid="{00000000-0006-0000-0900-0000C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310" authorId="0" shapeId="0" xr:uid="{00000000-0006-0000-0900-0000C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311" authorId="0" shapeId="0" xr:uid="{00000000-0006-0000-0900-0000C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312" authorId="0" shapeId="0" xr:uid="{00000000-0006-0000-0900-0000C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313" authorId="0" shapeId="0" xr:uid="{00000000-0006-0000-0900-0000C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315" authorId="0" shapeId="0" xr:uid="{00000000-0006-0000-0900-0000C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316" authorId="0" shapeId="0" xr:uid="{00000000-0006-0000-0900-0000C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317" authorId="0" shapeId="0" xr:uid="{00000000-0006-0000-0900-0000C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R318" authorId="0" shapeId="0" xr:uid="{00000000-0006-0000-0900-0000C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50 degrees celsius operating temperature</t>
        </r>
      </text>
    </comment>
    <comment ref="P385" authorId="0" shapeId="0" xr:uid="{00000000-0006-0000-0900-0000C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Using ratings from AEL Drawing 782</t>
        </r>
      </text>
    </comment>
    <comment ref="N397" authorId="0" shapeId="0" xr:uid="{00000000-0006-0000-0900-0000D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75 degrees celsius operating temperature</t>
        </r>
      </text>
    </comment>
    <comment ref="R397" authorId="0" shapeId="0" xr:uid="{00000000-0006-0000-0900-0000D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Derated to 75 degrees celsius operating temperature</t>
        </r>
      </text>
    </comment>
    <comment ref="N416" authorId="0" shapeId="0" xr:uid="{00000000-0006-0000-0900-0000D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P416" authorId="0" shapeId="0" xr:uid="{00000000-0006-0000-0900-0000D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R416" authorId="0" shapeId="0" xr:uid="{00000000-0006-0000-0900-0000D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N418" authorId="0" shapeId="0" xr:uid="{00000000-0006-0000-0900-0000D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P418" authorId="0" shapeId="0" xr:uid="{00000000-0006-0000-0900-0000D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R418" authorId="0" shapeId="0" xr:uid="{00000000-0006-0000-0900-0000D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N424" authorId="0" shapeId="0" xr:uid="{00000000-0006-0000-0900-0000D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P424" authorId="0" shapeId="0" xr:uid="{00000000-0006-0000-0900-0000D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R424" authorId="0" shapeId="0" xr:uid="{00000000-0006-0000-0900-0000D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N426" authorId="0" shapeId="0" xr:uid="{00000000-0006-0000-0900-0000D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P426" authorId="0" shapeId="0" xr:uid="{00000000-0006-0000-0900-0000D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  <comment ref="R426" authorId="0" shapeId="0" xr:uid="{00000000-0006-0000-0900-0000D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General Cables technical specification at a depth of 2.5 m.
See G:\Engineers\Assets\Substations Zone\Washdyke Switching Station\Projects &amp; Jobs\2016-17 Original Project\Work\33 kV Cable Pricing\A - 213276 Timaru to Washdyke 33 kV Underground Cable Project - Cable Tech Details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52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Rating obtained by using rating from drawijng 782 of 200 A and scaling it similar to DOG</t>
        </r>
      </text>
    </comment>
    <comment ref="I55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Rating obtained by using rating from drawijng 782 of 200 A and scaling it similar to DOG</t>
        </r>
      </text>
    </comment>
    <comment ref="N112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112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113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113" authorId="0" shapeId="0" xr:uid="{00000000-0006-0000-0A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38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39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40" authorId="0" shapeId="0" xr:uid="{00000000-0006-0000-0B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41" authorId="0" shapeId="0" xr:uid="{00000000-0006-0000-0B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100" authorId="0" shapeId="0" xr:uid="{00000000-0006-0000-0B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101" authorId="0" shapeId="0" xr:uid="{00000000-0006-0000-0B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102" authorId="0" shapeId="0" xr:uid="{00000000-0006-0000-0B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103" authorId="0" shapeId="0" xr:uid="{00000000-0006-0000-0B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171" authorId="0" shapeId="0" xr:uid="{00000000-0006-0000-0B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172" authorId="0" shapeId="0" xr:uid="{00000000-0006-0000-0B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173" authorId="0" shapeId="0" xr:uid="{00000000-0006-0000-0B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174" authorId="0" shapeId="0" xr:uid="{00000000-0006-0000-0B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N174" authorId="0" shapeId="0" xr:uid="{00000000-0006-0000-0B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174" authorId="0" shapeId="0" xr:uid="{00000000-0006-0000-0B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D175" authorId="0" shapeId="0" xr:uid="{00000000-0006-0000-0B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N175" authorId="0" shapeId="0" xr:uid="{00000000-0006-0000-0B00-00001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175" authorId="0" shapeId="0" xr:uid="{00000000-0006-0000-0B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D176" authorId="0" shapeId="0" xr:uid="{00000000-0006-0000-0B00-00001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N176" authorId="0" shapeId="0" xr:uid="{00000000-0006-0000-0B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176" authorId="0" shapeId="0" xr:uid="{00000000-0006-0000-0B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D177" authorId="0" shapeId="0" xr:uid="{00000000-0006-0000-0B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178" authorId="0" shapeId="0" xr:uid="{00000000-0006-0000-0B00-00001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179" authorId="0" shapeId="0" xr:uid="{00000000-0006-0000-0B00-00001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N179" authorId="0" shapeId="0" xr:uid="{00000000-0006-0000-0B00-00001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179" authorId="0" shapeId="0" xr:uid="{00000000-0006-0000-0B00-00001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D180" authorId="0" shapeId="0" xr:uid="{00000000-0006-0000-0B00-00001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N180" authorId="0" shapeId="0" xr:uid="{00000000-0006-0000-0B00-00001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180" authorId="0" shapeId="0" xr:uid="{00000000-0006-0000-0B00-00001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D181" authorId="0" shapeId="0" xr:uid="{00000000-0006-0000-0B00-00001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N181" authorId="0" shapeId="0" xr:uid="{00000000-0006-0000-0B00-00001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181" authorId="0" shapeId="0" xr:uid="{00000000-0006-0000-0B00-00001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D182" authorId="0" shapeId="0" xr:uid="{00000000-0006-0000-0B00-00002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183" authorId="0" shapeId="0" xr:uid="{00000000-0006-0000-0B00-00002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N183" authorId="0" shapeId="0" xr:uid="{00000000-0006-0000-0B00-00002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183" authorId="0" shapeId="0" xr:uid="{00000000-0006-0000-0B00-00002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187" authorId="0" shapeId="0" xr:uid="{00000000-0006-0000-0B00-00002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187" authorId="0" shapeId="0" xr:uid="{00000000-0006-0000-0B00-00002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188" authorId="0" shapeId="0" xr:uid="{00000000-0006-0000-0B00-00002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188" authorId="0" shapeId="0" xr:uid="{00000000-0006-0000-0B00-00002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189" authorId="0" shapeId="0" xr:uid="{00000000-0006-0000-0B00-00002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189" authorId="0" shapeId="0" xr:uid="{00000000-0006-0000-0B00-00002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192" authorId="0" shapeId="0" xr:uid="{00000000-0006-0000-0B00-00002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192" authorId="0" shapeId="0" xr:uid="{00000000-0006-0000-0B00-00002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193" authorId="0" shapeId="0" xr:uid="{00000000-0006-0000-0B00-00002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193" authorId="0" shapeId="0" xr:uid="{00000000-0006-0000-0B00-00002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194" authorId="0" shapeId="0" xr:uid="{00000000-0006-0000-0B00-00002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194" authorId="0" shapeId="0" xr:uid="{00000000-0006-0000-0B00-00002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196" authorId="0" shapeId="0" xr:uid="{00000000-0006-0000-0B00-00003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196" authorId="0" shapeId="0" xr:uid="{00000000-0006-0000-0B00-00003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AQ202" authorId="0" shapeId="0" xr:uid="{00000000-0006-0000-0B00-00003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derating for one crossing with 1x11 kv and 1x0.415 kV cables</t>
        </r>
      </text>
    </comment>
    <comment ref="N207" authorId="0" shapeId="0" xr:uid="{00000000-0006-0000-0B00-00003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07" authorId="0" shapeId="0" xr:uid="{00000000-0006-0000-0B00-00003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212" authorId="0" shapeId="0" xr:uid="{00000000-0006-0000-0B00-00003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12" authorId="0" shapeId="0" xr:uid="{00000000-0006-0000-0B00-00003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216" authorId="0" shapeId="0" xr:uid="{00000000-0006-0000-0B00-00003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16" authorId="0" shapeId="0" xr:uid="{00000000-0006-0000-0B00-00003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218" authorId="0" shapeId="0" xr:uid="{00000000-0006-0000-0B00-00003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18" authorId="0" shapeId="0" xr:uid="{00000000-0006-0000-0B00-00003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D223" authorId="0" shapeId="0" xr:uid="{00000000-0006-0000-0B00-00003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224" authorId="0" shapeId="0" xr:uid="{00000000-0006-0000-0B00-00003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N224" authorId="0" shapeId="0" xr:uid="{00000000-0006-0000-0B00-00003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conditions outlines in \\nsldc01\vol1\Engineers\PlanningTeam\100_Projects\2016-007_NDPlanning\2016_NDP_TMK\Clandeboye\Clandeboye2\1Core 400mm Al Xlpe 11kV cable Sept 2016</t>
        </r>
      </text>
    </comment>
    <comment ref="P224" authorId="0" shapeId="0" xr:uid="{00000000-0006-0000-0B00-00003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conditions outlines in \\nsldc01\vol1\Engineers\PlanningTeam\100_Projects\2016-007_NDPlanning\2016_NDP_TMK\Clandeboye\Clandeboye2\1Core 400mm Al Xlpe 11kV cable Sept 2016</t>
        </r>
      </text>
    </comment>
    <comment ref="R224" authorId="0" shapeId="0" xr:uid="{00000000-0006-0000-0B00-00003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conditions outlines in \\nsldc01\vol1\Engineers\PlanningTeam\100_Projects\2016-007_NDPlanning\2016_NDP_TMK\Clandeboye\Clandeboye2\1Core 400mm Al Xlpe 11kV cable Sept 2016</t>
        </r>
      </text>
    </comment>
    <comment ref="D225" authorId="0" shapeId="0" xr:uid="{00000000-0006-0000-0B00-00004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N225" authorId="0" shapeId="0" xr:uid="{00000000-0006-0000-0B00-00004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25" authorId="0" shapeId="0" xr:uid="{00000000-0006-0000-0B00-00004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227" authorId="0" shapeId="0" xr:uid="{00000000-0006-0000-0B00-00004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conditions outlines in \\nsldc01\vol1\Engineers\PlanningTeam\100_Projects\2016-007_NDPlanning\2016_NDP_TMK\Clandeboye\Clandeboye2\1Core 400mm Al Xlpe 11kV cable Sept 2016</t>
        </r>
      </text>
    </comment>
    <comment ref="P227" authorId="0" shapeId="0" xr:uid="{00000000-0006-0000-0B00-00004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conditions outlines in \\nsldc01\vol1\Engineers\PlanningTeam\100_Projects\2016-007_NDPlanning\2016_NDP_TMK\Clandeboye\Clandeboye2\1Core 400mm Al Xlpe 11kV cable Sept 2016</t>
        </r>
      </text>
    </comment>
    <comment ref="R227" authorId="0" shapeId="0" xr:uid="{00000000-0006-0000-0B00-00004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conditions outlines in \\nsldc01\vol1\Engineers\PlanningTeam\100_Projects\2016-007_NDPlanning\2016_NDP_TMK\Clandeboye\Clandeboye2\1Core 400mm Al Xlpe 11kV cable Sept 2016</t>
        </r>
      </text>
    </comment>
    <comment ref="N228" authorId="0" shapeId="0" xr:uid="{00000000-0006-0000-0B00-00004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28" authorId="0" shapeId="0" xr:uid="{00000000-0006-0000-0B00-00004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D235" authorId="0" shapeId="0" xr:uid="{00000000-0006-0000-0B00-00004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236" authorId="0" shapeId="0" xr:uid="{00000000-0006-0000-0B00-00004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237" authorId="0" shapeId="0" xr:uid="{00000000-0006-0000-0B00-00004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N237" authorId="0" shapeId="0" xr:uid="{00000000-0006-0000-0B00-00004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37" authorId="0" shapeId="0" xr:uid="{00000000-0006-0000-0B00-00004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D238" authorId="0" shapeId="0" xr:uid="{00000000-0006-0000-0B00-00004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N238" authorId="0" shapeId="0" xr:uid="{00000000-0006-0000-0B00-00004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38" authorId="0" shapeId="0" xr:uid="{00000000-0006-0000-0B00-00004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241" authorId="0" shapeId="0" xr:uid="{00000000-0006-0000-0B00-00005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41" authorId="0" shapeId="0" xr:uid="{00000000-0006-0000-0B00-00005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242" authorId="0" shapeId="0" xr:uid="{00000000-0006-0000-0B00-00005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42" authorId="0" shapeId="0" xr:uid="{00000000-0006-0000-0B00-00005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243" authorId="0" shapeId="0" xr:uid="{00000000-0006-0000-0B00-00005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43" authorId="0" shapeId="0" xr:uid="{00000000-0006-0000-0B00-00005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265" authorId="0" shapeId="0" xr:uid="{00000000-0006-0000-0B00-00005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65" authorId="0" shapeId="0" xr:uid="{00000000-0006-0000-0B00-00005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282" authorId="0" shapeId="0" xr:uid="{00000000-0006-0000-0B00-00005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82" authorId="0" shapeId="0" xr:uid="{00000000-0006-0000-0B00-00005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50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D287" authorId="0" shapeId="0" xr:uid="{00000000-0006-0000-0B00-00005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288" authorId="0" shapeId="0" xr:uid="{00000000-0006-0000-0B00-00005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289" authorId="0" shapeId="0" xr:uid="{00000000-0006-0000-0B00-00005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N289" authorId="0" shapeId="0" xr:uid="{00000000-0006-0000-0B00-00005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89" authorId="0" shapeId="0" xr:uid="{00000000-0006-0000-0B00-00005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D290" authorId="0" shapeId="0" xr:uid="{00000000-0006-0000-0B00-00005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N290" authorId="0" shapeId="0" xr:uid="{00000000-0006-0000-0B00-00006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90" authorId="0" shapeId="0" xr:uid="{00000000-0006-0000-0B00-00006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D291" authorId="0" shapeId="0" xr:uid="{00000000-0006-0000-0B00-00006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N291" authorId="0" shapeId="0" xr:uid="{00000000-0006-0000-0B00-00006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91" authorId="0" shapeId="0" xr:uid="{00000000-0006-0000-0B00-00006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D292" authorId="0" shapeId="0" xr:uid="{00000000-0006-0000-0B00-00006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N292" authorId="0" shapeId="0" xr:uid="{00000000-0006-0000-0B00-00006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conditions outlines in \\nsldc01\vol1\Engineers\PlanningTeam\100_Projects\2016-007_NDPlanning\2016_NDP_TMK\Clandeboye\Clandeboye2\1Core 400mm Al Xlpe 11kV cable Sept 2016</t>
        </r>
      </text>
    </comment>
    <comment ref="P292" authorId="0" shapeId="0" xr:uid="{00000000-0006-0000-0B00-00006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conditions outlines in \\nsldc01\vol1\Engineers\PlanningTeam\100_Projects\2016-007_NDPlanning\2016_NDP_TMK\Clandeboye\Clandeboye2\1Core 400mm Al Xlpe 11kV cable Sept 2016</t>
        </r>
      </text>
    </comment>
    <comment ref="R292" authorId="0" shapeId="0" xr:uid="{00000000-0006-0000-0B00-00006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conditions outlines in \\nsldc01\vol1\Engineers\PlanningTeam\100_Projects\2016-007_NDPlanning\2016_NDP_TMK\Clandeboye\Clandeboye2\1Core 400mm Al Xlpe 11kV cable Sept 2016</t>
        </r>
      </text>
    </comment>
    <comment ref="N295" authorId="0" shapeId="0" xr:uid="{00000000-0006-0000-0B00-00006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95" authorId="0" shapeId="0" xr:uid="{00000000-0006-0000-0B00-00006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296" authorId="0" shapeId="0" xr:uid="{00000000-0006-0000-0B00-00006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96" authorId="0" shapeId="0" xr:uid="{00000000-0006-0000-0B00-00006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297" authorId="0" shapeId="0" xr:uid="{00000000-0006-0000-0B00-00006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R297" authorId="0" shapeId="0" xr:uid="{00000000-0006-0000-0B00-00006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75</t>
        </r>
        <r>
          <rPr>
            <sz val="9"/>
            <color indexed="81"/>
            <rFont val="Calibri"/>
            <family val="2"/>
          </rPr>
          <t>°</t>
        </r>
        <r>
          <rPr>
            <sz val="9"/>
            <color indexed="81"/>
            <rFont val="Tahoma"/>
            <family val="2"/>
          </rPr>
          <t>C design</t>
        </r>
      </text>
    </comment>
    <comment ref="N298" authorId="0" shapeId="0" xr:uid="{00000000-0006-0000-0B00-00006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conditions outlines in \\nsldc01\vol1\Engineers\PlanningTeam\100_Projects\2016-007_NDPlanning\2016_NDP_TMK\Clandeboye\Clandeboye2\1Core 400mm Al Xlpe 11kV cable Sept 2016</t>
        </r>
      </text>
    </comment>
    <comment ref="P298" authorId="0" shapeId="0" xr:uid="{00000000-0006-0000-0B00-00007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conditions outlines in \\nsldc01\vol1\Engineers\PlanningTeam\100_Projects\2016-007_NDPlanning\2016_NDP_TMK\Clandeboye\Clandeboye2\1Core 400mm Al Xlpe 11kV cable Sept 2016</t>
        </r>
      </text>
    </comment>
    <comment ref="R298" authorId="0" shapeId="0" xr:uid="{00000000-0006-0000-0B00-00007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conditions outlines in \\nsldc01\vol1\Engineers\PlanningTeam\100_Projects\2016-007_NDPlanning\2016_NDP_TMK\Clandeboye\Clandeboye2\1Core 400mm Al Xlpe 11kV cable Sept 2016</t>
        </r>
      </text>
    </comment>
    <comment ref="N299" authorId="0" shapeId="0" xr:uid="{00000000-0006-0000-0B00-00007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Ivan to provide ratings</t>
        </r>
      </text>
    </comment>
    <comment ref="D304" authorId="0" shapeId="0" xr:uid="{00000000-0006-0000-0B00-00007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D305" authorId="0" shapeId="0" xr:uid="{00000000-0006-0000-0B00-00007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N305" authorId="0" shapeId="0" xr:uid="{00000000-0006-0000-0B00-00007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conditions outlines in \\nsldc01\vol1\Engineers\PlanningTeam\100_Projects\2016-007_NDPlanning\2016_NDP_TMK\Clandeboye\Clandeboye2\1Core 400mm Al Xlpe 11kV cable Sept 2016</t>
        </r>
      </text>
    </comment>
    <comment ref="P305" authorId="0" shapeId="0" xr:uid="{00000000-0006-0000-0B00-00007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conditions outlines in \\nsldc01\vol1\Engineers\PlanningTeam\100_Projects\2016-007_NDPlanning\2016_NDP_TMK\Clandeboye\Clandeboye2\1Core 400mm Al Xlpe 11kV cable Sept 2016</t>
        </r>
      </text>
    </comment>
    <comment ref="R305" authorId="0" shapeId="0" xr:uid="{00000000-0006-0000-0B00-00007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conditions outlines in \\nsldc01\vol1\Engineers\PlanningTeam\100_Projects\2016-007_NDPlanning\2016_NDP_TMK\Clandeboye\Clandeboye2\1Core 400mm Al Xlpe 11kV cable Sept 2016</t>
        </r>
      </text>
    </comment>
    <comment ref="D306" authorId="0" shapeId="0" xr:uid="{00000000-0006-0000-0B00-00007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Branches duplicated with their respective zone substations as their ratings affect both supply levels</t>
        </r>
      </text>
    </comment>
    <comment ref="N306" authorId="0" shapeId="0" xr:uid="{00000000-0006-0000-0B00-00007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Ivan to provide ratings</t>
        </r>
      </text>
    </comment>
    <comment ref="N308" authorId="0" shapeId="0" xr:uid="{00000000-0006-0000-0B00-00007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conditions outlines in \\nsldc01\vol1\Engineers\PlanningTeam\100_Projects\2016-007_NDPlanning\2016_NDP_TMK\Clandeboye\Clandeboye2\1Core 400mm Al Xlpe 11kV cable Sept 2016</t>
        </r>
      </text>
    </comment>
    <comment ref="P308" authorId="0" shapeId="0" xr:uid="{00000000-0006-0000-0B00-00007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conditions outlines in \\nsldc01\vol1\Engineers\PlanningTeam\100_Projects\2016-007_NDPlanning\2016_NDP_TMK\Clandeboye\Clandeboye2\1Core 400mm Al Xlpe 11kV cable Sept 2016</t>
        </r>
      </text>
    </comment>
    <comment ref="R308" authorId="0" shapeId="0" xr:uid="{00000000-0006-0000-0B00-00007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Based on conditions outlines in \\nsldc01\vol1\Engineers\PlanningTeam\100_Projects\2016-007_NDPlanning\2016_NDP_TMK\Clandeboye\Clandeboye2\1Core 400mm Al Xlpe 11kV cable Sept 2016</t>
        </r>
      </text>
    </comment>
    <comment ref="N309" authorId="0" shapeId="0" xr:uid="{00000000-0006-0000-0B00-00007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Ivan to provide ratings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S46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ODAF</t>
        </r>
      </text>
    </comment>
    <comment ref="S47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ODAF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BY_Protection" description="Connection to the 'ABY_Protection' query in the workbook." type="5" refreshedVersion="0">
    <dbPr connection="Provider=Microsoft.Mashup.OleDb.1;Data Source=$Workbook$;Location=ABY_Protection" command="SELECT * FROM [ABY_Protection]"/>
  </connection>
  <connection id="2" xr16:uid="{00000000-0015-0000-FFFF-FFFF01000000}" keepAlive="1" name="Query - AEL Protection Data" description="Connection to the 'AEL Protection Data' query in the workbook." type="5" refreshedVersion="6" saveData="1">
    <dbPr connection="Provider=Microsoft.Mashup.OleDb.1;Data Source=$Workbook$;Location=AEL Protection Data;Extended Properties=&quot;&quot;" command="SELECT * FROM [AEL Protection Data]"/>
  </connection>
  <connection id="3" xr16:uid="{00000000-0015-0000-FFFF-FFFF02000000}" keepAlive="1" name="Query - BPD_Protection" description="Connection to the 'BPD_Protection' query in the workbook." type="5" refreshedVersion="0">
    <dbPr connection="Provider=Microsoft.Mashup.OleDb.1;Data Source=$Workbook$;Location=BPD_Protection" command="SELECT * FROM [BPD_Protection]"/>
  </connection>
  <connection id="4" xr16:uid="{00000000-0015-0000-FFFF-FFFF03000000}" keepAlive="1" name="Query - STU_Protection" description="Connection to the 'STU_Protection' query in the workbook." type="5" refreshedVersion="0">
    <dbPr connection="Provider=Microsoft.Mashup.OleDb.1;Data Source=$Workbook$;Location=STU_Protection" command="SELECT * FROM [STU_Protection]"/>
  </connection>
  <connection id="5" xr16:uid="{00000000-0015-0000-FFFF-FFFF04000000}" keepAlive="1" name="Query - TIM_Protection" description="Connection to the 'TIM_Protection' query in the workbook." type="5" refreshedVersion="0">
    <dbPr connection="Provider=Microsoft.Mashup.OleDb.1;Data Source=$Workbook$;Location=TIM_Protection" command="SELECT * FROM [TIM_Protection]"/>
  </connection>
  <connection id="6" xr16:uid="{00000000-0015-0000-FFFF-FFFF05000000}" keepAlive="1" name="Query - TKA_Protection" description="Connection to the 'TKA_Protection' query in the workbook." type="5" refreshedVersion="0">
    <dbPr connection="Provider=Microsoft.Mashup.OleDb.1;Data Source=$Workbook$;Location=TKA_Protection" command="SELECT * FROM [TKA_Protection]"/>
  </connection>
  <connection id="7" xr16:uid="{00000000-0015-0000-FFFF-FFFF06000000}" keepAlive="1" name="Query - TMK_Protection" description="Connection to the 'TMK_Protection' query in the workbook." type="5" refreshedVersion="0">
    <dbPr connection="Provider=Microsoft.Mashup.OleDb.1;Data Source=$Workbook$;Location=TMK_Protection" command="SELECT * FROM [TMK_Protection]"/>
  </connection>
  <connection id="8" xr16:uid="{00000000-0015-0000-FFFF-FFFF07000000}" keepAlive="1" name="Query - TWZ_Protection" description="Connection to the 'TWZ_Protection' query in the workbook." type="5" refreshedVersion="0">
    <dbPr connection="Provider=Microsoft.Mashup.OleDb.1;Data Source=$Workbook$;Location=TWZ_Protection" command="SELECT * FROM [TWZ_Protection]"/>
  </connection>
</connections>
</file>

<file path=xl/sharedStrings.xml><?xml version="1.0" encoding="utf-8"?>
<sst xmlns="http://schemas.openxmlformats.org/spreadsheetml/2006/main" count="41317" uniqueCount="2993">
  <si>
    <t>-</t>
  </si>
  <si>
    <t>From</t>
  </si>
  <si>
    <t>To</t>
  </si>
  <si>
    <t>Level</t>
  </si>
  <si>
    <t>GXP</t>
  </si>
  <si>
    <t>CB6312</t>
  </si>
  <si>
    <t>Equipment</t>
  </si>
  <si>
    <t>TWZ-CB-2492</t>
  </si>
  <si>
    <t>TWZ-CT-CT2492</t>
  </si>
  <si>
    <t>TWZ-DS-2494</t>
  </si>
  <si>
    <t>TWZ-TF-T18</t>
  </si>
  <si>
    <t>TWZ-CB-6302</t>
  </si>
  <si>
    <t>TWZ-CT-CT6302</t>
  </si>
  <si>
    <t>TWZ-DS-6304</t>
  </si>
  <si>
    <t>24 Hour Post Contingency</t>
  </si>
  <si>
    <t>Circuit Breaker</t>
  </si>
  <si>
    <t>Current Transformer</t>
  </si>
  <si>
    <t>Disconnector</t>
  </si>
  <si>
    <t>Bushings</t>
  </si>
  <si>
    <t>Transformer</t>
  </si>
  <si>
    <t>Tap Changer</t>
  </si>
  <si>
    <t>ID</t>
  </si>
  <si>
    <t>Type</t>
  </si>
  <si>
    <t>DS2494</t>
  </si>
  <si>
    <t>T18</t>
  </si>
  <si>
    <t>DS6304</t>
  </si>
  <si>
    <t>(A)</t>
  </si>
  <si>
    <t>(kV)</t>
  </si>
  <si>
    <t>(MVA)</t>
  </si>
  <si>
    <t>Device</t>
  </si>
  <si>
    <t>Forward</t>
  </si>
  <si>
    <t>Reverse</t>
  </si>
  <si>
    <t>Relay Thermal</t>
  </si>
  <si>
    <t>CT Thermal</t>
  </si>
  <si>
    <t>Relay SR745</t>
  </si>
  <si>
    <t>Protection Limit</t>
  </si>
  <si>
    <t>HV Winding</t>
  </si>
  <si>
    <t>LV Winding</t>
  </si>
  <si>
    <t>Summer</t>
  </si>
  <si>
    <t>Winter</t>
  </si>
  <si>
    <t>Operating</t>
  </si>
  <si>
    <t>Voltage</t>
  </si>
  <si>
    <t>CB6316</t>
  </si>
  <si>
    <t>TWZ-CB-6312</t>
  </si>
  <si>
    <t>TWZ-CT-CT6312</t>
  </si>
  <si>
    <t>TWZ-CT-CT6312-OEL</t>
  </si>
  <si>
    <t>TWZ-DS-6314</t>
  </si>
  <si>
    <t>TWZ-DS-6316</t>
  </si>
  <si>
    <t>Other Equipment</t>
  </si>
  <si>
    <t>DS6314</t>
  </si>
  <si>
    <t>DS6316</t>
  </si>
  <si>
    <t>Supply</t>
  </si>
  <si>
    <t>Column5</t>
  </si>
  <si>
    <t>Column6</t>
  </si>
  <si>
    <t>Column7</t>
  </si>
  <si>
    <t>Column8</t>
  </si>
  <si>
    <t>Column9</t>
  </si>
  <si>
    <t>Column10</t>
  </si>
  <si>
    <t>Column1</t>
  </si>
  <si>
    <t>Column2</t>
  </si>
  <si>
    <t>Column3</t>
  </si>
  <si>
    <t>Column4</t>
  </si>
  <si>
    <t>220 kV Bus</t>
  </si>
  <si>
    <t>33 kV Bus</t>
  </si>
  <si>
    <t>Z69</t>
  </si>
  <si>
    <t>Shoulder</t>
  </si>
  <si>
    <t>WAXWING</t>
  </si>
  <si>
    <t>Supply Levels</t>
  </si>
  <si>
    <t>Switching Station</t>
  </si>
  <si>
    <t>OH Line</t>
  </si>
  <si>
    <t>TWZ</t>
  </si>
  <si>
    <t>Distance</t>
  </si>
  <si>
    <t>(m)</t>
  </si>
  <si>
    <t>Station/</t>
  </si>
  <si>
    <t>STU_GXP</t>
  </si>
  <si>
    <t>TIM_GXP</t>
  </si>
  <si>
    <t>TKA_GXP</t>
  </si>
  <si>
    <t>TMK_GXP</t>
  </si>
  <si>
    <t>TWZ_GXP</t>
  </si>
  <si>
    <t>ABY</t>
  </si>
  <si>
    <t>BPD</t>
  </si>
  <si>
    <t xml:space="preserve">STU </t>
  </si>
  <si>
    <t>TIM</t>
  </si>
  <si>
    <t>TEK</t>
  </si>
  <si>
    <t>TKA_M11</t>
  </si>
  <si>
    <t>GLD</t>
  </si>
  <si>
    <t>RGA_T1</t>
  </si>
  <si>
    <t>RGA_T2</t>
  </si>
  <si>
    <t>CD_1</t>
  </si>
  <si>
    <t>CD_2</t>
  </si>
  <si>
    <t>CB2722_Fairlie</t>
  </si>
  <si>
    <t>CB12_Ikawai</t>
  </si>
  <si>
    <t>CB1_Otaio</t>
  </si>
  <si>
    <t>TIM_NST_SUBTRANS</t>
  </si>
  <si>
    <t>M200_Haldon_Lilybank</t>
  </si>
  <si>
    <t>SBT_33kV</t>
  </si>
  <si>
    <t>G194_Speechly</t>
  </si>
  <si>
    <t>CB1_Temuka West</t>
  </si>
  <si>
    <t>CB2_Arundel</t>
  </si>
  <si>
    <t>CB11_Belfield</t>
  </si>
  <si>
    <t>T600_Tie to Milk Powder 2</t>
  </si>
  <si>
    <t>T650_Tie to Milk Powder 1</t>
  </si>
  <si>
    <t>Z1_Urban No. 1</t>
  </si>
  <si>
    <t>CB2732_Raincliff</t>
  </si>
  <si>
    <t>CB13_Waikakahi</t>
  </si>
  <si>
    <t>CB2_Glenavy</t>
  </si>
  <si>
    <t>TIM_GRM_SUBTRANS</t>
  </si>
  <si>
    <t>M201_Simons</t>
  </si>
  <si>
    <t>G191_Geraldine Township</t>
  </si>
  <si>
    <t>CB2_Milford</t>
  </si>
  <si>
    <t>CB3_Mahan Road</t>
  </si>
  <si>
    <t>CB12_Orton</t>
  </si>
  <si>
    <t>T601_Fire Services</t>
  </si>
  <si>
    <t>T651_Milk Powder 3</t>
  </si>
  <si>
    <t>Z2_Urban No. 2</t>
  </si>
  <si>
    <t>CB2742_Cave</t>
  </si>
  <si>
    <t>CB3_Waimate</t>
  </si>
  <si>
    <t>CB2702_Morgans Rd</t>
  </si>
  <si>
    <t>M205_Godley</t>
  </si>
  <si>
    <t>G156_Woodbury</t>
  </si>
  <si>
    <t>CB3_Winchester</t>
  </si>
  <si>
    <t>CB4_Main South Road</t>
  </si>
  <si>
    <t>CB13_Rangitata Island</t>
  </si>
  <si>
    <t>T602_Whey Processing</t>
  </si>
  <si>
    <t>T652_Tie to WPC</t>
  </si>
  <si>
    <t>Z3_Industrial</t>
  </si>
  <si>
    <t>CB522_CNR</t>
  </si>
  <si>
    <t>CB7_Waihaorunga</t>
  </si>
  <si>
    <t>CB2712_Mountain View Rd</t>
  </si>
  <si>
    <t>M206_Tekapo Township</t>
  </si>
  <si>
    <t>CB7_Rangitata</t>
  </si>
  <si>
    <t>T603_Lactose Plant</t>
  </si>
  <si>
    <t>T653_Chilled Water 3</t>
  </si>
  <si>
    <t>Z4_Twizel Rural</t>
  </si>
  <si>
    <t>CB8_Mt Studholme</t>
  </si>
  <si>
    <t>CB2732_ATM_T1</t>
  </si>
  <si>
    <t>CB8_Temuka East</t>
  </si>
  <si>
    <t>T605_Tie to Milford</t>
  </si>
  <si>
    <t>T654_Tie to Boiler House</t>
  </si>
  <si>
    <t>CB9_Morven</t>
  </si>
  <si>
    <t>CB9_Waitohi</t>
  </si>
  <si>
    <t>T609_Milk Reception</t>
  </si>
  <si>
    <t>T658_Milk Powder 2</t>
  </si>
  <si>
    <t>CB2762_AEL Yard</t>
  </si>
  <si>
    <t>T610_Chilled Water 1</t>
  </si>
  <si>
    <t>T659_Tie to Energy Centre 1</t>
  </si>
  <si>
    <t>CB2832_Grants Rd</t>
  </si>
  <si>
    <t>T611_Effluent Plant</t>
  </si>
  <si>
    <t>T660_Refrigeration</t>
  </si>
  <si>
    <t>T612_Milk Treatment</t>
  </si>
  <si>
    <t>T661_Laboratory</t>
  </si>
  <si>
    <t>CB2862_Meadows Rd</t>
  </si>
  <si>
    <t>T613_Rolleston Rd</t>
  </si>
  <si>
    <t>CB2922_ATM_T2</t>
  </si>
  <si>
    <t>T614_Tie to Powder Handling</t>
  </si>
  <si>
    <t>CB2942_Old North Rd</t>
  </si>
  <si>
    <t>CB2952_Highfield</t>
  </si>
  <si>
    <t>CB2972_Smithfield</t>
  </si>
  <si>
    <t>FLE</t>
  </si>
  <si>
    <t>CNR</t>
  </si>
  <si>
    <t>ATM</t>
  </si>
  <si>
    <t>GRM</t>
  </si>
  <si>
    <t>NST</t>
  </si>
  <si>
    <t>UHT</t>
  </si>
  <si>
    <t>HLB</t>
  </si>
  <si>
    <t>ATM_2</t>
  </si>
  <si>
    <t>F374_Cricklewood</t>
  </si>
  <si>
    <t>CB8_Drier 2</t>
  </si>
  <si>
    <t>L413_L418_Pareora</t>
  </si>
  <si>
    <t>L269_PleasantPoint</t>
  </si>
  <si>
    <t>GRM_HNT_SUBTRANS</t>
  </si>
  <si>
    <t>CB3_Redruth 1</t>
  </si>
  <si>
    <t>M158_Village</t>
  </si>
  <si>
    <t>M32_Lilybank</t>
  </si>
  <si>
    <t>F380_Fairlie Rural</t>
  </si>
  <si>
    <t>CB9_WetProcess</t>
  </si>
  <si>
    <t>CB2_White St</t>
  </si>
  <si>
    <t>CB4_Rose St</t>
  </si>
  <si>
    <t>M159_Village</t>
  </si>
  <si>
    <t>M33_Haldon</t>
  </si>
  <si>
    <t>F383_Fairlie Township</t>
  </si>
  <si>
    <t>CB11_Boiler/Chiller 1</t>
  </si>
  <si>
    <t>CB5_Nile St</t>
  </si>
  <si>
    <t>CB5_Craigie Ave</t>
  </si>
  <si>
    <t>CB12_Office</t>
  </si>
  <si>
    <t>CB6_Parkview Terrace</t>
  </si>
  <si>
    <t>CB8_Barnard St</t>
  </si>
  <si>
    <t>CB7_Douglas St</t>
  </si>
  <si>
    <t>CB9_Port 1</t>
  </si>
  <si>
    <t>CB10_Ashbury Park</t>
  </si>
  <si>
    <t>CB10_Fraser St</t>
  </si>
  <si>
    <t>CB12_Selwyn St</t>
  </si>
  <si>
    <t>CB11_Hayes St</t>
  </si>
  <si>
    <t>CB15_Park Lane</t>
  </si>
  <si>
    <t>CB12_High St</t>
  </si>
  <si>
    <t>CB16_Evans St</t>
  </si>
  <si>
    <t>CB13_Port 2</t>
  </si>
  <si>
    <t>CB17_June St</t>
  </si>
  <si>
    <t>CB16_Victoria St</t>
  </si>
  <si>
    <t>CB20_Hobbs St</t>
  </si>
  <si>
    <t>CB17_Stafford St</t>
  </si>
  <si>
    <t>CB18_Redruth 2</t>
  </si>
  <si>
    <t>PAR</t>
  </si>
  <si>
    <t>PLP</t>
  </si>
  <si>
    <t>HNT</t>
  </si>
  <si>
    <t>CB3_SFF No. 1</t>
  </si>
  <si>
    <t>CB1_Waitawa</t>
  </si>
  <si>
    <t>CB1_Harper St</t>
  </si>
  <si>
    <t>CB4_St Andrews</t>
  </si>
  <si>
    <t>CB2_Sutherlands</t>
  </si>
  <si>
    <t>CB2_Wilson St</t>
  </si>
  <si>
    <t>CB5_SFF No. 2</t>
  </si>
  <si>
    <t>CB4_Totara Valley</t>
  </si>
  <si>
    <t>CB4_Baker St</t>
  </si>
  <si>
    <t>CB6_Normanby</t>
  </si>
  <si>
    <t>CB5_Pleasant Point Township</t>
  </si>
  <si>
    <t>CB5_Le Cren St</t>
  </si>
  <si>
    <t>CB7_Holmestation</t>
  </si>
  <si>
    <t>CB7_Church St SS</t>
  </si>
  <si>
    <t>CB10_Gibson St</t>
  </si>
  <si>
    <t>CB11_Rhodes St</t>
  </si>
  <si>
    <t>CB13_Clifton Terrace</t>
  </si>
  <si>
    <t>CB14_Church St NS</t>
  </si>
  <si>
    <t>CB16_Arthur St</t>
  </si>
  <si>
    <t>CB11_Waihao Downs</t>
  </si>
  <si>
    <t>TKA</t>
  </si>
  <si>
    <t>CB1292_Geraldine</t>
  </si>
  <si>
    <t>CB1282_Clandeboye No.4</t>
  </si>
  <si>
    <t>CB1272_Clandeboye No.2</t>
  </si>
  <si>
    <t>CB1262_Temuka No.2</t>
  </si>
  <si>
    <t>CB1222_Clandeboye No.3</t>
  </si>
  <si>
    <t>CB1212_Temuka No.1</t>
  </si>
  <si>
    <t>CB1202_Rangitata</t>
  </si>
  <si>
    <t>CB1192_Clandeboye No.1</t>
  </si>
  <si>
    <t>HNT_NST_SUBTRANS</t>
  </si>
  <si>
    <t>CB3_Incomer</t>
  </si>
  <si>
    <t>TVS</t>
  </si>
  <si>
    <t>Section</t>
  </si>
  <si>
    <t>Order</t>
  </si>
  <si>
    <t>Z21</t>
  </si>
  <si>
    <t>ABS</t>
  </si>
  <si>
    <t>Z68</t>
  </si>
  <si>
    <t>Z67</t>
  </si>
  <si>
    <t>11 kV Bus</t>
  </si>
  <si>
    <t>Z63</t>
  </si>
  <si>
    <t>E120</t>
  </si>
  <si>
    <t>Z62</t>
  </si>
  <si>
    <t>Z61</t>
  </si>
  <si>
    <t>Z6</t>
  </si>
  <si>
    <t>Link</t>
  </si>
  <si>
    <t>Cable</t>
  </si>
  <si>
    <t>Cable Derating Factors</t>
  </si>
  <si>
    <t>Depth</t>
  </si>
  <si>
    <t>In Duct</t>
  </si>
  <si>
    <t>Soil Temp</t>
  </si>
  <si>
    <r>
      <t>(</t>
    </r>
    <r>
      <rPr>
        <b/>
        <sz val="11"/>
        <color theme="0"/>
        <rFont val="Calibri"/>
        <family val="2"/>
      </rPr>
      <t>°C</t>
    </r>
    <r>
      <rPr>
        <b/>
        <sz val="11"/>
        <color theme="0"/>
        <rFont val="Calibri"/>
        <family val="2"/>
        <scheme val="minor"/>
      </rPr>
      <t>)</t>
    </r>
  </si>
  <si>
    <t>(°C.m/W)</t>
  </si>
  <si>
    <t>Mutual Heating</t>
  </si>
  <si>
    <t>Spacing (m)</t>
  </si>
  <si>
    <t>Core</t>
  </si>
  <si>
    <t>(#)</t>
  </si>
  <si>
    <t>Ccts (#)</t>
  </si>
  <si>
    <t>Derated Rating</t>
  </si>
  <si>
    <t>Continuous Rating</t>
  </si>
  <si>
    <t>Factor</t>
  </si>
  <si>
    <t>No</t>
  </si>
  <si>
    <t>Relay E.E. PBO2/CAG</t>
  </si>
  <si>
    <t>Z110</t>
  </si>
  <si>
    <t>Z1</t>
  </si>
  <si>
    <t>Source of</t>
  </si>
  <si>
    <t>Data</t>
  </si>
  <si>
    <t>TP Branch Report TWZ.TF.T18</t>
  </si>
  <si>
    <t>TP Branch Report TWZ.FDR.6312</t>
  </si>
  <si>
    <t>GEMA</t>
  </si>
  <si>
    <t>AEL Protection Database</t>
  </si>
  <si>
    <t>AEL Transformers Database</t>
  </si>
  <si>
    <t>GEMA/General Cables</t>
  </si>
  <si>
    <t>Drawing 9280-02/General Cable</t>
  </si>
  <si>
    <t>Switch</t>
  </si>
  <si>
    <t>Pole 12571</t>
  </si>
  <si>
    <t>Z2</t>
  </si>
  <si>
    <t>1-3c 150mm2 AL PILC</t>
  </si>
  <si>
    <t>MINK</t>
  </si>
  <si>
    <t>Z15</t>
  </si>
  <si>
    <t>Z3</t>
  </si>
  <si>
    <t>E48</t>
  </si>
  <si>
    <t>Z4</t>
  </si>
  <si>
    <t>Z301</t>
  </si>
  <si>
    <t>Z304</t>
  </si>
  <si>
    <t>Fuse</t>
  </si>
  <si>
    <t>Z101</t>
  </si>
  <si>
    <t>Z201</t>
  </si>
  <si>
    <t>Z401</t>
  </si>
  <si>
    <t>Rating Summary</t>
  </si>
  <si>
    <t>Cable
Derating</t>
  </si>
  <si>
    <t>Relay</t>
  </si>
  <si>
    <t>Stations</t>
  </si>
  <si>
    <t>CT</t>
  </si>
  <si>
    <t>Voltage
(kV)</t>
  </si>
  <si>
    <t>Post Contingency</t>
  </si>
  <si>
    <t>Soil Thermal R.</t>
  </si>
  <si>
    <t>110 kv Bus</t>
  </si>
  <si>
    <t>TP Branch Report ABY.TF.T2</t>
  </si>
  <si>
    <t>DS64</t>
  </si>
  <si>
    <t>ABY-DS-64</t>
  </si>
  <si>
    <t>ABY-CT-CT62</t>
  </si>
  <si>
    <t>Relay 7UT613</t>
  </si>
  <si>
    <t>T2</t>
  </si>
  <si>
    <t>ABY-TF-T2</t>
  </si>
  <si>
    <t>CB2712</t>
  </si>
  <si>
    <t>CB2722</t>
  </si>
  <si>
    <t>TP Branch Report ABY.FDR.2722</t>
  </si>
  <si>
    <t>TP Branch Report ABY.FDR.2732</t>
  </si>
  <si>
    <t>CB2732</t>
  </si>
  <si>
    <t>CB2742</t>
  </si>
  <si>
    <t>TP Branch Report ABY.FDR.2742</t>
  </si>
  <si>
    <t>11 kV CBs</t>
  </si>
  <si>
    <t>F234 SW.ST</t>
  </si>
  <si>
    <t>DOG</t>
  </si>
  <si>
    <t>19/14 Cu</t>
  </si>
  <si>
    <t>F267</t>
  </si>
  <si>
    <t>F413</t>
  </si>
  <si>
    <t>F249</t>
  </si>
  <si>
    <t>Pole 53272</t>
  </si>
  <si>
    <t>GEMA/Drawing 12297</t>
  </si>
  <si>
    <t xml:space="preserve">GEMA </t>
  </si>
  <si>
    <t>OPU T-off</t>
  </si>
  <si>
    <t>F268</t>
  </si>
  <si>
    <t>C251</t>
  </si>
  <si>
    <t>IODINE</t>
  </si>
  <si>
    <t>CB4242</t>
  </si>
  <si>
    <t>F388</t>
  </si>
  <si>
    <t>F398</t>
  </si>
  <si>
    <t>F399</t>
  </si>
  <si>
    <t>F400</t>
  </si>
  <si>
    <t>F401</t>
  </si>
  <si>
    <t>CB4246</t>
  </si>
  <si>
    <t>PETREL</t>
  </si>
  <si>
    <t>F305</t>
  </si>
  <si>
    <t>F317</t>
  </si>
  <si>
    <t>OPU Gen</t>
  </si>
  <si>
    <t>F328</t>
  </si>
  <si>
    <t xml:space="preserve">Recloser </t>
  </si>
  <si>
    <t>GEMA/AEL Protection Database</t>
  </si>
  <si>
    <t>Yes</t>
  </si>
  <si>
    <t>JAGUAR</t>
  </si>
  <si>
    <t>OPU</t>
  </si>
  <si>
    <t>F329</t>
  </si>
  <si>
    <t>C407</t>
  </si>
  <si>
    <t>F377</t>
  </si>
  <si>
    <t>F385</t>
  </si>
  <si>
    <t>F307</t>
  </si>
  <si>
    <t>C1</t>
  </si>
  <si>
    <t>FX38</t>
  </si>
  <si>
    <t>F374</t>
  </si>
  <si>
    <t>F380</t>
  </si>
  <si>
    <t>F383</t>
  </si>
  <si>
    <t>Pole 11915</t>
  </si>
  <si>
    <t>F311</t>
  </si>
  <si>
    <t>F322</t>
  </si>
  <si>
    <t>Pole 15164</t>
  </si>
  <si>
    <t>F370</t>
  </si>
  <si>
    <t>F263</t>
  </si>
  <si>
    <t>Pole 15305</t>
  </si>
  <si>
    <t>7/10 Cu</t>
  </si>
  <si>
    <t>ABY_GXP</t>
  </si>
  <si>
    <t>BPD_GXP</t>
  </si>
  <si>
    <t>Limit 1</t>
  </si>
  <si>
    <t>Limit 2</t>
  </si>
  <si>
    <t>Start point</t>
  </si>
  <si>
    <t>End Point</t>
  </si>
  <si>
    <t>Description</t>
  </si>
  <si>
    <t>Rating</t>
  </si>
  <si>
    <t>CB32</t>
  </si>
  <si>
    <t xml:space="preserve">Winter </t>
  </si>
  <si>
    <t>DS1046</t>
  </si>
  <si>
    <t>TP Branch Report TKA.TF.T1</t>
  </si>
  <si>
    <t>TKA-CBL-32</t>
  </si>
  <si>
    <t>T1</t>
  </si>
  <si>
    <t>TKA-TF-T1</t>
  </si>
  <si>
    <t>TKA-DS-1046</t>
  </si>
  <si>
    <t>M315</t>
  </si>
  <si>
    <t>M55</t>
  </si>
  <si>
    <t>Pole 24021</t>
  </si>
  <si>
    <t>M11 T-off</t>
  </si>
  <si>
    <t>M165</t>
  </si>
  <si>
    <t>M12</t>
  </si>
  <si>
    <t>Pole 18992</t>
  </si>
  <si>
    <t>Unknown Line</t>
  </si>
  <si>
    <t>M166</t>
  </si>
  <si>
    <t>M167</t>
  </si>
  <si>
    <t>M168</t>
  </si>
  <si>
    <t>E197</t>
  </si>
  <si>
    <t>M170</t>
  </si>
  <si>
    <t>Recloser</t>
  </si>
  <si>
    <t>M202</t>
  </si>
  <si>
    <t>M34</t>
  </si>
  <si>
    <t>M36</t>
  </si>
  <si>
    <t>M318</t>
  </si>
  <si>
    <t>Secionaliser</t>
  </si>
  <si>
    <t>GEMA/Setting File</t>
  </si>
  <si>
    <t>FLOUNDER</t>
  </si>
  <si>
    <t>M73</t>
  </si>
  <si>
    <t>M61</t>
  </si>
  <si>
    <t>M271</t>
  </si>
  <si>
    <t>M272</t>
  </si>
  <si>
    <t>M270</t>
  </si>
  <si>
    <t>M54</t>
  </si>
  <si>
    <t>7/12 Cu</t>
  </si>
  <si>
    <t>M238</t>
  </si>
  <si>
    <t>M242</t>
  </si>
  <si>
    <t>E152</t>
  </si>
  <si>
    <t>M148</t>
  </si>
  <si>
    <t>M158</t>
  </si>
  <si>
    <t>Relay ASEA-RX1D-2H</t>
  </si>
  <si>
    <t>M160</t>
  </si>
  <si>
    <t>M159</t>
  </si>
  <si>
    <t>M200</t>
  </si>
  <si>
    <t>Pole 14140</t>
  </si>
  <si>
    <t>M201</t>
  </si>
  <si>
    <t>M205</t>
  </si>
  <si>
    <t>M206</t>
  </si>
  <si>
    <t>Pole 14149</t>
  </si>
  <si>
    <t>Pole 14150</t>
  </si>
  <si>
    <t>M213</t>
  </si>
  <si>
    <t>M194</t>
  </si>
  <si>
    <t>Pole 51596</t>
  </si>
  <si>
    <t>M244</t>
  </si>
  <si>
    <t>M193</t>
  </si>
  <si>
    <t>HERRING</t>
  </si>
  <si>
    <t>E117</t>
  </si>
  <si>
    <t>M81</t>
  </si>
  <si>
    <t>M82</t>
  </si>
  <si>
    <t>M83</t>
  </si>
  <si>
    <t>M85</t>
  </si>
  <si>
    <t>M86</t>
  </si>
  <si>
    <t>M87</t>
  </si>
  <si>
    <t>TX E117</t>
  </si>
  <si>
    <t>M32</t>
  </si>
  <si>
    <t>TX E58</t>
  </si>
  <si>
    <t>M33</t>
  </si>
  <si>
    <t>Pole 24654</t>
  </si>
  <si>
    <t>M175</t>
  </si>
  <si>
    <t>Pole 25260</t>
  </si>
  <si>
    <t>M297</t>
  </si>
  <si>
    <t>M305</t>
  </si>
  <si>
    <t>M306</t>
  </si>
  <si>
    <t>E343</t>
  </si>
  <si>
    <t>Regulator</t>
  </si>
  <si>
    <t>GEMA/Equipment Name plate</t>
  </si>
  <si>
    <t>CL-7</t>
  </si>
  <si>
    <t>Controller</t>
  </si>
  <si>
    <t>Pole 51625</t>
  </si>
  <si>
    <t>M184</t>
  </si>
  <si>
    <t>M186</t>
  </si>
  <si>
    <t>M296</t>
  </si>
  <si>
    <t>Pole 14106</t>
  </si>
  <si>
    <t>M180</t>
  </si>
  <si>
    <t>Pole 14122</t>
  </si>
  <si>
    <t>M181</t>
  </si>
  <si>
    <t>Pole 14123</t>
  </si>
  <si>
    <t>DS134</t>
  </si>
  <si>
    <t>TP Branch Report TMK.TF.T1</t>
  </si>
  <si>
    <t>TMK-BS-110-134-T1</t>
  </si>
  <si>
    <t>Bus</t>
  </si>
  <si>
    <t>TP Branch Report TMK.TF.T2</t>
  </si>
  <si>
    <t>TMK-TF-T1</t>
  </si>
  <si>
    <t>TMK-TF-T2</t>
  </si>
  <si>
    <t>TMK-CB-1252-OEL</t>
  </si>
  <si>
    <t>TMK-CBL-T1</t>
  </si>
  <si>
    <t>Relay SR760</t>
  </si>
  <si>
    <t>TP Branch Report TIM.TMK.1</t>
  </si>
  <si>
    <t>WOLF</t>
  </si>
  <si>
    <t>TMK-BS-033-1252-T1</t>
  </si>
  <si>
    <t>TP Branch Report TIM.TMK.2</t>
  </si>
  <si>
    <t>HYENA</t>
  </si>
  <si>
    <t>TMK-BS-110-114-T2</t>
  </si>
  <si>
    <t xml:space="preserve">TapChanger </t>
  </si>
  <si>
    <t>TMK-CB-1232-OEL</t>
  </si>
  <si>
    <t>CD1-D1246-T1</t>
  </si>
  <si>
    <t>CD1-D1246-T2</t>
  </si>
  <si>
    <t>RGA-D1479-T2</t>
  </si>
  <si>
    <t>TMK-D816-T1</t>
  </si>
  <si>
    <t>TMK-D816-T2</t>
  </si>
  <si>
    <t>CD2-D1462-T3</t>
  </si>
  <si>
    <t>CD2-D1462-T4</t>
  </si>
  <si>
    <t>GLD-D823-T2</t>
  </si>
  <si>
    <t>TP Branch Report TMK.FDR.1192</t>
  </si>
  <si>
    <t>TP Branch Report TMK.FDR.1202</t>
  </si>
  <si>
    <t>TP Branch Report TMK.FDR.1212</t>
  </si>
  <si>
    <t>TP Branch Report TMK.FDR.1222</t>
  </si>
  <si>
    <t>TP Branch Report TMK.FDR.1262</t>
  </si>
  <si>
    <t>TP Branch Report TMK.FDR.1272</t>
  </si>
  <si>
    <t>TP Branch Report TMK.FDR.1282</t>
  </si>
  <si>
    <t>TP Branch Report TMK.FDR.1292</t>
  </si>
  <si>
    <t>GEMA/Drawing 10407</t>
  </si>
  <si>
    <t>12 kV Bus</t>
  </si>
  <si>
    <t>D816-T1</t>
  </si>
  <si>
    <t>CB4</t>
  </si>
  <si>
    <t>D816-T2</t>
  </si>
  <si>
    <t>CB6</t>
  </si>
  <si>
    <t>Pole 27077</t>
  </si>
  <si>
    <t>CB1</t>
  </si>
  <si>
    <t>T200</t>
  </si>
  <si>
    <t>T201</t>
  </si>
  <si>
    <t>CHAFER</t>
  </si>
  <si>
    <t>T208</t>
  </si>
  <si>
    <t>CB2</t>
  </si>
  <si>
    <t>T500</t>
  </si>
  <si>
    <t>T120</t>
  </si>
  <si>
    <t>Pole 04185</t>
  </si>
  <si>
    <t>CB3</t>
  </si>
  <si>
    <t>CB7</t>
  </si>
  <si>
    <t>T400</t>
  </si>
  <si>
    <t>G100</t>
  </si>
  <si>
    <t>Pole 47048</t>
  </si>
  <si>
    <t>Pole 47049</t>
  </si>
  <si>
    <t>T546</t>
  </si>
  <si>
    <t>T547</t>
  </si>
  <si>
    <t>T549</t>
  </si>
  <si>
    <t>T548</t>
  </si>
  <si>
    <t>T101</t>
  </si>
  <si>
    <t>CB8</t>
  </si>
  <si>
    <t>T102</t>
  </si>
  <si>
    <t>37/14 Cu</t>
  </si>
  <si>
    <t>Pole 36752</t>
  </si>
  <si>
    <t>CB9</t>
  </si>
  <si>
    <t>T300</t>
  </si>
  <si>
    <t>GEMA/Drawing 10449</t>
  </si>
  <si>
    <t>19/16 Cu</t>
  </si>
  <si>
    <t>Pole 36779</t>
  </si>
  <si>
    <t>Pole 36784</t>
  </si>
  <si>
    <t>T559</t>
  </si>
  <si>
    <t>G217</t>
  </si>
  <si>
    <t>G222</t>
  </si>
  <si>
    <t>GX27</t>
  </si>
  <si>
    <t>G220</t>
  </si>
  <si>
    <t>G259</t>
  </si>
  <si>
    <t>D823-T2</t>
  </si>
  <si>
    <t>G260</t>
  </si>
  <si>
    <t>Relay Nulec U-Series</t>
  </si>
  <si>
    <t>G193</t>
  </si>
  <si>
    <t>G194</t>
  </si>
  <si>
    <t>G195</t>
  </si>
  <si>
    <t>G273</t>
  </si>
  <si>
    <t>Pole 03224</t>
  </si>
  <si>
    <t>G190</t>
  </si>
  <si>
    <t>G191</t>
  </si>
  <si>
    <t>G192</t>
  </si>
  <si>
    <t>7/0.136 Cu</t>
  </si>
  <si>
    <t>G278</t>
  </si>
  <si>
    <t>Pole 26842</t>
  </si>
  <si>
    <t>G277</t>
  </si>
  <si>
    <t>G157</t>
  </si>
  <si>
    <t>G156</t>
  </si>
  <si>
    <t>G158</t>
  </si>
  <si>
    <t>Pole 02001</t>
  </si>
  <si>
    <t>Pole 02049</t>
  </si>
  <si>
    <t>Pole 02052</t>
  </si>
  <si>
    <t>3-1c 400 mm² Al XLPE</t>
  </si>
  <si>
    <t>3-1c 300 mm² AL XLPE</t>
  </si>
  <si>
    <t>3-1c 185 mm² AL XLPE</t>
  </si>
  <si>
    <t>6-1c 185 mm² XLPE</t>
  </si>
  <si>
    <t>3-1c 185 mm² Al XLPE</t>
  </si>
  <si>
    <t>6-1c 500 mm² Cu XLPE</t>
  </si>
  <si>
    <t>6-1c 300 mm² XLPE</t>
  </si>
  <si>
    <t>3-1c 400 mm² AL XLPE</t>
  </si>
  <si>
    <t>1-3c 95 mm² AL PILC</t>
  </si>
  <si>
    <t>1-3c 150 mm² Al PILC</t>
  </si>
  <si>
    <t>1-3c 300 mm² Al XLPE</t>
  </si>
  <si>
    <t>1-3c 95 mm² Al PILC</t>
  </si>
  <si>
    <t>1-3c 95 mm² Al XLPE</t>
  </si>
  <si>
    <t>1-3c 300 mm² Al PILC</t>
  </si>
  <si>
    <t>1-3c 240 mm² Al PILC</t>
  </si>
  <si>
    <t>1-3c 185 mm² AL XLPE</t>
  </si>
  <si>
    <t>1-3c 300 mm² AL XLPE</t>
  </si>
  <si>
    <t>1-3c 185 mm² Cu XLPE</t>
  </si>
  <si>
    <t>1-3c 150 mm² Cu XLPE</t>
  </si>
  <si>
    <t>1-3c 35 mm² AL PILC</t>
  </si>
  <si>
    <t>1-3c 0.0225 in² Cu PILC</t>
  </si>
  <si>
    <t>1-3c 0.04 in² Cu PILC</t>
  </si>
  <si>
    <t>GEMA/Drawing 10408</t>
  </si>
  <si>
    <t>CB1416</t>
  </si>
  <si>
    <t>Pole 02053</t>
  </si>
  <si>
    <t>ABS1516</t>
  </si>
  <si>
    <t>GEMA/General Cable</t>
  </si>
  <si>
    <t>ABS1524</t>
  </si>
  <si>
    <t>CB35</t>
  </si>
  <si>
    <t>CB36</t>
  </si>
  <si>
    <t>D1479-T1</t>
  </si>
  <si>
    <t>GEMA/General Cables/12608</t>
  </si>
  <si>
    <t>Pole 05969</t>
  </si>
  <si>
    <t>CB5</t>
  </si>
  <si>
    <t>1-3c 185 mm² XLPE</t>
  </si>
  <si>
    <t>T595</t>
  </si>
  <si>
    <t>1-3c 95 mm² XLPE</t>
  </si>
  <si>
    <t>TX43</t>
  </si>
  <si>
    <t>Pole 48705</t>
  </si>
  <si>
    <t>T703</t>
  </si>
  <si>
    <t>Pole 00335</t>
  </si>
  <si>
    <t>T557</t>
  </si>
  <si>
    <t>G127</t>
  </si>
  <si>
    <t>ABS1556</t>
  </si>
  <si>
    <t>110 kV Bus</t>
  </si>
  <si>
    <t>ABS1564</t>
  </si>
  <si>
    <t>D1479-T2</t>
  </si>
  <si>
    <t>6-1c 400 mm² Al XLPE</t>
  </si>
  <si>
    <t>CB11</t>
  </si>
  <si>
    <t>3-1c 630 mm² Cu XLPE</t>
  </si>
  <si>
    <t>T587</t>
  </si>
  <si>
    <t>CB12</t>
  </si>
  <si>
    <t>CB13</t>
  </si>
  <si>
    <t>GEMA/Drawing 11217</t>
  </si>
  <si>
    <t>Pole 808827</t>
  </si>
  <si>
    <t>T590</t>
  </si>
  <si>
    <t>Pole 46673</t>
  </si>
  <si>
    <t>T435</t>
  </si>
  <si>
    <t>T596</t>
  </si>
  <si>
    <t>Pole 02081</t>
  </si>
  <si>
    <t>Recloser T615</t>
  </si>
  <si>
    <t>T615</t>
  </si>
  <si>
    <t>D1246-T1</t>
  </si>
  <si>
    <t>T606</t>
  </si>
  <si>
    <t>6-1c 500 mm² Al XLPE</t>
  </si>
  <si>
    <t>3-1c 300 mm² Al XLPE</t>
  </si>
  <si>
    <t>6-1c 300 mm² Al XLPE</t>
  </si>
  <si>
    <t>AEL-Fonterra Agreement/Tesla study</t>
  </si>
  <si>
    <t>T616</t>
  </si>
  <si>
    <t>REC T615</t>
  </si>
  <si>
    <t>REC T616</t>
  </si>
  <si>
    <t>D1246-T2</t>
  </si>
  <si>
    <t>T608</t>
  </si>
  <si>
    <t>Pole 02002</t>
  </si>
  <si>
    <t>CBT662</t>
  </si>
  <si>
    <t>CBT663</t>
  </si>
  <si>
    <t>T662</t>
  </si>
  <si>
    <t>D1462-T3</t>
  </si>
  <si>
    <t>T657</t>
  </si>
  <si>
    <t>T663</t>
  </si>
  <si>
    <t>D1462-T4</t>
  </si>
  <si>
    <t>T655</t>
  </si>
  <si>
    <t>REC T662</t>
  </si>
  <si>
    <t>REC T663</t>
  </si>
  <si>
    <t>T600</t>
  </si>
  <si>
    <t>T601</t>
  </si>
  <si>
    <t>T602</t>
  </si>
  <si>
    <t>T603</t>
  </si>
  <si>
    <t>T605</t>
  </si>
  <si>
    <t>T609</t>
  </si>
  <si>
    <t>T610</t>
  </si>
  <si>
    <t>T611</t>
  </si>
  <si>
    <t>T612</t>
  </si>
  <si>
    <t>T613</t>
  </si>
  <si>
    <t>T614</t>
  </si>
  <si>
    <t>T650</t>
  </si>
  <si>
    <t>T651</t>
  </si>
  <si>
    <t>T652</t>
  </si>
  <si>
    <t>T653</t>
  </si>
  <si>
    <t>T654</t>
  </si>
  <si>
    <t>T658</t>
  </si>
  <si>
    <t>T659</t>
  </si>
  <si>
    <t>T660</t>
  </si>
  <si>
    <t>T661</t>
  </si>
  <si>
    <t>Relay Micom-P122</t>
  </si>
  <si>
    <t>Relay Micom-P141</t>
  </si>
  <si>
    <t>1-3c 185 mm² Al PILC</t>
  </si>
  <si>
    <t>T465</t>
  </si>
  <si>
    <t>T256</t>
  </si>
  <si>
    <t>T172</t>
  </si>
  <si>
    <t>T569</t>
  </si>
  <si>
    <t>RMU Switch</t>
  </si>
  <si>
    <t>T153</t>
  </si>
  <si>
    <t>T249</t>
  </si>
  <si>
    <t>T246</t>
  </si>
  <si>
    <t>T139</t>
  </si>
  <si>
    <t>T580</t>
  </si>
  <si>
    <t>T166</t>
  </si>
  <si>
    <t>T131</t>
  </si>
  <si>
    <t>T129</t>
  </si>
  <si>
    <t>Pole 51393</t>
  </si>
  <si>
    <t>T278</t>
  </si>
  <si>
    <t>T364</t>
  </si>
  <si>
    <t>T379</t>
  </si>
  <si>
    <t>T373</t>
  </si>
  <si>
    <t>T670</t>
  </si>
  <si>
    <t>T482</t>
  </si>
  <si>
    <t>T383</t>
  </si>
  <si>
    <t>T338</t>
  </si>
  <si>
    <t>T182</t>
  </si>
  <si>
    <t>T708</t>
  </si>
  <si>
    <t>T737</t>
  </si>
  <si>
    <t>3-1c 400 mm² Cu XLPE</t>
  </si>
  <si>
    <t>Source of Data</t>
  </si>
  <si>
    <t>Device ID</t>
  </si>
  <si>
    <t>Device Type</t>
  </si>
  <si>
    <t>Soil Thermal Resistivity</t>
  </si>
  <si>
    <t>TP Branch Report BDT.BPD.2</t>
  </si>
  <si>
    <t>DS446</t>
  </si>
  <si>
    <t>TP Branch Report BPD.DS.446</t>
  </si>
  <si>
    <t>BPD-DS-446</t>
  </si>
  <si>
    <t>DS486</t>
  </si>
  <si>
    <t>TP Branch Report BPD.DS.486</t>
  </si>
  <si>
    <t>BPD-DS-486</t>
  </si>
  <si>
    <t>BPD T-off</t>
  </si>
  <si>
    <t>BPD-CT-442-OEL</t>
  </si>
  <si>
    <t>CB442</t>
  </si>
  <si>
    <t>CB482</t>
  </si>
  <si>
    <t>AEL Transformer database</t>
  </si>
  <si>
    <t>T2/A1067</t>
  </si>
  <si>
    <t>T1/A1067</t>
  </si>
  <si>
    <t>BPD11 CB</t>
  </si>
  <si>
    <t>Cable Joint</t>
  </si>
  <si>
    <t>GEMA\AEL Drawing 12023</t>
  </si>
  <si>
    <t>3/1c</t>
  </si>
  <si>
    <t>W630 ABS</t>
  </si>
  <si>
    <t>3c 300mm² AL XLPE CWS MDPE</t>
  </si>
  <si>
    <t>3c</t>
  </si>
  <si>
    <t>BPD12 CB</t>
  </si>
  <si>
    <t>3c 300mm² AL XLPE MDPE</t>
  </si>
  <si>
    <t>W451 ABS</t>
  </si>
  <si>
    <t>BPD13 CB</t>
  </si>
  <si>
    <t>W452 ABS</t>
  </si>
  <si>
    <t>BPD1 CB</t>
  </si>
  <si>
    <t>W636 ABS</t>
  </si>
  <si>
    <t>BPD2 CB</t>
  </si>
  <si>
    <t>W453 ABS</t>
  </si>
  <si>
    <t>33 kV Terminal</t>
  </si>
  <si>
    <t>524 ABS</t>
  </si>
  <si>
    <t>GEMA\AEL 3266-02 Drawing</t>
  </si>
  <si>
    <t>Air Break Switch</t>
  </si>
  <si>
    <t>DS524</t>
  </si>
  <si>
    <t>CB522</t>
  </si>
  <si>
    <t>526 ABS</t>
  </si>
  <si>
    <t>CB3602_CNR</t>
  </si>
  <si>
    <t>3604 ABS</t>
  </si>
  <si>
    <t>DS3604</t>
  </si>
  <si>
    <t>CB3602</t>
  </si>
  <si>
    <t>3606 ABS</t>
  </si>
  <si>
    <t>CB522/CB3602</t>
  </si>
  <si>
    <t>Pole 50593</t>
  </si>
  <si>
    <t>Pole 50738</t>
  </si>
  <si>
    <t>CNR647</t>
  </si>
  <si>
    <t>CNR642</t>
  </si>
  <si>
    <t>GEMA\AEL Transformer database</t>
  </si>
  <si>
    <t>T1/A1413</t>
  </si>
  <si>
    <t>CNR-CB35</t>
  </si>
  <si>
    <t>Bus Coupler</t>
  </si>
  <si>
    <t>STU (limited)</t>
  </si>
  <si>
    <t>CNR-CB36</t>
  </si>
  <si>
    <t>CNR-CB8</t>
  </si>
  <si>
    <t>Joint</t>
  </si>
  <si>
    <t>GEMA\AEL Drawing No.3266-03</t>
  </si>
  <si>
    <t>Y815</t>
  </si>
  <si>
    <t>CNR-CB9</t>
  </si>
  <si>
    <t>Y900</t>
  </si>
  <si>
    <t>CNR-CB11</t>
  </si>
  <si>
    <t>Y1100</t>
  </si>
  <si>
    <t>CNR-CB12</t>
  </si>
  <si>
    <t>Y1200</t>
  </si>
  <si>
    <t>860RP2045 Drawing\AEL Protection database</t>
  </si>
  <si>
    <t>TP Branch Report STU.TF.T5</t>
  </si>
  <si>
    <t>T5</t>
  </si>
  <si>
    <t>STU-TF-T5B</t>
  </si>
  <si>
    <t>STU-CBL-2812</t>
  </si>
  <si>
    <t>TP Branch Report STU.TF.T6</t>
  </si>
  <si>
    <t>T6</t>
  </si>
  <si>
    <t>STU-CBL-2772</t>
  </si>
  <si>
    <t>Pole 31678</t>
  </si>
  <si>
    <t>3c-300mm² AL XLPE HDPE</t>
  </si>
  <si>
    <t>W300 ABS</t>
  </si>
  <si>
    <t>A224 TX</t>
  </si>
  <si>
    <t>W300</t>
  </si>
  <si>
    <t>STU-2</t>
  </si>
  <si>
    <t>W405 ABS</t>
  </si>
  <si>
    <t>TOA1089</t>
  </si>
  <si>
    <t>W405</t>
  </si>
  <si>
    <t>STD-3</t>
  </si>
  <si>
    <t xml:space="preserve">STU-3 </t>
  </si>
  <si>
    <t>W400 ABS</t>
  </si>
  <si>
    <t>A404 TX</t>
  </si>
  <si>
    <t>W400</t>
  </si>
  <si>
    <t>STD-7</t>
  </si>
  <si>
    <t>W408</t>
  </si>
  <si>
    <t>STD-8</t>
  </si>
  <si>
    <t>Pole 31677</t>
  </si>
  <si>
    <t>W200 ABS</t>
  </si>
  <si>
    <t>A1103 TX</t>
  </si>
  <si>
    <t>W200</t>
  </si>
  <si>
    <t>STD-9</t>
  </si>
  <si>
    <t>Pole 31989</t>
  </si>
  <si>
    <t>Relay SEL 351S-6</t>
  </si>
  <si>
    <t>Relay SEL 751A</t>
  </si>
  <si>
    <t>Relay SEL 311C</t>
  </si>
  <si>
    <t>Relay SEL 387-6</t>
  </si>
  <si>
    <t>Relay SEL351S</t>
  </si>
  <si>
    <t>TP Branch Report TIM.TF.T3</t>
  </si>
  <si>
    <t>TIM.TF.T3</t>
  </si>
  <si>
    <t>TIM-CBL-T3-CB2752</t>
  </si>
  <si>
    <t>TP Branch Report TIM.TF.T4</t>
  </si>
  <si>
    <t>TIM.TF.T4</t>
  </si>
  <si>
    <t>TP Branch Report TIM.TF.T6</t>
  </si>
  <si>
    <t>TIM.TF.T6</t>
  </si>
  <si>
    <t>CB2662</t>
  </si>
  <si>
    <t>TP Branch Report TIM.FDR.2662</t>
  </si>
  <si>
    <t>CB2672</t>
  </si>
  <si>
    <t>TP Branch Report TIM.FDR.2672</t>
  </si>
  <si>
    <t>CB2682</t>
  </si>
  <si>
    <t>TP Branch Report TIM.FDR.2682</t>
  </si>
  <si>
    <t>CB2692</t>
  </si>
  <si>
    <t>TP Branch Report TIM.FDR.2692</t>
  </si>
  <si>
    <t>NST35</t>
  </si>
  <si>
    <t>GEMA\General Cable\TIM Scada alarms report Rev4</t>
  </si>
  <si>
    <r>
      <t>3/1c 1200mm</t>
    </r>
    <r>
      <rPr>
        <sz val="11"/>
        <color theme="1"/>
        <rFont val="Calibri"/>
        <family val="2"/>
      </rPr>
      <t>² Al XLPE CWS MDPE</t>
    </r>
  </si>
  <si>
    <t>CB2702</t>
  </si>
  <si>
    <t>TP Branch Report TIM.FDR.2702</t>
  </si>
  <si>
    <t xml:space="preserve">L650 Link </t>
  </si>
  <si>
    <r>
      <t>3/1c 400mm</t>
    </r>
    <r>
      <rPr>
        <sz val="11"/>
        <color theme="1"/>
        <rFont val="Calibri"/>
        <family val="2"/>
      </rPr>
      <t>² AL XLPE HDPE Screened</t>
    </r>
  </si>
  <si>
    <t>L651 ABS</t>
  </si>
  <si>
    <t>TP Branch Report TIM.FDR.2712</t>
  </si>
  <si>
    <t>3/1c 400mm² AL XLPE HDPE Screened</t>
  </si>
  <si>
    <t>ABS L978</t>
  </si>
  <si>
    <r>
      <t>3c 300mm</t>
    </r>
    <r>
      <rPr>
        <sz val="11"/>
        <color theme="1"/>
        <rFont val="Calibri"/>
        <family val="2"/>
      </rPr>
      <t>² Al XLPE MDPE</t>
    </r>
  </si>
  <si>
    <t>TP Branch Report TIM.FDR.2732</t>
  </si>
  <si>
    <t>B774/T1</t>
  </si>
  <si>
    <t>AEL DWG 11422</t>
  </si>
  <si>
    <t xml:space="preserve">2 x 3/1c 630mm² Cu </t>
  </si>
  <si>
    <t>2 x 3/1c</t>
  </si>
  <si>
    <t>TP Branch Report TIM.FDR.2742</t>
  </si>
  <si>
    <t>ABS L767</t>
  </si>
  <si>
    <t>3c 300mm² Al XLPE MDPE</t>
  </si>
  <si>
    <t>CB2762</t>
  </si>
  <si>
    <t>TP Branch Report TIM.FDR.2762</t>
  </si>
  <si>
    <t>ABS L516</t>
  </si>
  <si>
    <t>3c 240mm²  AL PILC STA</t>
  </si>
  <si>
    <t>CB2772</t>
  </si>
  <si>
    <t>TP Branch Report TIM.FDR.2772</t>
  </si>
  <si>
    <t>TEGRASMERE19</t>
  </si>
  <si>
    <t>3c 400mm² Cu PILC SWA</t>
  </si>
  <si>
    <t>CB2812</t>
  </si>
  <si>
    <t>TP Branch Report TIM.FDR.2812</t>
  </si>
  <si>
    <t>TEGRASMERE14</t>
  </si>
  <si>
    <t>CB2822</t>
  </si>
  <si>
    <t>TP Branch Report TIM.FDR.2822</t>
  </si>
  <si>
    <t>TEGRASMERE8</t>
  </si>
  <si>
    <t>CB2832</t>
  </si>
  <si>
    <t>TP Branch Report TIM.FDR.2832</t>
  </si>
  <si>
    <t>L773</t>
  </si>
  <si>
    <t>CB2852</t>
  </si>
  <si>
    <t>TP Branch Report TIM.FDR.2852</t>
  </si>
  <si>
    <t>L800</t>
  </si>
  <si>
    <t xml:space="preserve">L800 </t>
  </si>
  <si>
    <t>L801</t>
  </si>
  <si>
    <t>Pole 25185</t>
  </si>
  <si>
    <t>Pole 35228</t>
  </si>
  <si>
    <r>
      <t>3c 185mm</t>
    </r>
    <r>
      <rPr>
        <sz val="11"/>
        <color theme="1"/>
        <rFont val="Calibri"/>
        <family val="2"/>
      </rPr>
      <t>² Al XLPE HDPE</t>
    </r>
  </si>
  <si>
    <t>CB2862</t>
  </si>
  <si>
    <t>TP Branch Report TIM.FDR.2862</t>
  </si>
  <si>
    <t>RMU L420</t>
  </si>
  <si>
    <r>
      <t>3c 300mm</t>
    </r>
    <r>
      <rPr>
        <sz val="11"/>
        <color theme="1"/>
        <rFont val="Calibri"/>
        <family val="2"/>
      </rPr>
      <t>² Al XLPE HDPE</t>
    </r>
  </si>
  <si>
    <t>CB2912</t>
  </si>
  <si>
    <t>TP Branch Report TIM.FDR.2912</t>
  </si>
  <si>
    <t>TEGRASMERE3</t>
  </si>
  <si>
    <t>CB2922</t>
  </si>
  <si>
    <t>TP Branch Report TIM.FDR.2922</t>
  </si>
  <si>
    <t>B774/T2</t>
  </si>
  <si>
    <t>CB2942</t>
  </si>
  <si>
    <t>TP Branch Report TIM.FDR.2942</t>
  </si>
  <si>
    <t>L462</t>
  </si>
  <si>
    <t>3c 0.4in² Al PILC SWA</t>
  </si>
  <si>
    <t>CB2952</t>
  </si>
  <si>
    <t>TP Branch Report TIM.FDR.2952</t>
  </si>
  <si>
    <t>RMU L549</t>
  </si>
  <si>
    <r>
      <t>3c 240mm</t>
    </r>
    <r>
      <rPr>
        <sz val="11"/>
        <color theme="1"/>
        <rFont val="Calibri"/>
        <family val="2"/>
      </rPr>
      <t>² Al PILC STA</t>
    </r>
  </si>
  <si>
    <t>CB2972</t>
  </si>
  <si>
    <t>TP Branch Report TIM.FDR.2972</t>
  </si>
  <si>
    <t>L461</t>
  </si>
  <si>
    <t>CB2982</t>
  </si>
  <si>
    <t>TP Branch Report TIM.FDR.2982</t>
  </si>
  <si>
    <t>NST36</t>
  </si>
  <si>
    <t>3/1c 1200mm² Al XLPE CWS MDPE</t>
  </si>
  <si>
    <t>CB2992</t>
  </si>
  <si>
    <t>TP Branch Report TIM.FDR.2992</t>
  </si>
  <si>
    <t>CB3002</t>
  </si>
  <si>
    <t>TP Branch Report TIM.FDR.3002</t>
  </si>
  <si>
    <t>CB3012</t>
  </si>
  <si>
    <t>TP Branch Report TIM.FDR.3012</t>
  </si>
  <si>
    <t>TEGRASMERE2</t>
  </si>
  <si>
    <t>GEMA\AEL Protection Database\860RP1877</t>
  </si>
  <si>
    <t>GEMA\General Cable</t>
  </si>
  <si>
    <r>
      <t>3c 300mm</t>
    </r>
    <r>
      <rPr>
        <sz val="11"/>
        <color theme="1"/>
        <rFont val="Calibri"/>
        <family val="2"/>
      </rPr>
      <t>² AL XLPE</t>
    </r>
  </si>
  <si>
    <r>
      <t>3c 0.25in</t>
    </r>
    <r>
      <rPr>
        <sz val="11"/>
        <color theme="1"/>
        <rFont val="Calibri"/>
        <family val="2"/>
      </rPr>
      <t>² Cu PILC STAS</t>
    </r>
  </si>
  <si>
    <t>TE64</t>
  </si>
  <si>
    <r>
      <t>3c 185mm</t>
    </r>
    <r>
      <rPr>
        <sz val="11"/>
        <color theme="1"/>
        <rFont val="Calibri"/>
        <family val="2"/>
      </rPr>
      <t>² Al PILC HDPE</t>
    </r>
  </si>
  <si>
    <t xml:space="preserve">TEGRASMERE 4 </t>
  </si>
  <si>
    <t>TEHUNT3</t>
  </si>
  <si>
    <r>
      <t>3c 0.3in</t>
    </r>
    <r>
      <rPr>
        <sz val="11"/>
        <color theme="1"/>
        <rFont val="Calibri"/>
        <family val="2"/>
      </rPr>
      <t xml:space="preserve">² Cu PILC SWA </t>
    </r>
  </si>
  <si>
    <t>TEGRASMERE5</t>
  </si>
  <si>
    <t>TEE1 RMU</t>
  </si>
  <si>
    <r>
      <t>3c 300mm</t>
    </r>
    <r>
      <rPr>
        <sz val="11"/>
        <color theme="1"/>
        <rFont val="Calibri"/>
        <family val="2"/>
      </rPr>
      <t>² Al PILC SWAS</t>
    </r>
  </si>
  <si>
    <t>TEGRASMERE6</t>
  </si>
  <si>
    <t>TER1RMU</t>
  </si>
  <si>
    <t>3c 185mm² Al PILC SWAS</t>
  </si>
  <si>
    <t>TEGRASMERE7</t>
  </si>
  <si>
    <r>
      <t>3c 0.4in</t>
    </r>
    <r>
      <rPr>
        <sz val="11"/>
        <color theme="1"/>
        <rFont val="Calibri"/>
        <family val="2"/>
      </rPr>
      <t xml:space="preserve">² Cu PILC STAS </t>
    </r>
  </si>
  <si>
    <t>TEF13 RMU</t>
  </si>
  <si>
    <t xml:space="preserve">TEGRASMERE9 </t>
  </si>
  <si>
    <r>
      <t>3c 400mm</t>
    </r>
    <r>
      <rPr>
        <sz val="11"/>
        <color theme="1"/>
        <rFont val="Calibri"/>
        <family val="2"/>
      </rPr>
      <t>² AL</t>
    </r>
  </si>
  <si>
    <t>3c 0.3in² Cu PILC STAS</t>
  </si>
  <si>
    <t>NST06</t>
  </si>
  <si>
    <t xml:space="preserve">TEGRASMERE10 </t>
  </si>
  <si>
    <r>
      <t>3c 0.4in</t>
    </r>
    <r>
      <rPr>
        <sz val="11"/>
        <color theme="1"/>
        <rFont val="Calibri"/>
        <family val="2"/>
      </rPr>
      <t>² Al PILC STAS</t>
    </r>
  </si>
  <si>
    <r>
      <t>3c 0.25in</t>
    </r>
    <r>
      <rPr>
        <sz val="11"/>
        <color theme="1"/>
        <rFont val="Calibri"/>
        <family val="2"/>
      </rPr>
      <t xml:space="preserve">² </t>
    </r>
    <r>
      <rPr>
        <sz val="11"/>
        <color theme="1"/>
        <rFont val="Calibri"/>
        <family val="2"/>
        <scheme val="minor"/>
      </rPr>
      <t>Al PILC STAS</t>
    </r>
  </si>
  <si>
    <t>TEM1 RMU</t>
  </si>
  <si>
    <r>
      <t>3c 185mm</t>
    </r>
    <r>
      <rPr>
        <sz val="11"/>
        <color theme="1"/>
        <rFont val="Calibri"/>
        <family val="2"/>
      </rPr>
      <t>² Al PILC SWAS</t>
    </r>
  </si>
  <si>
    <t>TEGRASMERE31</t>
  </si>
  <si>
    <t>TEGRASMERE32</t>
  </si>
  <si>
    <t>TEGRASMERE12</t>
  </si>
  <si>
    <t xml:space="preserve">TEL6 RMU </t>
  </si>
  <si>
    <r>
      <t>3c 300mm</t>
    </r>
    <r>
      <rPr>
        <sz val="11"/>
        <color theme="1"/>
        <rFont val="Calibri"/>
        <family val="2"/>
      </rPr>
      <t>² Al XLPE PVC</t>
    </r>
  </si>
  <si>
    <t>TEGRASMERE13</t>
  </si>
  <si>
    <t>TEGRASMERE 13</t>
  </si>
  <si>
    <t>3c 400mm² AL</t>
  </si>
  <si>
    <t>TEHUNT12</t>
  </si>
  <si>
    <r>
      <t>3c 0.3in</t>
    </r>
    <r>
      <rPr>
        <sz val="11"/>
        <color theme="1"/>
        <rFont val="Calibri"/>
        <family val="2"/>
      </rPr>
      <t>² Cu PILC STAS</t>
    </r>
  </si>
  <si>
    <t xml:space="preserve">TEGRASMERE15 </t>
  </si>
  <si>
    <t>TEE28 RMU</t>
  </si>
  <si>
    <r>
      <t>3c 300mm</t>
    </r>
    <r>
      <rPr>
        <sz val="11"/>
        <color theme="1"/>
        <rFont val="Calibri"/>
        <family val="2"/>
      </rPr>
      <t>² Al PILC SWA</t>
    </r>
  </si>
  <si>
    <t>TEGRASMERE16</t>
  </si>
  <si>
    <t>3c 0.4in² Al PILC DSTA</t>
  </si>
  <si>
    <r>
      <t>3c 0.15in</t>
    </r>
    <r>
      <rPr>
        <sz val="11"/>
        <color theme="1"/>
        <rFont val="Calibri"/>
        <family val="2"/>
      </rPr>
      <t>² Cu PILC STAS</t>
    </r>
  </si>
  <si>
    <t>3c 0.15in² Cu PILC STAS</t>
  </si>
  <si>
    <t>TER58 RMU</t>
  </si>
  <si>
    <r>
      <t>3c 300mm</t>
    </r>
    <r>
      <rPr>
        <sz val="11"/>
        <color theme="1"/>
        <rFont val="Calibri"/>
        <family val="2"/>
      </rPr>
      <t>² Al MDPE CWS</t>
    </r>
  </si>
  <si>
    <t>TEGRASMERE17</t>
  </si>
  <si>
    <t xml:space="preserve">TEGRASMERE17 </t>
  </si>
  <si>
    <t>3c 300mm² Al PILC SWA</t>
  </si>
  <si>
    <t>TEF10 RMU</t>
  </si>
  <si>
    <t>TEGRASMERE18</t>
  </si>
  <si>
    <r>
      <t>3/1c 400mm</t>
    </r>
    <r>
      <rPr>
        <sz val="11"/>
        <color theme="1"/>
        <rFont val="Calibri"/>
        <family val="2"/>
      </rPr>
      <t>² Al XLPE</t>
    </r>
  </si>
  <si>
    <r>
      <t>3c 0.3in</t>
    </r>
    <r>
      <rPr>
        <sz val="11"/>
        <color theme="1"/>
        <rFont val="Calibri"/>
        <family val="2"/>
      </rPr>
      <t>² Cu PILC SWAS</t>
    </r>
  </si>
  <si>
    <t>NST15</t>
  </si>
  <si>
    <t xml:space="preserve">TEGRASMERE20 </t>
  </si>
  <si>
    <t>TEM7 RMU</t>
  </si>
  <si>
    <r>
      <t>3c 0.4in</t>
    </r>
    <r>
      <rPr>
        <sz val="11"/>
        <color theme="1"/>
        <rFont val="Calibri"/>
        <family val="2"/>
      </rPr>
      <t>² Al PILC DSTA</t>
    </r>
  </si>
  <si>
    <t>TEHUNT1</t>
  </si>
  <si>
    <t>GEMA\AEL Protection Database</t>
  </si>
  <si>
    <t>TEJ17</t>
  </si>
  <si>
    <t>TEHUNT2</t>
  </si>
  <si>
    <t>TED18</t>
  </si>
  <si>
    <t>POLE 45041</t>
  </si>
  <si>
    <t>TEHUNT4</t>
  </si>
  <si>
    <t>TED5</t>
  </si>
  <si>
    <t>3c 0.25in² Al PILC DSTA</t>
  </si>
  <si>
    <t>TEHUNT5</t>
  </si>
  <si>
    <t>TEK9 RMU</t>
  </si>
  <si>
    <t>3c 0.25in² Al PILC SWA</t>
  </si>
  <si>
    <t>TEHUNT6</t>
  </si>
  <si>
    <t xml:space="preserve">TEHUNT6 </t>
  </si>
  <si>
    <t>NST07</t>
  </si>
  <si>
    <r>
      <t>3/1c 400mm</t>
    </r>
    <r>
      <rPr>
        <sz val="11"/>
        <color theme="1"/>
        <rFont val="Calibri"/>
        <family val="2"/>
      </rPr>
      <t>² Al XLPE HPDE Screened</t>
    </r>
  </si>
  <si>
    <t>TEHUNT7</t>
  </si>
  <si>
    <t>TEJ4</t>
  </si>
  <si>
    <t>3c 0.15in² Al PILC STAS</t>
  </si>
  <si>
    <t>SPARE</t>
  </si>
  <si>
    <t>TEHUNT8</t>
  </si>
  <si>
    <t>TEHUNT9</t>
  </si>
  <si>
    <t>TEHUNT10</t>
  </si>
  <si>
    <t xml:space="preserve">TEHUNT10 </t>
  </si>
  <si>
    <t xml:space="preserve">TEJ8 RMU </t>
  </si>
  <si>
    <t>TEHUNT11</t>
  </si>
  <si>
    <t xml:space="preserve">TEHUNT11 </t>
  </si>
  <si>
    <t xml:space="preserve">TEJ7 Link </t>
  </si>
  <si>
    <t>70mm² Cu</t>
  </si>
  <si>
    <t>TEHUNT13</t>
  </si>
  <si>
    <t>TE62</t>
  </si>
  <si>
    <t>TEHUNT14</t>
  </si>
  <si>
    <t xml:space="preserve">TEHUNT14 </t>
  </si>
  <si>
    <t>TER8 RMU</t>
  </si>
  <si>
    <t>TEHUNT15</t>
  </si>
  <si>
    <t xml:space="preserve">TEHUNT15 </t>
  </si>
  <si>
    <t>NST14</t>
  </si>
  <si>
    <t>TEHUNT16</t>
  </si>
  <si>
    <t>TEJ16 RMU</t>
  </si>
  <si>
    <t>TEHUNT17</t>
  </si>
  <si>
    <t>NST03</t>
  </si>
  <si>
    <t>GEMA\General Cable\FB248</t>
  </si>
  <si>
    <t>3/1c 400mm² Al XLPE HPDE Screened</t>
  </si>
  <si>
    <t>L748 RMU</t>
  </si>
  <si>
    <t>3/1c 300mm² Al CWS</t>
  </si>
  <si>
    <t>NST04</t>
  </si>
  <si>
    <t>TEQ21 RMU</t>
  </si>
  <si>
    <r>
      <t>3c 185mm</t>
    </r>
    <r>
      <rPr>
        <sz val="11"/>
        <color theme="1"/>
        <rFont val="Calibri"/>
        <family val="2"/>
      </rPr>
      <t>²  Al PILC SWAS</t>
    </r>
  </si>
  <si>
    <t xml:space="preserve">NST05 </t>
  </si>
  <si>
    <t xml:space="preserve">TEQ25 RMU </t>
  </si>
  <si>
    <t>GRM_NST_SUBTRANS</t>
  </si>
  <si>
    <t>Grasmere</t>
  </si>
  <si>
    <t>NST6</t>
  </si>
  <si>
    <t>Timaru</t>
  </si>
  <si>
    <t>Hunt</t>
  </si>
  <si>
    <t>NST7</t>
  </si>
  <si>
    <t xml:space="preserve">NST08 </t>
  </si>
  <si>
    <t>TEW1</t>
  </si>
  <si>
    <r>
      <t>3c 0.15in</t>
    </r>
    <r>
      <rPr>
        <sz val="11"/>
        <color theme="1"/>
        <rFont val="Calibri"/>
        <family val="2"/>
      </rPr>
      <t>² Cu PILC STA</t>
    </r>
  </si>
  <si>
    <t>NST09</t>
  </si>
  <si>
    <t xml:space="preserve">TEX47 RMU </t>
  </si>
  <si>
    <t>NST10</t>
  </si>
  <si>
    <t>TEW33 RMU</t>
  </si>
  <si>
    <t>NST32</t>
  </si>
  <si>
    <t>NST31</t>
  </si>
  <si>
    <t>NST11</t>
  </si>
  <si>
    <t>TEW7 RMU</t>
  </si>
  <si>
    <r>
      <t>3c 0.25in</t>
    </r>
    <r>
      <rPr>
        <sz val="11"/>
        <color theme="1"/>
        <rFont val="Calibri"/>
        <family val="2"/>
      </rPr>
      <t>² Al PILC STAS</t>
    </r>
  </si>
  <si>
    <t>NST12</t>
  </si>
  <si>
    <t>3c 185mm²  Al PILC SWA</t>
  </si>
  <si>
    <t xml:space="preserve">TEW37 RMU </t>
  </si>
  <si>
    <r>
      <t>3c 185mm</t>
    </r>
    <r>
      <rPr>
        <sz val="11"/>
        <color theme="1"/>
        <rFont val="Calibri"/>
        <family val="2"/>
      </rPr>
      <t>² Al XLPE</t>
    </r>
  </si>
  <si>
    <t>NST13</t>
  </si>
  <si>
    <t xml:space="preserve">TEX50 RMU </t>
  </si>
  <si>
    <t>NST16</t>
  </si>
  <si>
    <t xml:space="preserve">TEP12 RMU </t>
  </si>
  <si>
    <t xml:space="preserve">NST17 </t>
  </si>
  <si>
    <t>3c 0.15in² Cu PILC SWA</t>
  </si>
  <si>
    <r>
      <t>3c 0.25in</t>
    </r>
    <r>
      <rPr>
        <sz val="11"/>
        <color theme="1"/>
        <rFont val="Calibri"/>
        <family val="2"/>
      </rPr>
      <t>² Al PILC DSTAS</t>
    </r>
  </si>
  <si>
    <r>
      <t>3c 0.075in</t>
    </r>
    <r>
      <rPr>
        <sz val="11"/>
        <color theme="1"/>
        <rFont val="Calibri"/>
        <family val="2"/>
      </rPr>
      <t>² Cu PILC STAS</t>
    </r>
  </si>
  <si>
    <t xml:space="preserve">TEW13 RMU </t>
  </si>
  <si>
    <t>3c 0.25in² Cu PILC STAS</t>
  </si>
  <si>
    <t xml:space="preserve">NST18 </t>
  </si>
  <si>
    <t>L783 RMU</t>
  </si>
  <si>
    <t>AEL Transformer Database</t>
  </si>
  <si>
    <t>L405</t>
  </si>
  <si>
    <t>CB L413</t>
  </si>
  <si>
    <t>L406</t>
  </si>
  <si>
    <t xml:space="preserve">L406 </t>
  </si>
  <si>
    <t>CB L418</t>
  </si>
  <si>
    <t>CB L269</t>
  </si>
  <si>
    <t>Pole 03575</t>
  </si>
  <si>
    <t>Pole 51637</t>
  </si>
  <si>
    <t>3/1c 630mm² AL XLPE</t>
  </si>
  <si>
    <t>3/1c 400mm² AL XLPE</t>
  </si>
  <si>
    <t xml:space="preserve">Pole 22553 </t>
  </si>
  <si>
    <t>Pole 25018</t>
  </si>
  <si>
    <t>Pole 51464</t>
  </si>
  <si>
    <t xml:space="preserve">ABS L690 </t>
  </si>
  <si>
    <t>CB 2332</t>
  </si>
  <si>
    <t>GEMA\AEL Drawing 12052 (Incomer)</t>
  </si>
  <si>
    <t>Pole 03576</t>
  </si>
  <si>
    <t>Joint (VIC LB210)</t>
  </si>
  <si>
    <t>Pole 01408</t>
  </si>
  <si>
    <t>Pole 01401</t>
  </si>
  <si>
    <t>Pole 01402</t>
  </si>
  <si>
    <t>Pole 03523</t>
  </si>
  <si>
    <t>Pole 03522</t>
  </si>
  <si>
    <t>Pole 03558</t>
  </si>
  <si>
    <t>Pole 50498</t>
  </si>
  <si>
    <t>ABS L691</t>
  </si>
  <si>
    <t>CB 2382</t>
  </si>
  <si>
    <t>GEMA\AEL Drawing 12052</t>
  </si>
  <si>
    <t>GEMA\AEL Drawing 12052\General Cable (Before TX)</t>
  </si>
  <si>
    <t>B712/T1</t>
  </si>
  <si>
    <t>GEMA\AEL Drawing 12052\General Cable</t>
  </si>
  <si>
    <t>2 x 3/1c 400mm² AL XLPE HDPE Screened</t>
  </si>
  <si>
    <t>6/1c</t>
  </si>
  <si>
    <t>B712/T2</t>
  </si>
  <si>
    <t>PAR3</t>
  </si>
  <si>
    <t>No.1 RMU</t>
  </si>
  <si>
    <t>3c 240mm²  AL PILC DSTA</t>
  </si>
  <si>
    <t>PAR4</t>
  </si>
  <si>
    <t>L572 Link</t>
  </si>
  <si>
    <t>L570 ABS</t>
  </si>
  <si>
    <t>PAR5</t>
  </si>
  <si>
    <t>No.2 RMU</t>
  </si>
  <si>
    <t>PAR6</t>
  </si>
  <si>
    <t xml:space="preserve">PAR6 </t>
  </si>
  <si>
    <t>3c 300mm² AL XLPE PVC</t>
  </si>
  <si>
    <t xml:space="preserve">Link L179  </t>
  </si>
  <si>
    <t>Pole 36354</t>
  </si>
  <si>
    <t>PAR7</t>
  </si>
  <si>
    <t>Link L174</t>
  </si>
  <si>
    <t>Pole 41703</t>
  </si>
  <si>
    <t>Weke</t>
  </si>
  <si>
    <t>L571</t>
  </si>
  <si>
    <t>Pole 43326</t>
  </si>
  <si>
    <t>Pole 24384</t>
  </si>
  <si>
    <t>Pole 24351</t>
  </si>
  <si>
    <t>Pole 24349</t>
  </si>
  <si>
    <t>Pole 24318</t>
  </si>
  <si>
    <t>L247 ABS</t>
  </si>
  <si>
    <t>L994  ABS</t>
  </si>
  <si>
    <t>3/1c 95mm² AL XLPE PVC screened</t>
  </si>
  <si>
    <t>CB L250</t>
  </si>
  <si>
    <t>GEMA\AEL Drawing 7586-04</t>
  </si>
  <si>
    <t>L250</t>
  </si>
  <si>
    <t>B1212/T1</t>
  </si>
  <si>
    <t>3c 300mm² AL XLPE MPDE</t>
  </si>
  <si>
    <t>PLPTCB 1</t>
  </si>
  <si>
    <t>Fuse L260</t>
  </si>
  <si>
    <t>GEMA\AEL Drawing 11997\General Cable Belted 11kV</t>
  </si>
  <si>
    <t>3c 150mm² Al PILC STA</t>
  </si>
  <si>
    <t>PLPTCB 2</t>
  </si>
  <si>
    <t>Link L254</t>
  </si>
  <si>
    <t>PLPTCB 4</t>
  </si>
  <si>
    <t>Link L262</t>
  </si>
  <si>
    <t>PLPTCB 5</t>
  </si>
  <si>
    <t>Link L263</t>
  </si>
  <si>
    <t>Waipopo</t>
  </si>
  <si>
    <t>3/1c 1000mm² AL XLPE CWS MDPE Screened</t>
  </si>
  <si>
    <t>L904</t>
  </si>
  <si>
    <t>Washdyke</t>
  </si>
  <si>
    <t>L910</t>
  </si>
  <si>
    <t>Showgrounds</t>
  </si>
  <si>
    <t>L1080</t>
  </si>
  <si>
    <t xml:space="preserve">3c 240mm²  AL PILC </t>
  </si>
  <si>
    <t>Goulds</t>
  </si>
  <si>
    <t>L1078</t>
  </si>
  <si>
    <t>Elginshire</t>
  </si>
  <si>
    <t>L969</t>
  </si>
  <si>
    <t>Arowhenua</t>
  </si>
  <si>
    <t>Relay SEL 311L</t>
  </si>
  <si>
    <t>Relay Westinghouse RESCO</t>
  </si>
  <si>
    <t>Relay SEL351A</t>
  </si>
  <si>
    <t>Relay SEL 451</t>
  </si>
  <si>
    <t>Relay SEL 351S</t>
  </si>
  <si>
    <t>Relay SEL 351R</t>
  </si>
  <si>
    <t>Relay SEL 451-4</t>
  </si>
  <si>
    <t>Relay SEL 451-5</t>
  </si>
  <si>
    <t>Relay SEL 387E-311C-1</t>
  </si>
  <si>
    <t>Relay SEL 387E</t>
  </si>
  <si>
    <t>Relay SEL 311C-1</t>
  </si>
  <si>
    <t>Relay SEL 551C</t>
  </si>
  <si>
    <t>Secondary LV Winding</t>
  </si>
  <si>
    <t>Territary LV Winding</t>
  </si>
  <si>
    <t>ABY Region</t>
  </si>
  <si>
    <t>BPD Region</t>
  </si>
  <si>
    <t>STU Region</t>
  </si>
  <si>
    <t>TKA Region</t>
  </si>
  <si>
    <t>TMK Region</t>
  </si>
  <si>
    <t>TIM Region</t>
  </si>
  <si>
    <t>TWZ Region</t>
  </si>
  <si>
    <t>TMK</t>
  </si>
  <si>
    <t>Security of supply (as set by Transpower)</t>
  </si>
  <si>
    <t>Desired security classification</t>
  </si>
  <si>
    <t>Classification</t>
  </si>
  <si>
    <t>Capacity at required security classification</t>
  </si>
  <si>
    <t>MVA in excess of security classification</t>
  </si>
  <si>
    <t>Security classification at load MVA</t>
  </si>
  <si>
    <t>N</t>
  </si>
  <si>
    <t>N Sec. Low Ec, Cons.</t>
  </si>
  <si>
    <t>N-1</t>
  </si>
  <si>
    <t>STU</t>
  </si>
  <si>
    <t>N-1 Sec. Low Ec, Cons</t>
  </si>
  <si>
    <t>N Sec. Low Ec, Cons</t>
  </si>
  <si>
    <t>N-1 Sec. High Ec, Cons</t>
  </si>
  <si>
    <t>N Sec. High Ec, Cons</t>
  </si>
  <si>
    <t>Desired security classification
(by AEL)</t>
  </si>
  <si>
    <t>Existing Security of supply</t>
  </si>
  <si>
    <t>MD</t>
  </si>
  <si>
    <t>Capacity</t>
  </si>
  <si>
    <t>Surplus capacity</t>
  </si>
  <si>
    <t>[Capacity – MD]</t>
  </si>
  <si>
    <t>ABY-FLE1</t>
  </si>
  <si>
    <t>ST6</t>
  </si>
  <si>
    <t>FLE-OPU1</t>
  </si>
  <si>
    <t>N/A</t>
  </si>
  <si>
    <t>BPD-CNR1</t>
  </si>
  <si>
    <t>BPD-CNR2</t>
  </si>
  <si>
    <t>TKA-TEK1</t>
  </si>
  <si>
    <t>ST1</t>
  </si>
  <si>
    <t>TEK-DHS1</t>
  </si>
  <si>
    <t>DHS-FRH1</t>
  </si>
  <si>
    <t>DHS-UHT1</t>
  </si>
  <si>
    <t>TWZ-TVS1</t>
  </si>
  <si>
    <t>ST5</t>
  </si>
  <si>
    <t>ST2</t>
  </si>
  <si>
    <t>ST3</t>
  </si>
  <si>
    <t>TMK-CDY1</t>
  </si>
  <si>
    <t>No breach</t>
  </si>
  <si>
    <t>TMK-CNL</t>
  </si>
  <si>
    <t>CNL-CDY2</t>
  </si>
  <si>
    <t>TMK-CDY3</t>
  </si>
  <si>
    <t>TMK-CDY4</t>
  </si>
  <si>
    <t>CNL-RGA1</t>
  </si>
  <si>
    <t>TMK-RGA2</t>
  </si>
  <si>
    <t>TMK-GLD1</t>
  </si>
  <si>
    <t>ST4</t>
  </si>
  <si>
    <t>Supply Level</t>
  </si>
  <si>
    <t>Supply Levels Calasifications</t>
  </si>
  <si>
    <t>Region</t>
  </si>
  <si>
    <t>Year</t>
  </si>
  <si>
    <t>RCP3 (proposed)</t>
  </si>
  <si>
    <t>ZS6</t>
  </si>
  <si>
    <t>ZS5</t>
  </si>
  <si>
    <t>ZS2</t>
  </si>
  <si>
    <t>ZS1</t>
  </si>
  <si>
    <t>RGA</t>
  </si>
  <si>
    <t>ZS4</t>
  </si>
  <si>
    <t>ZS3</t>
  </si>
  <si>
    <t>STU Fonterra</t>
  </si>
  <si>
    <t>WSS</t>
  </si>
  <si>
    <t>DF6</t>
  </si>
  <si>
    <t>DF5</t>
  </si>
  <si>
    <t>DF3</t>
  </si>
  <si>
    <t>DF4</t>
  </si>
  <si>
    <t>DF2</t>
  </si>
  <si>
    <t>DF1</t>
  </si>
  <si>
    <t>CB2992_Ripple Plant</t>
  </si>
  <si>
    <t>Z9_Local Service</t>
  </si>
  <si>
    <t>LV Reticulation</t>
  </si>
  <si>
    <t>CB42</t>
  </si>
  <si>
    <t>CB72</t>
  </si>
  <si>
    <t>TP Branch Report ABY.TKA.1</t>
  </si>
  <si>
    <t>CB76</t>
  </si>
  <si>
    <t>PTX T6</t>
  </si>
  <si>
    <t>TP Branch Report TKA.TF.T6</t>
  </si>
  <si>
    <t>Busbar</t>
  </si>
  <si>
    <t>TKA-BS-110-76-T6</t>
  </si>
  <si>
    <t>76-T6</t>
  </si>
  <si>
    <t>TKA-TF-T6</t>
  </si>
  <si>
    <t>Bushing</t>
  </si>
  <si>
    <t>TKA-TF-T6-NEL-HV</t>
  </si>
  <si>
    <t>Non Equipment</t>
  </si>
  <si>
    <t>6-1c 630 mm² XLPE</t>
  </si>
  <si>
    <t>TKA-CBL-37</t>
  </si>
  <si>
    <t>SOS</t>
  </si>
  <si>
    <t>Simplification</t>
  </si>
  <si>
    <t>Combined</t>
  </si>
  <si>
    <t>Definition</t>
  </si>
  <si>
    <t>No interruption</t>
  </si>
  <si>
    <t>15 seconds for 100% load</t>
  </si>
  <si>
    <t>45 minutes for 100% load</t>
  </si>
  <si>
    <t>Restore 75% of lost load (in MVA) in switching time.</t>
  </si>
  <si>
    <t>Restore 50% of lost load (in MVA) in switching time.</t>
  </si>
  <si>
    <t>Repair time</t>
  </si>
  <si>
    <t>N-1 SW</t>
  </si>
  <si>
    <t>Restore 100% of lost load in switching time.</t>
  </si>
  <si>
    <t>Restore 50% of lost load in switching time.</t>
  </si>
  <si>
    <t>Restore 100% of lost load in repair time</t>
  </si>
  <si>
    <t>Restore 100% supply in one hour. The isolated section shall be limited to 300 kVA installed capacity.</t>
  </si>
  <si>
    <t>Restore 100% supply in two hours. The isolated section shall be limited to 500 kVA installed capacity.</t>
  </si>
  <si>
    <t>Restore 100% supply in three hours. The isolated section shall be limited to 1.5 MVA of installed capacity.</t>
  </si>
  <si>
    <t>N-0.5 SW</t>
  </si>
  <si>
    <t>Restore 50% supply in four hours. The isolated section shall be limited to 1.5 MVA of installed capacity.</t>
  </si>
  <si>
    <t>After a fault, part supply can be restored by switching using adjacent feeder capacity</t>
  </si>
  <si>
    <t>After a fault, supply may remain interrupted until repairs are completed.</t>
  </si>
  <si>
    <t>BPD (11 kV)</t>
  </si>
  <si>
    <t>BPD (33 kV)</t>
  </si>
  <si>
    <t>SubTransmission</t>
  </si>
  <si>
    <t>ZoneSubstation</t>
  </si>
  <si>
    <t>ST6 (N)</t>
  </si>
  <si>
    <t>ST1 (N-1)</t>
  </si>
  <si>
    <t>ST2 (N-1)</t>
  </si>
  <si>
    <t>ZS6 (N)</t>
  </si>
  <si>
    <t>ZS1 (N-1)</t>
  </si>
  <si>
    <t>ZS4 (N-1 SW)</t>
  </si>
  <si>
    <t>ZS2 (N-1)</t>
  </si>
  <si>
    <t>DF6 (N)</t>
  </si>
  <si>
    <t>DF5 (N)</t>
  </si>
  <si>
    <t>DF3 (N-1 SW)</t>
  </si>
  <si>
    <t>DF4 (N-0.5 SW)</t>
  </si>
  <si>
    <t>DF2 (N-1 SW)</t>
  </si>
  <si>
    <t>DF1 (N-1 SW)</t>
  </si>
  <si>
    <t>CB ID</t>
  </si>
  <si>
    <t>DESIGNATION</t>
  </si>
  <si>
    <t>AVAILABLE</t>
  </si>
  <si>
    <t>UTILISED</t>
  </si>
  <si>
    <t>RAINCLIFF</t>
  </si>
  <si>
    <t>CAVE</t>
  </si>
  <si>
    <t>NO</t>
  </si>
  <si>
    <t>YES</t>
  </si>
  <si>
    <t>OC
PICKUP</t>
  </si>
  <si>
    <t>N-0.75 SW</t>
  </si>
  <si>
    <t>ST4 (N-0.75 SW)</t>
  </si>
  <si>
    <t>ST5 (N-0.5 SW)</t>
  </si>
  <si>
    <t>ZS5 (N-0.5 SW)</t>
  </si>
  <si>
    <t>ZS3 (N-1 SW)</t>
  </si>
  <si>
    <t>SwitchingStation</t>
  </si>
  <si>
    <t>Possible breach 2021</t>
  </si>
  <si>
    <t>DistributionFeeder</t>
  </si>
  <si>
    <t>SecondarySubstation</t>
  </si>
  <si>
    <t>ST3 (N-1 SW)</t>
  </si>
  <si>
    <t>3/1c 630mm² XLPE Cu CWS PVC HDPE</t>
  </si>
  <si>
    <t>MVA</t>
  </si>
  <si>
    <t>A</t>
  </si>
  <si>
    <t>Lowest Rating</t>
  </si>
  <si>
    <t>70 mm² Cu</t>
  </si>
  <si>
    <t>120 mm² Cu</t>
  </si>
  <si>
    <t>GOPHER</t>
  </si>
  <si>
    <t>QUAIL</t>
  </si>
  <si>
    <t>RANGO</t>
  </si>
  <si>
    <t>19/2.34 Cu</t>
  </si>
  <si>
    <t>GEMA/AEL OH Amp Calc.</t>
  </si>
  <si>
    <t>Drawing 13250/AEL OH Amp Calc.</t>
  </si>
  <si>
    <t>GEMA/AEL OH Amp Calc/12387</t>
  </si>
  <si>
    <t>GEMA/Drawing 10407/GC Technical</t>
  </si>
  <si>
    <t>GEMA/Drawing 12189/GC Technical</t>
  </si>
  <si>
    <t>GEMA/General Cable Technical</t>
  </si>
  <si>
    <t>6-1c 630 mm² Al XLPE</t>
  </si>
  <si>
    <t>GEMA/General Cable/11349-02</t>
  </si>
  <si>
    <t>Forecasted Breach year</t>
  </si>
  <si>
    <t>Breach 2027</t>
  </si>
  <si>
    <t>No Breach</t>
  </si>
  <si>
    <t>Breach 2023</t>
  </si>
  <si>
    <t>Breach 2024</t>
  </si>
  <si>
    <t>W631 ABS</t>
  </si>
  <si>
    <t>W614 LK</t>
  </si>
  <si>
    <t>W624 RMU</t>
  </si>
  <si>
    <t>CB2662_Waipopo</t>
  </si>
  <si>
    <t>CB2672_Washdyke</t>
  </si>
  <si>
    <t>CB3002_Elginshire</t>
  </si>
  <si>
    <t>CB2682_Showgrounds Hill</t>
  </si>
  <si>
    <t>CB2742_Levels Plain</t>
  </si>
  <si>
    <t>CB2852_Hadlow</t>
  </si>
  <si>
    <t>CB2992_Goulds Road</t>
  </si>
  <si>
    <t>CB3012_Arowhenua</t>
  </si>
  <si>
    <t>TIM_WSS_SUBTRANS</t>
  </si>
  <si>
    <t>Relay SEL351S-6</t>
  </si>
  <si>
    <t>L1075</t>
  </si>
  <si>
    <t>DS114</t>
  </si>
  <si>
    <t>CB2692_North ST.1</t>
  </si>
  <si>
    <t>TIM_GRMA_SUBTRANS</t>
  </si>
  <si>
    <t>TIM_GRMB_SUBTRANS</t>
  </si>
  <si>
    <t>TIM_GRMC_SUBTRANS</t>
  </si>
  <si>
    <t>TIM_GRMD_SUBTRANS</t>
  </si>
  <si>
    <t>Cable-3c 0.4in² Al PILC SWA</t>
  </si>
  <si>
    <t>Circuit Breaker-TIM-CB-2972-Relay SEL 351S</t>
  </si>
  <si>
    <t>CB2982_North ST.2</t>
  </si>
  <si>
    <t xml:space="preserve">3c 0.3in² Cu PILC SWA </t>
  </si>
  <si>
    <t>3/1c 400mm² Al XLPE</t>
  </si>
  <si>
    <t>3c 0.3in² Cu PILC SWAS</t>
  </si>
  <si>
    <t>CB4_GRM-HNT A</t>
  </si>
  <si>
    <t>CB13_GRM-HNT B</t>
  </si>
  <si>
    <t>CB9_GRM-NST A</t>
  </si>
  <si>
    <t>CB18_GRM-NST B</t>
  </si>
  <si>
    <t>CB6_HNT-NST A</t>
  </si>
  <si>
    <t>CB15_HNT-NST B</t>
  </si>
  <si>
    <t>M339</t>
  </si>
  <si>
    <t>M329</t>
  </si>
  <si>
    <t>M331</t>
  </si>
  <si>
    <t>M332</t>
  </si>
  <si>
    <t>3-1c 95 mm² Al XLPE</t>
  </si>
  <si>
    <t>E352</t>
  </si>
  <si>
    <t>M333</t>
  </si>
  <si>
    <t>E353</t>
  </si>
  <si>
    <t>M335</t>
  </si>
  <si>
    <t>M336</t>
  </si>
  <si>
    <t>M338</t>
  </si>
  <si>
    <t>M303</t>
  </si>
  <si>
    <t>M301</t>
  </si>
  <si>
    <t>M302</t>
  </si>
  <si>
    <t>M365</t>
  </si>
  <si>
    <t>Siemens 8DJH</t>
  </si>
  <si>
    <t>M268</t>
  </si>
  <si>
    <t>M364</t>
  </si>
  <si>
    <t>M363</t>
  </si>
  <si>
    <t>Siemens 8DJH-36</t>
  </si>
  <si>
    <t>CB2_Tawai</t>
  </si>
  <si>
    <t>CB1_Waihuna</t>
  </si>
  <si>
    <t>GEMA\TECH 1</t>
  </si>
  <si>
    <t>11 kV Switchboard</t>
  </si>
  <si>
    <t>Switchboard</t>
  </si>
  <si>
    <t>GEMA\Tech 1</t>
  </si>
  <si>
    <t>HNT_SUB</t>
  </si>
  <si>
    <t>NST_SUB</t>
  </si>
  <si>
    <t>GRM_SUB</t>
  </si>
  <si>
    <t>Swictchboard</t>
  </si>
  <si>
    <t>ATM_PAR1</t>
  </si>
  <si>
    <t>ATM_PAR2</t>
  </si>
  <si>
    <t>Z9_Local Supply</t>
  </si>
  <si>
    <t>Z9</t>
  </si>
  <si>
    <r>
      <t>1-3c 95 mm</t>
    </r>
    <r>
      <rPr>
        <sz val="11"/>
        <color theme="1"/>
        <rFont val="Calibri"/>
        <family val="2"/>
      </rPr>
      <t>² Cu XLPE</t>
    </r>
  </si>
  <si>
    <t>BPD-CT-CT482</t>
  </si>
  <si>
    <t>TP Branch Report BPD.DS.446\GEMA</t>
  </si>
  <si>
    <t>TP Branch Report BPD.DS.486\GEMA</t>
  </si>
  <si>
    <t>Relay SEL 351S-7</t>
  </si>
  <si>
    <t xml:space="preserve">Cable 300 mm² </t>
  </si>
  <si>
    <t>JAGUAR OH Line</t>
  </si>
  <si>
    <t>W630</t>
  </si>
  <si>
    <t>W631</t>
  </si>
  <si>
    <t>W451</t>
  </si>
  <si>
    <t>W452</t>
  </si>
  <si>
    <t>W636</t>
  </si>
  <si>
    <t>W453</t>
  </si>
  <si>
    <t>CB642_CNR</t>
  </si>
  <si>
    <t>CB236_STU Incomer</t>
  </si>
  <si>
    <t>CNR644</t>
  </si>
  <si>
    <t>CNR646</t>
  </si>
  <si>
    <t>STU CB4\CB2812</t>
  </si>
  <si>
    <t>STU CB6\CB2772</t>
  </si>
  <si>
    <t>STU-CB5</t>
  </si>
  <si>
    <t>STU-CB1</t>
  </si>
  <si>
    <t>STU-CB2</t>
  </si>
  <si>
    <t>STU-CB3</t>
  </si>
  <si>
    <t>STU-CB7</t>
  </si>
  <si>
    <t>STU-CB8</t>
  </si>
  <si>
    <t>STU-CB9</t>
  </si>
  <si>
    <t xml:space="preserve">STU-1 </t>
  </si>
  <si>
    <t>STU-7</t>
  </si>
  <si>
    <t>STU-8</t>
  </si>
  <si>
    <t>STU-9</t>
  </si>
  <si>
    <t>STU-1</t>
  </si>
  <si>
    <t>W406</t>
  </si>
  <si>
    <t>W407</t>
  </si>
  <si>
    <t>W661</t>
  </si>
  <si>
    <t>Pole 00088</t>
  </si>
  <si>
    <t>Link-Z401</t>
  </si>
  <si>
    <t>Z5_Spare</t>
  </si>
  <si>
    <t>Spare</t>
  </si>
  <si>
    <t>HV Disconnector</t>
  </si>
  <si>
    <t>TIM-DS-94</t>
  </si>
  <si>
    <t>HV Circuit breaker</t>
  </si>
  <si>
    <t>Circuit breaker</t>
  </si>
  <si>
    <t>TIM-DS-44</t>
  </si>
  <si>
    <t xml:space="preserve">TEGRASMERE 18 </t>
  </si>
  <si>
    <t>CB3_HNT-GRM A</t>
  </si>
  <si>
    <t>CB12_HNT-GRM B</t>
  </si>
  <si>
    <t>CB8_Spare</t>
  </si>
  <si>
    <t>CB9_Bus coupler</t>
  </si>
  <si>
    <t>3-70mm2 Cu</t>
  </si>
  <si>
    <t>M346</t>
  </si>
  <si>
    <t>Relay SEL 751</t>
  </si>
  <si>
    <t>F323</t>
  </si>
  <si>
    <t>HV Circuit Breaker</t>
  </si>
  <si>
    <t>TIM-CBL-T6-CB2932</t>
  </si>
  <si>
    <t>TIM-CT-CT102</t>
  </si>
  <si>
    <t>Protection</t>
  </si>
  <si>
    <t>Tap changer</t>
  </si>
  <si>
    <t>OEL</t>
  </si>
  <si>
    <t>TIM-CT-CT92</t>
  </si>
  <si>
    <t>TIM-TF-T3</t>
  </si>
  <si>
    <t>Equipment Type</t>
  </si>
  <si>
    <t>Source 1</t>
  </si>
  <si>
    <t>Source 2</t>
  </si>
  <si>
    <t>Source 3</t>
  </si>
  <si>
    <t>Source 4</t>
  </si>
  <si>
    <t>ALL</t>
  </si>
  <si>
    <t>AEL Drawings</t>
  </si>
  <si>
    <t>Substation Photos</t>
  </si>
  <si>
    <t>General Cables Specifications</t>
  </si>
  <si>
    <t>TIM Scada alarms report Rev 5</t>
  </si>
  <si>
    <t>AEL OH Amp Calc.</t>
  </si>
  <si>
    <t>Equipment Name plate-GEMA</t>
  </si>
  <si>
    <t>Equipment Name plate-Site Photos</t>
  </si>
  <si>
    <t>Equipment protection setting files</t>
  </si>
  <si>
    <t>Tech 1</t>
  </si>
  <si>
    <t>OMR</t>
  </si>
  <si>
    <t>M338_Old Man Range</t>
  </si>
  <si>
    <t>M204_Lakeside_Drive</t>
  </si>
  <si>
    <t>CB2_Mozz3_1</t>
  </si>
  <si>
    <t>CB15_Mozz3_2</t>
  </si>
  <si>
    <t>3/1c 1000mm² Al XLPE CWS MDPE</t>
  </si>
  <si>
    <t>L905</t>
  </si>
  <si>
    <t>L1230</t>
  </si>
  <si>
    <t>3c 300mm² AL XLPE HDPE Screened</t>
  </si>
  <si>
    <t>yes</t>
  </si>
  <si>
    <t>3c 240mm² AL PILC</t>
  </si>
  <si>
    <t>L912</t>
  </si>
  <si>
    <t>B1110</t>
  </si>
  <si>
    <t>LX25</t>
  </si>
  <si>
    <t>Ringmain unit</t>
  </si>
  <si>
    <t>RMU</t>
  </si>
  <si>
    <t>L967</t>
  </si>
  <si>
    <t>L868</t>
  </si>
  <si>
    <t>L867</t>
  </si>
  <si>
    <t>L876</t>
  </si>
  <si>
    <t>B1541</t>
  </si>
  <si>
    <t>GEME</t>
  </si>
  <si>
    <t>L901</t>
  </si>
  <si>
    <t>L900</t>
  </si>
  <si>
    <t>1-3c 300 mm² Al XLPE HD</t>
  </si>
  <si>
    <t>2-3c 150 mm² Al PILC</t>
  </si>
  <si>
    <t>GEMA/Drawing 13902-02</t>
  </si>
  <si>
    <t>GEMA/Drawing 3952-02 &amp; 8831-02</t>
  </si>
  <si>
    <t>GEMA/Drawing 13903-02</t>
  </si>
  <si>
    <t>GEMA/Drawing 1109-02</t>
  </si>
  <si>
    <t>Pole 873942</t>
  </si>
  <si>
    <t>3/185mm2 Al XLPE PVC, 33 kV</t>
  </si>
  <si>
    <t>Pole 872745</t>
  </si>
  <si>
    <t>3c 95mm² AL XLPE PVC screened</t>
  </si>
  <si>
    <t xml:space="preserve">GEMA/Nexans </t>
  </si>
  <si>
    <t>Quail</t>
  </si>
  <si>
    <t>FY</t>
  </si>
  <si>
    <t xml:space="preserve">Status </t>
  </si>
  <si>
    <t>Station/Feeder</t>
  </si>
  <si>
    <t>Equipment ID</t>
  </si>
  <si>
    <t>Device type</t>
  </si>
  <si>
    <t>Cont Winter A</t>
  </si>
  <si>
    <t>Cont Winter MVA</t>
  </si>
  <si>
    <t>Cont Shoulder A</t>
  </si>
  <si>
    <t>Cont Shoulder MVA</t>
  </si>
  <si>
    <t>Cont Summer A</t>
  </si>
  <si>
    <t>Cont Summer MVA</t>
  </si>
  <si>
    <t>24 Hr Winter A</t>
  </si>
  <si>
    <t>24 Hr Winter MVA</t>
  </si>
  <si>
    <t>24 Hr Summer A</t>
  </si>
  <si>
    <t>24 Hr Summer MVA</t>
  </si>
  <si>
    <t>Forward A</t>
  </si>
  <si>
    <t>Forwards MVA</t>
  </si>
  <si>
    <t>Reverse A</t>
  </si>
  <si>
    <t>Reverse MVA</t>
  </si>
  <si>
    <t>Relay A</t>
  </si>
  <si>
    <t>Relay MVA</t>
  </si>
  <si>
    <t>CT A</t>
  </si>
  <si>
    <t>CT MVA</t>
  </si>
  <si>
    <t>Depth m</t>
  </si>
  <si>
    <t>Depth Factor</t>
  </si>
  <si>
    <t>Soil Temp C</t>
  </si>
  <si>
    <t>Soil Temp Factor</t>
  </si>
  <si>
    <t>Soil TR °C.m/W</t>
  </si>
  <si>
    <t>Soil TR Factor</t>
  </si>
  <si>
    <t>Ccts</t>
  </si>
  <si>
    <t>Spacing</t>
  </si>
  <si>
    <t>Mutual Heat Factor</t>
  </si>
  <si>
    <t>Derating A</t>
  </si>
  <si>
    <t>Derating MVA</t>
  </si>
  <si>
    <t>Summ Cont Winter A</t>
  </si>
  <si>
    <t>Summ Cont Shoulder MVA</t>
  </si>
  <si>
    <t>Summ Cont Summer A</t>
  </si>
  <si>
    <t>Summ Post Winter A</t>
  </si>
  <si>
    <t>Summ Post Summer A</t>
  </si>
  <si>
    <t>Summ Forward A</t>
  </si>
  <si>
    <t>Summ Reverse A</t>
  </si>
  <si>
    <t>Summ CT A</t>
  </si>
  <si>
    <t>Cable Derating</t>
  </si>
  <si>
    <t>ID Rating</t>
  </si>
  <si>
    <t>Lowest MVA</t>
  </si>
  <si>
    <t>Summ From</t>
  </si>
  <si>
    <t>Summ To</t>
  </si>
  <si>
    <t>Summ Equipment</t>
  </si>
  <si>
    <t>Summ Voltage</t>
  </si>
  <si>
    <t>ABY_Protection</t>
  </si>
  <si>
    <t>Protection Type</t>
  </si>
  <si>
    <t>Location/Description</t>
  </si>
  <si>
    <t>Pickup (A)</t>
  </si>
  <si>
    <t>OC(IT)</t>
  </si>
  <si>
    <t>Cave Feeder</t>
  </si>
  <si>
    <t>SEL 351S</t>
  </si>
  <si>
    <t>Raincliff Feeder</t>
  </si>
  <si>
    <t>Fairlie-Opuha Feeder</t>
  </si>
  <si>
    <t>Albury 33/11 Substation 33 kV CB</t>
  </si>
  <si>
    <t>SEL 311C</t>
  </si>
  <si>
    <t>SEL 751A</t>
  </si>
  <si>
    <t>OC</t>
  </si>
  <si>
    <t>F150</t>
  </si>
  <si>
    <t>Brothers x CB2</t>
  </si>
  <si>
    <t>NuLec Moderate</t>
  </si>
  <si>
    <t>F138</t>
  </si>
  <si>
    <t>Cave Cannington (Anne St) x CB1</t>
  </si>
  <si>
    <t>Noja RC-01ES</t>
  </si>
  <si>
    <t>F295</t>
  </si>
  <si>
    <t>Clelands Rd x CB1</t>
  </si>
  <si>
    <t>SEL351R KFME</t>
  </si>
  <si>
    <t>F392</t>
  </si>
  <si>
    <t>Proposed Ripple Plant</t>
  </si>
  <si>
    <t xml:space="preserve">Fairlie Substation 33 kV CB </t>
  </si>
  <si>
    <t>11 kV incomer</t>
  </si>
  <si>
    <t>Cricklewood</t>
  </si>
  <si>
    <t>FLE Rural</t>
  </si>
  <si>
    <t>FLE Township</t>
  </si>
  <si>
    <t>F341</t>
  </si>
  <si>
    <t>Allandale</t>
  </si>
  <si>
    <t>Nulec Moderate</t>
  </si>
  <si>
    <t>F287</t>
  </si>
  <si>
    <t>Burkes Pass</t>
  </si>
  <si>
    <t>F189</t>
  </si>
  <si>
    <t>Nulec N-Series</t>
  </si>
  <si>
    <t>F359</t>
  </si>
  <si>
    <t>Clayton Road 11kV</t>
  </si>
  <si>
    <t>F418</t>
  </si>
  <si>
    <t>Hunterslea Rd</t>
  </si>
  <si>
    <t>SEL 651R</t>
  </si>
  <si>
    <t>F426</t>
  </si>
  <si>
    <t>Chamberlain Rd</t>
  </si>
  <si>
    <t xml:space="preserve">ABY-FLE-OPU 33 kV CB </t>
  </si>
  <si>
    <t>SEL 351R</t>
  </si>
  <si>
    <t>Opuha 33 kV CB x F319</t>
  </si>
  <si>
    <t/>
  </si>
  <si>
    <t>BPD_Protection</t>
  </si>
  <si>
    <t>OC(IT)MV1</t>
  </si>
  <si>
    <t>Dif (Winding 2 - CNR Feeder)</t>
  </si>
  <si>
    <t>SEL 387-6</t>
  </si>
  <si>
    <t>OC(IT)HV1</t>
  </si>
  <si>
    <t>Dif (Winding 1)</t>
  </si>
  <si>
    <t>SEL 311C-1</t>
  </si>
  <si>
    <t>OC(IT)LV2</t>
  </si>
  <si>
    <t>SEL 751</t>
  </si>
  <si>
    <t>OC(IT)LV1</t>
  </si>
  <si>
    <t>Dif (Winding 3 - T1 Incomer)</t>
  </si>
  <si>
    <t>Waihuna</t>
  </si>
  <si>
    <t>Tawai</t>
  </si>
  <si>
    <t>SEL 351S-6</t>
  </si>
  <si>
    <t>SEL 351S-7</t>
  </si>
  <si>
    <t>Dif (Winding 3 - T2 Incomer)</t>
  </si>
  <si>
    <t>WDI Pump Station</t>
  </si>
  <si>
    <t>Ikawai</t>
  </si>
  <si>
    <t>Waikakahi</t>
  </si>
  <si>
    <t>CB14</t>
  </si>
  <si>
    <t>Tawai/Waihuna</t>
  </si>
  <si>
    <t>CB15</t>
  </si>
  <si>
    <t>Ripple Plant</t>
  </si>
  <si>
    <t>W176</t>
  </si>
  <si>
    <t>Morven Reg Site x CB3</t>
  </si>
  <si>
    <t>Cooper FXB</t>
  </si>
  <si>
    <t>W590</t>
  </si>
  <si>
    <t>Glenavy Tawai xW608</t>
  </si>
  <si>
    <t>SEL 351R-F</t>
  </si>
  <si>
    <t>W608</t>
  </si>
  <si>
    <t>Tawai xCB14</t>
  </si>
  <si>
    <t>W611</t>
  </si>
  <si>
    <t>Waihuna leg xCB14</t>
  </si>
  <si>
    <t>CB642</t>
  </si>
  <si>
    <t>Incomer T1</t>
  </si>
  <si>
    <t>Incomer STU</t>
  </si>
  <si>
    <t>OC(IT)1</t>
  </si>
  <si>
    <t>Drier 2</t>
  </si>
  <si>
    <t>Wet Process</t>
  </si>
  <si>
    <t>Utilities Services</t>
  </si>
  <si>
    <t>Office</t>
  </si>
  <si>
    <t>STU_Protection</t>
  </si>
  <si>
    <t>Incomer T5</t>
  </si>
  <si>
    <t>Incomer T6</t>
  </si>
  <si>
    <t>Otatio</t>
  </si>
  <si>
    <t>Glenavy</t>
  </si>
  <si>
    <t>Waimate</t>
  </si>
  <si>
    <t>Waihaorunga</t>
  </si>
  <si>
    <t>Mt. Studholme</t>
  </si>
  <si>
    <t>Morven</t>
  </si>
  <si>
    <t>W196</t>
  </si>
  <si>
    <t>Faulkners Rd - Morven Feeder x CB</t>
  </si>
  <si>
    <t>W411</t>
  </si>
  <si>
    <t>Park Rd. Waimate x CB</t>
  </si>
  <si>
    <t>W515</t>
  </si>
  <si>
    <t>Arno x W411</t>
  </si>
  <si>
    <t>W366</t>
  </si>
  <si>
    <t>Near Skeggs, Otaio Feeder</t>
  </si>
  <si>
    <t>W365</t>
  </si>
  <si>
    <t>SH1 Folleys Rd, Studholme Feeder</t>
  </si>
  <si>
    <t>W499</t>
  </si>
  <si>
    <t>Parsonage Rd, Mt Studholme Feeder</t>
  </si>
  <si>
    <t>W465</t>
  </si>
  <si>
    <t>Hunter Makikihi Rd</t>
  </si>
  <si>
    <t>Nova/351R</t>
  </si>
  <si>
    <t>W245</t>
  </si>
  <si>
    <t>Crowes Rd</t>
  </si>
  <si>
    <t>Nova/351R RC-01ES</t>
  </si>
  <si>
    <t>W664</t>
  </si>
  <si>
    <t>Park Rd. #2 Waimate x CB</t>
  </si>
  <si>
    <t>W685</t>
  </si>
  <si>
    <t>SH1 north of Makikihi</t>
  </si>
  <si>
    <t>TIM_Protection</t>
  </si>
  <si>
    <t>2752</t>
  </si>
  <si>
    <t>11 kV incomer T3</t>
  </si>
  <si>
    <t>SEL 451</t>
  </si>
  <si>
    <t>2842</t>
  </si>
  <si>
    <t>11 kV incomer T4</t>
  </si>
  <si>
    <t>2932</t>
  </si>
  <si>
    <t>11 kV incomer T6</t>
  </si>
  <si>
    <t>2682</t>
  </si>
  <si>
    <t>Ripple Plant 1/Showgrounds</t>
  </si>
  <si>
    <t>SEL 551C</t>
  </si>
  <si>
    <t>2992</t>
  </si>
  <si>
    <t>Ripple Plant 2/Goulds Road</t>
  </si>
  <si>
    <t>2702</t>
  </si>
  <si>
    <t>Morgans Road</t>
  </si>
  <si>
    <t>2712</t>
  </si>
  <si>
    <t>Mountainview Road</t>
  </si>
  <si>
    <t>2742</t>
  </si>
  <si>
    <t>Seadown</t>
  </si>
  <si>
    <t>2762</t>
  </si>
  <si>
    <t>AEL Yard</t>
  </si>
  <si>
    <t>2832</t>
  </si>
  <si>
    <t>Grants Road</t>
  </si>
  <si>
    <t>2852</t>
  </si>
  <si>
    <t>Levels</t>
  </si>
  <si>
    <t>2862</t>
  </si>
  <si>
    <t>Meadows Road</t>
  </si>
  <si>
    <t>2942</t>
  </si>
  <si>
    <t>Old North Road</t>
  </si>
  <si>
    <t>2952</t>
  </si>
  <si>
    <t>Highfield</t>
  </si>
  <si>
    <t>2972</t>
  </si>
  <si>
    <t>Smithfield</t>
  </si>
  <si>
    <t>2732</t>
  </si>
  <si>
    <t>Transformer T1</t>
  </si>
  <si>
    <t>2922</t>
  </si>
  <si>
    <t>Transformer T2</t>
  </si>
  <si>
    <t>2692</t>
  </si>
  <si>
    <t>NST-TIM 1</t>
  </si>
  <si>
    <t>SEL 311L</t>
  </si>
  <si>
    <t>2982</t>
  </si>
  <si>
    <t>NST-TIM 2</t>
  </si>
  <si>
    <t>2912</t>
  </si>
  <si>
    <t>GRM-TIM A</t>
  </si>
  <si>
    <t>2822</t>
  </si>
  <si>
    <t>GRM-TIM B</t>
  </si>
  <si>
    <t>2812</t>
  </si>
  <si>
    <t>GRM-TIM C</t>
  </si>
  <si>
    <t>2772</t>
  </si>
  <si>
    <t>GRM-TIM D</t>
  </si>
  <si>
    <t>2662</t>
  </si>
  <si>
    <t>2672</t>
  </si>
  <si>
    <t>3002</t>
  </si>
  <si>
    <t>3012</t>
  </si>
  <si>
    <t>L509</t>
  </si>
  <si>
    <t>Scenic Reserve Recloser - CB5 Highfield</t>
  </si>
  <si>
    <t>L839</t>
  </si>
  <si>
    <t>Kellands Hill Recloser - CB16 Levels</t>
  </si>
  <si>
    <t>L811</t>
  </si>
  <si>
    <t>Rosebrook Rd - CB16 Levels</t>
  </si>
  <si>
    <t>L808</t>
  </si>
  <si>
    <t>Hadlow Craigmore - CB16 Levels</t>
  </si>
  <si>
    <t>L355</t>
  </si>
  <si>
    <t>Racecourse Rd - CB14 Seadown</t>
  </si>
  <si>
    <t>L287</t>
  </si>
  <si>
    <t>Pages Rd</t>
  </si>
  <si>
    <t>SH8 Seadown Rd</t>
  </si>
  <si>
    <t>L792</t>
  </si>
  <si>
    <t>Aorangi Rd</t>
  </si>
  <si>
    <t>2332</t>
  </si>
  <si>
    <t>33kV Incomer 1</t>
  </si>
  <si>
    <t>2382</t>
  </si>
  <si>
    <t>33kV Incomer 2</t>
  </si>
  <si>
    <t>2342</t>
  </si>
  <si>
    <t>33 kV T1 Incomer</t>
  </si>
  <si>
    <t>2372</t>
  </si>
  <si>
    <t>33 kV T2 Incomer</t>
  </si>
  <si>
    <t>11kV No 1 Incomer</t>
  </si>
  <si>
    <t>11kV No 2 Incomer</t>
  </si>
  <si>
    <t>Works No 1 Feeder - Protection Group 1</t>
  </si>
  <si>
    <t>Works No 2 Feeder - Protection Group 1</t>
  </si>
  <si>
    <t>St Andrews</t>
  </si>
  <si>
    <t>Normanby</t>
  </si>
  <si>
    <t>Holmestation</t>
  </si>
  <si>
    <t>L636</t>
  </si>
  <si>
    <t>Southburn x CB7</t>
  </si>
  <si>
    <t>W470</t>
  </si>
  <si>
    <t>Otaio River x CB4</t>
  </si>
  <si>
    <t>L643</t>
  </si>
  <si>
    <t>Pookes Rd x CB6</t>
  </si>
  <si>
    <t>W598</t>
  </si>
  <si>
    <t>Springbank Road x W470</t>
  </si>
  <si>
    <t>W599</t>
  </si>
  <si>
    <t>Campbell Forrest Road x W470</t>
  </si>
  <si>
    <t>L998</t>
  </si>
  <si>
    <t>Bluecliffs Road x CB4</t>
  </si>
  <si>
    <t>L1220</t>
  </si>
  <si>
    <t>Normanby Road x CB6</t>
  </si>
  <si>
    <t>33 kV Incomer CB x L269 Timaru</t>
  </si>
  <si>
    <t>SEL 387E</t>
  </si>
  <si>
    <t>11 kV Incomer</t>
  </si>
  <si>
    <t>PLP Township</t>
  </si>
  <si>
    <t>SEL 351A</t>
  </si>
  <si>
    <t>Totara Valley Feeder</t>
  </si>
  <si>
    <t>Sutherlands Feeder</t>
  </si>
  <si>
    <t>Waitawa</t>
  </si>
  <si>
    <t>L107</t>
  </si>
  <si>
    <t>Tengawai Recloser</t>
  </si>
  <si>
    <t>L1159</t>
  </si>
  <si>
    <t>Halstead Road Recloser (Group 1 Current)</t>
  </si>
  <si>
    <t>White Street</t>
  </si>
  <si>
    <t>GRM-HNT A</t>
  </si>
  <si>
    <t>Nile Street</t>
  </si>
  <si>
    <t>Parkview Terrace</t>
  </si>
  <si>
    <t>Douglas Street</t>
  </si>
  <si>
    <t>GRM-NST A</t>
  </si>
  <si>
    <t>CB10</t>
  </si>
  <si>
    <t>Ashbury Park</t>
  </si>
  <si>
    <t>Selwyn Street</t>
  </si>
  <si>
    <t>GRM-HNT B</t>
  </si>
  <si>
    <t>Park Lane</t>
  </si>
  <si>
    <t>CB16</t>
  </si>
  <si>
    <t>Evans Street</t>
  </si>
  <si>
    <t>CB17</t>
  </si>
  <si>
    <t>June Street</t>
  </si>
  <si>
    <t>CB18</t>
  </si>
  <si>
    <t>GRM-NST B</t>
  </si>
  <si>
    <t>CB19</t>
  </si>
  <si>
    <t>CB20</t>
  </si>
  <si>
    <t>Hobbs Street</t>
  </si>
  <si>
    <t>Harper Street</t>
  </si>
  <si>
    <t>Wilson St</t>
  </si>
  <si>
    <t>Baker St</t>
  </si>
  <si>
    <t>Le Cren St</t>
  </si>
  <si>
    <t>HNT-NST A</t>
  </si>
  <si>
    <t>Church St South Side</t>
  </si>
  <si>
    <t>Test Cubicle</t>
  </si>
  <si>
    <t>Gibson St</t>
  </si>
  <si>
    <t>Rhodes St</t>
  </si>
  <si>
    <t>Clifton Tce</t>
  </si>
  <si>
    <t>Church St North Side</t>
  </si>
  <si>
    <t>HNT-NST B</t>
  </si>
  <si>
    <t>Arthur St</t>
  </si>
  <si>
    <t>Redruth 1</t>
  </si>
  <si>
    <t>Rose Street</t>
  </si>
  <si>
    <t>Cragie Ave + LS1</t>
  </si>
  <si>
    <t>Grasmere A</t>
  </si>
  <si>
    <t>Hunt Street A</t>
  </si>
  <si>
    <t>Barnard St</t>
  </si>
  <si>
    <t>Port 1</t>
  </si>
  <si>
    <t>Fraser Steet</t>
  </si>
  <si>
    <t>Hayes Street</t>
  </si>
  <si>
    <t>High Street</t>
  </si>
  <si>
    <t>Port 2</t>
  </si>
  <si>
    <t>Hunt Street B</t>
  </si>
  <si>
    <t>Grasmere B</t>
  </si>
  <si>
    <t>Victoria Steet</t>
  </si>
  <si>
    <t>Stafford Street</t>
  </si>
  <si>
    <t>Redruth 2</t>
  </si>
  <si>
    <t>TKA_Protection</t>
  </si>
  <si>
    <t>33 kV Incomer x CB1042</t>
  </si>
  <si>
    <t>11kV incomer</t>
  </si>
  <si>
    <t>M204</t>
  </si>
  <si>
    <t>11kV alt incomer</t>
  </si>
  <si>
    <t>Godley Peaks Feeder</t>
  </si>
  <si>
    <t>Simons Pass Feeder</t>
  </si>
  <si>
    <t>Township Feeder</t>
  </si>
  <si>
    <t>Haldon - Lilybank Feeder</t>
  </si>
  <si>
    <t>Mt Cook 33 kV Feeder</t>
  </si>
  <si>
    <t>M216</t>
  </si>
  <si>
    <t>Golf Course Sub Tekapo x M214</t>
  </si>
  <si>
    <t>Eng. Elec. CDG</t>
  </si>
  <si>
    <t>22 kV feeder to Simons Pass</t>
  </si>
  <si>
    <t>Mt Cook Sub 33 kV Incomer x M272</t>
  </si>
  <si>
    <t>SEL751</t>
  </si>
  <si>
    <t>Mt Cook Sub 11 kV Feeder x M302</t>
  </si>
  <si>
    <t>Haldon/Lilybank Incomer x M200</t>
  </si>
  <si>
    <t>SEL/Nova/Ex CT 351R</t>
  </si>
  <si>
    <t>Haldon/Lilybank Incomer x M82</t>
  </si>
  <si>
    <t>M24</t>
  </si>
  <si>
    <t>To Glentanner x M318 x M346</t>
  </si>
  <si>
    <t>SEL351R</t>
  </si>
  <si>
    <t>M357</t>
  </si>
  <si>
    <t>Black Hole x M346</t>
  </si>
  <si>
    <t>To UHT x M318 x M346</t>
  </si>
  <si>
    <t>Guide Hill x M346</t>
  </si>
  <si>
    <t>TMK_Protection</t>
  </si>
  <si>
    <t>CB1212</t>
  </si>
  <si>
    <t>Temuka - Temuka 1</t>
  </si>
  <si>
    <t xml:space="preserve"> </t>
  </si>
  <si>
    <t>CB1222</t>
  </si>
  <si>
    <t>Temuka - Clandeboye T3</t>
  </si>
  <si>
    <t>CB1262</t>
  </si>
  <si>
    <t>Temuka - Temuka 2</t>
  </si>
  <si>
    <t>CB1272</t>
  </si>
  <si>
    <t>Temuka - Clandeboye T2</t>
  </si>
  <si>
    <t>CB1202</t>
  </si>
  <si>
    <t>Temuka - Rangitata Settings Group 1</t>
  </si>
  <si>
    <t>CB1192</t>
  </si>
  <si>
    <t>Temuka - Clandeboye T1</t>
  </si>
  <si>
    <t>CB1282</t>
  </si>
  <si>
    <t>Temuka - Clandeboye T4</t>
  </si>
  <si>
    <t>CB1292</t>
  </si>
  <si>
    <t>Temuka - Geraldine Settings Group 1</t>
  </si>
  <si>
    <t>Temuka West Feeder x T4</t>
  </si>
  <si>
    <t>SEL351S</t>
  </si>
  <si>
    <t>Milford Feeder x T4</t>
  </si>
  <si>
    <t>Winchester x T4</t>
  </si>
  <si>
    <t>OC(IT)LV</t>
  </si>
  <si>
    <t>Incoming No. 1 x CB1212</t>
  </si>
  <si>
    <t>Incoming No. 2 x CB1262</t>
  </si>
  <si>
    <t>Rangitata x T6</t>
  </si>
  <si>
    <t>Temuka East Feeder x T6</t>
  </si>
  <si>
    <t>Waitohi x T6</t>
  </si>
  <si>
    <t>G297</t>
  </si>
  <si>
    <t>Waihi Orari  x CB3</t>
  </si>
  <si>
    <t>Nova/351R 351R-F</t>
  </si>
  <si>
    <t>G300</t>
  </si>
  <si>
    <t xml:space="preserve">  Geraldine Winchester Road x CB3</t>
  </si>
  <si>
    <t>OC(IT)HV</t>
  </si>
  <si>
    <t>Clandeboye 33 Incomer No.1 x CB1192</t>
  </si>
  <si>
    <t>Clandeboye 33 Incomer No.2 x CB1272</t>
  </si>
  <si>
    <t>Milk Powder 2</t>
  </si>
  <si>
    <t>OC(IT)2</t>
  </si>
  <si>
    <t>Fire Services</t>
  </si>
  <si>
    <t>Whey Processing</t>
  </si>
  <si>
    <t>Lactose Plant</t>
  </si>
  <si>
    <t>T604</t>
  </si>
  <si>
    <t>Milford/Clandeboye Rd</t>
  </si>
  <si>
    <t>T1 Incomer</t>
  </si>
  <si>
    <t>T2 Incomer</t>
  </si>
  <si>
    <t>Milk Reception</t>
  </si>
  <si>
    <t>Chilled Water No. 1</t>
  </si>
  <si>
    <t>Effluent Plant</t>
  </si>
  <si>
    <t>Milk Treatment</t>
  </si>
  <si>
    <t>Rolleston Rd</t>
  </si>
  <si>
    <t>Powder Handling</t>
  </si>
  <si>
    <t>Clandeboye 33 Incomer No.3 x CB1222</t>
  </si>
  <si>
    <t>Clandeboye 33 Incomer No.4 x CB1282</t>
  </si>
  <si>
    <t>Mozz3 Packing</t>
  </si>
  <si>
    <t>Tie to Milk Powder 1</t>
  </si>
  <si>
    <t>Micom P122</t>
  </si>
  <si>
    <t>Milk Powder 3</t>
  </si>
  <si>
    <t>Tie to WPC</t>
  </si>
  <si>
    <t>Chilled Water 3</t>
  </si>
  <si>
    <t>Tie to Boiler House</t>
  </si>
  <si>
    <t>Main Incomer - T4</t>
  </si>
  <si>
    <t>Micom P141</t>
  </si>
  <si>
    <t>Main Incomer - T3</t>
  </si>
  <si>
    <t xml:space="preserve">Mozz Refrig/Mozz 2 </t>
  </si>
  <si>
    <t>Refrigeration</t>
  </si>
  <si>
    <t>Laboratory</t>
  </si>
  <si>
    <t>Mozz3 Main Process</t>
  </si>
  <si>
    <t>T127</t>
  </si>
  <si>
    <t>Rangitata Badham Rd x CB4</t>
  </si>
  <si>
    <t>T685</t>
  </si>
  <si>
    <t>Waitohi Rd x CB9</t>
  </si>
  <si>
    <t>NOVA 351 Falcon</t>
  </si>
  <si>
    <t>Gld Sub 33kV CB T2 x CB1292</t>
  </si>
  <si>
    <t>Gld Sub 11 kV CB T2 x G259</t>
  </si>
  <si>
    <t>Nulec U-Series</t>
  </si>
  <si>
    <t>Speechleys x G260</t>
  </si>
  <si>
    <t>Woodbury Feeder x G260</t>
  </si>
  <si>
    <t>Geraldine Township x G260</t>
  </si>
  <si>
    <t>G249</t>
  </si>
  <si>
    <t>Woodbury x G156</t>
  </si>
  <si>
    <t>G251</t>
  </si>
  <si>
    <t>Speechly x G194</t>
  </si>
  <si>
    <t>T565</t>
  </si>
  <si>
    <t>Pratt Rd x G249</t>
  </si>
  <si>
    <t xml:space="preserve">Nova/351R </t>
  </si>
  <si>
    <t>G295</t>
  </si>
  <si>
    <t>Sercombe Rd x G249</t>
  </si>
  <si>
    <t>G305</t>
  </si>
  <si>
    <t>Te Moana Road x G194</t>
  </si>
  <si>
    <t>NOVA15 SEL351R</t>
  </si>
  <si>
    <t>G332</t>
  </si>
  <si>
    <t>Earl Road - Siemens Fusesaver</t>
  </si>
  <si>
    <t>Siemens Fusesaver</t>
  </si>
  <si>
    <t>T550</t>
  </si>
  <si>
    <t>33 kV Incomer Recloser</t>
  </si>
  <si>
    <t>Micom P123</t>
  </si>
  <si>
    <t>T551</t>
  </si>
  <si>
    <t>11 kV Incomer CB</t>
  </si>
  <si>
    <t>Micom P123, P142</t>
  </si>
  <si>
    <t>T552</t>
  </si>
  <si>
    <t>Arundel Feeder</t>
  </si>
  <si>
    <t>T553</t>
  </si>
  <si>
    <t>Rangitata Island Feeder</t>
  </si>
  <si>
    <t>T554</t>
  </si>
  <si>
    <t>Orton Feeder</t>
  </si>
  <si>
    <t>T555</t>
  </si>
  <si>
    <t xml:space="preserve">Main South Rd Feeder </t>
  </si>
  <si>
    <t>1522</t>
  </si>
  <si>
    <t>33kV T1 Incomer GL107x</t>
  </si>
  <si>
    <t>1562</t>
  </si>
  <si>
    <t>33kV T2 Incomer GL107x</t>
  </si>
  <si>
    <t>35</t>
  </si>
  <si>
    <t>11kV T1 Incomer CB</t>
  </si>
  <si>
    <t>11kV T1 Incomer 387E</t>
  </si>
  <si>
    <t>36</t>
  </si>
  <si>
    <t>11kV T2 Incomer CB</t>
  </si>
  <si>
    <t>11kV T2 Incomer 387E</t>
  </si>
  <si>
    <t>2</t>
  </si>
  <si>
    <t>3</t>
  </si>
  <si>
    <t>4</t>
  </si>
  <si>
    <t>Main South Rd Feeder</t>
  </si>
  <si>
    <t>11</t>
  </si>
  <si>
    <t>Belfield</t>
  </si>
  <si>
    <t>12</t>
  </si>
  <si>
    <t>Orton</t>
  </si>
  <si>
    <t>13</t>
  </si>
  <si>
    <t>Rangitata island Feeder</t>
  </si>
  <si>
    <t>CNL - RGA</t>
  </si>
  <si>
    <t>TWZ_Protection</t>
  </si>
  <si>
    <t>Twizel - AE Feeder</t>
  </si>
  <si>
    <t>CB6372</t>
  </si>
  <si>
    <t>Twizel Substation Incoming 33 kV CB</t>
  </si>
  <si>
    <t>AEL/Eng. Elec PBO2/CAG</t>
  </si>
  <si>
    <t>Twizel Substation - Urban No 1</t>
  </si>
  <si>
    <t>Twizel Substation - Urban No 2</t>
  </si>
  <si>
    <t>Twizel Substation - Industrial</t>
  </si>
  <si>
    <t>Twizel Substation - Rural Feeder</t>
  </si>
  <si>
    <t>Twizel Substation - Local Service</t>
  </si>
  <si>
    <t>Source Query</t>
  </si>
  <si>
    <t>Feeder ID</t>
  </si>
  <si>
    <t>Voltage (kV)</t>
  </si>
  <si>
    <t>CB4242_Albury 33/11 Substation 33 kV CB</t>
  </si>
  <si>
    <t>F150_Brothers x CB2</t>
  </si>
  <si>
    <t>F138_Cave Cannington (Anne St) x CB1</t>
  </si>
  <si>
    <t>F295_Clelands Rd x CB1</t>
  </si>
  <si>
    <t>F392_Proposed Ripple Plant</t>
  </si>
  <si>
    <t xml:space="preserve">F323_Fairlie Substation 33 kV CB </t>
  </si>
  <si>
    <t>F377_11 kV incomer</t>
  </si>
  <si>
    <t>F380_FLE Rural</t>
  </si>
  <si>
    <t>F383_FLE Township</t>
  </si>
  <si>
    <t>F341_Allandale</t>
  </si>
  <si>
    <t>F287_Burkes Pass</t>
  </si>
  <si>
    <t>F189_Cricklewood</t>
  </si>
  <si>
    <t>F359_Clayton Road 11kV</t>
  </si>
  <si>
    <t>F418_Hunterslea Rd</t>
  </si>
  <si>
    <t>F426_Chamberlain Rd</t>
  </si>
  <si>
    <t xml:space="preserve">F400_ABY-FLE-OPU 33 kV CB </t>
  </si>
  <si>
    <t>F329_Opuha 33 kV CB x F319</t>
  </si>
  <si>
    <t>CB522_Dif (Winding 2 - CNR)</t>
  </si>
  <si>
    <t>CB482_Dif (Winding 1)</t>
  </si>
  <si>
    <t>CB442_Dif (Winding 1)</t>
  </si>
  <si>
    <t>CB3602_Dif (Winding 2 - CNR)</t>
  </si>
  <si>
    <t>CB35_Dif (Winding 3 - T1 Incomer)</t>
  </si>
  <si>
    <t>CB36_Dif (Winding 3 - T2 Incomer)</t>
  </si>
  <si>
    <t>CB11_WDI Pump Station</t>
  </si>
  <si>
    <t>CB14_Tawai/Waihuna</t>
  </si>
  <si>
    <t>CB15_Ripple Plant</t>
  </si>
  <si>
    <t>W176_Morven Reg Site x CB3</t>
  </si>
  <si>
    <t>W590_Glenavy Tawai xW608</t>
  </si>
  <si>
    <t>W608_Tawai xCB14</t>
  </si>
  <si>
    <t>W611_Waihuna leg xCB14</t>
  </si>
  <si>
    <t>CB642_T1</t>
  </si>
  <si>
    <t>CB35_Incomer T1</t>
  </si>
  <si>
    <t>CB36_Incomer STU</t>
  </si>
  <si>
    <t>CB9_Wet Process</t>
  </si>
  <si>
    <t>CB11_Utilities Services</t>
  </si>
  <si>
    <t>CB4_Incomer T5</t>
  </si>
  <si>
    <t>CB6_Incomer T6</t>
  </si>
  <si>
    <t>CB1_Otatio</t>
  </si>
  <si>
    <t>CB8_Mt. Studholme</t>
  </si>
  <si>
    <t>W196_Faulkners Rd - Morven x CB</t>
  </si>
  <si>
    <t>W411_Park Rd. Waimate x CB</t>
  </si>
  <si>
    <t>W515_Arno x W411</t>
  </si>
  <si>
    <t>W366_Near Skeggs, Otaio</t>
  </si>
  <si>
    <t>W365_SH1 Folleys Rd, Studholme</t>
  </si>
  <si>
    <t>W499_Parsonage Rd, Mt Studholme</t>
  </si>
  <si>
    <t>W465_Hunter Makikihi Rd</t>
  </si>
  <si>
    <t>W245_Crowes Rd</t>
  </si>
  <si>
    <t>W664_Park Rd. #2 Waimate x CB</t>
  </si>
  <si>
    <t>W685_SH1 north of Makikihi</t>
  </si>
  <si>
    <t>2752_11 kV incomer T3</t>
  </si>
  <si>
    <t>2842_11 kV incomer T4</t>
  </si>
  <si>
    <t>2932_11 kV incomer T6</t>
  </si>
  <si>
    <t>2682_Ripple Plant 1/Showgrounds</t>
  </si>
  <si>
    <t>2992_Ripple Plant 2/Goulds Road</t>
  </si>
  <si>
    <t>2702_Morgans Road</t>
  </si>
  <si>
    <t>2712_Mountainview Road</t>
  </si>
  <si>
    <t>2742_Seadown</t>
  </si>
  <si>
    <t>2762_AEL Yard</t>
  </si>
  <si>
    <t>2832_Grants Road</t>
  </si>
  <si>
    <t>2852_Levels</t>
  </si>
  <si>
    <t>2862_Meadows Road</t>
  </si>
  <si>
    <t>2942_Old North Road</t>
  </si>
  <si>
    <t>2952_Highfield</t>
  </si>
  <si>
    <t>2972_Smithfield</t>
  </si>
  <si>
    <t>2732_Transformer T1</t>
  </si>
  <si>
    <t>2922_Transformer T2</t>
  </si>
  <si>
    <t>2692_NST-TIM 1</t>
  </si>
  <si>
    <t>2982_NST-TIM 2</t>
  </si>
  <si>
    <t>2912_GRM-TIM A</t>
  </si>
  <si>
    <t>2822_GRM-TIM B</t>
  </si>
  <si>
    <t>2812_GRM-TIM C</t>
  </si>
  <si>
    <t>2772_GRM-TIM D</t>
  </si>
  <si>
    <t>2662_Waipopo</t>
  </si>
  <si>
    <t>2672_Washdyke</t>
  </si>
  <si>
    <t>3002_Elginshire</t>
  </si>
  <si>
    <t>3012_Arowhenua</t>
  </si>
  <si>
    <t>L509_Scenic Reserve Recloser - CB5 Highfield</t>
  </si>
  <si>
    <t>L839_Kellands Hill Recloser - CB16 Levels</t>
  </si>
  <si>
    <t>L811_Rosebrook Rd - CB16 Levels</t>
  </si>
  <si>
    <t>L808_Hadlow Craigmore - CB16 Levels</t>
  </si>
  <si>
    <t>L355_Racecourse Rd - CB14 Seadown</t>
  </si>
  <si>
    <t>L287_Pages Rd</t>
  </si>
  <si>
    <t>L876_SH8 Seadown Rd</t>
  </si>
  <si>
    <t>L792_Aorangi Rd</t>
  </si>
  <si>
    <t>2332_33kV Incomer 1</t>
  </si>
  <si>
    <t>2382_33kV Incomer 2</t>
  </si>
  <si>
    <t>2342_33 kV T1 Incomer</t>
  </si>
  <si>
    <t>2372_33 kV T2 Incomer</t>
  </si>
  <si>
    <t>CB35_11kV No 1 Incomer</t>
  </si>
  <si>
    <t>CB36_11kV No 2 Incomer</t>
  </si>
  <si>
    <t>CB3_Works No 1 - Protection Group 1</t>
  </si>
  <si>
    <t>CB5_Works No 2 - Protection Group 1</t>
  </si>
  <si>
    <t>L636_Southburn x CB7</t>
  </si>
  <si>
    <t>W470_Otaio River x CB4</t>
  </si>
  <si>
    <t>L643_Pookes Rd x CB6</t>
  </si>
  <si>
    <t>W598_Springbank Road x W470</t>
  </si>
  <si>
    <t>W599_Campbell Forrest Road x W470</t>
  </si>
  <si>
    <t>L998_Bluecliffs Road x CB4</t>
  </si>
  <si>
    <t>L1220_Normanby Road x CB6</t>
  </si>
  <si>
    <t>L250_33 kV Incomer CB x L269 Timaru</t>
  </si>
  <si>
    <t>CB3_11 kV Incomer</t>
  </si>
  <si>
    <t>CB5_PLP Township</t>
  </si>
  <si>
    <t>L107_Tengawai Recloser</t>
  </si>
  <si>
    <t>L1159_Halstead Road Recloser (Group 1 Current)</t>
  </si>
  <si>
    <t>CB2_White Street</t>
  </si>
  <si>
    <t>CB3_GRM-TIM A</t>
  </si>
  <si>
    <t>CB5_Nile Street</t>
  </si>
  <si>
    <t>CB7_Douglas Street</t>
  </si>
  <si>
    <t>CB8_GRM-TIM B</t>
  </si>
  <si>
    <t>CB12_Selwyn Street</t>
  </si>
  <si>
    <t>CB14_GRM-TIM C</t>
  </si>
  <si>
    <t>CB16_Evans Street</t>
  </si>
  <si>
    <t>CB17_June Street</t>
  </si>
  <si>
    <t>CB19_GRM-TIM D</t>
  </si>
  <si>
    <t>CB20_Hobbs Street</t>
  </si>
  <si>
    <t>CB1_Harper Street</t>
  </si>
  <si>
    <t>CB3_GRM-HNT A</t>
  </si>
  <si>
    <t>CB7_Church St South Side</t>
  </si>
  <si>
    <t>CB8_Test Cubicle</t>
  </si>
  <si>
    <t>CB12_GRM-HNT B</t>
  </si>
  <si>
    <t>CB13_Clifton Tce</t>
  </si>
  <si>
    <t>CB14_Church St North Side</t>
  </si>
  <si>
    <t>CB17_Spare</t>
  </si>
  <si>
    <t>CB4_Rose Street</t>
  </si>
  <si>
    <t>CB5_Cragie Ave + LS1</t>
  </si>
  <si>
    <t>CB6_Grasmere A</t>
  </si>
  <si>
    <t>CB35_NST-TIM 1</t>
  </si>
  <si>
    <t>CB7_Hunt Street A</t>
  </si>
  <si>
    <t>CB10_Fraser Steet</t>
  </si>
  <si>
    <t>CB11_Hayes Street</t>
  </si>
  <si>
    <t>CB12_High Street</t>
  </si>
  <si>
    <t>CB14_Hunt Street B</t>
  </si>
  <si>
    <t>CB36_NST-TIM 2</t>
  </si>
  <si>
    <t>CB15_Grasmere B</t>
  </si>
  <si>
    <t>CB16_Victoria Steet</t>
  </si>
  <si>
    <t>CB17_Stafford Street</t>
  </si>
  <si>
    <t>M167_33 kV Incomer x CB1042</t>
  </si>
  <si>
    <t>M202_11kV incomer</t>
  </si>
  <si>
    <t>M204_11kV alt incomer</t>
  </si>
  <si>
    <t>M205_Godley Peaks</t>
  </si>
  <si>
    <t>M201_Simons Pass</t>
  </si>
  <si>
    <t>M206_Township</t>
  </si>
  <si>
    <t>M200_Haldon - Lilybank</t>
  </si>
  <si>
    <t>M346_Mt Cook 33 kV</t>
  </si>
  <si>
    <t>M216_Golf Course Sub Tekapo x M214</t>
  </si>
  <si>
    <t>M331_11kV incomer</t>
  </si>
  <si>
    <t>M338_22 kV to Simons Pass</t>
  </si>
  <si>
    <t>M302_Mt Cook Sub 33 kV Incomer x M272</t>
  </si>
  <si>
    <t>M158_Mt Cook Sub 11 kV x M302</t>
  </si>
  <si>
    <t>M159_Mt Cook Sub 11 kV x M302</t>
  </si>
  <si>
    <t>M82_Haldon/Lilybank Incomer x M200</t>
  </si>
  <si>
    <t>M86_Haldon/Lilybank Incomer x M82</t>
  </si>
  <si>
    <t>M24_To Glentanner x M318 x M346</t>
  </si>
  <si>
    <t>M357_Black Hole x M346</t>
  </si>
  <si>
    <t>M272_To UHT x M318 x M346</t>
  </si>
  <si>
    <t>M318_Guide Hill x M346</t>
  </si>
  <si>
    <t>CB1212_Temuka - Temuka 1</t>
  </si>
  <si>
    <t>CB1222_Temuka - Clandeboye T3</t>
  </si>
  <si>
    <t>CB1262_Temuka - Temuka 2</t>
  </si>
  <si>
    <t>CB1272_Temuka - Clandeboye T2</t>
  </si>
  <si>
    <t>CB1202_Temuka - Rangitata Settings Group 1</t>
  </si>
  <si>
    <t>CB1192_Temuka - Clandeboye T1</t>
  </si>
  <si>
    <t>CB1282_Temuka - Clandeboye T4</t>
  </si>
  <si>
    <t>CB1292_Temuka - Geraldine Settings Group 1</t>
  </si>
  <si>
    <t>CB1_Temuka West x T4</t>
  </si>
  <si>
    <t>CB2_Milford x T4</t>
  </si>
  <si>
    <t>CB3_Winchester x T4</t>
  </si>
  <si>
    <t>CB4_Incoming No. 1 x CB1212</t>
  </si>
  <si>
    <t>CB6_Incoming No. 2 x CB1262</t>
  </si>
  <si>
    <t>CB7_Rangitata x T6</t>
  </si>
  <si>
    <t>CB8_Temuka East x T6</t>
  </si>
  <si>
    <t>CB9_Waitohi x T6</t>
  </si>
  <si>
    <t>G297_Waihi Orari  x CB3</t>
  </si>
  <si>
    <t>G300_  Geraldine Winchester Road x CB3</t>
  </si>
  <si>
    <t>T615_Clandeboye 33 Incomer No.1 x CB1192</t>
  </si>
  <si>
    <t>T616_Clandeboye 33 Incomer No.2 x CB1272</t>
  </si>
  <si>
    <t>T600_Milk Powder 2</t>
  </si>
  <si>
    <t>T604_Spare</t>
  </si>
  <si>
    <t>T605_Milford/Clandeboye Rd</t>
  </si>
  <si>
    <t>T606_T1 Incomer</t>
  </si>
  <si>
    <t>T608_T2 Incomer</t>
  </si>
  <si>
    <t>T610_Chilled Water No. 1</t>
  </si>
  <si>
    <t>T614_Powder Handling</t>
  </si>
  <si>
    <t>T662_Clandeboye 33 Incomer No.3 x CB1222</t>
  </si>
  <si>
    <t>T663_Clandeboye 33 Incomer No.4 x CB1282</t>
  </si>
  <si>
    <t>CB2_Mozz3 Packing</t>
  </si>
  <si>
    <t>T655_Main Incomer - T4</t>
  </si>
  <si>
    <t>T657_Main Incomer - T3</t>
  </si>
  <si>
    <t xml:space="preserve">T659_Mozz Refrig/Mozz 2 </t>
  </si>
  <si>
    <t>CB15_Mozz3 Main Process</t>
  </si>
  <si>
    <t>T127_Rangitata Badham Rd x CB4</t>
  </si>
  <si>
    <t>T685_Waitohi Rd x CB9</t>
  </si>
  <si>
    <t>G259_Gld Sub 33kV CB T2 x CB1292</t>
  </si>
  <si>
    <t>G260_Gld Sub 11 kV CB T2 x G259</t>
  </si>
  <si>
    <t>G194_Speechleys x G260</t>
  </si>
  <si>
    <t>G156_Woodbury x G260</t>
  </si>
  <si>
    <t>G191_Geraldine Township x G260</t>
  </si>
  <si>
    <t>G249_Woodbury x G156</t>
  </si>
  <si>
    <t>G251_Speechly x G194</t>
  </si>
  <si>
    <t>T565_Pratt Rd x G249</t>
  </si>
  <si>
    <t>G295_Sercombe Rd x G249</t>
  </si>
  <si>
    <t>G305_Te Moana Road x G194</t>
  </si>
  <si>
    <t>G332_Earl Road - Siemens Fusesaver</t>
  </si>
  <si>
    <t>T550_33 kV Incomer Recloser</t>
  </si>
  <si>
    <t>T551_11 kV Incomer CB</t>
  </si>
  <si>
    <t>T552_Arundel</t>
  </si>
  <si>
    <t>T553_Rangitata Island</t>
  </si>
  <si>
    <t>T554_Orton</t>
  </si>
  <si>
    <t xml:space="preserve">T555_Main South Rd </t>
  </si>
  <si>
    <t>1522_33kV T1 Incomer GL107x</t>
  </si>
  <si>
    <t>1562_33kV T2 Incomer GL107x</t>
  </si>
  <si>
    <t>35_11kV T1 Incomer CB</t>
  </si>
  <si>
    <t>35_11kV T1 Incomer 387E</t>
  </si>
  <si>
    <t>36_11kV T2 Incomer CB</t>
  </si>
  <si>
    <t>36_11kV T2 Incomer 387E</t>
  </si>
  <si>
    <t>2_Arundel</t>
  </si>
  <si>
    <t>3_Orton</t>
  </si>
  <si>
    <t>4_Main South Rd</t>
  </si>
  <si>
    <t>11_Belfield</t>
  </si>
  <si>
    <t>12_Orton</t>
  </si>
  <si>
    <t>13_Rangitata island</t>
  </si>
  <si>
    <t>1412_CNL - RGA</t>
  </si>
  <si>
    <t>CB6312_Twizel - AE</t>
  </si>
  <si>
    <t>CB6372_Twizel - AE</t>
  </si>
  <si>
    <t>Z68_Twizel Substation Incoming 33 kV CB</t>
  </si>
  <si>
    <t>Z1_Twizel Substation - Urban No 1</t>
  </si>
  <si>
    <t>Z2_Twizel Substation - Urban No 2</t>
  </si>
  <si>
    <t>Z3_Twizel Substation - Industrial</t>
  </si>
  <si>
    <t>Z4_Twizel Substation - Rural</t>
  </si>
  <si>
    <t>Z9_Twizel Substation - Local Service</t>
  </si>
  <si>
    <t>Zone Sub</t>
  </si>
  <si>
    <t>CD1</t>
  </si>
  <si>
    <t>CD2</t>
  </si>
  <si>
    <t>ABY-CB62</t>
  </si>
  <si>
    <t>ABY-CB2712</t>
  </si>
  <si>
    <t>ABY-CB2712-OEL</t>
  </si>
  <si>
    <t>ABY-CB2722</t>
  </si>
  <si>
    <t>ABY-CB2732</t>
  </si>
  <si>
    <t>ABY-CB2742</t>
  </si>
  <si>
    <t>ABY-CB4242</t>
  </si>
  <si>
    <t>CNR-CB642</t>
  </si>
  <si>
    <t>TIM-CB92</t>
  </si>
  <si>
    <t>TIM-CB2752</t>
  </si>
  <si>
    <t>TIM-CB42</t>
  </si>
  <si>
    <t>TIM-CB2842</t>
  </si>
  <si>
    <t>TIM-DCB102</t>
  </si>
  <si>
    <t>TIM-CB2932</t>
  </si>
  <si>
    <t>TIM-CB2662</t>
  </si>
  <si>
    <t>TIM-CB2672</t>
  </si>
  <si>
    <t>TIM-CB2682</t>
  </si>
  <si>
    <t>TIM-CB2692</t>
  </si>
  <si>
    <t>TIM-CB2702</t>
  </si>
  <si>
    <t>TIM-CB2712</t>
  </si>
  <si>
    <t>TIM-CB2732</t>
  </si>
  <si>
    <t>TIM-CB2742</t>
  </si>
  <si>
    <t>TIM-CB2762</t>
  </si>
  <si>
    <t>TIM-CB2772</t>
  </si>
  <si>
    <t>TIM-CB2812</t>
  </si>
  <si>
    <t>TIM-CB2822</t>
  </si>
  <si>
    <t>TIM-CB2832</t>
  </si>
  <si>
    <t>TIM-CB2852</t>
  </si>
  <si>
    <t>TIM-CB2862</t>
  </si>
  <si>
    <t>TIM-CB2912</t>
  </si>
  <si>
    <t>TIM-CB2922</t>
  </si>
  <si>
    <t>TIM-CB2942</t>
  </si>
  <si>
    <t>TIM-CB2952</t>
  </si>
  <si>
    <t>TIM-CB2972</t>
  </si>
  <si>
    <t>TIM-CB2982</t>
  </si>
  <si>
    <t>TIM-CB2992</t>
  </si>
  <si>
    <t>TIM-CB3012</t>
  </si>
  <si>
    <t>TIM-CB3002</t>
  </si>
  <si>
    <t>GRM-CB2</t>
  </si>
  <si>
    <t>GRM-CB5</t>
  </si>
  <si>
    <t>GRM-CB6</t>
  </si>
  <si>
    <t>GRM-CB7</t>
  </si>
  <si>
    <t>GRM-CB31</t>
  </si>
  <si>
    <t>GRM-CB12</t>
  </si>
  <si>
    <t>GRM-CB13</t>
  </si>
  <si>
    <t>GRM-CB16</t>
  </si>
  <si>
    <t>GRM-CB17</t>
  </si>
  <si>
    <t>GRM-CB18</t>
  </si>
  <si>
    <t>HNT-CB1</t>
  </si>
  <si>
    <t>HNT-CB2</t>
  </si>
  <si>
    <t>HNT-CB4</t>
  </si>
  <si>
    <t>HNT-CB5</t>
  </si>
  <si>
    <t>HNT-CB6</t>
  </si>
  <si>
    <t>HNT-CB7</t>
  </si>
  <si>
    <t>HNT-CB8</t>
  </si>
  <si>
    <t>HNT-CB10</t>
  </si>
  <si>
    <t>HNT-CB11</t>
  </si>
  <si>
    <t>HNT-CB12</t>
  </si>
  <si>
    <t>HNT-CB13</t>
  </si>
  <si>
    <t>HNT-CB14</t>
  </si>
  <si>
    <t>HNT-CB15</t>
  </si>
  <si>
    <t>HNT-CB16</t>
  </si>
  <si>
    <t>HNT-CB17</t>
  </si>
  <si>
    <t>HNT-CB3</t>
  </si>
  <si>
    <t>TIM-CB2752-OEL</t>
  </si>
  <si>
    <t>TIM-CB2841-OEL</t>
  </si>
  <si>
    <t>TIM-CBT4-CB2842</t>
  </si>
  <si>
    <t>TIM-CB2932-OEL</t>
  </si>
  <si>
    <t>NST-CB6</t>
  </si>
  <si>
    <t>NST-CB35</t>
  </si>
  <si>
    <t>NST-CB7</t>
  </si>
  <si>
    <t>NST-CB10</t>
  </si>
  <si>
    <t>NST-CB31</t>
  </si>
  <si>
    <t>NST-CB32</t>
  </si>
  <si>
    <t>NST-CB11</t>
  </si>
  <si>
    <t>NST-CB12</t>
  </si>
  <si>
    <t>NST-CB13</t>
  </si>
  <si>
    <t>NST-CB14</t>
  </si>
  <si>
    <t>NST-CB36</t>
  </si>
  <si>
    <t>NST-CB15</t>
  </si>
  <si>
    <t>NST-CB16</t>
  </si>
  <si>
    <t>PAR-CB2332</t>
  </si>
  <si>
    <t>PAR-CB2382</t>
  </si>
  <si>
    <t>PAR-CB2342</t>
  </si>
  <si>
    <t>PAR-CB35</t>
  </si>
  <si>
    <t>PAR-CB2372</t>
  </si>
  <si>
    <t>PAR-CB36</t>
  </si>
  <si>
    <t>PAR-CB3</t>
  </si>
  <si>
    <t>PAR-CB4</t>
  </si>
  <si>
    <t>PAR-CB5</t>
  </si>
  <si>
    <t>PAR-CB6</t>
  </si>
  <si>
    <t>PAR-CB7</t>
  </si>
  <si>
    <t>PLP-CB3</t>
  </si>
  <si>
    <t>PLP-CB1</t>
  </si>
  <si>
    <t>TKA-CB1042</t>
  </si>
  <si>
    <t>TKA-CB32</t>
  </si>
  <si>
    <t>TKA-CB37</t>
  </si>
  <si>
    <t>TKA-CB72</t>
  </si>
  <si>
    <t>TMK-CB132</t>
  </si>
  <si>
    <t>TMK-CB1252</t>
  </si>
  <si>
    <t>TMK-CB112</t>
  </si>
  <si>
    <t>TMK-CB1232</t>
  </si>
  <si>
    <t>TMK-CB1192</t>
  </si>
  <si>
    <t>TMK-CB1202</t>
  </si>
  <si>
    <t>TMK-CB1212</t>
  </si>
  <si>
    <t>TMK-CB1222</t>
  </si>
  <si>
    <t>TMK-CB1262</t>
  </si>
  <si>
    <t>TMK-CB1272</t>
  </si>
  <si>
    <t>TMK-CB1282</t>
  </si>
  <si>
    <t>TMK-CB1292</t>
  </si>
  <si>
    <t>TMK-CB4</t>
  </si>
  <si>
    <t>TMK-CB6</t>
  </si>
  <si>
    <t>TMK-CB1</t>
  </si>
  <si>
    <t>TMK-CB2</t>
  </si>
  <si>
    <t>TMK-CB3</t>
  </si>
  <si>
    <t>TMK-CB7</t>
  </si>
  <si>
    <t>TMK-CB8</t>
  </si>
  <si>
    <t>TMK-CB9</t>
  </si>
  <si>
    <t>CD2-CB2</t>
  </si>
  <si>
    <t>CD2-CB15</t>
  </si>
  <si>
    <t>TWZ-CB2492</t>
  </si>
  <si>
    <t>TWZ-CB6302</t>
  </si>
  <si>
    <t>TWZ-CB6312</t>
  </si>
  <si>
    <t>Min Pickup (A)</t>
  </si>
  <si>
    <t xml:space="preserve">TEGRASMERE4 </t>
  </si>
  <si>
    <t>GRM-CB9</t>
  </si>
  <si>
    <t>GRM-CB4</t>
  </si>
  <si>
    <t>GRM-CB10</t>
  </si>
  <si>
    <t>GRM-CB15</t>
  </si>
  <si>
    <t>GRM-CB20</t>
  </si>
  <si>
    <t>NST-CB17</t>
  </si>
  <si>
    <t>NST-CB18</t>
  </si>
  <si>
    <t>PLP-CB2</t>
  </si>
  <si>
    <t>PLP-CB4</t>
  </si>
  <si>
    <t>PLP-CB5</t>
  </si>
  <si>
    <t>NST-CB3</t>
  </si>
  <si>
    <t>NST-CB4</t>
  </si>
  <si>
    <t>NST-CB8</t>
  </si>
  <si>
    <t>NST-CB9</t>
  </si>
  <si>
    <t>NST-CB5</t>
  </si>
  <si>
    <t>AEL 15000\RPS 860RP1685\AEL Transformer database</t>
  </si>
  <si>
    <t>GEMA\AEL 3266-02\AEL Transformer database</t>
  </si>
  <si>
    <t>GEMA\RPS 860RP1922\AEL Transformer database</t>
  </si>
  <si>
    <t>RPS 860RP1922\AEL Transformer database</t>
  </si>
  <si>
    <t>GEMA\RPS 860RP1352\AEL Transformer database</t>
  </si>
  <si>
    <t>TP Branch Report TIM.FDR.2662\AEL Transformer database</t>
  </si>
  <si>
    <t>TP Branch Report TIM.FDR.2672\AEL Transformer database</t>
  </si>
  <si>
    <t>TP Branch Report TIM.FDR.2682\AEL Transformer database</t>
  </si>
  <si>
    <t>TP Branch Report TIM.FDR.2692\AEL Transformer database</t>
  </si>
  <si>
    <t>TP Branch Report TIM.FDR.2702\AEL Transformer database</t>
  </si>
  <si>
    <t>TP Branch Report TIM.FDR.2712\AEL Transformer database</t>
  </si>
  <si>
    <t>TP Branch Report TIM.FDR.2732\AEL Transformer database</t>
  </si>
  <si>
    <t>TP Branch Report TIM.FDR.2742\AEL Transformer database</t>
  </si>
  <si>
    <t>TP Branch Report TIM.FDR.2762\AEL Transformer database</t>
  </si>
  <si>
    <t>TP Branch Report TIM.FDR.2772\AEL Transformer database</t>
  </si>
  <si>
    <t>TP Branch Report TIM.FDR.2812\AEL Transformer database</t>
  </si>
  <si>
    <t>TP Branch Report TIM.FDR.2822\AEL Transformer database</t>
  </si>
  <si>
    <t>TP Branch Report TIM.FDR.2832\AEL Transformer database</t>
  </si>
  <si>
    <t>TP Branch Report TIM.FDR.2852\AEL Transformer database</t>
  </si>
  <si>
    <t>TP Branch Report TIM.FDR.2862\AEL Transformer database</t>
  </si>
  <si>
    <t>TP Branch Report TIM.FDR.2912\AEL Transformer database</t>
  </si>
  <si>
    <t>TP Branch Report TIM.FDR.2922\AEL Transformer database</t>
  </si>
  <si>
    <t>TP Branch Report TIM.FDR.2942\AEL Transformer database</t>
  </si>
  <si>
    <t>TP Branch Report TIM.FDR.2952\AEL Transformer database</t>
  </si>
  <si>
    <t>TP Branch Report TIM.FDR.2972\AEL Transformer database</t>
  </si>
  <si>
    <t>TP Branch Report TIM.FDR.2982\AEL Transformer database</t>
  </si>
  <si>
    <t>TP Branch Report TIM.FDR.2992\AEL Transformer database</t>
  </si>
  <si>
    <t>TP Branch Report TIM.FDR.3012\AEL Transformer database</t>
  </si>
  <si>
    <t>TP Branch Report TIM.FDR.3002\AEL Transformer database</t>
  </si>
  <si>
    <t>GEMA\860RP1788\AEL Transformer database</t>
  </si>
  <si>
    <t>GEMA\AEL Drawing 12052\AEL Transformer database</t>
  </si>
  <si>
    <t>GEMA\AEL Drawing 12052\ 860RP1606\AEL Transformer database</t>
  </si>
  <si>
    <t>GEMA\AEL Drawing 7586-04\AEL Transformer database</t>
  </si>
  <si>
    <t>GEMA\AEL Drawing 11997\AEL Transformer database</t>
  </si>
  <si>
    <t>TP Branch Report TMK.FDR.1192/AEL Protection Database</t>
  </si>
  <si>
    <t>TP Branch Report TMK.FDR.1202/AEL Protection Database</t>
  </si>
  <si>
    <t>TP Branch Report TMK.FDR.1212/AEL Protection Database</t>
  </si>
  <si>
    <t>TP Branch Report TMK.FDR.1222/AEL Protection Database</t>
  </si>
  <si>
    <t>TP Branch Report TMK.FDR.1262/AEL Protection Database</t>
  </si>
  <si>
    <t>TP Branch Report TMK.FDR.1272/AEL Protection Database</t>
  </si>
  <si>
    <t>TP Branch Report TMK.FDR.1282/AEL Protection Database</t>
  </si>
  <si>
    <t>TP Branch Report TMK.FDR.1292/AEL Protection Database</t>
  </si>
  <si>
    <t>TP Branch Report TWZ.FDR.6312/AEL Protection Database</t>
  </si>
  <si>
    <r>
      <rPr>
        <sz val="20"/>
        <color theme="1"/>
        <rFont val="Cambria"/>
        <family val="1"/>
        <scheme val="major"/>
      </rPr>
      <t>ALBURY SUBSTATION</t>
    </r>
    <r>
      <rPr>
        <sz val="11"/>
        <color theme="1"/>
        <rFont val="Calibri"/>
        <family val="2"/>
        <scheme val="minor"/>
      </rPr>
      <t xml:space="preserve"> (C251)</t>
    </r>
  </si>
  <si>
    <t>Supporting info</t>
  </si>
  <si>
    <t>OC Pick up
Reference ID</t>
  </si>
  <si>
    <t>Notes</t>
  </si>
  <si>
    <t>CB62</t>
  </si>
  <si>
    <t>Account</t>
  </si>
  <si>
    <t>Take CB into</t>
  </si>
  <si>
    <t>SCADA ID</t>
  </si>
  <si>
    <t>SCADA Reference</t>
  </si>
  <si>
    <t>Load Capability Reference</t>
  </si>
  <si>
    <t>OC Protection Reference</t>
  </si>
  <si>
    <t>LIMITING EQUIPMENT</t>
  </si>
  <si>
    <t>Rated</t>
  </si>
  <si>
    <t>TRANSPOWER INCOMER</t>
  </si>
  <si>
    <t>FAIRLIE</t>
  </si>
  <si>
    <r>
      <rPr>
        <sz val="20"/>
        <color theme="1"/>
        <rFont val="Cambria"/>
        <family val="1"/>
        <scheme val="major"/>
      </rPr>
      <t>FAIRLIE SUBSTATION</t>
    </r>
    <r>
      <rPr>
        <sz val="11"/>
        <color theme="1"/>
        <rFont val="Calibri"/>
        <family val="2"/>
        <scheme val="minor"/>
      </rPr>
      <t xml:space="preserve"> (C1)</t>
    </r>
  </si>
  <si>
    <t>T1 HV CB</t>
  </si>
  <si>
    <t>T1 LV INCOMER</t>
  </si>
  <si>
    <t>CRICKLEWOOD</t>
  </si>
  <si>
    <t>FAIRLIE RURAL</t>
  </si>
  <si>
    <t>FAIRLIE TOWNSHIP</t>
  </si>
  <si>
    <t>OPU-F400</t>
  </si>
  <si>
    <t>FLE-F323</t>
  </si>
  <si>
    <t>FLE-F377</t>
  </si>
  <si>
    <t>FLE-F376</t>
  </si>
  <si>
    <t>FLE-F375</t>
  </si>
  <si>
    <t>FLE-F374</t>
  </si>
  <si>
    <t>FLE-F380</t>
  </si>
  <si>
    <t>FLE-F383</t>
  </si>
  <si>
    <t>ATM-L413</t>
  </si>
  <si>
    <t>ATM-L418</t>
  </si>
  <si>
    <t>ATM-L269</t>
  </si>
  <si>
    <t>PLP-L250</t>
  </si>
  <si>
    <t>UHT-M302</t>
  </si>
  <si>
    <t>UHT-M158</t>
  </si>
  <si>
    <t>UHT-M159</t>
  </si>
  <si>
    <t>TEK-M205</t>
  </si>
  <si>
    <t>TEK-M167</t>
  </si>
  <si>
    <t>TEK-M202</t>
  </si>
  <si>
    <t>TEK-M200</t>
  </si>
  <si>
    <t>TEK-M201</t>
  </si>
  <si>
    <t>TEK-M206</t>
  </si>
  <si>
    <t>OMR-M201</t>
  </si>
  <si>
    <t>GLD-G259</t>
  </si>
  <si>
    <t>GLD-G260</t>
  </si>
  <si>
    <t>GLD-G194</t>
  </si>
  <si>
    <t>GLD-G191</t>
  </si>
  <si>
    <t>GLD-G156</t>
  </si>
  <si>
    <t>CD1-T606</t>
  </si>
  <si>
    <t>CD1-T608</t>
  </si>
  <si>
    <t>CD1-T600</t>
  </si>
  <si>
    <t>CD1-T601</t>
  </si>
  <si>
    <t>CD1-T602</t>
  </si>
  <si>
    <t>CD1-T603</t>
  </si>
  <si>
    <t>CD1-T605</t>
  </si>
  <si>
    <t>CD1-T609</t>
  </si>
  <si>
    <t>CD1-T610</t>
  </si>
  <si>
    <t>CD1-T611</t>
  </si>
  <si>
    <t>CD1-T612</t>
  </si>
  <si>
    <t>CD1-T613</t>
  </si>
  <si>
    <t>CD1-T614</t>
  </si>
  <si>
    <t>CD2-T657</t>
  </si>
  <si>
    <t>CD2-T655</t>
  </si>
  <si>
    <t>CD2-T650</t>
  </si>
  <si>
    <t>CD2-T651</t>
  </si>
  <si>
    <t>CD2-T652</t>
  </si>
  <si>
    <t>CD2-T653</t>
  </si>
  <si>
    <t>CD2-T654</t>
  </si>
  <si>
    <t>CD2-T658</t>
  </si>
  <si>
    <t>CD2-T659</t>
  </si>
  <si>
    <t>CD2-T660</t>
  </si>
  <si>
    <t>CD2-T661</t>
  </si>
  <si>
    <t>OPU 33 kV RECLOSER</t>
  </si>
  <si>
    <t>T1 BUS 11 KV INCOMER</t>
  </si>
  <si>
    <t>CB31</t>
  </si>
  <si>
    <t>T1 BUS 11 KV BUS COUPLER</t>
  </si>
  <si>
    <t>T2 BUS 11 KV INCOMER</t>
  </si>
  <si>
    <t>T2 BUS 11 KV BUS COUPLER</t>
  </si>
  <si>
    <t>T2 BUS INJECTION PLANT</t>
  </si>
  <si>
    <t>WAIHUNA</t>
  </si>
  <si>
    <t>TAWAI</t>
  </si>
  <si>
    <t>WAIHAO DOWNS IRR.</t>
  </si>
  <si>
    <t>IKAWAI</t>
  </si>
  <si>
    <t>WAIKAKAHI</t>
  </si>
  <si>
    <t>Manual entry</t>
  </si>
  <si>
    <r>
      <rPr>
        <sz val="20"/>
        <color theme="1"/>
        <rFont val="Cambria"/>
        <family val="1"/>
        <scheme val="major"/>
      </rPr>
      <t>BELLS POND SUBSTATION</t>
    </r>
    <r>
      <rPr>
        <sz val="11"/>
        <color theme="1"/>
        <rFont val="Calibri"/>
        <family val="2"/>
        <scheme val="minor"/>
      </rPr>
      <t xml:space="preserve"> (A1067-T1)</t>
    </r>
  </si>
  <si>
    <r>
      <rPr>
        <sz val="20"/>
        <color theme="1"/>
        <rFont val="Cambria"/>
        <family val="1"/>
        <scheme val="major"/>
      </rPr>
      <t>BELLS POND SUBSTATION</t>
    </r>
    <r>
      <rPr>
        <sz val="11"/>
        <color theme="1"/>
        <rFont val="Calibri"/>
        <family val="2"/>
        <scheme val="minor"/>
      </rPr>
      <t xml:space="preserve"> (A1067-T2)</t>
    </r>
  </si>
  <si>
    <t>T1 110 KV INCOMER</t>
  </si>
  <si>
    <t>BPD-T1-CB442</t>
  </si>
  <si>
    <t>BPD-T1-CB3602</t>
  </si>
  <si>
    <t>BPD-T1-CB35</t>
  </si>
  <si>
    <t>BPD-T1-CB1</t>
  </si>
  <si>
    <t>BPD-T1-CB2</t>
  </si>
  <si>
    <t>BPD-T2-CB482</t>
  </si>
  <si>
    <t>BPD-T2-CB522</t>
  </si>
  <si>
    <t>BPD-T2-CB36</t>
  </si>
  <si>
    <t>BPD-T2-CB11</t>
  </si>
  <si>
    <t>BPD-T2-CB12</t>
  </si>
  <si>
    <t>BPD-T2-CB13</t>
  </si>
  <si>
    <t>6 1c 400mm2 Al XLPE</t>
  </si>
  <si>
    <t>T2 110 KV INCOMER</t>
  </si>
  <si>
    <t>33 KV TO CNR FROM T1</t>
  </si>
  <si>
    <t>33 KV TO CNR FROM T2</t>
  </si>
  <si>
    <t>CABLE-3C 185MM2 AL XLPE</t>
  </si>
  <si>
    <t>CABLE-6-1C 1000MM2 AL XLPE MDPE</t>
  </si>
  <si>
    <t>3-1c 1000mm2 Al XLPE MDPE</t>
  </si>
  <si>
    <t>3-1c 400mm² AL XLPE</t>
  </si>
  <si>
    <t>3c 95mm2 Al XLPE CWS HDPE</t>
  </si>
  <si>
    <t>3-1c 400mm² AL XLPE CWS MDPE</t>
  </si>
  <si>
    <r>
      <rPr>
        <sz val="20"/>
        <color theme="1"/>
        <rFont val="Cambria"/>
        <family val="1"/>
        <scheme val="major"/>
      </rPr>
      <t>COONEY'S ROAD SUBSTATION</t>
    </r>
    <r>
      <rPr>
        <sz val="11"/>
        <color theme="1"/>
        <rFont val="Calibri"/>
        <family val="2"/>
        <scheme val="minor"/>
      </rPr>
      <t xml:space="preserve"> (C1)</t>
    </r>
  </si>
  <si>
    <t>T1 HV 33 KV</t>
  </si>
  <si>
    <t>T1 LV 11 KV</t>
  </si>
  <si>
    <t>STU ALTERNATE FEED</t>
  </si>
  <si>
    <t>1.8 MVA WINTER</t>
  </si>
  <si>
    <t>0.8 MVA SUMMER</t>
  </si>
  <si>
    <t>0.6 MW BPD OFFLOAD</t>
  </si>
  <si>
    <t>BUS COUPLER BUS A</t>
  </si>
  <si>
    <t>BUS COUPLER BUS B</t>
  </si>
  <si>
    <t>CANNING PLANT</t>
  </si>
  <si>
    <t>WET PROCESS</t>
  </si>
  <si>
    <t>BOILER_CHILLER #1</t>
  </si>
  <si>
    <t>OFFICE</t>
  </si>
  <si>
    <t>2x3x1c 630mm2 Al XLPE HDPE</t>
  </si>
  <si>
    <t>Manual entry to reflect contractual agreement</t>
  </si>
  <si>
    <t>2358</t>
  </si>
  <si>
    <t>Bus Tie 1</t>
  </si>
  <si>
    <t>2358_Bus Tie 1</t>
  </si>
  <si>
    <t>2368</t>
  </si>
  <si>
    <t>Bus Tie 2</t>
  </si>
  <si>
    <t>2368_Bus Tie 2</t>
  </si>
  <si>
    <t>OC(Chk)</t>
  </si>
  <si>
    <t>Bus Coupler A</t>
  </si>
  <si>
    <t>CB31_Bus Coupler A</t>
  </si>
  <si>
    <t>Bus Coupler B (ex CB14)</t>
  </si>
  <si>
    <t>CB32_Bus Coupler B (ex CB14)</t>
  </si>
  <si>
    <t>Bus Coupler 1</t>
  </si>
  <si>
    <t>CB31_Bus Coupler 1</t>
  </si>
  <si>
    <t>Bus Coupler 2</t>
  </si>
  <si>
    <t>CB32_Bus Coupler 2</t>
  </si>
  <si>
    <t>CB5_Bus Coupler</t>
  </si>
  <si>
    <t>2728</t>
  </si>
  <si>
    <t>2728_Bus Coupler</t>
  </si>
  <si>
    <t>2968</t>
  </si>
  <si>
    <t>2968_Bus Coupler</t>
  </si>
  <si>
    <t>2788</t>
  </si>
  <si>
    <t>2788_Bus Coupler</t>
  </si>
  <si>
    <t>2878</t>
  </si>
  <si>
    <t>2878_Bus Coupler</t>
  </si>
  <si>
    <t>CB31_Bus Coupler</t>
  </si>
  <si>
    <t>T607</t>
  </si>
  <si>
    <t>T607_Bus Coupler</t>
  </si>
  <si>
    <t>T656</t>
  </si>
  <si>
    <t>T656_Bus Coupler</t>
  </si>
  <si>
    <t>Bus Coupler (Tamco Bd)</t>
  </si>
  <si>
    <t>31_Bus Coupler (Tamco Bd)</t>
  </si>
  <si>
    <t>32</t>
  </si>
  <si>
    <t>Bus Coupler (RPS Bd)</t>
  </si>
  <si>
    <t>32_Bus Coupler (RPS Bd)</t>
  </si>
  <si>
    <t>SEL 587</t>
  </si>
  <si>
    <r>
      <rPr>
        <sz val="20"/>
        <color theme="1"/>
        <rFont val="Cambria"/>
        <family val="1"/>
        <scheme val="major"/>
      </rPr>
      <t>TEKAPO SUBSTATION</t>
    </r>
    <r>
      <rPr>
        <sz val="11"/>
        <color theme="1"/>
        <rFont val="Calibri"/>
        <family val="2"/>
        <scheme val="minor"/>
      </rPr>
      <t xml:space="preserve"> (E197)</t>
    </r>
  </si>
  <si>
    <t>CB1042</t>
  </si>
  <si>
    <t>33 KV MT COOK</t>
  </si>
  <si>
    <t>HALDON-LILYBANK</t>
  </si>
  <si>
    <t>SIMONS</t>
  </si>
  <si>
    <t>GODLEY</t>
  </si>
  <si>
    <t>TEKAPO TOWNSHIP</t>
  </si>
  <si>
    <r>
      <rPr>
        <sz val="20"/>
        <color theme="1"/>
        <rFont val="Cambria"/>
        <family val="1"/>
        <scheme val="major"/>
      </rPr>
      <t>UNWIN HUT SUBSTATION</t>
    </r>
    <r>
      <rPr>
        <sz val="11"/>
        <color theme="1"/>
        <rFont val="Calibri"/>
        <family val="2"/>
        <scheme val="minor"/>
      </rPr>
      <t xml:space="preserve"> (E152)</t>
    </r>
  </si>
  <si>
    <r>
      <rPr>
        <sz val="20"/>
        <color theme="1"/>
        <rFont val="Cambria"/>
        <family val="1"/>
        <scheme val="major"/>
      </rPr>
      <t>OLD MAN RANGE SUBSTATION</t>
    </r>
    <r>
      <rPr>
        <sz val="11"/>
        <color theme="1"/>
        <rFont val="Calibri"/>
        <family val="2"/>
        <scheme val="minor"/>
      </rPr>
      <t xml:space="preserve"> (E352)</t>
    </r>
  </si>
  <si>
    <t>11 KV RECLOSER</t>
  </si>
  <si>
    <t>22 KV RECLOSER</t>
  </si>
  <si>
    <r>
      <rPr>
        <sz val="20"/>
        <color theme="1"/>
        <rFont val="Cambria"/>
        <family val="1"/>
        <scheme val="major"/>
      </rPr>
      <t>HALDON/LILYBANK SUBSTATION</t>
    </r>
    <r>
      <rPr>
        <sz val="11"/>
        <color theme="1"/>
        <rFont val="Calibri"/>
        <family val="2"/>
        <scheme val="minor"/>
      </rPr>
      <t xml:space="preserve"> (E117)</t>
    </r>
  </si>
  <si>
    <t>LILYBANK</t>
  </si>
  <si>
    <t>HALDON</t>
  </si>
  <si>
    <r>
      <t>STUDHOLME GXP</t>
    </r>
    <r>
      <rPr>
        <sz val="11"/>
        <color theme="1"/>
        <rFont val="Cambria"/>
        <family val="1"/>
        <scheme val="major"/>
      </rPr>
      <t xml:space="preserve"> (T5 &amp; T6)</t>
    </r>
  </si>
  <si>
    <t>OTAIO</t>
  </si>
  <si>
    <t>GLENAVY</t>
  </si>
  <si>
    <t>(AEL)-T/P CB2812 INCOMER FROM T5</t>
  </si>
  <si>
    <t>(AEL)-T/P CB2812 INCOMER FROM T6</t>
  </si>
  <si>
    <t>BUS COUPLER</t>
  </si>
  <si>
    <t>WAIMATE</t>
  </si>
  <si>
    <t>WAIHAORUNGA</t>
  </si>
  <si>
    <t>MT. STUDHOLME</t>
  </si>
  <si>
    <t>MORVEN</t>
  </si>
  <si>
    <t>CNL</t>
  </si>
  <si>
    <t>RGA_T1-CB1522</t>
  </si>
  <si>
    <t>RGA_T1-CB35</t>
  </si>
  <si>
    <t>RGA_T1-CB2</t>
  </si>
  <si>
    <t>RGA_T1-CB3</t>
  </si>
  <si>
    <t>RGA_T1-CB4</t>
  </si>
  <si>
    <t>RGA_T2-CB1562</t>
  </si>
  <si>
    <t>RGA_T2-CB36</t>
  </si>
  <si>
    <t>RGA_T2-CB11</t>
  </si>
  <si>
    <t>RGA_T2-CB12</t>
  </si>
  <si>
    <t>RGA_T2-CB13</t>
  </si>
  <si>
    <t>TVS-Z68</t>
  </si>
  <si>
    <t>TVS-Z6</t>
  </si>
  <si>
    <t>TVS-Z1</t>
  </si>
  <si>
    <t>TVS-Z2</t>
  </si>
  <si>
    <t>TVS-Z3</t>
  </si>
  <si>
    <t>TVS-Z4</t>
  </si>
  <si>
    <t>TVS-Z5</t>
  </si>
  <si>
    <t>TVS-Z9</t>
  </si>
  <si>
    <t>TKA_M11-M346</t>
  </si>
  <si>
    <t>TKA_M11-M11</t>
  </si>
  <si>
    <t>33KV INCOMER</t>
  </si>
  <si>
    <t>VILLAGE 1</t>
  </si>
  <si>
    <t>VILLAGE 2</t>
  </si>
  <si>
    <t>11KV RECLOSER</t>
  </si>
  <si>
    <t>22KV RECLOSER</t>
  </si>
  <si>
    <t>OMR-M338</t>
  </si>
  <si>
    <t>Include
PTX</t>
  </si>
  <si>
    <t>Include
CB</t>
  </si>
  <si>
    <t>Lowest A-No PTX</t>
  </si>
  <si>
    <t>Lowest A-PTX</t>
  </si>
  <si>
    <t>33 KV TEKAPO INCOMER</t>
  </si>
  <si>
    <t>11 KV TEKAPO INCOMER</t>
  </si>
  <si>
    <t>110 KV TRANSPOWER T1 INCOMER</t>
  </si>
  <si>
    <t>110 KV TRANSPOWER T2 INCOMER</t>
  </si>
  <si>
    <t>33 KV TRANSPOWER T1 INCOMER</t>
  </si>
  <si>
    <t>33 KV TRANSPOWER T2 INCOMER</t>
  </si>
  <si>
    <t>CLANDEBOYE NO. 1</t>
  </si>
  <si>
    <t>CLANDEBOYE NO. 3</t>
  </si>
  <si>
    <t>CLANDEBOYE NO. 4</t>
  </si>
  <si>
    <t>TEMUKA NO. 1</t>
  </si>
  <si>
    <t>RANGITATA NO. 2</t>
  </si>
  <si>
    <t>CLANDEBOYE NO. 2 &amp; RANGITATA NO. 1</t>
  </si>
  <si>
    <t>TEMUKA NO. 2</t>
  </si>
  <si>
    <t>GERALDINE</t>
  </si>
  <si>
    <t>Refered to PTX</t>
  </si>
  <si>
    <t>Not a CB hence no SCADA alarms or protection</t>
  </si>
  <si>
    <r>
      <t xml:space="preserve">TEMUKA GXP </t>
    </r>
    <r>
      <rPr>
        <sz val="10"/>
        <color theme="1"/>
        <rFont val="Cambria"/>
        <family val="1"/>
        <scheme val="major"/>
      </rPr>
      <t>(TP-TMK)</t>
    </r>
  </si>
  <si>
    <r>
      <t xml:space="preserve">TEMUKA </t>
    </r>
    <r>
      <rPr>
        <sz val="11"/>
        <color theme="1"/>
        <rFont val="Cambria"/>
        <family val="1"/>
        <scheme val="major"/>
      </rPr>
      <t>(D816)</t>
    </r>
  </si>
  <si>
    <t>TEMUKA WEST</t>
  </si>
  <si>
    <t>MILFORD</t>
  </si>
  <si>
    <t>WINCHESTER</t>
  </si>
  <si>
    <t>INCOMER NO. 1</t>
  </si>
  <si>
    <t>INCOMER NO. 2</t>
  </si>
  <si>
    <t>RANGITATA</t>
  </si>
  <si>
    <t>TEMUKA EAST</t>
  </si>
  <si>
    <t>WAITOHI</t>
  </si>
  <si>
    <t>CIRCUIT BREAKER-TMK-CB5-PROTECTION</t>
  </si>
  <si>
    <r>
      <t xml:space="preserve">GERALDINE </t>
    </r>
    <r>
      <rPr>
        <sz val="11"/>
        <color theme="1"/>
        <rFont val="Cambria"/>
        <family val="1"/>
        <scheme val="major"/>
      </rPr>
      <t>(D823)</t>
    </r>
  </si>
  <si>
    <t>33 KV INCOMER</t>
  </si>
  <si>
    <t>11 KV INCOMER</t>
  </si>
  <si>
    <t>WOODBURY</t>
  </si>
  <si>
    <t>GERALDINE TOWNSHIP</t>
  </si>
  <si>
    <t>SPEECHLEY</t>
  </si>
  <si>
    <t>RECLOSING</t>
  </si>
  <si>
    <r>
      <t xml:space="preserve">RANGITATA </t>
    </r>
    <r>
      <rPr>
        <sz val="11"/>
        <color theme="1"/>
        <rFont val="Cambria"/>
        <family val="1"/>
        <scheme val="major"/>
      </rPr>
      <t>(D1479)</t>
    </r>
  </si>
  <si>
    <t>33 KV INCOMER NO. 1</t>
  </si>
  <si>
    <t>33 KV INCOMER NO. 2</t>
  </si>
  <si>
    <t>11 KV INCOMER NO. 1</t>
  </si>
  <si>
    <t>11 KV INCOMER NO. 2</t>
  </si>
  <si>
    <t>BUS COUPLER NO. 2</t>
  </si>
  <si>
    <t>BUS COUPLER NO. 1 (N/O)</t>
  </si>
  <si>
    <t>ARUNDEL</t>
  </si>
  <si>
    <t>MAHAN ROAD</t>
  </si>
  <si>
    <t>OLD MAIN SOUTH ROAD</t>
  </si>
  <si>
    <t>BELFIELD</t>
  </si>
  <si>
    <t>ORTON</t>
  </si>
  <si>
    <t>RANGITATA ISLAND</t>
  </si>
  <si>
    <t>CABLE-3-1C 630MM2 AL XLPE HDPE</t>
  </si>
  <si>
    <t>Limiting Equipment Reference-No PTX</t>
  </si>
  <si>
    <t>Limiting Equipment Reference-PTX</t>
  </si>
  <si>
    <t>SubTransmissionRGA_T1Limit33.594-</t>
  </si>
  <si>
    <t>RGA_T110</t>
  </si>
  <si>
    <t>SubTransmissionRGA_T1141433.594-</t>
  </si>
  <si>
    <t>ABS-1414</t>
  </si>
  <si>
    <t>SubTransmissionRGA_T1RGA_T1-CB141233.594Protection</t>
  </si>
  <si>
    <t>SubTransmissionRGA_T1141633.594-</t>
  </si>
  <si>
    <t>ABS-1416</t>
  </si>
  <si>
    <r>
      <t xml:space="preserve">CANAL ROAD </t>
    </r>
    <r>
      <rPr>
        <sz val="11"/>
        <color theme="1"/>
        <rFont val="Cambria"/>
        <family val="1"/>
        <scheme val="major"/>
      </rPr>
      <t>(CB1412)</t>
    </r>
  </si>
  <si>
    <t>CB1412</t>
  </si>
  <si>
    <t>33 KV CIRCUIT BREAKER</t>
  </si>
  <si>
    <t>AEL-Fonterra Contractual</t>
  </si>
  <si>
    <t>10 MW Limit</t>
  </si>
  <si>
    <r>
      <t xml:space="preserve">CLANDEBOYE NO. 1 </t>
    </r>
    <r>
      <rPr>
        <sz val="10"/>
        <color theme="1"/>
        <rFont val="Cambria"/>
        <family val="1"/>
        <scheme val="major"/>
      </rPr>
      <t>(D1246)</t>
    </r>
  </si>
  <si>
    <t>MILK POWDER NO. 2</t>
  </si>
  <si>
    <t>FIRE SERVICES</t>
  </si>
  <si>
    <t>WHEY PROCESSING</t>
  </si>
  <si>
    <t>LACTOSE PLANT</t>
  </si>
  <si>
    <t>TIE TO MILFORD CLANDEBOYE ROAD</t>
  </si>
  <si>
    <t>MILD RECEPTION</t>
  </si>
  <si>
    <t>CHILLED WATER NO. 1</t>
  </si>
  <si>
    <t>EFFLUENT PLANT</t>
  </si>
  <si>
    <t>MILK TREATMENT</t>
  </si>
  <si>
    <t>ROLLESTON ROAD</t>
  </si>
  <si>
    <t>POWDER HANDELING</t>
  </si>
  <si>
    <t>CIRCUIT BREAKER-CD1-T607-RATING</t>
  </si>
  <si>
    <r>
      <t xml:space="preserve">CLANDEBOYE NO. 2 </t>
    </r>
    <r>
      <rPr>
        <sz val="10"/>
        <color theme="1"/>
        <rFont val="Cambria"/>
        <family val="1"/>
        <scheme val="major"/>
      </rPr>
      <t>(D1462)</t>
    </r>
  </si>
  <si>
    <t>33 KV INCOMER NO. 3</t>
  </si>
  <si>
    <t>33 KV INCOMER NO. 4</t>
  </si>
  <si>
    <t>MILK POWDER NO. 1</t>
  </si>
  <si>
    <t>MILK POWDER NO. 3</t>
  </si>
  <si>
    <t>WPC</t>
  </si>
  <si>
    <t>CHILLED WATER NO. 3</t>
  </si>
  <si>
    <t>R22 REPLACEMENT</t>
  </si>
  <si>
    <t>11 KV INCOMER NO. 4</t>
  </si>
  <si>
    <t>11 KV INCOMER NO. 3</t>
  </si>
  <si>
    <t>MOZZ REFRIG/MOZZ NO. 1</t>
  </si>
  <si>
    <t>REFIGERATION</t>
  </si>
  <si>
    <t>LABORATORY</t>
  </si>
  <si>
    <t>MOZZ NO. 3 PACKING</t>
  </si>
  <si>
    <t>MOZZ NO. 3 MAIN PROCESS</t>
  </si>
  <si>
    <t>T3</t>
  </si>
  <si>
    <t>T4</t>
  </si>
  <si>
    <t>CIRCUIT BREAKER-CD2-T656-RATING</t>
  </si>
  <si>
    <r>
      <t xml:space="preserve">TWIZEL </t>
    </r>
    <r>
      <rPr>
        <sz val="10"/>
        <color theme="1"/>
        <rFont val="Cambria"/>
        <family val="1"/>
        <scheme val="major"/>
      </rPr>
      <t>(E120)</t>
    </r>
  </si>
  <si>
    <t>Z5</t>
  </si>
  <si>
    <t>Z7</t>
  </si>
  <si>
    <t>33 KV TP INCOMER</t>
  </si>
  <si>
    <t>33 KV AEL INCOMER</t>
  </si>
  <si>
    <t>URBAN NO. 1</t>
  </si>
  <si>
    <t>URBAN NO. 2</t>
  </si>
  <si>
    <t>INDUSTRIAL</t>
  </si>
  <si>
    <t>TWIZEL RURAL</t>
  </si>
  <si>
    <t>LOCAL SERVICE</t>
  </si>
  <si>
    <r>
      <t xml:space="preserve">TIMARU GXP </t>
    </r>
    <r>
      <rPr>
        <sz val="10"/>
        <color theme="1"/>
        <rFont val="Cambria"/>
        <family val="1"/>
        <scheme val="major"/>
      </rPr>
      <t>(TP-TIM T3, T4 &amp; T6)</t>
    </r>
  </si>
  <si>
    <t>CNL-RGA</t>
  </si>
  <si>
    <t>CNL-RGA-CB1412</t>
  </si>
  <si>
    <t>CIRCUIT BREAKER - TIM-CB2728 - PROTECTION</t>
  </si>
  <si>
    <t>CIRCUIT BREAKER - TIM-CB2788 - PROTECTION</t>
  </si>
  <si>
    <t>CIRCUIT BREAKER - TIM-CB2878 - PROTECTION</t>
  </si>
  <si>
    <t>CIRCUIT BREAKER - TIM-CB2968 - PROTECTION</t>
  </si>
  <si>
    <t>3x 1c 400mm2 Al XLPE HDPE</t>
  </si>
  <si>
    <r>
      <t xml:space="preserve">ALPINE TIMARU </t>
    </r>
    <r>
      <rPr>
        <sz val="10"/>
        <color theme="1"/>
        <rFont val="Cambria"/>
        <family val="1"/>
        <scheme val="major"/>
      </rPr>
      <t>(B774)</t>
    </r>
  </si>
  <si>
    <t>L269</t>
  </si>
  <si>
    <t>L413</t>
  </si>
  <si>
    <t>L418</t>
  </si>
  <si>
    <t>SUBTRANSMISSION TO PLP</t>
  </si>
  <si>
    <t>SUBTRANSMISSION TO PAR NO. 1</t>
  </si>
  <si>
    <t>SUBTRANSMISSION TO PAR NO. 2</t>
  </si>
  <si>
    <r>
      <t xml:space="preserve">PAREORA </t>
    </r>
    <r>
      <rPr>
        <sz val="10"/>
        <color theme="1"/>
        <rFont val="Cambria"/>
        <family val="1"/>
        <scheme val="major"/>
      </rPr>
      <t>(B712)</t>
    </r>
  </si>
  <si>
    <t>CIRCUIT BREAKER - PAR-CB2358 - PROTECTION</t>
  </si>
  <si>
    <t>CIRCUIT BREAKER - PAR-CB2368 - PROTECTION</t>
  </si>
  <si>
    <t>CIRCUIT BREAKER - PAR-CB31 - PROTECTION</t>
  </si>
  <si>
    <t>33 KV TIM-PAR NO. 1</t>
  </si>
  <si>
    <t>33 KV BUS COUPLER NO. 1</t>
  </si>
  <si>
    <t>33 KV BUS COUPLER NO. 2</t>
  </si>
  <si>
    <t>33 KV TIM-PAR NO. 2</t>
  </si>
  <si>
    <t>11 KV BUS COUPLER</t>
  </si>
  <si>
    <t>WORKS NO. 1</t>
  </si>
  <si>
    <t>ST. ANDREWS</t>
  </si>
  <si>
    <t>WORKS NO. 2</t>
  </si>
  <si>
    <t>NORMANBY</t>
  </si>
  <si>
    <t>HOLMESTATION</t>
  </si>
  <si>
    <r>
      <t xml:space="preserve">PLEASANT POINT </t>
    </r>
    <r>
      <rPr>
        <sz val="10"/>
        <color theme="1"/>
        <rFont val="Cambria"/>
        <family val="1"/>
        <scheme val="major"/>
      </rPr>
      <t>(B1212)</t>
    </r>
  </si>
  <si>
    <t>33 KV TIM-PLP INCOMER</t>
  </si>
  <si>
    <t>WAITAWA</t>
  </si>
  <si>
    <t>SUTHERLAND</t>
  </si>
  <si>
    <t>TOTARA VALLEY</t>
  </si>
  <si>
    <t>PLEASANT POINT TOWNSHIP</t>
  </si>
  <si>
    <t>CB2728</t>
  </si>
  <si>
    <t>CB2752</t>
  </si>
  <si>
    <t>CB2788</t>
  </si>
  <si>
    <t>CB2842</t>
  </si>
  <si>
    <t>CB2878</t>
  </si>
  <si>
    <t>CB2932</t>
  </si>
  <si>
    <t>CB2968</t>
  </si>
  <si>
    <t>LOAD
CAPABILITY</t>
  </si>
  <si>
    <t>SCADA ALARM</t>
  </si>
  <si>
    <t>Pre-Emergency</t>
  </si>
  <si>
    <t>Emergency</t>
  </si>
  <si>
    <t>SCADA Factor Levels Percentages</t>
  </si>
  <si>
    <t>Meeting minutes of values agreed upon</t>
  </si>
  <si>
    <r>
      <t xml:space="preserve">GRASMERE STREET SWITCHING STATION </t>
    </r>
    <r>
      <rPr>
        <sz val="10"/>
        <color theme="1"/>
        <rFont val="Cambria"/>
        <family val="1"/>
        <scheme val="major"/>
      </rPr>
      <t>(TE901)</t>
    </r>
  </si>
  <si>
    <t>WHITE STREET</t>
  </si>
  <si>
    <t>NILE STREET &amp; LS1</t>
  </si>
  <si>
    <t>PARKVIEW TCE</t>
  </si>
  <si>
    <t>DOUGLAS STREET</t>
  </si>
  <si>
    <t>GRM - TIM D</t>
  </si>
  <si>
    <t>GRM - TIM C</t>
  </si>
  <si>
    <t>GRM - TIM B</t>
  </si>
  <si>
    <t>GRM - TIM A</t>
  </si>
  <si>
    <t>GRM - TIM A &amp; VT3</t>
  </si>
  <si>
    <t>GRM - HNT A</t>
  </si>
  <si>
    <t>GRM - TIM B &amp; VT8</t>
  </si>
  <si>
    <t>GRM - NST A</t>
  </si>
  <si>
    <t>ASHBURY PARK</t>
  </si>
  <si>
    <t>SELWYN STREET</t>
  </si>
  <si>
    <t>GRM - HNT B</t>
  </si>
  <si>
    <t>GRM - TIM C &amp; VT14</t>
  </si>
  <si>
    <t>PARK LANE</t>
  </si>
  <si>
    <t>EVANS STREET</t>
  </si>
  <si>
    <t>JUNE STREET &amp; LS2</t>
  </si>
  <si>
    <t>GRM - NST B</t>
  </si>
  <si>
    <t>GRM - TIM D &amp; VT19</t>
  </si>
  <si>
    <t>HOBBS STREET</t>
  </si>
  <si>
    <r>
      <t xml:space="preserve">HUNT STREET SWITCHING STATION </t>
    </r>
    <r>
      <rPr>
        <sz val="10"/>
        <color theme="1"/>
        <rFont val="Cambria"/>
        <family val="1"/>
        <scheme val="major"/>
      </rPr>
      <t>(TE903)</t>
    </r>
  </si>
  <si>
    <t>CIRCUIT BREAKER - HNT-CB9 - RATING</t>
  </si>
  <si>
    <t>CIRCUIT BREAKER - GRM-CB31 - RATING</t>
  </si>
  <si>
    <t>CIRCUIT BREAKER - GRM-CB32 - RATING</t>
  </si>
  <si>
    <t>HARPER STREET</t>
  </si>
  <si>
    <t>WILSON STREET</t>
  </si>
  <si>
    <t>GRM - HNT A &amp; VT3</t>
  </si>
  <si>
    <t>BAKER STREET</t>
  </si>
  <si>
    <t>LE CREN STREET</t>
  </si>
  <si>
    <t>HNT - NST A &amp; VT6</t>
  </si>
  <si>
    <t>CHURCH STREET -SOUTH SIDE</t>
  </si>
  <si>
    <t>SPARE (TEST CUBICLE ONLY)</t>
  </si>
  <si>
    <t>GIBSON STREET</t>
  </si>
  <si>
    <t>RHODES STREET</t>
  </si>
  <si>
    <t>GRM - HNT B &amp; VT12</t>
  </si>
  <si>
    <t>CLIFTON TCE</t>
  </si>
  <si>
    <t>CHURCH STREET -NORTH SIDE</t>
  </si>
  <si>
    <t>HNT - NST B &amp; VT15</t>
  </si>
  <si>
    <t>ARTHUR STREET</t>
  </si>
  <si>
    <t>CIRCUIT BREAKER - NST-CB31 - PROTECTION</t>
  </si>
  <si>
    <t>CIRCUIT BREAKER - NST-CB32 - PROTECTION</t>
  </si>
  <si>
    <t>REDRUTH NO. 1</t>
  </si>
  <si>
    <t>ROSE STREET &amp; VT4</t>
  </si>
  <si>
    <t>CRAIGIE AVE &amp; LS1</t>
  </si>
  <si>
    <t>HNT - NST A</t>
  </si>
  <si>
    <t>BARNARD STREET</t>
  </si>
  <si>
    <t>PORT NO. 1</t>
  </si>
  <si>
    <t>FRASER STREET</t>
  </si>
  <si>
    <t>HAYES STREET</t>
  </si>
  <si>
    <t>HIGH STREET</t>
  </si>
  <si>
    <t>PORT NO. 2</t>
  </si>
  <si>
    <t>HNT - NST B</t>
  </si>
  <si>
    <t>VICTORIA STREET &amp; LS2</t>
  </si>
  <si>
    <t>STAFFORD STREET &amp; VT17</t>
  </si>
  <si>
    <t>REDRUTH NO. 2</t>
  </si>
  <si>
    <t>NST - TIM NO. 1 &amp; VT35</t>
  </si>
  <si>
    <t>NST - TIM NO. 1</t>
  </si>
  <si>
    <t>NST - TIM NO. 2</t>
  </si>
  <si>
    <t>NST - TIM NO. 1 &amp; VT36</t>
  </si>
  <si>
    <t>Standardised numbering to have "NO." before it</t>
  </si>
  <si>
    <t>Manual entry based on substation drawing 12528 rating of the CB</t>
  </si>
  <si>
    <t>Manual entry based on substation drawing T269-01 rating of the CB</t>
  </si>
  <si>
    <r>
      <t xml:space="preserve">NORTH STREET SWITCHING STATION </t>
    </r>
    <r>
      <rPr>
        <sz val="10"/>
        <color theme="1"/>
        <rFont val="Cambria"/>
        <family val="1"/>
        <scheme val="major"/>
      </rPr>
      <t>(TE902)</t>
    </r>
  </si>
  <si>
    <t>Manual entry based on substation drawing T269-02 rating of the CB</t>
  </si>
  <si>
    <t>Manual entry based on substation drawing T269-03 rating of the CB</t>
  </si>
  <si>
    <t>Manual entry from previous Switching Digrams</t>
  </si>
  <si>
    <t>Not a CB so no protection or SCADA alarms</t>
  </si>
  <si>
    <t>Manual entry from AEL protection database under TIM GXP sheet</t>
  </si>
  <si>
    <t>Load Capability equal protection OC due to lack of information</t>
  </si>
  <si>
    <t>Manual entry based on tie cable rating</t>
  </si>
  <si>
    <t>Spare i.e. not utilised</t>
  </si>
  <si>
    <t>NA</t>
  </si>
  <si>
    <t>CB2332</t>
  </si>
  <si>
    <t>CB2342</t>
  </si>
  <si>
    <t>CB2358</t>
  </si>
  <si>
    <t>CB2368</t>
  </si>
  <si>
    <t>CB2372</t>
  </si>
  <si>
    <t>CB2382</t>
  </si>
  <si>
    <t>CB132</t>
  </si>
  <si>
    <t>CB112</t>
  </si>
  <si>
    <t>CB1252</t>
  </si>
  <si>
    <t>CB1232</t>
  </si>
  <si>
    <t>CB1522</t>
  </si>
  <si>
    <t>CB1562</t>
  </si>
  <si>
    <t>31</t>
  </si>
  <si>
    <t>1412</t>
  </si>
  <si>
    <t>W614</t>
  </si>
  <si>
    <t>Cable 95 mm2</t>
  </si>
  <si>
    <t>G320</t>
  </si>
  <si>
    <t>70mm2</t>
  </si>
  <si>
    <t>G318</t>
  </si>
  <si>
    <t>Pole 53271</t>
  </si>
  <si>
    <t>Pole 18576</t>
  </si>
  <si>
    <t>OH line</t>
  </si>
  <si>
    <t>Ref</t>
  </si>
  <si>
    <t>CB3_Works No. 1</t>
  </si>
  <si>
    <t>CB5_Works No. 2</t>
  </si>
  <si>
    <t>Reference</t>
  </si>
  <si>
    <t>New</t>
  </si>
  <si>
    <t>RECLOSER</t>
  </si>
  <si>
    <t>FAIRLIE (33kV)</t>
  </si>
  <si>
    <t>FAIRLIE (11kV)</t>
  </si>
  <si>
    <t>YES (DISABLED)</t>
  </si>
  <si>
    <t>Moved</t>
  </si>
  <si>
    <t>ABY-OPU 33KV RECLOSER</t>
  </si>
  <si>
    <t>110 KV INCOMER</t>
  </si>
  <si>
    <t>33 KV TO CNR</t>
  </si>
  <si>
    <t>INJECTION PLANT</t>
  </si>
  <si>
    <t>Showgrounds HILL</t>
  </si>
  <si>
    <t>NORTH ST. 1</t>
  </si>
  <si>
    <t>Mountainview</t>
  </si>
  <si>
    <t>NEW</t>
  </si>
  <si>
    <t>AEL T1</t>
  </si>
  <si>
    <t>LEVELS PLAIN</t>
  </si>
  <si>
    <t>Grants RD</t>
  </si>
  <si>
    <t>HADLOW</t>
  </si>
  <si>
    <t>Meadows RD</t>
  </si>
  <si>
    <t>AEL T2</t>
  </si>
  <si>
    <t>NORTH ST. 2</t>
  </si>
  <si>
    <t>Goulds Road</t>
  </si>
  <si>
    <t>WAIPOPO</t>
  </si>
  <si>
    <t>WASHDYKE</t>
  </si>
  <si>
    <t>MORGANS ROAD</t>
  </si>
  <si>
    <t>AEL YARD</t>
  </si>
  <si>
    <t>GRANTS ROAD</t>
  </si>
  <si>
    <t>MEADOWS ROAD</t>
  </si>
  <si>
    <t>OLD NORTH ROAD</t>
  </si>
  <si>
    <t>HIGHFIELD</t>
  </si>
  <si>
    <t>SMITHFIELD</t>
  </si>
  <si>
    <t>ELGINSHIRE</t>
  </si>
  <si>
    <t>AROWHENUA</t>
  </si>
  <si>
    <t>MOUNTAIN VIEW ROAD</t>
  </si>
  <si>
    <t>BUS A-C COUPLER</t>
  </si>
  <si>
    <t>ALPINE TIMARU (ATM) T1</t>
  </si>
  <si>
    <t>ALPINE TIMARU (ATM) T2</t>
  </si>
  <si>
    <t>TRANSPOWER T6 INCOMER</t>
  </si>
  <si>
    <t>TRANSPOWER T4 INCOMER</t>
  </si>
  <si>
    <t>TRANSPOWER T3 INCOMER</t>
  </si>
  <si>
    <t>TIM - GRM D</t>
  </si>
  <si>
    <t>TIM - GRM C</t>
  </si>
  <si>
    <t>TIM - GRM B</t>
  </si>
  <si>
    <t>TIM - GRM A</t>
  </si>
  <si>
    <t>BUS A-B COUPLER</t>
  </si>
  <si>
    <t>TIM - NST 1</t>
  </si>
  <si>
    <t>TIM - NST 2</t>
  </si>
  <si>
    <t>BUS B-C COUPLER</t>
  </si>
  <si>
    <t>BUS C-A COUPLER</t>
  </si>
  <si>
    <t>TIM - GRM B &amp; VT8</t>
  </si>
  <si>
    <t>TIM - GRM A &amp; VT3</t>
  </si>
  <si>
    <t>TIM - GRM C &amp; VT14</t>
  </si>
  <si>
    <t>TIM - GRM D &amp; VT19</t>
  </si>
  <si>
    <t>REDRUTH 1</t>
  </si>
  <si>
    <t>PORT 1</t>
  </si>
  <si>
    <t>PORT 2</t>
  </si>
  <si>
    <t>REDRUTH 2</t>
  </si>
  <si>
    <t>NST - TIM 1 &amp; VT35</t>
  </si>
  <si>
    <t>BOILER_CHILLER NO. 1</t>
  </si>
  <si>
    <t>SHOWGROUNDS HILL &amp; RIPPLE PLANT 1</t>
  </si>
  <si>
    <t>GOULDS ROAD &amp; RIPPLE PLANT 2</t>
  </si>
  <si>
    <t>TIM - NST 1 &amp; VT35</t>
  </si>
  <si>
    <t>TIM - NST 2 &amp; VT36</t>
  </si>
  <si>
    <t>NST - TIM 2 &amp; VT36</t>
  </si>
  <si>
    <t>33 KV TIM-PAR 1</t>
  </si>
  <si>
    <t>33 KV T1</t>
  </si>
  <si>
    <t>33 KV BUS COUPLER 1</t>
  </si>
  <si>
    <t>33 KV BUS COUPLER 2</t>
  </si>
  <si>
    <t>33 KV T2</t>
  </si>
  <si>
    <t>33 KV TIM-PAR 2</t>
  </si>
  <si>
    <t>33 KV T1 INCOMER</t>
  </si>
  <si>
    <t>33KV CB</t>
  </si>
  <si>
    <t>M158 11KV CB</t>
  </si>
  <si>
    <t>M159 11KV CB</t>
  </si>
  <si>
    <t>MT COOK VILLAGE 1</t>
  </si>
  <si>
    <t>MT COOK VILLAGE 2</t>
  </si>
  <si>
    <t>YES (DISBALED)</t>
  </si>
  <si>
    <t>CLANDEBOYE NO. 2</t>
  </si>
  <si>
    <t>T2 HV INCOMER</t>
  </si>
  <si>
    <t>T2 LV INCOMER</t>
  </si>
  <si>
    <t>33 KV T2 INCOMER</t>
  </si>
  <si>
    <t>11 KV T1 INCOMER</t>
  </si>
  <si>
    <t>11 KV T2 INCOMER</t>
  </si>
  <si>
    <t>BUS COUPLER (N/O)</t>
  </si>
  <si>
    <t>MILK POWDER 2</t>
  </si>
  <si>
    <t>MAIN INCOMING - T1</t>
  </si>
  <si>
    <t>MAIN INCOMING - T2</t>
  </si>
  <si>
    <t>MILK RECEPTION</t>
  </si>
  <si>
    <t>33 KV INC TO T3 OFF CABLE</t>
  </si>
  <si>
    <t>33 KV INC TO T4 OFF CABLE</t>
  </si>
  <si>
    <t>MILK POWDER 1</t>
  </si>
  <si>
    <t>MILK POWDER 3</t>
  </si>
  <si>
    <t>CHILLED WATER 3</t>
  </si>
  <si>
    <t>MOZZ REFRIG/MOZZ 1</t>
  </si>
  <si>
    <t>MOZZ 3 PACKING</t>
  </si>
  <si>
    <t>MOZZ 3 MAIN PROCESS</t>
  </si>
  <si>
    <t>MAIN INCOMER - T4</t>
  </si>
  <si>
    <t>MAIN INCOMER - T3</t>
  </si>
  <si>
    <t>HV CB AT 33 KV</t>
  </si>
  <si>
    <t>NO. 1 INCOMER</t>
  </si>
  <si>
    <t>NO. 2 INCOMER</t>
  </si>
  <si>
    <t>A Down</t>
  </si>
  <si>
    <t>MVA Down</t>
  </si>
  <si>
    <t>A Up</t>
  </si>
  <si>
    <t>MVA Up</t>
  </si>
  <si>
    <t>Load Capability</t>
  </si>
  <si>
    <t>A Balance</t>
  </si>
  <si>
    <t>MVA Balance</t>
  </si>
  <si>
    <t>OC Pick Up Protection</t>
  </si>
  <si>
    <t>Total Capacity Increase/Decrease Assessment</t>
  </si>
  <si>
    <t>TMK GXP</t>
  </si>
  <si>
    <t>Station</t>
  </si>
  <si>
    <t>Total</t>
  </si>
  <si>
    <t>Pole 35233</t>
  </si>
  <si>
    <t>3c 185mm² Al XLPE HDPE</t>
  </si>
  <si>
    <t>Pole 35229</t>
  </si>
  <si>
    <t>Pole 35185</t>
  </si>
  <si>
    <t>L873</t>
  </si>
  <si>
    <t>L872</t>
  </si>
  <si>
    <t>L357</t>
  </si>
  <si>
    <t>3 x 1c 185mm² Al XLPE</t>
  </si>
  <si>
    <t xml:space="preserve">7/14 Cu </t>
  </si>
  <si>
    <t>B1088</t>
  </si>
  <si>
    <t xml:space="preserve">Mink </t>
  </si>
  <si>
    <t>3x1c 185mm² Al XLPE</t>
  </si>
  <si>
    <t>Ferret</t>
  </si>
  <si>
    <t>3c 300mm² Al XLPE CWS MDPE</t>
  </si>
  <si>
    <t>touch</t>
  </si>
  <si>
    <t>3c 300mm²  Al XLPE</t>
  </si>
  <si>
    <r>
      <t>3c 95mm</t>
    </r>
    <r>
      <rPr>
        <sz val="11"/>
        <color theme="1"/>
        <rFont val="Calibri"/>
        <family val="2"/>
      </rPr>
      <t>² AL PILC SWAS</t>
    </r>
  </si>
  <si>
    <t>3/1c 300mm² Al XLPE</t>
  </si>
  <si>
    <t>TOTE169 FUSE</t>
  </si>
  <si>
    <t>3c 300mm² Al PILC</t>
  </si>
  <si>
    <t>Refered
to PTX</t>
  </si>
  <si>
    <t>RPS 860RP2045\AEL Protection Database</t>
  </si>
  <si>
    <t>SCADA Levels Percentages of Lowest Rating</t>
  </si>
  <si>
    <t>CABLE-3C 0.3IN² CU PILC STAS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</si>
</sst>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mbria"/>
      <family val="1"/>
      <scheme val="major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9"/>
      <color indexed="81"/>
      <name val="Calibri"/>
      <family val="2"/>
    </font>
    <font>
      <b/>
      <sz val="11"/>
      <color theme="0"/>
      <name val="Cambria"/>
      <family val="1"/>
      <scheme val="major"/>
    </font>
    <font>
      <b/>
      <sz val="12"/>
      <color theme="0"/>
      <name val="Calibri"/>
      <family val="2"/>
      <scheme val="minor"/>
    </font>
    <font>
      <b/>
      <sz val="12"/>
      <color theme="0"/>
      <name val="Cambria"/>
      <family val="1"/>
      <scheme val="maj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20"/>
      <color theme="1"/>
      <name val="Cambria"/>
      <family val="1"/>
      <scheme val="maj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Segoe UI"/>
      <family val="2"/>
    </font>
    <font>
      <sz val="10"/>
      <name val="Arial"/>
      <family val="2"/>
    </font>
    <font>
      <b/>
      <sz val="8"/>
      <color theme="0"/>
      <name val="Calibri"/>
      <family val="2"/>
      <scheme val="minor"/>
    </font>
    <font>
      <sz val="11"/>
      <color theme="1"/>
      <name val="Cambria"/>
      <family val="1"/>
      <scheme val="major"/>
    </font>
    <font>
      <sz val="10"/>
      <color theme="1"/>
      <name val="Cambria"/>
      <family val="1"/>
      <scheme val="maj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theme="1"/>
      <name val="Wingdings 3"/>
      <family val="1"/>
      <charset val="2"/>
    </font>
    <font>
      <b/>
      <sz val="12"/>
      <color theme="1"/>
      <name val="Wingdings 3"/>
      <family val="1"/>
      <charset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1"/>
      <scheme val="minor"/>
    </font>
    <font>
      <sz val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6"/>
        <bgColor indexed="64"/>
      </patternFill>
    </fill>
    <fill>
      <patternFill patternType="solid">
        <fgColor theme="6"/>
        <bgColor theme="6" tint="0.7999816888943144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lightGray"/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theme="6" tint="0.59999389629810485"/>
      </patternFill>
    </fill>
    <fill>
      <patternFill patternType="solid">
        <fgColor theme="6" tint="0.59999389629810485"/>
        <bgColor theme="6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ck">
        <color auto="1"/>
      </top>
      <bottom style="thin">
        <color theme="0"/>
      </bottom>
      <diagonal/>
    </border>
    <border>
      <left style="thin">
        <color theme="0"/>
      </left>
      <right/>
      <top style="medium">
        <color theme="0"/>
      </top>
      <bottom style="thick">
        <color theme="0"/>
      </bottom>
      <diagonal/>
    </border>
    <border>
      <left style="thin">
        <color theme="0"/>
      </left>
      <right style="thin">
        <color theme="0"/>
      </right>
      <top style="thick">
        <color auto="1"/>
      </top>
      <bottom/>
      <diagonal/>
    </border>
    <border>
      <left style="thin">
        <color theme="0"/>
      </left>
      <right style="thin">
        <color theme="0"/>
      </right>
      <top/>
      <bottom style="thick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theme="1"/>
      </bottom>
      <diagonal/>
    </border>
    <border>
      <left style="thin">
        <color theme="0"/>
      </left>
      <right/>
      <top style="thick">
        <color auto="1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14" fillId="0" borderId="0" applyNumberFormat="0" applyFill="0" applyBorder="0" applyAlignment="0" applyProtection="0"/>
    <xf numFmtId="0" fontId="22" fillId="0" borderId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</cellStyleXfs>
  <cellXfs count="621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0" borderId="2" xfId="0" applyBorder="1" applyAlignment="1">
      <alignment vertical="top"/>
    </xf>
    <xf numFmtId="0" fontId="0" fillId="0" borderId="2" xfId="0" applyBorder="1" applyAlignment="1">
      <alignment horizontal="center" vertical="top"/>
    </xf>
    <xf numFmtId="164" fontId="0" fillId="0" borderId="2" xfId="0" applyNumberFormat="1" applyBorder="1" applyAlignment="1">
      <alignment horizontal="center" vertical="top"/>
    </xf>
    <xf numFmtId="0" fontId="0" fillId="0" borderId="3" xfId="0" applyBorder="1" applyAlignment="1">
      <alignment vertical="top"/>
    </xf>
    <xf numFmtId="0" fontId="0" fillId="0" borderId="3" xfId="0" applyBorder="1" applyAlignment="1">
      <alignment horizontal="left" vertical="top"/>
    </xf>
    <xf numFmtId="0" fontId="0" fillId="0" borderId="3" xfId="0" applyBorder="1" applyAlignment="1">
      <alignment horizontal="center" vertical="top"/>
    </xf>
    <xf numFmtId="164" fontId="0" fillId="0" borderId="3" xfId="0" applyNumberFormat="1" applyBorder="1" applyAlignment="1">
      <alignment horizontal="center" vertical="top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164" fontId="0" fillId="0" borderId="1" xfId="0" applyNumberFormat="1" applyBorder="1" applyAlignment="1">
      <alignment horizontal="center" vertical="top"/>
    </xf>
    <xf numFmtId="0" fontId="0" fillId="0" borderId="16" xfId="0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17" xfId="0" applyBorder="1" applyAlignment="1">
      <alignment horizontal="center" vertical="top"/>
    </xf>
    <xf numFmtId="164" fontId="0" fillId="0" borderId="17" xfId="0" applyNumberFormat="1" applyBorder="1" applyAlignment="1">
      <alignment horizontal="center" vertical="top"/>
    </xf>
    <xf numFmtId="164" fontId="0" fillId="0" borderId="18" xfId="0" applyNumberFormat="1" applyBorder="1" applyAlignment="1">
      <alignment horizontal="center" vertical="top"/>
    </xf>
    <xf numFmtId="0" fontId="1" fillId="2" borderId="7" xfId="0" applyFont="1" applyFill="1" applyBorder="1" applyAlignment="1">
      <alignment horizontal="center" vertical="top"/>
    </xf>
    <xf numFmtId="0" fontId="1" fillId="2" borderId="13" xfId="0" applyFont="1" applyFill="1" applyBorder="1" applyAlignment="1">
      <alignment horizontal="center" vertical="top"/>
    </xf>
    <xf numFmtId="0" fontId="1" fillId="2" borderId="8" xfId="0" applyFont="1" applyFill="1" applyBorder="1" applyAlignment="1">
      <alignment horizontal="center" vertical="top"/>
    </xf>
    <xf numFmtId="164" fontId="1" fillId="2" borderId="8" xfId="0" applyNumberFormat="1" applyFont="1" applyFill="1" applyBorder="1" applyAlignment="1">
      <alignment horizontal="center" vertical="top"/>
    </xf>
    <xf numFmtId="0" fontId="3" fillId="0" borderId="8" xfId="0" applyFont="1" applyBorder="1" applyAlignment="1">
      <alignment horizontal="center" vertical="top"/>
    </xf>
    <xf numFmtId="164" fontId="3" fillId="0" borderId="8" xfId="0" applyNumberFormat="1" applyFont="1" applyBorder="1" applyAlignment="1">
      <alignment horizontal="center" vertical="top"/>
    </xf>
    <xf numFmtId="0" fontId="2" fillId="0" borderId="0" xfId="0" applyFont="1"/>
    <xf numFmtId="164" fontId="1" fillId="2" borderId="9" xfId="0" applyNumberFormat="1" applyFont="1" applyFill="1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0" fillId="0" borderId="16" xfId="0" applyBorder="1" applyAlignment="1">
      <alignment horizontal="center" vertical="top"/>
    </xf>
    <xf numFmtId="164" fontId="0" fillId="0" borderId="20" xfId="0" applyNumberFormat="1" applyBorder="1" applyAlignment="1">
      <alignment horizontal="center" vertical="top"/>
    </xf>
    <xf numFmtId="2" fontId="1" fillId="2" borderId="8" xfId="0" applyNumberFormat="1" applyFont="1" applyFill="1" applyBorder="1" applyAlignment="1">
      <alignment horizontal="center" vertical="top"/>
    </xf>
    <xf numFmtId="2" fontId="3" fillId="0" borderId="8" xfId="0" applyNumberFormat="1" applyFont="1" applyBorder="1" applyAlignment="1">
      <alignment horizontal="center" vertical="top"/>
    </xf>
    <xf numFmtId="2" fontId="0" fillId="0" borderId="20" xfId="0" applyNumberFormat="1" applyBorder="1" applyAlignment="1">
      <alignment horizontal="center" vertical="top"/>
    </xf>
    <xf numFmtId="2" fontId="0" fillId="0" borderId="0" xfId="0" applyNumberFormat="1" applyAlignment="1">
      <alignment horizontal="center" vertical="top"/>
    </xf>
    <xf numFmtId="0" fontId="1" fillId="2" borderId="9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0" fontId="1" fillId="2" borderId="11" xfId="0" applyFont="1" applyFill="1" applyBorder="1" applyAlignment="1">
      <alignment horizontal="center" vertical="top"/>
    </xf>
    <xf numFmtId="0" fontId="3" fillId="0" borderId="8" xfId="0" applyFont="1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0" fillId="0" borderId="10" xfId="0" applyBorder="1" applyAlignment="1">
      <alignment horizontal="left" vertical="top"/>
    </xf>
    <xf numFmtId="2" fontId="0" fillId="0" borderId="3" xfId="0" applyNumberFormat="1" applyBorder="1" applyAlignment="1">
      <alignment horizontal="center" vertical="top"/>
    </xf>
    <xf numFmtId="1" fontId="0" fillId="0" borderId="0" xfId="0" applyNumberFormat="1" applyAlignment="1">
      <alignment horizontal="center" vertical="top"/>
    </xf>
    <xf numFmtId="164" fontId="0" fillId="0" borderId="20" xfId="0" applyNumberFormat="1" applyBorder="1" applyAlignment="1">
      <alignment horizontal="left" vertical="top"/>
    </xf>
    <xf numFmtId="164" fontId="0" fillId="0" borderId="3" xfId="0" applyNumberFormat="1" applyBorder="1" applyAlignment="1">
      <alignment horizontal="left" vertical="top"/>
    </xf>
    <xf numFmtId="0" fontId="0" fillId="0" borderId="0" xfId="0" applyFont="1" applyAlignment="1">
      <alignment horizontal="center" vertical="top"/>
    </xf>
    <xf numFmtId="0" fontId="0" fillId="0" borderId="0" xfId="0" applyAlignment="1">
      <alignment horizontal="left"/>
    </xf>
    <xf numFmtId="0" fontId="0" fillId="0" borderId="20" xfId="0" applyBorder="1" applyAlignment="1">
      <alignment horizontal="left" vertical="top"/>
    </xf>
    <xf numFmtId="2" fontId="0" fillId="0" borderId="10" xfId="0" applyNumberFormat="1" applyBorder="1" applyAlignment="1">
      <alignment horizontal="left" vertical="top"/>
    </xf>
    <xf numFmtId="2" fontId="0" fillId="0" borderId="10" xfId="0" applyNumberFormat="1" applyBorder="1" applyAlignment="1">
      <alignment horizontal="center" vertical="top"/>
    </xf>
    <xf numFmtId="1" fontId="1" fillId="2" borderId="13" xfId="0" applyNumberFormat="1" applyFont="1" applyFill="1" applyBorder="1" applyAlignment="1">
      <alignment horizontal="center" vertical="top"/>
    </xf>
    <xf numFmtId="1" fontId="1" fillId="2" borderId="8" xfId="0" applyNumberFormat="1" applyFont="1" applyFill="1" applyBorder="1" applyAlignment="1">
      <alignment horizontal="center" vertical="top"/>
    </xf>
    <xf numFmtId="1" fontId="3" fillId="0" borderId="8" xfId="0" applyNumberFormat="1" applyFont="1" applyBorder="1" applyAlignment="1">
      <alignment horizontal="center" vertical="top"/>
    </xf>
    <xf numFmtId="1" fontId="0" fillId="0" borderId="14" xfId="0" applyNumberFormat="1" applyBorder="1" applyAlignment="1">
      <alignment horizontal="center" vertical="top"/>
    </xf>
    <xf numFmtId="1" fontId="0" fillId="0" borderId="15" xfId="0" applyNumberFormat="1" applyBorder="1" applyAlignment="1">
      <alignment horizontal="center" vertical="top"/>
    </xf>
    <xf numFmtId="1" fontId="0" fillId="0" borderId="3" xfId="0" applyNumberFormat="1" applyBorder="1" applyAlignment="1">
      <alignment horizontal="center" vertical="top"/>
    </xf>
    <xf numFmtId="1" fontId="0" fillId="0" borderId="10" xfId="0" applyNumberFormat="1" applyBorder="1" applyAlignment="1">
      <alignment horizontal="left" vertical="top"/>
    </xf>
    <xf numFmtId="0" fontId="1" fillId="2" borderId="8" xfId="0" applyFont="1" applyFill="1" applyBorder="1" applyAlignment="1">
      <alignment horizontal="left" vertical="top"/>
    </xf>
    <xf numFmtId="0" fontId="3" fillId="0" borderId="0" xfId="0" applyFont="1" applyAlignment="1">
      <alignment horizontal="center" vertical="top"/>
    </xf>
    <xf numFmtId="1" fontId="0" fillId="0" borderId="2" xfId="0" applyNumberFormat="1" applyBorder="1" applyAlignment="1">
      <alignment horizontal="center" vertical="top"/>
    </xf>
    <xf numFmtId="0" fontId="1" fillId="2" borderId="8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0" fontId="1" fillId="2" borderId="8" xfId="0" applyFont="1" applyFill="1" applyBorder="1" applyAlignment="1">
      <alignment horizontal="center" vertical="top" wrapText="1"/>
    </xf>
    <xf numFmtId="0" fontId="1" fillId="2" borderId="11" xfId="0" applyFont="1" applyFill="1" applyBorder="1" applyAlignment="1">
      <alignment horizontal="center" vertical="top"/>
    </xf>
    <xf numFmtId="0" fontId="1" fillId="2" borderId="8" xfId="0" applyFont="1" applyFill="1" applyBorder="1" applyAlignment="1">
      <alignment horizontal="center" vertical="top"/>
    </xf>
    <xf numFmtId="164" fontId="0" fillId="0" borderId="10" xfId="0" applyNumberFormat="1" applyBorder="1" applyAlignment="1">
      <alignment horizontal="left" vertical="top"/>
    </xf>
    <xf numFmtId="0" fontId="9" fillId="5" borderId="30" xfId="0" applyFont="1" applyFill="1" applyBorder="1" applyAlignment="1">
      <alignment horizontal="center"/>
    </xf>
    <xf numFmtId="0" fontId="9" fillId="5" borderId="31" xfId="0" applyFont="1" applyFill="1" applyBorder="1" applyAlignment="1">
      <alignment horizontal="center"/>
    </xf>
    <xf numFmtId="0" fontId="0" fillId="3" borderId="25" xfId="0" applyFont="1" applyFill="1" applyBorder="1" applyAlignment="1">
      <alignment vertical="top"/>
    </xf>
    <xf numFmtId="0" fontId="0" fillId="4" borderId="28" xfId="0" applyFont="1" applyFill="1" applyBorder="1" applyAlignment="1">
      <alignment vertical="top"/>
    </xf>
    <xf numFmtId="0" fontId="0" fillId="3" borderId="28" xfId="0" applyFont="1" applyFill="1" applyBorder="1" applyAlignment="1">
      <alignment vertical="top"/>
    </xf>
    <xf numFmtId="0" fontId="0" fillId="4" borderId="31" xfId="0" applyFont="1" applyFill="1" applyBorder="1" applyAlignment="1">
      <alignment vertical="top"/>
    </xf>
    <xf numFmtId="0" fontId="1" fillId="5" borderId="33" xfId="0" applyFont="1" applyFill="1" applyBorder="1"/>
    <xf numFmtId="0" fontId="1" fillId="5" borderId="1" xfId="0" applyFont="1" applyFill="1" applyBorder="1"/>
    <xf numFmtId="0" fontId="1" fillId="5" borderId="9" xfId="0" applyFont="1" applyFill="1" applyBorder="1"/>
    <xf numFmtId="0" fontId="1" fillId="5" borderId="23" xfId="0" applyFont="1" applyFill="1" applyBorder="1"/>
    <xf numFmtId="2" fontId="9" fillId="5" borderId="32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3" borderId="26" xfId="0" applyNumberFormat="1" applyFont="1" applyFill="1" applyBorder="1" applyAlignment="1">
      <alignment horizontal="center" vertical="top"/>
    </xf>
    <xf numFmtId="2" fontId="0" fillId="4" borderId="29" xfId="0" applyNumberFormat="1" applyFont="1" applyFill="1" applyBorder="1" applyAlignment="1">
      <alignment horizontal="center" vertical="top"/>
    </xf>
    <xf numFmtId="2" fontId="0" fillId="3" borderId="29" xfId="0" applyNumberFormat="1" applyFont="1" applyFill="1" applyBorder="1" applyAlignment="1">
      <alignment horizontal="center" vertical="top"/>
    </xf>
    <xf numFmtId="2" fontId="0" fillId="4" borderId="32" xfId="0" applyNumberFormat="1" applyFont="1" applyFill="1" applyBorder="1" applyAlignment="1">
      <alignment horizontal="center" vertical="top"/>
    </xf>
    <xf numFmtId="0" fontId="1" fillId="5" borderId="21" xfId="0" applyFont="1" applyFill="1" applyBorder="1"/>
    <xf numFmtId="0" fontId="1" fillId="5" borderId="2" xfId="0" applyFont="1" applyFill="1" applyBorder="1"/>
    <xf numFmtId="0" fontId="1" fillId="5" borderId="3" xfId="0" applyFont="1" applyFill="1" applyBorder="1"/>
    <xf numFmtId="0" fontId="1" fillId="5" borderId="34" xfId="0" applyFont="1" applyFill="1" applyBorder="1"/>
    <xf numFmtId="0" fontId="0" fillId="3" borderId="31" xfId="0" applyFont="1" applyFill="1" applyBorder="1" applyAlignment="1">
      <alignment vertical="top"/>
    </xf>
    <xf numFmtId="2" fontId="0" fillId="3" borderId="32" xfId="0" applyNumberFormat="1" applyFont="1" applyFill="1" applyBorder="1" applyAlignment="1">
      <alignment horizontal="center" vertical="top"/>
    </xf>
    <xf numFmtId="0" fontId="1" fillId="5" borderId="4" xfId="0" applyFont="1" applyFill="1" applyBorder="1"/>
    <xf numFmtId="0" fontId="0" fillId="6" borderId="5" xfId="0" applyFont="1" applyFill="1" applyBorder="1" applyAlignment="1">
      <alignment vertical="top"/>
    </xf>
    <xf numFmtId="2" fontId="0" fillId="6" borderId="5" xfId="0" applyNumberFormat="1" applyFont="1" applyFill="1" applyBorder="1" applyAlignment="1">
      <alignment horizontal="center" vertical="top"/>
    </xf>
    <xf numFmtId="2" fontId="0" fillId="6" borderId="6" xfId="0" applyNumberFormat="1" applyFont="1" applyFill="1" applyBorder="1" applyAlignment="1">
      <alignment horizontal="center" vertical="top"/>
    </xf>
    <xf numFmtId="0" fontId="0" fillId="3" borderId="24" xfId="0" applyFont="1" applyFill="1" applyBorder="1" applyAlignment="1">
      <alignment horizontal="left" vertical="top"/>
    </xf>
    <xf numFmtId="0" fontId="0" fillId="3" borderId="25" xfId="0" applyFont="1" applyFill="1" applyBorder="1" applyAlignment="1">
      <alignment horizontal="left" vertical="top"/>
    </xf>
    <xf numFmtId="0" fontId="0" fillId="4" borderId="27" xfId="0" applyFont="1" applyFill="1" applyBorder="1" applyAlignment="1">
      <alignment horizontal="left" vertical="top"/>
    </xf>
    <xf numFmtId="0" fontId="0" fillId="4" borderId="28" xfId="0" applyFont="1" applyFill="1" applyBorder="1" applyAlignment="1">
      <alignment horizontal="left" vertical="top"/>
    </xf>
    <xf numFmtId="0" fontId="0" fillId="3" borderId="27" xfId="0" applyFont="1" applyFill="1" applyBorder="1" applyAlignment="1">
      <alignment horizontal="left" vertical="top"/>
    </xf>
    <xf numFmtId="0" fontId="0" fillId="3" borderId="28" xfId="0" applyFont="1" applyFill="1" applyBorder="1" applyAlignment="1">
      <alignment horizontal="left" vertical="top"/>
    </xf>
    <xf numFmtId="0" fontId="0" fillId="6" borderId="5" xfId="0" applyFont="1" applyFill="1" applyBorder="1" applyAlignment="1">
      <alignment horizontal="left" vertical="top"/>
    </xf>
    <xf numFmtId="0" fontId="0" fillId="4" borderId="30" xfId="0" applyFont="1" applyFill="1" applyBorder="1" applyAlignment="1">
      <alignment horizontal="left" vertical="top"/>
    </xf>
    <xf numFmtId="0" fontId="0" fillId="4" borderId="31" xfId="0" applyFont="1" applyFill="1" applyBorder="1" applyAlignment="1">
      <alignment horizontal="left" vertical="top"/>
    </xf>
    <xf numFmtId="0" fontId="0" fillId="3" borderId="30" xfId="0" applyFont="1" applyFill="1" applyBorder="1" applyAlignment="1">
      <alignment horizontal="left" vertical="top"/>
    </xf>
    <xf numFmtId="0" fontId="0" fillId="3" borderId="31" xfId="0" applyFont="1" applyFill="1" applyBorder="1" applyAlignment="1">
      <alignment horizontal="left" vertical="top"/>
    </xf>
    <xf numFmtId="0" fontId="1" fillId="2" borderId="4" xfId="0" applyFont="1" applyFill="1" applyBorder="1" applyAlignment="1">
      <alignment horizontal="center" vertical="top"/>
    </xf>
    <xf numFmtId="0" fontId="1" fillId="2" borderId="7" xfId="0" applyFont="1" applyFill="1" applyBorder="1" applyAlignment="1">
      <alignment horizontal="center" vertical="top" wrapText="1"/>
    </xf>
    <xf numFmtId="0" fontId="1" fillId="2" borderId="8" xfId="0" applyFont="1" applyFill="1" applyBorder="1" applyAlignment="1">
      <alignment horizontal="center" vertical="top" wrapText="1"/>
    </xf>
    <xf numFmtId="0" fontId="1" fillId="2" borderId="8" xfId="0" applyFont="1" applyFill="1" applyBorder="1" applyAlignment="1">
      <alignment horizontal="center" vertical="top"/>
    </xf>
    <xf numFmtId="0" fontId="1" fillId="2" borderId="11" xfId="0" applyFont="1" applyFill="1" applyBorder="1" applyAlignment="1">
      <alignment horizontal="center" vertical="top"/>
    </xf>
    <xf numFmtId="0" fontId="12" fillId="0" borderId="0" xfId="0" applyFont="1"/>
    <xf numFmtId="0" fontId="1" fillId="5" borderId="20" xfId="0" applyFont="1" applyFill="1" applyBorder="1"/>
    <xf numFmtId="0" fontId="12" fillId="0" borderId="0" xfId="0" applyFont="1" applyAlignment="1">
      <alignment horizontal="left"/>
    </xf>
    <xf numFmtId="0" fontId="1" fillId="2" borderId="4" xfId="0" applyFont="1" applyFill="1" applyBorder="1" applyAlignment="1">
      <alignment horizontal="center" vertical="top"/>
    </xf>
    <xf numFmtId="0" fontId="1" fillId="2" borderId="7" xfId="0" applyFont="1" applyFill="1" applyBorder="1" applyAlignment="1">
      <alignment horizontal="center" vertical="top" wrapText="1"/>
    </xf>
    <xf numFmtId="0" fontId="1" fillId="2" borderId="8" xfId="0" applyFont="1" applyFill="1" applyBorder="1" applyAlignment="1">
      <alignment horizontal="center" vertical="top" wrapText="1"/>
    </xf>
    <xf numFmtId="0" fontId="1" fillId="2" borderId="11" xfId="0" applyFont="1" applyFill="1" applyBorder="1" applyAlignment="1">
      <alignment horizontal="center" vertical="top"/>
    </xf>
    <xf numFmtId="0" fontId="1" fillId="2" borderId="8" xfId="0" applyFont="1" applyFill="1" applyBorder="1" applyAlignment="1">
      <alignment horizontal="center" vertical="top"/>
    </xf>
    <xf numFmtId="0" fontId="0" fillId="0" borderId="38" xfId="0" applyBorder="1" applyAlignment="1">
      <alignment vertical="top"/>
    </xf>
    <xf numFmtId="1" fontId="0" fillId="0" borderId="20" xfId="0" applyNumberFormat="1" applyBorder="1" applyAlignment="1">
      <alignment horizontal="center" vertical="top"/>
    </xf>
    <xf numFmtId="0" fontId="0" fillId="0" borderId="10" xfId="0" applyBorder="1" applyAlignment="1">
      <alignment vertical="top"/>
    </xf>
    <xf numFmtId="0" fontId="1" fillId="2" borderId="13" xfId="0" applyNumberFormat="1" applyFont="1" applyFill="1" applyBorder="1" applyAlignment="1">
      <alignment horizontal="center" vertical="top"/>
    </xf>
    <xf numFmtId="0" fontId="1" fillId="2" borderId="8" xfId="0" applyNumberFormat="1" applyFont="1" applyFill="1" applyBorder="1" applyAlignment="1">
      <alignment horizontal="center" vertical="top"/>
    </xf>
    <xf numFmtId="0" fontId="0" fillId="0" borderId="3" xfId="0" applyNumberFormat="1" applyBorder="1" applyAlignment="1">
      <alignment horizontal="left" vertical="top"/>
    </xf>
    <xf numFmtId="0" fontId="0" fillId="0" borderId="20" xfId="0" applyNumberFormat="1" applyBorder="1" applyAlignment="1">
      <alignment horizontal="left" vertical="top"/>
    </xf>
    <xf numFmtId="0" fontId="0" fillId="0" borderId="10" xfId="0" applyNumberFormat="1" applyBorder="1" applyAlignment="1">
      <alignment horizontal="left" vertical="top"/>
    </xf>
    <xf numFmtId="164" fontId="0" fillId="0" borderId="13" xfId="0" applyNumberFormat="1" applyBorder="1" applyAlignment="1">
      <alignment horizontal="center" vertical="top"/>
    </xf>
    <xf numFmtId="2" fontId="0" fillId="0" borderId="13" xfId="0" applyNumberFormat="1" applyBorder="1" applyAlignment="1">
      <alignment horizontal="center" vertical="top"/>
    </xf>
    <xf numFmtId="1" fontId="0" fillId="0" borderId="17" xfId="0" applyNumberFormat="1" applyBorder="1" applyAlignment="1">
      <alignment horizontal="center" vertical="top"/>
    </xf>
    <xf numFmtId="164" fontId="0" fillId="0" borderId="17" xfId="0" applyNumberFormat="1" applyBorder="1" applyAlignment="1">
      <alignment horizontal="left" vertical="top"/>
    </xf>
    <xf numFmtId="164" fontId="0" fillId="0" borderId="3" xfId="0" applyNumberFormat="1" applyFont="1" applyBorder="1" applyAlignment="1">
      <alignment horizontal="left" vertical="top"/>
    </xf>
    <xf numFmtId="0" fontId="0" fillId="0" borderId="3" xfId="0" applyNumberFormat="1" applyFont="1" applyBorder="1" applyAlignment="1">
      <alignment horizontal="left" vertical="top"/>
    </xf>
    <xf numFmtId="164" fontId="0" fillId="0" borderId="3" xfId="0" applyNumberFormat="1" applyFont="1" applyBorder="1" applyAlignment="1">
      <alignment horizontal="center" vertical="top"/>
    </xf>
    <xf numFmtId="164" fontId="0" fillId="0" borderId="1" xfId="0" applyNumberFormat="1" applyFont="1" applyBorder="1" applyAlignment="1">
      <alignment horizontal="center" vertical="top"/>
    </xf>
    <xf numFmtId="2" fontId="0" fillId="0" borderId="3" xfId="0" applyNumberFormat="1" applyFont="1" applyBorder="1" applyAlignment="1">
      <alignment horizontal="center" vertical="top"/>
    </xf>
    <xf numFmtId="164" fontId="0" fillId="0" borderId="20" xfId="0" applyNumberFormat="1" applyFont="1" applyBorder="1" applyAlignment="1">
      <alignment horizontal="center" vertical="top"/>
    </xf>
    <xf numFmtId="2" fontId="1" fillId="2" borderId="7" xfId="0" applyNumberFormat="1" applyFont="1" applyFill="1" applyBorder="1" applyAlignment="1">
      <alignment horizontal="center" vertical="top"/>
    </xf>
    <xf numFmtId="2" fontId="1" fillId="2" borderId="13" xfId="0" applyNumberFormat="1" applyFont="1" applyFill="1" applyBorder="1" applyAlignment="1">
      <alignment horizontal="center" vertical="top"/>
    </xf>
    <xf numFmtId="2" fontId="0" fillId="0" borderId="17" xfId="0" applyNumberFormat="1" applyBorder="1" applyAlignment="1">
      <alignment horizontal="center" vertical="top"/>
    </xf>
    <xf numFmtId="2" fontId="0" fillId="0" borderId="2" xfId="0" applyNumberFormat="1" applyBorder="1" applyAlignment="1">
      <alignment horizontal="center" vertical="top"/>
    </xf>
    <xf numFmtId="2" fontId="9" fillId="5" borderId="31" xfId="0" applyNumberFormat="1" applyFont="1" applyFill="1" applyBorder="1" applyAlignment="1">
      <alignment horizontal="center"/>
    </xf>
    <xf numFmtId="2" fontId="0" fillId="3" borderId="25" xfId="0" applyNumberFormat="1" applyFont="1" applyFill="1" applyBorder="1" applyAlignment="1">
      <alignment horizontal="center" vertical="top"/>
    </xf>
    <xf numFmtId="2" fontId="0" fillId="4" borderId="28" xfId="0" applyNumberFormat="1" applyFont="1" applyFill="1" applyBorder="1" applyAlignment="1">
      <alignment horizontal="center" vertical="top"/>
    </xf>
    <xf numFmtId="2" fontId="0" fillId="3" borderId="28" xfId="0" applyNumberFormat="1" applyFont="1" applyFill="1" applyBorder="1" applyAlignment="1">
      <alignment horizontal="center" vertical="top"/>
    </xf>
    <xf numFmtId="2" fontId="0" fillId="4" borderId="31" xfId="0" applyNumberFormat="1" applyFont="1" applyFill="1" applyBorder="1" applyAlignment="1">
      <alignment horizontal="center" vertical="top"/>
    </xf>
    <xf numFmtId="2" fontId="0" fillId="3" borderId="31" xfId="0" applyNumberFormat="1" applyFont="1" applyFill="1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164" fontId="0" fillId="0" borderId="3" xfId="0" quotePrefix="1" applyNumberFormat="1" applyBorder="1" applyAlignment="1">
      <alignment horizontal="center" vertical="top"/>
    </xf>
    <xf numFmtId="0" fontId="0" fillId="0" borderId="17" xfId="0" applyBorder="1" applyAlignment="1">
      <alignment horizontal="left"/>
    </xf>
    <xf numFmtId="0" fontId="0" fillId="0" borderId="13" xfId="0" applyBorder="1" applyAlignment="1">
      <alignment vertical="top"/>
    </xf>
    <xf numFmtId="0" fontId="0" fillId="0" borderId="10" xfId="0" applyBorder="1" applyAlignment="1">
      <alignment horizontal="center" vertical="top"/>
    </xf>
    <xf numFmtId="0" fontId="0" fillId="0" borderId="13" xfId="0" applyBorder="1" applyAlignment="1">
      <alignment horizontal="center" vertical="top"/>
    </xf>
    <xf numFmtId="164" fontId="0" fillId="0" borderId="9" xfId="0" applyNumberFormat="1" applyBorder="1" applyAlignment="1">
      <alignment horizontal="center" vertical="top"/>
    </xf>
    <xf numFmtId="2" fontId="0" fillId="0" borderId="0" xfId="0" applyNumberFormat="1"/>
    <xf numFmtId="164" fontId="0" fillId="0" borderId="13" xfId="0" applyNumberFormat="1" applyBorder="1" applyAlignment="1">
      <alignment horizontal="left" vertical="top"/>
    </xf>
    <xf numFmtId="164" fontId="0" fillId="0" borderId="34" xfId="0" applyNumberFormat="1" applyBorder="1" applyAlignment="1">
      <alignment horizontal="center" vertical="top"/>
    </xf>
    <xf numFmtId="0" fontId="0" fillId="0" borderId="13" xfId="0" applyBorder="1" applyAlignment="1">
      <alignment horizontal="left" vertical="top"/>
    </xf>
    <xf numFmtId="0" fontId="0" fillId="0" borderId="7" xfId="0" applyBorder="1" applyAlignment="1">
      <alignment horizontal="center" vertical="top"/>
    </xf>
    <xf numFmtId="164" fontId="0" fillId="0" borderId="21" xfId="0" applyNumberFormat="1" applyBorder="1" applyAlignment="1">
      <alignment horizontal="center" vertical="top"/>
    </xf>
    <xf numFmtId="164" fontId="0" fillId="7" borderId="3" xfId="0" applyNumberFormat="1" applyFill="1" applyBorder="1" applyAlignment="1">
      <alignment horizontal="center" vertical="top"/>
    </xf>
    <xf numFmtId="164" fontId="0" fillId="8" borderId="3" xfId="0" applyNumberFormat="1" applyFill="1" applyBorder="1" applyAlignment="1">
      <alignment horizontal="center" vertical="top"/>
    </xf>
    <xf numFmtId="0" fontId="0" fillId="0" borderId="6" xfId="0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6" xfId="0" applyBorder="1" applyAlignment="1">
      <alignment horizontal="center" vertical="top"/>
    </xf>
    <xf numFmtId="164" fontId="0" fillId="0" borderId="39" xfId="0" applyNumberFormat="1" applyBorder="1" applyAlignment="1">
      <alignment horizontal="center" vertical="top"/>
    </xf>
    <xf numFmtId="0" fontId="0" fillId="0" borderId="39" xfId="0" applyBorder="1" applyAlignment="1">
      <alignment horizontal="center" vertical="top"/>
    </xf>
    <xf numFmtId="164" fontId="0" fillId="0" borderId="4" xfId="0" applyNumberFormat="1" applyBorder="1" applyAlignment="1">
      <alignment horizontal="center" vertical="top"/>
    </xf>
    <xf numFmtId="2" fontId="0" fillId="0" borderId="39" xfId="0" applyNumberFormat="1" applyBorder="1" applyAlignment="1">
      <alignment horizontal="center" vertical="top"/>
    </xf>
    <xf numFmtId="0" fontId="0" fillId="0" borderId="20" xfId="0" applyBorder="1" applyAlignment="1">
      <alignment vertical="top"/>
    </xf>
    <xf numFmtId="164" fontId="0" fillId="0" borderId="33" xfId="0" applyNumberFormat="1" applyBorder="1" applyAlignment="1">
      <alignment horizontal="center" vertical="top"/>
    </xf>
    <xf numFmtId="0" fontId="0" fillId="0" borderId="3" xfId="0" applyBorder="1" applyAlignment="1">
      <alignment horizontal="left"/>
    </xf>
    <xf numFmtId="0" fontId="0" fillId="0" borderId="3" xfId="0" applyBorder="1" applyAlignment="1">
      <alignment horizontal="center"/>
    </xf>
    <xf numFmtId="0" fontId="0" fillId="0" borderId="38" xfId="0" applyBorder="1" applyAlignment="1">
      <alignment horizontal="center" vertical="top"/>
    </xf>
    <xf numFmtId="0" fontId="0" fillId="0" borderId="7" xfId="0" applyBorder="1" applyAlignment="1">
      <alignment vertical="top"/>
    </xf>
    <xf numFmtId="164" fontId="0" fillId="0" borderId="7" xfId="0" applyNumberFormat="1" applyBorder="1" applyAlignment="1">
      <alignment horizontal="center" vertical="top"/>
    </xf>
    <xf numFmtId="2" fontId="0" fillId="0" borderId="34" xfId="0" applyNumberFormat="1" applyBorder="1" applyAlignment="1">
      <alignment horizontal="center" vertical="top"/>
    </xf>
    <xf numFmtId="0" fontId="0" fillId="0" borderId="41" xfId="0" applyBorder="1" applyAlignment="1">
      <alignment vertical="top"/>
    </xf>
    <xf numFmtId="0" fontId="0" fillId="0" borderId="40" xfId="0" applyBorder="1" applyAlignment="1">
      <alignment horizontal="left" vertical="top"/>
    </xf>
    <xf numFmtId="0" fontId="0" fillId="0" borderId="7" xfId="0" applyFill="1" applyBorder="1" applyAlignment="1">
      <alignment horizontal="left"/>
    </xf>
    <xf numFmtId="0" fontId="0" fillId="0" borderId="42" xfId="0" applyFill="1" applyBorder="1" applyAlignment="1">
      <alignment horizontal="left"/>
    </xf>
    <xf numFmtId="0" fontId="0" fillId="0" borderId="3" xfId="0" applyFill="1" applyBorder="1" applyAlignment="1">
      <alignment horizontal="left"/>
    </xf>
    <xf numFmtId="0" fontId="0" fillId="0" borderId="43" xfId="0" applyFill="1" applyBorder="1" applyAlignment="1">
      <alignment horizontal="left"/>
    </xf>
    <xf numFmtId="0" fontId="0" fillId="1" borderId="14" xfId="0" applyFill="1" applyBorder="1" applyAlignment="1">
      <alignment vertical="top"/>
    </xf>
    <xf numFmtId="0" fontId="0" fillId="1" borderId="7" xfId="0" applyFill="1" applyBorder="1" applyAlignment="1">
      <alignment vertical="top"/>
    </xf>
    <xf numFmtId="0" fontId="0" fillId="1" borderId="14" xfId="0" applyFill="1" applyBorder="1" applyAlignment="1">
      <alignment horizontal="center" vertical="top"/>
    </xf>
    <xf numFmtId="164" fontId="0" fillId="0" borderId="8" xfId="0" applyNumberFormat="1" applyBorder="1" applyAlignment="1">
      <alignment horizontal="center" vertical="top"/>
    </xf>
    <xf numFmtId="0" fontId="0" fillId="0" borderId="7" xfId="0" applyBorder="1" applyAlignment="1">
      <alignment horizontal="left" vertical="top"/>
    </xf>
    <xf numFmtId="0" fontId="0" fillId="0" borderId="39" xfId="0" applyBorder="1" applyAlignment="1">
      <alignment horizontal="left" vertical="top"/>
    </xf>
    <xf numFmtId="164" fontId="0" fillId="0" borderId="2" xfId="0" applyNumberFormat="1" applyBorder="1" applyAlignment="1">
      <alignment horizontal="left" vertical="top"/>
    </xf>
    <xf numFmtId="0" fontId="1" fillId="5" borderId="8" xfId="0" applyFont="1" applyFill="1" applyBorder="1"/>
    <xf numFmtId="1" fontId="0" fillId="0" borderId="38" xfId="0" applyNumberFormat="1" applyBorder="1" applyAlignment="1">
      <alignment horizontal="center" vertical="top"/>
    </xf>
    <xf numFmtId="0" fontId="0" fillId="0" borderId="34" xfId="0" applyBorder="1" applyAlignment="1">
      <alignment vertical="top"/>
    </xf>
    <xf numFmtId="0" fontId="0" fillId="0" borderId="44" xfId="0" applyBorder="1" applyAlignment="1">
      <alignment vertical="top"/>
    </xf>
    <xf numFmtId="0" fontId="0" fillId="0" borderId="34" xfId="0" applyBorder="1" applyAlignment="1">
      <alignment horizontal="left" vertical="top"/>
    </xf>
    <xf numFmtId="1" fontId="0" fillId="0" borderId="44" xfId="0" applyNumberFormat="1" applyBorder="1" applyAlignment="1">
      <alignment horizontal="center" vertical="top"/>
    </xf>
    <xf numFmtId="164" fontId="0" fillId="0" borderId="23" xfId="0" applyNumberFormat="1" applyBorder="1" applyAlignment="1">
      <alignment horizontal="center" vertical="top"/>
    </xf>
    <xf numFmtId="164" fontId="0" fillId="0" borderId="34" xfId="0" applyNumberFormat="1" applyBorder="1" applyAlignment="1">
      <alignment horizontal="left" vertical="top"/>
    </xf>
    <xf numFmtId="1" fontId="0" fillId="0" borderId="34" xfId="0" applyNumberFormat="1" applyBorder="1" applyAlignment="1">
      <alignment horizontal="center" vertical="top"/>
    </xf>
    <xf numFmtId="0" fontId="3" fillId="0" borderId="39" xfId="0" applyFont="1" applyBorder="1" applyAlignment="1">
      <alignment horizontal="center" vertical="top"/>
    </xf>
    <xf numFmtId="2" fontId="0" fillId="0" borderId="8" xfId="0" applyNumberFormat="1" applyBorder="1" applyAlignment="1">
      <alignment horizontal="center" vertical="top"/>
    </xf>
    <xf numFmtId="0" fontId="0" fillId="0" borderId="44" xfId="0" applyBorder="1" applyAlignment="1">
      <alignment horizontal="center" vertical="top"/>
    </xf>
    <xf numFmtId="0" fontId="0" fillId="0" borderId="34" xfId="0" applyBorder="1" applyAlignment="1">
      <alignment horizontal="center" vertical="top"/>
    </xf>
    <xf numFmtId="0" fontId="0" fillId="9" borderId="39" xfId="0" applyFill="1" applyBorder="1" applyAlignment="1">
      <alignment vertical="top"/>
    </xf>
    <xf numFmtId="0" fontId="0" fillId="1" borderId="2" xfId="0" applyFill="1" applyBorder="1" applyAlignment="1">
      <alignment vertical="top"/>
    </xf>
    <xf numFmtId="0" fontId="0" fillId="0" borderId="2" xfId="0" applyNumberFormat="1" applyBorder="1" applyAlignment="1">
      <alignment horizontal="left" vertical="top"/>
    </xf>
    <xf numFmtId="0" fontId="0" fillId="0" borderId="34" xfId="0" applyNumberFormat="1" applyBorder="1" applyAlignment="1">
      <alignment horizontal="left" vertical="top"/>
    </xf>
    <xf numFmtId="0" fontId="0" fillId="3" borderId="45" xfId="0" applyFont="1" applyFill="1" applyBorder="1" applyAlignment="1">
      <alignment horizontal="left" vertical="top"/>
    </xf>
    <xf numFmtId="0" fontId="0" fillId="3" borderId="46" xfId="0" applyFont="1" applyFill="1" applyBorder="1" applyAlignment="1">
      <alignment horizontal="left" vertical="top"/>
    </xf>
    <xf numFmtId="0" fontId="0" fillId="3" borderId="46" xfId="0" applyFont="1" applyFill="1" applyBorder="1" applyAlignment="1">
      <alignment vertical="top"/>
    </xf>
    <xf numFmtId="2" fontId="0" fillId="3" borderId="46" xfId="0" applyNumberFormat="1" applyFont="1" applyFill="1" applyBorder="1" applyAlignment="1">
      <alignment horizontal="center" vertical="top"/>
    </xf>
    <xf numFmtId="2" fontId="0" fillId="3" borderId="47" xfId="0" applyNumberFormat="1" applyFont="1" applyFill="1" applyBorder="1" applyAlignment="1">
      <alignment horizontal="center"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 wrapText="1"/>
    </xf>
    <xf numFmtId="0" fontId="10" fillId="5" borderId="51" xfId="0" applyFont="1" applyFill="1" applyBorder="1" applyAlignment="1">
      <alignment horizontal="center" vertical="top" wrapText="1"/>
    </xf>
    <xf numFmtId="0" fontId="10" fillId="5" borderId="52" xfId="0" applyFont="1" applyFill="1" applyBorder="1" applyAlignment="1">
      <alignment horizontal="center" vertical="top" wrapText="1"/>
    </xf>
    <xf numFmtId="0" fontId="10" fillId="5" borderId="53" xfId="0" applyFont="1" applyFill="1" applyBorder="1" applyAlignment="1">
      <alignment horizontal="center" vertical="top" wrapText="1"/>
    </xf>
    <xf numFmtId="0" fontId="0" fillId="0" borderId="48" xfId="0" applyBorder="1" applyAlignment="1">
      <alignment horizontal="center"/>
    </xf>
    <xf numFmtId="0" fontId="0" fillId="0" borderId="52" xfId="0" applyBorder="1" applyAlignment="1">
      <alignment vertical="top" wrapText="1"/>
    </xf>
    <xf numFmtId="0" fontId="0" fillId="0" borderId="52" xfId="0" applyBorder="1" applyAlignment="1">
      <alignment horizontal="center" vertical="top" wrapText="1"/>
    </xf>
    <xf numFmtId="0" fontId="0" fillId="0" borderId="48" xfId="0" applyBorder="1" applyAlignment="1">
      <alignment vertical="top" wrapText="1"/>
    </xf>
    <xf numFmtId="0" fontId="0" fillId="0" borderId="48" xfId="0" applyBorder="1" applyAlignment="1">
      <alignment horizontal="center" vertical="top" wrapText="1"/>
    </xf>
    <xf numFmtId="0" fontId="0" fillId="0" borderId="48" xfId="0" applyBorder="1" applyAlignment="1">
      <alignment horizontal="left" vertical="top" wrapText="1"/>
    </xf>
    <xf numFmtId="0" fontId="0" fillId="0" borderId="49" xfId="0" applyBorder="1" applyAlignment="1">
      <alignment horizontal="center"/>
    </xf>
    <xf numFmtId="0" fontId="0" fillId="0" borderId="48" xfId="0" applyBorder="1" applyAlignment="1">
      <alignment horizontal="center" vertical="top"/>
    </xf>
    <xf numFmtId="0" fontId="0" fillId="0" borderId="50" xfId="0" applyBorder="1" applyAlignment="1">
      <alignment horizontal="center" vertical="top"/>
    </xf>
    <xf numFmtId="0" fontId="0" fillId="0" borderId="50" xfId="0" applyBorder="1" applyAlignment="1">
      <alignment horizontal="center" vertical="top" wrapText="1"/>
    </xf>
    <xf numFmtId="0" fontId="0" fillId="0" borderId="53" xfId="0" applyBorder="1" applyAlignment="1">
      <alignment horizontal="center" vertical="top" wrapText="1"/>
    </xf>
    <xf numFmtId="2" fontId="10" fillId="5" borderId="51" xfId="0" applyNumberFormat="1" applyFont="1" applyFill="1" applyBorder="1" applyAlignment="1">
      <alignment horizontal="center" vertical="top" wrapText="1"/>
    </xf>
    <xf numFmtId="2" fontId="0" fillId="0" borderId="52" xfId="0" applyNumberFormat="1" applyBorder="1" applyAlignment="1">
      <alignment horizontal="center" vertical="top" wrapText="1"/>
    </xf>
    <xf numFmtId="2" fontId="0" fillId="0" borderId="48" xfId="0" applyNumberFormat="1" applyBorder="1" applyAlignment="1">
      <alignment horizontal="center" vertical="top" wrapText="1"/>
    </xf>
    <xf numFmtId="2" fontId="0" fillId="0" borderId="0" xfId="0" applyNumberFormat="1" applyAlignment="1">
      <alignment horizontal="center" vertical="top" wrapText="1"/>
    </xf>
    <xf numFmtId="2" fontId="10" fillId="5" borderId="52" xfId="0" applyNumberFormat="1" applyFont="1" applyFill="1" applyBorder="1" applyAlignment="1">
      <alignment horizontal="center" vertical="top" wrapText="1"/>
    </xf>
    <xf numFmtId="2" fontId="10" fillId="5" borderId="53" xfId="0" applyNumberFormat="1" applyFont="1" applyFill="1" applyBorder="1" applyAlignment="1">
      <alignment horizontal="center" vertical="top" wrapText="1"/>
    </xf>
    <xf numFmtId="2" fontId="0" fillId="0" borderId="48" xfId="0" applyNumberFormat="1" applyBorder="1" applyAlignment="1">
      <alignment horizontal="center"/>
    </xf>
    <xf numFmtId="2" fontId="0" fillId="0" borderId="48" xfId="0" applyNumberFormat="1" applyBorder="1" applyAlignment="1">
      <alignment horizontal="center" vertical="top"/>
    </xf>
    <xf numFmtId="0" fontId="0" fillId="0" borderId="60" xfId="0" applyBorder="1" applyAlignment="1">
      <alignment horizontal="center" vertical="top"/>
    </xf>
    <xf numFmtId="2" fontId="0" fillId="0" borderId="49" xfId="0" applyNumberFormat="1" applyBorder="1" applyAlignment="1">
      <alignment horizontal="center"/>
    </xf>
    <xf numFmtId="0" fontId="0" fillId="0" borderId="61" xfId="0" applyBorder="1" applyAlignment="1">
      <alignment horizontal="center" vertical="top"/>
    </xf>
    <xf numFmtId="2" fontId="0" fillId="0" borderId="61" xfId="0" applyNumberFormat="1" applyBorder="1" applyAlignment="1">
      <alignment horizontal="center" vertical="top"/>
    </xf>
    <xf numFmtId="0" fontId="0" fillId="3" borderId="48" xfId="0" applyFont="1" applyFill="1" applyBorder="1" applyAlignment="1">
      <alignment horizontal="center"/>
    </xf>
    <xf numFmtId="0" fontId="0" fillId="0" borderId="49" xfId="0" applyBorder="1" applyAlignment="1">
      <alignment horizontal="center" vertical="top"/>
    </xf>
    <xf numFmtId="0" fontId="0" fillId="0" borderId="49" xfId="0" applyBorder="1" applyAlignment="1">
      <alignment horizontal="center" vertical="top" wrapText="1"/>
    </xf>
    <xf numFmtId="2" fontId="0" fillId="0" borderId="49" xfId="0" applyNumberFormat="1" applyBorder="1" applyAlignment="1">
      <alignment horizontal="center" vertical="top" wrapText="1"/>
    </xf>
    <xf numFmtId="2" fontId="0" fillId="0" borderId="49" xfId="0" applyNumberFormat="1" applyBorder="1" applyAlignment="1">
      <alignment horizontal="center" vertical="top"/>
    </xf>
    <xf numFmtId="0" fontId="0" fillId="0" borderId="63" xfId="0" applyBorder="1" applyAlignment="1">
      <alignment horizontal="center" vertical="top"/>
    </xf>
    <xf numFmtId="0" fontId="0" fillId="0" borderId="61" xfId="0" applyBorder="1" applyAlignment="1">
      <alignment horizontal="center" vertical="top" wrapText="1"/>
    </xf>
    <xf numFmtId="2" fontId="0" fillId="0" borderId="61" xfId="0" applyNumberFormat="1" applyBorder="1" applyAlignment="1">
      <alignment horizontal="center" vertical="top" wrapText="1"/>
    </xf>
    <xf numFmtId="0" fontId="0" fillId="0" borderId="48" xfId="0" applyBorder="1" applyAlignment="1">
      <alignment horizontal="left"/>
    </xf>
    <xf numFmtId="0" fontId="0" fillId="0" borderId="49" xfId="0" applyBorder="1" applyAlignment="1">
      <alignment horizontal="left"/>
    </xf>
    <xf numFmtId="0" fontId="0" fillId="0" borderId="61" xfId="0" applyBorder="1" applyAlignment="1">
      <alignment horizontal="left" vertical="top"/>
    </xf>
    <xf numFmtId="0" fontId="0" fillId="0" borderId="48" xfId="0" applyBorder="1" applyAlignment="1">
      <alignment horizontal="left" vertical="top"/>
    </xf>
    <xf numFmtId="0" fontId="0" fillId="0" borderId="49" xfId="0" applyBorder="1" applyAlignment="1">
      <alignment horizontal="left" vertical="top"/>
    </xf>
    <xf numFmtId="0" fontId="0" fillId="0" borderId="65" xfId="0" applyBorder="1" applyAlignment="1">
      <alignment horizontal="center" vertical="top"/>
    </xf>
    <xf numFmtId="0" fontId="0" fillId="0" borderId="64" xfId="0" applyBorder="1" applyAlignment="1">
      <alignment horizontal="center" vertical="top"/>
    </xf>
    <xf numFmtId="0" fontId="0" fillId="0" borderId="65" xfId="0" applyBorder="1" applyAlignment="1">
      <alignment horizontal="left" vertical="top"/>
    </xf>
    <xf numFmtId="2" fontId="0" fillId="0" borderId="65" xfId="0" applyNumberFormat="1" applyBorder="1" applyAlignment="1">
      <alignment horizontal="center" vertical="top" wrapText="1"/>
    </xf>
    <xf numFmtId="0" fontId="0" fillId="0" borderId="65" xfId="0" applyBorder="1" applyAlignment="1">
      <alignment horizontal="center" vertical="top" wrapText="1"/>
    </xf>
    <xf numFmtId="0" fontId="0" fillId="0" borderId="66" xfId="0" applyBorder="1" applyAlignment="1">
      <alignment horizontal="center" vertical="top"/>
    </xf>
    <xf numFmtId="0" fontId="0" fillId="0" borderId="67" xfId="0" applyBorder="1" applyAlignment="1">
      <alignment horizontal="center" vertical="top"/>
    </xf>
    <xf numFmtId="0" fontId="13" fillId="0" borderId="2" xfId="0" applyFont="1" applyBorder="1"/>
    <xf numFmtId="0" fontId="0" fillId="0" borderId="3" xfId="0" applyBorder="1"/>
    <xf numFmtId="0" fontId="16" fillId="0" borderId="3" xfId="0" applyFont="1" applyBorder="1" applyAlignment="1">
      <alignment vertical="center"/>
    </xf>
    <xf numFmtId="0" fontId="16" fillId="0" borderId="3" xfId="0" applyFont="1" applyBorder="1"/>
    <xf numFmtId="0" fontId="0" fillId="0" borderId="34" xfId="0" applyBorder="1"/>
    <xf numFmtId="0" fontId="16" fillId="0" borderId="34" xfId="0" applyFont="1" applyBorder="1"/>
    <xf numFmtId="0" fontId="0" fillId="0" borderId="20" xfId="0" applyBorder="1"/>
    <xf numFmtId="0" fontId="13" fillId="0" borderId="39" xfId="0" applyFont="1" applyBorder="1"/>
    <xf numFmtId="0" fontId="2" fillId="0" borderId="39" xfId="0" applyFont="1" applyBorder="1"/>
    <xf numFmtId="0" fontId="0" fillId="0" borderId="2" xfId="0" applyBorder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top" wrapText="1"/>
    </xf>
    <xf numFmtId="0" fontId="19" fillId="0" borderId="0" xfId="0" applyFont="1" applyAlignment="1">
      <alignment vertical="top"/>
    </xf>
    <xf numFmtId="0" fontId="16" fillId="0" borderId="20" xfId="0" applyFont="1" applyBorder="1"/>
    <xf numFmtId="0" fontId="0" fillId="0" borderId="0" xfId="0" applyBorder="1"/>
    <xf numFmtId="0" fontId="12" fillId="0" borderId="49" xfId="0" applyFont="1" applyBorder="1" applyAlignment="1">
      <alignment horizontal="center" vertical="top" wrapText="1"/>
    </xf>
    <xf numFmtId="0" fontId="12" fillId="0" borderId="60" xfId="0" applyFont="1" applyBorder="1" applyAlignment="1">
      <alignment horizontal="center" vertical="top" wrapText="1"/>
    </xf>
    <xf numFmtId="0" fontId="0" fillId="8" borderId="17" xfId="0" applyFill="1" applyBorder="1" applyAlignment="1">
      <alignment vertical="top"/>
    </xf>
    <xf numFmtId="0" fontId="0" fillId="8" borderId="15" xfId="0" applyFill="1" applyBorder="1" applyAlignment="1">
      <alignment vertical="top"/>
    </xf>
    <xf numFmtId="0" fontId="0" fillId="8" borderId="3" xfId="0" applyFill="1" applyBorder="1" applyAlignment="1">
      <alignment vertical="top"/>
    </xf>
    <xf numFmtId="0" fontId="0" fillId="8" borderId="15" xfId="0" applyFill="1" applyBorder="1" applyAlignment="1">
      <alignment horizontal="center" vertical="top"/>
    </xf>
    <xf numFmtId="0" fontId="0" fillId="8" borderId="3" xfId="0" applyFill="1" applyBorder="1" applyAlignment="1">
      <alignment horizontal="left" vertical="top"/>
    </xf>
    <xf numFmtId="2" fontId="0" fillId="8" borderId="3" xfId="0" applyNumberFormat="1" applyFill="1" applyBorder="1" applyAlignment="1">
      <alignment horizontal="center" vertical="top"/>
    </xf>
    <xf numFmtId="164" fontId="1" fillId="2" borderId="13" xfId="0" applyNumberFormat="1" applyFont="1" applyFill="1" applyBorder="1" applyAlignment="1">
      <alignment horizontal="center" vertical="top"/>
    </xf>
    <xf numFmtId="0" fontId="14" fillId="0" borderId="3" xfId="1" applyBorder="1" applyAlignment="1">
      <alignment horizontal="left" vertical="top"/>
    </xf>
    <xf numFmtId="164" fontId="0" fillId="0" borderId="10" xfId="0" applyNumberFormat="1" applyBorder="1" applyAlignment="1">
      <alignment horizontal="center" vertical="top"/>
    </xf>
    <xf numFmtId="1" fontId="0" fillId="0" borderId="10" xfId="0" applyNumberFormat="1" applyBorder="1" applyAlignment="1">
      <alignment horizontal="center" vertical="top"/>
    </xf>
    <xf numFmtId="1" fontId="1" fillId="2" borderId="7" xfId="0" applyNumberFormat="1" applyFont="1" applyFill="1" applyBorder="1" applyAlignment="1">
      <alignment horizontal="center" vertical="top"/>
    </xf>
    <xf numFmtId="0" fontId="20" fillId="0" borderId="0" xfId="0" applyFont="1"/>
    <xf numFmtId="0" fontId="0" fillId="10" borderId="3" xfId="0" applyFill="1" applyBorder="1"/>
    <xf numFmtId="0" fontId="0" fillId="0" borderId="41" xfId="0" applyBorder="1" applyAlignment="1">
      <alignment horizontal="center" vertical="top"/>
    </xf>
    <xf numFmtId="0" fontId="1" fillId="5" borderId="17" xfId="0" applyFont="1" applyFill="1" applyBorder="1"/>
    <xf numFmtId="0" fontId="0" fillId="4" borderId="35" xfId="0" applyFont="1" applyFill="1" applyBorder="1" applyAlignment="1">
      <alignment horizontal="left" vertical="top"/>
    </xf>
    <xf numFmtId="0" fontId="0" fillId="4" borderId="36" xfId="0" applyFont="1" applyFill="1" applyBorder="1" applyAlignment="1">
      <alignment horizontal="left" vertical="top"/>
    </xf>
    <xf numFmtId="0" fontId="0" fillId="4" borderId="36" xfId="0" applyFont="1" applyFill="1" applyBorder="1" applyAlignment="1">
      <alignment vertical="top"/>
    </xf>
    <xf numFmtId="2" fontId="0" fillId="4" borderId="36" xfId="0" applyNumberFormat="1" applyFont="1" applyFill="1" applyBorder="1" applyAlignment="1">
      <alignment horizontal="center" vertical="top"/>
    </xf>
    <xf numFmtId="2" fontId="0" fillId="4" borderId="37" xfId="0" applyNumberFormat="1" applyFont="1" applyFill="1" applyBorder="1" applyAlignment="1">
      <alignment horizontal="center" vertical="top"/>
    </xf>
    <xf numFmtId="0" fontId="1" fillId="5" borderId="4" xfId="0" applyFont="1" applyFill="1" applyBorder="1" applyAlignment="1"/>
    <xf numFmtId="0" fontId="1" fillId="5" borderId="5" xfId="0" applyFont="1" applyFill="1" applyBorder="1" applyAlignment="1"/>
    <xf numFmtId="0" fontId="1" fillId="5" borderId="6" xfId="0" applyFont="1" applyFill="1" applyBorder="1" applyAlignment="1"/>
    <xf numFmtId="0" fontId="0" fillId="3" borderId="25" xfId="0" applyFont="1" applyFill="1" applyBorder="1" applyAlignment="1">
      <alignment horizontal="center" vertical="top"/>
    </xf>
    <xf numFmtId="0" fontId="0" fillId="3" borderId="26" xfId="0" applyFont="1" applyFill="1" applyBorder="1" applyAlignment="1">
      <alignment horizontal="center" vertical="top"/>
    </xf>
    <xf numFmtId="0" fontId="0" fillId="12" borderId="27" xfId="0" applyFont="1" applyFill="1" applyBorder="1" applyAlignment="1">
      <alignment horizontal="left" vertical="top"/>
    </xf>
    <xf numFmtId="0" fontId="0" fillId="12" borderId="28" xfId="0" applyFont="1" applyFill="1" applyBorder="1" applyAlignment="1">
      <alignment horizontal="left" vertical="top"/>
    </xf>
    <xf numFmtId="0" fontId="0" fillId="12" borderId="28" xfId="0" applyFont="1" applyFill="1" applyBorder="1" applyAlignment="1">
      <alignment vertical="top"/>
    </xf>
    <xf numFmtId="2" fontId="0" fillId="12" borderId="28" xfId="0" applyNumberFormat="1" applyFont="1" applyFill="1" applyBorder="1" applyAlignment="1">
      <alignment horizontal="center" vertical="top"/>
    </xf>
    <xf numFmtId="2" fontId="0" fillId="12" borderId="29" xfId="0" applyNumberFormat="1" applyFont="1" applyFill="1" applyBorder="1" applyAlignment="1">
      <alignment horizontal="center" vertical="top"/>
    </xf>
    <xf numFmtId="0" fontId="0" fillId="11" borderId="27" xfId="0" applyFont="1" applyFill="1" applyBorder="1" applyAlignment="1">
      <alignment horizontal="left" vertical="top"/>
    </xf>
    <xf numFmtId="0" fontId="0" fillId="11" borderId="28" xfId="0" applyFont="1" applyFill="1" applyBorder="1" applyAlignment="1">
      <alignment horizontal="left" vertical="top"/>
    </xf>
    <xf numFmtId="0" fontId="0" fillId="11" borderId="28" xfId="0" applyFont="1" applyFill="1" applyBorder="1" applyAlignment="1">
      <alignment vertical="top"/>
    </xf>
    <xf numFmtId="2" fontId="0" fillId="11" borderId="28" xfId="0" applyNumberFormat="1" applyFont="1" applyFill="1" applyBorder="1" applyAlignment="1">
      <alignment horizontal="center" vertical="top"/>
    </xf>
    <xf numFmtId="2" fontId="0" fillId="11" borderId="29" xfId="0" applyNumberFormat="1" applyFont="1" applyFill="1" applyBorder="1" applyAlignment="1">
      <alignment horizontal="center" vertical="top"/>
    </xf>
    <xf numFmtId="0" fontId="0" fillId="11" borderId="24" xfId="0" applyFont="1" applyFill="1" applyBorder="1" applyAlignment="1">
      <alignment horizontal="left" vertical="top"/>
    </xf>
    <xf numFmtId="0" fontId="0" fillId="11" borderId="25" xfId="0" applyFont="1" applyFill="1" applyBorder="1" applyAlignment="1">
      <alignment horizontal="left" vertical="top"/>
    </xf>
    <xf numFmtId="0" fontId="0" fillId="11" borderId="25" xfId="0" applyFont="1" applyFill="1" applyBorder="1" applyAlignment="1">
      <alignment vertical="top"/>
    </xf>
    <xf numFmtId="2" fontId="0" fillId="11" borderId="25" xfId="0" applyNumberFormat="1" applyFont="1" applyFill="1" applyBorder="1" applyAlignment="1">
      <alignment horizontal="center" vertical="top"/>
    </xf>
    <xf numFmtId="2" fontId="0" fillId="11" borderId="26" xfId="0" applyNumberFormat="1" applyFont="1" applyFill="1" applyBorder="1" applyAlignment="1">
      <alignment horizontal="center" vertical="top"/>
    </xf>
    <xf numFmtId="164" fontId="1" fillId="2" borderId="8" xfId="0" applyNumberFormat="1" applyFont="1" applyFill="1" applyBorder="1" applyAlignment="1">
      <alignment horizontal="center" vertical="top" wrapText="1"/>
    </xf>
    <xf numFmtId="164" fontId="1" fillId="2" borderId="8" xfId="0" applyNumberFormat="1" applyFont="1" applyFill="1" applyBorder="1" applyAlignment="1">
      <alignment horizontal="center" vertical="top" wrapText="1"/>
    </xf>
    <xf numFmtId="0" fontId="0" fillId="0" borderId="3" xfId="0" applyFill="1" applyBorder="1" applyAlignment="1">
      <alignment vertical="top"/>
    </xf>
    <xf numFmtId="0" fontId="0" fillId="0" borderId="15" xfId="0" applyFill="1" applyBorder="1" applyAlignment="1">
      <alignment horizontal="center" vertical="top"/>
    </xf>
    <xf numFmtId="0" fontId="0" fillId="0" borderId="17" xfId="0" applyFill="1" applyBorder="1" applyAlignment="1">
      <alignment horizontal="left" vertical="top"/>
    </xf>
    <xf numFmtId="0" fontId="0" fillId="0" borderId="3" xfId="0" applyFill="1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1" fontId="0" fillId="0" borderId="3" xfId="0" applyNumberFormat="1" applyFill="1" applyBorder="1" applyAlignment="1">
      <alignment horizontal="center" vertical="top"/>
    </xf>
    <xf numFmtId="164" fontId="0" fillId="0" borderId="3" xfId="0" applyNumberFormat="1" applyFill="1" applyBorder="1" applyAlignment="1">
      <alignment horizontal="left" vertical="top"/>
    </xf>
    <xf numFmtId="164" fontId="0" fillId="0" borderId="3" xfId="0" applyNumberFormat="1" applyFill="1" applyBorder="1" applyAlignment="1">
      <alignment horizontal="center" vertical="top"/>
    </xf>
    <xf numFmtId="2" fontId="0" fillId="0" borderId="3" xfId="0" applyNumberFormat="1" applyFill="1" applyBorder="1" applyAlignment="1">
      <alignment horizontal="center" vertical="top"/>
    </xf>
    <xf numFmtId="0" fontId="0" fillId="0" borderId="0" xfId="0" applyFill="1" applyAlignment="1">
      <alignment vertical="top"/>
    </xf>
    <xf numFmtId="0" fontId="13" fillId="0" borderId="0" xfId="0" applyFont="1" applyAlignment="1">
      <alignment horizontal="center"/>
    </xf>
    <xf numFmtId="0" fontId="14" fillId="0" borderId="0" xfId="1"/>
    <xf numFmtId="0" fontId="20" fillId="0" borderId="17" xfId="0" applyFont="1" applyBorder="1" applyAlignment="1">
      <alignment horizontal="left" vertical="top"/>
    </xf>
    <xf numFmtId="0" fontId="20" fillId="0" borderId="3" xfId="0" applyFont="1" applyBorder="1" applyAlignment="1">
      <alignment vertical="top"/>
    </xf>
    <xf numFmtId="0" fontId="21" fillId="0" borderId="3" xfId="0" applyFont="1" applyBorder="1"/>
    <xf numFmtId="1" fontId="0" fillId="0" borderId="3" xfId="0" applyNumberFormat="1" applyBorder="1" applyAlignment="1">
      <alignment horizontal="left" vertical="top"/>
    </xf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left"/>
    </xf>
    <xf numFmtId="0" fontId="0" fillId="0" borderId="0" xfId="0" applyFill="1" applyBorder="1"/>
    <xf numFmtId="0" fontId="3" fillId="0" borderId="0" xfId="0" applyFont="1" applyFill="1" applyBorder="1" applyAlignment="1">
      <alignment horizontal="center" vertical="top"/>
    </xf>
    <xf numFmtId="0" fontId="0" fillId="0" borderId="3" xfId="0" applyFont="1" applyBorder="1" applyAlignment="1">
      <alignment horizontal="left" vertical="top"/>
    </xf>
    <xf numFmtId="0" fontId="0" fillId="0" borderId="0" xfId="0" applyBorder="1" applyAlignment="1">
      <alignment horizontal="center" vertical="top"/>
    </xf>
    <xf numFmtId="0" fontId="9" fillId="13" borderId="7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/>
    </xf>
    <xf numFmtId="0" fontId="0" fillId="0" borderId="0" xfId="0" applyFont="1" applyBorder="1" applyAlignment="1">
      <alignment horizontal="center" vertical="top"/>
    </xf>
    <xf numFmtId="1" fontId="18" fillId="0" borderId="11" xfId="0" applyNumberFormat="1" applyFont="1" applyBorder="1" applyAlignment="1">
      <alignment horizontal="center" vertical="top"/>
    </xf>
    <xf numFmtId="0" fontId="1" fillId="2" borderId="13" xfId="0" applyFont="1" applyFill="1" applyBorder="1" applyAlignment="1">
      <alignment horizontal="left" vertical="top"/>
    </xf>
    <xf numFmtId="0" fontId="1" fillId="2" borderId="8" xfId="0" applyFont="1" applyFill="1" applyBorder="1" applyAlignment="1">
      <alignment horizontal="center" vertical="top"/>
    </xf>
    <xf numFmtId="0" fontId="23" fillId="2" borderId="8" xfId="0" applyFont="1" applyFill="1" applyBorder="1" applyAlignment="1">
      <alignment horizontal="center" vertical="top"/>
    </xf>
    <xf numFmtId="0" fontId="23" fillId="2" borderId="7" xfId="0" applyFont="1" applyFill="1" applyBorder="1" applyAlignment="1">
      <alignment horizontal="center" vertical="top"/>
    </xf>
    <xf numFmtId="0" fontId="23" fillId="2" borderId="13" xfId="0" applyFont="1" applyFill="1" applyBorder="1" applyAlignment="1">
      <alignment horizontal="center" vertical="top"/>
    </xf>
    <xf numFmtId="164" fontId="3" fillId="0" borderId="68" xfId="0" applyNumberFormat="1" applyFont="1" applyBorder="1" applyAlignment="1">
      <alignment horizontal="center" vertical="top"/>
    </xf>
    <xf numFmtId="164" fontId="3" fillId="0" borderId="20" xfId="0" applyNumberFormat="1" applyFont="1" applyBorder="1" applyAlignment="1">
      <alignment horizontal="center" vertical="top"/>
    </xf>
    <xf numFmtId="164" fontId="3" fillId="0" borderId="3" xfId="0" applyNumberFormat="1" applyFont="1" applyBorder="1" applyAlignment="1">
      <alignment horizontal="center" vertical="top"/>
    </xf>
    <xf numFmtId="164" fontId="3" fillId="0" borderId="17" xfId="0" applyNumberFormat="1" applyFont="1" applyBorder="1" applyAlignment="1">
      <alignment horizontal="center" vertical="top"/>
    </xf>
    <xf numFmtId="0" fontId="3" fillId="0" borderId="10" xfId="0" applyFont="1" applyBorder="1" applyAlignment="1">
      <alignment horizontal="left" vertical="top"/>
    </xf>
    <xf numFmtId="0" fontId="12" fillId="0" borderId="13" xfId="0" applyFont="1" applyBorder="1" applyAlignment="1">
      <alignment horizontal="center" vertical="top"/>
    </xf>
    <xf numFmtId="0" fontId="1" fillId="2" borderId="8" xfId="0" applyFont="1" applyFill="1" applyBorder="1" applyAlignment="1">
      <alignment horizontal="center" vertical="top" wrapText="1"/>
    </xf>
    <xf numFmtId="164" fontId="1" fillId="2" borderId="8" xfId="0" applyNumberFormat="1" applyFont="1" applyFill="1" applyBorder="1" applyAlignment="1">
      <alignment horizontal="center" vertical="top" wrapText="1"/>
    </xf>
    <xf numFmtId="0" fontId="1" fillId="2" borderId="8" xfId="0" applyFont="1" applyFill="1" applyBorder="1" applyAlignment="1">
      <alignment horizontal="center" vertical="top"/>
    </xf>
    <xf numFmtId="0" fontId="1" fillId="2" borderId="40" xfId="0" applyFont="1" applyFill="1" applyBorder="1" applyAlignment="1">
      <alignment horizontal="center" vertical="top" wrapText="1"/>
    </xf>
    <xf numFmtId="1" fontId="13" fillId="0" borderId="7" xfId="0" applyNumberFormat="1" applyFont="1" applyBorder="1" applyAlignment="1">
      <alignment horizontal="center" vertical="top"/>
    </xf>
    <xf numFmtId="1" fontId="13" fillId="0" borderId="13" xfId="0" applyNumberFormat="1" applyFont="1" applyBorder="1" applyAlignment="1">
      <alignment horizontal="center" vertical="top"/>
    </xf>
    <xf numFmtId="2" fontId="0" fillId="0" borderId="0" xfId="0" applyNumberFormat="1" applyAlignment="1">
      <alignment vertical="top"/>
    </xf>
    <xf numFmtId="164" fontId="0" fillId="0" borderId="68" xfId="0" applyNumberFormat="1" applyFont="1" applyBorder="1" applyAlignment="1">
      <alignment horizontal="center" vertical="top"/>
    </xf>
    <xf numFmtId="1" fontId="0" fillId="0" borderId="2" xfId="0" applyNumberFormat="1" applyFill="1" applyBorder="1" applyAlignment="1">
      <alignment horizontal="center" vertical="top"/>
    </xf>
    <xf numFmtId="1" fontId="0" fillId="0" borderId="20" xfId="0" applyNumberFormat="1" applyFill="1" applyBorder="1" applyAlignment="1">
      <alignment horizontal="center" vertical="top"/>
    </xf>
    <xf numFmtId="2" fontId="9" fillId="0" borderId="0" xfId="0" applyNumberFormat="1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/>
    </xf>
    <xf numFmtId="1" fontId="20" fillId="0" borderId="2" xfId="0" applyNumberFormat="1" applyFont="1" applyFill="1" applyBorder="1" applyAlignment="1">
      <alignment horizontal="center" vertical="top"/>
    </xf>
    <xf numFmtId="1" fontId="20" fillId="0" borderId="20" xfId="0" applyNumberFormat="1" applyFont="1" applyFill="1" applyBorder="1" applyAlignment="1">
      <alignment horizontal="center" vertical="top"/>
    </xf>
    <xf numFmtId="164" fontId="1" fillId="2" borderId="8" xfId="0" applyNumberFormat="1" applyFont="1" applyFill="1" applyBorder="1" applyAlignment="1">
      <alignment horizontal="center" vertical="top" wrapText="1"/>
    </xf>
    <xf numFmtId="0" fontId="0" fillId="0" borderId="2" xfId="0" applyFill="1" applyBorder="1" applyAlignment="1">
      <alignment horizontal="center" vertical="top"/>
    </xf>
    <xf numFmtId="0" fontId="0" fillId="0" borderId="20" xfId="0" applyFill="1" applyBorder="1" applyAlignment="1">
      <alignment horizontal="center" vertical="top"/>
    </xf>
    <xf numFmtId="0" fontId="0" fillId="0" borderId="8" xfId="0" applyBorder="1" applyAlignment="1">
      <alignment horizontal="left" vertical="top"/>
    </xf>
    <xf numFmtId="0" fontId="0" fillId="0" borderId="8" xfId="0" applyBorder="1" applyAlignment="1">
      <alignment vertical="top"/>
    </xf>
    <xf numFmtId="1" fontId="0" fillId="0" borderId="8" xfId="0" applyNumberFormat="1" applyFill="1" applyBorder="1" applyAlignment="1">
      <alignment horizontal="center" vertical="top"/>
    </xf>
    <xf numFmtId="1" fontId="0" fillId="0" borderId="8" xfId="0" applyNumberFormat="1" applyBorder="1" applyAlignment="1">
      <alignment horizontal="center" vertical="top"/>
    </xf>
    <xf numFmtId="0" fontId="0" fillId="0" borderId="8" xfId="0" applyFill="1" applyBorder="1" applyAlignment="1">
      <alignment horizontal="center" vertical="top"/>
    </xf>
    <xf numFmtId="0" fontId="0" fillId="0" borderId="8" xfId="0" applyBorder="1" applyAlignment="1">
      <alignment horizontal="center" vertical="top"/>
    </xf>
    <xf numFmtId="0" fontId="1" fillId="2" borderId="13" xfId="0" applyFont="1" applyFill="1" applyBorder="1" applyAlignment="1">
      <alignment horizontal="center" vertical="top" wrapText="1"/>
    </xf>
    <xf numFmtId="1" fontId="0" fillId="0" borderId="16" xfId="0" applyNumberFormat="1" applyBorder="1" applyAlignment="1">
      <alignment horizontal="center" vertical="top"/>
    </xf>
    <xf numFmtId="1" fontId="13" fillId="0" borderId="7" xfId="0" applyNumberFormat="1" applyFont="1" applyBorder="1" applyAlignment="1">
      <alignment horizontal="center" vertical="top"/>
    </xf>
    <xf numFmtId="0" fontId="1" fillId="2" borderId="8" xfId="0" applyFont="1" applyFill="1" applyBorder="1" applyAlignment="1">
      <alignment horizontal="center" vertical="top" wrapText="1"/>
    </xf>
    <xf numFmtId="1" fontId="20" fillId="0" borderId="8" xfId="0" applyNumberFormat="1" applyFont="1" applyFill="1" applyBorder="1" applyAlignment="1">
      <alignment horizontal="center" vertical="top"/>
    </xf>
    <xf numFmtId="0" fontId="0" fillId="0" borderId="0" xfId="0" applyAlignment="1">
      <alignment horizontal="left" vertical="top" wrapText="1"/>
    </xf>
    <xf numFmtId="2" fontId="0" fillId="0" borderId="3" xfId="0" applyNumberFormat="1" applyBorder="1" applyAlignment="1">
      <alignment horizontal="center" vertical="top" wrapText="1"/>
    </xf>
    <xf numFmtId="2" fontId="0" fillId="0" borderId="34" xfId="0" applyNumberFormat="1" applyBorder="1" applyAlignment="1">
      <alignment horizontal="center" vertical="top" wrapText="1"/>
    </xf>
    <xf numFmtId="2" fontId="0" fillId="0" borderId="0" xfId="0" applyNumberFormat="1" applyAlignment="1">
      <alignment vertical="top" wrapText="1"/>
    </xf>
    <xf numFmtId="2" fontId="0" fillId="0" borderId="2" xfId="0" applyNumberFormat="1" applyBorder="1" applyAlignment="1">
      <alignment horizontal="center" vertical="top" wrapText="1"/>
    </xf>
    <xf numFmtId="2" fontId="0" fillId="0" borderId="20" xfId="0" applyNumberFormat="1" applyBorder="1" applyAlignment="1">
      <alignment horizontal="center" vertical="top" wrapText="1"/>
    </xf>
    <xf numFmtId="0" fontId="9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wrapText="1"/>
    </xf>
    <xf numFmtId="0" fontId="0" fillId="0" borderId="0" xfId="0" applyFill="1" applyAlignment="1">
      <alignment horizontal="left"/>
    </xf>
    <xf numFmtId="1" fontId="18" fillId="0" borderId="9" xfId="0" applyNumberFormat="1" applyFont="1" applyBorder="1" applyAlignment="1">
      <alignment horizontal="center" vertical="top"/>
    </xf>
    <xf numFmtId="1" fontId="0" fillId="0" borderId="39" xfId="0" applyNumberFormat="1" applyBorder="1" applyAlignment="1">
      <alignment horizontal="center" vertical="top"/>
    </xf>
    <xf numFmtId="1" fontId="20" fillId="0" borderId="39" xfId="0" applyNumberFormat="1" applyFont="1" applyFill="1" applyBorder="1" applyAlignment="1">
      <alignment horizontal="center" vertical="top"/>
    </xf>
    <xf numFmtId="2" fontId="0" fillId="0" borderId="39" xfId="0" applyNumberFormat="1" applyBorder="1" applyAlignment="1">
      <alignment horizontal="center" vertical="top" wrapText="1"/>
    </xf>
    <xf numFmtId="0" fontId="0" fillId="0" borderId="0" xfId="0" applyBorder="1" applyAlignment="1">
      <alignment vertical="top"/>
    </xf>
    <xf numFmtId="0" fontId="0" fillId="0" borderId="69" xfId="0" applyBorder="1" applyAlignment="1">
      <alignment vertical="top"/>
    </xf>
    <xf numFmtId="1" fontId="20" fillId="0" borderId="20" xfId="0" applyNumberFormat="1" applyFont="1" applyBorder="1" applyAlignment="1">
      <alignment horizontal="center" vertical="top"/>
    </xf>
    <xf numFmtId="0" fontId="0" fillId="0" borderId="8" xfId="0" applyNumberFormat="1" applyBorder="1" applyAlignment="1">
      <alignment horizontal="left" vertical="top"/>
    </xf>
    <xf numFmtId="0" fontId="0" fillId="0" borderId="3" xfId="0" applyBorder="1" applyAlignment="1">
      <alignment horizontal="left" vertical="top" wrapText="1"/>
    </xf>
    <xf numFmtId="164" fontId="0" fillId="0" borderId="0" xfId="0" applyNumberFormat="1" applyAlignment="1">
      <alignment horizontal="center" vertical="top"/>
    </xf>
    <xf numFmtId="164" fontId="0" fillId="0" borderId="0" xfId="0" applyNumberFormat="1" applyAlignment="1">
      <alignment horizontal="center" vertical="top" wrapText="1"/>
    </xf>
    <xf numFmtId="164" fontId="20" fillId="0" borderId="20" xfId="0" applyNumberFormat="1" applyFont="1" applyBorder="1" applyAlignment="1">
      <alignment horizontal="center" vertical="top"/>
    </xf>
    <xf numFmtId="1" fontId="18" fillId="0" borderId="39" xfId="0" applyNumberFormat="1" applyFont="1" applyBorder="1" applyAlignment="1">
      <alignment horizontal="center" vertical="top"/>
    </xf>
    <xf numFmtId="164" fontId="18" fillId="0" borderId="39" xfId="0" applyNumberFormat="1" applyFont="1" applyBorder="1" applyAlignment="1">
      <alignment horizontal="center" vertical="top"/>
    </xf>
    <xf numFmtId="0" fontId="9" fillId="13" borderId="39" xfId="0" applyFont="1" applyFill="1" applyBorder="1" applyAlignment="1">
      <alignment horizontal="center" vertical="center"/>
    </xf>
    <xf numFmtId="9" fontId="9" fillId="13" borderId="7" xfId="3" applyFont="1" applyFill="1" applyBorder="1" applyAlignment="1">
      <alignment horizontal="center" vertical="center"/>
    </xf>
    <xf numFmtId="9" fontId="9" fillId="13" borderId="39" xfId="3" applyFont="1" applyFill="1" applyBorder="1" applyAlignment="1">
      <alignment horizontal="center" vertical="center"/>
    </xf>
    <xf numFmtId="1" fontId="14" fillId="0" borderId="0" xfId="1" applyNumberFormat="1" applyAlignment="1">
      <alignment horizontal="left" vertical="top"/>
    </xf>
    <xf numFmtId="0" fontId="13" fillId="0" borderId="13" xfId="0" applyFont="1" applyBorder="1" applyAlignment="1">
      <alignment horizontal="center" vertical="top"/>
    </xf>
    <xf numFmtId="0" fontId="0" fillId="0" borderId="13" xfId="0" applyNumberFormat="1" applyBorder="1" applyAlignment="1">
      <alignment horizontal="left" vertical="top"/>
    </xf>
    <xf numFmtId="1" fontId="0" fillId="0" borderId="13" xfId="0" applyNumberFormat="1" applyBorder="1" applyAlignment="1">
      <alignment horizontal="center" vertical="top"/>
    </xf>
    <xf numFmtId="1" fontId="20" fillId="0" borderId="13" xfId="0" applyNumberFormat="1" applyFont="1" applyFill="1" applyBorder="1" applyAlignment="1">
      <alignment horizontal="center" vertical="top"/>
    </xf>
    <xf numFmtId="2" fontId="0" fillId="0" borderId="17" xfId="0" applyNumberFormat="1" applyBorder="1" applyAlignment="1">
      <alignment horizontal="center" vertical="top" wrapText="1"/>
    </xf>
    <xf numFmtId="1" fontId="20" fillId="0" borderId="3" xfId="0" applyNumberFormat="1" applyFont="1" applyFill="1" applyBorder="1" applyAlignment="1">
      <alignment horizontal="center" vertical="top"/>
    </xf>
    <xf numFmtId="1" fontId="20" fillId="0" borderId="34" xfId="0" applyNumberFormat="1" applyFont="1" applyFill="1" applyBorder="1" applyAlignment="1">
      <alignment horizontal="center" vertical="top"/>
    </xf>
    <xf numFmtId="0" fontId="27" fillId="0" borderId="0" xfId="0" applyFont="1"/>
    <xf numFmtId="0" fontId="28" fillId="0" borderId="10" xfId="0" applyFont="1" applyBorder="1" applyAlignment="1">
      <alignment horizontal="left" vertical="top"/>
    </xf>
    <xf numFmtId="164" fontId="3" fillId="0" borderId="2" xfId="0" applyNumberFormat="1" applyFont="1" applyBorder="1" applyAlignment="1">
      <alignment horizontal="center" vertical="top"/>
    </xf>
    <xf numFmtId="0" fontId="0" fillId="0" borderId="70" xfId="0" applyBorder="1" applyAlignment="1">
      <alignment vertical="top"/>
    </xf>
    <xf numFmtId="164" fontId="3" fillId="0" borderId="7" xfId="0" applyNumberFormat="1" applyFont="1" applyBorder="1" applyAlignment="1">
      <alignment horizontal="center" vertical="top"/>
    </xf>
    <xf numFmtId="0" fontId="10" fillId="5" borderId="52" xfId="0" applyFont="1" applyFill="1" applyBorder="1" applyAlignment="1">
      <alignment horizontal="center" vertical="top" wrapText="1"/>
    </xf>
    <xf numFmtId="2" fontId="1" fillId="2" borderId="62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left" vertical="top"/>
    </xf>
    <xf numFmtId="0" fontId="0" fillId="0" borderId="0" xfId="0" applyFont="1" applyAlignment="1">
      <alignment vertical="top"/>
    </xf>
    <xf numFmtId="1" fontId="13" fillId="0" borderId="11" xfId="0" applyNumberFormat="1" applyFont="1" applyBorder="1" applyAlignment="1">
      <alignment horizontal="center" vertical="top"/>
    </xf>
    <xf numFmtId="0" fontId="0" fillId="0" borderId="2" xfId="0" applyFont="1" applyBorder="1" applyAlignment="1">
      <alignment vertical="top"/>
    </xf>
    <xf numFmtId="0" fontId="0" fillId="0" borderId="2" xfId="0" applyFont="1" applyBorder="1" applyAlignment="1">
      <alignment horizontal="center" vertical="top"/>
    </xf>
    <xf numFmtId="0" fontId="0" fillId="0" borderId="3" xfId="0" applyFont="1" applyBorder="1" applyAlignment="1">
      <alignment vertical="top"/>
    </xf>
    <xf numFmtId="0" fontId="0" fillId="0" borderId="3" xfId="0" applyFont="1" applyBorder="1" applyAlignment="1">
      <alignment horizontal="center" vertical="top"/>
    </xf>
    <xf numFmtId="0" fontId="0" fillId="0" borderId="34" xfId="0" applyFont="1" applyBorder="1" applyAlignment="1">
      <alignment vertical="top"/>
    </xf>
    <xf numFmtId="0" fontId="0" fillId="0" borderId="34" xfId="0" applyFont="1" applyBorder="1" applyAlignment="1">
      <alignment horizontal="center" vertical="top"/>
    </xf>
    <xf numFmtId="0" fontId="30" fillId="0" borderId="2" xfId="0" applyFont="1" applyBorder="1" applyAlignment="1">
      <alignment horizontal="center" vertical="top"/>
    </xf>
    <xf numFmtId="0" fontId="30" fillId="0" borderId="3" xfId="0" applyFont="1" applyBorder="1" applyAlignment="1">
      <alignment horizontal="center" vertical="top"/>
    </xf>
    <xf numFmtId="0" fontId="30" fillId="0" borderId="34" xfId="0" applyFont="1" applyBorder="1" applyAlignment="1">
      <alignment horizontal="center" vertical="top"/>
    </xf>
    <xf numFmtId="0" fontId="0" fillId="0" borderId="0" xfId="0" applyNumberFormat="1" applyFont="1" applyAlignment="1">
      <alignment horizontal="center" vertical="top"/>
    </xf>
    <xf numFmtId="0" fontId="13" fillId="0" borderId="11" xfId="0" applyNumberFormat="1" applyFont="1" applyBorder="1" applyAlignment="1">
      <alignment horizontal="center" vertical="top"/>
    </xf>
    <xf numFmtId="0" fontId="31" fillId="0" borderId="2" xfId="0" applyNumberFormat="1" applyFont="1" applyBorder="1" applyAlignment="1">
      <alignment horizontal="center" vertical="top"/>
    </xf>
    <xf numFmtId="0" fontId="31" fillId="0" borderId="3" xfId="0" applyNumberFormat="1" applyFont="1" applyBorder="1" applyAlignment="1">
      <alignment horizontal="center" vertical="top"/>
    </xf>
    <xf numFmtId="0" fontId="31" fillId="0" borderId="34" xfId="0" applyNumberFormat="1" applyFont="1" applyBorder="1" applyAlignment="1">
      <alignment horizontal="center" vertical="top"/>
    </xf>
    <xf numFmtId="0" fontId="30" fillId="0" borderId="3" xfId="0" applyNumberFormat="1" applyFont="1" applyBorder="1" applyAlignment="1">
      <alignment horizontal="center" vertical="top"/>
    </xf>
    <xf numFmtId="0" fontId="30" fillId="0" borderId="34" xfId="0" applyNumberFormat="1" applyFont="1" applyBorder="1" applyAlignment="1">
      <alignment horizontal="center" vertical="top"/>
    </xf>
    <xf numFmtId="0" fontId="0" fillId="0" borderId="39" xfId="0" applyFont="1" applyBorder="1" applyAlignment="1">
      <alignment vertical="top"/>
    </xf>
    <xf numFmtId="0" fontId="0" fillId="0" borderId="39" xfId="0" applyFont="1" applyBorder="1" applyAlignment="1">
      <alignment horizontal="center" vertical="top"/>
    </xf>
    <xf numFmtId="0" fontId="31" fillId="0" borderId="39" xfId="0" applyNumberFormat="1" applyFont="1" applyBorder="1" applyAlignment="1">
      <alignment horizontal="center" vertical="top"/>
    </xf>
    <xf numFmtId="0" fontId="30" fillId="0" borderId="39" xfId="0" applyFont="1" applyBorder="1" applyAlignment="1">
      <alignment horizontal="center" vertical="top"/>
    </xf>
    <xf numFmtId="2" fontId="0" fillId="0" borderId="0" xfId="0" applyNumberFormat="1" applyFont="1" applyAlignment="1">
      <alignment horizontal="center" vertical="top"/>
    </xf>
    <xf numFmtId="2" fontId="13" fillId="0" borderId="11" xfId="0" applyNumberFormat="1" applyFont="1" applyBorder="1" applyAlignment="1">
      <alignment horizontal="center" vertical="top"/>
    </xf>
    <xf numFmtId="2" fontId="0" fillId="0" borderId="34" xfId="0" applyNumberFormat="1" applyFont="1" applyBorder="1" applyAlignment="1">
      <alignment horizontal="center" vertical="top"/>
    </xf>
    <xf numFmtId="2" fontId="0" fillId="0" borderId="0" xfId="0" applyNumberFormat="1" applyFont="1"/>
    <xf numFmtId="2" fontId="0" fillId="0" borderId="2" xfId="0" applyNumberFormat="1" applyFont="1" applyBorder="1" applyAlignment="1">
      <alignment horizontal="center" vertical="top"/>
    </xf>
    <xf numFmtId="2" fontId="0" fillId="0" borderId="39" xfId="0" applyNumberFormat="1" applyFont="1" applyBorder="1" applyAlignment="1">
      <alignment horizontal="center" vertical="top"/>
    </xf>
    <xf numFmtId="164" fontId="13" fillId="0" borderId="39" xfId="0" applyNumberFormat="1" applyFont="1" applyBorder="1" applyAlignment="1">
      <alignment horizontal="center" vertical="top"/>
    </xf>
    <xf numFmtId="164" fontId="13" fillId="0" borderId="39" xfId="0" applyNumberFormat="1" applyFont="1" applyBorder="1" applyAlignment="1">
      <alignment horizontal="center"/>
    </xf>
    <xf numFmtId="164" fontId="19" fillId="0" borderId="3" xfId="0" applyNumberFormat="1" applyFont="1" applyBorder="1" applyAlignment="1">
      <alignment horizontal="center" vertical="top"/>
    </xf>
    <xf numFmtId="164" fontId="0" fillId="0" borderId="2" xfId="0" applyNumberFormat="1" applyFont="1" applyBorder="1" applyAlignment="1">
      <alignment horizontal="center" vertical="top"/>
    </xf>
    <xf numFmtId="164" fontId="12" fillId="0" borderId="0" xfId="0" applyNumberFormat="1" applyFont="1" applyAlignment="1">
      <alignment horizontal="center" vertical="top"/>
    </xf>
    <xf numFmtId="0" fontId="0" fillId="0" borderId="3" xfId="0" applyNumberFormat="1" applyBorder="1" applyAlignment="1">
      <alignment vertical="top"/>
    </xf>
    <xf numFmtId="164" fontId="19" fillId="0" borderId="0" xfId="0" applyNumberFormat="1" applyFont="1" applyAlignment="1">
      <alignment vertical="top"/>
    </xf>
    <xf numFmtId="0" fontId="9" fillId="13" borderId="8" xfId="0" applyFont="1" applyFill="1" applyBorder="1" applyAlignment="1">
      <alignment horizontal="center" vertical="center"/>
    </xf>
    <xf numFmtId="9" fontId="9" fillId="13" borderId="8" xfId="3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9" fontId="9" fillId="13" borderId="2" xfId="3" applyFont="1" applyFill="1" applyBorder="1" applyAlignment="1">
      <alignment horizontal="center" vertical="center"/>
    </xf>
    <xf numFmtId="0" fontId="13" fillId="14" borderId="13" xfId="0" applyFont="1" applyFill="1" applyBorder="1" applyAlignment="1">
      <alignment horizontal="center" vertical="top"/>
    </xf>
    <xf numFmtId="0" fontId="12" fillId="14" borderId="13" xfId="0" applyFont="1" applyFill="1" applyBorder="1" applyAlignment="1">
      <alignment horizontal="center" vertical="top"/>
    </xf>
    <xf numFmtId="0" fontId="0" fillId="14" borderId="13" xfId="0" applyFill="1" applyBorder="1" applyAlignment="1">
      <alignment vertical="top"/>
    </xf>
    <xf numFmtId="0" fontId="0" fillId="0" borderId="21" xfId="0" applyFont="1" applyBorder="1" applyAlignment="1">
      <alignment vertical="top"/>
    </xf>
    <xf numFmtId="0" fontId="0" fillId="0" borderId="1" xfId="0" applyFont="1" applyBorder="1" applyAlignment="1">
      <alignment vertical="top"/>
    </xf>
    <xf numFmtId="0" fontId="0" fillId="0" borderId="23" xfId="0" applyFont="1" applyBorder="1" applyAlignment="1">
      <alignment vertical="top"/>
    </xf>
    <xf numFmtId="0" fontId="0" fillId="0" borderId="4" xfId="0" applyFont="1" applyBorder="1" applyAlignment="1">
      <alignment vertical="top"/>
    </xf>
    <xf numFmtId="0" fontId="13" fillId="0" borderId="14" xfId="0" applyFont="1" applyBorder="1" applyAlignment="1">
      <alignment horizontal="left" vertical="top"/>
    </xf>
    <xf numFmtId="0" fontId="13" fillId="0" borderId="38" xfId="0" applyFont="1" applyBorder="1" applyAlignment="1">
      <alignment vertical="top"/>
    </xf>
    <xf numFmtId="0" fontId="13" fillId="0" borderId="15" xfId="0" applyFont="1" applyBorder="1" applyAlignment="1">
      <alignment vertical="top"/>
    </xf>
    <xf numFmtId="0" fontId="13" fillId="0" borderId="44" xfId="0" applyFont="1" applyBorder="1" applyAlignment="1">
      <alignment vertical="top"/>
    </xf>
    <xf numFmtId="2" fontId="33" fillId="14" borderId="13" xfId="0" applyNumberFormat="1" applyFont="1" applyFill="1" applyBorder="1" applyAlignment="1">
      <alignment horizontal="center" vertical="top"/>
    </xf>
    <xf numFmtId="2" fontId="32" fillId="14" borderId="13" xfId="0" applyNumberFormat="1" applyFont="1" applyFill="1" applyBorder="1" applyAlignment="1">
      <alignment horizontal="center" vertical="top"/>
    </xf>
    <xf numFmtId="0" fontId="13" fillId="14" borderId="13" xfId="0" applyFont="1" applyFill="1" applyBorder="1"/>
    <xf numFmtId="164" fontId="0" fillId="14" borderId="13" xfId="4" applyNumberFormat="1" applyFont="1" applyFill="1" applyBorder="1" applyAlignment="1">
      <alignment horizontal="center" vertical="top"/>
    </xf>
    <xf numFmtId="0" fontId="29" fillId="14" borderId="13" xfId="0" applyFont="1" applyFill="1" applyBorder="1" applyAlignment="1">
      <alignment horizontal="left" vertical="top"/>
    </xf>
    <xf numFmtId="0" fontId="0" fillId="14" borderId="13" xfId="0" applyFont="1" applyFill="1" applyBorder="1" applyAlignment="1">
      <alignment vertical="top"/>
    </xf>
    <xf numFmtId="0" fontId="0" fillId="14" borderId="13" xfId="0" applyFill="1" applyBorder="1"/>
    <xf numFmtId="0" fontId="0" fillId="0" borderId="1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21" xfId="0" applyBorder="1" applyAlignment="1">
      <alignment horizontal="left" vertical="top"/>
    </xf>
    <xf numFmtId="0" fontId="0" fillId="0" borderId="33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14" xfId="0" applyFont="1" applyBorder="1" applyAlignment="1">
      <alignment vertical="top"/>
    </xf>
    <xf numFmtId="0" fontId="0" fillId="0" borderId="15" xfId="0" applyFont="1" applyBorder="1" applyAlignment="1">
      <alignment vertical="top"/>
    </xf>
    <xf numFmtId="0" fontId="0" fillId="0" borderId="44" xfId="0" applyFont="1" applyBorder="1" applyAlignment="1">
      <alignment vertical="top"/>
    </xf>
    <xf numFmtId="0" fontId="0" fillId="0" borderId="14" xfId="0" applyBorder="1" applyAlignment="1">
      <alignment horizontal="left" vertical="top"/>
    </xf>
    <xf numFmtId="0" fontId="0" fillId="0" borderId="38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44" xfId="0" applyBorder="1" applyAlignment="1">
      <alignment horizontal="left" vertical="top"/>
    </xf>
    <xf numFmtId="0" fontId="0" fillId="0" borderId="38" xfId="0" applyNumberFormat="1" applyBorder="1" applyAlignment="1">
      <alignment horizontal="left" vertical="top"/>
    </xf>
    <xf numFmtId="0" fontId="0" fillId="0" borderId="15" xfId="0" applyNumberFormat="1" applyBorder="1" applyAlignment="1">
      <alignment horizontal="left" vertical="top"/>
    </xf>
    <xf numFmtId="0" fontId="0" fillId="0" borderId="12" xfId="0" applyNumberFormat="1" applyBorder="1" applyAlignment="1">
      <alignment horizontal="left" vertical="top"/>
    </xf>
    <xf numFmtId="0" fontId="0" fillId="0" borderId="14" xfId="0" applyNumberFormat="1" applyBorder="1" applyAlignment="1">
      <alignment horizontal="left" vertical="top"/>
    </xf>
    <xf numFmtId="0" fontId="0" fillId="0" borderId="44" xfId="0" applyNumberFormat="1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19" fillId="14" borderId="13" xfId="0" applyFont="1" applyFill="1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23" xfId="0" applyBorder="1" applyAlignment="1">
      <alignment horizontal="center" vertical="top"/>
    </xf>
    <xf numFmtId="0" fontId="0" fillId="0" borderId="21" xfId="0" applyBorder="1" applyAlignment="1">
      <alignment horizontal="center" vertical="top"/>
    </xf>
    <xf numFmtId="0" fontId="0" fillId="0" borderId="33" xfId="0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0" fontId="0" fillId="0" borderId="12" xfId="0" applyBorder="1" applyAlignment="1">
      <alignment vertical="top"/>
    </xf>
    <xf numFmtId="0" fontId="0" fillId="14" borderId="13" xfId="0" applyFill="1" applyBorder="1" applyAlignment="1">
      <alignment horizontal="center" vertical="top"/>
    </xf>
    <xf numFmtId="0" fontId="0" fillId="14" borderId="13" xfId="0" applyFont="1" applyFill="1" applyBorder="1" applyAlignment="1">
      <alignment horizontal="center" vertical="top"/>
    </xf>
    <xf numFmtId="0" fontId="0" fillId="14" borderId="20" xfId="0" applyFill="1" applyBorder="1" applyAlignment="1">
      <alignment vertical="top"/>
    </xf>
    <xf numFmtId="0" fontId="10" fillId="5" borderId="4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0" fillId="5" borderId="6" xfId="0" applyFont="1" applyFill="1" applyBorder="1" applyAlignment="1">
      <alignment horizontal="center"/>
    </xf>
    <xf numFmtId="0" fontId="10" fillId="5" borderId="4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9" fillId="5" borderId="7" xfId="0" applyFont="1" applyFill="1" applyBorder="1" applyAlignment="1">
      <alignment horizontal="center" vertical="top"/>
    </xf>
    <xf numFmtId="0" fontId="9" fillId="5" borderId="8" xfId="0" applyFont="1" applyFill="1" applyBorder="1" applyAlignment="1">
      <alignment horizontal="center" vertical="top"/>
    </xf>
    <xf numFmtId="0" fontId="11" fillId="5" borderId="21" xfId="0" applyFont="1" applyFill="1" applyBorder="1" applyAlignment="1">
      <alignment horizontal="center"/>
    </xf>
    <xf numFmtId="0" fontId="11" fillId="5" borderId="22" xfId="0" applyFont="1" applyFill="1" applyBorder="1" applyAlignment="1">
      <alignment horizontal="center"/>
    </xf>
    <xf numFmtId="0" fontId="11" fillId="5" borderId="14" xfId="0" applyFont="1" applyFill="1" applyBorder="1" applyAlignment="1">
      <alignment horizontal="center"/>
    </xf>
    <xf numFmtId="0" fontId="15" fillId="5" borderId="52" xfId="1" applyFont="1" applyFill="1" applyBorder="1" applyAlignment="1">
      <alignment horizontal="center" vertical="top" wrapText="1"/>
    </xf>
    <xf numFmtId="0" fontId="15" fillId="5" borderId="54" xfId="1" applyFont="1" applyFill="1" applyBorder="1" applyAlignment="1">
      <alignment horizontal="center" vertical="top" wrapText="1"/>
    </xf>
    <xf numFmtId="0" fontId="10" fillId="5" borderId="52" xfId="0" applyFont="1" applyFill="1" applyBorder="1" applyAlignment="1">
      <alignment horizontal="center" vertical="top" wrapText="1"/>
    </xf>
    <xf numFmtId="0" fontId="10" fillId="5" borderId="54" xfId="0" applyFont="1" applyFill="1" applyBorder="1" applyAlignment="1">
      <alignment horizontal="center" vertical="top" wrapText="1"/>
    </xf>
    <xf numFmtId="0" fontId="10" fillId="5" borderId="57" xfId="0" applyFont="1" applyFill="1" applyBorder="1" applyAlignment="1">
      <alignment horizontal="center" vertical="top" wrapText="1"/>
    </xf>
    <xf numFmtId="0" fontId="10" fillId="5" borderId="58" xfId="0" applyFont="1" applyFill="1" applyBorder="1" applyAlignment="1">
      <alignment horizontal="center" vertical="top" wrapText="1"/>
    </xf>
    <xf numFmtId="0" fontId="10" fillId="5" borderId="55" xfId="0" applyFont="1" applyFill="1" applyBorder="1" applyAlignment="1">
      <alignment horizontal="center" vertical="top" wrapText="1"/>
    </xf>
    <xf numFmtId="0" fontId="10" fillId="5" borderId="59" xfId="0" applyFont="1" applyFill="1" applyBorder="1" applyAlignment="1">
      <alignment horizontal="center" vertical="top" wrapText="1"/>
    </xf>
    <xf numFmtId="0" fontId="10" fillId="5" borderId="56" xfId="0" applyFont="1" applyFill="1" applyBorder="1" applyAlignment="1">
      <alignment horizontal="center" vertical="top" wrapText="1"/>
    </xf>
    <xf numFmtId="0" fontId="10" fillId="5" borderId="51" xfId="0" applyFont="1" applyFill="1" applyBorder="1" applyAlignment="1">
      <alignment horizontal="center" vertical="top" wrapText="1"/>
    </xf>
    <xf numFmtId="0" fontId="13" fillId="0" borderId="13" xfId="0" applyFont="1" applyBorder="1" applyAlignment="1">
      <alignment horizontal="center" vertical="top" wrapText="1"/>
    </xf>
    <xf numFmtId="0" fontId="13" fillId="0" borderId="13" xfId="0" applyFont="1" applyBorder="1" applyAlignment="1">
      <alignment horizontal="center" vertical="top"/>
    </xf>
    <xf numFmtId="0" fontId="13" fillId="0" borderId="8" xfId="0" applyFont="1" applyBorder="1" applyAlignment="1">
      <alignment horizontal="center" vertical="top"/>
    </xf>
    <xf numFmtId="0" fontId="13" fillId="0" borderId="9" xfId="0" applyFont="1" applyBorder="1" applyAlignment="1">
      <alignment horizontal="left" vertical="top"/>
    </xf>
    <xf numFmtId="0" fontId="13" fillId="0" borderId="11" xfId="0" applyFont="1" applyBorder="1" applyAlignment="1">
      <alignment horizontal="left" vertical="top"/>
    </xf>
    <xf numFmtId="1" fontId="13" fillId="0" borderId="39" xfId="0" applyNumberFormat="1" applyFont="1" applyBorder="1" applyAlignment="1">
      <alignment horizontal="center" vertical="top" wrapText="1"/>
    </xf>
    <xf numFmtId="0" fontId="13" fillId="0" borderId="7" xfId="0" applyFont="1" applyBorder="1" applyAlignment="1">
      <alignment horizontal="center" vertical="top"/>
    </xf>
    <xf numFmtId="0" fontId="13" fillId="0" borderId="40" xfId="0" applyFont="1" applyBorder="1" applyAlignment="1">
      <alignment horizontal="center" vertical="top"/>
    </xf>
    <xf numFmtId="0" fontId="13" fillId="0" borderId="11" xfId="0" applyFont="1" applyBorder="1" applyAlignment="1">
      <alignment horizontal="center" vertical="top"/>
    </xf>
    <xf numFmtId="1" fontId="13" fillId="0" borderId="4" xfId="0" applyNumberFormat="1" applyFont="1" applyBorder="1" applyAlignment="1">
      <alignment horizontal="center" vertical="top" wrapText="1"/>
    </xf>
    <xf numFmtId="1" fontId="13" fillId="0" borderId="5" xfId="0" applyNumberFormat="1" applyFont="1" applyBorder="1" applyAlignment="1">
      <alignment horizontal="center" vertical="top" wrapText="1"/>
    </xf>
    <xf numFmtId="1" fontId="13" fillId="0" borderId="6" xfId="0" applyNumberFormat="1" applyFont="1" applyBorder="1" applyAlignment="1">
      <alignment horizontal="center" vertical="top" wrapText="1"/>
    </xf>
    <xf numFmtId="0" fontId="17" fillId="0" borderId="4" xfId="0" applyFont="1" applyBorder="1" applyAlignment="1">
      <alignment horizontal="left" vertical="top"/>
    </xf>
    <xf numFmtId="0" fontId="17" fillId="0" borderId="5" xfId="0" applyFont="1" applyBorder="1" applyAlignment="1">
      <alignment horizontal="left" vertical="top"/>
    </xf>
    <xf numFmtId="0" fontId="17" fillId="0" borderId="6" xfId="0" applyFont="1" applyBorder="1" applyAlignment="1">
      <alignment horizontal="left" vertical="top"/>
    </xf>
    <xf numFmtId="0" fontId="13" fillId="0" borderId="10" xfId="0" applyFont="1" applyBorder="1" applyAlignment="1">
      <alignment horizontal="left" vertical="top" wrapText="1"/>
    </xf>
    <xf numFmtId="0" fontId="13" fillId="0" borderId="10" xfId="0" applyFont="1" applyBorder="1" applyAlignment="1">
      <alignment horizontal="left" vertical="top"/>
    </xf>
    <xf numFmtId="0" fontId="13" fillId="0" borderId="12" xfId="0" applyFont="1" applyBorder="1" applyAlignment="1">
      <alignment horizontal="left" vertical="top"/>
    </xf>
    <xf numFmtId="0" fontId="13" fillId="0" borderId="13" xfId="0" applyFont="1" applyBorder="1" applyAlignment="1">
      <alignment horizontal="left" vertical="top"/>
    </xf>
    <xf numFmtId="0" fontId="13" fillId="0" borderId="8" xfId="0" applyFont="1" applyBorder="1" applyAlignment="1">
      <alignment horizontal="left" vertical="top"/>
    </xf>
    <xf numFmtId="1" fontId="13" fillId="0" borderId="40" xfId="0" applyNumberFormat="1" applyFont="1" applyBorder="1" applyAlignment="1">
      <alignment horizontal="center" vertical="top" wrapText="1"/>
    </xf>
    <xf numFmtId="1" fontId="13" fillId="0" borderId="70" xfId="0" applyNumberFormat="1" applyFont="1" applyBorder="1" applyAlignment="1">
      <alignment horizontal="center" vertical="top" wrapText="1"/>
    </xf>
    <xf numFmtId="1" fontId="13" fillId="0" borderId="41" xfId="0" applyNumberFormat="1" applyFont="1" applyBorder="1" applyAlignment="1">
      <alignment horizontal="center" vertical="top" wrapText="1"/>
    </xf>
    <xf numFmtId="0" fontId="9" fillId="13" borderId="4" xfId="0" applyFont="1" applyFill="1" applyBorder="1" applyAlignment="1">
      <alignment horizontal="center" vertical="center"/>
    </xf>
    <xf numFmtId="0" fontId="9" fillId="13" borderId="6" xfId="0" applyFont="1" applyFill="1" applyBorder="1" applyAlignment="1">
      <alignment horizontal="center" vertical="center"/>
    </xf>
    <xf numFmtId="1" fontId="14" fillId="0" borderId="9" xfId="1" applyNumberFormat="1" applyBorder="1" applyAlignment="1">
      <alignment horizontal="left" vertical="top"/>
    </xf>
    <xf numFmtId="1" fontId="14" fillId="0" borderId="0" xfId="1" applyNumberFormat="1" applyBorder="1" applyAlignment="1">
      <alignment horizontal="left" vertical="top"/>
    </xf>
    <xf numFmtId="0" fontId="13" fillId="0" borderId="13" xfId="0" applyFont="1" applyBorder="1" applyAlignment="1">
      <alignment horizontal="left" vertical="top" wrapText="1"/>
    </xf>
    <xf numFmtId="2" fontId="13" fillId="0" borderId="13" xfId="0" applyNumberFormat="1" applyFont="1" applyBorder="1" applyAlignment="1">
      <alignment horizontal="center" vertical="top" wrapText="1"/>
    </xf>
    <xf numFmtId="2" fontId="13" fillId="0" borderId="8" xfId="0" applyNumberFormat="1" applyFont="1" applyBorder="1" applyAlignment="1">
      <alignment horizontal="center" vertical="top" wrapText="1"/>
    </xf>
    <xf numFmtId="2" fontId="13" fillId="0" borderId="13" xfId="0" applyNumberFormat="1" applyFont="1" applyBorder="1" applyAlignment="1">
      <alignment horizontal="center" vertical="top"/>
    </xf>
    <xf numFmtId="2" fontId="13" fillId="0" borderId="8" xfId="0" applyNumberFormat="1" applyFont="1" applyBorder="1" applyAlignment="1">
      <alignment horizontal="center" vertical="top"/>
    </xf>
    <xf numFmtId="0" fontId="13" fillId="0" borderId="7" xfId="0" applyFont="1" applyBorder="1" applyAlignment="1">
      <alignment horizontal="left" vertical="top"/>
    </xf>
    <xf numFmtId="1" fontId="13" fillId="0" borderId="7" xfId="0" applyNumberFormat="1" applyFont="1" applyBorder="1" applyAlignment="1">
      <alignment horizontal="center" vertical="top" wrapText="1"/>
    </xf>
    <xf numFmtId="1" fontId="13" fillId="0" borderId="13" xfId="0" applyNumberFormat="1" applyFont="1" applyBorder="1" applyAlignment="1">
      <alignment horizontal="center" vertical="top" wrapText="1"/>
    </xf>
    <xf numFmtId="0" fontId="13" fillId="0" borderId="7" xfId="0" applyFont="1" applyBorder="1" applyAlignment="1">
      <alignment horizontal="center" vertical="top" wrapText="1"/>
    </xf>
    <xf numFmtId="0" fontId="13" fillId="0" borderId="4" xfId="0" applyFont="1" applyBorder="1" applyAlignment="1">
      <alignment horizontal="center" vertical="top"/>
    </xf>
    <xf numFmtId="0" fontId="13" fillId="0" borderId="6" xfId="0" applyFont="1" applyBorder="1" applyAlignment="1">
      <alignment horizontal="center" vertical="top"/>
    </xf>
    <xf numFmtId="0" fontId="13" fillId="0" borderId="9" xfId="0" applyFont="1" applyBorder="1" applyAlignment="1">
      <alignment horizontal="center" vertical="top"/>
    </xf>
    <xf numFmtId="2" fontId="13" fillId="0" borderId="7" xfId="0" applyNumberFormat="1" applyFont="1" applyBorder="1" applyAlignment="1">
      <alignment horizontal="center" vertical="top" wrapText="1"/>
    </xf>
    <xf numFmtId="2" fontId="13" fillId="0" borderId="7" xfId="0" applyNumberFormat="1" applyFont="1" applyBorder="1" applyAlignment="1">
      <alignment horizontal="center" vertical="top"/>
    </xf>
    <xf numFmtId="0" fontId="13" fillId="0" borderId="8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left" vertical="top"/>
    </xf>
    <xf numFmtId="0" fontId="0" fillId="0" borderId="5" xfId="0" applyFont="1" applyBorder="1" applyAlignment="1">
      <alignment horizontal="left" vertical="top"/>
    </xf>
    <xf numFmtId="0" fontId="0" fillId="0" borderId="6" xfId="0" applyFont="1" applyBorder="1" applyAlignment="1">
      <alignment horizontal="left" vertical="top"/>
    </xf>
    <xf numFmtId="0" fontId="0" fillId="0" borderId="4" xfId="0" applyFont="1" applyBorder="1" applyAlignment="1">
      <alignment horizontal="left" vertical="top"/>
    </xf>
    <xf numFmtId="0" fontId="13" fillId="0" borderId="41" xfId="0" applyFont="1" applyBorder="1" applyAlignment="1">
      <alignment horizontal="left" vertical="top"/>
    </xf>
    <xf numFmtId="0" fontId="29" fillId="0" borderId="4" xfId="0" applyFont="1" applyBorder="1" applyAlignment="1">
      <alignment horizontal="left" vertical="top"/>
    </xf>
    <xf numFmtId="0" fontId="29" fillId="0" borderId="5" xfId="0" applyFont="1" applyBorder="1" applyAlignment="1">
      <alignment horizontal="left" vertical="top"/>
    </xf>
    <xf numFmtId="0" fontId="29" fillId="0" borderId="6" xfId="0" applyFont="1" applyBorder="1" applyAlignment="1">
      <alignment horizontal="left" vertical="top"/>
    </xf>
    <xf numFmtId="1" fontId="13" fillId="0" borderId="11" xfId="0" applyNumberFormat="1" applyFont="1" applyBorder="1" applyAlignment="1">
      <alignment horizontal="center" vertical="top" wrapText="1"/>
    </xf>
    <xf numFmtId="1" fontId="13" fillId="0" borderId="19" xfId="0" applyNumberFormat="1" applyFont="1" applyBorder="1" applyAlignment="1">
      <alignment horizontal="center" vertical="top" wrapText="1"/>
    </xf>
    <xf numFmtId="1" fontId="13" fillId="0" borderId="12" xfId="0" applyNumberFormat="1" applyFont="1" applyBorder="1" applyAlignment="1">
      <alignment horizontal="center" vertical="top" wrapText="1"/>
    </xf>
    <xf numFmtId="0" fontId="29" fillId="0" borderId="11" xfId="0" applyFont="1" applyBorder="1" applyAlignment="1">
      <alignment horizontal="left" vertical="top"/>
    </xf>
    <xf numFmtId="0" fontId="29" fillId="0" borderId="19" xfId="0" applyFont="1" applyBorder="1" applyAlignment="1">
      <alignment horizontal="left" vertical="top"/>
    </xf>
    <xf numFmtId="0" fontId="29" fillId="0" borderId="12" xfId="0" applyFont="1" applyBorder="1" applyAlignment="1">
      <alignment horizontal="left" vertical="top"/>
    </xf>
    <xf numFmtId="164" fontId="32" fillId="0" borderId="11" xfId="0" applyNumberFormat="1" applyFont="1" applyBorder="1" applyAlignment="1">
      <alignment horizontal="center" vertical="top"/>
    </xf>
    <xf numFmtId="164" fontId="32" fillId="0" borderId="19" xfId="0" applyNumberFormat="1" applyFont="1" applyBorder="1" applyAlignment="1">
      <alignment horizontal="center" vertical="top"/>
    </xf>
    <xf numFmtId="164" fontId="32" fillId="0" borderId="12" xfId="0" applyNumberFormat="1" applyFont="1" applyBorder="1" applyAlignment="1">
      <alignment horizontal="center" vertical="top"/>
    </xf>
    <xf numFmtId="164" fontId="33" fillId="0" borderId="4" xfId="0" applyNumberFormat="1" applyFont="1" applyBorder="1" applyAlignment="1">
      <alignment horizontal="center" vertical="top"/>
    </xf>
    <xf numFmtId="164" fontId="33" fillId="0" borderId="5" xfId="0" applyNumberFormat="1" applyFont="1" applyBorder="1" applyAlignment="1">
      <alignment horizontal="center" vertical="top"/>
    </xf>
    <xf numFmtId="164" fontId="33" fillId="0" borderId="6" xfId="0" applyNumberFormat="1" applyFont="1" applyBorder="1" applyAlignment="1">
      <alignment horizontal="center" vertical="top"/>
    </xf>
    <xf numFmtId="0" fontId="13" fillId="0" borderId="41" xfId="0" applyFont="1" applyBorder="1" applyAlignment="1">
      <alignment horizontal="center" vertical="top"/>
    </xf>
    <xf numFmtId="0" fontId="13" fillId="0" borderId="12" xfId="0" applyFont="1" applyBorder="1" applyAlignment="1">
      <alignment horizontal="center" vertical="top"/>
    </xf>
    <xf numFmtId="0" fontId="1" fillId="2" borderId="7" xfId="0" applyFont="1" applyFill="1" applyBorder="1" applyAlignment="1">
      <alignment horizontal="center" vertical="top" wrapText="1"/>
    </xf>
    <xf numFmtId="0" fontId="1" fillId="2" borderId="8" xfId="0" applyFont="1" applyFill="1" applyBorder="1" applyAlignment="1">
      <alignment horizontal="center" vertical="top" wrapText="1"/>
    </xf>
    <xf numFmtId="0" fontId="1" fillId="2" borderId="4" xfId="0" applyFont="1" applyFill="1" applyBorder="1" applyAlignment="1">
      <alignment horizontal="center" vertical="top"/>
    </xf>
    <xf numFmtId="0" fontId="1" fillId="2" borderId="6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top"/>
    </xf>
    <xf numFmtId="2" fontId="1" fillId="2" borderId="4" xfId="0" applyNumberFormat="1" applyFont="1" applyFill="1" applyBorder="1" applyAlignment="1">
      <alignment horizontal="center" vertical="top" wrapText="1"/>
    </xf>
    <xf numFmtId="2" fontId="1" fillId="2" borderId="5" xfId="0" applyNumberFormat="1" applyFont="1" applyFill="1" applyBorder="1" applyAlignment="1">
      <alignment horizontal="center" vertical="top" wrapText="1"/>
    </xf>
    <xf numFmtId="2" fontId="1" fillId="2" borderId="6" xfId="0" applyNumberFormat="1" applyFont="1" applyFill="1" applyBorder="1" applyAlignment="1">
      <alignment horizontal="center" vertical="top" wrapText="1"/>
    </xf>
    <xf numFmtId="164" fontId="1" fillId="2" borderId="7" xfId="0" applyNumberFormat="1" applyFont="1" applyFill="1" applyBorder="1" applyAlignment="1">
      <alignment horizontal="center" vertical="top" wrapText="1"/>
    </xf>
    <xf numFmtId="164" fontId="1" fillId="2" borderId="8" xfId="0" applyNumberFormat="1" applyFont="1" applyFill="1" applyBorder="1" applyAlignment="1">
      <alignment horizontal="center" vertical="top" wrapText="1"/>
    </xf>
    <xf numFmtId="0" fontId="1" fillId="2" borderId="11" xfId="0" applyFont="1" applyFill="1" applyBorder="1" applyAlignment="1">
      <alignment horizontal="center" vertical="top"/>
    </xf>
    <xf numFmtId="0" fontId="1" fillId="2" borderId="12" xfId="0" applyFont="1" applyFill="1" applyBorder="1" applyAlignment="1">
      <alignment horizontal="center" vertical="top"/>
    </xf>
    <xf numFmtId="0" fontId="1" fillId="2" borderId="19" xfId="0" applyFont="1" applyFill="1" applyBorder="1" applyAlignment="1">
      <alignment horizontal="center" vertical="top"/>
    </xf>
    <xf numFmtId="0" fontId="1" fillId="2" borderId="13" xfId="0" applyFont="1" applyFill="1" applyBorder="1" applyAlignment="1">
      <alignment horizontal="center" vertical="top" wrapText="1"/>
    </xf>
    <xf numFmtId="0" fontId="1" fillId="2" borderId="4" xfId="0" applyNumberFormat="1" applyFont="1" applyFill="1" applyBorder="1" applyAlignment="1">
      <alignment horizontal="center" vertical="top"/>
    </xf>
    <xf numFmtId="0" fontId="1" fillId="2" borderId="6" xfId="0" applyNumberFormat="1" applyFont="1" applyFill="1" applyBorder="1" applyAlignment="1">
      <alignment horizontal="center" vertical="top"/>
    </xf>
    <xf numFmtId="2" fontId="1" fillId="2" borderId="5" xfId="0" applyNumberFormat="1" applyFont="1" applyFill="1" applyBorder="1" applyAlignment="1">
      <alignment horizontal="center" vertical="top"/>
    </xf>
    <xf numFmtId="0" fontId="1" fillId="2" borderId="8" xfId="0" applyFont="1" applyFill="1" applyBorder="1" applyAlignment="1">
      <alignment horizontal="center" vertical="top"/>
    </xf>
  </cellXfs>
  <cellStyles count="5">
    <cellStyle name="Comma" xfId="4" builtinId="3"/>
    <cellStyle name="Hyperlink" xfId="1" builtinId="8"/>
    <cellStyle name="Normal" xfId="0" builtinId="0"/>
    <cellStyle name="Normal 2" xfId="2" xr:uid="{00000000-0005-0000-0000-000003000000}"/>
    <cellStyle name="Percent" xfId="3" builtinId="5"/>
  </cellStyles>
  <dxfs count="1227"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 style="thin">
          <color indexed="64"/>
        </top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indexed="64"/>
        </right>
        <top style="thin">
          <color auto="1"/>
        </top>
        <bottom style="thin">
          <color auto="1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top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0" formatCode="General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0" formatCode="General"/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0" formatCode="General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0" formatCode="General"/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" formatCode="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" formatCode="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alignment horizontal="center" vertical="top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" formatCode="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" formatCode="0"/>
      <alignment horizontal="center" vertical="top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" formatCode="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" formatCode="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alignment horizontal="center" vertical="top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top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2" formatCode="0.00"/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0" formatCode="General"/>
      <alignment horizontal="general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general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top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left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numFmt numFmtId="164" formatCode="0.0"/>
      <alignment horizontal="left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center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alignment horizontal="general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auto="1"/>
        </right>
        <top style="thin">
          <color auto="1"/>
        </top>
        <bottom style="thin">
          <color auto="1"/>
        </bottom>
        <vertical style="medium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  <numFmt numFmtId="164" formatCode="0.0"/>
      <alignment horizontal="general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  <numFmt numFmtId="164" formatCode="0.0"/>
      <alignment horizontal="general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top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lef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" formatCode="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" formatCode="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numFmt numFmtId="2" formatCode="0.0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numFmt numFmtId="2" formatCode="0.0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numFmt numFmtId="2" formatCode="0.0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2" formatCode="0.0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" formatCode="0"/>
      <alignment horizontal="center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numFmt numFmtId="1" formatCode="0"/>
      <alignment horizontal="center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left" vertical="top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/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alignment horizontal="general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top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  <numFmt numFmtId="164" formatCode="0.0"/>
      <alignment horizontal="center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alignment horizontal="center" vertical="top" textRotation="0" wrapText="0" indent="0" justifyLastLine="0" shrinkToFit="0" readingOrder="0"/>
    </dxf>
    <dxf>
      <border>
        <bottom style="medium">
          <color rgb="FF000000"/>
        </bottom>
      </border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numFmt numFmtId="164" formatCode="0.0"/>
      <alignment horizontal="center" vertical="top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</dxf>
    <dxf>
      <font>
        <color theme="0"/>
      </font>
    </dxf>
    <dxf>
      <font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</dxf>
    <dxf>
      <font>
        <color theme="0"/>
      </font>
      <fill>
        <patternFill>
          <bgColor theme="0"/>
        </patternFill>
      </fill>
    </dxf>
    <dxf>
      <font>
        <color rgb="FFFF0000"/>
      </font>
    </dxf>
    <dxf>
      <font>
        <color rgb="FF92D050"/>
      </font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</dxf>
    <dxf>
      <font>
        <color theme="0"/>
      </font>
      <fill>
        <patternFill>
          <bgColor theme="0"/>
        </patternFill>
      </fill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0000"/>
      </font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alignment horizontal="left" vertical="top" textRotation="0" wrapText="0" indent="0" justifyLastLine="0" shrinkToFit="0" readingOrder="0"/>
    </dxf>
    <dxf>
      <alignment horizontal="center" textRotation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alignment horizontal="center" textRotation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numFmt numFmtId="2" formatCode="0.00"/>
      <alignment horizontal="center" textRotation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center" textRotation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center" textRotation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left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center" vertical="top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 style="thin">
          <color theme="0"/>
        </bottom>
      </border>
    </dxf>
    <dxf>
      <alignment horizontal="center" textRotation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 outline="0">
        <top style="medium">
          <color theme="0"/>
        </top>
      </border>
    </dxf>
    <dxf>
      <alignment horizontal="left" vertical="top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alignment horizontal="center" vertical="top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numFmt numFmtId="2" formatCode="0.00"/>
      <alignment horizontal="center" vertical="top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center" vertical="top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center" vertical="top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numFmt numFmtId="2" formatCode="0.00"/>
      <alignment horizontal="center" vertical="top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center" vertical="top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alignment horizontal="general" vertical="top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alignment horizontal="center" vertical="top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 style="thin">
          <color theme="0"/>
        </bottom>
        <vertical/>
        <horizontal/>
      </border>
    </dxf>
    <dxf>
      <alignment horizontal="center" vertical="top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alignment horizontal="center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</dxf>
    <dxf>
      <font>
        <color theme="0"/>
      </font>
    </dxf>
    <dxf>
      <font>
        <color theme="0" tint="-0.24994659260841701"/>
      </font>
    </dxf>
    <dxf>
      <font>
        <color theme="0"/>
      </font>
    </dxf>
    <dxf>
      <font>
        <color theme="0" tint="-0.24994659260841701"/>
      </font>
    </dxf>
    <dxf>
      <font>
        <color theme="0"/>
      </font>
    </dxf>
    <dxf>
      <font>
        <color theme="0" tint="-0.24994659260841701"/>
      </font>
    </dxf>
    <dxf>
      <font>
        <color theme="0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24994659260841701"/>
      </font>
    </dxf>
    <dxf>
      <font>
        <color theme="0"/>
      </font>
    </dxf>
    <dxf>
      <font>
        <color theme="0" tint="-0.24994659260841701"/>
      </font>
    </dxf>
    <dxf>
      <font>
        <color theme="0"/>
      </font>
    </dxf>
    <dxf>
      <font>
        <color theme="0" tint="-0.24994659260841701"/>
      </font>
    </dxf>
    <dxf>
      <font>
        <color theme="0"/>
      </font>
    </dxf>
    <dxf>
      <font>
        <color theme="0" tint="-0.24994659260841701"/>
      </font>
    </dxf>
    <dxf>
      <font>
        <color theme="0"/>
      </font>
    </dxf>
    <dxf>
      <font>
        <color theme="0" tint="-0.24994659260841701"/>
      </font>
    </dxf>
    <dxf>
      <font>
        <color theme="0"/>
      </font>
    </dxf>
    <dxf>
      <font>
        <color theme="0" tint="-0.24994659260841701"/>
      </font>
    </dxf>
    <dxf>
      <font>
        <color theme="0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/>
      </font>
    </dxf>
    <dxf>
      <font>
        <color theme="0" tint="-0.24994659260841701"/>
      </font>
    </dxf>
    <dxf>
      <font>
        <color theme="0"/>
      </font>
    </dxf>
    <dxf>
      <font>
        <color theme="0" tint="-0.24994659260841701"/>
      </font>
    </dxf>
    <dxf>
      <font>
        <color theme="0"/>
      </font>
    </dxf>
    <dxf>
      <font>
        <color theme="0" tint="-0.24994659260841701"/>
      </font>
    </dxf>
    <dxf>
      <font>
        <color theme="0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'Switching Diagram Tables-Major'!$AT$6:$AT$7</c:f>
              <c:strCache>
                <c:ptCount val="2"/>
                <c:pt idx="0">
                  <c:v>Load Capability</c:v>
                </c:pt>
                <c:pt idx="1">
                  <c:v>MVA Balance</c:v>
                </c:pt>
              </c:strCache>
              <c:extLst xmlns:c15="http://schemas.microsoft.com/office/drawing/2012/chart"/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'Switching Diagram Tables-Major'!$AN$9:$AN$32</c:f>
              <c:extLst xmlns:c15="http://schemas.microsoft.com/office/drawing/2012/chart"/>
            </c:strRef>
          </c:cat>
          <c:val>
            <c:numRef>
              <c:f>'Switching Diagram Tables-Major'!$AT$9:$AT$32</c:f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EC-44E3-A336-05475840D5A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82635424"/>
        <c:axId val="12366759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'Switching Diagram Tables-Major'!$AO$6:$AO$7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A Up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'Switching Diagram Tables-Major'!$AO$9:$AO$32</c15:sqref>
                        </c15:formulaRef>
                      </c:ext>
                    </c:extLst>
                  </c:numRef>
                </c:val>
                <c:extLst>
                  <c:ext xmlns:c16="http://schemas.microsoft.com/office/drawing/2014/chart" uri="{C3380CC4-5D6E-409C-BE32-E72D297353CC}">
                    <c16:uniqueId val="{00000001-61EC-44E3-A336-05475840D5A6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Tables-Major'!$AP$6:$AP$7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A Down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Tables-Major'!$AP$9:$AP$32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1EC-44E3-A336-05475840D5A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Tables-Major'!$AQ$6:$AQ$7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A Balance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Tables-Major'!$AQ$9:$AQ$32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1EC-44E3-A336-05475840D5A6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Tables-Major'!$AR$6:$AR$7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MVA Up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Tables-Major'!$AR$9:$AR$32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1EC-44E3-A336-05475840D5A6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Tables-Major'!$AS$6:$AS$7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MVA Down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Tables-Major'!$AS$9:$AS$32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EC-44E3-A336-05475840D5A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Tables-Major'!$AU$6:$AU$7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A Up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Tables-Major'!$AU$9:$AU$32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1EC-44E3-A336-05475840D5A6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Tables-Major'!$AV$6:$AV$7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A Down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Tables-Major'!$AV$9:$AV$32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1EC-44E3-A336-05475840D5A6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Tables-Major'!$AW$6:$AW$7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A Balance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Tables-Major'!$AW$9:$AW$32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1EC-44E3-A336-05475840D5A6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Tables-Major'!$AX$6:$AX$7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MVA Up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Tables-Major'!$AX$9:$AX$32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1EC-44E3-A336-05475840D5A6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Tables-Major'!$AY$6:$AY$7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MVA Down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Tables-Major'!$AY$9:$AY$32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EC-44E3-A336-05475840D5A6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Tables-Major'!$AZ$6:$AZ$7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MVA Balance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Tables-Major'!$AZ$9:$AZ$32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EC-44E3-A336-05475840D5A6}"/>
                  </c:ext>
                </c:extLst>
              </c15:ser>
            </c15:filteredBarSeries>
          </c:ext>
        </c:extLst>
      </c:barChart>
      <c:catAx>
        <c:axId val="128263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75968"/>
        <c:crosses val="autoZero"/>
        <c:auto val="1"/>
        <c:lblAlgn val="ctr"/>
        <c:lblOffset val="100"/>
        <c:noMultiLvlLbl val="0"/>
      </c:catAx>
      <c:valAx>
        <c:axId val="123667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63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1"/>
          <c:order val="11"/>
          <c:tx>
            <c:strRef>
              <c:f>'Switching Diagram Tables-Major'!$AZ$6:$AZ$7</c:f>
              <c:strCache>
                <c:ptCount val="2"/>
                <c:pt idx="0">
                  <c:v>OC Pick Up Protection</c:v>
                </c:pt>
                <c:pt idx="1">
                  <c:v>MVA Balance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'Switching Diagram Tables-Major'!$AN$9:$AN$32</c:f>
            </c:strRef>
          </c:cat>
          <c:val>
            <c:numRef>
              <c:f>'Switching Diagram Tables-Major'!$AZ$9:$AZ$32</c:f>
            </c:numRef>
          </c:val>
          <c:extLst>
            <c:ext xmlns:c16="http://schemas.microsoft.com/office/drawing/2014/chart" uri="{C3380CC4-5D6E-409C-BE32-E72D297353CC}">
              <c16:uniqueId val="{00000000-9D51-4E34-BCC2-ADC150DEC0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82635424"/>
        <c:axId val="12366759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'Switching Diagram Tables-Major'!$AO$6:$AO$7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A Up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'Switching Diagram Tables-Major'!$AO$9:$AO$32</c15:sqref>
                        </c15:formulaRef>
                      </c:ext>
                    </c:extLst>
                  </c:numRef>
                </c:val>
                <c:extLst>
                  <c:ext xmlns:c16="http://schemas.microsoft.com/office/drawing/2014/chart" uri="{C3380CC4-5D6E-409C-BE32-E72D297353CC}">
                    <c16:uniqueId val="{00000001-9D51-4E34-BCC2-ADC150DEC0CC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Tables-Major'!$AP$6:$AP$7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A Down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Tables-Major'!$AP$9:$AP$32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D51-4E34-BCC2-ADC150DEC0CC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Tables-Major'!$AQ$6:$AQ$7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A Balance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Tables-Major'!$AQ$9:$AQ$32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D51-4E34-BCC2-ADC150DEC0CC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Tables-Major'!$AR$6:$AR$7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MVA Up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Tables-Major'!$AR$9:$AR$32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D51-4E34-BCC2-ADC150DEC0C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Tables-Major'!$AS$6:$AS$7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MVA Down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Tables-Major'!$AS$9:$AS$32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D51-4E34-BCC2-ADC150DEC0CC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Tables-Major'!$AT$6:$AT$7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MVA Balance</c:v>
                      </c:pt>
                    </c:strCache>
                  </c:strRef>
                </c:tx>
                <c:spPr>
                  <a:solidFill>
                    <a:srgbClr val="00B0F0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Tables-Major'!$AT$9:$AT$32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D51-4E34-BCC2-ADC150DEC0CC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Tables-Major'!$AU$6:$AU$7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A Up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Tables-Major'!$AU$9:$AU$32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D51-4E34-BCC2-ADC150DEC0CC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Tables-Major'!$AV$6:$AV$7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A Down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Tables-Major'!$AV$9:$AV$32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D51-4E34-BCC2-ADC150DEC0C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Tables-Major'!$AW$6:$AW$7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A Balance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Tables-Major'!$AW$9:$AW$32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D51-4E34-BCC2-ADC150DEC0C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Tables-Major'!$AX$6:$AX$7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MVA Up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Tables-Major'!$AX$9:$AX$32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D51-4E34-BCC2-ADC150DEC0C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Tables-Major'!$AY$6:$AY$7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MVA Down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Tables-Major'!$AY$9:$AY$32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D51-4E34-BCC2-ADC150DEC0CC}"/>
                  </c:ext>
                </c:extLst>
              </c15:ser>
            </c15:filteredBarSeries>
          </c:ext>
        </c:extLst>
      </c:barChart>
      <c:catAx>
        <c:axId val="128263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75968"/>
        <c:crosses val="autoZero"/>
        <c:auto val="1"/>
        <c:lblAlgn val="ctr"/>
        <c:lblOffset val="100"/>
        <c:noMultiLvlLbl val="0"/>
      </c:catAx>
      <c:valAx>
        <c:axId val="123667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63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'Switching Diagram Tables-Major'!$AT$6:$AT$7</c:f>
              <c:strCache>
                <c:ptCount val="2"/>
                <c:pt idx="0">
                  <c:v>Load Capability</c:v>
                </c:pt>
                <c:pt idx="1">
                  <c:v>MVA Balance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'Switching Diagram Tables-Major'!$AT$8</c:f>
            </c:numRef>
          </c:val>
          <c:extLst xmlns:c15="http://schemas.microsoft.com/office/drawing/2012/chart"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'Switching Diagram Tables-Major'!$AN$8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16A6-4383-8381-7644520810DD}"/>
            </c:ext>
          </c:extLst>
        </c:ser>
        <c:ser>
          <c:idx val="11"/>
          <c:order val="11"/>
          <c:tx>
            <c:strRef>
              <c:f>'Switching Diagram Tables-Major'!$AZ$6:$AZ$7</c:f>
              <c:strCache>
                <c:ptCount val="2"/>
                <c:pt idx="0">
                  <c:v>OC Pick Up Protection</c:v>
                </c:pt>
                <c:pt idx="1">
                  <c:v>MVA Balance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'Switching Diagram Tables-Major'!$AZ$8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'Switching Diagram Tables-Major'!$AN$8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16A6-4383-8381-7644520810D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82635424"/>
        <c:axId val="12366759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'Switching Diagram Tables-Major'!$AO$6:$AO$7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A Up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'Switching Diagram Tables-Major'!$AO$8</c15:sqref>
                        </c15:formulaRef>
                      </c:ext>
                    </c:extLst>
                  </c:numRef>
                </c:val>
                <c:extLst>
                  <c:ext uri="{02D57815-91ED-43cb-92C2-25804820EDAC}">
                    <c15:filteredCategoryTitle>
                      <c15:cat>
                        <c:strRef>
                          <c:extLst>
                            <c:ext uri="{02D57815-91ED-43cb-92C2-25804820EDAC}">
                              <c15:formulaRef>
                                <c15:sqref>'Switching Diagram Tables-Major'!$AN$8</c15:sqref>
                              </c15:formulaRef>
                            </c:ext>
                          </c:extLst>
                        </c:strRef>
                      </c15:cat>
                    </c15:filteredCategoryTitle>
                  </c:ext>
                  <c:ext xmlns:c16="http://schemas.microsoft.com/office/drawing/2014/chart" uri="{C3380CC4-5D6E-409C-BE32-E72D297353CC}">
                    <c16:uniqueId val="{00000001-16A6-4383-8381-7644520810DD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Tables-Major'!$AP$6:$AP$7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A Down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Tables-Major'!$AP$8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filteredCategoryTitle>
                      <c15:cat>
                        <c:strRef>
                          <c:extLst>
                            <c:ext uri="{02D57815-91ED-43cb-92C2-25804820EDAC}">
                              <c15:formulaRef>
                                <c15:sqref>'Switching Diagram Tables-Major'!$AN$8</c15:sqref>
                              </c15:formulaRef>
                            </c:ext>
                          </c:extLst>
                        </c:strRef>
                      </c15:cat>
                    </c15:filteredCategoryTitle>
                  </c:ext>
                  <c:ext xmlns:c16="http://schemas.microsoft.com/office/drawing/2014/chart" uri="{C3380CC4-5D6E-409C-BE32-E72D297353CC}">
                    <c16:uniqueId val="{00000002-16A6-4383-8381-7644520810DD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Tables-Major'!$AQ$6:$AQ$7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A Balance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Tables-Major'!$AQ$8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filteredCategoryTitle>
                      <c15:cat>
                        <c:strRef>
                          <c:extLst>
                            <c:ext uri="{02D57815-91ED-43cb-92C2-25804820EDAC}">
                              <c15:formulaRef>
                                <c15:sqref>'Switching Diagram Tables-Major'!$AN$8</c15:sqref>
                              </c15:formulaRef>
                            </c:ext>
                          </c:extLst>
                        </c:strRef>
                      </c15:cat>
                    </c15:filteredCategoryTitle>
                  </c:ext>
                  <c:ext xmlns:c16="http://schemas.microsoft.com/office/drawing/2014/chart" uri="{C3380CC4-5D6E-409C-BE32-E72D297353CC}">
                    <c16:uniqueId val="{00000003-16A6-4383-8381-7644520810DD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Tables-Major'!$AR$6:$AR$7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MVA Up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Tables-Major'!$AR$8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filteredCategoryTitle>
                      <c15:cat>
                        <c:strRef>
                          <c:extLst>
                            <c:ext uri="{02D57815-91ED-43cb-92C2-25804820EDAC}">
                              <c15:formulaRef>
                                <c15:sqref>'Switching Diagram Tables-Major'!$AN$8</c15:sqref>
                              </c15:formulaRef>
                            </c:ext>
                          </c:extLst>
                        </c:strRef>
                      </c15:cat>
                    </c15:filteredCategoryTitle>
                  </c:ext>
                  <c:ext xmlns:c16="http://schemas.microsoft.com/office/drawing/2014/chart" uri="{C3380CC4-5D6E-409C-BE32-E72D297353CC}">
                    <c16:uniqueId val="{00000004-16A6-4383-8381-7644520810DD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Tables-Major'!$AS$6:$AS$7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MVA Down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Tables-Major'!$AS$8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filteredCategoryTitle>
                      <c15:cat>
                        <c:strRef>
                          <c:extLst>
                            <c:ext uri="{02D57815-91ED-43cb-92C2-25804820EDAC}">
                              <c15:formulaRef>
                                <c15:sqref>'Switching Diagram Tables-Major'!$AN$8</c15:sqref>
                              </c15:formulaRef>
                            </c:ext>
                          </c:extLst>
                        </c:strRef>
                      </c15:cat>
                    </c15:filteredCategoryTitle>
                  </c:ext>
                  <c:ext xmlns:c16="http://schemas.microsoft.com/office/drawing/2014/chart" uri="{C3380CC4-5D6E-409C-BE32-E72D297353CC}">
                    <c16:uniqueId val="{00000005-16A6-4383-8381-7644520810DD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Tables-Major'!$AU$6:$AU$7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A Up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Tables-Major'!$AU$8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filteredCategoryTitle>
                      <c15:cat>
                        <c:strRef>
                          <c:extLst>
                            <c:ext uri="{02D57815-91ED-43cb-92C2-25804820EDAC}">
                              <c15:formulaRef>
                                <c15:sqref>'Switching Diagram Tables-Major'!$AN$8</c15:sqref>
                              </c15:formulaRef>
                            </c:ext>
                          </c:extLst>
                        </c:strRef>
                      </c15:cat>
                    </c15:filteredCategoryTitle>
                  </c:ext>
                  <c:ext xmlns:c16="http://schemas.microsoft.com/office/drawing/2014/chart" uri="{C3380CC4-5D6E-409C-BE32-E72D297353CC}">
                    <c16:uniqueId val="{00000007-16A6-4383-8381-7644520810DD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Tables-Major'!$AV$6:$AV$7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A Down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Tables-Major'!$AV$8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filteredCategoryTitle>
                      <c15:cat>
                        <c:strRef>
                          <c:extLst>
                            <c:ext uri="{02D57815-91ED-43cb-92C2-25804820EDAC}">
                              <c15:formulaRef>
                                <c15:sqref>'Switching Diagram Tables-Major'!$AN$8</c15:sqref>
                              </c15:formulaRef>
                            </c:ext>
                          </c:extLst>
                        </c:strRef>
                      </c15:cat>
                    </c15:filteredCategoryTitle>
                  </c:ext>
                  <c:ext xmlns:c16="http://schemas.microsoft.com/office/drawing/2014/chart" uri="{C3380CC4-5D6E-409C-BE32-E72D297353CC}">
                    <c16:uniqueId val="{00000008-16A6-4383-8381-7644520810DD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Tables-Major'!$AW$6:$AW$7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A Balance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Tables-Major'!$AW$8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filteredCategoryTitle>
                      <c15:cat>
                        <c:strRef>
                          <c:extLst>
                            <c:ext uri="{02D57815-91ED-43cb-92C2-25804820EDAC}">
                              <c15:formulaRef>
                                <c15:sqref>'Switching Diagram Tables-Major'!$AN$8</c15:sqref>
                              </c15:formulaRef>
                            </c:ext>
                          </c:extLst>
                        </c:strRef>
                      </c15:cat>
                    </c15:filteredCategoryTitle>
                  </c:ext>
                  <c:ext xmlns:c16="http://schemas.microsoft.com/office/drawing/2014/chart" uri="{C3380CC4-5D6E-409C-BE32-E72D297353CC}">
                    <c16:uniqueId val="{00000009-16A6-4383-8381-7644520810DD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Tables-Major'!$AX$6:$AX$7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MVA Up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Tables-Major'!$AX$8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filteredCategoryTitle>
                      <c15:cat>
                        <c:strRef>
                          <c:extLst>
                            <c:ext uri="{02D57815-91ED-43cb-92C2-25804820EDAC}">
                              <c15:formulaRef>
                                <c15:sqref>'Switching Diagram Tables-Major'!$AN$8</c15:sqref>
                              </c15:formulaRef>
                            </c:ext>
                          </c:extLst>
                        </c:strRef>
                      </c15:cat>
                    </c15:filteredCategoryTitle>
                  </c:ext>
                  <c:ext xmlns:c16="http://schemas.microsoft.com/office/drawing/2014/chart" uri="{C3380CC4-5D6E-409C-BE32-E72D297353CC}">
                    <c16:uniqueId val="{0000000A-16A6-4383-8381-7644520810DD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Tables-Major'!$AY$6:$AY$7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MVA Down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Tables-Major'!$AY$8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filteredCategoryTitle>
                      <c15:cat>
                        <c:strRef>
                          <c:extLst>
                            <c:ext uri="{02D57815-91ED-43cb-92C2-25804820EDAC}">
                              <c15:formulaRef>
                                <c15:sqref>'Switching Diagram Tables-Major'!$AN$8</c15:sqref>
                              </c15:formulaRef>
                            </c:ext>
                          </c:extLst>
                        </c:strRef>
                      </c15:cat>
                    </c15:filteredCategoryTitle>
                  </c:ext>
                  <c:ext xmlns:c16="http://schemas.microsoft.com/office/drawing/2014/chart" uri="{C3380CC4-5D6E-409C-BE32-E72D297353CC}">
                    <c16:uniqueId val="{0000000B-16A6-4383-8381-7644520810DD}"/>
                  </c:ext>
                </c:extLst>
              </c15:ser>
            </c15:filteredBarSeries>
          </c:ext>
        </c:extLst>
      </c:barChart>
      <c:catAx>
        <c:axId val="128263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75968"/>
        <c:crosses val="autoZero"/>
        <c:auto val="1"/>
        <c:lblAlgn val="ctr"/>
        <c:lblOffset val="100"/>
        <c:noMultiLvlLbl val="0"/>
      </c:catAx>
      <c:valAx>
        <c:axId val="1236675968"/>
        <c:scaling>
          <c:orientation val="minMax"/>
          <c:max val="85"/>
          <c:min val="-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63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'Switching Diagram Tables-Major'!$AT$6:$AT$7</c:f>
              <c:strCache>
                <c:ptCount val="2"/>
                <c:pt idx="0">
                  <c:v>Load Capability</c:v>
                </c:pt>
                <c:pt idx="1">
                  <c:v>MVA Balance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'Switching Diagram Tables-Major'!$AN$9:$AN$32</c:f>
            </c:strRef>
          </c:cat>
          <c:val>
            <c:numRef>
              <c:f>'Switching Diagram Tables-Major'!$AT$9:$AT$32</c:f>
            </c:numRef>
          </c:val>
          <c:extLst>
            <c:ext xmlns:c16="http://schemas.microsoft.com/office/drawing/2014/chart" uri="{C3380CC4-5D6E-409C-BE32-E72D297353CC}">
              <c16:uniqueId val="{00000000-3F0B-4381-9A06-877EF875F759}"/>
            </c:ext>
          </c:extLst>
        </c:ser>
        <c:ser>
          <c:idx val="11"/>
          <c:order val="11"/>
          <c:tx>
            <c:strRef>
              <c:f>'Switching Diagram Tables-Major'!$AZ$6:$AZ$7</c:f>
              <c:strCache>
                <c:ptCount val="2"/>
                <c:pt idx="0">
                  <c:v>OC Pick Up Protection</c:v>
                </c:pt>
                <c:pt idx="1">
                  <c:v>MVA Balance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'Switching Diagram Tables-Major'!$AN$9:$AN$32</c:f>
              <c:extLst xmlns:c15="http://schemas.microsoft.com/office/drawing/2012/chart"/>
            </c:strRef>
          </c:cat>
          <c:val>
            <c:numRef>
              <c:f>'Switching Diagram Tables-Major'!$AZ$9:$AZ$32</c:f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F0B-4381-9A06-877EF875F75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82635424"/>
        <c:axId val="12366759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'Switching Diagram Tables-Major'!$AO$6:$AO$7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A Up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'Switching Diagram Tables-Major'!$AO$9:$AO$32</c15:sqref>
                        </c15:formulaRef>
                      </c:ext>
                    </c:extLst>
                  </c:numRef>
                </c:val>
                <c:extLst>
                  <c:ext xmlns:c16="http://schemas.microsoft.com/office/drawing/2014/chart" uri="{C3380CC4-5D6E-409C-BE32-E72D297353CC}">
                    <c16:uniqueId val="{00000001-3F0B-4381-9A06-877EF875F759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Tables-Major'!$AP$6:$AP$7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A Down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Tables-Major'!$AP$9:$AP$32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F0B-4381-9A06-877EF875F75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Tables-Major'!$AQ$6:$AQ$7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A Balance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Tables-Major'!$AQ$9:$AQ$32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F0B-4381-9A06-877EF875F75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Tables-Major'!$AR$6:$AR$7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MVA Up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Tables-Major'!$AR$9:$AR$32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F0B-4381-9A06-877EF875F759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Tables-Major'!$AS$6:$AS$7</c15:sqref>
                        </c15:formulaRef>
                      </c:ext>
                    </c:extLst>
                    <c:strCache>
                      <c:ptCount val="2"/>
                      <c:pt idx="0">
                        <c:v>Load Capability</c:v>
                      </c:pt>
                      <c:pt idx="1">
                        <c:v>MVA Down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Tables-Major'!$AS$9:$AS$32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F0B-4381-9A06-877EF875F75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Tables-Major'!$AU$6:$AU$7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A Up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Tables-Major'!$AU$9:$AU$32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F0B-4381-9A06-877EF875F759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Tables-Major'!$AV$6:$AV$7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A Down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Tables-Major'!$AV$9:$AV$32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F0B-4381-9A06-877EF875F759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Tables-Major'!$AW$6:$AW$7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A Balance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Tables-Major'!$AW$9:$AW$32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F0B-4381-9A06-877EF875F759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Tables-Major'!$AX$6:$AX$7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MVA Up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Tables-Major'!$AX$9:$AX$32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F0B-4381-9A06-877EF875F759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Tables-Major'!$AY$6:$AY$7</c15:sqref>
                        </c15:formulaRef>
                      </c:ext>
                    </c:extLst>
                    <c:strCache>
                      <c:ptCount val="2"/>
                      <c:pt idx="0">
                        <c:v>OC Pick Up Protection</c:v>
                      </c:pt>
                      <c:pt idx="1">
                        <c:v>MVA Down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Tables-Major'!$AN$9:$AN$32</c15:sqref>
                        </c15:formulaRef>
                      </c:ext>
                    </c:extLst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'Switching Diagram Tables-Major'!$AY$9:$AY$32</c15:sqref>
                        </c15:formulaRef>
                      </c:ext>
                    </c:extLst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F0B-4381-9A06-877EF875F759}"/>
                  </c:ext>
                </c:extLst>
              </c15:ser>
            </c15:filteredBarSeries>
          </c:ext>
        </c:extLst>
      </c:barChart>
      <c:catAx>
        <c:axId val="128263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75968"/>
        <c:crosses val="autoZero"/>
        <c:auto val="1"/>
        <c:lblAlgn val="ctr"/>
        <c:lblOffset val="100"/>
        <c:noMultiLvlLbl val="0"/>
      </c:catAx>
      <c:valAx>
        <c:axId val="1236675968"/>
        <c:scaling>
          <c:orientation val="minMax"/>
          <c:max val="40"/>
          <c:min val="-8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635424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112056</xdr:colOff>
      <xdr:row>48</xdr:row>
      <xdr:rowOff>75068</xdr:rowOff>
    </xdr:from>
    <xdr:to>
      <xdr:col>46</xdr:col>
      <xdr:colOff>16670</xdr:colOff>
      <xdr:row>64</xdr:row>
      <xdr:rowOff>99204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DB3485-8AA2-4520-A5D3-603F780477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46</xdr:col>
      <xdr:colOff>1904</xdr:colOff>
      <xdr:row>48</xdr:row>
      <xdr:rowOff>84593</xdr:rowOff>
    </xdr:from>
    <xdr:to>
      <xdr:col>52</xdr:col>
      <xdr:colOff>18128</xdr:colOff>
      <xdr:row>64</xdr:row>
      <xdr:rowOff>85869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ABEDB59-001C-4214-80B9-2D9965A3B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0</xdr:colOff>
      <xdr:row>64</xdr:row>
      <xdr:rowOff>23635</xdr:rowOff>
    </xdr:from>
    <xdr:to>
      <xdr:col>52</xdr:col>
      <xdr:colOff>36706</xdr:colOff>
      <xdr:row>77</xdr:row>
      <xdr:rowOff>175707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15C93A-D47B-4D13-BCBF-5E63207324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3362</xdr:colOff>
      <xdr:row>33</xdr:row>
      <xdr:rowOff>16921</xdr:rowOff>
    </xdr:from>
    <xdr:to>
      <xdr:col>52</xdr:col>
      <xdr:colOff>43878</xdr:colOff>
      <xdr:row>48</xdr:row>
      <xdr:rowOff>139781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85D557-E210-428B-85AE-059AB0B658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file:///\\nsldc01\vol1\Engineers\PlanningTeam\100_Projects\2016-007_NDPlanning\0)%20NDP%20Tools\Load%20Growth%20Forecasting%20Methodology\Forecasting%20Tool\3)%20AEL%20Network%20Load%20Forecast\210819-AEL%20Demand%20Forecasting-FY21_22-Mixed%20Methodology.xlsx?7726E0F3" TargetMode="External"/><Relationship Id="rId1" Type="http://schemas.openxmlformats.org/officeDocument/2006/relationships/externalLinkPath" Target="file:///\\7726E0F3\210819-AEL%20Demand%20Forecasting-FY21_22-Mixed%20Methodolog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Summary"/>
      <sheetName val="All Summary"/>
      <sheetName val="Step Load Growth"/>
      <sheetName val="ABY Forecast"/>
      <sheetName val="ABY Forecast Plots"/>
      <sheetName val="BPD Forecast"/>
      <sheetName val="BPD Forecast Plots"/>
      <sheetName val="STU Forecast"/>
      <sheetName val="STU Forecast Plots"/>
      <sheetName val="TKA Forecast"/>
      <sheetName val="TKA Forecast Plots"/>
      <sheetName val="TMK Forecast"/>
      <sheetName val="TMK Forecast Plots"/>
      <sheetName val="TIM Forecast"/>
      <sheetName val="TIM Forecast Plots"/>
      <sheetName val="TWZ Forecast"/>
      <sheetName val="TWZ Forecast Plots"/>
      <sheetName val="AMP --&gt;"/>
      <sheetName val="Stations Classification"/>
      <sheetName val="S12b.Capacity Forecast"/>
      <sheetName val="ABY AMP Forecast Plots"/>
      <sheetName val="BPD AMP Forecast Plots"/>
      <sheetName val="STU AMP Forecast Plots"/>
      <sheetName val="TKA AMP Forecast Plots"/>
      <sheetName val="TMK AMP Forecast Plots"/>
      <sheetName val="TIM AMP Forecast Plots"/>
      <sheetName val="TWZ AMP Forecast Plots"/>
    </sheetNames>
    <sheetDataSet>
      <sheetData sheetId="0"/>
      <sheetData sheetId="1"/>
      <sheetData sheetId="2">
        <row r="395">
          <cell r="A395" t="str">
            <v>ABY_GXP</v>
          </cell>
          <cell r="B395">
            <v>4.5704399999999996</v>
          </cell>
        </row>
        <row r="396">
          <cell r="A396" t="str">
            <v>ABY</v>
          </cell>
          <cell r="B396">
            <v>4.3</v>
          </cell>
        </row>
        <row r="397">
          <cell r="A397" t="str">
            <v>CB2732_Raincliff</v>
          </cell>
          <cell r="B397">
            <v>0.89</v>
          </cell>
        </row>
        <row r="398">
          <cell r="A398" t="str">
            <v>CB2742_Cave</v>
          </cell>
          <cell r="B398">
            <v>1.33</v>
          </cell>
        </row>
        <row r="399">
          <cell r="A399" t="str">
            <v>CB2722_Fairlie</v>
          </cell>
          <cell r="B399">
            <v>2.901514192331307</v>
          </cell>
        </row>
        <row r="400">
          <cell r="A400" t="str">
            <v>FLE</v>
          </cell>
          <cell r="B400">
            <v>2.982077968053257</v>
          </cell>
        </row>
        <row r="401">
          <cell r="A401" t="str">
            <v>F374_Cricklewood</v>
          </cell>
          <cell r="B401">
            <v>0.55000000000000004</v>
          </cell>
        </row>
        <row r="402">
          <cell r="A402" t="str">
            <v>F380_Fairlie Rural</v>
          </cell>
          <cell r="B402">
            <v>1.9525599301829448</v>
          </cell>
        </row>
        <row r="403">
          <cell r="A403" t="str">
            <v>F383_Fairlie Township</v>
          </cell>
          <cell r="B403">
            <v>1.0988860346259279</v>
          </cell>
        </row>
        <row r="404">
          <cell r="A404" t="str">
            <v>BPD_GXP</v>
          </cell>
          <cell r="B404">
            <v>14.936</v>
          </cell>
        </row>
        <row r="405">
          <cell r="A405" t="str">
            <v>BPD</v>
          </cell>
          <cell r="B405">
            <v>15.05</v>
          </cell>
        </row>
        <row r="406">
          <cell r="A406" t="str">
            <v>CB11_Waihao Downs</v>
          </cell>
          <cell r="B406">
            <v>3.9701569780461221</v>
          </cell>
        </row>
        <row r="407">
          <cell r="A407" t="str">
            <v>CB12_Ikawai</v>
          </cell>
          <cell r="B407">
            <v>2.3901892380459921</v>
          </cell>
        </row>
        <row r="408">
          <cell r="A408" t="str">
            <v>CB13_Waikakahi</v>
          </cell>
          <cell r="B408">
            <v>1.0474638088397148</v>
          </cell>
        </row>
        <row r="409">
          <cell r="A409" t="str">
            <v>CB2_Tawai</v>
          </cell>
          <cell r="B409">
            <v>2.71931396204883</v>
          </cell>
        </row>
        <row r="410">
          <cell r="A410" t="str">
            <v>CB1_Waihuna</v>
          </cell>
          <cell r="B410">
            <v>2.764137621759466</v>
          </cell>
        </row>
        <row r="411">
          <cell r="A411" t="str">
            <v>CB3602_CNR</v>
          </cell>
          <cell r="B411">
            <v>4.6061736902499835</v>
          </cell>
        </row>
        <row r="412">
          <cell r="A412" t="str">
            <v>CNR</v>
          </cell>
          <cell r="B412">
            <v>4.6383568916644045</v>
          </cell>
        </row>
        <row r="413">
          <cell r="A413" t="str">
            <v>CB8_Drier 2</v>
          </cell>
          <cell r="B413">
            <v>1.2443454837362171</v>
          </cell>
        </row>
        <row r="414">
          <cell r="A414" t="str">
            <v>CB9_WetProcess</v>
          </cell>
          <cell r="B414">
            <v>2.0003014835707837</v>
          </cell>
        </row>
        <row r="415">
          <cell r="A415" t="str">
            <v>CB11_Boiler/Chiller 1</v>
          </cell>
          <cell r="B415">
            <v>1.3027301451780715</v>
          </cell>
        </row>
        <row r="416">
          <cell r="A416" t="str">
            <v>CB12_Office</v>
          </cell>
          <cell r="B416">
            <v>0.43179576299482136</v>
          </cell>
        </row>
        <row r="417">
          <cell r="A417" t="str">
            <v>STU_GXP</v>
          </cell>
          <cell r="B417">
            <v>15.132</v>
          </cell>
        </row>
        <row r="418">
          <cell r="A418" t="str">
            <v>CB1_Otaio</v>
          </cell>
          <cell r="B418">
            <v>4.4031830485992938</v>
          </cell>
        </row>
        <row r="419">
          <cell r="A419" t="str">
            <v>CB2_Glenavy</v>
          </cell>
          <cell r="B419">
            <v>2.1529941471140743</v>
          </cell>
        </row>
        <row r="420">
          <cell r="A420" t="str">
            <v>CB3_Waimate</v>
          </cell>
          <cell r="B420">
            <v>4.3733915530066065</v>
          </cell>
        </row>
        <row r="421">
          <cell r="A421" t="str">
            <v>CB7_Waihaorunga</v>
          </cell>
          <cell r="B421">
            <v>0.8380720103918059</v>
          </cell>
        </row>
        <row r="422">
          <cell r="A422" t="str">
            <v>CB8_Mt Studholme</v>
          </cell>
          <cell r="B422">
            <v>3.7989742786100891</v>
          </cell>
        </row>
        <row r="423">
          <cell r="A423" t="str">
            <v>CB9_Morven</v>
          </cell>
          <cell r="B423">
            <v>3.9689720003358655</v>
          </cell>
        </row>
        <row r="424">
          <cell r="A424" t="str">
            <v>TIM_GXP</v>
          </cell>
          <cell r="B424">
            <v>65.456000000000003</v>
          </cell>
        </row>
        <row r="425">
          <cell r="A425" t="str">
            <v>TIM</v>
          </cell>
          <cell r="B425">
            <v>65.352024901504208</v>
          </cell>
        </row>
        <row r="426">
          <cell r="A426" t="str">
            <v>TIM_NST_SUBTRANS</v>
          </cell>
          <cell r="B426">
            <v>6.502023283831285</v>
          </cell>
        </row>
        <row r="427">
          <cell r="A427" t="str">
            <v>TIM_GRM_SUBTRANS</v>
          </cell>
          <cell r="B427">
            <v>23.750919533264057</v>
          </cell>
        </row>
        <row r="428">
          <cell r="A428" t="str">
            <v>TIM_WSS_SUBTRANS</v>
          </cell>
          <cell r="B428">
            <v>11.937151106228953</v>
          </cell>
        </row>
        <row r="429">
          <cell r="A429" t="str">
            <v>WSS</v>
          </cell>
          <cell r="B429">
            <v>11.937151106228953</v>
          </cell>
        </row>
        <row r="430">
          <cell r="A430" t="str">
            <v>CB2662_Waipopo</v>
          </cell>
          <cell r="B430">
            <v>2.2799999999999998</v>
          </cell>
        </row>
        <row r="431">
          <cell r="A431" t="str">
            <v>CB2672_Washdyke</v>
          </cell>
          <cell r="B431">
            <v>2.75</v>
          </cell>
        </row>
        <row r="432">
          <cell r="A432" t="str">
            <v>CB2682_Showgrounds Hill</v>
          </cell>
          <cell r="B432">
            <v>0.43</v>
          </cell>
        </row>
        <row r="433">
          <cell r="A433" t="str">
            <v>CB2692_North ST.1</v>
          </cell>
          <cell r="B433">
            <v>3.43</v>
          </cell>
        </row>
        <row r="434">
          <cell r="A434" t="str">
            <v>CB2702_Morgans Rd</v>
          </cell>
          <cell r="B434">
            <v>2.6</v>
          </cell>
        </row>
        <row r="435">
          <cell r="A435" t="str">
            <v>CB2712_Mountain View Rd</v>
          </cell>
          <cell r="B435">
            <v>4</v>
          </cell>
        </row>
        <row r="436">
          <cell r="A436" t="str">
            <v>CB2732_ATM_T1</v>
          </cell>
          <cell r="B436">
            <v>5.53</v>
          </cell>
        </row>
        <row r="437">
          <cell r="A437" t="str">
            <v>CB2742_Levels Plain</v>
          </cell>
          <cell r="B437">
            <v>1.57</v>
          </cell>
        </row>
        <row r="438">
          <cell r="A438" t="str">
            <v>CB2762_AEL Yard</v>
          </cell>
          <cell r="B438">
            <v>1.3</v>
          </cell>
        </row>
        <row r="439">
          <cell r="A439" t="str">
            <v>CB2832_Grants Rd</v>
          </cell>
          <cell r="B439">
            <v>2.64</v>
          </cell>
        </row>
        <row r="440">
          <cell r="A440" t="str">
            <v>CB2852_Hadlow</v>
          </cell>
          <cell r="B440">
            <v>2.94</v>
          </cell>
        </row>
        <row r="441">
          <cell r="A441" t="str">
            <v>CB2862_Meadows Rd</v>
          </cell>
          <cell r="B441">
            <v>0.87</v>
          </cell>
        </row>
        <row r="442">
          <cell r="A442" t="str">
            <v>CB2922_ATM_T2</v>
          </cell>
          <cell r="B442">
            <v>9.43</v>
          </cell>
        </row>
        <row r="443">
          <cell r="A443" t="str">
            <v>CB2942_Old North Rd</v>
          </cell>
          <cell r="B443">
            <v>4.0599999999999996</v>
          </cell>
        </row>
        <row r="444">
          <cell r="A444" t="str">
            <v>CB2952_Highfield</v>
          </cell>
          <cell r="B444">
            <v>2.79</v>
          </cell>
        </row>
        <row r="445">
          <cell r="A445" t="str">
            <v>CB2972_Smithfield</v>
          </cell>
          <cell r="B445">
            <v>3.87</v>
          </cell>
        </row>
        <row r="446">
          <cell r="A446" t="str">
            <v>CB2982_North ST.2</v>
          </cell>
          <cell r="B446">
            <v>3.34</v>
          </cell>
        </row>
        <row r="447">
          <cell r="A447" t="str">
            <v>CB2992_Goulds Road</v>
          </cell>
          <cell r="B447">
            <v>0.64</v>
          </cell>
        </row>
        <row r="448">
          <cell r="A448" t="str">
            <v>CB3002_Elginshire</v>
          </cell>
          <cell r="B448">
            <v>5.39</v>
          </cell>
        </row>
        <row r="449">
          <cell r="A449" t="str">
            <v>CB3012_Arowhenua</v>
          </cell>
          <cell r="B449">
            <v>1.19</v>
          </cell>
        </row>
        <row r="450">
          <cell r="A450" t="str">
            <v>GRM</v>
          </cell>
          <cell r="B450">
            <v>23.750919533264057</v>
          </cell>
        </row>
        <row r="451">
          <cell r="A451" t="str">
            <v>GRM_HNT_SUBTRANS</v>
          </cell>
          <cell r="B451">
            <v>9.3806280193974576</v>
          </cell>
        </row>
        <row r="452">
          <cell r="A452" t="str">
            <v>GRM_NST_SUBTRANS</v>
          </cell>
          <cell r="B452">
            <v>4.8110946279742333</v>
          </cell>
        </row>
        <row r="453">
          <cell r="A453" t="str">
            <v>CB2_White St</v>
          </cell>
          <cell r="B453">
            <v>1.32</v>
          </cell>
        </row>
        <row r="454">
          <cell r="A454" t="str">
            <v>CB4_GRM-HNT A</v>
          </cell>
          <cell r="B454">
            <v>4.87</v>
          </cell>
        </row>
        <row r="455">
          <cell r="A455" t="str">
            <v>CB5_Nile St</v>
          </cell>
          <cell r="B455">
            <v>1.54</v>
          </cell>
        </row>
        <row r="456">
          <cell r="A456" t="str">
            <v>CB6_Parkview Terrace</v>
          </cell>
          <cell r="B456">
            <v>1.82</v>
          </cell>
        </row>
        <row r="457">
          <cell r="A457" t="str">
            <v>CB7_Douglas St</v>
          </cell>
          <cell r="B457">
            <v>1.1200000000000001</v>
          </cell>
        </row>
        <row r="458">
          <cell r="A458" t="str">
            <v>CB9_GRM-NST A</v>
          </cell>
          <cell r="B458">
            <v>3.27</v>
          </cell>
        </row>
        <row r="459">
          <cell r="A459" t="str">
            <v>CB10_Ashbury Park</v>
          </cell>
          <cell r="B459">
            <v>1</v>
          </cell>
        </row>
        <row r="460">
          <cell r="A460" t="str">
            <v>CB12_Selwyn St</v>
          </cell>
          <cell r="B460">
            <v>1.67</v>
          </cell>
        </row>
        <row r="461">
          <cell r="A461" t="str">
            <v>CB13_GRM-HNT B</v>
          </cell>
          <cell r="B461">
            <v>5.01</v>
          </cell>
        </row>
        <row r="462">
          <cell r="A462" t="str">
            <v>CB15_Park Lane</v>
          </cell>
          <cell r="B462">
            <v>1.83</v>
          </cell>
        </row>
        <row r="463">
          <cell r="A463" t="str">
            <v>CB16_Evans St</v>
          </cell>
          <cell r="B463">
            <v>1.97</v>
          </cell>
        </row>
        <row r="464">
          <cell r="A464" t="str">
            <v>CB17_June St</v>
          </cell>
          <cell r="B464">
            <v>1.1000000000000001</v>
          </cell>
        </row>
        <row r="465">
          <cell r="A465" t="str">
            <v>CB18_GRM-NST B</v>
          </cell>
          <cell r="B465">
            <v>3.52</v>
          </cell>
        </row>
        <row r="466">
          <cell r="A466" t="str">
            <v>CB20_Hobbs St</v>
          </cell>
          <cell r="B466">
            <v>1.51</v>
          </cell>
        </row>
        <row r="467">
          <cell r="A467" t="str">
            <v>NST</v>
          </cell>
          <cell r="B467">
            <v>11.353378117897352</v>
          </cell>
        </row>
        <row r="468">
          <cell r="A468" t="str">
            <v>CB3_Redruth 1</v>
          </cell>
          <cell r="B468">
            <v>0.41</v>
          </cell>
        </row>
        <row r="469">
          <cell r="A469" t="str">
            <v>CB4_Rose St</v>
          </cell>
          <cell r="B469">
            <v>1.26</v>
          </cell>
        </row>
        <row r="470">
          <cell r="A470" t="str">
            <v>CB5_Craigie Ave</v>
          </cell>
          <cell r="B470">
            <v>1.27</v>
          </cell>
        </row>
        <row r="471">
          <cell r="A471" t="str">
            <v>CB8_Barnard St</v>
          </cell>
          <cell r="B471">
            <v>1.23</v>
          </cell>
        </row>
        <row r="472">
          <cell r="A472" t="str">
            <v>CB9_Port 1</v>
          </cell>
          <cell r="B472">
            <v>3.52</v>
          </cell>
        </row>
        <row r="473">
          <cell r="A473" t="str">
            <v>CB10_Fraser St</v>
          </cell>
          <cell r="B473">
            <v>0.99</v>
          </cell>
        </row>
        <row r="474">
          <cell r="A474" t="str">
            <v>CB11_Hayes St</v>
          </cell>
          <cell r="B474">
            <v>1.1299999999999999</v>
          </cell>
        </row>
        <row r="475">
          <cell r="A475" t="str">
            <v>CB12_High St</v>
          </cell>
          <cell r="B475">
            <v>0.83</v>
          </cell>
        </row>
        <row r="476">
          <cell r="A476" t="str">
            <v>CB13_Port 2</v>
          </cell>
          <cell r="B476">
            <v>2.0099999999999998</v>
          </cell>
        </row>
        <row r="477">
          <cell r="A477" t="str">
            <v>CB16_Victoria St</v>
          </cell>
          <cell r="B477">
            <v>1.45</v>
          </cell>
        </row>
        <row r="478">
          <cell r="A478" t="str">
            <v>CB17_Stafford St</v>
          </cell>
          <cell r="B478">
            <v>1.1299999999999999</v>
          </cell>
        </row>
        <row r="479">
          <cell r="A479" t="str">
            <v>CB18_Redruth 2</v>
          </cell>
          <cell r="B479">
            <v>1.34</v>
          </cell>
        </row>
        <row r="480">
          <cell r="A480" t="str">
            <v>HNT</v>
          </cell>
          <cell r="B480">
            <v>9.3806280193974576</v>
          </cell>
        </row>
        <row r="481">
          <cell r="A481" t="str">
            <v>HNT_NST_SUBTRANS</v>
          </cell>
          <cell r="B481">
            <v>2.353163680679728</v>
          </cell>
        </row>
        <row r="482">
          <cell r="A482" t="str">
            <v>CB1_Harper St</v>
          </cell>
          <cell r="B482">
            <v>1.04</v>
          </cell>
        </row>
        <row r="483">
          <cell r="A483" t="str">
            <v>CB2_Wilson St</v>
          </cell>
          <cell r="B483">
            <v>0.94</v>
          </cell>
        </row>
        <row r="484">
          <cell r="A484" t="str">
            <v>CB3_HNT-GRM A</v>
          </cell>
          <cell r="B484">
            <v>5.0599999999999996</v>
          </cell>
        </row>
        <row r="485">
          <cell r="A485" t="str">
            <v>CB4_Baker St</v>
          </cell>
          <cell r="B485">
            <v>1.23</v>
          </cell>
        </row>
        <row r="486">
          <cell r="A486" t="str">
            <v>CB5_Le Cren St</v>
          </cell>
          <cell r="B486">
            <v>2.08</v>
          </cell>
        </row>
        <row r="487">
          <cell r="A487" t="str">
            <v>CB6_HNT-NST A</v>
          </cell>
          <cell r="B487">
            <v>2.6</v>
          </cell>
        </row>
        <row r="488">
          <cell r="A488" t="str">
            <v>CB7_Church St SS</v>
          </cell>
          <cell r="B488">
            <v>0.84</v>
          </cell>
        </row>
        <row r="489">
          <cell r="A489" t="str">
            <v>CB10_Gibson St</v>
          </cell>
          <cell r="B489">
            <v>0.84</v>
          </cell>
        </row>
        <row r="490">
          <cell r="A490" t="str">
            <v>CB11_Rhodes St</v>
          </cell>
          <cell r="B490">
            <v>1.53</v>
          </cell>
        </row>
        <row r="491">
          <cell r="A491" t="str">
            <v>CB13_Clifton Terrace</v>
          </cell>
          <cell r="B491">
            <v>1.32</v>
          </cell>
        </row>
        <row r="492">
          <cell r="A492" t="str">
            <v>CB14_Church St NS</v>
          </cell>
          <cell r="B492">
            <v>0.69</v>
          </cell>
        </row>
        <row r="493">
          <cell r="A493" t="str">
            <v>CB15_HNT-NST B</v>
          </cell>
          <cell r="B493">
            <v>2.31</v>
          </cell>
        </row>
        <row r="494">
          <cell r="A494" t="str">
            <v>CB16_Arthur St</v>
          </cell>
          <cell r="B494">
            <v>1.54</v>
          </cell>
        </row>
        <row r="495">
          <cell r="A495" t="str">
            <v>ATM</v>
          </cell>
          <cell r="B495">
            <v>6.9</v>
          </cell>
        </row>
        <row r="496">
          <cell r="A496" t="str">
            <v>L413_L418_Pareora</v>
          </cell>
          <cell r="B496">
            <v>9.9555795650862162</v>
          </cell>
        </row>
        <row r="497">
          <cell r="A497" t="str">
            <v>PAR</v>
          </cell>
          <cell r="B497">
            <v>9.68</v>
          </cell>
        </row>
        <row r="498">
          <cell r="A498" t="str">
            <v>CB3_Works No. 1</v>
          </cell>
          <cell r="B498">
            <v>2.56</v>
          </cell>
        </row>
        <row r="499">
          <cell r="A499" t="str">
            <v>CB4_St Andrews</v>
          </cell>
          <cell r="B499">
            <v>3.04</v>
          </cell>
        </row>
        <row r="500">
          <cell r="A500" t="str">
            <v>CB5_Works No. 2</v>
          </cell>
          <cell r="B500">
            <v>2.58</v>
          </cell>
        </row>
        <row r="501">
          <cell r="A501" t="str">
            <v>CB6_Normanby</v>
          </cell>
          <cell r="B501">
            <v>2.06</v>
          </cell>
        </row>
        <row r="502">
          <cell r="A502" t="str">
            <v>CB7_Holmestation</v>
          </cell>
          <cell r="B502">
            <v>1.69</v>
          </cell>
        </row>
        <row r="503">
          <cell r="A503" t="str">
            <v>ATM_2</v>
          </cell>
          <cell r="B503">
            <v>9.7441548227010113</v>
          </cell>
        </row>
        <row r="504">
          <cell r="A504" t="str">
            <v>L269_PleasantPoint</v>
          </cell>
          <cell r="B504">
            <v>5.47</v>
          </cell>
        </row>
        <row r="505">
          <cell r="A505" t="str">
            <v>PLP</v>
          </cell>
          <cell r="B505">
            <v>4.96</v>
          </cell>
        </row>
        <row r="506">
          <cell r="A506" t="str">
            <v>CB1_Waitawa</v>
          </cell>
          <cell r="B506">
            <v>1.64</v>
          </cell>
        </row>
        <row r="507">
          <cell r="A507" t="str">
            <v>CB2_Sutherlands</v>
          </cell>
          <cell r="B507">
            <v>0.62</v>
          </cell>
        </row>
        <row r="508">
          <cell r="A508" t="str">
            <v>CB4_Totara Valley</v>
          </cell>
          <cell r="B508">
            <v>2.25</v>
          </cell>
        </row>
        <row r="509">
          <cell r="A509" t="str">
            <v>CB5_Pleasant Point Township</v>
          </cell>
          <cell r="B509">
            <v>1.25</v>
          </cell>
        </row>
        <row r="510">
          <cell r="A510" t="str">
            <v>TKA_GXP</v>
          </cell>
          <cell r="B510">
            <v>5.0540000000000003</v>
          </cell>
        </row>
        <row r="511">
          <cell r="A511" t="str">
            <v>TEK</v>
          </cell>
          <cell r="B511">
            <v>4.6532064560580153</v>
          </cell>
        </row>
        <row r="512">
          <cell r="A512" t="str">
            <v>M200_Haldon_Lilybank</v>
          </cell>
          <cell r="B512">
            <v>1.34</v>
          </cell>
        </row>
        <row r="513">
          <cell r="A513" t="str">
            <v>M201_Simons</v>
          </cell>
          <cell r="B513">
            <v>0.55000000000000004</v>
          </cell>
        </row>
        <row r="514">
          <cell r="A514" t="str">
            <v>M204_Lakeside_Drive</v>
          </cell>
          <cell r="B514">
            <v>0</v>
          </cell>
        </row>
        <row r="515">
          <cell r="A515" t="str">
            <v>M205_Godley</v>
          </cell>
          <cell r="B515">
            <v>0.2525</v>
          </cell>
        </row>
        <row r="516">
          <cell r="A516" t="str">
            <v>M206_Tekapo Township</v>
          </cell>
          <cell r="B516">
            <v>3.07</v>
          </cell>
        </row>
        <row r="517">
          <cell r="A517" t="str">
            <v>HLB</v>
          </cell>
          <cell r="B517">
            <v>0.47648000000000007</v>
          </cell>
        </row>
        <row r="518">
          <cell r="A518" t="str">
            <v>M32_Lilybank</v>
          </cell>
          <cell r="B518">
            <v>0.17629760000000003</v>
          </cell>
        </row>
        <row r="519">
          <cell r="A519" t="str">
            <v>M33_Haldon</v>
          </cell>
          <cell r="B519">
            <v>0.30494720000000003</v>
          </cell>
        </row>
        <row r="520">
          <cell r="A520" t="str">
            <v>OMR</v>
          </cell>
          <cell r="B520">
            <v>0.38</v>
          </cell>
        </row>
        <row r="521">
          <cell r="A521" t="str">
            <v>M338_Old Man Range</v>
          </cell>
          <cell r="B521">
            <v>0.38</v>
          </cell>
        </row>
        <row r="522">
          <cell r="A522" t="str">
            <v>TKA_M11</v>
          </cell>
          <cell r="B522">
            <v>1.5708</v>
          </cell>
        </row>
        <row r="523">
          <cell r="A523" t="str">
            <v>SBT_33kV</v>
          </cell>
          <cell r="B523">
            <v>5.0540000000000003</v>
          </cell>
        </row>
        <row r="524">
          <cell r="A524" t="str">
            <v>UHT</v>
          </cell>
          <cell r="B524">
            <v>1.02</v>
          </cell>
        </row>
        <row r="525">
          <cell r="A525" t="str">
            <v>M158_Village</v>
          </cell>
          <cell r="B525">
            <v>0.71</v>
          </cell>
        </row>
        <row r="526">
          <cell r="A526" t="str">
            <v>M159_Village</v>
          </cell>
          <cell r="B526">
            <v>0.32</v>
          </cell>
        </row>
        <row r="527">
          <cell r="A527" t="str">
            <v>TMK_GXP</v>
          </cell>
          <cell r="B527">
            <v>56.631999999999998</v>
          </cell>
        </row>
        <row r="528">
          <cell r="A528" t="str">
            <v>CB1192_Clandeboye No.1</v>
          </cell>
          <cell r="B528">
            <v>8.6998556475086399</v>
          </cell>
        </row>
        <row r="529">
          <cell r="A529" t="str">
            <v>CB1202_Rangitata</v>
          </cell>
          <cell r="B529">
            <v>5.6462639301711715</v>
          </cell>
        </row>
        <row r="530">
          <cell r="A530" t="str">
            <v>CB1212_Temuka No.1</v>
          </cell>
          <cell r="B530">
            <v>7.1442523198084213</v>
          </cell>
        </row>
        <row r="531">
          <cell r="A531" t="str">
            <v>CB1222_Clandeboye No.3</v>
          </cell>
          <cell r="B531">
            <v>8.8727004616975531</v>
          </cell>
        </row>
        <row r="532">
          <cell r="A532" t="str">
            <v>CB1262_Temuka No.2</v>
          </cell>
          <cell r="B532">
            <v>6.9714075056195082</v>
          </cell>
        </row>
        <row r="533">
          <cell r="A533" t="str">
            <v>CB1272_Clandeboye No.2</v>
          </cell>
          <cell r="B533">
            <v>10.658763541649661</v>
          </cell>
        </row>
        <row r="534">
          <cell r="A534" t="str">
            <v>CB1282_Clandeboye No.4</v>
          </cell>
          <cell r="B534">
            <v>11.811062302909084</v>
          </cell>
        </row>
        <row r="535">
          <cell r="A535" t="str">
            <v>CB1292_Geraldine</v>
          </cell>
          <cell r="B535">
            <v>6.9137925675565368</v>
          </cell>
        </row>
        <row r="536">
          <cell r="A536" t="str">
            <v>TMK</v>
          </cell>
          <cell r="B536">
            <v>14.549666113661599</v>
          </cell>
        </row>
        <row r="537">
          <cell r="A537" t="str">
            <v>CB1_Temuka West</v>
          </cell>
          <cell r="B537">
            <v>3.3778815115776215</v>
          </cell>
        </row>
        <row r="538">
          <cell r="A538" t="str">
            <v>CB2_Milford</v>
          </cell>
          <cell r="B538">
            <v>2.6</v>
          </cell>
        </row>
        <row r="539">
          <cell r="A539" t="str">
            <v>CB3_Winchester</v>
          </cell>
          <cell r="B539">
            <v>3.0726137921265146</v>
          </cell>
        </row>
        <row r="540">
          <cell r="A540" t="str">
            <v>CB7_Rangitata</v>
          </cell>
          <cell r="B540">
            <v>3.1627857428091954</v>
          </cell>
        </row>
        <row r="541">
          <cell r="A541" t="str">
            <v>CB8_Temuka East</v>
          </cell>
          <cell r="B541">
            <v>3.6547990234104413</v>
          </cell>
        </row>
        <row r="542">
          <cell r="A542" t="str">
            <v>CB9_Waitohi</v>
          </cell>
          <cell r="B542">
            <v>1.8767837443306248</v>
          </cell>
        </row>
        <row r="543">
          <cell r="A543" t="str">
            <v>GLD</v>
          </cell>
          <cell r="B543">
            <v>6.8689878994365943</v>
          </cell>
        </row>
        <row r="544">
          <cell r="A544" t="str">
            <v>G194_Speechly</v>
          </cell>
          <cell r="B544">
            <v>2.1032195961463649</v>
          </cell>
        </row>
        <row r="545">
          <cell r="A545" t="str">
            <v>G191_Geraldine Township</v>
          </cell>
          <cell r="B545">
            <v>4.0239004361440145</v>
          </cell>
        </row>
        <row r="546">
          <cell r="A546" t="str">
            <v>G156_Woodbury</v>
          </cell>
          <cell r="B546">
            <v>2.4692116312701913</v>
          </cell>
        </row>
        <row r="547">
          <cell r="A547" t="str">
            <v>RGA_T1</v>
          </cell>
          <cell r="B547">
            <v>5.1315704834752953</v>
          </cell>
        </row>
        <row r="548">
          <cell r="A548" t="str">
            <v>CB2_Arundel</v>
          </cell>
          <cell r="B548">
            <v>1.8392078304396509</v>
          </cell>
        </row>
        <row r="549">
          <cell r="A549" t="str">
            <v>CB3_Mahan Road</v>
          </cell>
          <cell r="B549">
            <v>2.9187910527266454</v>
          </cell>
        </row>
        <row r="550">
          <cell r="A550" t="str">
            <v>CB4_Main South Road</v>
          </cell>
          <cell r="B550">
            <v>1.7074927658450876</v>
          </cell>
        </row>
        <row r="551">
          <cell r="A551" t="str">
            <v>RGA_T2</v>
          </cell>
          <cell r="B551">
            <v>5.5125972738650786</v>
          </cell>
        </row>
        <row r="552">
          <cell r="A552" t="str">
            <v>CB11_Belfield</v>
          </cell>
          <cell r="B552">
            <v>2.4006132740621995</v>
          </cell>
        </row>
        <row r="553">
          <cell r="A553" t="str">
            <v>CB12_Orton</v>
          </cell>
          <cell r="B553">
            <v>0.64656763826223163</v>
          </cell>
        </row>
        <row r="554">
          <cell r="A554" t="str">
            <v>CB13_Rangitata Island</v>
          </cell>
          <cell r="B554">
            <v>1.563400549318076</v>
          </cell>
        </row>
        <row r="555">
          <cell r="A555" t="str">
            <v>CD_1</v>
          </cell>
          <cell r="B555">
            <v>13.96</v>
          </cell>
        </row>
        <row r="556">
          <cell r="A556" t="str">
            <v>T600_Tie to Milk Powder 2</v>
          </cell>
          <cell r="B556">
            <v>0</v>
          </cell>
        </row>
        <row r="557">
          <cell r="A557" t="str">
            <v>T601_Fire Services</v>
          </cell>
          <cell r="B557">
            <v>3.8559940452176424</v>
          </cell>
        </row>
        <row r="558">
          <cell r="A558" t="str">
            <v>T602_Whey Processing</v>
          </cell>
          <cell r="B558">
            <v>3.0704189373431636</v>
          </cell>
        </row>
        <row r="559">
          <cell r="A559" t="str">
            <v>T603_Lactose Plant</v>
          </cell>
          <cell r="B559">
            <v>0</v>
          </cell>
        </row>
        <row r="560">
          <cell r="A560" t="str">
            <v>T605_Tie to Milford</v>
          </cell>
          <cell r="B560">
            <v>0</v>
          </cell>
        </row>
        <row r="561">
          <cell r="A561" t="str">
            <v>T609_Milk Reception</v>
          </cell>
          <cell r="B561">
            <v>0.74515319894776011</v>
          </cell>
        </row>
        <row r="562">
          <cell r="A562" t="str">
            <v>T610_Chilled Water 1</v>
          </cell>
          <cell r="B562">
            <v>2.518595863895595</v>
          </cell>
        </row>
        <row r="563">
          <cell r="A563" t="str">
            <v>T611_Effluent Plant</v>
          </cell>
          <cell r="B563">
            <v>1.847153204755382</v>
          </cell>
        </row>
        <row r="564">
          <cell r="A564" t="str">
            <v>T612_Milk Treatment</v>
          </cell>
          <cell r="B564">
            <v>1.0059751090360036</v>
          </cell>
        </row>
        <row r="565">
          <cell r="A565" t="str">
            <v>T613_Rolleston Rd</v>
          </cell>
          <cell r="B565">
            <v>2.5286556149859547</v>
          </cell>
        </row>
        <row r="566">
          <cell r="A566" t="str">
            <v>T614_Tie to Powder Handling</v>
          </cell>
          <cell r="B566">
            <v>1.1522987612594224</v>
          </cell>
        </row>
        <row r="567">
          <cell r="A567" t="str">
            <v>CD_2</v>
          </cell>
          <cell r="B567">
            <v>20.07</v>
          </cell>
        </row>
        <row r="568">
          <cell r="A568" t="str">
            <v>CB2_Mozz3_1</v>
          </cell>
          <cell r="B568">
            <v>3.585112384039038</v>
          </cell>
        </row>
        <row r="569">
          <cell r="A569" t="str">
            <v>CB15_Mozz3_2</v>
          </cell>
          <cell r="B569">
            <v>1.992013620456567</v>
          </cell>
        </row>
        <row r="570">
          <cell r="A570" t="str">
            <v>T650_Tie to Milk Powder 1</v>
          </cell>
          <cell r="B570">
            <v>0</v>
          </cell>
        </row>
        <row r="571">
          <cell r="A571" t="str">
            <v>T651_Milk Powder 3</v>
          </cell>
          <cell r="B571">
            <v>5.6641885775685399</v>
          </cell>
        </row>
        <row r="572">
          <cell r="A572" t="str">
            <v>T652_Tie to WPC</v>
          </cell>
          <cell r="B572">
            <v>1.0751130347115694</v>
          </cell>
        </row>
        <row r="573">
          <cell r="A573" t="str">
            <v>T653_Chilled Water 3</v>
          </cell>
          <cell r="B573">
            <v>1.1612610849581069</v>
          </cell>
        </row>
        <row r="574">
          <cell r="A574" t="str">
            <v>T654_Tie to Boiler House</v>
          </cell>
          <cell r="B574">
            <v>3.2922821750269211</v>
          </cell>
        </row>
        <row r="575">
          <cell r="A575" t="str">
            <v>T658_Milk Powder 2</v>
          </cell>
          <cell r="B575">
            <v>3.2847830878504714</v>
          </cell>
        </row>
        <row r="576">
          <cell r="A576" t="str">
            <v>T659_Tie to Energy Centre 1</v>
          </cell>
          <cell r="B576">
            <v>1.3534937830666234</v>
          </cell>
        </row>
        <row r="577">
          <cell r="A577" t="str">
            <v>T660_Refrigeration</v>
          </cell>
          <cell r="B577">
            <v>0.69503734806123907</v>
          </cell>
        </row>
        <row r="578">
          <cell r="A578" t="str">
            <v>T661_Laboratory</v>
          </cell>
          <cell r="B578">
            <v>0.53042323930989288</v>
          </cell>
        </row>
        <row r="579">
          <cell r="A579" t="str">
            <v>TWZ_GXP</v>
          </cell>
          <cell r="B579">
            <v>4.0199999999999996</v>
          </cell>
        </row>
        <row r="580">
          <cell r="A580" t="str">
            <v>TVS</v>
          </cell>
          <cell r="B580">
            <v>3.99</v>
          </cell>
        </row>
        <row r="581">
          <cell r="A581" t="str">
            <v>Z1_Urban No. 1</v>
          </cell>
          <cell r="B581">
            <v>1.76</v>
          </cell>
        </row>
        <row r="582">
          <cell r="A582" t="str">
            <v>Z2_Urban No. 2</v>
          </cell>
          <cell r="B582">
            <v>1.64</v>
          </cell>
        </row>
        <row r="583">
          <cell r="A583" t="str">
            <v>Z3_Industrial</v>
          </cell>
          <cell r="B583">
            <v>0.01</v>
          </cell>
        </row>
        <row r="584">
          <cell r="A584" t="str">
            <v>Z4_Twizel Rural</v>
          </cell>
          <cell r="B584">
            <v>0.8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00000000-0016-0000-0F00-000000000000}" autoFormatId="0" applyNumberFormats="0" applyBorderFormats="0" applyFontFormats="1" applyPatternFormats="1" applyAlignmentFormats="0" applyWidthHeightFormats="0">
  <queryTableRefresh preserveSortFilterLayout="0" nextId="13" unboundColumnsLeft="2" unboundColumnsRight="1">
    <queryTableFields count="12">
      <queryTableField id="12" dataBound="0" tableColumnId="25"/>
      <queryTableField id="11" dataBound="0" tableColumnId="26"/>
      <queryTableField id="1" name="Source Query" tableColumnId="27"/>
      <queryTableField id="2" name="GXP" tableColumnId="28"/>
      <queryTableField id="3" name="Protection Type" tableColumnId="29"/>
      <queryTableField id="4" name="CB ID" tableColumnId="30"/>
      <queryTableField id="5" name="Location/Description" tableColumnId="31"/>
      <queryTableField id="6" name="Feeder ID" tableColumnId="32"/>
      <queryTableField id="7" name="Relay" tableColumnId="33"/>
      <queryTableField id="8" name="Voltage (kV)" tableColumnId="34"/>
      <queryTableField id="9" name="Pickup (A)" tableColumnId="35"/>
      <queryTableField id="10" dataBound="0" tableColumnId="36"/>
    </queryTableFields>
  </queryTableRefresh>
</queryTable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0000000}" name="Table9" displayName="Table9" ref="A1:G68" totalsRowShown="0" headerRowDxfId="1226">
  <autoFilter ref="A1:G68" xr:uid="{00000000-0009-0000-0100-000009000000}"/>
  <tableColumns count="7">
    <tableColumn id="1" xr3:uid="{00000000-0010-0000-0000-000001000000}" name="GXP"/>
    <tableColumn id="2" xr3:uid="{00000000-0010-0000-0000-000002000000}" name="Equipment Type"/>
    <tableColumn id="3" xr3:uid="{00000000-0010-0000-0000-000003000000}" name="Device"/>
    <tableColumn id="5" xr3:uid="{00000000-0010-0000-0000-000005000000}" name="Source 1"/>
    <tableColumn id="6" xr3:uid="{00000000-0010-0000-0000-000006000000}" name="Source 2" dataCellStyle="Hyperlink"/>
    <tableColumn id="7" xr3:uid="{00000000-0010-0000-0000-000007000000}" name="Source 3"/>
    <tableColumn id="8" xr3:uid="{00000000-0010-0000-0000-000008000000}" name="Source 4"/>
  </tableColumns>
  <tableStyleInfo name="TableStyleMedium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1000000}" name="Table8" displayName="Table8" ref="A3:J11" totalsRowShown="0" headerRowDxfId="1166" dataDxfId="1165">
  <autoFilter ref="A3:J11" xr:uid="{00000000-0009-0000-0100-000008000000}"/>
  <tableColumns count="10">
    <tableColumn id="9" xr3:uid="{00000000-0010-0000-0100-000009000000}" name="Column9" dataDxfId="1164"/>
    <tableColumn id="10" xr3:uid="{00000000-0010-0000-0100-00000A000000}" name="Column10" dataDxfId="1163"/>
    <tableColumn id="1" xr3:uid="{00000000-0010-0000-0100-000001000000}" name="Column1" dataDxfId="1162"/>
    <tableColumn id="2" xr3:uid="{00000000-0010-0000-0100-000002000000}" name="Column2" dataDxfId="1161"/>
    <tableColumn id="3" xr3:uid="{00000000-0010-0000-0100-000003000000}" name="Column3" dataDxfId="1160"/>
    <tableColumn id="4" xr3:uid="{00000000-0010-0000-0100-000004000000}" name="Column4" dataDxfId="1159"/>
    <tableColumn id="5" xr3:uid="{00000000-0010-0000-0100-000005000000}" name="Column5" dataDxfId="1158"/>
    <tableColumn id="6" xr3:uid="{00000000-0010-0000-0100-000006000000}" name="Column6" dataDxfId="1157"/>
    <tableColumn id="7" xr3:uid="{00000000-0010-0000-0100-000007000000}" name="Column7" dataDxfId="1156"/>
    <tableColumn id="8" xr3:uid="{00000000-0010-0000-0100-000008000000}" name="Column8" dataDxfId="1155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2000000}" name="Table10" displayName="Table10" ref="A16:K198" totalsRowShown="0" tableBorderDxfId="1154">
  <autoFilter ref="A16:K198" xr:uid="{00000000-0009-0000-0100-00000A000000}"/>
  <tableColumns count="11">
    <tableColumn id="10" xr3:uid="{00000000-0010-0000-0200-00000A000000}" name="Column9" dataDxfId="1153"/>
    <tableColumn id="11" xr3:uid="{00000000-0010-0000-0200-00000B000000}" name="Column10" dataDxfId="1152"/>
    <tableColumn id="1" xr3:uid="{00000000-0010-0000-0200-000001000000}" name="Column1" dataDxfId="1151"/>
    <tableColumn id="2" xr3:uid="{00000000-0010-0000-0200-000002000000}" name="Column2" dataDxfId="1150"/>
    <tableColumn id="3" xr3:uid="{00000000-0010-0000-0200-000003000000}" name="Column3" dataDxfId="1149">
      <calculatedColumnFormula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calculatedColumnFormula>
    </tableColumn>
    <tableColumn id="4" xr3:uid="{00000000-0010-0000-0200-000004000000}" name="Column4" dataDxfId="1148"/>
    <tableColumn id="5" xr3:uid="{00000000-0010-0000-0200-000005000000}" name="Column5" dataDxfId="1147">
      <calculatedColumnFormula>IF(Table10[[#This Row],[Ref]]="RGA",IFERROR(VLOOKUP(Table10[[#This Row],[Ref]]&amp;"_T2",Summary!$A$4:$K$228,6,0),""),IFERROR(VLOOKUP(Table10[[#This Row],[Ref]],Summary!$A$4:$K$228,6,0),""))</calculatedColumnFormula>
    </tableColumn>
    <tableColumn id="6" xr3:uid="{00000000-0010-0000-0200-000006000000}" name="Column6" dataDxfId="1146">
      <calculatedColumnFormula>IFERROR(IF(Table10[[#This Row],[Column5]]-Table10[[#This Row],[Column3]]=0,"",Table10[[#This Row],[Column5]]-Table10[[#This Row],[Column3]]),"")</calculatedColumnFormula>
    </tableColumn>
    <tableColumn id="7" xr3:uid="{00000000-0010-0000-0200-000007000000}" name="Column7" dataDxfId="1145"/>
    <tableColumn id="8" xr3:uid="{00000000-0010-0000-0200-000008000000}" name="Column8" dataDxfId="1144"/>
    <tableColumn id="9" xr3:uid="{00000000-0010-0000-0200-000009000000}" name="Ref" dataDxfId="1143"/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3000000}" name="ABY" displayName="ABY" ref="A4:BL99" totalsRowCount="1" headerRowDxfId="850" dataDxfId="848" headerRowBorderDxfId="849" tableBorderDxfId="847">
  <autoFilter ref="A4:BL98" xr:uid="{00000000-0009-0000-0100-000001000000}">
    <filterColumn colId="3">
      <filters>
        <filter val="CB2722_Fairlie"/>
      </filters>
    </filterColumn>
  </autoFilter>
  <tableColumns count="64">
    <tableColumn id="60" xr3:uid="{00000000-0010-0000-0300-00003C000000}" name="Load Capability Reference" dataDxfId="846" totalsRowDxfId="845">
      <calculatedColumnFormula>CONCATENATE(ABY[[#This Row],[Supply Level]],ABY[[#This Row],[Station/Feeder]],ABY[[#This Row],[Voltage]])</calculatedColumnFormula>
    </tableColumn>
    <tableColumn id="62" xr3:uid="{00000000-0010-0000-0300-00003E000000}" name="OC Protection Reference" dataDxfId="844" totalsRowDxfId="843">
      <calculatedColumnFormula>CONCATENATE(ABY[[#This Row],[Supply Level]],ABY[[#This Row],[Station/Feeder]],ABY[[#This Row],[Equipment ID]],ABY[[#This Row],[Voltage]],ABY[[#This Row],[Device type]])</calculatedColumnFormula>
    </tableColumn>
    <tableColumn id="1" xr3:uid="{00000000-0010-0000-0300-000001000000}" name="Supply Level" dataDxfId="842" totalsRowDxfId="841"/>
    <tableColumn id="27" xr3:uid="{00000000-0010-0000-0300-00001B000000}" name="Station/Feeder" dataDxfId="840" totalsRowDxfId="839"/>
    <tableColumn id="2" xr3:uid="{00000000-0010-0000-0300-000002000000}" name="From" dataDxfId="838" totalsRowDxfId="837"/>
    <tableColumn id="3" xr3:uid="{00000000-0010-0000-0300-000003000000}" name="To" dataDxfId="836" totalsRowDxfId="835"/>
    <tableColumn id="30" xr3:uid="{00000000-0010-0000-0300-00001E000000}" name="Order" dataDxfId="834" totalsRowDxfId="833"/>
    <tableColumn id="43" xr3:uid="{00000000-0010-0000-0300-00002B000000}" name="Source of Data" dataDxfId="832" totalsRowDxfId="831"/>
    <tableColumn id="4" xr3:uid="{00000000-0010-0000-0300-000004000000}" name="Equipment ID" dataDxfId="830" totalsRowDxfId="829"/>
    <tableColumn id="5" xr3:uid="{00000000-0010-0000-0300-000005000000}" name="Equipment Type" dataDxfId="828" totalsRowDxfId="827"/>
    <tableColumn id="6" xr3:uid="{00000000-0010-0000-0300-000006000000}" name="Device ID" dataDxfId="826" totalsRowDxfId="825"/>
    <tableColumn id="7" xr3:uid="{00000000-0010-0000-0300-000007000000}" name="Device type" dataDxfId="824" totalsRowDxfId="823"/>
    <tableColumn id="8" xr3:uid="{00000000-0010-0000-0300-000008000000}" name="Voltage" dataDxfId="822" totalsRowDxfId="821"/>
    <tableColumn id="9" xr3:uid="{00000000-0010-0000-0300-000009000000}" name="Cont Winter A" totalsRowLabel="-" dataDxfId="820" totalsRowDxfId="819"/>
    <tableColumn id="10" xr3:uid="{00000000-0010-0000-0300-00000A000000}" name="Cont Winter MVA" totalsRowLabel="-" dataDxfId="818" totalsRowDxfId="817">
      <calculatedColumnFormula>IF(OR(N5="",N5="-"),"-",N5*$M5*SQRT(3)/1000)</calculatedColumnFormula>
    </tableColumn>
    <tableColumn id="23" xr3:uid="{00000000-0010-0000-0300-000017000000}" name="Cont Shoulder A" totalsRowLabel="-" dataDxfId="816" totalsRowDxfId="815"/>
    <tableColumn id="24" xr3:uid="{00000000-0010-0000-0300-000018000000}" name="Cont Shoulder MVA" totalsRowLabel="-" dataDxfId="814" totalsRowDxfId="813">
      <calculatedColumnFormula>IF(OR(P5="",P5="-"),"-",P5*$M5*SQRT(3)/1000)</calculatedColumnFormula>
    </tableColumn>
    <tableColumn id="25" xr3:uid="{00000000-0010-0000-0300-000019000000}" name="Cont Summer A" totalsRowLabel="-" dataDxfId="812" totalsRowDxfId="811"/>
    <tableColumn id="26" xr3:uid="{00000000-0010-0000-0300-00001A000000}" name="Cont Summer MVA" totalsRowLabel="-" dataDxfId="810" totalsRowDxfId="809">
      <calculatedColumnFormula>IF(OR(R5="",R5="-"),"-",R5*$M5*SQRT(3)/1000)</calculatedColumnFormula>
    </tableColumn>
    <tableColumn id="13" xr3:uid="{00000000-0010-0000-0300-00000D000000}" name="24 Hr Winter A" totalsRowLabel="-" dataDxfId="808" totalsRowDxfId="807"/>
    <tableColumn id="14" xr3:uid="{00000000-0010-0000-0300-00000E000000}" name="24 Hr Winter MVA" totalsRowLabel="-" dataDxfId="806" totalsRowDxfId="805">
      <calculatedColumnFormula>IF(OR(T5="",T5="-"),"-",T5*$M5*SQRT(3)/1000)</calculatedColumnFormula>
    </tableColumn>
    <tableColumn id="11" xr3:uid="{00000000-0010-0000-0300-00000B000000}" name="24 Hr Summer A" totalsRowLabel="-" dataDxfId="804" totalsRowDxfId="803"/>
    <tableColumn id="12" xr3:uid="{00000000-0010-0000-0300-00000C000000}" name="24 Hr Summer MVA" totalsRowLabel="-" dataDxfId="802" totalsRowDxfId="801">
      <calculatedColumnFormula>IF(OR(V5="",V5="-"),"-",V5*$M5*SQRT(3)/1000)</calculatedColumnFormula>
    </tableColumn>
    <tableColumn id="15" xr3:uid="{00000000-0010-0000-0300-00000F000000}" name="Forward A" totalsRowLabel="-" dataDxfId="800" totalsRowDxfId="799"/>
    <tableColumn id="16" xr3:uid="{00000000-0010-0000-0300-000010000000}" name="Forwards MVA" totalsRowLabel="-" dataDxfId="798" totalsRowDxfId="797">
      <calculatedColumnFormula>IF(OR(X5="",X5="-"),"-",X5*$M5*SQRT(3)/1000)</calculatedColumnFormula>
    </tableColumn>
    <tableColumn id="17" xr3:uid="{00000000-0010-0000-0300-000011000000}" name="Reverse A" totalsRowLabel="-" dataDxfId="796" totalsRowDxfId="795"/>
    <tableColumn id="18" xr3:uid="{00000000-0010-0000-0300-000012000000}" name="Reverse MVA" totalsRowLabel="-" dataDxfId="794" totalsRowDxfId="793">
      <calculatedColumnFormula>IF(OR(Z5="",Z5="-"),"-",Z5*$M5*SQRT(3)/1000)</calculatedColumnFormula>
    </tableColumn>
    <tableColumn id="19" xr3:uid="{00000000-0010-0000-0300-000013000000}" name="Relay A" totalsRowLabel="-" dataDxfId="792" totalsRowDxfId="791"/>
    <tableColumn id="20" xr3:uid="{00000000-0010-0000-0300-000014000000}" name="Relay MVA" totalsRowLabel="-" dataDxfId="790" totalsRowDxfId="789">
      <calculatedColumnFormula>IF(OR(AB5="",AB5="-"),"-",AB5*$M5*SQRT(3)/1000)</calculatedColumnFormula>
    </tableColumn>
    <tableColumn id="21" xr3:uid="{00000000-0010-0000-0300-000015000000}" name="CT A" totalsRowLabel="-" dataDxfId="788" totalsRowDxfId="787"/>
    <tableColumn id="22" xr3:uid="{00000000-0010-0000-0300-000016000000}" name="CT MVA" totalsRowLabel="-" dataDxfId="786" totalsRowDxfId="785">
      <calculatedColumnFormula>IF(OR(AD5="",AD5="-"),"-",AD5*$M5*SQRT(3)/1000)</calculatedColumnFormula>
    </tableColumn>
    <tableColumn id="29" xr3:uid="{00000000-0010-0000-0300-00001D000000}" name="Core" totalsRowLabel="-" dataDxfId="784" totalsRowDxfId="783"/>
    <tableColumn id="31" xr3:uid="{00000000-0010-0000-0300-00001F000000}" name="In Duct" totalsRowLabel="-" dataDxfId="782" totalsRowDxfId="781"/>
    <tableColumn id="28" xr3:uid="{00000000-0010-0000-0300-00001C000000}" name="Distance" totalsRowLabel="-" dataDxfId="780" totalsRowDxfId="779"/>
    <tableColumn id="32" xr3:uid="{00000000-0010-0000-0300-000020000000}" name="Depth m" totalsRowLabel="-" dataDxfId="778" totalsRowDxfId="777"/>
    <tableColumn id="38" xr3:uid="{00000000-0010-0000-0300-000026000000}" name="Depth Factor" totalsRowLabel="-" dataDxfId="776" totalsRowDxfId="775"/>
    <tableColumn id="33" xr3:uid="{00000000-0010-0000-0300-000021000000}" name="Soil Temp C" totalsRowLabel="-" dataDxfId="774" totalsRowDxfId="773"/>
    <tableColumn id="39" xr3:uid="{00000000-0010-0000-0300-000027000000}" name="Soil Temp Factor" totalsRowLabel="-" dataDxfId="772" totalsRowDxfId="771"/>
    <tableColumn id="34" xr3:uid="{00000000-0010-0000-0300-000022000000}" name="Soil TR °C.m/W" totalsRowLabel="-" dataDxfId="770" totalsRowDxfId="769"/>
    <tableColumn id="40" xr3:uid="{00000000-0010-0000-0300-000028000000}" name="Soil TR Factor" totalsRowLabel="-" dataDxfId="768" totalsRowDxfId="767"/>
    <tableColumn id="35" xr3:uid="{00000000-0010-0000-0300-000023000000}" name="Ccts" totalsRowLabel="-" dataDxfId="766" totalsRowDxfId="765"/>
    <tableColumn id="36" xr3:uid="{00000000-0010-0000-0300-000024000000}" name="Spacing" totalsRowLabel="-" dataDxfId="764" totalsRowDxfId="763"/>
    <tableColumn id="41" xr3:uid="{00000000-0010-0000-0300-000029000000}" name="Mutual Heat Factor" totalsRowLabel="-" dataDxfId="762" totalsRowDxfId="761"/>
    <tableColumn id="37" xr3:uid="{00000000-0010-0000-0300-000025000000}" name="Derating A" totalsRowLabel="-" dataDxfId="760" totalsRowDxfId="759">
      <calculatedColumnFormula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calculatedColumnFormula>
    </tableColumn>
    <tableColumn id="42" xr3:uid="{00000000-0010-0000-0300-00002A000000}" name="Derating MVA" totalsRowLabel="-" dataDxfId="758" totalsRowDxfId="757">
      <calculatedColumnFormula>IF(OR(AR5="",AR5="-"),"-",AR5*$M5*SQRT(3)/1000)</calculatedColumnFormula>
    </tableColumn>
    <tableColumn id="44" xr3:uid="{00000000-0010-0000-0300-00002C000000}" name="Summ Cont Winter A" totalsRowFunction="custom" dataDxfId="756" totalsRowDxfId="755">
      <calculatedColumnFormula>IF(RIGHT(ABY[[#This Row],[Device type]],7)="Winding","-",ABY[[#This Row],[Cont Winter MVA]])</calculatedColumnFormula>
      <totalsRowFormula>IF(SUBTOTAL(105,ABY[Summ Cont Winter A])=0,"",SUBTOTAL(105,ABY[Summ Cont Winter A]))</totalsRowFormula>
    </tableColumn>
    <tableColumn id="45" xr3:uid="{00000000-0010-0000-0300-00002D000000}" name="Summ Cont Shoulder MVA" totalsRowFunction="custom" dataDxfId="754" totalsRowDxfId="753">
      <calculatedColumnFormula>IF(RIGHT(ABY[[#This Row],[Device type]],7)="Winding","-",ABY[[#This Row],[Cont Shoulder MVA]])</calculatedColumnFormula>
      <totalsRowFormula>IF(SUBTOTAL(105,ABY[Summ Cont Shoulder MVA])=0,"",SUBTOTAL(105,ABY[Summ Cont Shoulder MVA]))</totalsRowFormula>
    </tableColumn>
    <tableColumn id="46" xr3:uid="{00000000-0010-0000-0300-00002E000000}" name="Summ Cont Summer A" totalsRowFunction="custom" dataDxfId="752" totalsRowDxfId="751">
      <calculatedColumnFormula>IF(RIGHT(ABY[[#This Row],[Device type]],7)="Winding","-",ABY[[#This Row],[Cont Summer MVA]])</calculatedColumnFormula>
      <totalsRowFormula>IF(SUBTOTAL(105,ABY[Summ Cont Summer A])=0,"",SUBTOTAL(105,ABY[Summ Cont Summer A]))</totalsRowFormula>
    </tableColumn>
    <tableColumn id="47" xr3:uid="{00000000-0010-0000-0300-00002F000000}" name="Summ Post Winter A" totalsRowFunction="custom" dataDxfId="750" totalsRowDxfId="749">
      <calculatedColumnFormula>IF(RIGHT(ABY[[#This Row],[Device type]],7)="Winding","-",ABY[[#This Row],[24 Hr Winter MVA]])</calculatedColumnFormula>
      <totalsRowFormula>IF(SUBTOTAL(105,ABY[Summ Post Winter A])=0,"",SUBTOTAL(105,ABY[Summ Post Winter A]))</totalsRowFormula>
    </tableColumn>
    <tableColumn id="48" xr3:uid="{00000000-0010-0000-0300-000030000000}" name="Summ Post Summer A" totalsRowFunction="custom" dataDxfId="748" totalsRowDxfId="747">
      <calculatedColumnFormula>IF(RIGHT(ABY[[#This Row],[Device type]],7)="Winding","-",ABY[[#This Row],[24 Hr Summer MVA]])</calculatedColumnFormula>
      <totalsRowFormula>IF(SUBTOTAL(105,ABY[Summ Post Summer A])=0,"",SUBTOTAL(105,ABY[Summ Post Summer A]))</totalsRowFormula>
    </tableColumn>
    <tableColumn id="49" xr3:uid="{00000000-0010-0000-0300-000031000000}" name="Summ Forward A" totalsRowFunction="custom" dataDxfId="746" totalsRowDxfId="745">
      <calculatedColumnFormula>ABY[[#This Row],[Forwards MVA]]</calculatedColumnFormula>
      <totalsRowFormula>IF(SUBTOTAL(105,ABY[Summ Forward A])=0,"",SUBTOTAL(105,ABY[Summ Forward A]))</totalsRowFormula>
    </tableColumn>
    <tableColumn id="51" xr3:uid="{00000000-0010-0000-0300-000033000000}" name="Summ Reverse A" totalsRowFunction="custom" dataDxfId="744" totalsRowDxfId="743">
      <calculatedColumnFormula>ABY[[#This Row],[Relay MVA]]</calculatedColumnFormula>
      <totalsRowFormula>IF(SUBTOTAL(105,ABY[Summ Reverse A])=0,"",SUBTOTAL(105,ABY[Summ Reverse A]))</totalsRowFormula>
    </tableColumn>
    <tableColumn id="52" xr3:uid="{00000000-0010-0000-0300-000034000000}" name="Summ CT A" totalsRowFunction="custom" dataDxfId="742" totalsRowDxfId="741">
      <calculatedColumnFormula>ABY[[#This Row],[CT MVA]]</calculatedColumnFormula>
      <totalsRowFormula>IF(SUBTOTAL(105,ABY[Summ CT A])=0,"",SUBTOTAL(105,ABY[Summ CT A]))</totalsRowFormula>
    </tableColumn>
    <tableColumn id="53" xr3:uid="{00000000-0010-0000-0300-000035000000}" name="Cable Derating" totalsRowFunction="custom" dataDxfId="740" totalsRowDxfId="739">
      <calculatedColumnFormula>ABY[[#This Row],[Derating MVA]]</calculatedColumnFormula>
      <totalsRowFormula>IF(SUBTOTAL(105,ABY[Cable Derating])=0,"",SUBTOTAL(105,ABY[Cable Derating]))</totalsRowFormula>
    </tableColumn>
    <tableColumn id="59" xr3:uid="{00000000-0010-0000-0300-00003B000000}" name="ID Rating" totalsRowLabel="-" dataDxfId="738" totalsRowDxfId="737">
      <calculatedColumnFormula>ABY[[#This Row],[Station/Feeder]]&amp;ABY[[#This Row],[Lowest MVA]]</calculatedColumnFormula>
    </tableColumn>
    <tableColumn id="61" xr3:uid="{00000000-0010-0000-0300-00003D000000}" name="Limiting Equipment Reference-No PTX" totalsRowLabel="-" dataDxfId="736" totalsRowDxfId="735">
      <calculatedColumnFormula>CONCATENATE(TMK[[#This Row],[Supply Level]],TMK[[#This Row],[Station/Feeder]],TMK[[#This Row],[Voltage]],TMK[[#This Row],[Lowest A-No PTX]])</calculatedColumnFormula>
    </tableColumn>
    <tableColumn id="64" xr3:uid="{00000000-0010-0000-0300-000040000000}" name="Limiting Equipment Reference-PTX" dataDxfId="734" totalsRowDxfId="733">
      <calculatedColumnFormula>CONCATENATE(TMK[[#This Row],[Supply Level]],TMK[[#This Row],[Station/Feeder]],TMK[[#This Row],[Voltage]],TMK[[#This Row],[Lowest A-PTX]])</calculatedColumnFormula>
    </tableColumn>
    <tableColumn id="54" xr3:uid="{00000000-0010-0000-0300-000036000000}" name="Lowest MVA" totalsRowFunction="min" dataDxfId="732" totalsRowDxfId="731">
      <calculatedColumnFormula>IF(MIN(ABY[[#This Row],[Summ Cont Winter A]:[Cable Derating]])=0,"",MIN(ABY[[#This Row],[Summ Cont Winter A]:[Cable Derating]]))</calculatedColumnFormula>
    </tableColumn>
    <tableColumn id="50" xr3:uid="{00000000-0010-0000-0300-000032000000}" name="Lowest A-No PTX" totalsRowLabel="-" dataDxfId="730" totalsRowDxfId="729">
      <calculatedColumnFormula>IFERROR(ABY[[#This Row],[Lowest MVA]]*1000/(ABY[[#This Row],[Voltage]]*SQRT(3)),"")</calculatedColumnFormula>
    </tableColumn>
    <tableColumn id="63" xr3:uid="{00000000-0010-0000-0300-00003F000000}" name="Lowest A-PTX" dataDxfId="728" totalsRowDxfId="727">
      <calculatedColumnFormula>IF(MIN(N5,P5,R5,T5,V5,X5,Z5,AB5,AD5,AR5)=0,"",MIN(N5,P5,R5,T5,V5,X5,Z5,AB5,AD5,AR5))</calculatedColumnFormula>
    </tableColumn>
    <tableColumn id="56" xr3:uid="{00000000-0010-0000-0300-000038000000}" name="Summ From" totalsRowLabel="-" dataDxfId="726" totalsRowDxfId="725">
      <calculatedColumnFormula>ABY[[#This Row],[From]]</calculatedColumnFormula>
    </tableColumn>
    <tableColumn id="57" xr3:uid="{00000000-0010-0000-0300-000039000000}" name="Summ To" totalsRowLabel="-" dataDxfId="724" totalsRowDxfId="723">
      <calculatedColumnFormula>ABY[[#This Row],[To]]</calculatedColumnFormula>
    </tableColumn>
    <tableColumn id="55" xr3:uid="{00000000-0010-0000-0300-000037000000}" name="Summ Equipment" totalsRowLabel="-" dataDxfId="722" totalsRowDxfId="721">
      <calculatedColumnFormula>IF(ABY[[#This Row],[Device type]]="-",ABY[[#This Row],[Equipment Type]]&amp;"-"&amp;ABY[[#This Row],[Equipment ID]],ABY[[#This Row],[Equipment Type]]&amp;"-"&amp;ABY[[#This Row],[Equipment ID]]&amp;"-"&amp;ABY[[#This Row],[Device type]])</calculatedColumnFormula>
    </tableColumn>
    <tableColumn id="58" xr3:uid="{00000000-0010-0000-0300-00003A000000}" name="Summ Voltage" totalsRowLabel="-" dataDxfId="720" totalsRowDxfId="719">
      <calculatedColumnFormula>ABY[[#This Row],[Voltage]]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BPD" displayName="BPD" ref="A4:BL94" totalsRowCount="1" headerRowDxfId="718" dataDxfId="716" headerRowBorderDxfId="717" tableBorderDxfId="715">
  <autoFilter ref="A4:BL93" xr:uid="{00000000-0009-0000-0100-000005000000}"/>
  <tableColumns count="64">
    <tableColumn id="60" xr3:uid="{00000000-0010-0000-0400-00003C000000}" name="Load Capability Reference" totalsRowLabel="-" dataDxfId="714" totalsRowDxfId="713">
      <calculatedColumnFormula>CONCATENATE(BPD[[#This Row],[Supply Level]],BPD[[#This Row],[Station/Feeder]],BPD[[#This Row],[Voltage]])</calculatedColumnFormula>
    </tableColumn>
    <tableColumn id="63" xr3:uid="{00000000-0010-0000-0400-00003F000000}" name="OC Protection Reference" totalsRowLabel="-" dataDxfId="712" totalsRowDxfId="711">
      <calculatedColumnFormula>CONCATENATE(BPD[[#This Row],[Supply Level]],BPD[[#This Row],[Station/Feeder]],BPD[[#This Row],[Equipment ID]],BPD[[#This Row],[Voltage]],BPD[[#This Row],[Device type]])</calculatedColumnFormula>
    </tableColumn>
    <tableColumn id="1" xr3:uid="{00000000-0010-0000-0400-000001000000}" name="Supply Level" totalsRowLabel="-" dataDxfId="710" totalsRowDxfId="709"/>
    <tableColumn id="27" xr3:uid="{00000000-0010-0000-0400-00001B000000}" name="Station/Feeder" totalsRowLabel="-" dataDxfId="708" totalsRowDxfId="707"/>
    <tableColumn id="2" xr3:uid="{00000000-0010-0000-0400-000002000000}" name="From" totalsRowLabel="-" dataDxfId="706" totalsRowDxfId="705"/>
    <tableColumn id="3" xr3:uid="{00000000-0010-0000-0400-000003000000}" name="To" totalsRowLabel="-" dataDxfId="704" totalsRowDxfId="703"/>
    <tableColumn id="30" xr3:uid="{00000000-0010-0000-0400-00001E000000}" name="Order" totalsRowLabel="-" dataDxfId="702" totalsRowDxfId="701"/>
    <tableColumn id="43" xr3:uid="{00000000-0010-0000-0400-00002B000000}" name="Source of Data" totalsRowLabel="-" dataDxfId="700" totalsRowDxfId="699"/>
    <tableColumn id="4" xr3:uid="{00000000-0010-0000-0400-000004000000}" name="Equipment ID" totalsRowLabel="-" dataDxfId="698" totalsRowDxfId="697"/>
    <tableColumn id="5" xr3:uid="{00000000-0010-0000-0400-000005000000}" name="Equipment Type" totalsRowLabel="-" dataDxfId="696" totalsRowDxfId="695"/>
    <tableColumn id="6" xr3:uid="{00000000-0010-0000-0400-000006000000}" name="Device ID" totalsRowLabel="-" dataDxfId="694" totalsRowDxfId="693"/>
    <tableColumn id="7" xr3:uid="{00000000-0010-0000-0400-000007000000}" name="Device type" totalsRowLabel="-" dataDxfId="692" totalsRowDxfId="691"/>
    <tableColumn id="8" xr3:uid="{00000000-0010-0000-0400-000008000000}" name="Voltage" totalsRowLabel="-" dataDxfId="690" totalsRowDxfId="689"/>
    <tableColumn id="9" xr3:uid="{00000000-0010-0000-0400-000009000000}" name="Cont Winter A" totalsRowLabel="-" dataDxfId="688" totalsRowDxfId="687"/>
    <tableColumn id="10" xr3:uid="{00000000-0010-0000-0400-00000A000000}" name="Cont Winter MVA" totalsRowFunction="min" dataDxfId="686" totalsRowDxfId="685">
      <calculatedColumnFormula>IF(OR(N5="",N5="-"),"-",N5*$M5*SQRT(3)/1000)</calculatedColumnFormula>
    </tableColumn>
    <tableColumn id="23" xr3:uid="{00000000-0010-0000-0400-000017000000}" name="Cont Shoulder A" totalsRowLabel="-" dataDxfId="684" totalsRowDxfId="683"/>
    <tableColumn id="24" xr3:uid="{00000000-0010-0000-0400-000018000000}" name="Cont Shoulder MVA" totalsRowFunction="custom" dataDxfId="682" totalsRowDxfId="681">
      <calculatedColumnFormula>IF(OR(P5="",P5="-"),"-",P5*$M5*SQRT(3)/1000)</calculatedColumnFormula>
      <totalsRowFormula>SUBTOTAL(105,BPD[Cont Winter MVA])</totalsRowFormula>
    </tableColumn>
    <tableColumn id="25" xr3:uid="{00000000-0010-0000-0400-000019000000}" name="Cont Summer A" totalsRowLabel="-" dataDxfId="680" totalsRowDxfId="679"/>
    <tableColumn id="26" xr3:uid="{00000000-0010-0000-0400-00001A000000}" name="Cont Summer MVA" totalsRowFunction="custom" dataDxfId="678" totalsRowDxfId="677">
      <calculatedColumnFormula>IF(OR(R5="",R5="-"),"-",R5*$M5*SQRT(3)/1000)</calculatedColumnFormula>
      <totalsRowFormula>SUBTOTAL(105,BPD[Cont Winter MVA])</totalsRowFormula>
    </tableColumn>
    <tableColumn id="13" xr3:uid="{00000000-0010-0000-0400-00000D000000}" name="24 Hr Winter A" totalsRowLabel="-" dataDxfId="676" totalsRowDxfId="675"/>
    <tableColumn id="14" xr3:uid="{00000000-0010-0000-0400-00000E000000}" name="24 Hr Winter MVA" totalsRowFunction="min" dataDxfId="674" totalsRowDxfId="673">
      <calculatedColumnFormula>IF(OR(T5="",T5="-"),"-",T5*$M5*SQRT(3)/1000)</calculatedColumnFormula>
    </tableColumn>
    <tableColumn id="11" xr3:uid="{00000000-0010-0000-0400-00000B000000}" name="24 Hr Summer A" totalsRowLabel="-" dataDxfId="672" totalsRowDxfId="671"/>
    <tableColumn id="12" xr3:uid="{00000000-0010-0000-0400-00000C000000}" name="24 Hr Summer MVA" totalsRowFunction="min" dataDxfId="670" totalsRowDxfId="669">
      <calculatedColumnFormula>IF(OR(V5="",V5="-"),"-",V5*$M5*SQRT(3)/1000)</calculatedColumnFormula>
    </tableColumn>
    <tableColumn id="15" xr3:uid="{00000000-0010-0000-0400-00000F000000}" name="Forward A" totalsRowLabel="-" dataDxfId="668" totalsRowDxfId="667"/>
    <tableColumn id="16" xr3:uid="{00000000-0010-0000-0400-000010000000}" name="Forwards MVA" totalsRowFunction="min" dataDxfId="666" totalsRowDxfId="665">
      <calculatedColumnFormula>IF(OR(X5="",X5="-"),"-",X5*$M5*SQRT(3)/1000)</calculatedColumnFormula>
    </tableColumn>
    <tableColumn id="17" xr3:uid="{00000000-0010-0000-0400-000011000000}" name="Reverse A" totalsRowLabel="-" dataDxfId="664" totalsRowDxfId="663"/>
    <tableColumn id="18" xr3:uid="{00000000-0010-0000-0400-000012000000}" name="Reverse MVA" totalsRowFunction="min" dataDxfId="662" totalsRowDxfId="661">
      <calculatedColumnFormula>IF(OR(Z5="",Z5="-"),"-",Z5*$M5*SQRT(3)/1000)</calculatedColumnFormula>
    </tableColumn>
    <tableColumn id="19" xr3:uid="{00000000-0010-0000-0400-000013000000}" name="Relay A" totalsRowLabel="-" dataDxfId="660" totalsRowDxfId="659"/>
    <tableColumn id="20" xr3:uid="{00000000-0010-0000-0400-000014000000}" name="Relay MVA" totalsRowFunction="min" dataDxfId="658" totalsRowDxfId="657">
      <calculatedColumnFormula>IF(OR(AB5="",AB5="-"),"-",AB5*$M5*SQRT(3)/1000)</calculatedColumnFormula>
    </tableColumn>
    <tableColumn id="21" xr3:uid="{00000000-0010-0000-0400-000015000000}" name="CT A" totalsRowLabel="-" dataDxfId="656" totalsRowDxfId="655"/>
    <tableColumn id="22" xr3:uid="{00000000-0010-0000-0400-000016000000}" name="CT MVA" totalsRowFunction="min" dataDxfId="654" totalsRowDxfId="653">
      <calculatedColumnFormula>IF(OR(AD5="",AD5="-"),"-",AD5*$M5*SQRT(3)/1000)</calculatedColumnFormula>
    </tableColumn>
    <tableColumn id="29" xr3:uid="{00000000-0010-0000-0400-00001D000000}" name="Core" totalsRowLabel="-" dataDxfId="652"/>
    <tableColumn id="31" xr3:uid="{00000000-0010-0000-0400-00001F000000}" name="In Duct" totalsRowLabel="-" dataDxfId="651"/>
    <tableColumn id="28" xr3:uid="{00000000-0010-0000-0400-00001C000000}" name="Distance" totalsRowLabel="-" dataDxfId="650" totalsRowDxfId="649"/>
    <tableColumn id="32" xr3:uid="{00000000-0010-0000-0400-000020000000}" name="Depth m" totalsRowLabel="-" dataDxfId="648"/>
    <tableColumn id="38" xr3:uid="{00000000-0010-0000-0400-000026000000}" name="Depth Factor" totalsRowLabel="-" dataDxfId="647" totalsRowDxfId="646"/>
    <tableColumn id="33" xr3:uid="{00000000-0010-0000-0400-000021000000}" name="Soil Temp C" totalsRowLabel="-" dataDxfId="645"/>
    <tableColumn id="39" xr3:uid="{00000000-0010-0000-0400-000027000000}" name="Soil Temp Factor" totalsRowLabel="-" dataDxfId="644" totalsRowDxfId="643"/>
    <tableColumn id="34" xr3:uid="{00000000-0010-0000-0400-000022000000}" name="Soil TR °C.m/W" totalsRowLabel="-" dataDxfId="642"/>
    <tableColumn id="40" xr3:uid="{00000000-0010-0000-0400-000028000000}" name="Soil TR Factor" totalsRowLabel="-" dataDxfId="641" totalsRowDxfId="640"/>
    <tableColumn id="35" xr3:uid="{00000000-0010-0000-0400-000023000000}" name="Ccts" totalsRowLabel="-" dataDxfId="639"/>
    <tableColumn id="36" xr3:uid="{00000000-0010-0000-0400-000024000000}" name="Spacing" totalsRowLabel="-" dataDxfId="638"/>
    <tableColumn id="41" xr3:uid="{00000000-0010-0000-0400-000029000000}" name="Mutual Heat Factor" totalsRowLabel="-" dataDxfId="637" totalsRowDxfId="636"/>
    <tableColumn id="37" xr3:uid="{00000000-0010-0000-0400-000025000000}" name="Derating A" totalsRowLabel="-" dataDxfId="635">
      <calculatedColumnFormula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calculatedColumnFormula>
    </tableColumn>
    <tableColumn id="42" xr3:uid="{00000000-0010-0000-0400-00002A000000}" name="Derating MVA" totalsRowLabel="-" dataDxfId="634">
      <calculatedColumnFormula>IF(OR(AR5="",AR5="-"),"-",AR5*$M5*SQRT(3)/1000)</calculatedColumnFormula>
    </tableColumn>
    <tableColumn id="44" xr3:uid="{00000000-0010-0000-0400-00002C000000}" name="Summ Cont Winter A" totalsRowLabel="-" dataDxfId="633">
      <calculatedColumnFormula>IF(RIGHT(BPD[[#This Row],[Device type]],7)="Winding","-",BPD[[#This Row],[Cont Winter MVA]])</calculatedColumnFormula>
    </tableColumn>
    <tableColumn id="45" xr3:uid="{00000000-0010-0000-0400-00002D000000}" name="Summ Cont Shoulder MVA" totalsRowLabel="-" dataDxfId="632">
      <calculatedColumnFormula>IF(RIGHT(BPD[[#This Row],[Device type]],7)="Winding","-",BPD[[#This Row],[Cont Shoulder MVA]])</calculatedColumnFormula>
    </tableColumn>
    <tableColumn id="46" xr3:uid="{00000000-0010-0000-0400-00002E000000}" name="Summ Cont Summer A" totalsRowLabel="-" dataDxfId="631">
      <calculatedColumnFormula>IF(RIGHT(BPD[[#This Row],[Device type]],7)="Winding","-",BPD[[#This Row],[Cont Summer MVA]])</calculatedColumnFormula>
    </tableColumn>
    <tableColumn id="47" xr3:uid="{00000000-0010-0000-0400-00002F000000}" name="Summ Post Winter A" totalsRowLabel="-" dataDxfId="630">
      <calculatedColumnFormula>BPD[[#This Row],[24 Hr Winter MVA]]</calculatedColumnFormula>
    </tableColumn>
    <tableColumn id="48" xr3:uid="{00000000-0010-0000-0400-000030000000}" name="Summ Post Summer A" totalsRowLabel="-" dataDxfId="629">
      <calculatedColumnFormula>BPD[[#This Row],[24 Hr Summer MVA]]</calculatedColumnFormula>
    </tableColumn>
    <tableColumn id="49" xr3:uid="{00000000-0010-0000-0400-000031000000}" name="Summ Forward A" totalsRowLabel="-" dataDxfId="628">
      <calculatedColumnFormula>BPD[[#This Row],[Forwards MVA]]</calculatedColumnFormula>
    </tableColumn>
    <tableColumn id="50" xr3:uid="{00000000-0010-0000-0400-000032000000}" name="Summ Reverse A" totalsRowLabel="-" dataDxfId="627">
      <calculatedColumnFormula>BPD[[#This Row],[Relay MVA]]</calculatedColumnFormula>
    </tableColumn>
    <tableColumn id="51" xr3:uid="{00000000-0010-0000-0400-000033000000}" name="Summ CT A" totalsRowLabel="-" dataDxfId="626">
      <calculatedColumnFormula>BPD[[#This Row],[CT MVA]]</calculatedColumnFormula>
    </tableColumn>
    <tableColumn id="52" xr3:uid="{00000000-0010-0000-0400-000034000000}" name="Cable Derating" totalsRowLabel="-" dataDxfId="625">
      <calculatedColumnFormula>BPD[[#This Row],[Derating MVA]]</calculatedColumnFormula>
    </tableColumn>
    <tableColumn id="53" xr3:uid="{00000000-0010-0000-0400-000035000000}" name="ID Rating" totalsRowLabel="-" dataDxfId="624">
      <calculatedColumnFormula>BPD[[#This Row],[Station/Feeder]]&amp;BPD[[#This Row],[Lowest MVA]]</calculatedColumnFormula>
    </tableColumn>
    <tableColumn id="64" xr3:uid="{00000000-0010-0000-0400-000040000000}" name="Limiting Equipment Reference-No PTX" totalsRowLabel="-" dataDxfId="623">
      <calculatedColumnFormula>CONCATENATE(TMK[[#This Row],[Supply Level]],TMK[[#This Row],[Station/Feeder]],TMK[[#This Row],[Voltage]],TMK[[#This Row],[Lowest A-No PTX]])</calculatedColumnFormula>
    </tableColumn>
    <tableColumn id="62" xr3:uid="{00000000-0010-0000-0400-00003E000000}" name="Limiting Equipment Reference-PTX" dataDxfId="622">
      <calculatedColumnFormula>CONCATENATE(TMK[[#This Row],[Supply Level]],TMK[[#This Row],[Station/Feeder]],TMK[[#This Row],[Voltage]],TMK[[#This Row],[Lowest A-PTX]])</calculatedColumnFormula>
    </tableColumn>
    <tableColumn id="54" xr3:uid="{00000000-0010-0000-0400-000036000000}" name="Lowest MVA" totalsRowLabel="-" dataDxfId="621">
      <calculatedColumnFormula>IF(MIN(BPD[[#This Row],[Summ Cont Winter A]:[Cable Derating]])=0,"",MIN(BPD[[#This Row],[Summ Cont Winter A]:[Cable Derating]]))</calculatedColumnFormula>
    </tableColumn>
    <tableColumn id="59" xr3:uid="{00000000-0010-0000-0400-00003B000000}" name="Lowest A-No PTX" totalsRowLabel="-" dataDxfId="620">
      <calculatedColumnFormula>IFERROR(BPD[[#This Row],[Lowest MVA]]*1000/(BPD[[#This Row],[Voltage]]*SQRT(3)),"")</calculatedColumnFormula>
    </tableColumn>
    <tableColumn id="61" xr3:uid="{00000000-0010-0000-0400-00003D000000}" name="Lowest A-PTX" dataDxfId="619">
      <calculatedColumnFormula>IF(MIN(N5,P5,R5,T5,V5,X5,Z5,AB5,AD5,AR5)=0,"",MIN(N5,P5,R5,T5,V5,X5,Z5,AB5,AD5,AR5))</calculatedColumnFormula>
    </tableColumn>
    <tableColumn id="55" xr3:uid="{00000000-0010-0000-0400-000037000000}" name="Summ From" totalsRowLabel="-" dataDxfId="618">
      <calculatedColumnFormula>BPD[[#This Row],[From]]</calculatedColumnFormula>
    </tableColumn>
    <tableColumn id="56" xr3:uid="{00000000-0010-0000-0400-000038000000}" name="Summ To" totalsRowLabel="-" dataDxfId="617">
      <calculatedColumnFormula>BPD[[#This Row],[To]]</calculatedColumnFormula>
    </tableColumn>
    <tableColumn id="57" xr3:uid="{00000000-0010-0000-0400-000039000000}" name="Summ Equipment" totalsRowLabel="-" dataDxfId="616">
      <calculatedColumnFormula>IF(BPD[[#This Row],[Device type]]="-",BPD[[#This Row],[Equipment Type]]&amp;" - "&amp;BPD[[#This Row],[Equipment ID]],BPD[[#This Row],[Equipment Type]]&amp;" - "&amp;BPD[[#This Row],[Equipment ID]]&amp;" - "&amp;BPD[[#This Row],[Device type]])</calculatedColumnFormula>
    </tableColumn>
    <tableColumn id="58" xr3:uid="{00000000-0010-0000-0400-00003A000000}" name="Summ Voltage" totalsRowLabel="-" dataDxfId="615">
      <calculatedColumnFormula>BPD[[#This Row],[Voltage]]</calculatedColumnFormula>
    </tableColumn>
  </tableColumns>
  <tableStyleInfo name="TableStyleMedium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STU" displayName="STU" ref="A4:BL42" totalsRowCount="1" headerRowDxfId="614" dataDxfId="612" headerRowBorderDxfId="613" tableBorderDxfId="611">
  <autoFilter ref="A4:BL41" xr:uid="{00000000-0009-0000-0100-000006000000}"/>
  <tableColumns count="64">
    <tableColumn id="60" xr3:uid="{00000000-0010-0000-0500-00003C000000}" name="Load Capability Reference" dataDxfId="610">
      <calculatedColumnFormula>CONCATENATE(BPD[[#This Row],[Supply Level]],BPD[[#This Row],[Station/Feeder]],BPD[[#This Row],[Voltage]])</calculatedColumnFormula>
    </tableColumn>
    <tableColumn id="61" xr3:uid="{00000000-0010-0000-0500-00003D000000}" name="OC Protection Reference" dataDxfId="609">
      <calculatedColumnFormula>CONCATENATE(BPD[[#This Row],[Supply Level]],BPD[[#This Row],[Station/Feeder]],BPD[[#This Row],[Equipment ID]],BPD[[#This Row],[Voltage]],BPD[[#This Row],[Device type]])</calculatedColumnFormula>
    </tableColumn>
    <tableColumn id="1" xr3:uid="{00000000-0010-0000-0500-000001000000}" name="Supply Level" dataDxfId="608" totalsRowDxfId="607"/>
    <tableColumn id="27" xr3:uid="{00000000-0010-0000-0500-00001B000000}" name="Station/Feeder" dataDxfId="606" totalsRowDxfId="605"/>
    <tableColumn id="2" xr3:uid="{00000000-0010-0000-0500-000002000000}" name="From" dataDxfId="604" totalsRowDxfId="603"/>
    <tableColumn id="3" xr3:uid="{00000000-0010-0000-0500-000003000000}" name="To" dataDxfId="602" totalsRowDxfId="601"/>
    <tableColumn id="30" xr3:uid="{00000000-0010-0000-0500-00001E000000}" name="Order" dataDxfId="600" totalsRowDxfId="599"/>
    <tableColumn id="43" xr3:uid="{00000000-0010-0000-0500-00002B000000}" name="Source of Data" dataDxfId="598" totalsRowDxfId="597"/>
    <tableColumn id="4" xr3:uid="{00000000-0010-0000-0500-000004000000}" name="Equipment ID" dataDxfId="596" totalsRowDxfId="595"/>
    <tableColumn id="5" xr3:uid="{00000000-0010-0000-0500-000005000000}" name="Equipment Type" dataDxfId="594" totalsRowDxfId="593"/>
    <tableColumn id="6" xr3:uid="{00000000-0010-0000-0500-000006000000}" name="Device ID" dataDxfId="592" totalsRowDxfId="591"/>
    <tableColumn id="7" xr3:uid="{00000000-0010-0000-0500-000007000000}" name="Device type" dataDxfId="590" totalsRowDxfId="589"/>
    <tableColumn id="8" xr3:uid="{00000000-0010-0000-0500-000008000000}" name="Voltage" dataDxfId="588" totalsRowDxfId="587"/>
    <tableColumn id="9" xr3:uid="{00000000-0010-0000-0500-000009000000}" name="Cont Winter A" totalsRowLabel="-" dataDxfId="586" totalsRowDxfId="585"/>
    <tableColumn id="10" xr3:uid="{00000000-0010-0000-0500-00000A000000}" name="Cont Winter MVA" totalsRowFunction="min" dataDxfId="584" totalsRowDxfId="583">
      <calculatedColumnFormula>IF(OR(N5="",N5="-"),"-",N5*$M5*SQRT(3)/1000)</calculatedColumnFormula>
    </tableColumn>
    <tableColumn id="23" xr3:uid="{00000000-0010-0000-0500-000017000000}" name="Cont Shoulder A" totalsRowLabel="-" dataDxfId="582" totalsRowDxfId="581"/>
    <tableColumn id="24" xr3:uid="{00000000-0010-0000-0500-000018000000}" name="Cont Shoulder MVA" totalsRowFunction="custom" dataDxfId="580" totalsRowDxfId="579">
      <calculatedColumnFormula>IF(OR(P5="",P5="-"),"-",P5*$M5*SQRT(3)/1000)</calculatedColumnFormula>
      <totalsRowFormula>SUBTOTAL(105,STU[Cont Winter MVA])</totalsRowFormula>
    </tableColumn>
    <tableColumn id="25" xr3:uid="{00000000-0010-0000-0500-000019000000}" name="Cont Summer A" totalsRowLabel="-" dataDxfId="578" totalsRowDxfId="577"/>
    <tableColumn id="26" xr3:uid="{00000000-0010-0000-0500-00001A000000}" name="Cont Summer MVA" totalsRowFunction="custom" dataDxfId="576" totalsRowDxfId="575">
      <calculatedColumnFormula>IF(OR(R5="",R5="-"),"-",R5*$M5*SQRT(3)/1000)</calculatedColumnFormula>
      <totalsRowFormula>SUBTOTAL(105,STU[Cont Winter MVA])</totalsRowFormula>
    </tableColumn>
    <tableColumn id="13" xr3:uid="{00000000-0010-0000-0500-00000D000000}" name="24 Hr Winter A" totalsRowLabel="-" dataDxfId="574" totalsRowDxfId="573"/>
    <tableColumn id="14" xr3:uid="{00000000-0010-0000-0500-00000E000000}" name="24 Hr Winter MVA" totalsRowFunction="min" dataDxfId="572" totalsRowDxfId="571">
      <calculatedColumnFormula>IF(OR(T5="",T5="-"),"-",T5*$M5*SQRT(3)/1000)</calculatedColumnFormula>
    </tableColumn>
    <tableColumn id="11" xr3:uid="{00000000-0010-0000-0500-00000B000000}" name="24 Hr Summer A" totalsRowLabel="-" dataDxfId="570" totalsRowDxfId="569"/>
    <tableColumn id="12" xr3:uid="{00000000-0010-0000-0500-00000C000000}" name="24 Hr Summer MVA" totalsRowFunction="min" dataDxfId="568" totalsRowDxfId="567">
      <calculatedColumnFormula>IF(OR(V5="",V5="-"),"-",V5*$M5*SQRT(3)/1000)</calculatedColumnFormula>
    </tableColumn>
    <tableColumn id="15" xr3:uid="{00000000-0010-0000-0500-00000F000000}" name="Forward A" totalsRowLabel="-" dataDxfId="566" totalsRowDxfId="565"/>
    <tableColumn id="16" xr3:uid="{00000000-0010-0000-0500-000010000000}" name="Forwards MVA" totalsRowFunction="min" dataDxfId="564" totalsRowDxfId="563">
      <calculatedColumnFormula>IF(OR(X5="",X5="-"),"-",X5*$M5*SQRT(3)/1000)</calculatedColumnFormula>
    </tableColumn>
    <tableColumn id="17" xr3:uid="{00000000-0010-0000-0500-000011000000}" name="Reverse A" totalsRowLabel="-" dataDxfId="562" totalsRowDxfId="561"/>
    <tableColumn id="18" xr3:uid="{00000000-0010-0000-0500-000012000000}" name="Reverse MVA" totalsRowFunction="min" dataDxfId="560" totalsRowDxfId="559">
      <calculatedColumnFormula>IF(OR(Z5="",Z5="-"),"-",Z5*$M5*SQRT(3)/1000)</calculatedColumnFormula>
    </tableColumn>
    <tableColumn id="19" xr3:uid="{00000000-0010-0000-0500-000013000000}" name="Relay A" totalsRowLabel="-" dataDxfId="558" totalsRowDxfId="557"/>
    <tableColumn id="20" xr3:uid="{00000000-0010-0000-0500-000014000000}" name="Relay MVA" totalsRowFunction="min" dataDxfId="556" totalsRowDxfId="555">
      <calculatedColumnFormula>IF(OR(AB5="",AB5="-"),"-",AB5*$M5*SQRT(3)/1000)</calculatedColumnFormula>
    </tableColumn>
    <tableColumn id="21" xr3:uid="{00000000-0010-0000-0500-000015000000}" name="CT A" totalsRowLabel="-" dataDxfId="554" totalsRowDxfId="553"/>
    <tableColumn id="22" xr3:uid="{00000000-0010-0000-0500-000016000000}" name="CT MVA" totalsRowFunction="min" dataDxfId="552" totalsRowDxfId="551">
      <calculatedColumnFormula>IF(OR(AD5="",AD5="-"),"-",AD5*$M5*SQRT(3)/1000)</calculatedColumnFormula>
    </tableColumn>
    <tableColumn id="29" xr3:uid="{00000000-0010-0000-0500-00001D000000}" name="Core" totalsRowLabel="-" dataDxfId="550"/>
    <tableColumn id="31" xr3:uid="{00000000-0010-0000-0500-00001F000000}" name="In Duct" totalsRowLabel="-" dataDxfId="549"/>
    <tableColumn id="28" xr3:uid="{00000000-0010-0000-0500-00001C000000}" name="Distance" totalsRowLabel="-" dataDxfId="548" totalsRowDxfId="547"/>
    <tableColumn id="32" xr3:uid="{00000000-0010-0000-0500-000020000000}" name="Depth m" totalsRowLabel="-" dataDxfId="546"/>
    <tableColumn id="38" xr3:uid="{00000000-0010-0000-0500-000026000000}" name="Depth Factor" totalsRowLabel="-" dataDxfId="545" totalsRowDxfId="544"/>
    <tableColumn id="33" xr3:uid="{00000000-0010-0000-0500-000021000000}" name="Soil Temp C" totalsRowLabel="-" dataDxfId="543"/>
    <tableColumn id="39" xr3:uid="{00000000-0010-0000-0500-000027000000}" name="Soil Temp Factor" totalsRowLabel="-" dataDxfId="542" totalsRowDxfId="541"/>
    <tableColumn id="34" xr3:uid="{00000000-0010-0000-0500-000022000000}" name="Soil TR °C.m/W" totalsRowLabel="-" dataDxfId="540"/>
    <tableColumn id="40" xr3:uid="{00000000-0010-0000-0500-000028000000}" name="Soil TR Factor" totalsRowLabel="-" dataDxfId="539" totalsRowDxfId="538"/>
    <tableColumn id="35" xr3:uid="{00000000-0010-0000-0500-000023000000}" name="Ccts" totalsRowLabel="-" dataDxfId="537"/>
    <tableColumn id="36" xr3:uid="{00000000-0010-0000-0500-000024000000}" name="Spacing" totalsRowLabel="-" dataDxfId="536"/>
    <tableColumn id="41" xr3:uid="{00000000-0010-0000-0500-000029000000}" name="Mutual Heat Factor" totalsRowLabel="-" dataDxfId="535" totalsRowDxfId="534"/>
    <tableColumn id="37" xr3:uid="{00000000-0010-0000-0500-000025000000}" name="Derating A" totalsRowLabel="-" dataDxfId="533">
      <calculatedColumnFormula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calculatedColumnFormula>
    </tableColumn>
    <tableColumn id="42" xr3:uid="{00000000-0010-0000-0500-00002A000000}" name="Derating MVA" totalsRowLabel="-" dataDxfId="532">
      <calculatedColumnFormula>IF(OR(AR5="",AR5="-"),"-",AR5*$M5*SQRT(3)/1000)</calculatedColumnFormula>
    </tableColumn>
    <tableColumn id="44" xr3:uid="{00000000-0010-0000-0500-00002C000000}" name="Summ Cont Winter A" totalsRowLabel="-" dataDxfId="531">
      <calculatedColumnFormula>IF(RIGHT(STU[[#This Row],[Device type]],7)="Winding","-",STU[[#This Row],[Cont Winter MVA]])</calculatedColumnFormula>
    </tableColumn>
    <tableColumn id="45" xr3:uid="{00000000-0010-0000-0500-00002D000000}" name="Summ Cont Shoulder MVA" totalsRowLabel="-" dataDxfId="530">
      <calculatedColumnFormula>IF(RIGHT(STU[[#This Row],[Device type]],7)="Winding","-",STU[[#This Row],[Cont Shoulder MVA]])</calculatedColumnFormula>
    </tableColumn>
    <tableColumn id="46" xr3:uid="{00000000-0010-0000-0500-00002E000000}" name="Summ Cont Summer A" totalsRowLabel="-" dataDxfId="529">
      <calculatedColumnFormula>IF(RIGHT(STU[[#This Row],[Device type]],7)="Winding","-",STU[[#This Row],[Cont Summer MVA]])</calculatedColumnFormula>
    </tableColumn>
    <tableColumn id="47" xr3:uid="{00000000-0010-0000-0500-00002F000000}" name="Summ Post Winter A" totalsRowLabel="-" dataDxfId="528">
      <calculatedColumnFormula>STU[[#This Row],[24 Hr Winter MVA]]</calculatedColumnFormula>
    </tableColumn>
    <tableColumn id="48" xr3:uid="{00000000-0010-0000-0500-000030000000}" name="Summ Post Summer A" totalsRowLabel="-" dataDxfId="527">
      <calculatedColumnFormula>STU[[#This Row],[24 Hr Summer MVA]]</calculatedColumnFormula>
    </tableColumn>
    <tableColumn id="49" xr3:uid="{00000000-0010-0000-0500-000031000000}" name="Summ Forward A" totalsRowLabel="-" dataDxfId="526">
      <calculatedColumnFormula>STU[[#This Row],[Forwards MVA]]</calculatedColumnFormula>
    </tableColumn>
    <tableColumn id="50" xr3:uid="{00000000-0010-0000-0500-000032000000}" name="Summ Reverse A" totalsRowLabel="-" dataDxfId="525">
      <calculatedColumnFormula>STU[[#This Row],[Relay MVA]]</calculatedColumnFormula>
    </tableColumn>
    <tableColumn id="51" xr3:uid="{00000000-0010-0000-0500-000033000000}" name="Summ CT A" totalsRowLabel="-" dataDxfId="524">
      <calculatedColumnFormula>STU[[#This Row],[CT MVA]]</calculatedColumnFormula>
    </tableColumn>
    <tableColumn id="52" xr3:uid="{00000000-0010-0000-0500-000034000000}" name="Cable Derating" totalsRowLabel="-" dataDxfId="523">
      <calculatedColumnFormula>STU[[#This Row],[Derating MVA]]</calculatedColumnFormula>
    </tableColumn>
    <tableColumn id="53" xr3:uid="{00000000-0010-0000-0500-000035000000}" name="ID Rating" totalsRowLabel="-" dataDxfId="522">
      <calculatedColumnFormula>STU[[#This Row],[Station/Feeder]]&amp;STU[[#This Row],[Lowest MVA]]</calculatedColumnFormula>
    </tableColumn>
    <tableColumn id="62" xr3:uid="{00000000-0010-0000-0500-00003E000000}" name="Limiting Equipment Reference-No PTX" totalsRowLabel="-" dataDxfId="521">
      <calculatedColumnFormula>CONCATENATE(BPD[[#This Row],[Supply Level]],BPD[[#This Row],[Station/Feeder]],BPD[[#This Row],[Voltage]],BPD[[#This Row],[Lowest A-No PTX]])</calculatedColumnFormula>
    </tableColumn>
    <tableColumn id="64" xr3:uid="{00000000-0010-0000-0500-000040000000}" name="Limiting Equipment Reference-PTX" dataDxfId="520">
      <calculatedColumnFormula>CONCATENATE(TMK[[#This Row],[Supply Level]],TMK[[#This Row],[Station/Feeder]],TMK[[#This Row],[Voltage]],TMK[[#This Row],[Lowest A-PTX]])</calculatedColumnFormula>
    </tableColumn>
    <tableColumn id="54" xr3:uid="{00000000-0010-0000-0500-000036000000}" name="Lowest MVA" totalsRowLabel="-" dataDxfId="519">
      <calculatedColumnFormula>IF(MIN(STU[[#This Row],[Summ Cont Winter A]:[Cable Derating]])=0,"",MIN(STU[[#This Row],[Summ Cont Winter A]:[Cable Derating]]))</calculatedColumnFormula>
    </tableColumn>
    <tableColumn id="59" xr3:uid="{00000000-0010-0000-0500-00003B000000}" name="Lowest A-No PTX" totalsRowLabel="-" dataDxfId="518">
      <calculatedColumnFormula>IFERROR(STU[[#This Row],[Lowest MVA]]*1000/(STU[[#This Row],[Voltage]]*SQRT(3)),"")</calculatedColumnFormula>
    </tableColumn>
    <tableColumn id="63" xr3:uid="{00000000-0010-0000-0500-00003F000000}" name="Lowest A-PTX" dataDxfId="517">
      <calculatedColumnFormula>IF(MIN(N5,P5,R5,T5,V5,X5,Z5,AB5,AD5,AR5)=0,"",MIN(N5,P5,R5,T5,V5,X5,Z5,AB5,AD5,AR5))</calculatedColumnFormula>
    </tableColumn>
    <tableColumn id="55" xr3:uid="{00000000-0010-0000-0500-000037000000}" name="Summ From" totalsRowLabel="-" dataDxfId="516">
      <calculatedColumnFormula>STU[[#This Row],[From]]</calculatedColumnFormula>
    </tableColumn>
    <tableColumn id="56" xr3:uid="{00000000-0010-0000-0500-000038000000}" name="Summ To" totalsRowLabel="-" dataDxfId="515">
      <calculatedColumnFormula>STU[[#This Row],[To]]</calculatedColumnFormula>
    </tableColumn>
    <tableColumn id="57" xr3:uid="{00000000-0010-0000-0500-000039000000}" name="Summ Equipment" totalsRowLabel="-" dataDxfId="514">
      <calculatedColumnFormula>IF(STU[[#This Row],[Device type]]="-",STU[[#This Row],[Equipment Type]]&amp;" - "&amp;STU[[#This Row],[Equipment ID]],STU[[#This Row],[Equipment Type]]&amp;" - "&amp;STU[[#This Row],[Equipment ID]]&amp;" - "&amp;STU[[#This Row],[Device type]])</calculatedColumnFormula>
    </tableColumn>
    <tableColumn id="58" xr3:uid="{00000000-0010-0000-0500-00003A000000}" name="Summ Voltage" totalsRowLabel="-" dataDxfId="513">
      <calculatedColumnFormula>STU[[#This Row],[Voltage]]</calculatedColumnFormula>
    </tableColumn>
  </tableColumns>
  <tableStyleInfo name="TableStyleMedium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IM" displayName="TIM" ref="A4:BL428" totalsRowCount="1" headerRowDxfId="512" dataDxfId="510" headerRowBorderDxfId="511" tableBorderDxfId="509">
  <autoFilter ref="A4:BL427" xr:uid="{00000000-0009-0000-0100-000007000000}">
    <filterColumn colId="2">
      <filters>
        <filter val="DistributionFeeder"/>
      </filters>
    </filterColumn>
  </autoFilter>
  <tableColumns count="64">
    <tableColumn id="60" xr3:uid="{00000000-0010-0000-0600-00003C000000}" name="Load Capability Reference" dataDxfId="508" totalsRowDxfId="507">
      <calculatedColumnFormula>CONCATENATE(STU[[#This Row],[Supply Level]],STU[[#This Row],[Station/Feeder]],STU[[#This Row],[Voltage]])</calculatedColumnFormula>
    </tableColumn>
    <tableColumn id="61" xr3:uid="{00000000-0010-0000-0600-00003D000000}" name="OC Protection Reference" dataDxfId="506" totalsRowDxfId="505">
      <calculatedColumnFormula>CONCATENATE(STU[[#This Row],[Supply Level]],STU[[#This Row],[Station/Feeder]],STU[[#This Row],[Equipment ID]],STU[[#This Row],[Voltage]],STU[[#This Row],[Device type]])</calculatedColumnFormula>
    </tableColumn>
    <tableColumn id="1" xr3:uid="{00000000-0010-0000-0600-000001000000}" name="Supply Level" dataDxfId="504" totalsRowDxfId="503"/>
    <tableColumn id="27" xr3:uid="{00000000-0010-0000-0600-00001B000000}" name="Station/Feeder" dataDxfId="502" totalsRowDxfId="501"/>
    <tableColumn id="2" xr3:uid="{00000000-0010-0000-0600-000002000000}" name="From" dataDxfId="500" totalsRowDxfId="499"/>
    <tableColumn id="3" xr3:uid="{00000000-0010-0000-0600-000003000000}" name="To" dataDxfId="498" totalsRowDxfId="497"/>
    <tableColumn id="30" xr3:uid="{00000000-0010-0000-0600-00001E000000}" name="Order" dataDxfId="496" totalsRowDxfId="495"/>
    <tableColumn id="43" xr3:uid="{00000000-0010-0000-0600-00002B000000}" name="Source of Data" dataDxfId="494" totalsRowDxfId="493"/>
    <tableColumn id="4" xr3:uid="{00000000-0010-0000-0600-000004000000}" name="Equipment ID" dataDxfId="492" totalsRowDxfId="491"/>
    <tableColumn id="5" xr3:uid="{00000000-0010-0000-0600-000005000000}" name="Equipment Type" dataDxfId="490" totalsRowDxfId="489"/>
    <tableColumn id="6" xr3:uid="{00000000-0010-0000-0600-000006000000}" name="Device ID" dataDxfId="488" totalsRowDxfId="487"/>
    <tableColumn id="7" xr3:uid="{00000000-0010-0000-0600-000007000000}" name="Device type" dataDxfId="486" totalsRowDxfId="485"/>
    <tableColumn id="8" xr3:uid="{00000000-0010-0000-0600-000008000000}" name="Voltage" dataDxfId="484" totalsRowDxfId="483"/>
    <tableColumn id="9" xr3:uid="{00000000-0010-0000-0600-000009000000}" name="Cont Winter A" totalsRowLabel="-" dataDxfId="482" totalsRowDxfId="481"/>
    <tableColumn id="10" xr3:uid="{00000000-0010-0000-0600-00000A000000}" name="Cont Winter MVA" totalsRowFunction="min" dataDxfId="480" totalsRowDxfId="479">
      <calculatedColumnFormula>IF(OR(N5="",N5="-"),"-",N5*$M5*SQRT(3)/1000)</calculatedColumnFormula>
    </tableColumn>
    <tableColumn id="23" xr3:uid="{00000000-0010-0000-0600-000017000000}" name="Cont Shoulder A" totalsRowLabel="-" dataDxfId="478" totalsRowDxfId="477"/>
    <tableColumn id="24" xr3:uid="{00000000-0010-0000-0600-000018000000}" name="Cont Shoulder MVA" totalsRowFunction="custom" dataDxfId="476" totalsRowDxfId="475">
      <calculatedColumnFormula>IF(OR(P5="",P5="-"),"-",P5*$M5*SQRT(3)/1000)</calculatedColumnFormula>
      <totalsRowFormula>SUBTOTAL(105,TIM[Cont Winter MVA])</totalsRowFormula>
    </tableColumn>
    <tableColumn id="25" xr3:uid="{00000000-0010-0000-0600-000019000000}" name="Cont Summer A" totalsRowLabel="-" dataDxfId="474" totalsRowDxfId="473"/>
    <tableColumn id="26" xr3:uid="{00000000-0010-0000-0600-00001A000000}" name="Cont Summer MVA" totalsRowFunction="custom" dataDxfId="472" totalsRowDxfId="471">
      <calculatedColumnFormula>IF(OR(R5="",R5="-"),"-",R5*$M5*SQRT(3)/1000)</calculatedColumnFormula>
      <totalsRowFormula>SUBTOTAL(105,TIM[Cont Winter MVA])</totalsRowFormula>
    </tableColumn>
    <tableColumn id="13" xr3:uid="{00000000-0010-0000-0600-00000D000000}" name="24 Hr Winter A" totalsRowLabel="-" dataDxfId="470" totalsRowDxfId="469"/>
    <tableColumn id="14" xr3:uid="{00000000-0010-0000-0600-00000E000000}" name="24 Hr Winter MVA" totalsRowFunction="min" dataDxfId="468" totalsRowDxfId="467">
      <calculatedColumnFormula>IF(OR(T5="",T5="-"),"-",T5*$M5*SQRT(3)/1000)</calculatedColumnFormula>
    </tableColumn>
    <tableColumn id="11" xr3:uid="{00000000-0010-0000-0600-00000B000000}" name="24 Hr Summer A" totalsRowLabel="-" dataDxfId="466" totalsRowDxfId="465"/>
    <tableColumn id="12" xr3:uid="{00000000-0010-0000-0600-00000C000000}" name="24 Hr Summer MVA" totalsRowFunction="min" dataDxfId="464" totalsRowDxfId="463">
      <calculatedColumnFormula>IF(OR(V5="",V5="-"),"-",V5*$M5*SQRT(3)/1000)</calculatedColumnFormula>
    </tableColumn>
    <tableColumn id="15" xr3:uid="{00000000-0010-0000-0600-00000F000000}" name="Forward A" totalsRowLabel="-" dataDxfId="462" totalsRowDxfId="461"/>
    <tableColumn id="16" xr3:uid="{00000000-0010-0000-0600-000010000000}" name="Forwards MVA" totalsRowFunction="min" dataDxfId="460" totalsRowDxfId="459">
      <calculatedColumnFormula>IF(OR(X5="",X5="-"),"-",X5*$M5*SQRT(3)/1000)</calculatedColumnFormula>
    </tableColumn>
    <tableColumn id="17" xr3:uid="{00000000-0010-0000-0600-000011000000}" name="Reverse A" totalsRowLabel="-" dataDxfId="458" totalsRowDxfId="457"/>
    <tableColumn id="18" xr3:uid="{00000000-0010-0000-0600-000012000000}" name="Reverse MVA" totalsRowFunction="min" dataDxfId="456" totalsRowDxfId="455">
      <calculatedColumnFormula>IF(OR(Z5="",Z5="-"),"-",Z5*$M5*SQRT(3)/1000)</calculatedColumnFormula>
    </tableColumn>
    <tableColumn id="19" xr3:uid="{00000000-0010-0000-0600-000013000000}" name="Relay A" totalsRowLabel="-" dataDxfId="454" totalsRowDxfId="453"/>
    <tableColumn id="20" xr3:uid="{00000000-0010-0000-0600-000014000000}" name="Relay MVA" totalsRowFunction="min" dataDxfId="452" totalsRowDxfId="451">
      <calculatedColumnFormula>IF(OR(AB5="",AB5="-"),"-",AB5*$M5*SQRT(3)/1000)</calculatedColumnFormula>
    </tableColumn>
    <tableColumn id="21" xr3:uid="{00000000-0010-0000-0600-000015000000}" name="CT A" totalsRowLabel="-" dataDxfId="450" totalsRowDxfId="449"/>
    <tableColumn id="22" xr3:uid="{00000000-0010-0000-0600-000016000000}" name="CT MVA" totalsRowFunction="min" dataDxfId="448" totalsRowDxfId="447">
      <calculatedColumnFormula>IF(OR(AD5="",AD5="-"),"-",AD5*$M5*SQRT(3)/1000)</calculatedColumnFormula>
    </tableColumn>
    <tableColumn id="29" xr3:uid="{00000000-0010-0000-0600-00001D000000}" name="Core" totalsRowLabel="-" dataDxfId="446"/>
    <tableColumn id="31" xr3:uid="{00000000-0010-0000-0600-00001F000000}" name="In Duct" totalsRowLabel="-" dataDxfId="445"/>
    <tableColumn id="28" xr3:uid="{00000000-0010-0000-0600-00001C000000}" name="Distance" totalsRowLabel="-" dataDxfId="444" totalsRowDxfId="443"/>
    <tableColumn id="32" xr3:uid="{00000000-0010-0000-0600-000020000000}" name="Depth m" totalsRowLabel="-" dataDxfId="442"/>
    <tableColumn id="38" xr3:uid="{00000000-0010-0000-0600-000026000000}" name="Depth Factor" totalsRowLabel="-" dataDxfId="441" totalsRowDxfId="440"/>
    <tableColumn id="33" xr3:uid="{00000000-0010-0000-0600-000021000000}" name="Soil Temp C" totalsRowLabel="-" dataDxfId="439"/>
    <tableColumn id="39" xr3:uid="{00000000-0010-0000-0600-000027000000}" name="Soil Temp Factor" totalsRowLabel="-" dataDxfId="438" totalsRowDxfId="437"/>
    <tableColumn id="34" xr3:uid="{00000000-0010-0000-0600-000022000000}" name="Soil TR °C.m/W" totalsRowLabel="-" dataDxfId="436"/>
    <tableColumn id="40" xr3:uid="{00000000-0010-0000-0600-000028000000}" name="Soil TR Factor" totalsRowLabel="-" dataDxfId="435" totalsRowDxfId="434"/>
    <tableColumn id="35" xr3:uid="{00000000-0010-0000-0600-000023000000}" name="Ccts" totalsRowLabel="-" dataDxfId="433"/>
    <tableColumn id="36" xr3:uid="{00000000-0010-0000-0600-000024000000}" name="Spacing" totalsRowLabel="-" dataDxfId="432"/>
    <tableColumn id="41" xr3:uid="{00000000-0010-0000-0600-000029000000}" name="Mutual Heat Factor" totalsRowLabel="-" dataDxfId="431" totalsRowDxfId="430"/>
    <tableColumn id="37" xr3:uid="{00000000-0010-0000-0600-000025000000}" name="Derating A" totalsRowLabel="-" dataDxfId="429">
      <calculatedColumnFormula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calculatedColumnFormula>
    </tableColumn>
    <tableColumn id="42" xr3:uid="{00000000-0010-0000-0600-00002A000000}" name="Derating MVA" totalsRowLabel="-" dataDxfId="428">
      <calculatedColumnFormula>IF(OR(AR5="",AR5="-"),"-",AR5*$M5*SQRT(3)/1000)</calculatedColumnFormula>
    </tableColumn>
    <tableColumn id="44" xr3:uid="{00000000-0010-0000-0600-00002C000000}" name="Summ Cont Winter A" totalsRowLabel="-" dataDxfId="427">
      <calculatedColumnFormula>IF(RIGHT(TIM[[#This Row],[Device type]],7)="Winding","-",TIM[[#This Row],[Cont Winter MVA]])</calculatedColumnFormula>
    </tableColumn>
    <tableColumn id="45" xr3:uid="{00000000-0010-0000-0600-00002D000000}" name="Summ Cont Shoulder MVA" totalsRowLabel="-" dataDxfId="426">
      <calculatedColumnFormula>IF(RIGHT(TIM[[#This Row],[Device type]],7)="Winding","-",TIM[[#This Row],[Cont Shoulder MVA]])</calculatedColumnFormula>
    </tableColumn>
    <tableColumn id="46" xr3:uid="{00000000-0010-0000-0600-00002E000000}" name="Summ Cont Summer A" totalsRowLabel="-" dataDxfId="425">
      <calculatedColumnFormula>IF(RIGHT(TIM[[#This Row],[Device type]],7)="Winding","-",TIM[[#This Row],[Cont Summer MVA]])</calculatedColumnFormula>
    </tableColumn>
    <tableColumn id="47" xr3:uid="{00000000-0010-0000-0600-00002F000000}" name="Summ Post Winter A" totalsRowLabel="-" dataDxfId="424">
      <calculatedColumnFormula>TIM[[#This Row],[24 Hr Winter MVA]]</calculatedColumnFormula>
    </tableColumn>
    <tableColumn id="48" xr3:uid="{00000000-0010-0000-0600-000030000000}" name="Summ Post Summer A" totalsRowLabel="-" dataDxfId="423">
      <calculatedColumnFormula>TIM[[#This Row],[24 Hr Summer MVA]]</calculatedColumnFormula>
    </tableColumn>
    <tableColumn id="49" xr3:uid="{00000000-0010-0000-0600-000031000000}" name="Summ Forward A" totalsRowLabel="-" dataDxfId="422">
      <calculatedColumnFormula>TIM[[#This Row],[Forwards MVA]]</calculatedColumnFormula>
    </tableColumn>
    <tableColumn id="50" xr3:uid="{00000000-0010-0000-0600-000032000000}" name="Summ Reverse A" totalsRowLabel="-" dataDxfId="421">
      <calculatedColumnFormula>TIM[[#This Row],[Relay MVA]]</calculatedColumnFormula>
    </tableColumn>
    <tableColumn id="51" xr3:uid="{00000000-0010-0000-0600-000033000000}" name="Summ CT A" totalsRowLabel="-" dataDxfId="420">
      <calculatedColumnFormula>TIM[[#This Row],[CT MVA]]</calculatedColumnFormula>
    </tableColumn>
    <tableColumn id="52" xr3:uid="{00000000-0010-0000-0600-000034000000}" name="Cable Derating" totalsRowLabel="-" dataDxfId="419">
      <calculatedColumnFormula>TIM[[#This Row],[Derating MVA]]</calculatedColumnFormula>
    </tableColumn>
    <tableColumn id="53" xr3:uid="{00000000-0010-0000-0600-000035000000}" name="ID Rating" totalsRowLabel="-" dataDxfId="418">
      <calculatedColumnFormula>TIM[[#This Row],[Station/Feeder]]&amp;TIM[[#This Row],[Lowest MVA]]</calculatedColumnFormula>
    </tableColumn>
    <tableColumn id="62" xr3:uid="{00000000-0010-0000-0600-00003E000000}" name="Limiting Equipment Reference-No PTX" totalsRowLabel="-" dataDxfId="417">
      <calculatedColumnFormula>CONCATENATE(STU[[#This Row],[Supply Level]],STU[[#This Row],[Station/Feeder]],STU[[#This Row],[Voltage]],STU[[#This Row],[Lowest A-No PTX]])</calculatedColumnFormula>
    </tableColumn>
    <tableColumn id="64" xr3:uid="{00000000-0010-0000-0600-000040000000}" name="Limiting Equipment Reference-PTX" dataDxfId="416">
      <calculatedColumnFormula>CONCATENATE(TMK[[#This Row],[Supply Level]],TMK[[#This Row],[Station/Feeder]],TMK[[#This Row],[Voltage]],TMK[[#This Row],[Lowest A-PTX]])</calculatedColumnFormula>
    </tableColumn>
    <tableColumn id="54" xr3:uid="{00000000-0010-0000-0600-000036000000}" name="Lowest MVA" totalsRowLabel="-" dataDxfId="415">
      <calculatedColumnFormula>IFERROR(IF(MIN(TIM[[#This Row],[Summ Cont Winter A]:[Cable Derating]])=0,"",MIN(TIM[[#This Row],[Summ Cont Winter A]:[Cable Derating]])),"")</calculatedColumnFormula>
    </tableColumn>
    <tableColumn id="59" xr3:uid="{00000000-0010-0000-0600-00003B000000}" name="Lowest A-No PTX" totalsRowLabel="-" dataDxfId="414">
      <calculatedColumnFormula>IFERROR(TIM[[#This Row],[Lowest MVA]]*1000/(TIM[[#This Row],[Voltage]]*SQRT(3)),"")</calculatedColumnFormula>
    </tableColumn>
    <tableColumn id="63" xr3:uid="{00000000-0010-0000-0600-00003F000000}" name="Lowest A-PTX" dataDxfId="413">
      <calculatedColumnFormula>IF(MIN(N5,P5,R5,T5,V5,X5,Z5,AB5,AD5,AR5)=0,"",MIN(N5,P5,R5,T5,V5,X5,Z5,AB5,AD5,AR5))</calculatedColumnFormula>
    </tableColumn>
    <tableColumn id="55" xr3:uid="{00000000-0010-0000-0600-000037000000}" name="Summ From" totalsRowLabel="-" dataDxfId="412">
      <calculatedColumnFormula>TIM[[#This Row],[From]]</calculatedColumnFormula>
    </tableColumn>
    <tableColumn id="56" xr3:uid="{00000000-0010-0000-0600-000038000000}" name="Summ To" totalsRowLabel="-" dataDxfId="411">
      <calculatedColumnFormula>TIM[[#This Row],[To]]</calculatedColumnFormula>
    </tableColumn>
    <tableColumn id="57" xr3:uid="{00000000-0010-0000-0600-000039000000}" name="Summ Equipment" totalsRowLabel="-" dataDxfId="410">
      <calculatedColumnFormula>IF(TIM[[#This Row],[Device type]]="-",TIM[[#This Row],[Equipment Type]]&amp;" - "&amp;TIM[[#This Row],[Equipment ID]],TIM[[#This Row],[Equipment Type]]&amp;" - "&amp;TIM[[#This Row],[Equipment ID]]&amp;" - "&amp;TIM[[#This Row],[Device type]])</calculatedColumnFormula>
    </tableColumn>
    <tableColumn id="58" xr3:uid="{00000000-0010-0000-0600-00003A000000}" name="Summ Voltage" totalsRowLabel="-" dataDxfId="409">
      <calculatedColumnFormula>TIM[[#This Row],[Voltage]]</calculatedColumnFormula>
    </tableColumn>
  </tableColumns>
  <tableStyleInfo name="TableStyleMedium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7000000}" name="TKA" displayName="TKA" ref="A4:BL176" totalsRowCount="1" headerRowDxfId="408" dataDxfId="406" headerRowBorderDxfId="407" tableBorderDxfId="405">
  <autoFilter ref="A4:BL175" xr:uid="{00000000-0009-0000-0100-000003000000}"/>
  <tableColumns count="64">
    <tableColumn id="60" xr3:uid="{00000000-0010-0000-0700-00003C000000}" name="Load Capability Reference" dataDxfId="404" totalsRowDxfId="403">
      <calculatedColumnFormula>CONCATENATE(TKA[[#This Row],[Supply Level]],TKA[[#This Row],[Station/Feeder]],TKA[[#This Row],[Voltage]])</calculatedColumnFormula>
    </tableColumn>
    <tableColumn id="61" xr3:uid="{00000000-0010-0000-0700-00003D000000}" name="OC Protection Reference" dataDxfId="402" totalsRowDxfId="401">
      <calculatedColumnFormula>CONCATENATE(STU[[#This Row],[Supply Level]],STU[[#This Row],[Station/Feeder]],STU[[#This Row],[Equipment ID]],STU[[#This Row],[Voltage]],STU[[#This Row],[Device type]])</calculatedColumnFormula>
    </tableColumn>
    <tableColumn id="1" xr3:uid="{00000000-0010-0000-0700-000001000000}" name="Supply Level" dataDxfId="400" totalsRowDxfId="399"/>
    <tableColumn id="27" xr3:uid="{00000000-0010-0000-0700-00001B000000}" name="Station/Feeder" dataDxfId="398" totalsRowDxfId="397"/>
    <tableColumn id="2" xr3:uid="{00000000-0010-0000-0700-000002000000}" name="From" dataDxfId="396" totalsRowDxfId="395"/>
    <tableColumn id="3" xr3:uid="{00000000-0010-0000-0700-000003000000}" name="To" dataDxfId="394" totalsRowDxfId="393"/>
    <tableColumn id="30" xr3:uid="{00000000-0010-0000-0700-00001E000000}" name="Order" dataDxfId="392" totalsRowDxfId="391"/>
    <tableColumn id="43" xr3:uid="{00000000-0010-0000-0700-00002B000000}" name="Source of Data" dataDxfId="390" totalsRowDxfId="389"/>
    <tableColumn id="4" xr3:uid="{00000000-0010-0000-0700-000004000000}" name="Equipment ID" dataDxfId="388" totalsRowDxfId="387"/>
    <tableColumn id="5" xr3:uid="{00000000-0010-0000-0700-000005000000}" name="Equipment Type" dataDxfId="386" totalsRowDxfId="385"/>
    <tableColumn id="6" xr3:uid="{00000000-0010-0000-0700-000006000000}" name="Device ID" dataDxfId="384" totalsRowDxfId="383"/>
    <tableColumn id="7" xr3:uid="{00000000-0010-0000-0700-000007000000}" name="Device type" dataDxfId="382" totalsRowDxfId="381"/>
    <tableColumn id="8" xr3:uid="{00000000-0010-0000-0700-000008000000}" name="Voltage" dataDxfId="380" totalsRowDxfId="379"/>
    <tableColumn id="9" xr3:uid="{00000000-0010-0000-0700-000009000000}" name="Cont Winter A" totalsRowLabel="-" dataDxfId="378" totalsRowDxfId="377"/>
    <tableColumn id="10" xr3:uid="{00000000-0010-0000-0700-00000A000000}" name="Cont Winter MVA" totalsRowLabel="-" dataDxfId="376" totalsRowDxfId="375">
      <calculatedColumnFormula>IF(OR(N5="",N5="-"),"-",N5*$M5*SQRT(3)/1000)</calculatedColumnFormula>
    </tableColumn>
    <tableColumn id="23" xr3:uid="{00000000-0010-0000-0700-000017000000}" name="Cont Shoulder A" totalsRowLabel="-" dataDxfId="374" totalsRowDxfId="373"/>
    <tableColumn id="24" xr3:uid="{00000000-0010-0000-0700-000018000000}" name="Cont Shoulder MVA" totalsRowLabel="-" dataDxfId="372" totalsRowDxfId="371">
      <calculatedColumnFormula>IF(OR(P5="",P5="-"),"-",P5*$M5*SQRT(3)/1000)</calculatedColumnFormula>
    </tableColumn>
    <tableColumn id="25" xr3:uid="{00000000-0010-0000-0700-000019000000}" name="Cont Summer A" totalsRowLabel="-" dataDxfId="370" totalsRowDxfId="369"/>
    <tableColumn id="26" xr3:uid="{00000000-0010-0000-0700-00001A000000}" name="Cont Summer MVA" totalsRowLabel="-" dataDxfId="368" totalsRowDxfId="367">
      <calculatedColumnFormula>IF(OR(R5="",R5="-"),"-",R5*$M5*SQRT(3)/1000)</calculatedColumnFormula>
    </tableColumn>
    <tableColumn id="13" xr3:uid="{00000000-0010-0000-0700-00000D000000}" name="24 Hr Winter A" totalsRowLabel="-" dataDxfId="366" totalsRowDxfId="365"/>
    <tableColumn id="14" xr3:uid="{00000000-0010-0000-0700-00000E000000}" name="24 Hr Winter MVA" totalsRowLabel="-" dataDxfId="364" totalsRowDxfId="363">
      <calculatedColumnFormula>IF(OR(T5="",T5="-"),"-",T5*$M5*SQRT(3)/1000)</calculatedColumnFormula>
    </tableColumn>
    <tableColumn id="11" xr3:uid="{00000000-0010-0000-0700-00000B000000}" name="24 Hr Summer A" totalsRowLabel="-" dataDxfId="362" totalsRowDxfId="361"/>
    <tableColumn id="12" xr3:uid="{00000000-0010-0000-0700-00000C000000}" name="24 Hr Summer MVA" totalsRowLabel="-" dataDxfId="360" totalsRowDxfId="359">
      <calculatedColumnFormula>IF(OR(V5="",V5="-"),"-",V5*$M5*SQRT(3)/1000)</calculatedColumnFormula>
    </tableColumn>
    <tableColumn id="15" xr3:uid="{00000000-0010-0000-0700-00000F000000}" name="Forward A" totalsRowLabel="-" dataDxfId="358" totalsRowDxfId="357"/>
    <tableColumn id="16" xr3:uid="{00000000-0010-0000-0700-000010000000}" name="Forwards MVA" totalsRowLabel="-" dataDxfId="356" totalsRowDxfId="355">
      <calculatedColumnFormula>IF(OR(X5="",X5="-"),"-",X5*$M5*SQRT(3)/1000)</calculatedColumnFormula>
    </tableColumn>
    <tableColumn id="17" xr3:uid="{00000000-0010-0000-0700-000011000000}" name="Reverse A" totalsRowLabel="-" dataDxfId="354" totalsRowDxfId="353"/>
    <tableColumn id="18" xr3:uid="{00000000-0010-0000-0700-000012000000}" name="Reverse MVA" totalsRowLabel="-" dataDxfId="352" totalsRowDxfId="351">
      <calculatedColumnFormula>IF(OR(Z5="",Z5="-"),"-",Z5*$M5*SQRT(3)/1000)</calculatedColumnFormula>
    </tableColumn>
    <tableColumn id="19" xr3:uid="{00000000-0010-0000-0700-000013000000}" name="Relay A" totalsRowLabel="-" dataDxfId="350" totalsRowDxfId="349"/>
    <tableColumn id="20" xr3:uid="{00000000-0010-0000-0700-000014000000}" name="Relay MVA" totalsRowLabel="-" dataDxfId="348" totalsRowDxfId="347">
      <calculatedColumnFormula>IF(OR(AB5="",AB5="-"),"-",AB5*$M5*SQRT(3)/1000)</calculatedColumnFormula>
    </tableColumn>
    <tableColumn id="21" xr3:uid="{00000000-0010-0000-0700-000015000000}" name="CT A" totalsRowLabel="-" dataDxfId="346" totalsRowDxfId="345"/>
    <tableColumn id="22" xr3:uid="{00000000-0010-0000-0700-000016000000}" name="CT MVA" totalsRowLabel="-" dataDxfId="344" totalsRowDxfId="343">
      <calculatedColumnFormula>IF(OR(AD5="",AD5="-"),"-",AD5*$M5*SQRT(3)/1000)</calculatedColumnFormula>
    </tableColumn>
    <tableColumn id="29" xr3:uid="{00000000-0010-0000-0700-00001D000000}" name="Core" totalsRowLabel="-" dataDxfId="342" totalsRowDxfId="341"/>
    <tableColumn id="31" xr3:uid="{00000000-0010-0000-0700-00001F000000}" name="In Duct" totalsRowLabel="-" dataDxfId="340" totalsRowDxfId="339"/>
    <tableColumn id="28" xr3:uid="{00000000-0010-0000-0700-00001C000000}" name="Distance" totalsRowLabel="-" dataDxfId="338" totalsRowDxfId="337"/>
    <tableColumn id="32" xr3:uid="{00000000-0010-0000-0700-000020000000}" name="Depth m" totalsRowLabel="-" dataDxfId="336" totalsRowDxfId="335"/>
    <tableColumn id="38" xr3:uid="{00000000-0010-0000-0700-000026000000}" name="Depth Factor" totalsRowLabel="-" dataDxfId="334" totalsRowDxfId="333"/>
    <tableColumn id="33" xr3:uid="{00000000-0010-0000-0700-000021000000}" name="Soil Temp C" totalsRowLabel="-" dataDxfId="332" totalsRowDxfId="331"/>
    <tableColumn id="39" xr3:uid="{00000000-0010-0000-0700-000027000000}" name="Soil Temp Factor" totalsRowLabel="-" dataDxfId="330" totalsRowDxfId="329"/>
    <tableColumn id="34" xr3:uid="{00000000-0010-0000-0700-000022000000}" name="Soil TR °C.m/W" totalsRowLabel="-" dataDxfId="328" totalsRowDxfId="327"/>
    <tableColumn id="40" xr3:uid="{00000000-0010-0000-0700-000028000000}" name="Soil TR Factor" totalsRowLabel="-" dataDxfId="326" totalsRowDxfId="325"/>
    <tableColumn id="35" xr3:uid="{00000000-0010-0000-0700-000023000000}" name="Ccts" totalsRowLabel="-" dataDxfId="324" totalsRowDxfId="323"/>
    <tableColumn id="36" xr3:uid="{00000000-0010-0000-0700-000024000000}" name="Spacing" totalsRowLabel="-" dataDxfId="322" totalsRowDxfId="321"/>
    <tableColumn id="41" xr3:uid="{00000000-0010-0000-0700-000029000000}" name="Mutual Heat Factor" totalsRowLabel="-" dataDxfId="320" totalsRowDxfId="319"/>
    <tableColumn id="37" xr3:uid="{00000000-0010-0000-0700-000025000000}" name="Derating A" totalsRowLabel="-" dataDxfId="318" totalsRowDxfId="317">
      <calculatedColumnFormula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calculatedColumnFormula>
    </tableColumn>
    <tableColumn id="42" xr3:uid="{00000000-0010-0000-0700-00002A000000}" name="Derating MVA" totalsRowLabel="-" dataDxfId="316" totalsRowDxfId="315">
      <calculatedColumnFormula>IF(OR(AR5="",AR5="-"),"-",AR5*$M5*SQRT(3)/1000)</calculatedColumnFormula>
    </tableColumn>
    <tableColumn id="44" xr3:uid="{00000000-0010-0000-0700-00002C000000}" name="Summ Cont Winter A" totalsRowFunction="custom" dataDxfId="314" totalsRowDxfId="313">
      <calculatedColumnFormula>IF(RIGHT(TKA[[#This Row],[Device type]],7)="Winding","-",TKA[[#This Row],[Cont Winter MVA]])</calculatedColumnFormula>
      <totalsRowFormula>IF(SUBTOTAL(105,TKA[Summ Cont Winter A])=0,"",SUBTOTAL(105,TKA[Summ Cont Winter A]))</totalsRowFormula>
    </tableColumn>
    <tableColumn id="45" xr3:uid="{00000000-0010-0000-0700-00002D000000}" name="Summ Cont Shoulder MVA" totalsRowFunction="custom" dataDxfId="312" totalsRowDxfId="311">
      <calculatedColumnFormula>IF(RIGHT(TKA[[#This Row],[Device type]],7)="Winding","-",TKA[[#This Row],[Cont Shoulder MVA]])</calculatedColumnFormula>
      <totalsRowFormula>IF(SUBTOTAL(105,TKA[Summ Cont Shoulder MVA])=0,"",SUBTOTAL(105,TKA[Summ Cont Shoulder MVA]))</totalsRowFormula>
    </tableColumn>
    <tableColumn id="46" xr3:uid="{00000000-0010-0000-0700-00002E000000}" name="Summ Cont Summer A" totalsRowFunction="custom" dataDxfId="310" totalsRowDxfId="309">
      <calculatedColumnFormula>IF(RIGHT(TKA[[#This Row],[Device type]],7)="Winding","-",TKA[[#This Row],[Cont Summer MVA]])</calculatedColumnFormula>
      <totalsRowFormula>IF(SUBTOTAL(105,TKA[Summ Cont Summer A])=0,"",SUBTOTAL(105,TKA[Summ Cont Summer A]))</totalsRowFormula>
    </tableColumn>
    <tableColumn id="47" xr3:uid="{00000000-0010-0000-0700-00002F000000}" name="Summ Post Winter A" totalsRowFunction="custom" dataDxfId="308" totalsRowDxfId="307">
      <calculatedColumnFormula>TKA[[#This Row],[24 Hr Winter MVA]]</calculatedColumnFormula>
      <totalsRowFormula>IF(SUBTOTAL(105,TKA[Summ Post Winter A])=0,"",SUBTOTAL(105,TKA[Summ Post Winter A]))</totalsRowFormula>
    </tableColumn>
    <tableColumn id="48" xr3:uid="{00000000-0010-0000-0700-000030000000}" name="Summ Post Summer A" totalsRowFunction="custom" dataDxfId="306" totalsRowDxfId="305">
      <calculatedColumnFormula>TKA[[#This Row],[24 Hr Summer MVA]]</calculatedColumnFormula>
      <totalsRowFormula>IF(SUBTOTAL(105,TKA[Summ Post Summer A])=0,"",SUBTOTAL(105,TKA[Summ Post Summer A]))</totalsRowFormula>
    </tableColumn>
    <tableColumn id="49" xr3:uid="{00000000-0010-0000-0700-000031000000}" name="Summ Forward A" totalsRowFunction="custom" dataDxfId="304" totalsRowDxfId="303">
      <calculatedColumnFormula>TKA[[#This Row],[Forwards MVA]]</calculatedColumnFormula>
      <totalsRowFormula>IF(SUBTOTAL(105,TKA[Summ Forward A])=0,"",SUBTOTAL(105,TKA[Summ Forward A]))</totalsRowFormula>
    </tableColumn>
    <tableColumn id="51" xr3:uid="{00000000-0010-0000-0700-000033000000}" name="Summ Reverse A" totalsRowFunction="custom" dataDxfId="302" totalsRowDxfId="301">
      <calculatedColumnFormula>TKA[[#This Row],[Relay MVA]]</calculatedColumnFormula>
      <totalsRowFormula>IF(SUBTOTAL(105,TKA[Summ Reverse A])=0,"",SUBTOTAL(105,TKA[Summ Reverse A]))</totalsRowFormula>
    </tableColumn>
    <tableColumn id="52" xr3:uid="{00000000-0010-0000-0700-000034000000}" name="Summ CT A" totalsRowFunction="custom" dataDxfId="300" totalsRowDxfId="299">
      <calculatedColumnFormula>TKA[[#This Row],[CT MVA]]</calculatedColumnFormula>
      <totalsRowFormula>IF(SUBTOTAL(105,TKA[Summ CT A])=0,"",SUBTOTAL(105,TKA[Summ CT A]))</totalsRowFormula>
    </tableColumn>
    <tableColumn id="53" xr3:uid="{00000000-0010-0000-0700-000035000000}" name="Cable Derating" totalsRowFunction="custom" dataDxfId="298" totalsRowDxfId="297">
      <calculatedColumnFormula>TKA[[#This Row],[Derating MVA]]</calculatedColumnFormula>
      <totalsRowFormula>IF(SUBTOTAL(105,TKA[Cable Derating])=0,"",SUBTOTAL(105,TKA[Cable Derating]))</totalsRowFormula>
    </tableColumn>
    <tableColumn id="59" xr3:uid="{00000000-0010-0000-0700-00003B000000}" name="ID Rating" totalsRowLabel="-" dataDxfId="296" totalsRowDxfId="295">
      <calculatedColumnFormula>TKA[[#This Row],[Station/Feeder]]&amp;TKA[[#This Row],[Lowest MVA]]</calculatedColumnFormula>
    </tableColumn>
    <tableColumn id="62" xr3:uid="{00000000-0010-0000-0700-00003E000000}" name="Limiting Equipment Reference-No PTX" totalsRowLabel="-" dataDxfId="294" totalsRowDxfId="293">
      <calculatedColumnFormula>CONCATENATE(STU[[#This Row],[Supply Level]],STU[[#This Row],[Station/Feeder]],STU[[#This Row],[Voltage]],STU[[#This Row],[Lowest A-No PTX]])</calculatedColumnFormula>
    </tableColumn>
    <tableColumn id="64" xr3:uid="{00000000-0010-0000-0700-000040000000}" name="Limiting Equipment Reference-PTX" dataDxfId="292" totalsRowDxfId="291">
      <calculatedColumnFormula>CONCATENATE(TMK[[#This Row],[Supply Level]],TMK[[#This Row],[Station/Feeder]],TMK[[#This Row],[Voltage]],TMK[[#This Row],[Lowest A-PTX]])</calculatedColumnFormula>
    </tableColumn>
    <tableColumn id="54" xr3:uid="{00000000-0010-0000-0700-000036000000}" name="Lowest MVA" totalsRowFunction="min" dataDxfId="290" totalsRowDxfId="289">
      <calculatedColumnFormula>IF(MIN(TKA[[#This Row],[Summ Cont Winter A]]:TKA[[#This Row],[Cable Derating]])=0,"",MIN(TKA[[#This Row],[Summ Cont Winter A]]:TKA[[#This Row],[Cable Derating]]))</calculatedColumnFormula>
    </tableColumn>
    <tableColumn id="50" xr3:uid="{00000000-0010-0000-0700-000032000000}" name="Lowest A-No PTX" totalsRowLabel="-" dataDxfId="288" totalsRowDxfId="287">
      <calculatedColumnFormula>IFERROR(TKA[[#This Row],[Lowest MVA]]*1000/(TKA[[#This Row],[Voltage]]*SQRT(3)),"")</calculatedColumnFormula>
    </tableColumn>
    <tableColumn id="63" xr3:uid="{00000000-0010-0000-0700-00003F000000}" name="Lowest A-PTX" dataDxfId="286" totalsRowDxfId="285">
      <calculatedColumnFormula>IF(MIN(N5,P5,R5,T5,V5,X5,Z5,AB5,AD5,AR5)=0,"",MIN(N5,P5,R5,T5,V5,X5,Z5,AB5,AD5,AR5))</calculatedColumnFormula>
    </tableColumn>
    <tableColumn id="56" xr3:uid="{00000000-0010-0000-0700-000038000000}" name="Summ From" totalsRowLabel="-" dataDxfId="284" totalsRowDxfId="283">
      <calculatedColumnFormula>TKA[[#This Row],[From]]</calculatedColumnFormula>
    </tableColumn>
    <tableColumn id="57" xr3:uid="{00000000-0010-0000-0700-000039000000}" name="Summ To" totalsRowLabel="-" dataDxfId="282" totalsRowDxfId="281">
      <calculatedColumnFormula>TKA[[#This Row],[To]]</calculatedColumnFormula>
    </tableColumn>
    <tableColumn id="55" xr3:uid="{00000000-0010-0000-0700-000037000000}" name="Summ Equipment" totalsRowLabel="-" dataDxfId="280" totalsRowDxfId="279">
      <calculatedColumnFormula>IF(TKA[[#This Row],[Device type]]="-",TKA[[#This Row],[Equipment Type]]&amp;" - "&amp;TKA[[#This Row],[Equipment ID]],TKA[[#This Row],[Equipment Type]]&amp;" - "&amp;TKA[[#This Row],[Equipment ID]]&amp;" - "&amp;TKA[[#This Row],[Device type]])</calculatedColumnFormula>
    </tableColumn>
    <tableColumn id="58" xr3:uid="{00000000-0010-0000-0700-00003A000000}" name="Summ Voltage" totalsRowLabel="-" dataDxfId="278" totalsRowDxfId="277">
      <calculatedColumnFormula>TKA[[#This Row],[Voltage]]</calculatedColumnFormula>
    </tableColumn>
  </tableColumns>
  <tableStyleInfo name="TableStyleMedium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8000000}" name="TMK" displayName="TMK" ref="A4:BL349" totalsRowCount="1" headerRowDxfId="276" dataDxfId="274" headerRowBorderDxfId="275" tableBorderDxfId="273">
  <autoFilter ref="A4:BL348" xr:uid="{00000000-0009-0000-0100-000004000000}"/>
  <tableColumns count="64">
    <tableColumn id="60" xr3:uid="{00000000-0010-0000-0800-00003C000000}" name="Load Capability Reference" dataDxfId="272" totalsRowDxfId="271">
      <calculatedColumnFormula>CONCATENATE(TIM[[#This Row],[Supply Level]],TIM[[#This Row],[Station/Feeder]],TIM[[#This Row],[Voltage]])</calculatedColumnFormula>
    </tableColumn>
    <tableColumn id="61" xr3:uid="{00000000-0010-0000-0800-00003D000000}" name="OC Protection Reference" dataDxfId="270" totalsRowDxfId="269">
      <calculatedColumnFormula>CONCATENATE(TIM[[#This Row],[Supply Level]],TIM[[#This Row],[Station/Feeder]],TIM[[#This Row],[Equipment ID]],TIM[[#This Row],[Voltage]],TIM[[#This Row],[Device type]])</calculatedColumnFormula>
    </tableColumn>
    <tableColumn id="1" xr3:uid="{00000000-0010-0000-0800-000001000000}" name="Supply Level" dataDxfId="268" totalsRowDxfId="267"/>
    <tableColumn id="27" xr3:uid="{00000000-0010-0000-0800-00001B000000}" name="Station/Feeder" dataDxfId="266" totalsRowDxfId="265"/>
    <tableColumn id="2" xr3:uid="{00000000-0010-0000-0800-000002000000}" name="From" dataDxfId="264" totalsRowDxfId="263"/>
    <tableColumn id="3" xr3:uid="{00000000-0010-0000-0800-000003000000}" name="To" dataDxfId="262" totalsRowDxfId="261"/>
    <tableColumn id="30" xr3:uid="{00000000-0010-0000-0800-00001E000000}" name="Order" dataDxfId="260" totalsRowDxfId="259"/>
    <tableColumn id="43" xr3:uid="{00000000-0010-0000-0800-00002B000000}" name="Source of Data" dataDxfId="258" totalsRowDxfId="257"/>
    <tableColumn id="4" xr3:uid="{00000000-0010-0000-0800-000004000000}" name="Equipment ID" dataDxfId="256" totalsRowDxfId="255"/>
    <tableColumn id="5" xr3:uid="{00000000-0010-0000-0800-000005000000}" name="Equipment Type" dataDxfId="254" totalsRowDxfId="253"/>
    <tableColumn id="6" xr3:uid="{00000000-0010-0000-0800-000006000000}" name="Device ID" dataDxfId="252" totalsRowDxfId="251"/>
    <tableColumn id="7" xr3:uid="{00000000-0010-0000-0800-000007000000}" name="Device type" dataDxfId="250" totalsRowDxfId="249"/>
    <tableColumn id="8" xr3:uid="{00000000-0010-0000-0800-000008000000}" name="Voltage" dataDxfId="248" totalsRowDxfId="247"/>
    <tableColumn id="9" xr3:uid="{00000000-0010-0000-0800-000009000000}" name="Cont Winter A" totalsRowLabel="-" dataDxfId="246" totalsRowDxfId="245"/>
    <tableColumn id="10" xr3:uid="{00000000-0010-0000-0800-00000A000000}" name="Cont Winter MVA" totalsRowLabel="-" dataDxfId="244" totalsRowDxfId="243">
      <calculatedColumnFormula>IF(OR(N5="",N5="-"),"-",N5*$M5*SQRT(3)/1000)</calculatedColumnFormula>
    </tableColumn>
    <tableColumn id="23" xr3:uid="{00000000-0010-0000-0800-000017000000}" name="Cont Shoulder A" totalsRowLabel="-" dataDxfId="242" totalsRowDxfId="241"/>
    <tableColumn id="24" xr3:uid="{00000000-0010-0000-0800-000018000000}" name="Cont Shoulder MVA" totalsRowLabel="-" dataDxfId="240" totalsRowDxfId="239">
      <calculatedColumnFormula>IF(OR(P5="",P5="-"),"-",P5*$M5*SQRT(3)/1000)</calculatedColumnFormula>
    </tableColumn>
    <tableColumn id="25" xr3:uid="{00000000-0010-0000-0800-000019000000}" name="Cont Summer A" totalsRowLabel="-" dataDxfId="238" totalsRowDxfId="237"/>
    <tableColumn id="26" xr3:uid="{00000000-0010-0000-0800-00001A000000}" name="Cont Summer MVA" totalsRowLabel="-" dataDxfId="236" totalsRowDxfId="235">
      <calculatedColumnFormula>IF(OR(R5="",R5="-"),"-",R5*$M5*SQRT(3)/1000)</calculatedColumnFormula>
    </tableColumn>
    <tableColumn id="13" xr3:uid="{00000000-0010-0000-0800-00000D000000}" name="24 Hr Winter A" totalsRowLabel="-" dataDxfId="234" totalsRowDxfId="233"/>
    <tableColumn id="14" xr3:uid="{00000000-0010-0000-0800-00000E000000}" name="24 Hr Winter MVA" totalsRowLabel="-" dataDxfId="232" totalsRowDxfId="231">
      <calculatedColumnFormula>IF(OR(T5="",T5="-"),"-",T5*$M5*SQRT(3)/1000)</calculatedColumnFormula>
    </tableColumn>
    <tableColumn id="11" xr3:uid="{00000000-0010-0000-0800-00000B000000}" name="24 Hr Summer A" totalsRowLabel="-" dataDxfId="230" totalsRowDxfId="229"/>
    <tableColumn id="12" xr3:uid="{00000000-0010-0000-0800-00000C000000}" name="24 Hr Summer MVA" totalsRowLabel="-" dataDxfId="228" totalsRowDxfId="227">
      <calculatedColumnFormula>IF(OR(V5="",V5="-"),"-",V5*$M5*SQRT(3)/1000)</calculatedColumnFormula>
    </tableColumn>
    <tableColumn id="15" xr3:uid="{00000000-0010-0000-0800-00000F000000}" name="Forward A" totalsRowLabel="-" dataDxfId="226" totalsRowDxfId="225"/>
    <tableColumn id="16" xr3:uid="{00000000-0010-0000-0800-000010000000}" name="Forwards MVA" totalsRowLabel="-" dataDxfId="224" totalsRowDxfId="223">
      <calculatedColumnFormula>IF(OR(X5="",X5="-"),"-",X5*$M5*SQRT(3)/1000)</calculatedColumnFormula>
    </tableColumn>
    <tableColumn id="17" xr3:uid="{00000000-0010-0000-0800-000011000000}" name="Reverse A" totalsRowLabel="-" dataDxfId="222" totalsRowDxfId="221"/>
    <tableColumn id="18" xr3:uid="{00000000-0010-0000-0800-000012000000}" name="Reverse MVA" totalsRowLabel="-" dataDxfId="220" totalsRowDxfId="219">
      <calculatedColumnFormula>IF(OR(Z5="",Z5="-"),"-",Z5*$M5*SQRT(3)/1000)</calculatedColumnFormula>
    </tableColumn>
    <tableColumn id="19" xr3:uid="{00000000-0010-0000-0800-000013000000}" name="Relay A" totalsRowLabel="-" dataDxfId="218" totalsRowDxfId="217"/>
    <tableColumn id="20" xr3:uid="{00000000-0010-0000-0800-000014000000}" name="Relay MVA" totalsRowLabel="-" dataDxfId="216" totalsRowDxfId="215">
      <calculatedColumnFormula>IF(OR(AB5="",AB5="-"),"-",AB5*$M5*SQRT(3)/1000)</calculatedColumnFormula>
    </tableColumn>
    <tableColumn id="21" xr3:uid="{00000000-0010-0000-0800-000015000000}" name="CT A" totalsRowLabel="-" dataDxfId="214" totalsRowDxfId="213"/>
    <tableColumn id="22" xr3:uid="{00000000-0010-0000-0800-000016000000}" name="CT MVA" totalsRowLabel="-" dataDxfId="212" totalsRowDxfId="211">
      <calculatedColumnFormula>IF(OR(AD5="",AD5="-"),"-",AD5*$M5*SQRT(3)/1000)</calculatedColumnFormula>
    </tableColumn>
    <tableColumn id="29" xr3:uid="{00000000-0010-0000-0800-00001D000000}" name="Core" totalsRowLabel="-" dataDxfId="210" totalsRowDxfId="209"/>
    <tableColumn id="31" xr3:uid="{00000000-0010-0000-0800-00001F000000}" name="In Duct" totalsRowLabel="-" dataDxfId="208" totalsRowDxfId="207"/>
    <tableColumn id="28" xr3:uid="{00000000-0010-0000-0800-00001C000000}" name="Distance" totalsRowLabel="-" dataDxfId="206" totalsRowDxfId="205"/>
    <tableColumn id="32" xr3:uid="{00000000-0010-0000-0800-000020000000}" name="Depth m" totalsRowLabel="-" dataDxfId="204" totalsRowDxfId="203"/>
    <tableColumn id="38" xr3:uid="{00000000-0010-0000-0800-000026000000}" name="Depth Factor" totalsRowLabel="-" dataDxfId="202" totalsRowDxfId="201"/>
    <tableColumn id="33" xr3:uid="{00000000-0010-0000-0800-000021000000}" name="Soil Temp C" totalsRowLabel="-" dataDxfId="200" totalsRowDxfId="199"/>
    <tableColumn id="39" xr3:uid="{00000000-0010-0000-0800-000027000000}" name="Soil Temp Factor" totalsRowLabel="-" dataDxfId="198" totalsRowDxfId="197"/>
    <tableColumn id="34" xr3:uid="{00000000-0010-0000-0800-000022000000}" name="Soil TR °C.m/W" totalsRowLabel="-" dataDxfId="196" totalsRowDxfId="195"/>
    <tableColumn id="40" xr3:uid="{00000000-0010-0000-0800-000028000000}" name="Soil TR Factor" totalsRowLabel="-" dataDxfId="194" totalsRowDxfId="193"/>
    <tableColumn id="35" xr3:uid="{00000000-0010-0000-0800-000023000000}" name="Ccts" totalsRowLabel="-" dataDxfId="192" totalsRowDxfId="191"/>
    <tableColumn id="36" xr3:uid="{00000000-0010-0000-0800-000024000000}" name="Spacing" totalsRowLabel="-" dataDxfId="190" totalsRowDxfId="189"/>
    <tableColumn id="41" xr3:uid="{00000000-0010-0000-0800-000029000000}" name="Mutual Heat Factor" totalsRowLabel="-" dataDxfId="188" totalsRowDxfId="187"/>
    <tableColumn id="37" xr3:uid="{00000000-0010-0000-0800-000025000000}" name="Derating A" totalsRowLabel="-" dataDxfId="186" totalsRowDxfId="185">
      <calculatedColumnFormula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calculatedColumnFormula>
    </tableColumn>
    <tableColumn id="42" xr3:uid="{00000000-0010-0000-0800-00002A000000}" name="Derating MVA" totalsRowLabel="-" dataDxfId="184" totalsRowDxfId="183">
      <calculatedColumnFormula>IF(OR(AR5="",AR5="-"),"-",AR5*$M5*SQRT(3)/1000)</calculatedColumnFormula>
    </tableColumn>
    <tableColumn id="44" xr3:uid="{00000000-0010-0000-0800-00002C000000}" name="Summ Cont Winter A" totalsRowFunction="custom" dataDxfId="182" totalsRowDxfId="181">
      <calculatedColumnFormula>IF(RIGHT(TMK[[#This Row],[Device type]],7)="Winding","-",TMK[[#This Row],[Cont Winter MVA]])</calculatedColumnFormula>
      <totalsRowFormula>IF(SUBTOTAL(105,TMK[Summ Cont Winter A])=0,"",SUBTOTAL(105,TMK[Summ Cont Winter A]))</totalsRowFormula>
    </tableColumn>
    <tableColumn id="45" xr3:uid="{00000000-0010-0000-0800-00002D000000}" name="Summ Cont Shoulder MVA" totalsRowFunction="custom" dataDxfId="180" totalsRowDxfId="179">
      <calculatedColumnFormula>IF(RIGHT(TMK[[#This Row],[Device type]],7)="Winding","-",TMK[[#This Row],[Cont Shoulder MVA]])</calculatedColumnFormula>
      <totalsRowFormula>IF(SUBTOTAL(105,TMK[Summ Cont Shoulder MVA])=0,"",SUBTOTAL(105,TMK[Summ Cont Shoulder MVA]))</totalsRowFormula>
    </tableColumn>
    <tableColumn id="46" xr3:uid="{00000000-0010-0000-0800-00002E000000}" name="Summ Cont Summer A" totalsRowFunction="custom" dataDxfId="178" totalsRowDxfId="177">
      <calculatedColumnFormula>IF(RIGHT(TMK[[#This Row],[Device type]],7)="Winding","-",TMK[[#This Row],[Cont Summer MVA]])</calculatedColumnFormula>
      <totalsRowFormula>IF(SUBTOTAL(105,TMK[Summ Cont Summer A])=0,"",SUBTOTAL(105,TMK[Summ Cont Summer A]))</totalsRowFormula>
    </tableColumn>
    <tableColumn id="47" xr3:uid="{00000000-0010-0000-0800-00002F000000}" name="Summ Post Winter A" totalsRowFunction="custom" dataDxfId="176" totalsRowDxfId="175">
      <calculatedColumnFormula>IF(RIGHT(TMK[[#This Row],[Device type]],7)="Winding","-",TMK[[#This Row],[24 Hr Winter MVA]])</calculatedColumnFormula>
      <totalsRowFormula>IF(SUBTOTAL(105,TMK[Summ Post Winter A])=0,"",SUBTOTAL(105,TMK[Summ Post Winter A]))</totalsRowFormula>
    </tableColumn>
    <tableColumn id="48" xr3:uid="{00000000-0010-0000-0800-000030000000}" name="Summ Post Summer A" totalsRowFunction="custom" dataDxfId="174" totalsRowDxfId="173">
      <calculatedColumnFormula>IF(RIGHT(TMK[[#This Row],[Device type]],7)="Winding","-",TMK[[#This Row],[24 Hr Summer MVA]])</calculatedColumnFormula>
      <totalsRowFormula>IF(SUBTOTAL(105,TMK[Summ Post Summer A])=0,"",SUBTOTAL(105,TMK[Summ Post Summer A]))</totalsRowFormula>
    </tableColumn>
    <tableColumn id="49" xr3:uid="{00000000-0010-0000-0800-000031000000}" name="Summ Forward A" totalsRowFunction="custom" dataDxfId="172" totalsRowDxfId="171">
      <calculatedColumnFormula>TMK[[#This Row],[Forwards MVA]]</calculatedColumnFormula>
      <totalsRowFormula>IF(SUBTOTAL(105,TMK[Summ Forward A])=0,"",SUBTOTAL(105,TMK[Summ Forward A]))</totalsRowFormula>
    </tableColumn>
    <tableColumn id="51" xr3:uid="{00000000-0010-0000-0800-000033000000}" name="Summ Reverse A" totalsRowFunction="min" dataDxfId="170" totalsRowDxfId="169">
      <calculatedColumnFormula>TMK[[#This Row],[Relay MVA]]</calculatedColumnFormula>
    </tableColumn>
    <tableColumn id="52" xr3:uid="{00000000-0010-0000-0800-000034000000}" name="Summ CT A" totalsRowFunction="custom" dataDxfId="168" totalsRowDxfId="167">
      <calculatedColumnFormula>TMK[[#This Row],[CT MVA]]</calculatedColumnFormula>
      <totalsRowFormula>IF(SUBTOTAL(105,TMK[Summ CT A])=0,"",SUBTOTAL(105,TMK[Summ CT A]))</totalsRowFormula>
    </tableColumn>
    <tableColumn id="53" xr3:uid="{00000000-0010-0000-0800-000035000000}" name="Cable Derating" totalsRowFunction="custom" dataDxfId="166" totalsRowDxfId="165">
      <calculatedColumnFormula>TMK[[#This Row],[Derating MVA]]</calculatedColumnFormula>
      <totalsRowFormula>IF(SUBTOTAL(105,TMK[Cable Derating])=0,"",SUBTOTAL(105,TMK[Cable Derating]))</totalsRowFormula>
    </tableColumn>
    <tableColumn id="59" xr3:uid="{00000000-0010-0000-0800-00003B000000}" name="ID Rating" totalsRowLabel="-" dataDxfId="164" totalsRowDxfId="163">
      <calculatedColumnFormula>TMK[[#This Row],[Station/Feeder]]&amp;TMK[[#This Row],[Lowest MVA]]</calculatedColumnFormula>
    </tableColumn>
    <tableColumn id="62" xr3:uid="{00000000-0010-0000-0800-00003E000000}" name="Limiting Equipment Reference-No PTX" totalsRowLabel="-" dataDxfId="162" totalsRowDxfId="161">
      <calculatedColumnFormula>CONCATENATE(TMK[[#This Row],[Supply Level]],TMK[[#This Row],[Station/Feeder]],TMK[[#This Row],[Voltage]],TMK[[#This Row],[Lowest A-No PTX]])</calculatedColumnFormula>
    </tableColumn>
    <tableColumn id="64" xr3:uid="{00000000-0010-0000-0800-000040000000}" name="Limiting Equipment Reference-PTX" dataDxfId="160" totalsRowDxfId="159">
      <calculatedColumnFormula>CONCATENATE(TMK[[#This Row],[Supply Level]],TMK[[#This Row],[Station/Feeder]],TMK[[#This Row],[Voltage]],TMK[[#This Row],[Lowest A-PTX]])</calculatedColumnFormula>
    </tableColumn>
    <tableColumn id="54" xr3:uid="{00000000-0010-0000-0800-000036000000}" name="Lowest MVA" totalsRowFunction="min" dataDxfId="158" totalsRowDxfId="157">
      <calculatedColumnFormula>IFERROR(IF(MIN(TMK[[#This Row],[Summ Cont Winter A]:[Cable Derating]])=0,"",MIN(TMK[[#This Row],[Summ Cont Winter A]:[Cable Derating]])),"")</calculatedColumnFormula>
    </tableColumn>
    <tableColumn id="50" xr3:uid="{00000000-0010-0000-0800-000032000000}" name="Lowest A-No PTX" totalsRowLabel="-" dataDxfId="156" totalsRowDxfId="155">
      <calculatedColumnFormula>IFERROR(TMK[[#This Row],[Lowest MVA]]*1000/(TMK[[#This Row],[Voltage]]*SQRT(3)),"")</calculatedColumnFormula>
    </tableColumn>
    <tableColumn id="63" xr3:uid="{00000000-0010-0000-0800-00003F000000}" name="Lowest A-PTX" dataDxfId="154" totalsRowDxfId="153">
      <calculatedColumnFormula>IF(MIN(N5,P5,R5,T5,V5,X5,Z5,AB5,AD5,AR5)=0,"",MIN(N5,P5,R5,T5,V5,X5,Z5,AB5,AD5,AR5))</calculatedColumnFormula>
    </tableColumn>
    <tableColumn id="56" xr3:uid="{00000000-0010-0000-0800-000038000000}" name="Summ From" totalsRowLabel="-" dataDxfId="152" totalsRowDxfId="151">
      <calculatedColumnFormula>TMK[[#This Row],[From]]</calculatedColumnFormula>
    </tableColumn>
    <tableColumn id="57" xr3:uid="{00000000-0010-0000-0800-000039000000}" name="Summ To" totalsRowLabel="-" dataDxfId="150" totalsRowDxfId="149">
      <calculatedColumnFormula>TMK[[#This Row],[To]]</calculatedColumnFormula>
    </tableColumn>
    <tableColumn id="55" xr3:uid="{00000000-0010-0000-0800-000037000000}" name="Summ Equipment" totalsRowLabel="-" dataDxfId="148" totalsRowDxfId="147">
      <calculatedColumnFormula>IF(TMK[[#This Row],[Device type]]="-",TMK[[#This Row],[Equipment Type]]&amp;" - "&amp;TMK[[#This Row],[Equipment ID]],TMK[[#This Row],[Equipment Type]]&amp;" - "&amp;TMK[[#This Row],[Equipment ID]]&amp;" - "&amp;TMK[[#This Row],[Device type]])</calculatedColumnFormula>
    </tableColumn>
    <tableColumn id="58" xr3:uid="{00000000-0010-0000-0800-00003A000000}" name="Summ Voltage" totalsRowLabel="-" dataDxfId="146" totalsRowDxfId="145">
      <calculatedColumnFormula>TMK[[#This Row],[Voltage]]</calculatedColumnFormula>
    </tableColumn>
  </tableColumns>
  <tableStyleInfo name="TableStyleMedium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9000000}" name="TWZ" displayName="TWZ" ref="A4:BL82" totalsRowCount="1" headerRowDxfId="144" dataDxfId="142" headerRowBorderDxfId="143" tableBorderDxfId="141">
  <autoFilter ref="A4:BL81" xr:uid="{00000000-0009-0000-0100-000002000000}"/>
  <tableColumns count="64">
    <tableColumn id="60" xr3:uid="{00000000-0010-0000-0900-00003C000000}" name="Load Capability Reference" dataDxfId="140" totalsRowDxfId="139">
      <calculatedColumnFormula>CONCATENATE(TWZ[[#This Row],[Supply Level]],TWZ[[#This Row],[Station/Feeder]],TWZ[[#This Row],[Voltage]])</calculatedColumnFormula>
    </tableColumn>
    <tableColumn id="61" xr3:uid="{00000000-0010-0000-0900-00003D000000}" name="OC Protection Reference" dataDxfId="138" totalsRowDxfId="137">
      <calculatedColumnFormula>CONCATENATE(TWZ[[#This Row],[Supply Level]],TWZ[[#This Row],[Station/Feeder]],TWZ[[#This Row],[Equipment ID]],TWZ[[#This Row],[Voltage]],TWZ[[#This Row],[Device type]])</calculatedColumnFormula>
    </tableColumn>
    <tableColumn id="1" xr3:uid="{00000000-0010-0000-0900-000001000000}" name="Supply Level" dataDxfId="136" totalsRowDxfId="135"/>
    <tableColumn id="27" xr3:uid="{00000000-0010-0000-0900-00001B000000}" name="Station/Feeder" dataDxfId="134" totalsRowDxfId="133"/>
    <tableColumn id="2" xr3:uid="{00000000-0010-0000-0900-000002000000}" name="From" dataDxfId="132" totalsRowDxfId="131"/>
    <tableColumn id="3" xr3:uid="{00000000-0010-0000-0900-000003000000}" name="To" dataDxfId="130" totalsRowDxfId="129"/>
    <tableColumn id="30" xr3:uid="{00000000-0010-0000-0900-00001E000000}" name="Order" dataDxfId="128" totalsRowDxfId="127"/>
    <tableColumn id="43" xr3:uid="{00000000-0010-0000-0900-00002B000000}" name="Source of Data" dataDxfId="126" totalsRowDxfId="125"/>
    <tableColumn id="4" xr3:uid="{00000000-0010-0000-0900-000004000000}" name="Equipment ID" dataDxfId="124" totalsRowDxfId="123"/>
    <tableColumn id="5" xr3:uid="{00000000-0010-0000-0900-000005000000}" name="Equipment Type" dataDxfId="122" totalsRowDxfId="121"/>
    <tableColumn id="6" xr3:uid="{00000000-0010-0000-0900-000006000000}" name="Device ID" dataDxfId="120" totalsRowDxfId="119"/>
    <tableColumn id="7" xr3:uid="{00000000-0010-0000-0900-000007000000}" name="Device type" dataDxfId="118" totalsRowDxfId="117"/>
    <tableColumn id="8" xr3:uid="{00000000-0010-0000-0900-000008000000}" name="Voltage" dataDxfId="116" totalsRowDxfId="115"/>
    <tableColumn id="9" xr3:uid="{00000000-0010-0000-0900-000009000000}" name="Cont Winter A" totalsRowLabel="-" dataDxfId="114" totalsRowDxfId="113"/>
    <tableColumn id="10" xr3:uid="{00000000-0010-0000-0900-00000A000000}" name="Cont Winter MVA" totalsRowLabel="-" dataDxfId="112" totalsRowDxfId="111">
      <calculatedColumnFormula>IF(OR(N5="",N5="-"),"-",N5*$M5*SQRT(3)/1000)</calculatedColumnFormula>
    </tableColumn>
    <tableColumn id="23" xr3:uid="{00000000-0010-0000-0900-000017000000}" name="Cont Shoulder A" totalsRowLabel="-" dataDxfId="110" totalsRowDxfId="109"/>
    <tableColumn id="24" xr3:uid="{00000000-0010-0000-0900-000018000000}" name="Cont Shoulder MVA" totalsRowLabel="-" dataDxfId="108" totalsRowDxfId="107">
      <calculatedColumnFormula>IF(OR(P5="",P5="-"),"-",P5*$M5*SQRT(3)/1000)</calculatedColumnFormula>
    </tableColumn>
    <tableColumn id="25" xr3:uid="{00000000-0010-0000-0900-000019000000}" name="Cont Summer A" totalsRowLabel="-" dataDxfId="106" totalsRowDxfId="105"/>
    <tableColumn id="26" xr3:uid="{00000000-0010-0000-0900-00001A000000}" name="Cont Summer MVA" totalsRowLabel="-" dataDxfId="104" totalsRowDxfId="103">
      <calculatedColumnFormula>IF(OR(R5="",R5="-"),"-",R5*$M5*SQRT(3)/1000)</calculatedColumnFormula>
    </tableColumn>
    <tableColumn id="13" xr3:uid="{00000000-0010-0000-0900-00000D000000}" name="24 Hr Winter A" totalsRowLabel="-" dataDxfId="102" totalsRowDxfId="101"/>
    <tableColumn id="14" xr3:uid="{00000000-0010-0000-0900-00000E000000}" name="24 Hr Winter MVA" totalsRowLabel="-" dataDxfId="100" totalsRowDxfId="99">
      <calculatedColumnFormula>IF(OR(T5="",T5="-"),"-",T5*$M5*SQRT(3)/1000)</calculatedColumnFormula>
    </tableColumn>
    <tableColumn id="11" xr3:uid="{00000000-0010-0000-0900-00000B000000}" name="24 Hr Summer A" totalsRowLabel="-" dataDxfId="98" totalsRowDxfId="97"/>
    <tableColumn id="12" xr3:uid="{00000000-0010-0000-0900-00000C000000}" name="24 Hr Summer MVA" totalsRowLabel="-" dataDxfId="96" totalsRowDxfId="95">
      <calculatedColumnFormula>IF(OR(V5="",V5="-"),"-",V5*$M5*SQRT(3)/1000)</calculatedColumnFormula>
    </tableColumn>
    <tableColumn id="15" xr3:uid="{00000000-0010-0000-0900-00000F000000}" name="Forward A" totalsRowLabel="-" dataDxfId="94" totalsRowDxfId="93"/>
    <tableColumn id="16" xr3:uid="{00000000-0010-0000-0900-000010000000}" name="Forwards MVA" totalsRowLabel="-" dataDxfId="92" totalsRowDxfId="91">
      <calculatedColumnFormula>IF(OR(X5="",X5="-"),"-",X5*$M5*SQRT(3)/1000)</calculatedColumnFormula>
    </tableColumn>
    <tableColumn id="17" xr3:uid="{00000000-0010-0000-0900-000011000000}" name="Reverse A" totalsRowLabel="-" dataDxfId="90" totalsRowDxfId="89"/>
    <tableColumn id="18" xr3:uid="{00000000-0010-0000-0900-000012000000}" name="Reverse MVA" totalsRowLabel="-" dataDxfId="88" totalsRowDxfId="87">
      <calculatedColumnFormula>IF(OR(Z5="",Z5="-"),"-",Z5*$M5*SQRT(3)/1000)</calculatedColumnFormula>
    </tableColumn>
    <tableColumn id="19" xr3:uid="{00000000-0010-0000-0900-000013000000}" name="Relay A" totalsRowLabel="-" dataDxfId="86" totalsRowDxfId="85"/>
    <tableColumn id="20" xr3:uid="{00000000-0010-0000-0900-000014000000}" name="Relay MVA" totalsRowLabel="-" dataDxfId="84" totalsRowDxfId="83">
      <calculatedColumnFormula>IF(OR(AB5="",AB5="-"),"-",AB5*$M5*SQRT(3)/1000)</calculatedColumnFormula>
    </tableColumn>
    <tableColumn id="21" xr3:uid="{00000000-0010-0000-0900-000015000000}" name="CT A" totalsRowLabel="-" dataDxfId="82" totalsRowDxfId="81"/>
    <tableColumn id="22" xr3:uid="{00000000-0010-0000-0900-000016000000}" name="CT MVA" totalsRowLabel="-" dataDxfId="80" totalsRowDxfId="79">
      <calculatedColumnFormula>IF(OR(AD5="",AD5="-"),"-",AD5*$M5*SQRT(3)/1000)</calculatedColumnFormula>
    </tableColumn>
    <tableColumn id="29" xr3:uid="{00000000-0010-0000-0900-00001D000000}" name="Core" totalsRowLabel="-" dataDxfId="78" totalsRowDxfId="77"/>
    <tableColumn id="31" xr3:uid="{00000000-0010-0000-0900-00001F000000}" name="In Duct" totalsRowLabel="-" dataDxfId="76" totalsRowDxfId="75"/>
    <tableColumn id="28" xr3:uid="{00000000-0010-0000-0900-00001C000000}" name="Distance" totalsRowLabel="-" dataDxfId="74" totalsRowDxfId="73"/>
    <tableColumn id="32" xr3:uid="{00000000-0010-0000-0900-000020000000}" name="Depth m" totalsRowLabel="-" dataDxfId="72" totalsRowDxfId="71"/>
    <tableColumn id="38" xr3:uid="{00000000-0010-0000-0900-000026000000}" name="Depth Factor" totalsRowLabel="-" dataDxfId="70" totalsRowDxfId="69"/>
    <tableColumn id="33" xr3:uid="{00000000-0010-0000-0900-000021000000}" name="Soil Temp C" totalsRowLabel="-" dataDxfId="68" totalsRowDxfId="67"/>
    <tableColumn id="39" xr3:uid="{00000000-0010-0000-0900-000027000000}" name="Soil Temp Factor" totalsRowLabel="-" dataDxfId="66" totalsRowDxfId="65"/>
    <tableColumn id="34" xr3:uid="{00000000-0010-0000-0900-000022000000}" name="Soil TR °C.m/W" totalsRowLabel="-" dataDxfId="64" totalsRowDxfId="63"/>
    <tableColumn id="40" xr3:uid="{00000000-0010-0000-0900-000028000000}" name="Soil TR Factor" totalsRowLabel="-" dataDxfId="62" totalsRowDxfId="61"/>
    <tableColumn id="35" xr3:uid="{00000000-0010-0000-0900-000023000000}" name="Ccts" totalsRowLabel="-" dataDxfId="60" totalsRowDxfId="59"/>
    <tableColumn id="36" xr3:uid="{00000000-0010-0000-0900-000024000000}" name="Spacing" totalsRowLabel="-" dataDxfId="58" totalsRowDxfId="57"/>
    <tableColumn id="41" xr3:uid="{00000000-0010-0000-0900-000029000000}" name="Mutual Heat Factor" totalsRowLabel="-" dataDxfId="56" totalsRowDxfId="55"/>
    <tableColumn id="37" xr3:uid="{00000000-0010-0000-0900-000025000000}" name="Derating A" totalsRowLabel="-" dataDxfId="54" totalsRowDxfId="53">
      <calculatedColumnFormula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calculatedColumnFormula>
    </tableColumn>
    <tableColumn id="42" xr3:uid="{00000000-0010-0000-0900-00002A000000}" name="Derating MVA" totalsRowLabel="-" dataDxfId="52" totalsRowDxfId="51">
      <calculatedColumnFormula>IF(OR(AR5="",AR5="-"),"-",AR5*$M5*SQRT(3)/1000)</calculatedColumnFormula>
    </tableColumn>
    <tableColumn id="44" xr3:uid="{00000000-0010-0000-0900-00002C000000}" name="Summ Cont Winter A" totalsRowFunction="custom" dataDxfId="50" totalsRowDxfId="49">
      <calculatedColumnFormula>IF(RIGHT(TWZ[[#This Row],[Device type]],7)="Winding","-",TWZ[[#This Row],[Cont Winter MVA]])</calculatedColumnFormula>
      <totalsRowFormula>IF(SUBTOTAL(105,TWZ[Summ Cont Winter A])=0,"",SUBTOTAL(105,TWZ[Summ Cont Winter A]))</totalsRowFormula>
    </tableColumn>
    <tableColumn id="45" xr3:uid="{00000000-0010-0000-0900-00002D000000}" name="Summ Cont Shoulder MVA" totalsRowFunction="custom" dataDxfId="48" totalsRowDxfId="47">
      <calculatedColumnFormula>IF(RIGHT(TWZ[[#This Row],[Device type]],7)="Winding","-",TWZ[[#This Row],[Cont Shoulder MVA]])</calculatedColumnFormula>
      <totalsRowFormula>IF(SUBTOTAL(105,TWZ[Summ Cont Shoulder MVA])=0,"",SUBTOTAL(105,TWZ[Summ Cont Shoulder MVA]))</totalsRowFormula>
    </tableColumn>
    <tableColumn id="46" xr3:uid="{00000000-0010-0000-0900-00002E000000}" name="Summ Cont Summer A" totalsRowFunction="custom" dataDxfId="46" totalsRowDxfId="45">
      <calculatedColumnFormula>IF(RIGHT(TWZ[[#This Row],[Device type]],7)="Winding","-",TWZ[[#This Row],[Cont Summer MVA]])</calculatedColumnFormula>
      <totalsRowFormula>IF(SUBTOTAL(105,TWZ[Summ Cont Summer A])=0,"",SUBTOTAL(105,TWZ[Summ Cont Summer A]))</totalsRowFormula>
    </tableColumn>
    <tableColumn id="47" xr3:uid="{00000000-0010-0000-0900-00002F000000}" name="Summ Post Winter A" totalsRowFunction="custom" dataDxfId="44" totalsRowDxfId="43">
      <calculatedColumnFormula>TWZ[[#This Row],[24 Hr Winter MVA]]</calculatedColumnFormula>
      <totalsRowFormula>IF(SUBTOTAL(105,TWZ[Summ Post Winter A])=0,"",SUBTOTAL(105,TWZ[Summ Post Winter A]))</totalsRowFormula>
    </tableColumn>
    <tableColumn id="48" xr3:uid="{00000000-0010-0000-0900-000030000000}" name="Summ Post Summer A" totalsRowFunction="custom" dataDxfId="42" totalsRowDxfId="41">
      <calculatedColumnFormula>TWZ[[#This Row],[24 Hr Summer MVA]]</calculatedColumnFormula>
      <totalsRowFormula>IF(SUBTOTAL(105,TWZ[Summ Post Summer A])=0,"",SUBTOTAL(105,TWZ[Summ Post Summer A]))</totalsRowFormula>
    </tableColumn>
    <tableColumn id="49" xr3:uid="{00000000-0010-0000-0900-000031000000}" name="Summ Forward A" totalsRowFunction="custom" dataDxfId="40" totalsRowDxfId="39">
      <calculatedColumnFormula>TWZ[[#This Row],[Forwards MVA]]</calculatedColumnFormula>
      <totalsRowFormula>IF(SUBTOTAL(105,TWZ[Summ Forward A])=0,"",SUBTOTAL(105,TWZ[Summ Forward A]))</totalsRowFormula>
    </tableColumn>
    <tableColumn id="51" xr3:uid="{00000000-0010-0000-0900-000033000000}" name="Summ Reverse A" totalsRowFunction="custom" dataDxfId="38" totalsRowDxfId="37">
      <calculatedColumnFormula>TWZ[[#This Row],[Relay MVA]]</calculatedColumnFormula>
      <totalsRowFormula>IF(SUBTOTAL(105,TWZ[Summ Reverse A])=0,"",SUBTOTAL(105,TWZ[Summ Reverse A]))</totalsRowFormula>
    </tableColumn>
    <tableColumn id="52" xr3:uid="{00000000-0010-0000-0900-000034000000}" name="Summ CT A" totalsRowFunction="custom" dataDxfId="36" totalsRowDxfId="35">
      <calculatedColumnFormula>TWZ[[#This Row],[CT MVA]]</calculatedColumnFormula>
      <totalsRowFormula>IF(SUBTOTAL(105,TWZ[Summ CT A])=0,"",SUBTOTAL(105,TWZ[Summ CT A]))</totalsRowFormula>
    </tableColumn>
    <tableColumn id="53" xr3:uid="{00000000-0010-0000-0900-000035000000}" name="Cable Derating" totalsRowFunction="custom" dataDxfId="34" totalsRowDxfId="33">
      <calculatedColumnFormula>TWZ[[#This Row],[Derating MVA]]</calculatedColumnFormula>
      <totalsRowFormula>IF(SUBTOTAL(105,TWZ[Cable Derating])=0,"",SUBTOTAL(105,TWZ[Cable Derating]))</totalsRowFormula>
    </tableColumn>
    <tableColumn id="59" xr3:uid="{00000000-0010-0000-0900-00003B000000}" name="ID Rating" totalsRowLabel="-" dataDxfId="32" totalsRowDxfId="31">
      <calculatedColumnFormula>TWZ[[#This Row],[Station/Feeder]]&amp;TWZ[[#This Row],[Lowest MVA]]</calculatedColumnFormula>
    </tableColumn>
    <tableColumn id="62" xr3:uid="{00000000-0010-0000-0900-00003E000000}" name="Limiting Equipment Reference-No PTX" totalsRowLabel="-" dataDxfId="30" totalsRowDxfId="29">
      <calculatedColumnFormula>CONCATENATE(TWZ[[#This Row],[Supply Level]],TWZ[[#This Row],[Station/Feeder]],TWZ[[#This Row],[Voltage]],TWZ[[#This Row],[Lowest A-No PTX]])</calculatedColumnFormula>
    </tableColumn>
    <tableColumn id="64" xr3:uid="{00000000-0010-0000-0900-000040000000}" name="Limiting Equipment Reference-PTX" dataDxfId="28" totalsRowDxfId="27">
      <calculatedColumnFormula>CONCATENATE(TWZ[[#This Row],[Supply Level]],TWZ[[#This Row],[Station/Feeder]],TWZ[[#This Row],[Voltage]],TWZ[[#This Row],[Lowest A-PTX]])</calculatedColumnFormula>
    </tableColumn>
    <tableColumn id="54" xr3:uid="{00000000-0010-0000-0900-000036000000}" name="Lowest MVA" totalsRowFunction="min" dataDxfId="26" totalsRowDxfId="25">
      <calculatedColumnFormula>IFERROR(IF(MIN(TWZ[[#This Row],[Summ Cont Winter A]:[Cable Derating]])=0,"",MIN(TWZ[[#This Row],[Summ Cont Winter A]:[Cable Derating]])),"")</calculatedColumnFormula>
    </tableColumn>
    <tableColumn id="50" xr3:uid="{00000000-0010-0000-0900-000032000000}" name="Lowest A-No PTX" totalsRowLabel="-" dataDxfId="24" totalsRowDxfId="23">
      <calculatedColumnFormula>IFERROR(TWZ[[#This Row],[Lowest MVA]]*1000/(TWZ[[#This Row],[Voltage]]*SQRT(3)),"")</calculatedColumnFormula>
    </tableColumn>
    <tableColumn id="63" xr3:uid="{00000000-0010-0000-0900-00003F000000}" name="Lowest A-PTX" dataDxfId="22" totalsRowDxfId="21">
      <calculatedColumnFormula>IF(MIN(N5,P5,R5,T5,V5,X5,Z5,AB5,AD5,AR5)=0,"",MIN(N5,P5,R5,T5,V5,X5,Z5,AB5,AD5,AR5))</calculatedColumnFormula>
    </tableColumn>
    <tableColumn id="56" xr3:uid="{00000000-0010-0000-0900-000038000000}" name="Summ From" totalsRowLabel="-" dataDxfId="20" totalsRowDxfId="19">
      <calculatedColumnFormula>TWZ[[#This Row],[From]]</calculatedColumnFormula>
    </tableColumn>
    <tableColumn id="57" xr3:uid="{00000000-0010-0000-0900-000039000000}" name="Summ To" totalsRowLabel="-" dataDxfId="18" totalsRowDxfId="17">
      <calculatedColumnFormula>TWZ[[#This Row],[To]]</calculatedColumnFormula>
    </tableColumn>
    <tableColumn id="55" xr3:uid="{00000000-0010-0000-0900-000037000000}" name="Summ Equipment" totalsRowLabel="-" dataDxfId="16" totalsRowDxfId="15">
      <calculatedColumnFormula>IF(TWZ[[#This Row],[Device type]]="-",TWZ[[#This Row],[Equipment Type]]&amp;" - "&amp;TWZ[[#This Row],[Equipment ID]],TWZ[[#This Row],[Equipment Type]]&amp;" - "&amp;TWZ[[#This Row],[Equipment ID]]&amp;" - "&amp;TWZ[[#This Row],[Device type]])</calculatedColumnFormula>
    </tableColumn>
    <tableColumn id="58" xr3:uid="{00000000-0010-0000-0900-00003A000000}" name="Summ Voltage" totalsRowLabel="-" dataDxfId="14" totalsRowDxfId="13">
      <calculatedColumnFormula>TWZ[[#This Row],[Voltage]]</calculatedColumnFormula>
    </tableColumn>
  </tableColumns>
  <tableStyleInfo name="TableStyleMedium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AEL_Protection_Data" displayName="AEL_Protection_Data" ref="A1:L382" tableType="queryTable" totalsRowShown="0" headerRowDxfId="12">
  <autoFilter ref="A1:L382" xr:uid="{00000000-0009-0000-0100-00000D000000}"/>
  <tableColumns count="12">
    <tableColumn id="25" xr3:uid="{00000000-0010-0000-0A00-000019000000}" uniqueName="25" name="ID" queryTableFieldId="12" dataDxfId="11"/>
    <tableColumn id="26" xr3:uid="{00000000-0010-0000-0A00-00001A000000}" uniqueName="26" name="Zone Sub" queryTableFieldId="11" dataDxfId="10"/>
    <tableColumn id="27" xr3:uid="{00000000-0010-0000-0A00-00001B000000}" uniqueName="27" name="Source Query" queryTableFieldId="1" dataDxfId="9"/>
    <tableColumn id="28" xr3:uid="{00000000-0010-0000-0A00-00001C000000}" uniqueName="28" name="GXP" queryTableFieldId="2" dataDxfId="8"/>
    <tableColumn id="29" xr3:uid="{00000000-0010-0000-0A00-00001D000000}" uniqueName="29" name="Protection Type" queryTableFieldId="3" dataDxfId="7"/>
    <tableColumn id="30" xr3:uid="{00000000-0010-0000-0A00-00001E000000}" uniqueName="30" name="CB ID" queryTableFieldId="4" dataDxfId="6"/>
    <tableColumn id="31" xr3:uid="{00000000-0010-0000-0A00-00001F000000}" uniqueName="31" name="Location/Description" queryTableFieldId="5" dataDxfId="5"/>
    <tableColumn id="32" xr3:uid="{00000000-0010-0000-0A00-000020000000}" uniqueName="32" name="Feeder ID" queryTableFieldId="6" dataDxfId="4"/>
    <tableColumn id="33" xr3:uid="{00000000-0010-0000-0A00-000021000000}" uniqueName="33" name="Relay" queryTableFieldId="7" dataDxfId="3"/>
    <tableColumn id="34" xr3:uid="{00000000-0010-0000-0A00-000022000000}" uniqueName="34" name="Voltage (kV)" queryTableFieldId="8" dataDxfId="2"/>
    <tableColumn id="35" xr3:uid="{00000000-0010-0000-0A00-000023000000}" uniqueName="35" name="Pickup (A)" queryTableFieldId="9" dataDxfId="1"/>
    <tableColumn id="36" xr3:uid="{00000000-0010-0000-0A00-000024000000}" uniqueName="36" name="Min Pickup (A)" queryTableFieldId="10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Technical/Protection_General" TargetMode="External"/><Relationship Id="rId13" Type="http://schemas.openxmlformats.org/officeDocument/2006/relationships/hyperlink" Target="../../../../Assets/Substations%20Zone/Timaru/Projects%20and%20Jobs/Timaru_11kV_Feeder_Cable%20rating_&amp;_SCADA_Alarms/Timaru%20GXP%20SCADA%20Alarms%20Review%20Report%20-%20Rev%205%20-%2020150715.pdf" TargetMode="External"/><Relationship Id="rId18" Type="http://schemas.openxmlformats.org/officeDocument/2006/relationships/hyperlink" Target="../../../650_Library/Transpower/Branch%20Reports" TargetMode="External"/><Relationship Id="rId3" Type="http://schemas.openxmlformats.org/officeDocument/2006/relationships/hyperlink" Target="https://psdos02.alpineenergy.co.nz/synergis.webapp/" TargetMode="External"/><Relationship Id="rId21" Type="http://schemas.openxmlformats.org/officeDocument/2006/relationships/hyperlink" Target="../../../650_Library/Transpower/Branch%20Reports" TargetMode="External"/><Relationship Id="rId7" Type="http://schemas.openxmlformats.org/officeDocument/2006/relationships/hyperlink" Target="../../../../Technical/Protection_General" TargetMode="External"/><Relationship Id="rId12" Type="http://schemas.openxmlformats.org/officeDocument/2006/relationships/hyperlink" Target="../../../../Tools/OH%20Conductors%20Ampacity%20Calculator/" TargetMode="External"/><Relationship Id="rId17" Type="http://schemas.openxmlformats.org/officeDocument/2006/relationships/hyperlink" Target="../../../../Planning%20Team%20Shared/ETAP%20Databases/170614-AEL%20Transformers%20Database-Rev%201.xlsm" TargetMode="External"/><Relationship Id="rId2" Type="http://schemas.openxmlformats.org/officeDocument/2006/relationships/hyperlink" Target="https://psdos02.alpineenergy.co.nz/synergis.webapp/" TargetMode="External"/><Relationship Id="rId16" Type="http://schemas.openxmlformats.org/officeDocument/2006/relationships/hyperlink" Target="../../../../Assets" TargetMode="External"/><Relationship Id="rId20" Type="http://schemas.openxmlformats.org/officeDocument/2006/relationships/hyperlink" Target="../../../650_Library/Transpower/Branch%20Reports" TargetMode="External"/><Relationship Id="rId1" Type="http://schemas.openxmlformats.org/officeDocument/2006/relationships/hyperlink" Target="https://arcgis.alpineenergy.co.nz/ArcFMWebViewer261/Index.html?configBase=http://arcgis.alpineenergy.co.nz/Geocortex/Essentials/REST/sites/testGEMA/viewers/Parent_Site-Basic_Viewer/virtualdirectory/Resources/Config/Default" TargetMode="External"/><Relationship Id="rId6" Type="http://schemas.openxmlformats.org/officeDocument/2006/relationships/hyperlink" Target="../../../../Technical/Protection_General" TargetMode="External"/><Relationship Id="rId11" Type="http://schemas.openxmlformats.org/officeDocument/2006/relationships/hyperlink" Target="../../../650_Library/Technical/Cables-Conductors/General%20Cable%20Catalogue" TargetMode="External"/><Relationship Id="rId24" Type="http://schemas.openxmlformats.org/officeDocument/2006/relationships/table" Target="../tables/table1.xml"/><Relationship Id="rId5" Type="http://schemas.openxmlformats.org/officeDocument/2006/relationships/hyperlink" Target="https://arcgis.alpineenergy.co.nz/ArcFMWebViewer261/Index.html?configBase=http://arcgis.alpineenergy.co.nz/Geocortex/Essentials/REST/sites/testGEMA/viewers/Parent_Site-Basic_Viewer/virtualdirectory/Resources/Config/Default" TargetMode="External"/><Relationship Id="rId15" Type="http://schemas.openxmlformats.org/officeDocument/2006/relationships/hyperlink" Target="../../../../Assets" TargetMode="External"/><Relationship Id="rId23" Type="http://schemas.openxmlformats.org/officeDocument/2006/relationships/printerSettings" Target="../printerSettings/printerSettings1.bin"/><Relationship Id="rId10" Type="http://schemas.openxmlformats.org/officeDocument/2006/relationships/hyperlink" Target="https://psdos02.alpineenergy.co.nz/synergis.webapp/" TargetMode="External"/><Relationship Id="rId19" Type="http://schemas.openxmlformats.org/officeDocument/2006/relationships/hyperlink" Target="../../../650_Library/Transpower/Branch%20Reports" TargetMode="External"/><Relationship Id="rId4" Type="http://schemas.openxmlformats.org/officeDocument/2006/relationships/hyperlink" Target="https://psdos02.alpineenergy.co.nz/synergis.webapp/" TargetMode="External"/><Relationship Id="rId9" Type="http://schemas.openxmlformats.org/officeDocument/2006/relationships/hyperlink" Target="../../../../Technical/Protection_General" TargetMode="External"/><Relationship Id="rId14" Type="http://schemas.openxmlformats.org/officeDocument/2006/relationships/hyperlink" Target="../../../../Assets/Substations%20Zone/" TargetMode="External"/><Relationship Id="rId22" Type="http://schemas.openxmlformats.org/officeDocument/2006/relationships/hyperlink" Target="../../../../Assets/Substations%20Zon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transpower.co.nz/sites/default/files/uncontrolled_docs/Engagement%20Paper%203%20(June%202018).pdf" TargetMode="External"/><Relationship Id="rId6" Type="http://schemas.openxmlformats.org/officeDocument/2006/relationships/comments" Target="../comments1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../../100_Projects/2016-007_NDPlanning/0)%20NDP%20Tools/Regional%20Capacity%20Capability%20Database/Supporting%20Info/Tool%20Update%20Collaborations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../../../100_Projects/2016-007_NDPlanning/0)%20NDP%20Tools/Regional%20Capacity%20Capability%20Database/210302-SCADA%20alarms%20table%20Minutes.docx" TargetMode="External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9.vml"/><Relationship Id="rId3" Type="http://schemas.openxmlformats.org/officeDocument/2006/relationships/hyperlink" Target="../../../ijk/Desktop/2016_NDP_TMK/Clandeboye/Clandeboye2/1Core%20400mm%20Al%20Xlpe%2011kV%20cable%20Sept%202016.pdf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../../../ijk/Desktop/2016_NDP_TMK/Clandeboye/Clandeboye2/1Core%20400mm%20Al%20Xlpe%2011kV%20cable%20Sept%202016.pdf" TargetMode="External"/><Relationship Id="rId1" Type="http://schemas.openxmlformats.org/officeDocument/2006/relationships/hyperlink" Target="../../../ijk/Desktop/2016_NDP_TMK/Clandeboye/Clandeboye2/1Core%20400mm%20Al%20Xlpe%2011kV%20cable%20Sept%202016.pdf" TargetMode="External"/><Relationship Id="rId6" Type="http://schemas.openxmlformats.org/officeDocument/2006/relationships/hyperlink" Target="../../../ijk/Desktop/2016_NDP_TMK/Clandeboye/Clandeboye2/1Core%20400mm%20Al%20Xlpe%2011kV%20cable%20Sept%202016.pdf" TargetMode="External"/><Relationship Id="rId5" Type="http://schemas.openxmlformats.org/officeDocument/2006/relationships/hyperlink" Target="../../../ijk/Desktop/2016_NDP_TMK/Clandeboye/Clandeboye2/1Core%20400mm%20Al%20Xlpe%2011kV%20cable%20Sept%202016.pdf" TargetMode="External"/><Relationship Id="rId10" Type="http://schemas.openxmlformats.org/officeDocument/2006/relationships/comments" Target="../comments9.xml"/><Relationship Id="rId4" Type="http://schemas.openxmlformats.org/officeDocument/2006/relationships/hyperlink" Target="../../../ijk/Desktop/2016_NDP_TMK/Clandeboye/Clandeboye2/1Core%20400mm%20Al%20Xlpe%2011kV%20cable%20Sept%202016.pdf" TargetMode="External"/><Relationship Id="rId9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4"/>
  <dimension ref="A1:X68"/>
  <sheetViews>
    <sheetView zoomScale="115" zoomScaleNormal="115" workbookViewId="0">
      <selection activeCell="F19" sqref="F19"/>
    </sheetView>
  </sheetViews>
  <sheetFormatPr defaultRowHeight="15" x14ac:dyDescent="0.25"/>
  <cols>
    <col min="1" max="1" width="9.28515625" bestFit="1" customWidth="1"/>
    <col min="2" max="2" width="20.140625" bestFit="1" customWidth="1"/>
    <col min="3" max="3" width="16.42578125" bestFit="1" customWidth="1"/>
    <col min="4" max="4" width="13" bestFit="1" customWidth="1"/>
    <col min="5" max="5" width="29.42578125" bestFit="1" customWidth="1"/>
    <col min="6" max="6" width="32.85546875" bestFit="1" customWidth="1"/>
    <col min="7" max="7" width="27.7109375" bestFit="1" customWidth="1"/>
    <col min="16" max="16" width="4.85546875" bestFit="1" customWidth="1"/>
    <col min="17" max="17" width="19.28515625" bestFit="1" customWidth="1"/>
    <col min="18" max="18" width="16.42578125" bestFit="1" customWidth="1"/>
    <col min="19" max="19" width="23.28515625" bestFit="1" customWidth="1"/>
    <col min="20" max="20" width="29.42578125" bestFit="1" customWidth="1"/>
  </cols>
  <sheetData>
    <row r="1" spans="1:24" s="328" customFormat="1" x14ac:dyDescent="0.25">
      <c r="A1" s="328" t="s">
        <v>4</v>
      </c>
      <c r="B1" s="328" t="s">
        <v>1428</v>
      </c>
      <c r="C1" s="328" t="s">
        <v>29</v>
      </c>
      <c r="D1" s="328" t="s">
        <v>1429</v>
      </c>
      <c r="E1" s="328" t="s">
        <v>1430</v>
      </c>
      <c r="F1" s="328" t="s">
        <v>1431</v>
      </c>
      <c r="G1" s="328" t="s">
        <v>1432</v>
      </c>
      <c r="V1"/>
      <c r="W1"/>
      <c r="X1"/>
    </row>
    <row r="2" spans="1:24" x14ac:dyDescent="0.25">
      <c r="A2" t="s">
        <v>1433</v>
      </c>
      <c r="B2" t="s">
        <v>729</v>
      </c>
      <c r="C2" t="s">
        <v>0</v>
      </c>
      <c r="D2" s="329" t="s">
        <v>273</v>
      </c>
      <c r="E2" s="329" t="s">
        <v>1434</v>
      </c>
    </row>
    <row r="3" spans="1:24" x14ac:dyDescent="0.25">
      <c r="A3" t="s">
        <v>1433</v>
      </c>
      <c r="B3" t="s">
        <v>746</v>
      </c>
      <c r="C3" t="s">
        <v>0</v>
      </c>
      <c r="D3" s="329" t="s">
        <v>273</v>
      </c>
      <c r="E3" s="329" t="s">
        <v>1434</v>
      </c>
      <c r="F3" s="329" t="s">
        <v>274</v>
      </c>
      <c r="G3" s="329" t="s">
        <v>1435</v>
      </c>
    </row>
    <row r="4" spans="1:24" x14ac:dyDescent="0.25">
      <c r="A4" t="s">
        <v>1433</v>
      </c>
      <c r="B4" t="s">
        <v>250</v>
      </c>
      <c r="C4" t="s">
        <v>0</v>
      </c>
      <c r="D4" s="329" t="s">
        <v>273</v>
      </c>
      <c r="E4" s="329" t="s">
        <v>1434</v>
      </c>
      <c r="F4" s="329" t="s">
        <v>1436</v>
      </c>
      <c r="G4" s="329" t="s">
        <v>1437</v>
      </c>
    </row>
    <row r="5" spans="1:24" x14ac:dyDescent="0.25">
      <c r="A5" t="s">
        <v>1433</v>
      </c>
      <c r="B5" t="s">
        <v>15</v>
      </c>
      <c r="C5" t="s">
        <v>0</v>
      </c>
      <c r="D5" s="329" t="s">
        <v>273</v>
      </c>
      <c r="E5" s="329" t="s">
        <v>1434</v>
      </c>
      <c r="F5" s="329" t="s">
        <v>274</v>
      </c>
      <c r="G5" s="329" t="s">
        <v>1435</v>
      </c>
    </row>
    <row r="6" spans="1:24" x14ac:dyDescent="0.25">
      <c r="A6" t="s">
        <v>1433</v>
      </c>
      <c r="B6" t="s">
        <v>289</v>
      </c>
      <c r="C6" t="s">
        <v>0</v>
      </c>
      <c r="D6" s="329" t="s">
        <v>273</v>
      </c>
    </row>
    <row r="7" spans="1:24" x14ac:dyDescent="0.25">
      <c r="A7" t="s">
        <v>1433</v>
      </c>
      <c r="B7" t="s">
        <v>249</v>
      </c>
      <c r="C7" t="s">
        <v>0</v>
      </c>
      <c r="D7" s="329" t="s">
        <v>273</v>
      </c>
    </row>
    <row r="8" spans="1:24" x14ac:dyDescent="0.25">
      <c r="A8" t="s">
        <v>1433</v>
      </c>
      <c r="B8" t="s">
        <v>69</v>
      </c>
      <c r="C8" t="s">
        <v>0</v>
      </c>
      <c r="D8" s="329" t="s">
        <v>273</v>
      </c>
      <c r="E8" s="329" t="s">
        <v>1434</v>
      </c>
      <c r="F8" s="329" t="s">
        <v>1438</v>
      </c>
    </row>
    <row r="9" spans="1:24" x14ac:dyDescent="0.25">
      <c r="A9" t="s">
        <v>1433</v>
      </c>
      <c r="B9" t="s">
        <v>394</v>
      </c>
      <c r="C9" t="s">
        <v>0</v>
      </c>
      <c r="D9" s="329" t="s">
        <v>273</v>
      </c>
      <c r="E9" s="329" t="s">
        <v>274</v>
      </c>
    </row>
    <row r="10" spans="1:24" x14ac:dyDescent="0.25">
      <c r="A10" t="s">
        <v>1433</v>
      </c>
      <c r="B10" t="s">
        <v>448</v>
      </c>
      <c r="C10" t="s">
        <v>0</v>
      </c>
      <c r="D10" s="329" t="s">
        <v>273</v>
      </c>
      <c r="E10" s="329" t="s">
        <v>1439</v>
      </c>
      <c r="F10" s="329" t="s">
        <v>1440</v>
      </c>
    </row>
    <row r="11" spans="1:24" x14ac:dyDescent="0.25">
      <c r="A11" t="s">
        <v>1433</v>
      </c>
      <c r="B11" t="s">
        <v>670</v>
      </c>
      <c r="C11" t="s">
        <v>0</v>
      </c>
      <c r="D11" s="329" t="s">
        <v>273</v>
      </c>
    </row>
    <row r="12" spans="1:24" x14ac:dyDescent="0.25">
      <c r="A12" t="s">
        <v>1433</v>
      </c>
      <c r="B12" t="s">
        <v>399</v>
      </c>
      <c r="C12" t="s">
        <v>0</v>
      </c>
      <c r="D12" s="329" t="s">
        <v>273</v>
      </c>
      <c r="E12" s="329" t="s">
        <v>274</v>
      </c>
      <c r="F12" s="329" t="s">
        <v>1441</v>
      </c>
    </row>
    <row r="13" spans="1:24" x14ac:dyDescent="0.25">
      <c r="A13" t="s">
        <v>1433</v>
      </c>
      <c r="B13" t="s">
        <v>278</v>
      </c>
      <c r="C13" t="s">
        <v>0</v>
      </c>
      <c r="D13" s="329" t="s">
        <v>273</v>
      </c>
    </row>
    <row r="14" spans="1:24" x14ac:dyDescent="0.25">
      <c r="A14" t="s">
        <v>1433</v>
      </c>
      <c r="B14" t="s">
        <v>1358</v>
      </c>
      <c r="C14" t="s">
        <v>0</v>
      </c>
      <c r="D14" s="329" t="s">
        <v>273</v>
      </c>
      <c r="E14" t="s">
        <v>1442</v>
      </c>
    </row>
    <row r="15" spans="1:24" x14ac:dyDescent="0.25">
      <c r="A15" t="s">
        <v>1433</v>
      </c>
      <c r="B15" t="s">
        <v>19</v>
      </c>
      <c r="C15" t="s">
        <v>0</v>
      </c>
      <c r="D15" s="329" t="s">
        <v>273</v>
      </c>
      <c r="E15" s="329" t="s">
        <v>275</v>
      </c>
    </row>
    <row r="16" spans="1:24" x14ac:dyDescent="0.25">
      <c r="A16" t="s">
        <v>79</v>
      </c>
      <c r="B16" t="s">
        <v>15</v>
      </c>
      <c r="C16" t="s">
        <v>1121</v>
      </c>
      <c r="E16" s="329" t="s">
        <v>311</v>
      </c>
    </row>
    <row r="17" spans="1:5" x14ac:dyDescent="0.25">
      <c r="A17" t="s">
        <v>79</v>
      </c>
      <c r="B17" t="s">
        <v>15</v>
      </c>
      <c r="C17" t="s">
        <v>1121</v>
      </c>
      <c r="E17" s="329" t="s">
        <v>312</v>
      </c>
    </row>
    <row r="18" spans="1:5" x14ac:dyDescent="0.25">
      <c r="A18" t="s">
        <v>79</v>
      </c>
      <c r="B18" t="s">
        <v>15</v>
      </c>
      <c r="C18" t="s">
        <v>1121</v>
      </c>
      <c r="E18" s="329" t="s">
        <v>315</v>
      </c>
    </row>
    <row r="19" spans="1:5" x14ac:dyDescent="0.25">
      <c r="A19" t="s">
        <v>79</v>
      </c>
      <c r="B19" t="s">
        <v>15</v>
      </c>
      <c r="C19" t="s">
        <v>0</v>
      </c>
      <c r="E19" s="329" t="s">
        <v>302</v>
      </c>
    </row>
    <row r="20" spans="1:5" x14ac:dyDescent="0.25">
      <c r="A20" t="s">
        <v>80</v>
      </c>
      <c r="B20" t="s">
        <v>16</v>
      </c>
      <c r="C20" t="s">
        <v>48</v>
      </c>
      <c r="E20" s="329" t="s">
        <v>696</v>
      </c>
    </row>
    <row r="21" spans="1:5" x14ac:dyDescent="0.25">
      <c r="A21" t="s">
        <v>80</v>
      </c>
      <c r="B21" t="s">
        <v>17</v>
      </c>
      <c r="C21" t="s">
        <v>17</v>
      </c>
      <c r="E21" s="329" t="s">
        <v>698</v>
      </c>
    </row>
    <row r="22" spans="1:5" x14ac:dyDescent="0.25">
      <c r="A22" t="s">
        <v>80</v>
      </c>
      <c r="B22" t="s">
        <v>17</v>
      </c>
      <c r="C22" t="s">
        <v>17</v>
      </c>
      <c r="E22" s="329" t="s">
        <v>701</v>
      </c>
    </row>
    <row r="23" spans="1:5" x14ac:dyDescent="0.25">
      <c r="A23" t="s">
        <v>1148</v>
      </c>
      <c r="B23" t="s">
        <v>250</v>
      </c>
      <c r="C23" t="s">
        <v>0</v>
      </c>
      <c r="E23" s="329" t="s">
        <v>760</v>
      </c>
    </row>
    <row r="24" spans="1:5" x14ac:dyDescent="0.25">
      <c r="A24" t="s">
        <v>1148</v>
      </c>
      <c r="B24" t="s">
        <v>250</v>
      </c>
      <c r="C24" t="s">
        <v>0</v>
      </c>
      <c r="E24" s="329" t="s">
        <v>764</v>
      </c>
    </row>
    <row r="25" spans="1:5" x14ac:dyDescent="0.25">
      <c r="A25" t="s">
        <v>82</v>
      </c>
      <c r="B25" t="s">
        <v>250</v>
      </c>
      <c r="C25" t="s">
        <v>0</v>
      </c>
      <c r="E25" s="329" t="s">
        <v>807</v>
      </c>
    </row>
    <row r="26" spans="1:5" x14ac:dyDescent="0.25">
      <c r="A26" t="s">
        <v>82</v>
      </c>
      <c r="B26" t="s">
        <v>250</v>
      </c>
      <c r="C26" t="s">
        <v>0</v>
      </c>
      <c r="E26" s="329" t="s">
        <v>795</v>
      </c>
    </row>
    <row r="27" spans="1:5" x14ac:dyDescent="0.25">
      <c r="A27" t="s">
        <v>82</v>
      </c>
      <c r="B27" t="s">
        <v>250</v>
      </c>
      <c r="C27" t="s">
        <v>0</v>
      </c>
      <c r="E27" s="329" t="s">
        <v>800</v>
      </c>
    </row>
    <row r="28" spans="1:5" x14ac:dyDescent="0.25">
      <c r="A28" t="s">
        <v>82</v>
      </c>
      <c r="B28" t="s">
        <v>15</v>
      </c>
      <c r="C28" t="s">
        <v>1121</v>
      </c>
      <c r="E28" s="329" t="s">
        <v>803</v>
      </c>
    </row>
    <row r="29" spans="1:5" x14ac:dyDescent="0.25">
      <c r="A29" t="s">
        <v>82</v>
      </c>
      <c r="B29" t="s">
        <v>15</v>
      </c>
      <c r="C29" t="s">
        <v>1121</v>
      </c>
      <c r="E29" s="329" t="s">
        <v>805</v>
      </c>
    </row>
    <row r="30" spans="1:5" x14ac:dyDescent="0.25">
      <c r="A30" t="s">
        <v>82</v>
      </c>
      <c r="B30" t="s">
        <v>15</v>
      </c>
      <c r="C30" t="s">
        <v>1121</v>
      </c>
      <c r="E30" s="329" t="s">
        <v>809</v>
      </c>
    </row>
    <row r="31" spans="1:5" x14ac:dyDescent="0.25">
      <c r="A31" t="s">
        <v>82</v>
      </c>
      <c r="B31" t="s">
        <v>15</v>
      </c>
      <c r="C31" t="s">
        <v>1121</v>
      </c>
      <c r="E31" s="329" t="s">
        <v>814</v>
      </c>
    </row>
    <row r="32" spans="1:5" x14ac:dyDescent="0.25">
      <c r="A32" t="s">
        <v>82</v>
      </c>
      <c r="B32" t="s">
        <v>15</v>
      </c>
      <c r="C32" t="s">
        <v>1121</v>
      </c>
      <c r="E32" s="329" t="s">
        <v>818</v>
      </c>
    </row>
    <row r="33" spans="1:5" x14ac:dyDescent="0.25">
      <c r="A33" t="s">
        <v>82</v>
      </c>
      <c r="B33" t="s">
        <v>15</v>
      </c>
      <c r="C33" t="s">
        <v>1121</v>
      </c>
      <c r="E33" s="329" t="s">
        <v>822</v>
      </c>
    </row>
    <row r="34" spans="1:5" x14ac:dyDescent="0.25">
      <c r="A34" t="s">
        <v>82</v>
      </c>
      <c r="B34" t="s">
        <v>15</v>
      </c>
      <c r="C34" t="s">
        <v>1121</v>
      </c>
      <c r="E34" s="329" t="s">
        <v>827</v>
      </c>
    </row>
    <row r="35" spans="1:5" x14ac:dyDescent="0.25">
      <c r="A35" t="s">
        <v>82</v>
      </c>
      <c r="B35" t="s">
        <v>15</v>
      </c>
      <c r="C35" t="s">
        <v>1121</v>
      </c>
      <c r="E35" s="329" t="s">
        <v>831</v>
      </c>
    </row>
    <row r="36" spans="1:5" x14ac:dyDescent="0.25">
      <c r="A36" t="s">
        <v>82</v>
      </c>
      <c r="B36" t="s">
        <v>15</v>
      </c>
      <c r="C36" t="s">
        <v>1121</v>
      </c>
      <c r="E36" s="329" t="s">
        <v>835</v>
      </c>
    </row>
    <row r="37" spans="1:5" x14ac:dyDescent="0.25">
      <c r="A37" t="s">
        <v>82</v>
      </c>
      <c r="B37" t="s">
        <v>15</v>
      </c>
      <c r="C37" t="s">
        <v>1121</v>
      </c>
      <c r="E37" s="329" t="s">
        <v>839</v>
      </c>
    </row>
    <row r="38" spans="1:5" x14ac:dyDescent="0.25">
      <c r="A38" t="s">
        <v>82</v>
      </c>
      <c r="B38" t="s">
        <v>15</v>
      </c>
      <c r="C38" t="s">
        <v>1121</v>
      </c>
      <c r="E38" s="329" t="s">
        <v>842</v>
      </c>
    </row>
    <row r="39" spans="1:5" x14ac:dyDescent="0.25">
      <c r="A39" t="s">
        <v>82</v>
      </c>
      <c r="B39" t="s">
        <v>15</v>
      </c>
      <c r="C39" t="s">
        <v>1121</v>
      </c>
      <c r="E39" s="329" t="s">
        <v>845</v>
      </c>
    </row>
    <row r="40" spans="1:5" x14ac:dyDescent="0.25">
      <c r="A40" t="s">
        <v>82</v>
      </c>
      <c r="B40" t="s">
        <v>15</v>
      </c>
      <c r="C40" t="s">
        <v>1121</v>
      </c>
      <c r="E40" s="329" t="s">
        <v>848</v>
      </c>
    </row>
    <row r="41" spans="1:5" x14ac:dyDescent="0.25">
      <c r="A41" t="s">
        <v>82</v>
      </c>
      <c r="B41" t="s">
        <v>15</v>
      </c>
      <c r="C41" t="s">
        <v>1121</v>
      </c>
      <c r="E41" s="329" t="s">
        <v>856</v>
      </c>
    </row>
    <row r="42" spans="1:5" x14ac:dyDescent="0.25">
      <c r="A42" t="s">
        <v>82</v>
      </c>
      <c r="B42" t="s">
        <v>15</v>
      </c>
      <c r="C42" t="s">
        <v>1121</v>
      </c>
      <c r="E42" s="329" t="s">
        <v>860</v>
      </c>
    </row>
    <row r="43" spans="1:5" x14ac:dyDescent="0.25">
      <c r="A43" t="s">
        <v>82</v>
      </c>
      <c r="B43" t="s">
        <v>15</v>
      </c>
      <c r="C43" t="s">
        <v>1121</v>
      </c>
      <c r="E43" s="329" t="s">
        <v>863</v>
      </c>
    </row>
    <row r="44" spans="1:5" x14ac:dyDescent="0.25">
      <c r="A44" t="s">
        <v>82</v>
      </c>
      <c r="B44" t="s">
        <v>15</v>
      </c>
      <c r="C44" t="s">
        <v>1121</v>
      </c>
      <c r="E44" s="329" t="s">
        <v>866</v>
      </c>
    </row>
    <row r="45" spans="1:5" x14ac:dyDescent="0.25">
      <c r="A45" t="s">
        <v>82</v>
      </c>
      <c r="B45" t="s">
        <v>15</v>
      </c>
      <c r="C45" t="s">
        <v>1121</v>
      </c>
      <c r="E45" s="329" t="s">
        <v>870</v>
      </c>
    </row>
    <row r="46" spans="1:5" x14ac:dyDescent="0.25">
      <c r="A46" t="s">
        <v>82</v>
      </c>
      <c r="B46" t="s">
        <v>15</v>
      </c>
      <c r="C46" t="s">
        <v>1121</v>
      </c>
      <c r="E46" s="329" t="s">
        <v>874</v>
      </c>
    </row>
    <row r="47" spans="1:5" x14ac:dyDescent="0.25">
      <c r="A47" t="s">
        <v>82</v>
      </c>
      <c r="B47" t="s">
        <v>15</v>
      </c>
      <c r="C47" t="s">
        <v>1121</v>
      </c>
      <c r="E47" s="329" t="s">
        <v>877</v>
      </c>
    </row>
    <row r="48" spans="1:5" x14ac:dyDescent="0.25">
      <c r="A48" t="s">
        <v>82</v>
      </c>
      <c r="B48" t="s">
        <v>15</v>
      </c>
      <c r="C48" t="s">
        <v>1121</v>
      </c>
      <c r="E48" s="329" t="s">
        <v>881</v>
      </c>
    </row>
    <row r="49" spans="1:5" x14ac:dyDescent="0.25">
      <c r="A49" t="s">
        <v>82</v>
      </c>
      <c r="B49" t="s">
        <v>15</v>
      </c>
      <c r="C49" t="s">
        <v>1121</v>
      </c>
      <c r="E49" s="329" t="s">
        <v>883</v>
      </c>
    </row>
    <row r="50" spans="1:5" x14ac:dyDescent="0.25">
      <c r="A50" t="s">
        <v>82</v>
      </c>
      <c r="B50" t="s">
        <v>15</v>
      </c>
      <c r="C50" t="s">
        <v>1121</v>
      </c>
      <c r="E50" s="329" t="s">
        <v>885</v>
      </c>
    </row>
    <row r="51" spans="1:5" x14ac:dyDescent="0.25">
      <c r="A51" t="s">
        <v>82</v>
      </c>
      <c r="B51" t="s">
        <v>19</v>
      </c>
      <c r="C51" t="s">
        <v>37</v>
      </c>
      <c r="E51" s="329" t="s">
        <v>798</v>
      </c>
    </row>
    <row r="52" spans="1:5" x14ac:dyDescent="0.25">
      <c r="A52" t="s">
        <v>225</v>
      </c>
      <c r="B52" t="s">
        <v>250</v>
      </c>
      <c r="C52" t="s">
        <v>0</v>
      </c>
      <c r="E52" s="329" t="s">
        <v>376</v>
      </c>
    </row>
    <row r="53" spans="1:5" x14ac:dyDescent="0.25">
      <c r="A53" t="s">
        <v>225</v>
      </c>
      <c r="B53" t="s">
        <v>69</v>
      </c>
      <c r="C53" t="s">
        <v>0</v>
      </c>
      <c r="E53" s="329" t="s">
        <v>1209</v>
      </c>
    </row>
    <row r="54" spans="1:5" x14ac:dyDescent="0.25">
      <c r="A54" t="s">
        <v>225</v>
      </c>
      <c r="B54" t="s">
        <v>19</v>
      </c>
      <c r="C54" t="s">
        <v>20</v>
      </c>
      <c r="E54" s="329" t="s">
        <v>1212</v>
      </c>
    </row>
    <row r="55" spans="1:5" x14ac:dyDescent="0.25">
      <c r="A55" t="s">
        <v>1138</v>
      </c>
      <c r="B55" t="s">
        <v>464</v>
      </c>
      <c r="C55" t="s">
        <v>0</v>
      </c>
      <c r="E55" s="329" t="s">
        <v>465</v>
      </c>
    </row>
    <row r="56" spans="1:5" x14ac:dyDescent="0.25">
      <c r="A56" t="s">
        <v>1138</v>
      </c>
      <c r="B56" t="s">
        <v>15</v>
      </c>
      <c r="C56" t="s">
        <v>470</v>
      </c>
      <c r="E56" s="329" t="s">
        <v>487</v>
      </c>
    </row>
    <row r="57" spans="1:5" x14ac:dyDescent="0.25">
      <c r="A57" t="s">
        <v>1138</v>
      </c>
      <c r="B57" t="s">
        <v>15</v>
      </c>
      <c r="C57" t="s">
        <v>470</v>
      </c>
      <c r="E57" s="329" t="s">
        <v>488</v>
      </c>
    </row>
    <row r="58" spans="1:5" x14ac:dyDescent="0.25">
      <c r="A58" t="s">
        <v>1138</v>
      </c>
      <c r="B58" t="s">
        <v>15</v>
      </c>
      <c r="C58" t="s">
        <v>470</v>
      </c>
      <c r="E58" s="329" t="s">
        <v>489</v>
      </c>
    </row>
    <row r="59" spans="1:5" x14ac:dyDescent="0.25">
      <c r="A59" t="s">
        <v>1138</v>
      </c>
      <c r="B59" t="s">
        <v>15</v>
      </c>
      <c r="C59" t="s">
        <v>470</v>
      </c>
      <c r="E59" s="329" t="s">
        <v>490</v>
      </c>
    </row>
    <row r="60" spans="1:5" x14ac:dyDescent="0.25">
      <c r="A60" t="s">
        <v>1138</v>
      </c>
      <c r="B60" t="s">
        <v>15</v>
      </c>
      <c r="C60" t="s">
        <v>470</v>
      </c>
      <c r="E60" s="329" t="s">
        <v>491</v>
      </c>
    </row>
    <row r="61" spans="1:5" x14ac:dyDescent="0.25">
      <c r="A61" t="s">
        <v>1138</v>
      </c>
      <c r="B61" t="s">
        <v>15</v>
      </c>
      <c r="C61" t="s">
        <v>470</v>
      </c>
      <c r="E61" s="329" t="s">
        <v>492</v>
      </c>
    </row>
    <row r="62" spans="1:5" x14ac:dyDescent="0.25">
      <c r="A62" t="s">
        <v>1138</v>
      </c>
      <c r="B62" t="s">
        <v>15</v>
      </c>
      <c r="C62" t="s">
        <v>470</v>
      </c>
      <c r="E62" s="329" t="s">
        <v>493</v>
      </c>
    </row>
    <row r="63" spans="1:5" x14ac:dyDescent="0.25">
      <c r="A63" t="s">
        <v>1138</v>
      </c>
      <c r="B63" t="s">
        <v>15</v>
      </c>
      <c r="C63" t="s">
        <v>1121</v>
      </c>
      <c r="E63" s="329" t="s">
        <v>494</v>
      </c>
    </row>
    <row r="64" spans="1:5" x14ac:dyDescent="0.25">
      <c r="A64" t="s">
        <v>1138</v>
      </c>
      <c r="B64" t="s">
        <v>69</v>
      </c>
      <c r="C64" t="s">
        <v>0</v>
      </c>
      <c r="E64" s="329" t="s">
        <v>471</v>
      </c>
    </row>
    <row r="65" spans="1:5" x14ac:dyDescent="0.25">
      <c r="A65" t="s">
        <v>1138</v>
      </c>
      <c r="B65" t="s">
        <v>69</v>
      </c>
      <c r="C65" t="s">
        <v>0</v>
      </c>
      <c r="E65" s="329" t="s">
        <v>474</v>
      </c>
    </row>
    <row r="66" spans="1:5" x14ac:dyDescent="0.25">
      <c r="A66" t="s">
        <v>1138</v>
      </c>
      <c r="B66" t="s">
        <v>19</v>
      </c>
      <c r="C66" t="s">
        <v>477</v>
      </c>
      <c r="E66" s="329" t="s">
        <v>462</v>
      </c>
    </row>
    <row r="67" spans="1:5" x14ac:dyDescent="0.25">
      <c r="A67" t="s">
        <v>70</v>
      </c>
      <c r="B67" t="s">
        <v>15</v>
      </c>
      <c r="C67" t="s">
        <v>0</v>
      </c>
      <c r="E67" s="329" t="s">
        <v>272</v>
      </c>
    </row>
    <row r="68" spans="1:5" x14ac:dyDescent="0.25">
      <c r="A68" t="s">
        <v>70</v>
      </c>
      <c r="B68" t="s">
        <v>19</v>
      </c>
      <c r="C68" t="s">
        <v>19</v>
      </c>
      <c r="E68" s="329" t="s">
        <v>271</v>
      </c>
    </row>
  </sheetData>
  <hyperlinks>
    <hyperlink ref="D2:D15" r:id="rId1" display="GEMA" xr:uid="{00000000-0004-0000-0000-000000000000}"/>
    <hyperlink ref="E2:E3" r:id="rId2" location="/home" display="AEL Drawings" xr:uid="{00000000-0004-0000-0000-000001000000}"/>
    <hyperlink ref="E5" r:id="rId3" location="/home" xr:uid="{00000000-0004-0000-0000-000002000000}"/>
    <hyperlink ref="E8" r:id="rId4" location="/home" xr:uid="{00000000-0004-0000-0000-000003000000}"/>
    <hyperlink ref="E10" r:id="rId5" xr:uid="{00000000-0004-0000-0000-000004000000}"/>
    <hyperlink ref="F3" r:id="rId6" xr:uid="{00000000-0004-0000-0000-000005000000}"/>
    <hyperlink ref="F5" r:id="rId7" xr:uid="{00000000-0004-0000-0000-000006000000}"/>
    <hyperlink ref="E9" r:id="rId8" xr:uid="{00000000-0004-0000-0000-000007000000}"/>
    <hyperlink ref="E12" r:id="rId9" xr:uid="{00000000-0004-0000-0000-000008000000}"/>
    <hyperlink ref="E4" r:id="rId10" location="/home" xr:uid="{00000000-0004-0000-0000-000009000000}"/>
    <hyperlink ref="F4" r:id="rId11" xr:uid="{00000000-0004-0000-0000-00000A000000}"/>
    <hyperlink ref="F8" r:id="rId12" xr:uid="{00000000-0004-0000-0000-00000B000000}"/>
    <hyperlink ref="G4" r:id="rId13" xr:uid="{00000000-0004-0000-0000-00000C000000}"/>
    <hyperlink ref="G5" r:id="rId14" xr:uid="{00000000-0004-0000-0000-00000D000000}"/>
    <hyperlink ref="F10" r:id="rId15" xr:uid="{00000000-0004-0000-0000-00000E000000}"/>
    <hyperlink ref="F12" r:id="rId16" xr:uid="{00000000-0004-0000-0000-00000F000000}"/>
    <hyperlink ref="E15" r:id="rId17" xr:uid="{00000000-0004-0000-0000-000010000000}"/>
    <hyperlink ref="E16" r:id="rId18" xr:uid="{00000000-0004-0000-0000-000011000000}"/>
    <hyperlink ref="E17" r:id="rId19" xr:uid="{00000000-0004-0000-0000-000012000000}"/>
    <hyperlink ref="E18" r:id="rId20" xr:uid="{00000000-0004-0000-0000-000013000000}"/>
    <hyperlink ref="E19:E68" r:id="rId21" display="TP Branch Report ABY.TF.T2" xr:uid="{00000000-0004-0000-0000-000014000000}"/>
    <hyperlink ref="G3" r:id="rId22" xr:uid="{00000000-0004-0000-0000-000015000000}"/>
  </hyperlinks>
  <pageMargins left="0.7" right="0.7" top="0.75" bottom="0.75" header="0.3" footer="0.3"/>
  <pageSetup paperSize="9" orientation="portrait" r:id="rId23"/>
  <tableParts count="1">
    <tablePart r:id="rId2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FF0000"/>
    <pageSetUpPr fitToPage="1"/>
  </sheetPr>
  <dimension ref="A1:Q228"/>
  <sheetViews>
    <sheetView showGridLines="0" zoomScaleNormal="100" workbookViewId="0">
      <pane ySplit="2" topLeftCell="A177" activePane="bottomLeft" state="frozen"/>
      <selection pane="bottomLeft" activeCell="D209" sqref="D209"/>
    </sheetView>
  </sheetViews>
  <sheetFormatPr defaultRowHeight="15" x14ac:dyDescent="0.25"/>
  <cols>
    <col min="1" max="1" width="27.5703125" bestFit="1" customWidth="1"/>
    <col min="2" max="2" width="14.5703125" style="48" bestFit="1" customWidth="1"/>
    <col min="3" max="3" width="15.140625" style="48" bestFit="1" customWidth="1"/>
    <col min="4" max="4" width="44.5703125" style="48" bestFit="1" customWidth="1"/>
    <col min="5" max="5" width="8.85546875" style="79" customWidth="1"/>
    <col min="6" max="6" width="7.7109375" style="79" bestFit="1" customWidth="1"/>
    <col min="7" max="7" width="15.140625" style="48" bestFit="1" customWidth="1"/>
    <col min="8" max="8" width="14.7109375" style="48" bestFit="1" customWidth="1"/>
    <col min="9" max="9" width="43" style="48" bestFit="1" customWidth="1"/>
    <col min="10" max="10" width="8.85546875" style="79" bestFit="1" customWidth="1"/>
    <col min="11" max="11" width="7.7109375" style="79" bestFit="1" customWidth="1"/>
    <col min="12" max="12" width="7.7109375" style="269" bestFit="1" customWidth="1"/>
    <col min="13" max="13" width="11" style="41" bestFit="1" customWidth="1"/>
    <col min="14" max="14" width="7" style="41" bestFit="1" customWidth="1"/>
    <col min="15" max="15" width="7.7109375" style="269" bestFit="1" customWidth="1"/>
    <col min="16" max="16" width="11" style="41" bestFit="1" customWidth="1"/>
    <col min="17" max="17" width="7" style="41" bestFit="1" customWidth="1"/>
  </cols>
  <sheetData>
    <row r="1" spans="1:17" s="41" customFormat="1" ht="15.75" x14ac:dyDescent="0.25">
      <c r="A1" s="524" t="s">
        <v>296</v>
      </c>
      <c r="B1" s="526" t="s">
        <v>367</v>
      </c>
      <c r="C1" s="527">
        <v>0</v>
      </c>
      <c r="D1" s="527">
        <v>0</v>
      </c>
      <c r="E1" s="527">
        <v>0</v>
      </c>
      <c r="F1" s="528">
        <v>0</v>
      </c>
      <c r="G1" s="526" t="s">
        <v>368</v>
      </c>
      <c r="H1" s="527">
        <v>0</v>
      </c>
      <c r="I1" s="527">
        <v>0</v>
      </c>
      <c r="J1" s="527">
        <v>0</v>
      </c>
      <c r="K1" s="528">
        <v>0</v>
      </c>
      <c r="L1" s="269"/>
      <c r="O1" s="269"/>
    </row>
    <row r="2" spans="1:17" s="41" customFormat="1" ht="15.75" thickBot="1" x14ac:dyDescent="0.3">
      <c r="A2" s="525"/>
      <c r="B2" s="68" t="s">
        <v>369</v>
      </c>
      <c r="C2" s="69" t="s">
        <v>370</v>
      </c>
      <c r="D2" s="69" t="s">
        <v>371</v>
      </c>
      <c r="E2" s="140" t="s">
        <v>41</v>
      </c>
      <c r="F2" s="78" t="s">
        <v>372</v>
      </c>
      <c r="G2" s="68" t="s">
        <v>369</v>
      </c>
      <c r="H2" s="69" t="s">
        <v>370</v>
      </c>
      <c r="I2" s="69" t="s">
        <v>371</v>
      </c>
      <c r="J2" s="140" t="s">
        <v>41</v>
      </c>
      <c r="K2" s="78" t="s">
        <v>372</v>
      </c>
      <c r="L2" s="269"/>
      <c r="O2" s="269"/>
    </row>
    <row r="3" spans="1:17" ht="15.75" customHeight="1" thickBot="1" x14ac:dyDescent="0.3">
      <c r="A3" s="518" t="s">
        <v>1131</v>
      </c>
      <c r="B3" s="519"/>
      <c r="C3" s="519"/>
      <c r="D3" s="519"/>
      <c r="E3" s="519"/>
      <c r="F3" s="519"/>
      <c r="G3" s="519"/>
      <c r="H3" s="519"/>
      <c r="I3" s="519"/>
      <c r="J3" s="519"/>
      <c r="K3" s="520"/>
    </row>
    <row r="4" spans="1:17" x14ac:dyDescent="0.25">
      <c r="A4" s="74" t="s">
        <v>365</v>
      </c>
      <c r="B4" s="94" t="str">
        <f>VLOOKUP($A4&amp;$F4,ABY[[ID Rating]:[Summ Voltage]],B$15,0)</f>
        <v>110 kv Bus</v>
      </c>
      <c r="C4" s="95" t="str">
        <f>VLOOKUP($A4&amp;$F4,ABY[[ID Rating]:[Summ Voltage]],C$15,0)</f>
        <v>11 kV CBs</v>
      </c>
      <c r="D4" s="70" t="str">
        <f>VLOOKUP($A4&amp;$F4,ABY[[ID Rating]:[Summ Voltage]],D$15,0)</f>
        <v>Circuit Breaker-ABY-CB2712-Other Equipment</v>
      </c>
      <c r="E4" s="141">
        <f>VLOOKUP($A4&amp;$F4,ABY[[ID Rating]:[Summ Voltage]],E$15,0)</f>
        <v>11</v>
      </c>
      <c r="F4" s="80">
        <f t="array" ref="F4">MIN(IF(ABY[Station/Feeder]=$A4,ABY[Lowest MVA]))</f>
        <v>11.43153532995459</v>
      </c>
      <c r="G4" s="94" t="str">
        <f>VLOOKUP($A4&amp;$K4,ABY[[ID Rating]:[Summ Voltage]],G$15,0)</f>
        <v>110 kv Bus</v>
      </c>
      <c r="H4" s="95" t="str">
        <f>VLOOKUP($A4&amp;$K4,ABY[[ID Rating]:[Summ Voltage]],H$15,0)</f>
        <v>11 kV CBs</v>
      </c>
      <c r="I4" s="70" t="str">
        <f>VLOOKUP($A4&amp;$K4,ABY[[ID Rating]:[Summ Voltage]],I$15,0)</f>
        <v>Transformer-T2-Bushings</v>
      </c>
      <c r="J4" s="141">
        <f>VLOOKUP($A4&amp;$K4,ABY[[ID Rating]:[Summ Voltage]],J$15,0)</f>
        <v>11</v>
      </c>
      <c r="K4" s="80">
        <f t="array" ref="K4">MIN(IF(ABY[Station/Feeder]=$A4,IF($F4&lt;ABY[Lowest MVA],ABY[Lowest MVA])))</f>
        <v>23.815698604072061</v>
      </c>
    </row>
    <row r="5" spans="1:17" x14ac:dyDescent="0.25">
      <c r="A5" s="74" t="s">
        <v>79</v>
      </c>
      <c r="B5" s="206" t="str">
        <f>VLOOKUP($A5&amp;$F5,ABY[[ID Rating]:[Summ Voltage]],B$15,0)</f>
        <v>F268</v>
      </c>
      <c r="C5" s="207" t="str">
        <f>VLOOKUP($A5&amp;$F5,ABY[[ID Rating]:[Summ Voltage]],C$15,0)</f>
        <v>C251</v>
      </c>
      <c r="D5" s="208" t="str">
        <f>VLOOKUP($A5&amp;$F5,ABY[[ID Rating]:[Summ Voltage]],D$15,0)</f>
        <v>OH Line-120 mm² Cu</v>
      </c>
      <c r="E5" s="209">
        <f>VLOOKUP($A5&amp;$F5,ABY[[ID Rating]:[Summ Voltage]],E$15,0)</f>
        <v>11</v>
      </c>
      <c r="F5" s="210">
        <f t="array" ref="F5">MIN(IF(ABY[Station/Feeder]=$A5,ABY[Lowest MVA]))</f>
        <v>6.9160788746225261</v>
      </c>
      <c r="G5" s="206" t="str">
        <f>VLOOKUP($A5&amp;$K5,ABY[[ID Rating]:[Summ Voltage]],G$15,0)</f>
        <v>CB2722</v>
      </c>
      <c r="H5" s="207" t="str">
        <f>VLOOKUP($A5&amp;$K5,ABY[[ID Rating]:[Summ Voltage]],H$15,0)</f>
        <v>F268</v>
      </c>
      <c r="I5" s="208" t="str">
        <f>VLOOKUP($A5&amp;$K5,ABY[[ID Rating]:[Summ Voltage]],I$15,0)</f>
        <v>Cable-3-1c 400 mm² Al XLPE</v>
      </c>
      <c r="J5" s="209">
        <f>VLOOKUP($A5&amp;$K5,ABY[[ID Rating]:[Summ Voltage]],J$15,0)</f>
        <v>11</v>
      </c>
      <c r="K5" s="210">
        <f t="array" ref="K5">MIN(IF(ABY[Station/Feeder]=$A5,IF($F5&lt;ABY[Lowest MVA],ABY[Lowest MVA])))</f>
        <v>8.4356442871950659</v>
      </c>
    </row>
    <row r="6" spans="1:17" x14ac:dyDescent="0.25">
      <c r="A6" s="75" t="s">
        <v>103</v>
      </c>
      <c r="B6" s="96" t="str">
        <f>VLOOKUP($A6&amp;$F6,ABY[[ID Rating]:[Summ Voltage]],B$15,0)</f>
        <v>CB2732</v>
      </c>
      <c r="C6" s="97" t="str">
        <f>VLOOKUP($A6&amp;$F6,ABY[[ID Rating]:[Summ Voltage]],C$15,0)</f>
        <v>F234 SW.ST</v>
      </c>
      <c r="D6" s="71" t="str">
        <f>VLOOKUP($A6&amp;$F6,ABY[[ID Rating]:[Summ Voltage]],D$15,0)</f>
        <v>Circuit Breaker-ABY-CB2732-Protection</v>
      </c>
      <c r="E6" s="142">
        <f>VLOOKUP($A6&amp;$F6,ABY[[ID Rating]:[Summ Voltage]],E$15,0)</f>
        <v>11</v>
      </c>
      <c r="F6" s="81">
        <f t="array" ref="F6">MIN(IF(ABY[Station/Feeder]=$A6,ABY[Lowest MVA]))</f>
        <v>4.2868257487329711</v>
      </c>
      <c r="G6" s="96" t="str">
        <f>VLOOKUP($A6&amp;$K6,ABY[[ID Rating]:[Summ Voltage]],G$15,0)</f>
        <v>CB2732</v>
      </c>
      <c r="H6" s="97" t="str">
        <f>VLOOKUP($A6&amp;$K6,ABY[[ID Rating]:[Summ Voltage]],H$15,0)</f>
        <v>F234 SW.ST</v>
      </c>
      <c r="I6" s="71" t="str">
        <f>VLOOKUP($A6&amp;$K6,ABY[[ID Rating]:[Summ Voltage]],I$15,0)</f>
        <v>OH Line-19/14 Cu</v>
      </c>
      <c r="J6" s="142">
        <f>VLOOKUP($A6&amp;$K6,ABY[[ID Rating]:[Summ Voltage]],J$15,0)</f>
        <v>11</v>
      </c>
      <c r="K6" s="81">
        <f t="array" ref="K6">MIN(IF(ABY[Station/Feeder]=$A6,IF($F6&lt;ABY[Lowest MVA],ABY[Lowest MVA])))</f>
        <v>4.6033356108935308</v>
      </c>
    </row>
    <row r="7" spans="1:17" x14ac:dyDescent="0.25">
      <c r="A7" s="75" t="s">
        <v>115</v>
      </c>
      <c r="B7" s="98" t="str">
        <f>VLOOKUP($A7&amp;$F7,ABY[[ID Rating]:[Summ Voltage]],B$15,0)</f>
        <v>CB2742</v>
      </c>
      <c r="C7" s="99" t="str">
        <f>VLOOKUP($A7&amp;$F7,ABY[[ID Rating]:[Summ Voltage]],C$15,0)</f>
        <v>Pole 53272</v>
      </c>
      <c r="D7" s="72" t="str">
        <f>VLOOKUP($A7&amp;$F7,ABY[[ID Rating]:[Summ Voltage]],D$15,0)</f>
        <v>Circuit Breaker-ABY-CB2742-Protection</v>
      </c>
      <c r="E7" s="143">
        <f>VLOOKUP($A7&amp;$F7,ABY[[ID Rating]:[Summ Voltage]],E$15,0)</f>
        <v>11</v>
      </c>
      <c r="F7" s="82">
        <f t="array" ref="F7">MIN(IF(ABY[Station/Feeder]=$A7,ABY[Lowest MVA]))</f>
        <v>4.2868257487329711</v>
      </c>
      <c r="G7" s="98" t="str">
        <f>VLOOKUP($A7&amp;$K7,ABY[[ID Rating]:[Summ Voltage]],G$15,0)</f>
        <v>CB2742</v>
      </c>
      <c r="H7" s="99" t="str">
        <f>VLOOKUP($A7&amp;$K7,ABY[[ID Rating]:[Summ Voltage]],H$15,0)</f>
        <v>Pole 53272</v>
      </c>
      <c r="I7" s="72" t="str">
        <f>VLOOKUP($A7&amp;$K7,ABY[[ID Rating]:[Summ Voltage]],I$15,0)</f>
        <v>OH Line-DOG</v>
      </c>
      <c r="J7" s="143">
        <f>VLOOKUP($A7&amp;$K7,ABY[[ID Rating]:[Summ Voltage]],J$15,0)</f>
        <v>11</v>
      </c>
      <c r="K7" s="82">
        <f t="array" ref="K7">MIN(IF(ABY[Station/Feeder]=$A7,IF($F7&lt;ABY[Lowest MVA],ABY[Lowest MVA])))</f>
        <v>4.8938121360948701</v>
      </c>
    </row>
    <row r="8" spans="1:17" ht="15.75" thickBot="1" x14ac:dyDescent="0.3">
      <c r="A8" s="75" t="s">
        <v>90</v>
      </c>
      <c r="B8" s="96" t="str">
        <f>VLOOKUP($A8&amp;$F8,ABY[[ID Rating]:[Summ Voltage]],B$15,0)</f>
        <v>CB2722</v>
      </c>
      <c r="C8" s="97" t="str">
        <f>VLOOKUP($A8&amp;$F8,ABY[[ID Rating]:[Summ Voltage]],C$15,0)</f>
        <v>F388</v>
      </c>
      <c r="D8" s="71" t="str">
        <f>VLOOKUP($A8&amp;$F8,ABY[[ID Rating]:[Summ Voltage]],D$15,0)</f>
        <v>Circuit Breaker-ABY-CB2722-Protection</v>
      </c>
      <c r="E8" s="142">
        <f>VLOOKUP($A8&amp;$F8,ABY[[ID Rating]:[Summ Voltage]],E$15,0)</f>
        <v>11</v>
      </c>
      <c r="F8" s="81">
        <f t="array" ref="F8">MIN(IF(ABY[Station/Feeder]=$A8,ABY[Lowest MVA]))</f>
        <v>8.5736514974659421</v>
      </c>
      <c r="G8" s="96" t="str">
        <f>VLOOKUP($A8&amp;$K8,ABY[[ID Rating]:[Summ Voltage]],G$15,0)</f>
        <v>F388</v>
      </c>
      <c r="H8" s="97" t="str">
        <f>VLOOKUP($A8&amp;$K8,ABY[[ID Rating]:[Summ Voltage]],H$15,0)</f>
        <v>OPU T-off</v>
      </c>
      <c r="I8" s="71" t="str">
        <f>VLOOKUP($A8&amp;$K8,ABY[[ID Rating]:[Summ Voltage]],I$15,0)</f>
        <v>OH Line-PETREL</v>
      </c>
      <c r="J8" s="142">
        <f>VLOOKUP($A8&amp;$K8,ABY[[ID Rating]:[Summ Voltage]],J$15,0)</f>
        <v>33</v>
      </c>
      <c r="K8" s="81">
        <f t="array" ref="K8">MIN(IF(ABY[Station/Feeder]=$A8,IF($F8&lt;ABY[Lowest MVA],ABY[Lowest MVA])))</f>
        <v>9.8789666816279293</v>
      </c>
    </row>
    <row r="9" spans="1:17" ht="15.75" thickBot="1" x14ac:dyDescent="0.3">
      <c r="A9" s="90"/>
      <c r="B9" s="100"/>
      <c r="C9" s="100"/>
      <c r="D9" s="91"/>
      <c r="E9" s="92"/>
      <c r="F9" s="92"/>
      <c r="G9" s="100"/>
      <c r="H9" s="100"/>
      <c r="I9" s="91"/>
      <c r="J9" s="92"/>
      <c r="K9" s="93"/>
    </row>
    <row r="10" spans="1:17" x14ac:dyDescent="0.25">
      <c r="A10" s="76" t="s">
        <v>158</v>
      </c>
      <c r="B10" s="96" t="str">
        <f>VLOOKUP($A10&amp;$F10,ABY[[ID Rating]:[Summ Voltage]],B$15,0)</f>
        <v>OPU T-off</v>
      </c>
      <c r="C10" s="97" t="str">
        <f>VLOOKUP($A10&amp;$F10,ABY[[ID Rating]:[Summ Voltage]],C$15,0)</f>
        <v>F377</v>
      </c>
      <c r="D10" s="71" t="str">
        <f>VLOOKUP($A10&amp;$F10,ABY[[ID Rating]:[Summ Voltage]],D$15,0)</f>
        <v>Circuit Breaker-FLE-F377-Protection</v>
      </c>
      <c r="E10" s="142">
        <f>VLOOKUP($A10&amp;$F10,ABY[[ID Rating]:[Summ Voltage]],E$15,0)</f>
        <v>11.100100000000001</v>
      </c>
      <c r="F10" s="81">
        <f t="array" ref="F10">MIN(IF(ABY[Station/Feeder]=$A10,ABY[Lowest MVA]))</f>
        <v>5.3832624073466819</v>
      </c>
      <c r="G10" s="96" t="str">
        <f>VLOOKUP($A10&amp;$K10,ABY[[ID Rating]:[Summ Voltage]],G$15,0)</f>
        <v>OPU T-off</v>
      </c>
      <c r="H10" s="97" t="str">
        <f>VLOOKUP($A10&amp;$K10,ABY[[ID Rating]:[Summ Voltage]],H$15,0)</f>
        <v>F377</v>
      </c>
      <c r="I10" s="71" t="str">
        <f>VLOOKUP($A10&amp;$K10,ABY[[ID Rating]:[Summ Voltage]],I$15,0)</f>
        <v>Circuit Breaker-FLE-F323-Protection</v>
      </c>
      <c r="J10" s="142">
        <f>VLOOKUP($A10&amp;$K10,ABY[[ID Rating]:[Summ Voltage]],J$15,0)</f>
        <v>33</v>
      </c>
      <c r="K10" s="81">
        <f t="array" ref="K10">MIN(IF(ABY[Station/Feeder]=$A10,IF($F10&lt;ABY[Lowest MVA],ABY[Lowest MVA])))</f>
        <v>5.715767664977295</v>
      </c>
    </row>
    <row r="11" spans="1:17" x14ac:dyDescent="0.25">
      <c r="A11" s="75" t="s">
        <v>166</v>
      </c>
      <c r="B11" s="98" t="str">
        <f>VLOOKUP($A11&amp;$F11,ABY[[ID Rating]:[Summ Voltage]],B$15,0)</f>
        <v>F377</v>
      </c>
      <c r="C11" s="99" t="str">
        <f>VLOOKUP($A11&amp;$F11,ABY[[ID Rating]:[Summ Voltage]],C$15,0)</f>
        <v>Pole 11915</v>
      </c>
      <c r="D11" s="72" t="str">
        <f>VLOOKUP($A11&amp;$F11,ABY[[ID Rating]:[Summ Voltage]],D$15,0)</f>
        <v>OH Line-MINK</v>
      </c>
      <c r="E11" s="143">
        <f>VLOOKUP($A11&amp;$F11,ABY[[ID Rating]:[Summ Voltage]],E$15,0)</f>
        <v>11.100100000000001</v>
      </c>
      <c r="F11" s="82">
        <f t="array" ref="F11">MIN(IF(ABY[Station/Feeder]=$A11,ABY[Lowest MVA]))</f>
        <v>3.6265232988341185</v>
      </c>
      <c r="G11" s="98" t="str">
        <f>VLOOKUP($A11&amp;$K11,ABY[[ID Rating]:[Summ Voltage]],G$15,0)</f>
        <v>F377</v>
      </c>
      <c r="H11" s="99" t="str">
        <f>VLOOKUP($A11&amp;$K11,ABY[[ID Rating]:[Summ Voltage]],H$15,0)</f>
        <v>Pole 11915</v>
      </c>
      <c r="I11" s="72" t="str">
        <f>VLOOKUP($A11&amp;$K11,ABY[[ID Rating]:[Summ Voltage]],I$15,0)</f>
        <v>Circuit Breaker-FLE-F374-Protection</v>
      </c>
      <c r="J11" s="143">
        <f>VLOOKUP($A11&amp;$K11,ABY[[ID Rating]:[Summ Voltage]],J$15,0)</f>
        <v>11.100100000000001</v>
      </c>
      <c r="K11" s="82">
        <f t="array" ref="K11">MIN(IF(ABY[Station/Feeder]=$A11,IF($F11&lt;ABY[Lowest MVA],ABY[Lowest MVA])))</f>
        <v>3.6913799364662974</v>
      </c>
    </row>
    <row r="12" spans="1:17" x14ac:dyDescent="0.25">
      <c r="A12" s="75" t="s">
        <v>174</v>
      </c>
      <c r="B12" s="96" t="str">
        <f>VLOOKUP($A12&amp;$F12,ABY[[ID Rating]:[Summ Voltage]],B$15,0)</f>
        <v>F380</v>
      </c>
      <c r="C12" s="97" t="str">
        <f>VLOOKUP($A12&amp;$F12,ABY[[ID Rating]:[Summ Voltage]],C$15,0)</f>
        <v>Pole 15164</v>
      </c>
      <c r="D12" s="71" t="str">
        <f>VLOOKUP($A12&amp;$F12,ABY[[ID Rating]:[Summ Voltage]],D$15,0)</f>
        <v>Circuit Breaker-FLE-F380-Protection</v>
      </c>
      <c r="E12" s="142">
        <f>VLOOKUP($A12&amp;$F12,ABY[[ID Rating]:[Summ Voltage]],E$15,0)</f>
        <v>11.100100000000001</v>
      </c>
      <c r="F12" s="81">
        <f t="array" ref="F12">MIN(IF(ABY[Station/Feeder]=$A12,ABY[Lowest MVA]))</f>
        <v>3.6913799364662974</v>
      </c>
      <c r="G12" s="96" t="str">
        <f>VLOOKUP($A12&amp;$K12,ABY[[ID Rating]:[Summ Voltage]],G$15,0)</f>
        <v>F380</v>
      </c>
      <c r="H12" s="97" t="str">
        <f>VLOOKUP($A12&amp;$K12,ABY[[ID Rating]:[Summ Voltage]],H$15,0)</f>
        <v>Pole 15164</v>
      </c>
      <c r="I12" s="71" t="str">
        <f>VLOOKUP($A12&amp;$K12,ABY[[ID Rating]:[Summ Voltage]],I$15,0)</f>
        <v>OH Line-70 mm² Cu</v>
      </c>
      <c r="J12" s="142">
        <f>VLOOKUP($A12&amp;$K12,ABY[[ID Rating]:[Summ Voltage]],J$15,0)</f>
        <v>11.100100000000001</v>
      </c>
      <c r="K12" s="81">
        <f t="array" ref="K12">MIN(IF(ABY[Station/Feeder]=$A12,IF($F12&lt;ABY[Lowest MVA],ABY[Lowest MVA])))</f>
        <v>4.7488064807665378</v>
      </c>
    </row>
    <row r="13" spans="1:17" x14ac:dyDescent="0.25">
      <c r="A13" s="75" t="s">
        <v>180</v>
      </c>
      <c r="B13" s="98" t="str">
        <f>VLOOKUP($A13&amp;$F13,ABY[[ID Rating]:[Summ Voltage]],B$15,0)</f>
        <v>F383</v>
      </c>
      <c r="C13" s="99" t="str">
        <f>VLOOKUP($A13&amp;$F13,ABY[[ID Rating]:[Summ Voltage]],C$15,0)</f>
        <v>Pole 15305</v>
      </c>
      <c r="D13" s="72" t="str">
        <f>VLOOKUP($A13&amp;$F13,ABY[[ID Rating]:[Summ Voltage]],D$15,0)</f>
        <v>Cable-1-3c 95 mm² AL PILC</v>
      </c>
      <c r="E13" s="143">
        <f>VLOOKUP($A13&amp;$F13,ABY[[ID Rating]:[Summ Voltage]],E$15,0)</f>
        <v>11.100100000000001</v>
      </c>
      <c r="F13" s="82">
        <f t="array" ref="F13">MIN(IF(ABY[Station/Feeder]=$A13,ABY[Lowest MVA]))</f>
        <v>3.283117160680558</v>
      </c>
      <c r="G13" s="98" t="str">
        <f>VLOOKUP($A13&amp;$K13,ABY[[ID Rating]:[Summ Voltage]],G$15,0)</f>
        <v>F383</v>
      </c>
      <c r="H13" s="99" t="str">
        <f>VLOOKUP($A13&amp;$K13,ABY[[ID Rating]:[Summ Voltage]],H$15,0)</f>
        <v>Pole 15305</v>
      </c>
      <c r="I13" s="72" t="str">
        <f>VLOOKUP($A13&amp;$K13,ABY[[ID Rating]:[Summ Voltage]],I$15,0)</f>
        <v>Circuit Breaker-FLE-F383-Protection</v>
      </c>
      <c r="J13" s="143">
        <f>VLOOKUP($A13&amp;$K13,ABY[[ID Rating]:[Summ Voltage]],J$15,0)</f>
        <v>11.100100000000001</v>
      </c>
      <c r="K13" s="82">
        <f t="array" ref="K13">MIN(IF(ABY[Station/Feeder]=$A13,IF($F13&lt;ABY[Lowest MVA],ABY[Lowest MVA])))</f>
        <v>3.6913799364662974</v>
      </c>
    </row>
    <row r="14" spans="1:17" ht="15.75" thickBot="1" x14ac:dyDescent="0.3">
      <c r="A14" s="77" t="s">
        <v>346</v>
      </c>
      <c r="B14" s="101" t="str">
        <f>VLOOKUP($A14&amp;$F14,ABY[[ID Rating]:[Summ Voltage]],B$15,0)</f>
        <v>OPU T-off</v>
      </c>
      <c r="C14" s="102" t="str">
        <f>VLOOKUP($A14&amp;$F14,ABY[[ID Rating]:[Summ Voltage]],C$15,0)</f>
        <v>F328</v>
      </c>
      <c r="D14" s="73" t="str">
        <f>VLOOKUP($A14&amp;$F14,ABY[[ID Rating]:[Summ Voltage]],D$15,0)</f>
        <v>Recloser -OPU-F400-Protection</v>
      </c>
      <c r="E14" s="144">
        <f>VLOOKUP($A14&amp;$F14,ABY[[ID Rating]:[Summ Voltage]],E$15,0)</f>
        <v>33</v>
      </c>
      <c r="F14" s="83">
        <f t="array" ref="F14">MIN(IF(ABY[Station/Feeder]=$A14,ABY[Lowest MVA]))</f>
        <v>8.5736514974659421</v>
      </c>
      <c r="G14" s="101" t="str">
        <f>VLOOKUP($A14&amp;$K14,ABY[[ID Rating]:[Summ Voltage]],G$15,0)</f>
        <v>OPU T-off</v>
      </c>
      <c r="H14" s="102" t="str">
        <f>VLOOKUP($A14&amp;$K14,ABY[[ID Rating]:[Summ Voltage]],H$15,0)</f>
        <v>F328</v>
      </c>
      <c r="I14" s="73" t="str">
        <f>VLOOKUP($A14&amp;$K14,ABY[[ID Rating]:[Summ Voltage]],I$15,0)</f>
        <v>OH Line-70 mm² Cu</v>
      </c>
      <c r="J14" s="144">
        <f>VLOOKUP($A14&amp;$K14,ABY[[ID Rating]:[Summ Voltage]],J$15,0)</f>
        <v>33</v>
      </c>
      <c r="K14" s="83">
        <f t="array" ref="K14">MIN(IF(ABY[Station/Feeder]=$A14,IF($F14&lt;ABY[Lowest MVA],ABY[Lowest MVA])))</f>
        <v>14.117946132493918</v>
      </c>
    </row>
    <row r="15" spans="1:17" s="110" customFormat="1" ht="15.75" thickBot="1" x14ac:dyDescent="0.3">
      <c r="B15" s="112">
        <v>7</v>
      </c>
      <c r="C15" s="112">
        <f>B15+1</f>
        <v>8</v>
      </c>
      <c r="D15" s="112">
        <f t="shared" ref="D15:F15" si="0">C15+1</f>
        <v>9</v>
      </c>
      <c r="E15" s="112">
        <f t="shared" si="0"/>
        <v>10</v>
      </c>
      <c r="F15" s="112">
        <f t="shared" si="0"/>
        <v>11</v>
      </c>
      <c r="G15" s="112">
        <f>B15</f>
        <v>7</v>
      </c>
      <c r="H15" s="112">
        <f t="shared" ref="H15:K15" si="1">C15</f>
        <v>8</v>
      </c>
      <c r="I15" s="112">
        <f t="shared" si="1"/>
        <v>9</v>
      </c>
      <c r="J15" s="112">
        <f t="shared" si="1"/>
        <v>10</v>
      </c>
      <c r="K15" s="112">
        <f t="shared" si="1"/>
        <v>11</v>
      </c>
      <c r="L15" s="269"/>
      <c r="M15" s="41"/>
      <c r="N15" s="41"/>
      <c r="O15" s="269"/>
      <c r="P15" s="41"/>
      <c r="Q15" s="41"/>
    </row>
    <row r="16" spans="1:17" ht="15.75" customHeight="1" thickBot="1" x14ac:dyDescent="0.3">
      <c r="A16" s="518" t="s">
        <v>1132</v>
      </c>
      <c r="B16" s="519"/>
      <c r="C16" s="519"/>
      <c r="D16" s="519"/>
      <c r="E16" s="519"/>
      <c r="F16" s="519"/>
      <c r="G16" s="519"/>
      <c r="H16" s="519"/>
      <c r="I16" s="519"/>
      <c r="J16" s="519"/>
      <c r="K16" s="520"/>
    </row>
    <row r="17" spans="1:11" x14ac:dyDescent="0.25">
      <c r="A17" s="84" t="s">
        <v>366</v>
      </c>
      <c r="B17" s="94" t="str">
        <f>VLOOKUP($A17&amp;$F17,BPD[[ID Rating]:[Summ Voltage]],B$15,0)</f>
        <v>110 kV Bus</v>
      </c>
      <c r="C17" s="95" t="str">
        <f>VLOOKUP($A17&amp;$F17,BPD[[ID Rating]:[Summ Voltage]],C$15,0)</f>
        <v>DS486</v>
      </c>
      <c r="D17" s="70" t="str">
        <f>VLOOKUP($A17&amp;$F17,BPD[[ID Rating]:[Summ Voltage]],D$15,0)</f>
        <v>Circuit Breaker-BPD-T2-CB482-Protection</v>
      </c>
      <c r="E17" s="141">
        <f>VLOOKUP($A17&amp;$F17,BPD[[ID Rating]:[Summ Voltage]],E$15,0)</f>
        <v>110</v>
      </c>
      <c r="F17" s="80">
        <f t="array" ref="F17">MIN(IF(BPD[Station/Feeder]=$A17,BPD[Lowest MVA]))</f>
        <v>27.816735969556166</v>
      </c>
      <c r="G17" s="94" t="str">
        <f>VLOOKUP($A17&amp;$K17,BPD[[ID Rating]:[Summ Voltage]],G$15,0)</f>
        <v>110 kV Bus</v>
      </c>
      <c r="H17" s="95" t="str">
        <f>VLOOKUP($A17&amp;$K17,BPD[[ID Rating]:[Summ Voltage]],H$15,0)</f>
        <v>11 kV Bus</v>
      </c>
      <c r="I17" s="70" t="str">
        <f>VLOOKUP($A17&amp;$K17,BPD[[ID Rating]:[Summ Voltage]],I$15,0)</f>
        <v>Current Transformer-BPD-T2-CB482-Other Equipment</v>
      </c>
      <c r="J17" s="141">
        <f>VLOOKUP($A17&amp;$K17,BPD[[ID Rating]:[Summ Voltage]],J$15,0)</f>
        <v>110</v>
      </c>
      <c r="K17" s="80">
        <f t="array" ref="K17">MIN(IF(BPD[Station/Feeder]=$A17,IF($F17&lt;BPD[Lowest MVA],BPD[Lowest MVA])))</f>
        <v>34.294605989863769</v>
      </c>
    </row>
    <row r="18" spans="1:11" x14ac:dyDescent="0.25">
      <c r="A18" s="75" t="s">
        <v>80</v>
      </c>
      <c r="B18" s="96" t="str">
        <f>VLOOKUP($A18&amp;$F18,BPD[[ID Rating]:[Summ Voltage]],B$15,0)</f>
        <v>110 kV Bus</v>
      </c>
      <c r="C18" s="97" t="str">
        <f>VLOOKUP($A18&amp;$F18,BPD[[ID Rating]:[Summ Voltage]],C$15,0)</f>
        <v>11 kV Bus</v>
      </c>
      <c r="D18" s="71" t="str">
        <f>VLOOKUP($A18&amp;$F18,BPD[[ID Rating]:[Summ Voltage]],D$15,0)</f>
        <v>Cable-6 1c 400mm2 Al XLPE</v>
      </c>
      <c r="E18" s="142">
        <f>VLOOKUP($A18&amp;$F18,BPD[[ID Rating]:[Summ Voltage]],E$15,0)</f>
        <v>11.22</v>
      </c>
      <c r="F18" s="81">
        <f t="array" ref="F18">MIN(IF(BPD[Station/Feeder]=$A18,BPD[Lowest MVA]))</f>
        <v>17.490249054830521</v>
      </c>
      <c r="G18" s="96" t="str">
        <f>VLOOKUP($A18&amp;$K18,BPD[[ID Rating]:[Summ Voltage]],G$15,0)</f>
        <v>110 kV Bus</v>
      </c>
      <c r="H18" s="97" t="str">
        <f>VLOOKUP($A18&amp;$K18,BPD[[ID Rating]:[Summ Voltage]],H$15,0)</f>
        <v>11 kV Bus</v>
      </c>
      <c r="I18" s="71" t="str">
        <f>VLOOKUP($A18&amp;$K18,BPD[[ID Rating]:[Summ Voltage]],I$15,0)</f>
        <v>Circuit Breaker-BPD-T2-CB36-Protection</v>
      </c>
      <c r="J18" s="142">
        <f>VLOOKUP($A18&amp;$K18,BPD[[ID Rating]:[Summ Voltage]],J$15,0)</f>
        <v>11.22</v>
      </c>
      <c r="K18" s="81">
        <f t="array" ref="K18">MIN(IF(BPD[Station/Feeder]=$A18,IF($F18&lt;BPD[Lowest MVA],BPD[Lowest MVA])))</f>
        <v>21.376971067015081</v>
      </c>
    </row>
    <row r="19" spans="1:11" x14ac:dyDescent="0.25">
      <c r="A19" s="74" t="s">
        <v>224</v>
      </c>
      <c r="B19" s="98" t="str">
        <f>VLOOKUP($A19&amp;$F19,BPD[[ID Rating]:[Summ Voltage]],B$15,0)</f>
        <v>W614 LK</v>
      </c>
      <c r="C19" s="99" t="str">
        <f>VLOOKUP($A19&amp;$F19,BPD[[ID Rating]:[Summ Voltage]],C$15,0)</f>
        <v>W624 RMU</v>
      </c>
      <c r="D19" s="72" t="str">
        <f>VLOOKUP($A19&amp;$F19,BPD[[ID Rating]:[Summ Voltage]],D$15,0)</f>
        <v>Cable - 3c 95mm2 Al XLPE CWS HDPE</v>
      </c>
      <c r="E19" s="143">
        <f>VLOOKUP($A19&amp;$F19,BPD[[ID Rating]:[Summ Voltage]],E$15,0)</f>
        <v>11.22</v>
      </c>
      <c r="F19" s="82">
        <f t="array" ref="F19">MIN(IF(BPD[Station/Feeder]=$A19,BPD[Lowest MVA]))</f>
        <v>4.6582363316031961</v>
      </c>
      <c r="G19" s="98" t="str">
        <f>VLOOKUP($A19&amp;$K19,BPD[[ID Rating]:[Summ Voltage]],G$15,0)</f>
        <v>JAGUAR OH Line</v>
      </c>
      <c r="H19" s="99" t="str">
        <f>VLOOKUP($A19&amp;$K19,BPD[[ID Rating]:[Summ Voltage]],H$15,0)</f>
        <v>Cable 95 mm2</v>
      </c>
      <c r="I19" s="72" t="str">
        <f>VLOOKUP($A19&amp;$K19,BPD[[ID Rating]:[Summ Voltage]],I$15,0)</f>
        <v>Link - W614</v>
      </c>
      <c r="J19" s="143">
        <f>VLOOKUP($A19&amp;$K19,BPD[[ID Rating]:[Summ Voltage]],J$15,0)</f>
        <v>11.22</v>
      </c>
      <c r="K19" s="82">
        <f t="array" ref="K19">MIN(IF(BPD[Station/Feeder]=$A19,IF($F19&lt;BPD[Lowest MVA],BPD[Lowest MVA])))</f>
        <v>5.8300830182768406</v>
      </c>
    </row>
    <row r="20" spans="1:11" x14ac:dyDescent="0.25">
      <c r="A20" s="75" t="s">
        <v>91</v>
      </c>
      <c r="B20" s="96" t="str">
        <f>VLOOKUP($A20&amp;$F20,BPD[[ID Rating]:[Summ Voltage]],B$15,0)</f>
        <v>BPD12 CB</v>
      </c>
      <c r="C20" s="97" t="str">
        <f>VLOOKUP($A20&amp;$F20,BPD[[ID Rating]:[Summ Voltage]],C$15,0)</f>
        <v>Cable Joint</v>
      </c>
      <c r="D20" s="71" t="str">
        <f>VLOOKUP($A20&amp;$F20,BPD[[ID Rating]:[Summ Voltage]],D$15,0)</f>
        <v>Cable-3c 300mm² AL XLPE MDPE</v>
      </c>
      <c r="E20" s="142">
        <f>VLOOKUP($A20&amp;$F20,BPD[[ID Rating]:[Summ Voltage]],E$15,0)</f>
        <v>11.22</v>
      </c>
      <c r="F20" s="81">
        <f t="array" ref="F20">MIN(IF(BPD[Station/Feeder]=$A20,BPD[Lowest MVA]))</f>
        <v>6.5909088521619674</v>
      </c>
      <c r="G20" s="96" t="str">
        <f>VLOOKUP($A20&amp;$K20,BPD[[ID Rating]:[Summ Voltage]],G$15,0)</f>
        <v>W451 ABS</v>
      </c>
      <c r="H20" s="97" t="str">
        <f>VLOOKUP($A20&amp;$K20,BPD[[ID Rating]:[Summ Voltage]],H$15,0)</f>
        <v xml:space="preserve">Cable 300 mm² </v>
      </c>
      <c r="I20" s="71" t="str">
        <f>VLOOKUP($A20&amp;$K20,BPD[[ID Rating]:[Summ Voltage]],I$15,0)</f>
        <v>OH Line-JAGUAR</v>
      </c>
      <c r="J20" s="142">
        <f>VLOOKUP($A20&amp;$K20,BPD[[ID Rating]:[Summ Voltage]],J$15,0)</f>
        <v>11.22</v>
      </c>
      <c r="K20" s="81">
        <f t="array" ref="K20">MIN(IF(BPD[Station/Feeder]=$A20,IF($F20&lt;BPD[Lowest MVA],BPD[Lowest MVA])))</f>
        <v>7.5194131512728157</v>
      </c>
    </row>
    <row r="21" spans="1:11" x14ac:dyDescent="0.25">
      <c r="A21" s="74" t="s">
        <v>104</v>
      </c>
      <c r="B21" s="98" t="str">
        <f>VLOOKUP($A21&amp;$F21,BPD[[ID Rating]:[Summ Voltage]],B$15,0)</f>
        <v>BPD13 CB</v>
      </c>
      <c r="C21" s="99" t="str">
        <f>VLOOKUP($A21&amp;$F21,BPD[[ID Rating]:[Summ Voltage]],C$15,0)</f>
        <v>Cable Joint</v>
      </c>
      <c r="D21" s="72" t="str">
        <f>VLOOKUP($A21&amp;$F21,BPD[[ID Rating]:[Summ Voltage]],D$15,0)</f>
        <v>Cable-3c 300mm² AL XLPE MDPE</v>
      </c>
      <c r="E21" s="143">
        <f>VLOOKUP($A21&amp;$F21,BPD[[ID Rating]:[Summ Voltage]],E$15,0)</f>
        <v>11.22</v>
      </c>
      <c r="F21" s="82">
        <f t="array" ref="F21">MIN(IF(BPD[Station/Feeder]=$A21,BPD[Lowest MVA]))</f>
        <v>6.5909088521619674</v>
      </c>
      <c r="G21" s="98" t="str">
        <f>VLOOKUP($A21&amp;$K21,BPD[[ID Rating]:[Summ Voltage]],G$15,0)</f>
        <v>W452 ABS</v>
      </c>
      <c r="H21" s="99" t="str">
        <f>VLOOKUP($A21&amp;$K21,BPD[[ID Rating]:[Summ Voltage]],H$15,0)</f>
        <v xml:space="preserve">Cable 300 mm² </v>
      </c>
      <c r="I21" s="72" t="str">
        <f>VLOOKUP($A21&amp;$K21,BPD[[ID Rating]:[Summ Voltage]],I$15,0)</f>
        <v>OH Line-JAGUAR</v>
      </c>
      <c r="J21" s="143">
        <f>VLOOKUP($A21&amp;$K21,BPD[[ID Rating]:[Summ Voltage]],J$15,0)</f>
        <v>11.22</v>
      </c>
      <c r="K21" s="82">
        <f t="array" ref="K21">MIN(IF(BPD[Station/Feeder]=$A21,IF($F21&lt;BPD[Lowest MVA],BPD[Lowest MVA])))</f>
        <v>7.5194131512728157</v>
      </c>
    </row>
    <row r="22" spans="1:11" x14ac:dyDescent="0.25">
      <c r="A22" s="75" t="s">
        <v>1355</v>
      </c>
      <c r="B22" s="96" t="str">
        <f>VLOOKUP($A22&amp;$F22,BPD[[ID Rating]:[Summ Voltage]],B$15,0)</f>
        <v>W636 ABS</v>
      </c>
      <c r="C22" s="97" t="str">
        <f>VLOOKUP($A22&amp;$F22,BPD[[ID Rating]:[Summ Voltage]],C$15,0)</f>
        <v xml:space="preserve">Cable 300 mm² </v>
      </c>
      <c r="D22" s="71" t="str">
        <f>VLOOKUP($A22&amp;$F22,BPD[[ID Rating]:[Summ Voltage]],D$15,0)</f>
        <v>OH Line-JAGUAR</v>
      </c>
      <c r="E22" s="142">
        <f>VLOOKUP($A22&amp;$F22,BPD[[ID Rating]:[Summ Voltage]],E$15,0)</f>
        <v>11.22</v>
      </c>
      <c r="F22" s="81">
        <f t="array" ref="F22">MIN(IF(BPD[Station/Feeder]=$A22,BPD[Lowest MVA]))</f>
        <v>7.5194131512728157</v>
      </c>
      <c r="G22" s="96" t="str">
        <f>VLOOKUP($A22&amp;$K22,BPD[[ID Rating]:[Summ Voltage]],G$15,0)</f>
        <v>Cable Joint</v>
      </c>
      <c r="H22" s="97" t="str">
        <f>VLOOKUP($A22&amp;$K22,BPD[[ID Rating]:[Summ Voltage]],H$15,0)</f>
        <v>Cable Joint</v>
      </c>
      <c r="I22" s="71" t="str">
        <f>VLOOKUP($A22&amp;$K22,BPD[[ID Rating]:[Summ Voltage]],I$15,0)</f>
        <v>Cable-3c 300mm² AL XLPE MDPE</v>
      </c>
      <c r="J22" s="142">
        <f>VLOOKUP($A22&amp;$K22,BPD[[ID Rating]:[Summ Voltage]],J$15,0)</f>
        <v>11.22</v>
      </c>
      <c r="K22" s="81">
        <f t="array" ref="K22">MIN(IF(BPD[Station/Feeder]=$A22,IF($F22&lt;BPD[Lowest MVA],BPD[Lowest MVA])))</f>
        <v>7.6371289099577835</v>
      </c>
    </row>
    <row r="23" spans="1:11" x14ac:dyDescent="0.25">
      <c r="A23" s="74" t="s">
        <v>1354</v>
      </c>
      <c r="B23" s="98" t="str">
        <f>VLOOKUP($A23&amp;$F23,BPD[[ID Rating]:[Summ Voltage]],B$15,0)</f>
        <v>W453 ABS</v>
      </c>
      <c r="C23" s="99" t="str">
        <f>VLOOKUP($A23&amp;$F23,BPD[[ID Rating]:[Summ Voltage]],C$15,0)</f>
        <v xml:space="preserve">Cable 300 mm² </v>
      </c>
      <c r="D23" s="72" t="str">
        <f>VLOOKUP($A23&amp;$F23,BPD[[ID Rating]:[Summ Voltage]],D$15,0)</f>
        <v>OH Line-JAGUAR</v>
      </c>
      <c r="E23" s="143">
        <f>VLOOKUP($A23&amp;$F23,BPD[[ID Rating]:[Summ Voltage]],E$15,0)</f>
        <v>11.22</v>
      </c>
      <c r="F23" s="82">
        <f t="array" ref="F23">MIN(IF(BPD[Station/Feeder]=$A23,BPD[Lowest MVA]))</f>
        <v>7.5194131512728157</v>
      </c>
      <c r="G23" s="98" t="str">
        <f>VLOOKUP($A23&amp;$K23,BPD[[ID Rating]:[Summ Voltage]],G$15,0)</f>
        <v>Cable Joint</v>
      </c>
      <c r="H23" s="99" t="str">
        <f>VLOOKUP($A23&amp;$K23,BPD[[ID Rating]:[Summ Voltage]],H$15,0)</f>
        <v>Cable Joint</v>
      </c>
      <c r="I23" s="72" t="str">
        <f>VLOOKUP($A23&amp;$K23,BPD[[ID Rating]:[Summ Voltage]],I$15,0)</f>
        <v>Cable-3c 300mm² AL XLPE MDPE</v>
      </c>
      <c r="J23" s="143">
        <f>VLOOKUP($A23&amp;$K23,BPD[[ID Rating]:[Summ Voltage]],J$15,0)</f>
        <v>11.22</v>
      </c>
      <c r="K23" s="82">
        <f t="array" ref="K23">MIN(IF(BPD[Station/Feeder]=$A23,IF($F23&lt;BPD[Lowest MVA],BPD[Lowest MVA])))</f>
        <v>7.6371289099577835</v>
      </c>
    </row>
    <row r="24" spans="1:11" x14ac:dyDescent="0.25">
      <c r="A24" s="75" t="s">
        <v>126</v>
      </c>
      <c r="B24" s="96" t="e">
        <f>VLOOKUP($A24&amp;$F24,BPD[[ID Rating]:[Summ Voltage]],B$15,0)</f>
        <v>#N/A</v>
      </c>
      <c r="C24" s="97" t="e">
        <f>VLOOKUP($A24&amp;$F24,BPD[[ID Rating]:[Summ Voltage]],C$15,0)</f>
        <v>#N/A</v>
      </c>
      <c r="D24" s="71" t="e">
        <f>VLOOKUP($A24&amp;$F24,BPD[[ID Rating]:[Summ Voltage]],D$15,0)</f>
        <v>#N/A</v>
      </c>
      <c r="E24" s="142" t="e">
        <f>VLOOKUP($A24&amp;$F24,BPD[[ID Rating]:[Summ Voltage]],E$15,0)</f>
        <v>#N/A</v>
      </c>
      <c r="F24" s="81" t="e">
        <f t="array" ref="F24">MIN(IF(BPD[Station/Feeder]=$A24,BPD[Lowest MVA]))</f>
        <v>#N/A</v>
      </c>
      <c r="G24" s="96" t="e">
        <f>VLOOKUP($A24&amp;$K24,BPD[[ID Rating]:[Summ Voltage]],G$15,0)</f>
        <v>#N/A</v>
      </c>
      <c r="H24" s="97" t="e">
        <f>VLOOKUP($A24&amp;$K24,BPD[[ID Rating]:[Summ Voltage]],H$15,0)</f>
        <v>#N/A</v>
      </c>
      <c r="I24" s="71" t="e">
        <f>VLOOKUP($A24&amp;$K24,BPD[[ID Rating]:[Summ Voltage]],I$15,0)</f>
        <v>#N/A</v>
      </c>
      <c r="J24" s="142" t="e">
        <f>VLOOKUP($A24&amp;$K24,BPD[[ID Rating]:[Summ Voltage]],J$15,0)</f>
        <v>#N/A</v>
      </c>
      <c r="K24" s="81" t="e">
        <f t="array" ref="K24">MIN(IF(BPD[Station/Feeder]=$A24,IF($F24&lt;BPD[Lowest MVA],BPD[Lowest MVA])))</f>
        <v>#N/A</v>
      </c>
    </row>
    <row r="25" spans="1:11" ht="15.75" thickBot="1" x14ac:dyDescent="0.3">
      <c r="A25" s="74" t="s">
        <v>733</v>
      </c>
      <c r="B25" s="98" t="str">
        <f>VLOOKUP($A25&amp;$F25,BPD[[ID Rating]:[Summ Voltage]],B$15,0)</f>
        <v>DS3604</v>
      </c>
      <c r="C25" s="99" t="str">
        <f>VLOOKUP($A25&amp;$F25,BPD[[ID Rating]:[Summ Voltage]],C$15,0)</f>
        <v>CB3602</v>
      </c>
      <c r="D25" s="72" t="str">
        <f>VLOOKUP($A25&amp;$F25,BPD[[ID Rating]:[Summ Voltage]],D$15,0)</f>
        <v>Circuit Breaker-BPD-T1-CB3602-Protection</v>
      </c>
      <c r="E25" s="143">
        <f>VLOOKUP($A25&amp;$F25,BPD[[ID Rating]:[Summ Voltage]],E$15,0)</f>
        <v>33</v>
      </c>
      <c r="F25" s="82">
        <f t="array" ref="F25">MIN(IF(BPD[Station/Feeder]=$A25,BPD[Lowest MVA]))</f>
        <v>28.12157691168829</v>
      </c>
      <c r="G25" s="98" t="str">
        <f>VLOOKUP($A25&amp;$K25,BPD[[ID Rating]:[Summ Voltage]],G$15,0)</f>
        <v>33 kV Terminal</v>
      </c>
      <c r="H25" s="99" t="str">
        <f>VLOOKUP($A25&amp;$K25,BPD[[ID Rating]:[Summ Voltage]],H$15,0)</f>
        <v>3604 ABS</v>
      </c>
      <c r="I25" s="72" t="str">
        <f>VLOOKUP($A25&amp;$K25,BPD[[ID Rating]:[Summ Voltage]],I$15,0)</f>
        <v>Air Break Switch-3604 ABS</v>
      </c>
      <c r="J25" s="143">
        <f>VLOOKUP($A25&amp;$K25,BPD[[ID Rating]:[Summ Voltage]],J$15,0)</f>
        <v>33</v>
      </c>
      <c r="K25" s="82">
        <f t="array" ref="K25">MIN(IF(BPD[Station/Feeder]=$A25,IF($F25&lt;BPD[Lowest MVA],BPD[Lowest MVA])))</f>
        <v>45.72614131981836</v>
      </c>
    </row>
    <row r="26" spans="1:11" ht="15.75" thickBot="1" x14ac:dyDescent="0.3">
      <c r="A26" s="90"/>
      <c r="B26" s="100"/>
      <c r="C26" s="100"/>
      <c r="D26" s="91"/>
      <c r="E26" s="92"/>
      <c r="F26" s="92"/>
      <c r="G26" s="100"/>
      <c r="H26" s="100"/>
      <c r="I26" s="91"/>
      <c r="J26" s="92"/>
      <c r="K26" s="93"/>
    </row>
    <row r="27" spans="1:11" x14ac:dyDescent="0.25">
      <c r="A27" s="85" t="s">
        <v>159</v>
      </c>
      <c r="B27" s="94" t="str">
        <f>VLOOKUP($A27&amp;$F27,BPD[[ID Rating]:[Summ Voltage]],B$15,0)</f>
        <v>CNR642</v>
      </c>
      <c r="C27" s="95" t="str">
        <f>VLOOKUP($A27&amp;$F27,BPD[[ID Rating]:[Summ Voltage]],C$15,0)</f>
        <v>11 kV Bus</v>
      </c>
      <c r="D27" s="70" t="str">
        <f>VLOOKUP($A27&amp;$F27,BPD[[ID Rating]:[Summ Voltage]],D$15,0)</f>
        <v>Circuit Breaker-CNR-CB35-Protection</v>
      </c>
      <c r="E27" s="141">
        <f>VLOOKUP($A27&amp;$F27,BPD[[ID Rating]:[Summ Voltage]],E$15,0)</f>
        <v>11</v>
      </c>
      <c r="F27" s="80">
        <f t="array" ref="F27">MIN(IF(BPD[Station/Feeder]=$A27,BPD[Lowest MVA]))</f>
        <v>21.034025007116444</v>
      </c>
      <c r="G27" s="94" t="str">
        <f>VLOOKUP($A27&amp;$K27,BPD[[ID Rating]:[Summ Voltage]],G$15,0)</f>
        <v>CNR642</v>
      </c>
      <c r="H27" s="95" t="str">
        <f>VLOOKUP($A27&amp;$K27,BPD[[ID Rating]:[Summ Voltage]],H$15,0)</f>
        <v>11 kV Bus</v>
      </c>
      <c r="I27" s="70" t="str">
        <f>VLOOKUP($A27&amp;$K27,BPD[[ID Rating]:[Summ Voltage]],I$15,0)</f>
        <v>Cable-2x3x1c 630mm2 Al XLPE HDPE</v>
      </c>
      <c r="J27" s="141">
        <f>VLOOKUP($A27&amp;$K27,BPD[[ID Rating]:[Summ Voltage]],J$15,0)</f>
        <v>11</v>
      </c>
      <c r="K27" s="80">
        <f t="array" ref="K27">MIN(IF(BPD[Station/Feeder]=$A27,IF($F27&lt;BPD[Lowest MVA],BPD[Lowest MVA])))</f>
        <v>21.636085867827383</v>
      </c>
    </row>
    <row r="28" spans="1:11" x14ac:dyDescent="0.25">
      <c r="A28" s="86" t="s">
        <v>167</v>
      </c>
      <c r="B28" s="96" t="str">
        <f>VLOOKUP($A28&amp;$F28,BPD[[ID Rating]:[Summ Voltage]],B$15,0)</f>
        <v>Joint</v>
      </c>
      <c r="C28" s="97" t="str">
        <f>VLOOKUP($A28&amp;$F28,BPD[[ID Rating]:[Summ Voltage]],C$15,0)</f>
        <v>Y815</v>
      </c>
      <c r="D28" s="71" t="str">
        <f>VLOOKUP($A28&amp;$F28,BPD[[ID Rating]:[Summ Voltage]],D$15,0)</f>
        <v>Cable-3-1c 400mm² AL XLPE CWS MDPE</v>
      </c>
      <c r="E28" s="142">
        <f>VLOOKUP($A28&amp;$F28,BPD[[ID Rating]:[Summ Voltage]],E$15,0)</f>
        <v>11</v>
      </c>
      <c r="F28" s="81">
        <f t="array" ref="F28">MIN(IF(BPD[Station/Feeder]=$A28,BPD[Lowest MVA]))</f>
        <v>7.2191517392902824</v>
      </c>
      <c r="G28" s="96" t="str">
        <f>VLOOKUP($A28&amp;$K28,BPD[[ID Rating]:[Summ Voltage]],G$15,0)</f>
        <v>11 kV Bus</v>
      </c>
      <c r="H28" s="97" t="str">
        <f>VLOOKUP($A28&amp;$K28,BPD[[ID Rating]:[Summ Voltage]],H$15,0)</f>
        <v>CNR-CB8</v>
      </c>
      <c r="I28" s="71" t="str">
        <f>VLOOKUP($A28&amp;$K28,BPD[[ID Rating]:[Summ Voltage]],I$15,0)</f>
        <v>Circuit Breaker-CNR-CB8-Protection</v>
      </c>
      <c r="J28" s="142">
        <f>VLOOKUP($A28&amp;$K28,BPD[[ID Rating]:[Summ Voltage]],J$15,0)</f>
        <v>11</v>
      </c>
      <c r="K28" s="81">
        <f t="array" ref="K28">MIN(IF(BPD[Station/Feeder]=$A28,IF($F28&lt;BPD[Lowest MVA],BPD[Lowest MVA])))</f>
        <v>7.659128671069575</v>
      </c>
    </row>
    <row r="29" spans="1:11" x14ac:dyDescent="0.25">
      <c r="A29" s="111" t="s">
        <v>175</v>
      </c>
      <c r="B29" s="98" t="str">
        <f>VLOOKUP($A29&amp;$F29,BPD[[ID Rating]:[Summ Voltage]],B$15,0)</f>
        <v>Joint</v>
      </c>
      <c r="C29" s="99" t="str">
        <f>VLOOKUP($A29&amp;$F29,BPD[[ID Rating]:[Summ Voltage]],C$15,0)</f>
        <v>Y900</v>
      </c>
      <c r="D29" s="72" t="str">
        <f>VLOOKUP($A29&amp;$F29,BPD[[ID Rating]:[Summ Voltage]],D$15,0)</f>
        <v>Cable-3-1c 400mm² AL XLPE CWS MDPE</v>
      </c>
      <c r="E29" s="143">
        <f>VLOOKUP($A29&amp;$F29,BPD[[ID Rating]:[Summ Voltage]],E$15,0)</f>
        <v>11</v>
      </c>
      <c r="F29" s="82">
        <f t="array" ref="F29">MIN(IF(BPD[Station/Feeder]=$A29,BPD[Lowest MVA]))</f>
        <v>7.5199497284273766</v>
      </c>
      <c r="G29" s="98" t="str">
        <f>VLOOKUP($A29&amp;$K29,BPD[[ID Rating]:[Summ Voltage]],G$15,0)</f>
        <v>11 kV Bus</v>
      </c>
      <c r="H29" s="99" t="str">
        <f>VLOOKUP($A29&amp;$K29,BPD[[ID Rating]:[Summ Voltage]],H$15,0)</f>
        <v>CNR-CB9</v>
      </c>
      <c r="I29" s="72" t="str">
        <f>VLOOKUP($A29&amp;$K29,BPD[[ID Rating]:[Summ Voltage]],I$15,0)</f>
        <v>Circuit Breaker-CNR-CB9-Protection</v>
      </c>
      <c r="J29" s="143">
        <f>VLOOKUP($A29&amp;$K29,BPD[[ID Rating]:[Summ Voltage]],J$15,0)</f>
        <v>11</v>
      </c>
      <c r="K29" s="82">
        <f t="array" ref="K29">MIN(IF(BPD[Station/Feeder]=$A29,IF($F29&lt;BPD[Lowest MVA],BPD[Lowest MVA])))</f>
        <v>7.659128671069575</v>
      </c>
    </row>
    <row r="30" spans="1:11" x14ac:dyDescent="0.25">
      <c r="A30" s="86" t="s">
        <v>181</v>
      </c>
      <c r="B30" s="96" t="str">
        <f>VLOOKUP($A30&amp;$F30,BPD[[ID Rating]:[Summ Voltage]],B$15,0)</f>
        <v>Joint</v>
      </c>
      <c r="C30" s="97" t="str">
        <f>VLOOKUP($A30&amp;$F30,BPD[[ID Rating]:[Summ Voltage]],C$15,0)</f>
        <v>Y1100</v>
      </c>
      <c r="D30" s="71" t="str">
        <f>VLOOKUP($A30&amp;$F30,BPD[[ID Rating]:[Summ Voltage]],D$15,0)</f>
        <v>Cable-3-1c 400mm² AL XLPE CWS MDPE</v>
      </c>
      <c r="E30" s="142">
        <f>VLOOKUP($A30&amp;$F30,BPD[[ID Rating]:[Summ Voltage]],E$15,0)</f>
        <v>11</v>
      </c>
      <c r="F30" s="81">
        <f t="array" ref="F30">MIN(IF(BPD[Station/Feeder]=$A30,BPD[Lowest MVA]))</f>
        <v>7.2191517392902824</v>
      </c>
      <c r="G30" s="96" t="str">
        <f>VLOOKUP($A30&amp;$K30,BPD[[ID Rating]:[Summ Voltage]],G$15,0)</f>
        <v>11 kV Bus</v>
      </c>
      <c r="H30" s="97" t="str">
        <f>VLOOKUP($A30&amp;$K30,BPD[[ID Rating]:[Summ Voltage]],H$15,0)</f>
        <v>CNR-CB11</v>
      </c>
      <c r="I30" s="71" t="str">
        <f>VLOOKUP($A30&amp;$K30,BPD[[ID Rating]:[Summ Voltage]],I$15,0)</f>
        <v>Circuit Breaker-CNR-CB11-Protection</v>
      </c>
      <c r="J30" s="142">
        <f>VLOOKUP($A30&amp;$K30,BPD[[ID Rating]:[Summ Voltage]],J$15,0)</f>
        <v>11</v>
      </c>
      <c r="K30" s="81">
        <f t="array" ref="K30">MIN(IF(BPD[Station/Feeder]=$A30,IF($F30&lt;BPD[Lowest MVA],BPD[Lowest MVA])))</f>
        <v>7.659128671069575</v>
      </c>
    </row>
    <row r="31" spans="1:11" ht="15.75" thickBot="1" x14ac:dyDescent="0.3">
      <c r="A31" s="189" t="s">
        <v>184</v>
      </c>
      <c r="B31" s="101" t="str">
        <f>VLOOKUP($A31&amp;$F31,BPD[[ID Rating]:[Summ Voltage]],B$15,0)</f>
        <v>Joint</v>
      </c>
      <c r="C31" s="102" t="str">
        <f>VLOOKUP($A31&amp;$F31,BPD[[ID Rating]:[Summ Voltage]],C$15,0)</f>
        <v>Y1200</v>
      </c>
      <c r="D31" s="73" t="str">
        <f>VLOOKUP($A31&amp;$F31,BPD[[ID Rating]:[Summ Voltage]],D$15,0)</f>
        <v>Cable-3-1c 400mm² AL XLPE CWS MDPE</v>
      </c>
      <c r="E31" s="144">
        <f>VLOOKUP($A31&amp;$F31,BPD[[ID Rating]:[Summ Voltage]],E$15,0)</f>
        <v>11</v>
      </c>
      <c r="F31" s="83">
        <f t="array" ref="F31">MIN(IF(BPD[Station/Feeder]=$A31,BPD[Lowest MVA]))</f>
        <v>7.5199497284273766</v>
      </c>
      <c r="G31" s="101" t="str">
        <f>VLOOKUP($A31&amp;$K31,BPD[[ID Rating]:[Summ Voltage]],G$15,0)</f>
        <v>11 kV Bus</v>
      </c>
      <c r="H31" s="102" t="str">
        <f>VLOOKUP($A31&amp;$K31,BPD[[ID Rating]:[Summ Voltage]],H$15,0)</f>
        <v>CNR-CB12</v>
      </c>
      <c r="I31" s="73" t="str">
        <f>VLOOKUP($A31&amp;$K31,BPD[[ID Rating]:[Summ Voltage]],I$15,0)</f>
        <v>Circuit Breaker-CNR-CB12-Protection</v>
      </c>
      <c r="J31" s="144">
        <f>VLOOKUP($A31&amp;$K31,BPD[[ID Rating]:[Summ Voltage]],J$15,0)</f>
        <v>11</v>
      </c>
      <c r="K31" s="83">
        <f t="array" ref="K31">MIN(IF(BPD[Station/Feeder]=$A31,IF($F31&lt;BPD[Lowest MVA],BPD[Lowest MVA])))</f>
        <v>7.659128671069575</v>
      </c>
    </row>
    <row r="32" spans="1:11" ht="15.75" thickBot="1" x14ac:dyDescent="0.3"/>
    <row r="33" spans="1:11" ht="15.75" customHeight="1" thickBot="1" x14ac:dyDescent="0.3">
      <c r="A33" s="518" t="s">
        <v>1133</v>
      </c>
      <c r="B33" s="519"/>
      <c r="C33" s="519"/>
      <c r="D33" s="519"/>
      <c r="E33" s="519"/>
      <c r="F33" s="519"/>
      <c r="G33" s="519"/>
      <c r="H33" s="519"/>
      <c r="I33" s="519"/>
      <c r="J33" s="519"/>
      <c r="K33" s="520"/>
    </row>
    <row r="34" spans="1:11" x14ac:dyDescent="0.25">
      <c r="A34" s="85" t="s">
        <v>74</v>
      </c>
      <c r="B34" s="94" t="str">
        <f>VLOOKUP($A34&amp;$F34,STU[[ID Rating]:[Summ Voltage]],B$15,0)</f>
        <v>110 kV Bus</v>
      </c>
      <c r="C34" s="95" t="str">
        <f>VLOOKUP($A34&amp;$F34,STU[[ID Rating]:[Summ Voltage]],C$15,0)</f>
        <v>11 kV Bus</v>
      </c>
      <c r="D34" s="70" t="str">
        <f>VLOOKUP($A34&amp;$F34,STU[[ID Rating]:[Summ Voltage]],D$15,0)</f>
        <v>Transformer-T5-Tap Changer</v>
      </c>
      <c r="E34" s="141">
        <f>VLOOKUP($A34&amp;$F34,STU[[ID Rating]:[Summ Voltage]],E$15,0)</f>
        <v>11.198</v>
      </c>
      <c r="F34" s="80">
        <f t="array" ref="F34">MIN(IF(STU[Station/Feeder]=$A34,STU[Lowest MVA]))</f>
        <v>11.637302965893772</v>
      </c>
      <c r="G34" s="94" t="str">
        <f>VLOOKUP($A34&amp;$K34,STU[[ID Rating]:[Summ Voltage]],G$15,0)</f>
        <v>110 kV Bus</v>
      </c>
      <c r="H34" s="95" t="str">
        <f>VLOOKUP($A34&amp;$K34,STU[[ID Rating]:[Summ Voltage]],H$15,0)</f>
        <v>11 kV Bus</v>
      </c>
      <c r="I34" s="70" t="str">
        <f>VLOOKUP($A34&amp;$K34,STU[[ID Rating]:[Summ Voltage]],I$15,0)</f>
        <v>Cable-STU-CBL-2812-Cable</v>
      </c>
      <c r="J34" s="141">
        <f>VLOOKUP($A34&amp;$K34,STU[[ID Rating]:[Summ Voltage]],J$15,0)</f>
        <v>11.198</v>
      </c>
      <c r="K34" s="80">
        <f t="array" ref="K34">MIN(IF(STU[Station/Feeder]=$A34,IF($F34&lt;STU[Lowest MVA],STU[Lowest MVA])))</f>
        <v>12.839824272369462</v>
      </c>
    </row>
    <row r="35" spans="1:11" x14ac:dyDescent="0.25">
      <c r="A35" s="86" t="s">
        <v>92</v>
      </c>
      <c r="B35" s="96" t="str">
        <f>VLOOKUP($A35&amp;$F35,STU[[ID Rating]:[Summ Voltage]],B$15,0)</f>
        <v xml:space="preserve">STU-1 </v>
      </c>
      <c r="C35" s="97" t="str">
        <f>VLOOKUP($A35&amp;$F35,STU[[ID Rating]:[Summ Voltage]],C$15,0)</f>
        <v>Pole 31678</v>
      </c>
      <c r="D35" s="71" t="str">
        <f>VLOOKUP($A35&amp;$F35,STU[[ID Rating]:[Summ Voltage]],D$15,0)</f>
        <v>Cable-3c-300mm² AL XLPE HDPE</v>
      </c>
      <c r="E35" s="142">
        <f>VLOOKUP($A35&amp;$F35,STU[[ID Rating]:[Summ Voltage]],E$15,0)</f>
        <v>11.198</v>
      </c>
      <c r="F35" s="81">
        <f t="array" ref="F35">MIN(IF(STU[Station/Feeder]=$A35,STU[Lowest MVA]))</f>
        <v>6.8454256193754901</v>
      </c>
      <c r="G35" s="96" t="str">
        <f>VLOOKUP($A35&amp;$K35,STU[[ID Rating]:[Summ Voltage]],G$15,0)</f>
        <v>11 kV Bus</v>
      </c>
      <c r="H35" s="97" t="str">
        <f>VLOOKUP($A35&amp;$K35,STU[[ID Rating]:[Summ Voltage]],H$15,0)</f>
        <v>STU-1</v>
      </c>
      <c r="I35" s="71" t="str">
        <f>VLOOKUP($A35&amp;$K35,STU[[ID Rating]:[Summ Voltage]],I$15,0)</f>
        <v>Circuit Breaker-STU-CB1-Protection</v>
      </c>
      <c r="J35" s="142">
        <f>VLOOKUP($A35&amp;$K35,STU[[ID Rating]:[Summ Voltage]],J$15,0)</f>
        <v>11.198</v>
      </c>
      <c r="K35" s="81">
        <f t="array" ref="K35">MIN(IF(STU[Station/Feeder]=$A35,IF($F35&lt;STU[Lowest MVA],STU[Lowest MVA])))</f>
        <v>6.9823817795362642</v>
      </c>
    </row>
    <row r="36" spans="1:11" x14ac:dyDescent="0.25">
      <c r="A36" s="86" t="s">
        <v>105</v>
      </c>
      <c r="B36" s="98" t="str">
        <f>VLOOKUP($A36&amp;$F36,STU[[ID Rating]:[Summ Voltage]],B$15,0)</f>
        <v>11 kV Bus</v>
      </c>
      <c r="C36" s="99" t="str">
        <f>VLOOKUP($A36&amp;$F36,STU[[ID Rating]:[Summ Voltage]],C$15,0)</f>
        <v>STU-2</v>
      </c>
      <c r="D36" s="72" t="str">
        <f>VLOOKUP($A36&amp;$F36,STU[[ID Rating]:[Summ Voltage]],D$15,0)</f>
        <v>Circuit Breaker-STU-CB2-Protection</v>
      </c>
      <c r="E36" s="143">
        <f>VLOOKUP($A36&amp;$F36,STU[[ID Rating]:[Summ Voltage]],E$15,0)</f>
        <v>11.198</v>
      </c>
      <c r="F36" s="82">
        <f t="array" ref="F36">MIN(IF(STU[Station/Feeder]=$A36,STU[Lowest MVA]))</f>
        <v>5.8186514829468861</v>
      </c>
      <c r="G36" s="98" t="str">
        <f>VLOOKUP($A36&amp;$K36,STU[[ID Rating]:[Summ Voltage]],G$15,0)</f>
        <v>STU-2</v>
      </c>
      <c r="H36" s="99" t="str">
        <f>VLOOKUP($A36&amp;$K36,STU[[ID Rating]:[Summ Voltage]],H$15,0)</f>
        <v>W405 ABS</v>
      </c>
      <c r="I36" s="72" t="str">
        <f>VLOOKUP($A36&amp;$K36,STU[[ID Rating]:[Summ Voltage]],I$15,0)</f>
        <v>Cable-3c-300mm² AL XLPE HDPE</v>
      </c>
      <c r="J36" s="143">
        <f>VLOOKUP($A36&amp;$K36,STU[[ID Rating]:[Summ Voltage]],J$15,0)</f>
        <v>11.198</v>
      </c>
      <c r="K36" s="82">
        <f t="array" ref="K36">MIN(IF(STU[Station/Feeder]=$A36,IF($F36&lt;STU[Lowest MVA],STU[Lowest MVA])))</f>
        <v>6.8454256193754901</v>
      </c>
    </row>
    <row r="37" spans="1:11" x14ac:dyDescent="0.25">
      <c r="A37" s="86" t="s">
        <v>116</v>
      </c>
      <c r="B37" s="96" t="str">
        <f>VLOOKUP($A37&amp;$F37,STU[[ID Rating]:[Summ Voltage]],B$15,0)</f>
        <v>11 kV Bus</v>
      </c>
      <c r="C37" s="97" t="str">
        <f>VLOOKUP($A37&amp;$F37,STU[[ID Rating]:[Summ Voltage]],C$15,0)</f>
        <v>STD-3</v>
      </c>
      <c r="D37" s="71" t="str">
        <f>VLOOKUP($A37&amp;$F37,STU[[ID Rating]:[Summ Voltage]],D$15,0)</f>
        <v>Circuit Breaker-STU-CB3-Protection</v>
      </c>
      <c r="E37" s="142">
        <f>VLOOKUP($A37&amp;$F37,STU[[ID Rating]:[Summ Voltage]],E$15,0)</f>
        <v>11.198</v>
      </c>
      <c r="F37" s="81">
        <f t="array" ref="F37">MIN(IF(STU[Station/Feeder]=$A37,STU[Lowest MVA]))</f>
        <v>5.8186514829468861</v>
      </c>
      <c r="G37" s="96" t="str">
        <f>VLOOKUP($A37&amp;$K37,STU[[ID Rating]:[Summ Voltage]],G$15,0)</f>
        <v xml:space="preserve">STU-3 </v>
      </c>
      <c r="H37" s="97" t="str">
        <f>VLOOKUP($A37&amp;$K37,STU[[ID Rating]:[Summ Voltage]],H$15,0)</f>
        <v>W400 ABS</v>
      </c>
      <c r="I37" s="71" t="str">
        <f>VLOOKUP($A37&amp;$K37,STU[[ID Rating]:[Summ Voltage]],I$15,0)</f>
        <v>Cable-3c-300mm² AL XLPE HDPE</v>
      </c>
      <c r="J37" s="142">
        <f>VLOOKUP($A37&amp;$K37,STU[[ID Rating]:[Summ Voltage]],J$15,0)</f>
        <v>11.198</v>
      </c>
      <c r="K37" s="81">
        <f t="array" ref="K37">MIN(IF(STU[Station/Feeder]=$A37,IF($F37&lt;STU[Lowest MVA],STU[Lowest MVA])))</f>
        <v>6.8454256193754901</v>
      </c>
    </row>
    <row r="38" spans="1:11" x14ac:dyDescent="0.25">
      <c r="A38" s="86" t="s">
        <v>127</v>
      </c>
      <c r="B38" s="98" t="str">
        <f>VLOOKUP($A38&amp;$F38,STU[[ID Rating]:[Summ Voltage]],B$15,0)</f>
        <v>STU-7</v>
      </c>
      <c r="C38" s="99" t="str">
        <f>VLOOKUP($A38&amp;$F38,STU[[ID Rating]:[Summ Voltage]],C$15,0)</f>
        <v>W406</v>
      </c>
      <c r="D38" s="72" t="str">
        <f>VLOOKUP($A38&amp;$F38,STU[[ID Rating]:[Summ Voltage]],D$15,0)</f>
        <v>Cable-3c-300mm² AL XLPE HDPE</v>
      </c>
      <c r="E38" s="143">
        <f>VLOOKUP($A38&amp;$F38,STU[[ID Rating]:[Summ Voltage]],E$15,0)</f>
        <v>11.198</v>
      </c>
      <c r="F38" s="82">
        <f t="array" ref="F38">MIN(IF(STU[Station/Feeder]=$A38,STU[Lowest MVA]))</f>
        <v>6.8454256193754901</v>
      </c>
      <c r="G38" s="98" t="str">
        <f>VLOOKUP($A38&amp;$K38,STU[[ID Rating]:[Summ Voltage]],G$15,0)</f>
        <v>11 kV Bus</v>
      </c>
      <c r="H38" s="99" t="str">
        <f>VLOOKUP($A38&amp;$K38,STU[[ID Rating]:[Summ Voltage]],H$15,0)</f>
        <v>STD-7</v>
      </c>
      <c r="I38" s="72" t="str">
        <f>VLOOKUP($A38&amp;$K38,STU[[ID Rating]:[Summ Voltage]],I$15,0)</f>
        <v>Circuit Breaker-STU-CB7-Protection</v>
      </c>
      <c r="J38" s="143">
        <f>VLOOKUP($A38&amp;$K38,STU[[ID Rating]:[Summ Voltage]],J$15,0)</f>
        <v>11.198</v>
      </c>
      <c r="K38" s="82">
        <f t="array" ref="K38">MIN(IF(STU[Station/Feeder]=$A38,IF($F38&lt;STU[Lowest MVA],STU[Lowest MVA])))</f>
        <v>6.9823817795362642</v>
      </c>
    </row>
    <row r="39" spans="1:11" x14ac:dyDescent="0.25">
      <c r="A39" s="86" t="s">
        <v>134</v>
      </c>
      <c r="B39" s="96" t="str">
        <f>VLOOKUP($A39&amp;$F39,STU[[ID Rating]:[Summ Voltage]],B$15,0)</f>
        <v>W200 ABS</v>
      </c>
      <c r="C39" s="97" t="str">
        <f>VLOOKUP($A39&amp;$F39,STU[[ID Rating]:[Summ Voltage]],C$15,0)</f>
        <v>A1103 TX</v>
      </c>
      <c r="D39" s="71" t="str">
        <f>VLOOKUP($A39&amp;$F39,STU[[ID Rating]:[Summ Voltage]],D$15,0)</f>
        <v>OH Line-70mm² Cu</v>
      </c>
      <c r="E39" s="142">
        <f>VLOOKUP($A39&amp;$F39,STU[[ID Rating]:[Summ Voltage]],E$15,0)</f>
        <v>11.198</v>
      </c>
      <c r="F39" s="81">
        <f t="array" ref="F39">MIN(IF(STU[Station/Feeder]=$A39,STU[Lowest MVA]))</f>
        <v>4.7906897209596027</v>
      </c>
      <c r="G39" s="96" t="str">
        <f>VLOOKUP($A39&amp;$K39,STU[[ID Rating]:[Summ Voltage]],G$15,0)</f>
        <v>STU-8</v>
      </c>
      <c r="H39" s="97" t="str">
        <f>VLOOKUP($A39&amp;$K39,STU[[ID Rating]:[Summ Voltage]],H$15,0)</f>
        <v>Pole 31677</v>
      </c>
      <c r="I39" s="71" t="str">
        <f>VLOOKUP($A39&amp;$K39,STU[[ID Rating]:[Summ Voltage]],I$15,0)</f>
        <v>Cable-3c-300mm² AL XLPE HDPE</v>
      </c>
      <c r="J39" s="142">
        <f>VLOOKUP($A39&amp;$K39,STU[[ID Rating]:[Summ Voltage]],J$15,0)</f>
        <v>11.198</v>
      </c>
      <c r="K39" s="81">
        <f t="array" ref="K39">MIN(IF(STU[Station/Feeder]=$A39,IF($F39&lt;STU[Lowest MVA],STU[Lowest MVA])))</f>
        <v>6.8454256193754901</v>
      </c>
    </row>
    <row r="40" spans="1:11" ht="15.75" thickBot="1" x14ac:dyDescent="0.3">
      <c r="A40" s="87" t="s">
        <v>139</v>
      </c>
      <c r="B40" s="103" t="str">
        <f>VLOOKUP($A40&amp;$F40,STU[[ID Rating]:[Summ Voltage]],B$15,0)</f>
        <v>11 kV Bus</v>
      </c>
      <c r="C40" s="104" t="str">
        <f>VLOOKUP($A40&amp;$F40,STU[[ID Rating]:[Summ Voltage]],C$15,0)</f>
        <v>STD-9</v>
      </c>
      <c r="D40" s="88" t="str">
        <f>VLOOKUP($A40&amp;$F40,STU[[ID Rating]:[Summ Voltage]],D$15,0)</f>
        <v>Circuit Breaker-STU-CB9-Protection</v>
      </c>
      <c r="E40" s="145">
        <f>VLOOKUP($A40&amp;$F40,STU[[ID Rating]:[Summ Voltage]],E$15,0)</f>
        <v>11.198</v>
      </c>
      <c r="F40" s="89">
        <f t="array" ref="F40">MIN(IF(STU[Station/Feeder]=$A40,STU[Lowest MVA]))</f>
        <v>5.8186514829468861</v>
      </c>
      <c r="G40" s="103" t="str">
        <f>VLOOKUP($A40&amp;$K40,STU[[ID Rating]:[Summ Voltage]],G$15,0)</f>
        <v>STU-9</v>
      </c>
      <c r="H40" s="104" t="str">
        <f>VLOOKUP($A40&amp;$K40,STU[[ID Rating]:[Summ Voltage]],H$15,0)</f>
        <v>Pole 31989</v>
      </c>
      <c r="I40" s="88" t="str">
        <f>VLOOKUP($A40&amp;$K40,STU[[ID Rating]:[Summ Voltage]],I$15,0)</f>
        <v>Cable-3c-300mm² AL XLPE HDPE</v>
      </c>
      <c r="J40" s="145">
        <f>VLOOKUP($A40&amp;$K40,STU[[ID Rating]:[Summ Voltage]],J$15,0)</f>
        <v>11.198</v>
      </c>
      <c r="K40" s="89">
        <f t="array" ref="K40">MIN(IF(STU[Station/Feeder]=$A40,IF($F40&lt;STU[Lowest MVA],STU[Lowest MVA])))</f>
        <v>6.8454256193754901</v>
      </c>
    </row>
    <row r="41" spans="1:11" ht="15.75" thickBot="1" x14ac:dyDescent="0.3"/>
    <row r="42" spans="1:11" ht="15.75" customHeight="1" thickBot="1" x14ac:dyDescent="0.3">
      <c r="A42" s="518" t="s">
        <v>1134</v>
      </c>
      <c r="B42" s="519"/>
      <c r="C42" s="519"/>
      <c r="D42" s="519"/>
      <c r="E42" s="519"/>
      <c r="F42" s="519"/>
      <c r="G42" s="519"/>
      <c r="H42" s="519"/>
      <c r="I42" s="519"/>
      <c r="J42" s="519"/>
      <c r="K42" s="520"/>
    </row>
    <row r="43" spans="1:11" x14ac:dyDescent="0.25">
      <c r="A43" s="85" t="s">
        <v>76</v>
      </c>
      <c r="B43" s="94" t="str">
        <f>VLOOKUP($A43&amp;$F43,TKA[[ID Rating]:[Summ Voltage]],B$15,0)</f>
        <v>CB32</v>
      </c>
      <c r="C43" s="95" t="str">
        <f>VLOOKUP($A43&amp;$F43,TKA[[ID Rating]:[Summ Voltage]],C$15,0)</f>
        <v>DS1046</v>
      </c>
      <c r="D43" s="70" t="str">
        <f>VLOOKUP($A43&amp;$F43,TKA[[ID Rating]:[Summ Voltage]],D$15,0)</f>
        <v>Circuit Breaker-TKA-CB1042-Protection</v>
      </c>
      <c r="E43" s="141">
        <f>VLOOKUP($A43&amp;$F43,TKA[[ID Rating]:[Summ Voltage]],E$15,0)</f>
        <v>33</v>
      </c>
      <c r="F43" s="80">
        <f t="array" ref="F43">MIN(IF(TKA[Station/Feeder]=$A43,TKA[Lowest MVA]))</f>
        <v>10.459854826908449</v>
      </c>
      <c r="G43" s="94" t="str">
        <f>VLOOKUP($A43&amp;$K43,TKA[[ID Rating]:[Summ Voltage]],G$15,0)</f>
        <v>CB32</v>
      </c>
      <c r="H43" s="95" t="str">
        <f>VLOOKUP($A43&amp;$K43,TKA[[ID Rating]:[Summ Voltage]],H$15,0)</f>
        <v>DS1046</v>
      </c>
      <c r="I43" s="70" t="str">
        <f>VLOOKUP($A43&amp;$K43,TKA[[ID Rating]:[Summ Voltage]],I$15,0)</f>
        <v>Circuit Breaker-TKA-CB32-Protection</v>
      </c>
      <c r="J43" s="141">
        <f>VLOOKUP($A43&amp;$K43,TKA[[ID Rating]:[Summ Voltage]],J$15,0)</f>
        <v>11</v>
      </c>
      <c r="K43" s="80">
        <f t="array" ref="K43">MIN(IF(TKA[Station/Feeder]=$A43,IF($F43&lt;TKA[Lowest MVA],TKA[Lowest MVA])))</f>
        <v>12.00311209645232</v>
      </c>
    </row>
    <row r="44" spans="1:11" x14ac:dyDescent="0.25">
      <c r="A44" s="111" t="s">
        <v>83</v>
      </c>
      <c r="B44" s="96" t="str">
        <f>VLOOKUP($A44&amp;$F44,TKA[[ID Rating]:[Summ Voltage]],B$15,0)</f>
        <v>M11 T-off</v>
      </c>
      <c r="C44" s="97" t="str">
        <f>VLOOKUP($A44&amp;$F44,TKA[[ID Rating]:[Summ Voltage]],C$15,0)</f>
        <v>11 kV Bus</v>
      </c>
      <c r="D44" s="71" t="str">
        <f>VLOOKUP($A44&amp;$F44,TKA[[ID Rating]:[Summ Voltage]],D$15,0)</f>
        <v>Circuit Breaker-TEK-M202-Protection</v>
      </c>
      <c r="E44" s="142">
        <f>VLOOKUP($A44&amp;$F44,TKA[[ID Rating]:[Summ Voltage]],E$15,0)</f>
        <v>11</v>
      </c>
      <c r="F44" s="81">
        <f t="array" ref="F44">MIN(IF(TKA[Station/Feeder]=$A44,TKA[Lowest MVA]))</f>
        <v>7.6210235533030604</v>
      </c>
      <c r="G44" s="96" t="str">
        <f>VLOOKUP($A44&amp;$K44,TKA[[ID Rating]:[Summ Voltage]],G$15,0)</f>
        <v>M11 T-off</v>
      </c>
      <c r="H44" s="97" t="str">
        <f>VLOOKUP($A44&amp;$K44,TKA[[ID Rating]:[Summ Voltage]],H$15,0)</f>
        <v>11 kV Bus</v>
      </c>
      <c r="I44" s="71" t="str">
        <f>VLOOKUP($A44&amp;$K44,TKA[[ID Rating]:[Summ Voltage]],I$15,0)</f>
        <v>OH Line-IODINE</v>
      </c>
      <c r="J44" s="142">
        <f>VLOOKUP($A44&amp;$K44,TKA[[ID Rating]:[Summ Voltage]],J$15,0)</f>
        <v>11</v>
      </c>
      <c r="K44" s="81">
        <f t="array" ref="K44">MIN(IF(TKA[Station/Feeder]=$A44,IF($F44&lt;TKA[Lowest MVA],TKA[Lowest MVA])))</f>
        <v>7.7901078867897917</v>
      </c>
    </row>
    <row r="45" spans="1:11" x14ac:dyDescent="0.25">
      <c r="A45" s="86" t="s">
        <v>94</v>
      </c>
      <c r="B45" s="98" t="str">
        <f>VLOOKUP($A45&amp;$F45,TKA[[ID Rating]:[Summ Voltage]],B$15,0)</f>
        <v>11 kV Bus</v>
      </c>
      <c r="C45" s="99" t="str">
        <f>VLOOKUP($A45&amp;$F45,TKA[[ID Rating]:[Summ Voltage]],C$15,0)</f>
        <v>M194</v>
      </c>
      <c r="D45" s="72" t="str">
        <f>VLOOKUP($A45&amp;$F45,TKA[[ID Rating]:[Summ Voltage]],D$15,0)</f>
        <v>Cable-1-3c 150 mm² Al PILC</v>
      </c>
      <c r="E45" s="143">
        <f>VLOOKUP($A45&amp;$F45,TKA[[ID Rating]:[Summ Voltage]],E$15,0)</f>
        <v>11</v>
      </c>
      <c r="F45" s="82">
        <f t="array" ref="F45">MIN(IF(TKA[Station/Feeder]=$A45,TKA[Lowest MVA]))</f>
        <v>3.5555561494434405</v>
      </c>
      <c r="G45" s="98" t="str">
        <f>VLOOKUP($A45&amp;$K45,TKA[[ID Rating]:[Summ Voltage]],G$15,0)</f>
        <v>M194</v>
      </c>
      <c r="H45" s="99" t="str">
        <f>VLOOKUP($A45&amp;$K45,TKA[[ID Rating]:[Summ Voltage]],H$15,0)</f>
        <v>Pole 14140</v>
      </c>
      <c r="I45" s="72" t="str">
        <f>VLOOKUP($A45&amp;$K45,TKA[[ID Rating]:[Summ Voltage]],I$15,0)</f>
        <v>OH Line-MINK</v>
      </c>
      <c r="J45" s="143">
        <f>VLOOKUP($A45&amp;$K45,TKA[[ID Rating]:[Summ Voltage]],J$15,0)</f>
        <v>11</v>
      </c>
      <c r="K45" s="82">
        <f t="array" ref="K45">MIN(IF(TKA[Station/Feeder]=$A45,IF($F45&lt;TKA[Lowest MVA],TKA[Lowest MVA])))</f>
        <v>3.5938195410109186</v>
      </c>
    </row>
    <row r="46" spans="1:11" x14ac:dyDescent="0.25">
      <c r="A46" s="86" t="s">
        <v>107</v>
      </c>
      <c r="B46" s="96" t="str">
        <f>VLOOKUP($A46&amp;$F46,TKA[[ID Rating]:[Summ Voltage]],B$15,0)</f>
        <v>M175</v>
      </c>
      <c r="C46" s="97" t="str">
        <f>VLOOKUP($A46&amp;$F46,TKA[[ID Rating]:[Summ Voltage]],C$15,0)</f>
        <v>Pole 25260</v>
      </c>
      <c r="D46" s="71" t="str">
        <f>VLOOKUP($A46&amp;$F46,TKA[[ID Rating]:[Summ Voltage]],D$15,0)</f>
        <v>OH Line-HERRING</v>
      </c>
      <c r="E46" s="142">
        <f>VLOOKUP($A46&amp;$F46,TKA[[ID Rating]:[Summ Voltage]],E$15,0)</f>
        <v>11</v>
      </c>
      <c r="F46" s="81">
        <f t="array" ref="F46">MIN(IF(TKA[Station/Feeder]=$A46,TKA[Lowest MVA]))</f>
        <v>1.4043525141235669</v>
      </c>
      <c r="G46" s="96" t="str">
        <f>VLOOKUP($A46&amp;$K46,TKA[[ID Rating]:[Summ Voltage]],G$15,0)</f>
        <v>11 kV Bus</v>
      </c>
      <c r="H46" s="97" t="str">
        <f>VLOOKUP($A46&amp;$K46,TKA[[ID Rating]:[Summ Voltage]],H$15,0)</f>
        <v>M175</v>
      </c>
      <c r="I46" s="71" t="str">
        <f>VLOOKUP($A46&amp;$K46,TKA[[ID Rating]:[Summ Voltage]],I$15,0)</f>
        <v>Cable-1-3c 150 mm² Al PILC</v>
      </c>
      <c r="J46" s="142">
        <f>VLOOKUP($A46&amp;$K46,TKA[[ID Rating]:[Summ Voltage]],J$15,0)</f>
        <v>11</v>
      </c>
      <c r="K46" s="81">
        <f t="array" ref="K46">MIN(IF(TKA[Station/Feeder]=$A46,IF($F46&lt;TKA[Lowest MVA],TKA[Lowest MVA])))</f>
        <v>3.5555561494434405</v>
      </c>
    </row>
    <row r="47" spans="1:11" x14ac:dyDescent="0.25">
      <c r="A47" s="86" t="s">
        <v>1445</v>
      </c>
      <c r="B47" s="96" t="e">
        <f>VLOOKUP($A47&amp;$F47,TKA[[ID Rating]:[Summ Voltage]],B$15,0)</f>
        <v>#N/A</v>
      </c>
      <c r="C47" s="97" t="e">
        <f>VLOOKUP($A47&amp;$F47,TKA[[ID Rating]:[Summ Voltage]],C$15,0)</f>
        <v>#N/A</v>
      </c>
      <c r="D47" s="71" t="e">
        <f>VLOOKUP($A47&amp;$F47,TKA[[ID Rating]:[Summ Voltage]],D$15,0)</f>
        <v>#N/A</v>
      </c>
      <c r="E47" s="142" t="e">
        <f>VLOOKUP($A47&amp;$F47,TKA[[ID Rating]:[Summ Voltage]],E$15,0)</f>
        <v>#N/A</v>
      </c>
      <c r="F47" s="81">
        <f t="array" ref="F47">MIN(IF(TKA[Station/Feeder]=$A47,TKA[Lowest MVA]))</f>
        <v>0</v>
      </c>
      <c r="G47" s="96" t="e">
        <f>VLOOKUP($A47&amp;$K47,TKA[[ID Rating]:[Summ Voltage]],G$15,0)</f>
        <v>#N/A</v>
      </c>
      <c r="H47" s="97" t="e">
        <f>VLOOKUP($A47&amp;$K47,TKA[[ID Rating]:[Summ Voltage]],H$15,0)</f>
        <v>#N/A</v>
      </c>
      <c r="I47" s="71" t="e">
        <f>VLOOKUP($A47&amp;$K47,TKA[[ID Rating]:[Summ Voltage]],I$15,0)</f>
        <v>#N/A</v>
      </c>
      <c r="J47" s="142" t="e">
        <f>VLOOKUP($A47&amp;$K47,TKA[[ID Rating]:[Summ Voltage]],J$15,0)</f>
        <v>#N/A</v>
      </c>
      <c r="K47" s="81">
        <f t="array" ref="K47">MIN(IF(TKA[Station/Feeder]=$A47,IF($F47&lt;TKA[Lowest MVA],TKA[Lowest MVA])))</f>
        <v>0</v>
      </c>
    </row>
    <row r="48" spans="1:11" x14ac:dyDescent="0.25">
      <c r="A48" s="86" t="s">
        <v>118</v>
      </c>
      <c r="B48" s="98" t="str">
        <f>VLOOKUP($A48&amp;$F48,TKA[[ID Rating]:[Summ Voltage]],B$15,0)</f>
        <v>M186</v>
      </c>
      <c r="C48" s="99" t="str">
        <f>VLOOKUP($A48&amp;$F48,TKA[[ID Rating]:[Summ Voltage]],C$15,0)</f>
        <v>M296</v>
      </c>
      <c r="D48" s="72" t="str">
        <f>VLOOKUP($A48&amp;$F48,TKA[[ID Rating]:[Summ Voltage]],D$15,0)</f>
        <v>OH Line-HERRING</v>
      </c>
      <c r="E48" s="143">
        <f>VLOOKUP($A48&amp;$F48,TKA[[ID Rating]:[Summ Voltage]],E$15,0)</f>
        <v>11</v>
      </c>
      <c r="F48" s="82">
        <f t="array" ref="F48">MIN(IF(TKA[Station/Feeder]=$A48,TKA[Lowest MVA]))</f>
        <v>1.4043525141235669</v>
      </c>
      <c r="G48" s="98" t="str">
        <f>VLOOKUP($A48&amp;$K48,TKA[[ID Rating]:[Summ Voltage]],G$15,0)</f>
        <v>11 kV Bus</v>
      </c>
      <c r="H48" s="99" t="str">
        <f>VLOOKUP($A48&amp;$K48,TKA[[ID Rating]:[Summ Voltage]],H$15,0)</f>
        <v>M184</v>
      </c>
      <c r="I48" s="72" t="str">
        <f>VLOOKUP($A48&amp;$K48,TKA[[ID Rating]:[Summ Voltage]],I$15,0)</f>
        <v>Circuit Breaker-TEK-M205-Protection</v>
      </c>
      <c r="J48" s="143">
        <f>VLOOKUP($A48&amp;$K48,TKA[[ID Rating]:[Summ Voltage]],J$15,0)</f>
        <v>11</v>
      </c>
      <c r="K48" s="82">
        <f t="array" ref="K48">MIN(IF(TKA[Station/Feeder]=$A48,IF($F48&lt;TKA[Lowest MVA],TKA[Lowest MVA])))</f>
        <v>1.9052558883257651</v>
      </c>
    </row>
    <row r="49" spans="1:11" ht="15.75" thickBot="1" x14ac:dyDescent="0.3">
      <c r="A49" s="86" t="s">
        <v>129</v>
      </c>
      <c r="B49" s="96" t="str">
        <f>VLOOKUP($A49&amp;$F49,TKA[[ID Rating]:[Summ Voltage]],B$15,0)</f>
        <v>11 kV Bus</v>
      </c>
      <c r="C49" s="97" t="str">
        <f>VLOOKUP($A49&amp;$F49,TKA[[ID Rating]:[Summ Voltage]],C$15,0)</f>
        <v>M180</v>
      </c>
      <c r="D49" s="71" t="str">
        <f>VLOOKUP($A49&amp;$F49,TKA[[ID Rating]:[Summ Voltage]],D$15,0)</f>
        <v>Cable-1-3c 150 mm² Al PILC</v>
      </c>
      <c r="E49" s="142">
        <f>VLOOKUP($A49&amp;$F49,TKA[[ID Rating]:[Summ Voltage]],E$15,0)</f>
        <v>11</v>
      </c>
      <c r="F49" s="81">
        <f t="array" ref="F49">MIN(IF(TKA[Station/Feeder]=$A49,TKA[Lowest MVA]))</f>
        <v>3.5555561494434405</v>
      </c>
      <c r="G49" s="96" t="str">
        <f>VLOOKUP($A49&amp;$K49,TKA[[ID Rating]:[Summ Voltage]],G$15,0)</f>
        <v>M180</v>
      </c>
      <c r="H49" s="97" t="str">
        <f>VLOOKUP($A49&amp;$K49,TKA[[ID Rating]:[Summ Voltage]],H$15,0)</f>
        <v>Pole 14122</v>
      </c>
      <c r="I49" s="71" t="str">
        <f>VLOOKUP($A49&amp;$K49,TKA[[ID Rating]:[Summ Voltage]],I$15,0)</f>
        <v>OH Line-MINK</v>
      </c>
      <c r="J49" s="142">
        <f>VLOOKUP($A49&amp;$K49,TKA[[ID Rating]:[Summ Voltage]],J$15,0)</f>
        <v>11</v>
      </c>
      <c r="K49" s="81">
        <f t="array" ref="K49">MIN(IF(TKA[Station/Feeder]=$A49,IF($F49&lt;TKA[Lowest MVA],TKA[Lowest MVA])))</f>
        <v>3.5938195410109186</v>
      </c>
    </row>
    <row r="50" spans="1:11" ht="15.75" thickBot="1" x14ac:dyDescent="0.3">
      <c r="A50" s="90"/>
      <c r="B50" s="100"/>
      <c r="C50" s="100"/>
      <c r="D50" s="91"/>
      <c r="E50" s="92"/>
      <c r="F50" s="92"/>
      <c r="G50" s="100"/>
      <c r="H50" s="100"/>
      <c r="I50" s="91"/>
      <c r="J50" s="92"/>
      <c r="K50" s="93"/>
    </row>
    <row r="51" spans="1:11" x14ac:dyDescent="0.25">
      <c r="A51" s="86" t="s">
        <v>164</v>
      </c>
      <c r="B51" s="98" t="str">
        <f>VLOOKUP($A51&amp;$F51,TKA[[ID Rating]:[Summ Voltage]],B$15,0)</f>
        <v>Pole 14150</v>
      </c>
      <c r="C51" s="99" t="str">
        <f>VLOOKUP($A51&amp;$F51,TKA[[ID Rating]:[Summ Voltage]],C$15,0)</f>
        <v>TX E117</v>
      </c>
      <c r="D51" s="72" t="str">
        <f>VLOOKUP($A51&amp;$F51,TKA[[ID Rating]:[Summ Voltage]],D$15,0)</f>
        <v>Recloser-M82-Protection</v>
      </c>
      <c r="E51" s="143">
        <f>VLOOKUP($A51&amp;$F51,TKA[[ID Rating]:[Summ Voltage]],E$15,0)</f>
        <v>11</v>
      </c>
      <c r="F51" s="82">
        <f t="array" ref="F51">MIN(IF(TKA[Station/Feeder]=$A51,TKA[Lowest MVA]))</f>
        <v>1.143153532995459</v>
      </c>
      <c r="G51" s="98" t="str">
        <f>VLOOKUP($A51&amp;$K51,TKA[[ID Rating]:[Summ Voltage]],G$15,0)</f>
        <v>M193</v>
      </c>
      <c r="H51" s="99" t="str">
        <f>VLOOKUP($A51&amp;$K51,TKA[[ID Rating]:[Summ Voltage]],H$15,0)</f>
        <v>Pole 14149</v>
      </c>
      <c r="I51" s="72" t="str">
        <f>VLOOKUP($A51&amp;$K51,TKA[[ID Rating]:[Summ Voltage]],I$15,0)</f>
        <v>OH Line-HERRING</v>
      </c>
      <c r="J51" s="143">
        <f>VLOOKUP($A51&amp;$K51,TKA[[ID Rating]:[Summ Voltage]],J$15,0)</f>
        <v>11</v>
      </c>
      <c r="K51" s="82">
        <f t="array" ref="K51">MIN(IF(TKA[Station/Feeder]=$A51,IF($F51&lt;TKA[Lowest MVA],TKA[Lowest MVA])))</f>
        <v>1.4043525141235669</v>
      </c>
    </row>
    <row r="52" spans="1:11" x14ac:dyDescent="0.25">
      <c r="A52" s="86" t="s">
        <v>173</v>
      </c>
      <c r="B52" s="96" t="str">
        <f>VLOOKUP($A52&amp;$F52,TKA[[ID Rating]:[Summ Voltage]],B$15,0)</f>
        <v>M32</v>
      </c>
      <c r="C52" s="97" t="str">
        <f>VLOOKUP($A52&amp;$F52,TKA[[ID Rating]:[Summ Voltage]],C$15,0)</f>
        <v>TX E58</v>
      </c>
      <c r="D52" s="71" t="str">
        <f>VLOOKUP($A52&amp;$F52,TKA[[ID Rating]:[Summ Voltage]],D$15,0)</f>
        <v>OH Line-HERRING</v>
      </c>
      <c r="E52" s="142">
        <f>VLOOKUP($A52&amp;$F52,TKA[[ID Rating]:[Summ Voltage]],E$15,0)</f>
        <v>22</v>
      </c>
      <c r="F52" s="81">
        <f t="array" ref="F52">MIN(IF(TKA[Station/Feeder]=$A52,TKA[Lowest MVA]))</f>
        <v>2.8087050282471338</v>
      </c>
      <c r="G52" s="96" t="str">
        <f>VLOOKUP($A52&amp;$K52,TKA[[ID Rating]:[Summ Voltage]],G$15,0)</f>
        <v>Pole 51596</v>
      </c>
      <c r="H52" s="97" t="str">
        <f>VLOOKUP($A52&amp;$K52,TKA[[ID Rating]:[Summ Voltage]],H$15,0)</f>
        <v>M32</v>
      </c>
      <c r="I52" s="71" t="str">
        <f>VLOOKUP($A52&amp;$K52,TKA[[ID Rating]:[Summ Voltage]],I$15,0)</f>
        <v>OH Line-MINK</v>
      </c>
      <c r="J52" s="142">
        <f>VLOOKUP($A52&amp;$K52,TKA[[ID Rating]:[Summ Voltage]],J$15,0)</f>
        <v>22</v>
      </c>
      <c r="K52" s="81">
        <f t="array" ref="K52">MIN(IF(TKA[Station/Feeder]=$A52,IF($F52&lt;TKA[Lowest MVA],TKA[Lowest MVA])))</f>
        <v>7.1876390820218372</v>
      </c>
    </row>
    <row r="53" spans="1:11" ht="15.75" thickBot="1" x14ac:dyDescent="0.3">
      <c r="A53" s="86" t="s">
        <v>179</v>
      </c>
      <c r="B53" s="98" t="str">
        <f>VLOOKUP($A53&amp;$F53,TKA[[ID Rating]:[Summ Voltage]],B$15,0)</f>
        <v>M33</v>
      </c>
      <c r="C53" s="99" t="str">
        <f>VLOOKUP($A53&amp;$F53,TKA[[ID Rating]:[Summ Voltage]],C$15,0)</f>
        <v>Pole 24654</v>
      </c>
      <c r="D53" s="72" t="str">
        <f>VLOOKUP($A53&amp;$F53,TKA[[ID Rating]:[Summ Voltage]],D$15,0)</f>
        <v>OH Line-HERRING</v>
      </c>
      <c r="E53" s="143">
        <f>VLOOKUP($A53&amp;$F53,TKA[[ID Rating]:[Summ Voltage]],E$15,0)</f>
        <v>22</v>
      </c>
      <c r="F53" s="82">
        <f t="array" ref="F53">MIN(IF(TKA[Station/Feeder]=$A53,TKA[Lowest MVA]))</f>
        <v>2.8087050282471338</v>
      </c>
      <c r="G53" s="98" t="str">
        <f>VLOOKUP($A53&amp;$K53,TKA[[ID Rating]:[Summ Voltage]],G$15,0)</f>
        <v>Pole 51596</v>
      </c>
      <c r="H53" s="99" t="str">
        <f>VLOOKUP($A53&amp;$K53,TKA[[ID Rating]:[Summ Voltage]],H$15,0)</f>
        <v>M33</v>
      </c>
      <c r="I53" s="72" t="str">
        <f>VLOOKUP($A53&amp;$K53,TKA[[ID Rating]:[Summ Voltage]],I$15,0)</f>
        <v>OH Line-MINK</v>
      </c>
      <c r="J53" s="143">
        <f>VLOOKUP($A53&amp;$K53,TKA[[ID Rating]:[Summ Voltage]],J$15,0)</f>
        <v>22</v>
      </c>
      <c r="K53" s="82">
        <f t="array" ref="K53">MIN(IF(TKA[Station/Feeder]=$A53,IF($F53&lt;TKA[Lowest MVA],TKA[Lowest MVA])))</f>
        <v>7.1876390820218372</v>
      </c>
    </row>
    <row r="54" spans="1:11" ht="15.75" thickBot="1" x14ac:dyDescent="0.3">
      <c r="A54" s="90"/>
      <c r="B54" s="100"/>
      <c r="C54" s="100"/>
      <c r="D54" s="91"/>
      <c r="E54" s="92"/>
      <c r="F54" s="92"/>
      <c r="G54" s="100"/>
      <c r="H54" s="100"/>
      <c r="I54" s="91"/>
      <c r="J54" s="92"/>
      <c r="K54" s="93"/>
    </row>
    <row r="55" spans="1:11" x14ac:dyDescent="0.25">
      <c r="A55" s="86" t="s">
        <v>1443</v>
      </c>
      <c r="B55" s="98" t="str">
        <f>VLOOKUP($A55&amp;$F55,TKA[[ID Rating]:[Summ Voltage]],B$15,0)</f>
        <v>M175</v>
      </c>
      <c r="C55" s="99" t="str">
        <f>VLOOKUP($A55&amp;$F55,TKA[[ID Rating]:[Summ Voltage]],C$15,0)</f>
        <v>Pole 25260</v>
      </c>
      <c r="D55" s="72" t="str">
        <f>VLOOKUP($A55&amp;$F55,TKA[[ID Rating]:[Summ Voltage]],D$15,0)</f>
        <v>OH Line-HERRING</v>
      </c>
      <c r="E55" s="143">
        <f>VLOOKUP($A55&amp;$F55,TKA[[ID Rating]:[Summ Voltage]],E$15,0)</f>
        <v>11</v>
      </c>
      <c r="F55" s="82">
        <f t="array" ref="F55">MIN(IF(TKA[Station/Feeder]=$A55,TKA[Lowest MVA]))</f>
        <v>1.4043525141235669</v>
      </c>
      <c r="G55" s="98" t="str">
        <f>VLOOKUP($A55&amp;$K55,TKA[[ID Rating]:[Summ Voltage]],G$15,0)</f>
        <v>M329</v>
      </c>
      <c r="H55" s="99" t="str">
        <f>VLOOKUP($A55&amp;$K55,TKA[[ID Rating]:[Summ Voltage]],H$15,0)</f>
        <v>M339</v>
      </c>
      <c r="I55" s="72" t="str">
        <f>VLOOKUP($A55&amp;$K55,TKA[[ID Rating]:[Summ Voltage]],I$15,0)</f>
        <v>Recloser-M331-Protection</v>
      </c>
      <c r="J55" s="143">
        <f>VLOOKUP($A55&amp;$K55,TKA[[ID Rating]:[Summ Voltage]],J$15,0)</f>
        <v>11</v>
      </c>
      <c r="K55" s="82">
        <f t="array" ref="K55">MIN(IF(TKA[Station/Feeder]=$A55,IF($F55&lt;TKA[Lowest MVA],TKA[Lowest MVA])))</f>
        <v>2.2863070659909179</v>
      </c>
    </row>
    <row r="56" spans="1:11" ht="15.75" thickBot="1" x14ac:dyDescent="0.3">
      <c r="A56" s="86" t="s">
        <v>1444</v>
      </c>
      <c r="B56" s="96" t="str">
        <f>VLOOKUP($A56&amp;$F56,TKA[[ID Rating]:[Summ Voltage]],B$15,0)</f>
        <v>M335</v>
      </c>
      <c r="C56" s="97" t="str">
        <f>VLOOKUP($A56&amp;$F56,TKA[[ID Rating]:[Summ Voltage]],C$15,0)</f>
        <v>Pole 51625</v>
      </c>
      <c r="D56" s="71" t="str">
        <f>VLOOKUP($A56&amp;$F56,TKA[[ID Rating]:[Summ Voltage]],D$15,0)</f>
        <v>Recloser-OMR-M338-Protection</v>
      </c>
      <c r="E56" s="142">
        <f>VLOOKUP($A56&amp;$F56,TKA[[ID Rating]:[Summ Voltage]],E$15,0)</f>
        <v>22</v>
      </c>
      <c r="F56" s="81">
        <f t="array" ref="F56">MIN(IF(TKA[Station/Feeder]=$A56,TKA[Lowest MVA]))</f>
        <v>2.2863070659909179</v>
      </c>
      <c r="G56" s="96" t="str">
        <f>VLOOKUP($A56&amp;$K56,TKA[[ID Rating]:[Summ Voltage]],G$15,0)</f>
        <v>M335</v>
      </c>
      <c r="H56" s="97" t="str">
        <f>VLOOKUP($A56&amp;$K56,TKA[[ID Rating]:[Summ Voltage]],H$15,0)</f>
        <v>Pole 51625</v>
      </c>
      <c r="I56" s="71" t="str">
        <f>VLOOKUP($A56&amp;$K56,TKA[[ID Rating]:[Summ Voltage]],I$15,0)</f>
        <v>OH Line-HERRING</v>
      </c>
      <c r="J56" s="142">
        <f>VLOOKUP($A56&amp;$K56,TKA[[ID Rating]:[Summ Voltage]],J$15,0)</f>
        <v>22</v>
      </c>
      <c r="K56" s="81">
        <f t="array" ref="K56">MIN(IF(TKA[Station/Feeder]=$A56,IF($F56&lt;TKA[Lowest MVA],TKA[Lowest MVA])))</f>
        <v>2.8087050282471338</v>
      </c>
    </row>
    <row r="57" spans="1:11" ht="15.75" thickBot="1" x14ac:dyDescent="0.3">
      <c r="A57" s="90"/>
      <c r="B57" s="100"/>
      <c r="C57" s="100"/>
      <c r="D57" s="91"/>
      <c r="E57" s="92"/>
      <c r="F57" s="92"/>
      <c r="G57" s="100"/>
      <c r="H57" s="100"/>
      <c r="I57" s="91"/>
      <c r="J57" s="92"/>
      <c r="K57" s="93"/>
    </row>
    <row r="58" spans="1:11" x14ac:dyDescent="0.25">
      <c r="A58" s="86" t="s">
        <v>84</v>
      </c>
      <c r="B58" s="98" t="str">
        <f>VLOOKUP($A58&amp;$F58,TKA[[ID Rating]:[Summ Voltage]],B$15,0)</f>
        <v>M11 T-off</v>
      </c>
      <c r="C58" s="99" t="str">
        <f>VLOOKUP($A58&amp;$F58,TKA[[ID Rating]:[Summ Voltage]],C$15,0)</f>
        <v>Pole 18992</v>
      </c>
      <c r="D58" s="72" t="str">
        <f>VLOOKUP($A58&amp;$F58,TKA[[ID Rating]:[Summ Voltage]],D$15,0)</f>
        <v>Recloser - TKA_M11-M346 - Protection</v>
      </c>
      <c r="E58" s="143">
        <f>VLOOKUP($A58&amp;$F58,TKA[[ID Rating]:[Summ Voltage]],E$15,0)</f>
        <v>33</v>
      </c>
      <c r="F58" s="82">
        <f t="array" ref="F58">MIN(IF(TKA[Station/Feeder]=$A58,TKA[Lowest MVA]))</f>
        <v>8.5736514974659421</v>
      </c>
      <c r="G58" s="98" t="str">
        <f>VLOOKUP($A58&amp;$K58,TKA[[ID Rating]:[Summ Voltage]],G$15,0)</f>
        <v>M11 T-off</v>
      </c>
      <c r="H58" s="99" t="str">
        <f>VLOOKUP($A58&amp;$K58,TKA[[ID Rating]:[Summ Voltage]],H$15,0)</f>
        <v>Pole 18992</v>
      </c>
      <c r="I58" s="72" t="str">
        <f>VLOOKUP($A58&amp;$K58,TKA[[ID Rating]:[Summ Voltage]],I$15,0)</f>
        <v>OH Line - 3-70mm2 Cu</v>
      </c>
      <c r="J58" s="143">
        <f>VLOOKUP($A58&amp;$K58,TKA[[ID Rating]:[Summ Voltage]],J$15,0)</f>
        <v>33</v>
      </c>
      <c r="K58" s="82">
        <f t="array" ref="K58">MIN(IF(TKA[Station/Feeder]=$A58,IF($F58&lt;TKA[Lowest MVA],TKA[Lowest MVA])))</f>
        <v>14.117946132493918</v>
      </c>
    </row>
    <row r="59" spans="1:11" ht="15.75" thickBot="1" x14ac:dyDescent="0.3">
      <c r="A59" s="86" t="s">
        <v>95</v>
      </c>
      <c r="B59" s="96" t="str">
        <f>VLOOKUP($A59&amp;$F59,TKA[[ID Rating]:[Summ Voltage]],B$15,0)</f>
        <v>CB1042</v>
      </c>
      <c r="C59" s="97" t="str">
        <f>VLOOKUP($A59&amp;$F59,TKA[[ID Rating]:[Summ Voltage]],C$15,0)</f>
        <v>DS1046</v>
      </c>
      <c r="D59" s="71" t="str">
        <f>VLOOKUP($A59&amp;$F59,TKA[[ID Rating]:[Summ Voltage]],D$15,0)</f>
        <v>Circuit Breaker-TKA-CB1042-Protection</v>
      </c>
      <c r="E59" s="142">
        <f>VLOOKUP($A59&amp;$F59,TKA[[ID Rating]:[Summ Voltage]],E$15,0)</f>
        <v>33</v>
      </c>
      <c r="F59" s="81">
        <f t="array" ref="F59">MIN(IF(TKA[Station/Feeder]=$A59,TKA[Lowest MVA]))</f>
        <v>10.459854826908449</v>
      </c>
      <c r="G59" s="96" t="str">
        <f>VLOOKUP($A59&amp;$K59,TKA[[ID Rating]:[Summ Voltage]],G$15,0)</f>
        <v>M55</v>
      </c>
      <c r="H59" s="97" t="str">
        <f>VLOOKUP($A59&amp;$K59,TKA[[ID Rating]:[Summ Voltage]],H$15,0)</f>
        <v>Pole 24021</v>
      </c>
      <c r="I59" s="71" t="str">
        <f>VLOOKUP($A59&amp;$K59,TKA[[ID Rating]:[Summ Voltage]],I$15,0)</f>
        <v>OH Line-19/14 Cu</v>
      </c>
      <c r="J59" s="142">
        <f>VLOOKUP($A59&amp;$K59,TKA[[ID Rating]:[Summ Voltage]],J$15,0)</f>
        <v>33</v>
      </c>
      <c r="K59" s="81">
        <f t="array" ref="K59">MIN(IF(TKA[Station/Feeder]=$A59,IF($F59&lt;TKA[Lowest MVA],TKA[Lowest MVA])))</f>
        <v>13.832157749245052</v>
      </c>
    </row>
    <row r="60" spans="1:11" ht="15.75" thickBot="1" x14ac:dyDescent="0.3">
      <c r="A60" s="90"/>
      <c r="B60" s="100"/>
      <c r="C60" s="100"/>
      <c r="D60" s="91"/>
      <c r="E60" s="92"/>
      <c r="F60" s="92"/>
      <c r="G60" s="100"/>
      <c r="H60" s="100"/>
      <c r="I60" s="91"/>
      <c r="J60" s="92"/>
      <c r="K60" s="93"/>
    </row>
    <row r="61" spans="1:11" x14ac:dyDescent="0.25">
      <c r="A61" s="86" t="s">
        <v>163</v>
      </c>
      <c r="B61" s="98" t="str">
        <f>VLOOKUP($A61&amp;$F61,TKA[[ID Rating]:[Summ Voltage]],B$15,0)</f>
        <v>M303</v>
      </c>
      <c r="C61" s="99" t="str">
        <f>VLOOKUP($A61&amp;$F61,TKA[[ID Rating]:[Summ Voltage]],C$15,0)</f>
        <v>M301</v>
      </c>
      <c r="D61" s="72" t="str">
        <f>VLOOKUP($A61&amp;$F61,TKA[[ID Rating]:[Summ Voltage]],D$15,0)</f>
        <v>Circuit Breaker-UHT-M302-Protection</v>
      </c>
      <c r="E61" s="143">
        <f>VLOOKUP($A61&amp;$F61,TKA[[ID Rating]:[Summ Voltage]],E$15,0)</f>
        <v>33</v>
      </c>
      <c r="F61" s="82">
        <f t="array" ref="F61">MIN(IF(TKA[Station/Feeder]=$A61,TKA[Lowest MVA]))</f>
        <v>2.8578838324886475</v>
      </c>
      <c r="G61" s="98" t="str">
        <f>VLOOKUP($A61&amp;$K61,TKA[[ID Rating]:[Summ Voltage]],G$15,0)</f>
        <v>M271</v>
      </c>
      <c r="H61" s="99" t="str">
        <f>VLOOKUP($A61&amp;$K61,TKA[[ID Rating]:[Summ Voltage]],H$15,0)</f>
        <v>M54</v>
      </c>
      <c r="I61" s="72" t="str">
        <f>VLOOKUP($A61&amp;$K61,TKA[[ID Rating]:[Summ Voltage]],I$15,0)</f>
        <v>Secionaliser-M272-Protection</v>
      </c>
      <c r="J61" s="143">
        <f>VLOOKUP($A61&amp;$K61,TKA[[ID Rating]:[Summ Voltage]],J$15,0)</f>
        <v>33</v>
      </c>
      <c r="K61" s="82">
        <f t="array" ref="K61">MIN(IF(TKA[Station/Feeder]=$A61,IF($F61&lt;TKA[Lowest MVA],TKA[Lowest MVA])))</f>
        <v>4.5726141319818359</v>
      </c>
    </row>
    <row r="62" spans="1:11" x14ac:dyDescent="0.25">
      <c r="A62" s="86" t="s">
        <v>172</v>
      </c>
      <c r="B62" s="96" t="str">
        <f>VLOOKUP($A62&amp;$F62,TKA[[ID Rating]:[Summ Voltage]],B$15,0)</f>
        <v>M158</v>
      </c>
      <c r="C62" s="97" t="str">
        <f>VLOOKUP($A62&amp;$F62,TKA[[ID Rating]:[Summ Voltage]],C$15,0)</f>
        <v>M148</v>
      </c>
      <c r="D62" s="71" t="str">
        <f>VLOOKUP($A62&amp;$F62,TKA[[ID Rating]:[Summ Voltage]],D$15,0)</f>
        <v>Circuit Breaker-UHT-M158-Protection</v>
      </c>
      <c r="E62" s="142">
        <f>VLOOKUP($A62&amp;$F62,TKA[[ID Rating]:[Summ Voltage]],E$15,0)</f>
        <v>11</v>
      </c>
      <c r="F62" s="81">
        <f t="array" ref="F62">MIN(IF(TKA[Station/Feeder]=$A62,TKA[Lowest MVA]))</f>
        <v>1.9052558883257651</v>
      </c>
      <c r="G62" s="96" t="str">
        <f>VLOOKUP($A62&amp;$K62,TKA[[ID Rating]:[Summ Voltage]],G$15,0)</f>
        <v>M158</v>
      </c>
      <c r="H62" s="97" t="str">
        <f>VLOOKUP($A62&amp;$K62,TKA[[ID Rating]:[Summ Voltage]],H$15,0)</f>
        <v>M148</v>
      </c>
      <c r="I62" s="71" t="str">
        <f>VLOOKUP($A62&amp;$K62,TKA[[ID Rating]:[Summ Voltage]],I$15,0)</f>
        <v>Cable-1-3c 150 mm² Al PILC</v>
      </c>
      <c r="J62" s="142">
        <f>VLOOKUP($A62&amp;$K62,TKA[[ID Rating]:[Summ Voltage]],J$15,0)</f>
        <v>11</v>
      </c>
      <c r="K62" s="81">
        <f t="array" ref="K62">MIN(IF(TKA[Station/Feeder]=$A62,IF($F62&lt;TKA[Lowest MVA],TKA[Lowest MVA])))</f>
        <v>4.9479495419820116</v>
      </c>
    </row>
    <row r="63" spans="1:11" ht="15.75" thickBot="1" x14ac:dyDescent="0.3">
      <c r="A63" s="87" t="s">
        <v>178</v>
      </c>
      <c r="B63" s="88" t="str">
        <f>VLOOKUP($A63&amp;$F63,TKA[[ID Rating]:[Summ Voltage]],B$15,0)</f>
        <v>M159</v>
      </c>
      <c r="C63" s="88" t="str">
        <f>VLOOKUP($A63&amp;$F63,TKA[[ID Rating]:[Summ Voltage]],C$15,0)</f>
        <v>M160</v>
      </c>
      <c r="D63" s="88" t="str">
        <f>VLOOKUP($A63&amp;$F63,TKA[[ID Rating]:[Summ Voltage]],D$15,0)</f>
        <v>Circuit Breaker-UHT-M159-Protection</v>
      </c>
      <c r="E63" s="145">
        <f>VLOOKUP($A63&amp;$F63,TKA[[ID Rating]:[Summ Voltage]],E$15,0)</f>
        <v>11</v>
      </c>
      <c r="F63" s="89">
        <f t="array" ref="F63">MIN(IF(TKA[Station/Feeder]=$A63,TKA[Lowest MVA]))</f>
        <v>1.9052558883257651</v>
      </c>
      <c r="G63" s="88" t="str">
        <f>VLOOKUP($A63&amp;$K63,TKA[[ID Rating]:[Summ Voltage]],G$15,0)</f>
        <v>M159</v>
      </c>
      <c r="H63" s="88" t="str">
        <f>VLOOKUP($A63&amp;$K63,TKA[[ID Rating]:[Summ Voltage]],H$15,0)</f>
        <v>M160</v>
      </c>
      <c r="I63" s="88" t="str">
        <f>VLOOKUP($A63&amp;$K63,TKA[[ID Rating]:[Summ Voltage]],I$15,0)</f>
        <v>Cable-1-3c 150 mm² Al PILC</v>
      </c>
      <c r="J63" s="145">
        <f>VLOOKUP($A63&amp;$K63,TKA[[ID Rating]:[Summ Voltage]],J$15,0)</f>
        <v>11</v>
      </c>
      <c r="K63" s="89">
        <f t="array" ref="K63">MIN(IF(TKA[Station/Feeder]=$A63,IF($F63&lt;TKA[Lowest MVA],TKA[Lowest MVA])))</f>
        <v>4.9479495419820116</v>
      </c>
    </row>
    <row r="64" spans="1:11" ht="15.75" thickBot="1" x14ac:dyDescent="0.3"/>
    <row r="65" spans="1:11" ht="15.75" customHeight="1" thickBot="1" x14ac:dyDescent="0.3">
      <c r="A65" s="518" t="s">
        <v>1135</v>
      </c>
      <c r="B65" s="519"/>
      <c r="C65" s="519"/>
      <c r="D65" s="519"/>
      <c r="E65" s="519"/>
      <c r="F65" s="519"/>
      <c r="G65" s="519"/>
      <c r="H65" s="519"/>
      <c r="I65" s="519"/>
      <c r="J65" s="519"/>
      <c r="K65" s="520"/>
    </row>
    <row r="66" spans="1:11" x14ac:dyDescent="0.25">
      <c r="A66" s="85" t="s">
        <v>77</v>
      </c>
      <c r="B66" s="98" t="str">
        <f>VLOOKUP($A66&amp;$F66,TMK[[ID Rating]:[Summ Voltage]],B$15,0)</f>
        <v>DS134</v>
      </c>
      <c r="C66" s="99" t="str">
        <f>VLOOKUP($A66&amp;$F66,TMK[[ID Rating]:[Summ Voltage]],C$15,0)</f>
        <v>33 kV Bus</v>
      </c>
      <c r="D66" s="72" t="str">
        <f>VLOOKUP($A66&amp;$F66,TMK[[ID Rating]:[Summ Voltage]],D$15,0)</f>
        <v>Circuit Breaker-TMK-CB1252-Protection</v>
      </c>
      <c r="E66" s="143">
        <f>VLOOKUP($A66&amp;$F66,TMK[[ID Rating]:[Summ Voltage]],E$15,0)</f>
        <v>33.594000000000001</v>
      </c>
      <c r="F66" s="82">
        <f t="array" ref="F66">MIN(IF(TMK[Station/Feeder]=$A66,TMK[Lowest MVA]))</f>
        <v>28.860511355416556</v>
      </c>
      <c r="G66" s="98" t="str">
        <f>VLOOKUP($A66&amp;$K66,TMK[[ID Rating]:[Summ Voltage]],G$15,0)</f>
        <v>DS134</v>
      </c>
      <c r="H66" s="99" t="str">
        <f>VLOOKUP($A66&amp;$K66,TMK[[ID Rating]:[Summ Voltage]],H$15,0)</f>
        <v>33 kV Bus</v>
      </c>
      <c r="I66" s="72" t="str">
        <f>VLOOKUP($A66&amp;$K66,TMK[[ID Rating]:[Summ Voltage]],I$15,0)</f>
        <v xml:space="preserve">Transformer-TMK-TF-T1-TapChanger </v>
      </c>
      <c r="J66" s="143">
        <f>VLOOKUP($A66&amp;$K66,TMK[[ID Rating]:[Summ Voltage]],J$15,0)</f>
        <v>110</v>
      </c>
      <c r="K66" s="82">
        <f t="array" ref="K66">MIN(IF(TMK[Station/Feeder]=$A66,IF($F66&lt;TMK[Lowest MVA],TMK[Lowest MVA])))</f>
        <v>57.157676649772945</v>
      </c>
    </row>
    <row r="67" spans="1:11" x14ac:dyDescent="0.25">
      <c r="A67" s="111" t="s">
        <v>226</v>
      </c>
      <c r="B67" s="96" t="str">
        <f>VLOOKUP($A67&amp;$F67,TMK[[ID Rating]:[Summ Voltage]],B$15,0)</f>
        <v>33 kV Bus</v>
      </c>
      <c r="C67" s="97" t="str">
        <f>VLOOKUP($A67&amp;$F67,TMK[[ID Rating]:[Summ Voltage]],C$15,0)</f>
        <v>G217</v>
      </c>
      <c r="D67" s="71" t="str">
        <f>VLOOKUP($A67&amp;$F67,TMK[[ID Rating]:[Summ Voltage]],D$15,0)</f>
        <v>OH Line-DOG</v>
      </c>
      <c r="E67" s="142">
        <f>VLOOKUP($A67&amp;$F67,TMK[[ID Rating]:[Summ Voltage]],E$15,0)</f>
        <v>33.594000000000001</v>
      </c>
      <c r="F67" s="81">
        <f t="array" ref="F67">MIN(IF(TMK[Station/Feeder]=$A67,TMK[Lowest MVA]))</f>
        <v>14.945702263633732</v>
      </c>
      <c r="G67" s="96" t="str">
        <f>VLOOKUP($A67&amp;$K67,TMK[[ID Rating]:[Summ Voltage]],G$15,0)</f>
        <v>33 kV Bus</v>
      </c>
      <c r="H67" s="97" t="str">
        <f>VLOOKUP($A67&amp;$K67,TMK[[ID Rating]:[Summ Voltage]],H$15,0)</f>
        <v>G217</v>
      </c>
      <c r="I67" s="71" t="str">
        <f>VLOOKUP($A67&amp;$K67,TMK[[ID Rating]:[Summ Voltage]],I$15,0)</f>
        <v>Cable-3-1c 400 mm² Al XLPE</v>
      </c>
      <c r="J67" s="142">
        <f>VLOOKUP($A67&amp;$K67,TMK[[ID Rating]:[Summ Voltage]],J$15,0)</f>
        <v>33.594000000000001</v>
      </c>
      <c r="K67" s="81">
        <f t="array" ref="K67">MIN(IF(TMK[Station/Feeder]=$A67,IF($F67&lt;TMK[Lowest MVA],TMK[Lowest MVA])))</f>
        <v>20.32086758727506</v>
      </c>
    </row>
    <row r="68" spans="1:11" x14ac:dyDescent="0.25">
      <c r="A68" s="86" t="s">
        <v>227</v>
      </c>
      <c r="B68" s="98" t="str">
        <f>VLOOKUP($A68&amp;$F68,TMK[[ID Rating]:[Summ Voltage]],B$15,0)</f>
        <v>33 kV Bus</v>
      </c>
      <c r="C68" s="99" t="str">
        <f>VLOOKUP($A68&amp;$F68,TMK[[ID Rating]:[Summ Voltage]],C$15,0)</f>
        <v>CBT663</v>
      </c>
      <c r="D68" s="72" t="str">
        <f>VLOOKUP($A68&amp;$F68,TMK[[ID Rating]:[Summ Voltage]],D$15,0)</f>
        <v>Cable-3-1c 400 mm² Al XLPE</v>
      </c>
      <c r="E68" s="143">
        <f>VLOOKUP($A68&amp;$F68,TMK[[ID Rating]:[Summ Voltage]],E$15,0)</f>
        <v>33.594000000000001</v>
      </c>
      <c r="F68" s="82">
        <f t="array" ref="F68">MIN(IF(TMK[Station/Feeder]=$A68,TMK[Lowest MVA]))</f>
        <v>23.693203210661636</v>
      </c>
      <c r="G68" s="98" t="str">
        <f>VLOOKUP($A68&amp;$K68,TMK[[ID Rating]:[Summ Voltage]],G$15,0)</f>
        <v>REC T663</v>
      </c>
      <c r="H68" s="99" t="str">
        <f>VLOOKUP($A68&amp;$K68,TMK[[ID Rating]:[Summ Voltage]],H$15,0)</f>
        <v>11 kV Bus</v>
      </c>
      <c r="I68" s="72" t="str">
        <f>VLOOKUP($A68&amp;$K68,TMK[[ID Rating]:[Summ Voltage]],I$15,0)</f>
        <v>Recloser-T663-Protection</v>
      </c>
      <c r="J68" s="143">
        <f>VLOOKUP($A68&amp;$K68,TMK[[ID Rating]:[Summ Voltage]],J$15,0)</f>
        <v>33.594000000000001</v>
      </c>
      <c r="K68" s="82">
        <f t="array" ref="K68">MIN(IF(TMK[Station/Feeder]=$A68,IF($F68&lt;TMK[Lowest MVA],TMK[Lowest MVA])))</f>
        <v>31.420718007913187</v>
      </c>
    </row>
    <row r="69" spans="1:11" x14ac:dyDescent="0.25">
      <c r="A69" s="86" t="s">
        <v>228</v>
      </c>
      <c r="B69" s="96" t="str">
        <f>VLOOKUP($A69&amp;$F69,TMK[[ID Rating]:[Summ Voltage]],B$15,0)</f>
        <v>Pole 02049</v>
      </c>
      <c r="C69" s="97" t="str">
        <f>VLOOKUP($A69&amp;$F69,TMK[[ID Rating]:[Summ Voltage]],C$15,0)</f>
        <v>Pole 02052</v>
      </c>
      <c r="D69" s="71" t="str">
        <f>VLOOKUP($A69&amp;$F69,TMK[[ID Rating]:[Summ Voltage]],D$15,0)</f>
        <v>OH Line-WOLF</v>
      </c>
      <c r="E69" s="142">
        <f>VLOOKUP($A69&amp;$F69,TMK[[ID Rating]:[Summ Voltage]],E$15,0)</f>
        <v>33.594000000000001</v>
      </c>
      <c r="F69" s="81">
        <f t="array" ref="F69">MIN(IF(TMK[Station/Feeder]=$A69,TMK[Lowest MVA]))</f>
        <v>28.864014078356504</v>
      </c>
      <c r="G69" s="96" t="str">
        <f>VLOOKUP($A69&amp;$K69,TMK[[ID Rating]:[Summ Voltage]],G$15,0)</f>
        <v>33 kV Bus</v>
      </c>
      <c r="H69" s="97" t="str">
        <f>VLOOKUP($A69&amp;$K69,TMK[[ID Rating]:[Summ Voltage]],H$15,0)</f>
        <v>CD1-D1246-T2</v>
      </c>
      <c r="I69" s="71" t="str">
        <f>VLOOKUP($A69&amp;$K69,TMK[[ID Rating]:[Summ Voltage]],I$15,0)</f>
        <v>Circuit Breaker-TMK-CB1272-Protection</v>
      </c>
      <c r="J69" s="142">
        <f>VLOOKUP($A69&amp;$K69,TMK[[ID Rating]:[Summ Voltage]],J$15,0)</f>
        <v>33.594000000000001</v>
      </c>
      <c r="K69" s="81">
        <f t="array" ref="K69">MIN(IF(TMK[Station/Feeder]=$A69,IF($F69&lt;TMK[Lowest MVA],TMK[Lowest MVA])))</f>
        <v>29.675122563029124</v>
      </c>
    </row>
    <row r="70" spans="1:11" x14ac:dyDescent="0.25">
      <c r="A70" s="86" t="s">
        <v>229</v>
      </c>
      <c r="B70" s="98" t="str">
        <f>VLOOKUP($A70&amp;$F70,TMK[[ID Rating]:[Summ Voltage]],B$15,0)</f>
        <v>33 kV Bus</v>
      </c>
      <c r="C70" s="99" t="str">
        <f>VLOOKUP($A70&amp;$F70,TMK[[ID Rating]:[Summ Voltage]],C$15,0)</f>
        <v>TMK-D816-T2</v>
      </c>
      <c r="D70" s="72" t="str">
        <f>VLOOKUP($A70&amp;$F70,TMK[[ID Rating]:[Summ Voltage]],D$15,0)</f>
        <v>Cable-3-1c 400 mm² Al XLPE</v>
      </c>
      <c r="E70" s="143">
        <f>VLOOKUP($A70&amp;$F70,TMK[[ID Rating]:[Summ Voltage]],E$15,0)</f>
        <v>33.594000000000001</v>
      </c>
      <c r="F70" s="82">
        <f t="array" ref="F70">MIN(IF(TMK[Station/Feeder]=$A70,TMK[Lowest MVA]))</f>
        <v>24.806664722426962</v>
      </c>
      <c r="G70" s="98" t="str">
        <f>VLOOKUP($A70&amp;$K70,TMK[[ID Rating]:[Summ Voltage]],G$15,0)</f>
        <v>33 kV Bus</v>
      </c>
      <c r="H70" s="99" t="str">
        <f>VLOOKUP($A70&amp;$K70,TMK[[ID Rating]:[Summ Voltage]],H$15,0)</f>
        <v>TMK-D816-T2</v>
      </c>
      <c r="I70" s="72" t="str">
        <f>VLOOKUP($A70&amp;$K70,TMK[[ID Rating]:[Summ Voltage]],I$15,0)</f>
        <v>Circuit Breaker-TMK-CB1262-Protection</v>
      </c>
      <c r="J70" s="143">
        <f>VLOOKUP($A70&amp;$K70,TMK[[ID Rating]:[Summ Voltage]],J$15,0)</f>
        <v>33.594000000000001</v>
      </c>
      <c r="K70" s="82">
        <f t="array" ref="K70">MIN(IF(TMK[Station/Feeder]=$A70,IF($F70&lt;TMK[Lowest MVA],TMK[Lowest MVA])))</f>
        <v>33.864551630750881</v>
      </c>
    </row>
    <row r="71" spans="1:11" x14ac:dyDescent="0.25">
      <c r="A71" s="86" t="s">
        <v>230</v>
      </c>
      <c r="B71" s="96" t="str">
        <f>VLOOKUP($A71&amp;$F71,TMK[[ID Rating]:[Summ Voltage]],B$15,0)</f>
        <v>Pole 02081</v>
      </c>
      <c r="C71" s="97" t="str">
        <f>VLOOKUP($A71&amp;$F71,TMK[[ID Rating]:[Summ Voltage]],C$15,0)</f>
        <v>CBT662</v>
      </c>
      <c r="D71" s="71" t="str">
        <f>VLOOKUP($A71&amp;$F71,TMK[[ID Rating]:[Summ Voltage]],D$15,0)</f>
        <v>Cable-3-1c 400 mm² Al XLPE</v>
      </c>
      <c r="E71" s="142">
        <f>VLOOKUP($A71&amp;$F71,TMK[[ID Rating]:[Summ Voltage]],E$15,0)</f>
        <v>33.594000000000001</v>
      </c>
      <c r="F71" s="81">
        <f t="array" ref="F71">MIN(IF(TMK[Station/Feeder]=$A71,TMK[Lowest MVA]))</f>
        <v>23.693203210661636</v>
      </c>
      <c r="G71" s="96" t="str">
        <f>VLOOKUP($A71&amp;$K71,TMK[[ID Rating]:[Summ Voltage]],G$15,0)</f>
        <v>Pole 02049</v>
      </c>
      <c r="H71" s="97" t="str">
        <f>VLOOKUP($A71&amp;$K71,TMK[[ID Rating]:[Summ Voltage]],H$15,0)</f>
        <v>Pole 02053</v>
      </c>
      <c r="I71" s="71" t="str">
        <f>VLOOKUP($A71&amp;$K71,TMK[[ID Rating]:[Summ Voltage]],I$15,0)</f>
        <v>OH Line-WOLF</v>
      </c>
      <c r="J71" s="142">
        <f>VLOOKUP($A71&amp;$K71,TMK[[ID Rating]:[Summ Voltage]],J$15,0)</f>
        <v>33.594000000000001</v>
      </c>
      <c r="K71" s="81">
        <f t="array" ref="K71">MIN(IF(TMK[Station/Feeder]=$A71,IF($F71&lt;TMK[Lowest MVA],TMK[Lowest MVA])))</f>
        <v>28.864014078356504</v>
      </c>
    </row>
    <row r="72" spans="1:11" x14ac:dyDescent="0.25">
      <c r="A72" s="86" t="s">
        <v>231</v>
      </c>
      <c r="B72" s="98" t="str">
        <f>VLOOKUP($A72&amp;$F72,TMK[[ID Rating]:[Summ Voltage]],B$15,0)</f>
        <v>33 kV Bus</v>
      </c>
      <c r="C72" s="99" t="str">
        <f>VLOOKUP($A72&amp;$F72,TMK[[ID Rating]:[Summ Voltage]],C$15,0)</f>
        <v>TMK-D816-T1</v>
      </c>
      <c r="D72" s="72" t="str">
        <f>VLOOKUP($A72&amp;$F72,TMK[[ID Rating]:[Summ Voltage]],D$15,0)</f>
        <v>Cable-3-1c 400 mm² Al XLPE</v>
      </c>
      <c r="E72" s="143">
        <f>VLOOKUP($A72&amp;$F72,TMK[[ID Rating]:[Summ Voltage]],E$15,0)</f>
        <v>33.594000000000001</v>
      </c>
      <c r="F72" s="82">
        <f t="array" ref="F72">MIN(IF(TMK[Station/Feeder]=$A72,TMK[Lowest MVA]))</f>
        <v>24.806664722426962</v>
      </c>
      <c r="G72" s="98" t="str">
        <f>VLOOKUP($A72&amp;$K72,TMK[[ID Rating]:[Summ Voltage]],G$15,0)</f>
        <v>33 kV Bus</v>
      </c>
      <c r="H72" s="99" t="str">
        <f>VLOOKUP($A72&amp;$K72,TMK[[ID Rating]:[Summ Voltage]],H$15,0)</f>
        <v>TMK-D816-T1</v>
      </c>
      <c r="I72" s="72" t="str">
        <f>VLOOKUP($A72&amp;$K72,TMK[[ID Rating]:[Summ Voltage]],I$15,0)</f>
        <v>Circuit Breaker-TMK-CB1212-Protection</v>
      </c>
      <c r="J72" s="143">
        <f>VLOOKUP($A72&amp;$K72,TMK[[ID Rating]:[Summ Voltage]],J$15,0)</f>
        <v>33.594000000000001</v>
      </c>
      <c r="K72" s="82">
        <f t="array" ref="K72">MIN(IF(TMK[Station/Feeder]=$A72,IF($F72&lt;TMK[Lowest MVA],TMK[Lowest MVA])))</f>
        <v>33.864551630750881</v>
      </c>
    </row>
    <row r="73" spans="1:11" x14ac:dyDescent="0.25">
      <c r="A73" s="86" t="s">
        <v>232</v>
      </c>
      <c r="B73" s="96" t="str">
        <f>VLOOKUP($A73&amp;$F73,TMK[[ID Rating]:[Summ Voltage]],B$15,0)</f>
        <v>T557</v>
      </c>
      <c r="C73" s="97" t="str">
        <f>VLOOKUP($A73&amp;$F73,TMK[[ID Rating]:[Summ Voltage]],C$15,0)</f>
        <v>G127</v>
      </c>
      <c r="D73" s="71" t="str">
        <f>VLOOKUP($A73&amp;$F73,TMK[[ID Rating]:[Summ Voltage]],D$15,0)</f>
        <v>Cable-1-3c 95 mm² Al XLPE</v>
      </c>
      <c r="E73" s="142">
        <f>VLOOKUP($A73&amp;$F73,TMK[[ID Rating]:[Summ Voltage]],E$15,0)</f>
        <v>33.594000000000001</v>
      </c>
      <c r="F73" s="81">
        <f t="array" ref="F73">MIN(IF(TMK[Station/Feeder]=$A73,TMK[Lowest MVA]))</f>
        <v>12.058038017322694</v>
      </c>
      <c r="G73" s="96" t="str">
        <f>VLOOKUP($A73&amp;$K73,TMK[[ID Rating]:[Summ Voltage]],G$15,0)</f>
        <v>T557</v>
      </c>
      <c r="H73" s="97" t="str">
        <f>VLOOKUP($A73&amp;$K73,TMK[[ID Rating]:[Summ Voltage]],H$15,0)</f>
        <v>G127</v>
      </c>
      <c r="I73" s="71" t="str">
        <f>VLOOKUP($A73&amp;$K73,TMK[[ID Rating]:[Summ Voltage]],I$15,0)</f>
        <v>OH Line-DOG</v>
      </c>
      <c r="J73" s="142">
        <f>VLOOKUP($A73&amp;$K73,TMK[[ID Rating]:[Summ Voltage]],J$15,0)</f>
        <v>33.594000000000001</v>
      </c>
      <c r="K73" s="81">
        <f t="array" ref="K73">MIN(IF(TMK[Station/Feeder]=$A73,IF($F73&lt;TMK[Lowest MVA],TMK[Lowest MVA])))</f>
        <v>14.945702263633732</v>
      </c>
    </row>
    <row r="74" spans="1:11" ht="15.75" thickBot="1" x14ac:dyDescent="0.3">
      <c r="A74" s="86" t="s">
        <v>233</v>
      </c>
      <c r="B74" s="98" t="str">
        <f>VLOOKUP($A74&amp;$F74,TMK[[ID Rating]:[Summ Voltage]],B$15,0)</f>
        <v>33 kV Bus</v>
      </c>
      <c r="C74" s="99" t="str">
        <f>VLOOKUP($A74&amp;$F74,TMK[[ID Rating]:[Summ Voltage]],C$15,0)</f>
        <v>Pole 02081</v>
      </c>
      <c r="D74" s="72" t="str">
        <f>VLOOKUP($A74&amp;$F74,TMK[[ID Rating]:[Summ Voltage]],D$15,0)</f>
        <v>Cable-3-1c 400 mm² Al XLPE</v>
      </c>
      <c r="E74" s="143">
        <f>VLOOKUP($A74&amp;$F74,TMK[[ID Rating]:[Summ Voltage]],E$15,0)</f>
        <v>33.594000000000001</v>
      </c>
      <c r="F74" s="82">
        <f t="array" ref="F74">MIN(IF(TMK[Station/Feeder]=$A74,TMK[Lowest MVA]))</f>
        <v>23.693203210661636</v>
      </c>
      <c r="G74" s="98" t="str">
        <f>VLOOKUP($A74&amp;$K74,TMK[[ID Rating]:[Summ Voltage]],G$15,0)</f>
        <v>33 kV Bus</v>
      </c>
      <c r="H74" s="99" t="str">
        <f>VLOOKUP($A74&amp;$K74,TMK[[ID Rating]:[Summ Voltage]],H$15,0)</f>
        <v>CD1-D1246-T1</v>
      </c>
      <c r="I74" s="72" t="str">
        <f>VLOOKUP($A74&amp;$K74,TMK[[ID Rating]:[Summ Voltage]],I$15,0)</f>
        <v>Circuit Breaker-TMK-CB1192-Protection</v>
      </c>
      <c r="J74" s="143">
        <f>VLOOKUP($A74&amp;$K74,TMK[[ID Rating]:[Summ Voltage]],J$15,0)</f>
        <v>33.594000000000001</v>
      </c>
      <c r="K74" s="82">
        <f t="array" ref="K74">MIN(IF(TMK[Station/Feeder]=$A74,IF($F74&lt;TMK[Lowest MVA],TMK[Lowest MVA])))</f>
        <v>29.675122563029124</v>
      </c>
    </row>
    <row r="75" spans="1:11" ht="15.75" thickBot="1" x14ac:dyDescent="0.3">
      <c r="A75" s="90"/>
      <c r="B75" s="100"/>
      <c r="C75" s="100"/>
      <c r="D75" s="91"/>
      <c r="E75" s="92"/>
      <c r="F75" s="92"/>
      <c r="G75" s="100"/>
      <c r="H75" s="100"/>
      <c r="I75" s="91"/>
      <c r="J75" s="92"/>
      <c r="K75" s="93"/>
    </row>
    <row r="76" spans="1:11" x14ac:dyDescent="0.25">
      <c r="A76" s="86" t="s">
        <v>1138</v>
      </c>
      <c r="B76" s="98" t="str">
        <f>VLOOKUP($A76&amp;$F76,TMK[[ID Rating]:[Summ Voltage]],B$15,0)</f>
        <v>TMK-D816-T1</v>
      </c>
      <c r="C76" s="99" t="str">
        <f>VLOOKUP($A76&amp;$F76,TMK[[ID Rating]:[Summ Voltage]],C$15,0)</f>
        <v>11 kV Bus</v>
      </c>
      <c r="D76" s="72" t="str">
        <f>VLOOKUP($A76&amp;$F76,TMK[[ID Rating]:[Summ Voltage]],D$15,0)</f>
        <v>Cable-6-1c 500 mm² Cu XLPE</v>
      </c>
      <c r="E76" s="143">
        <f>VLOOKUP($A76&amp;$F76,TMK[[ID Rating]:[Summ Voltage]],E$15,0)</f>
        <v>11</v>
      </c>
      <c r="F76" s="82">
        <f t="array" ref="F76">MIN(IF(TMK[Station/Feeder]=$A76,TMK[Lowest MVA]))</f>
        <v>19.852519404707252</v>
      </c>
      <c r="G76" s="98" t="str">
        <f>VLOOKUP($A76&amp;$K76,TMK[[ID Rating]:[Summ Voltage]],G$15,0)</f>
        <v>TMK-D816-T1</v>
      </c>
      <c r="H76" s="99" t="str">
        <f>VLOOKUP($A76&amp;$K76,TMK[[ID Rating]:[Summ Voltage]],H$15,0)</f>
        <v>11 kV Bus</v>
      </c>
      <c r="I76" s="72" t="str">
        <f>VLOOKUP($A76&amp;$K76,TMK[[ID Rating]:[Summ Voltage]],I$15,0)</f>
        <v>Circuit Breaker-TMK-CB4-Protection</v>
      </c>
      <c r="J76" s="143">
        <f>VLOOKUP($A76&amp;$K76,TMK[[ID Rating]:[Summ Voltage]],J$15,0)</f>
        <v>11</v>
      </c>
      <c r="K76" s="82">
        <f t="array" ref="K76">MIN(IF(TMK[Station/Feeder]=$A76,IF($F76&lt;TMK[Lowest MVA],TMK[Lowest MVA])))</f>
        <v>20.576763593918262</v>
      </c>
    </row>
    <row r="77" spans="1:11" x14ac:dyDescent="0.25">
      <c r="A77" s="86" t="s">
        <v>97</v>
      </c>
      <c r="B77" s="96" t="str">
        <f>VLOOKUP($A77&amp;$F77,TMK[[ID Rating]:[Summ Voltage]],B$15,0)</f>
        <v>11 kV Bus</v>
      </c>
      <c r="C77" s="97" t="str">
        <f>VLOOKUP($A77&amp;$F77,TMK[[ID Rating]:[Summ Voltage]],C$15,0)</f>
        <v>T200</v>
      </c>
      <c r="D77" s="71" t="str">
        <f>VLOOKUP($A77&amp;$F77,TMK[[ID Rating]:[Summ Voltage]],D$15,0)</f>
        <v>Cable-1-3c 300 mm² Al XLPE HD</v>
      </c>
      <c r="E77" s="142">
        <f>VLOOKUP($A77&amp;$F77,TMK[[ID Rating]:[Summ Voltage]],E$15,0)</f>
        <v>11</v>
      </c>
      <c r="F77" s="81">
        <f t="array" ref="F77">MIN(IF(TMK[Station/Feeder]=$A77,TMK[Lowest MVA]))</f>
        <v>4.9406825650093298</v>
      </c>
      <c r="G77" s="96" t="str">
        <f>VLOOKUP($A77&amp;$K77,TMK[[ID Rating]:[Summ Voltage]],G$15,0)</f>
        <v>T200</v>
      </c>
      <c r="H77" s="97" t="str">
        <f>VLOOKUP($A77&amp;$K77,TMK[[ID Rating]:[Summ Voltage]],H$15,0)</f>
        <v>T201</v>
      </c>
      <c r="I77" s="71" t="str">
        <f>VLOOKUP($A77&amp;$K77,TMK[[ID Rating]:[Summ Voltage]],I$15,0)</f>
        <v>OH Line-CHAFER</v>
      </c>
      <c r="J77" s="142">
        <f>VLOOKUP($A77&amp;$K77,TMK[[ID Rating]:[Summ Voltage]],J$15,0)</f>
        <v>11</v>
      </c>
      <c r="K77" s="81">
        <f t="array" ref="K77">MIN(IF(TMK[Station/Feeder]=$A77,IF($F77&lt;TMK[Lowest MVA],TMK[Lowest MVA])))</f>
        <v>7.3943903990836004</v>
      </c>
    </row>
    <row r="78" spans="1:11" x14ac:dyDescent="0.25">
      <c r="A78" s="86" t="s">
        <v>109</v>
      </c>
      <c r="B78" s="98" t="str">
        <f>VLOOKUP($A78&amp;$F78,TMK[[ID Rating]:[Summ Voltage]],B$15,0)</f>
        <v>11 kV Bus</v>
      </c>
      <c r="C78" s="99" t="str">
        <f>VLOOKUP($A78&amp;$F78,TMK[[ID Rating]:[Summ Voltage]],C$15,0)</f>
        <v>T500</v>
      </c>
      <c r="D78" s="72" t="str">
        <f>VLOOKUP($A78&amp;$F78,TMK[[ID Rating]:[Summ Voltage]],D$15,0)</f>
        <v>Cable-1-3c 150 mm² Al PILC</v>
      </c>
      <c r="E78" s="143">
        <f>VLOOKUP($A78&amp;$F78,TMK[[ID Rating]:[Summ Voltage]],E$15,0)</f>
        <v>11</v>
      </c>
      <c r="F78" s="82">
        <f t="array" ref="F78">MIN(IF(TMK[Station/Feeder]=$A78,TMK[Lowest MVA]))</f>
        <v>3.0371305626281191</v>
      </c>
      <c r="G78" s="98" t="str">
        <f>VLOOKUP($A78&amp;$K78,TMK[[ID Rating]:[Summ Voltage]],G$15,0)</f>
        <v>T500</v>
      </c>
      <c r="H78" s="99" t="str">
        <f>VLOOKUP($A78&amp;$K78,TMK[[ID Rating]:[Summ Voltage]],H$15,0)</f>
        <v>T120</v>
      </c>
      <c r="I78" s="72" t="str">
        <f>VLOOKUP($A78&amp;$K78,TMK[[ID Rating]:[Summ Voltage]],I$15,0)</f>
        <v>OH Line-DOG</v>
      </c>
      <c r="J78" s="143">
        <f>VLOOKUP($A78&amp;$K78,TMK[[ID Rating]:[Summ Voltage]],J$15,0)</f>
        <v>11</v>
      </c>
      <c r="K78" s="82">
        <f t="array" ref="K78">MIN(IF(TMK[Station/Feeder]=$A78,IF($F78&lt;TMK[Lowest MVA],TMK[Lowest MVA])))</f>
        <v>4.8938121360948701</v>
      </c>
    </row>
    <row r="79" spans="1:11" x14ac:dyDescent="0.25">
      <c r="A79" s="86" t="s">
        <v>120</v>
      </c>
      <c r="B79" s="96" t="str">
        <f>VLOOKUP($A79&amp;$F79,TMK[[ID Rating]:[Summ Voltage]],B$15,0)</f>
        <v>Pole 47049</v>
      </c>
      <c r="C79" s="97" t="str">
        <f>VLOOKUP($A79&amp;$F79,TMK[[ID Rating]:[Summ Voltage]],C$15,0)</f>
        <v>T548</v>
      </c>
      <c r="D79" s="71" t="str">
        <f>VLOOKUP($A79&amp;$F79,TMK[[ID Rating]:[Summ Voltage]],D$15,0)</f>
        <v>Link-T546</v>
      </c>
      <c r="E79" s="142">
        <f>VLOOKUP($A79&amp;$F79,TMK[[ID Rating]:[Summ Voltage]],E$15,0)</f>
        <v>11</v>
      </c>
      <c r="F79" s="81">
        <f t="array" ref="F79">MIN(IF(TMK[Station/Feeder]=$A79,TMK[Lowest MVA]))</f>
        <v>5.715767664977295</v>
      </c>
      <c r="G79" s="96" t="str">
        <f>VLOOKUP($A79&amp;$K79,TMK[[ID Rating]:[Summ Voltage]],G$15,0)</f>
        <v>Pole 47049</v>
      </c>
      <c r="H79" s="97" t="str">
        <f>VLOOKUP($A79&amp;$K79,TMK[[ID Rating]:[Summ Voltage]],H$15,0)</f>
        <v>T548</v>
      </c>
      <c r="I79" s="71" t="str">
        <f>VLOOKUP($A79&amp;$K79,TMK[[ID Rating]:[Summ Voltage]],I$15,0)</f>
        <v>OH Line-JAGUAR</v>
      </c>
      <c r="J79" s="142">
        <f>VLOOKUP($A79&amp;$K79,TMK[[ID Rating]:[Summ Voltage]],J$15,0)</f>
        <v>11</v>
      </c>
      <c r="K79" s="81">
        <f t="array" ref="K79">MIN(IF(TMK[Station/Feeder]=$A79,IF($F79&lt;TMK[Lowest MVA],TMK[Lowest MVA])))</f>
        <v>7.3719736777184455</v>
      </c>
    </row>
    <row r="80" spans="1:11" x14ac:dyDescent="0.25">
      <c r="A80" s="86" t="s">
        <v>130</v>
      </c>
      <c r="B80" s="98" t="str">
        <f>VLOOKUP($A80&amp;$F80,TMK[[ID Rating]:[Summ Voltage]],B$15,0)</f>
        <v>Pole 47048</v>
      </c>
      <c r="C80" s="99" t="str">
        <f>VLOOKUP($A80&amp;$F80,TMK[[ID Rating]:[Summ Voltage]],C$15,0)</f>
        <v>T549</v>
      </c>
      <c r="D80" s="72" t="str">
        <f>VLOOKUP($A80&amp;$F80,TMK[[ID Rating]:[Summ Voltage]],D$15,0)</f>
        <v>Link-T547</v>
      </c>
      <c r="E80" s="143">
        <f>VLOOKUP($A80&amp;$F80,TMK[[ID Rating]:[Summ Voltage]],E$15,0)</f>
        <v>11</v>
      </c>
      <c r="F80" s="82">
        <f t="array" ref="F80">MIN(IF(TMK[Station/Feeder]=$A80,TMK[Lowest MVA]))</f>
        <v>5.715767664977295</v>
      </c>
      <c r="G80" s="98" t="str">
        <f>VLOOKUP($A80&amp;$K80,TMK[[ID Rating]:[Summ Voltage]],G$15,0)</f>
        <v>Pole 47048</v>
      </c>
      <c r="H80" s="99" t="str">
        <f>VLOOKUP($A80&amp;$K80,TMK[[ID Rating]:[Summ Voltage]],H$15,0)</f>
        <v>T549</v>
      </c>
      <c r="I80" s="72" t="str">
        <f>VLOOKUP($A80&amp;$K80,TMK[[ID Rating]:[Summ Voltage]],I$15,0)</f>
        <v>OH Line-JAGUAR</v>
      </c>
      <c r="J80" s="143">
        <f>VLOOKUP($A80&amp;$K80,TMK[[ID Rating]:[Summ Voltage]],J$15,0)</f>
        <v>11</v>
      </c>
      <c r="K80" s="82">
        <f t="array" ref="K80">MIN(IF(TMK[Station/Feeder]=$A80,IF($F80&lt;TMK[Lowest MVA],TMK[Lowest MVA])))</f>
        <v>7.3719736777184455</v>
      </c>
    </row>
    <row r="81" spans="1:11" x14ac:dyDescent="0.25">
      <c r="A81" s="86" t="s">
        <v>136</v>
      </c>
      <c r="B81" s="96" t="str">
        <f>VLOOKUP($A81&amp;$F81,TMK[[ID Rating]:[Summ Voltage]],B$15,0)</f>
        <v>T102</v>
      </c>
      <c r="C81" s="97" t="str">
        <f>VLOOKUP($A81&amp;$F81,TMK[[ID Rating]:[Summ Voltage]],C$15,0)</f>
        <v>Pole 36752</v>
      </c>
      <c r="D81" s="71" t="str">
        <f>VLOOKUP($A81&amp;$F81,TMK[[ID Rating]:[Summ Voltage]],D$15,0)</f>
        <v>OH Line-7/0.136 Cu</v>
      </c>
      <c r="E81" s="142">
        <f>VLOOKUP($A81&amp;$F81,TMK[[ID Rating]:[Summ Voltage]],E$15,0)</f>
        <v>11</v>
      </c>
      <c r="F81" s="81">
        <f t="array" ref="F81">MIN(IF(TMK[Station/Feeder]=$A81,TMK[Lowest MVA]))</f>
        <v>4.5916666908650932</v>
      </c>
      <c r="G81" s="96" t="str">
        <f>VLOOKUP($A81&amp;$K81,TMK[[ID Rating]:[Summ Voltage]],G$15,0)</f>
        <v>11 kV Bus</v>
      </c>
      <c r="H81" s="97" t="str">
        <f>VLOOKUP($A81&amp;$K81,TMK[[ID Rating]:[Summ Voltage]],H$15,0)</f>
        <v>T101</v>
      </c>
      <c r="I81" s="71" t="str">
        <f>VLOOKUP($A81&amp;$K81,TMK[[ID Rating]:[Summ Voltage]],I$15,0)</f>
        <v>Cable-1-3c 300 mm² Al PILC</v>
      </c>
      <c r="J81" s="142">
        <f>VLOOKUP($A81&amp;$K81,TMK[[ID Rating]:[Summ Voltage]],J$15,0)</f>
        <v>11</v>
      </c>
      <c r="K81" s="81">
        <f t="array" ref="K81">MIN(IF(TMK[Station/Feeder]=$A81,IF($F81&lt;TMK[Lowest MVA],TMK[Lowest MVA])))</f>
        <v>6.1371752107666087</v>
      </c>
    </row>
    <row r="82" spans="1:11" ht="15.75" thickBot="1" x14ac:dyDescent="0.3">
      <c r="A82" s="86" t="s">
        <v>140</v>
      </c>
      <c r="B82" s="98" t="str">
        <f>VLOOKUP($A82&amp;$F82,TMK[[ID Rating]:[Summ Voltage]],B$15,0)</f>
        <v>T300</v>
      </c>
      <c r="C82" s="99" t="str">
        <f>VLOOKUP($A82&amp;$F82,TMK[[ID Rating]:[Summ Voltage]],C$15,0)</f>
        <v>Pole 36779</v>
      </c>
      <c r="D82" s="72" t="str">
        <f>VLOOKUP($A82&amp;$F82,TMK[[ID Rating]:[Summ Voltage]],D$15,0)</f>
        <v>OH Line-19/16 Cu</v>
      </c>
      <c r="E82" s="143">
        <f>VLOOKUP($A82&amp;$F82,TMK[[ID Rating]:[Summ Voltage]],E$15,0)</f>
        <v>11</v>
      </c>
      <c r="F82" s="82">
        <f t="array" ref="F82">MIN(IF(TMK[Station/Feeder]=$A82,TMK[Lowest MVA]))</f>
        <v>3.3532503634533466</v>
      </c>
      <c r="G82" s="98" t="str">
        <f>VLOOKUP($A82&amp;$K82,TMK[[ID Rating]:[Summ Voltage]],G$15,0)</f>
        <v>11 kV Bus</v>
      </c>
      <c r="H82" s="99" t="str">
        <f>VLOOKUP($A82&amp;$K82,TMK[[ID Rating]:[Summ Voltage]],H$15,0)</f>
        <v>T300</v>
      </c>
      <c r="I82" s="72" t="str">
        <f>VLOOKUP($A82&amp;$K82,TMK[[ID Rating]:[Summ Voltage]],I$15,0)</f>
        <v>Cable-1-3c 240 mm² Al PILC</v>
      </c>
      <c r="J82" s="143">
        <f>VLOOKUP($A82&amp;$K82,TMK[[ID Rating]:[Summ Voltage]],J$15,0)</f>
        <v>11</v>
      </c>
      <c r="K82" s="82">
        <f t="array" ref="K82">MIN(IF(TMK[Station/Feeder]=$A82,IF($F82&lt;TMK[Lowest MVA],TMK[Lowest MVA])))</f>
        <v>5.6815530797347398</v>
      </c>
    </row>
    <row r="83" spans="1:11" ht="15.75" thickBot="1" x14ac:dyDescent="0.3">
      <c r="A83" s="90"/>
      <c r="B83" s="100"/>
      <c r="C83" s="100"/>
      <c r="D83" s="91"/>
      <c r="E83" s="92"/>
      <c r="F83" s="92"/>
      <c r="G83" s="100"/>
      <c r="H83" s="100"/>
      <c r="I83" s="91"/>
      <c r="J83" s="92"/>
      <c r="K83" s="93"/>
    </row>
    <row r="84" spans="1:11" x14ac:dyDescent="0.25">
      <c r="A84" s="86" t="s">
        <v>85</v>
      </c>
      <c r="B84" s="98" t="str">
        <f>VLOOKUP($A84&amp;$F84,TMK[[ID Rating]:[Summ Voltage]],B$15,0)</f>
        <v>G217</v>
      </c>
      <c r="C84" s="99" t="str">
        <f>VLOOKUP($A84&amp;$F84,TMK[[ID Rating]:[Summ Voltage]],C$15,0)</f>
        <v>G222</v>
      </c>
      <c r="D84" s="72" t="str">
        <f>VLOOKUP($A84&amp;$F84,TMK[[ID Rating]:[Summ Voltage]],D$15,0)</f>
        <v>Circuit Breaker-GLD-G260-Protection</v>
      </c>
      <c r="E84" s="143">
        <f>VLOOKUP($A84&amp;$F84,TMK[[ID Rating]:[Summ Voltage]],E$15,0)</f>
        <v>11.055</v>
      </c>
      <c r="F84" s="82">
        <f t="array" ref="F84">MIN(IF(TMK[Station/Feeder]=$A84,TMK[Lowest MVA]))</f>
        <v>12.063127656934579</v>
      </c>
      <c r="G84" s="98" t="str">
        <f>VLOOKUP($A84&amp;$K84,TMK[[ID Rating]:[Summ Voltage]],G$15,0)</f>
        <v>33 kV Bus</v>
      </c>
      <c r="H84" s="99" t="str">
        <f>VLOOKUP($A84&amp;$K84,TMK[[ID Rating]:[Summ Voltage]],H$15,0)</f>
        <v>G217</v>
      </c>
      <c r="I84" s="72" t="str">
        <f>VLOOKUP($A84&amp;$K84,TMK[[ID Rating]:[Summ Voltage]],I$15,0)</f>
        <v>OH Line-DOG</v>
      </c>
      <c r="J84" s="143">
        <f>VLOOKUP($A84&amp;$K84,TMK[[ID Rating]:[Summ Voltage]],J$15,0)</f>
        <v>33.594000000000001</v>
      </c>
      <c r="K84" s="82">
        <f t="array" ref="K84">MIN(IF(TMK[Station/Feeder]=$A84,IF($F84&lt;TMK[Lowest MVA],TMK[Lowest MVA])))</f>
        <v>14.945702263633732</v>
      </c>
    </row>
    <row r="85" spans="1:11" x14ac:dyDescent="0.25">
      <c r="A85" s="86" t="s">
        <v>96</v>
      </c>
      <c r="B85" s="96" t="str">
        <f>VLOOKUP($A85&amp;$F85,TMK[[ID Rating]:[Summ Voltage]],B$15,0)</f>
        <v>G222</v>
      </c>
      <c r="C85" s="97" t="str">
        <f>VLOOKUP($A85&amp;$F85,TMK[[ID Rating]:[Summ Voltage]],C$15,0)</f>
        <v>Pole 03224</v>
      </c>
      <c r="D85" s="71" t="str">
        <f>VLOOKUP($A85&amp;$F85,TMK[[ID Rating]:[Summ Voltage]],D$15,0)</f>
        <v>OH Line-MINK</v>
      </c>
      <c r="E85" s="142">
        <f>VLOOKUP($A85&amp;$F85,TMK[[ID Rating]:[Summ Voltage]],E$15,0)</f>
        <v>11.055</v>
      </c>
      <c r="F85" s="81">
        <f t="array" ref="F85">MIN(IF(TMK[Station/Feeder]=$A85,TMK[Lowest MVA]))</f>
        <v>3.6117886387159737</v>
      </c>
      <c r="G85" s="96" t="str">
        <f>VLOOKUP($A85&amp;$K85,TMK[[ID Rating]:[Summ Voltage]],G$15,0)</f>
        <v>G195</v>
      </c>
      <c r="H85" s="97" t="str">
        <f>VLOOKUP($A85&amp;$K85,TMK[[ID Rating]:[Summ Voltage]],H$15,0)</f>
        <v>G318</v>
      </c>
      <c r="I85" s="71" t="str">
        <f>VLOOKUP($A85&amp;$K85,TMK[[ID Rating]:[Summ Voltage]],I$15,0)</f>
        <v xml:space="preserve">OH Line - 70mm2 - </v>
      </c>
      <c r="J85" s="142">
        <f>VLOOKUP($A85&amp;$K85,TMK[[ID Rating]:[Summ Voltage]],J$15,0)</f>
        <v>11.055</v>
      </c>
      <c r="K85" s="81">
        <f t="array" ref="K85">MIN(IF(TMK[Station/Feeder]=$A85,IF($F85&lt;TMK[Lowest MVA],TMK[Lowest MVA])))</f>
        <v>4.7295119543854627</v>
      </c>
    </row>
    <row r="86" spans="1:11" x14ac:dyDescent="0.25">
      <c r="A86" s="86" t="s">
        <v>108</v>
      </c>
      <c r="B86" s="98" t="str">
        <f>VLOOKUP($A86&amp;$F86,TMK[[ID Rating]:[Summ Voltage]],B$15,0)</f>
        <v>G192</v>
      </c>
      <c r="C86" s="99" t="str">
        <f>VLOOKUP($A86&amp;$F86,TMK[[ID Rating]:[Summ Voltage]],C$15,0)</f>
        <v>G320</v>
      </c>
      <c r="D86" s="72" t="str">
        <f>VLOOKUP($A86&amp;$F86,TMK[[ID Rating]:[Summ Voltage]],D$15,0)</f>
        <v>OH Line-7/0.136 Cu</v>
      </c>
      <c r="E86" s="143">
        <f>VLOOKUP($A86&amp;$F86,TMK[[ID Rating]:[Summ Voltage]],E$15,0)</f>
        <v>11.055</v>
      </c>
      <c r="F86" s="82">
        <f t="array" ref="F86">MIN(IF(TMK[Station/Feeder]=$A86,TMK[Lowest MVA]))</f>
        <v>4.6146250243194187</v>
      </c>
      <c r="G86" s="98" t="str">
        <f>VLOOKUP($A86&amp;$K86,TMK[[ID Rating]:[Summ Voltage]],G$15,0)</f>
        <v>G320</v>
      </c>
      <c r="H86" s="99" t="str">
        <f>VLOOKUP($A86&amp;$K86,TMK[[ID Rating]:[Summ Voltage]],H$15,0)</f>
        <v>G278</v>
      </c>
      <c r="I86" s="72" t="str">
        <f>VLOOKUP($A86&amp;$K86,TMK[[ID Rating]:[Summ Voltage]],I$15,0)</f>
        <v>OH Line - 70mm2</v>
      </c>
      <c r="J86" s="143">
        <f>VLOOKUP($A86&amp;$K86,TMK[[ID Rating]:[Summ Voltage]],J$15,0)</f>
        <v>11.055</v>
      </c>
      <c r="K86" s="82">
        <f t="array" ref="K86">MIN(IF(TMK[Station/Feeder]=$A86,IF($F86&lt;TMK[Lowest MVA],TMK[Lowest MVA])))</f>
        <v>4.7295119543854627</v>
      </c>
    </row>
    <row r="87" spans="1:11" ht="15.75" thickBot="1" x14ac:dyDescent="0.3">
      <c r="A87" s="86" t="s">
        <v>119</v>
      </c>
      <c r="B87" s="96" t="str">
        <f>VLOOKUP($A87&amp;$F87,TMK[[ID Rating]:[Summ Voltage]],B$15,0)</f>
        <v>G222</v>
      </c>
      <c r="C87" s="97" t="str">
        <f>VLOOKUP($A87&amp;$F87,TMK[[ID Rating]:[Summ Voltage]],C$15,0)</f>
        <v>G277</v>
      </c>
      <c r="D87" s="71" t="str">
        <f>VLOOKUP($A87&amp;$F87,TMK[[ID Rating]:[Summ Voltage]],D$15,0)</f>
        <v>OH Line-7/0.136 Cu</v>
      </c>
      <c r="E87" s="142">
        <f>VLOOKUP($A87&amp;$F87,TMK[[ID Rating]:[Summ Voltage]],E$15,0)</f>
        <v>11.055</v>
      </c>
      <c r="F87" s="81">
        <f t="array" ref="F87">MIN(IF(TMK[Station/Feeder]=$A87,TMK[Lowest MVA]))</f>
        <v>4.6146250243194187</v>
      </c>
      <c r="G87" s="96" t="str">
        <f>VLOOKUP($A87&amp;$K87,TMK[[ID Rating]:[Summ Voltage]],G$15,0)</f>
        <v>G222</v>
      </c>
      <c r="H87" s="97" t="str">
        <f>VLOOKUP($A87&amp;$K87,TMK[[ID Rating]:[Summ Voltage]],H$15,0)</f>
        <v>G277</v>
      </c>
      <c r="I87" s="71" t="str">
        <f>VLOOKUP($A87&amp;$K87,TMK[[ID Rating]:[Summ Voltage]],I$15,0)</f>
        <v>Link-G277</v>
      </c>
      <c r="J87" s="142">
        <f>VLOOKUP($A87&amp;$K87,TMK[[ID Rating]:[Summ Voltage]],J$15,0)</f>
        <v>11.055</v>
      </c>
      <c r="K87" s="81">
        <f t="array" ref="K87">MIN(IF(TMK[Station/Feeder]=$A87,IF($F87&lt;TMK[Lowest MVA],TMK[Lowest MVA])))</f>
        <v>5.7443465033021814</v>
      </c>
    </row>
    <row r="88" spans="1:11" ht="15.75" thickBot="1" x14ac:dyDescent="0.3">
      <c r="A88" s="90"/>
      <c r="B88" s="100"/>
      <c r="C88" s="100"/>
      <c r="D88" s="91"/>
      <c r="E88" s="92"/>
      <c r="F88" s="92"/>
      <c r="G88" s="100"/>
      <c r="H88" s="100"/>
      <c r="I88" s="91"/>
      <c r="J88" s="92"/>
      <c r="K88" s="93"/>
    </row>
    <row r="89" spans="1:11" x14ac:dyDescent="0.25">
      <c r="A89" s="86" t="s">
        <v>86</v>
      </c>
      <c r="B89" s="98" t="str">
        <f>VLOOKUP($A89&amp;$F89,TMK[[ID Rating]:[Summ Voltage]],B$15,0)</f>
        <v>Pole 02052</v>
      </c>
      <c r="C89" s="99" t="str">
        <f>VLOOKUP($A89&amp;$F89,TMK[[ID Rating]:[Summ Voltage]],C$15,0)</f>
        <v>CB1416</v>
      </c>
      <c r="D89" s="72" t="str">
        <f>VLOOKUP($A89&amp;$F89,TMK[[ID Rating]:[Summ Voltage]],D$15,0)</f>
        <v>AEL-Fonterra Contractual-10 MW Limit</v>
      </c>
      <c r="E89" s="143">
        <f>VLOOKUP($A89&amp;$F89,TMK[[ID Rating]:[Summ Voltage]],E$15,0)</f>
        <v>33.594000000000001</v>
      </c>
      <c r="F89" s="82">
        <f t="array" ref="F89">MIN(IF(TMK[Station/Feeder]=$A89,TMK[Lowest MVA]))</f>
        <v>10</v>
      </c>
      <c r="G89" s="98" t="str">
        <f>VLOOKUP($A89&amp;$K89,TMK[[ID Rating]:[Summ Voltage]],G$15,0)</f>
        <v>ABS1524</v>
      </c>
      <c r="H89" s="99" t="str">
        <f>VLOOKUP($A89&amp;$K89,TMK[[ID Rating]:[Summ Voltage]],H$15,0)</f>
        <v>CB35</v>
      </c>
      <c r="I89" s="72" t="str">
        <f>VLOOKUP($A89&amp;$K89,TMK[[ID Rating]:[Summ Voltage]],I$15,0)</f>
        <v>Cable-3-1c 630 mm² Cu XLPE</v>
      </c>
      <c r="J89" s="143">
        <f>VLOOKUP($A89&amp;$K89,TMK[[ID Rating]:[Summ Voltage]],J$15,0)</f>
        <v>11.22</v>
      </c>
      <c r="K89" s="82">
        <f t="array" ref="K89">MIN(IF(TMK[Station/Feeder]=$A89,IF($F89&lt;TMK[Lowest MVA],TMK[Lowest MVA])))</f>
        <v>15.426399666360519</v>
      </c>
    </row>
    <row r="90" spans="1:11" x14ac:dyDescent="0.25">
      <c r="A90" s="86" t="s">
        <v>98</v>
      </c>
      <c r="B90" s="96" t="str">
        <f>VLOOKUP($A90&amp;$F90,TMK[[ID Rating]:[Summ Voltage]],B$15,0)</f>
        <v>T595</v>
      </c>
      <c r="C90" s="97" t="str">
        <f>VLOOKUP($A90&amp;$F90,TMK[[ID Rating]:[Summ Voltage]],C$15,0)</f>
        <v>Pole 05969</v>
      </c>
      <c r="D90" s="71" t="str">
        <f>VLOOKUP($A90&amp;$F90,TMK[[ID Rating]:[Summ Voltage]],D$15,0)</f>
        <v>OH Line-DOG</v>
      </c>
      <c r="E90" s="142">
        <f>VLOOKUP($A90&amp;$F90,TMK[[ID Rating]:[Summ Voltage]],E$15,0)</f>
        <v>11.22</v>
      </c>
      <c r="F90" s="81">
        <f t="array" ref="F90">MIN(IF(TMK[Station/Feeder]=$A90,TMK[Lowest MVA]))</f>
        <v>4.9916883788167672</v>
      </c>
      <c r="G90" s="96" t="str">
        <f>VLOOKUP($A90&amp;$K90,TMK[[ID Rating]:[Summ Voltage]],G$15,0)</f>
        <v>CB2</v>
      </c>
      <c r="H90" s="97" t="str">
        <f>VLOOKUP($A90&amp;$K90,TMK[[ID Rating]:[Summ Voltage]],H$15,0)</f>
        <v>T595</v>
      </c>
      <c r="I90" s="71" t="str">
        <f>VLOOKUP($A90&amp;$K90,TMK[[ID Rating]:[Summ Voltage]],I$15,0)</f>
        <v>Cable-1-3c 185 mm² XLPE</v>
      </c>
      <c r="J90" s="142">
        <f>VLOOKUP($A90&amp;$K90,TMK[[ID Rating]:[Summ Voltage]],J$15,0)</f>
        <v>11.22</v>
      </c>
      <c r="K90" s="81">
        <f t="array" ref="K90">MIN(IF(TMK[Station/Feeder]=$A90,IF($F90&lt;TMK[Lowest MVA],TMK[Lowest MVA])))</f>
        <v>5.2588939271504485</v>
      </c>
    </row>
    <row r="91" spans="1:11" x14ac:dyDescent="0.25">
      <c r="A91" s="86" t="s">
        <v>110</v>
      </c>
      <c r="B91" s="98" t="str">
        <f>VLOOKUP($A91&amp;$F91,TMK[[ID Rating]:[Summ Voltage]],B$15,0)</f>
        <v>CB3</v>
      </c>
      <c r="C91" s="99" t="str">
        <f>VLOOKUP($A91&amp;$F91,TMK[[ID Rating]:[Summ Voltage]],C$15,0)</f>
        <v>TX43</v>
      </c>
      <c r="D91" s="72" t="str">
        <f>VLOOKUP($A91&amp;$F91,TMK[[ID Rating]:[Summ Voltage]],D$15,0)</f>
        <v>Cable-1-3c 95 mm² XLPE</v>
      </c>
      <c r="E91" s="143">
        <f>VLOOKUP($A91&amp;$F91,TMK[[ID Rating]:[Summ Voltage]],E$15,0)</f>
        <v>11.22</v>
      </c>
      <c r="F91" s="82">
        <f t="array" ref="F91">MIN(IF(TMK[Station/Feeder]=$A91,TMK[Lowest MVA]))</f>
        <v>4.0457161495369949</v>
      </c>
      <c r="G91" s="98" t="str">
        <f>VLOOKUP($A91&amp;$K91,TMK[[ID Rating]:[Summ Voltage]],G$15,0)</f>
        <v>TX43</v>
      </c>
      <c r="H91" s="99" t="str">
        <f>VLOOKUP($A91&amp;$K91,TMK[[ID Rating]:[Summ Voltage]],H$15,0)</f>
        <v>Pole 48705</v>
      </c>
      <c r="I91" s="72" t="str">
        <f>VLOOKUP($A91&amp;$K91,TMK[[ID Rating]:[Summ Voltage]],I$15,0)</f>
        <v>OH Line-DOG</v>
      </c>
      <c r="J91" s="143">
        <f>VLOOKUP($A91&amp;$K91,TMK[[ID Rating]:[Summ Voltage]],J$15,0)</f>
        <v>11.22</v>
      </c>
      <c r="K91" s="82">
        <f t="array" ref="K91">MIN(IF(TMK[Station/Feeder]=$A91,IF($F91&lt;TMK[Lowest MVA],TMK[Lowest MVA])))</f>
        <v>4.9916883788167672</v>
      </c>
    </row>
    <row r="92" spans="1:11" ht="15.75" thickBot="1" x14ac:dyDescent="0.3">
      <c r="A92" s="86" t="s">
        <v>121</v>
      </c>
      <c r="B92" s="96" t="str">
        <f>VLOOKUP($A92&amp;$F92,TMK[[ID Rating]:[Summ Voltage]],B$15,0)</f>
        <v>CB4</v>
      </c>
      <c r="C92" s="97" t="str">
        <f>VLOOKUP($A92&amp;$F92,TMK[[ID Rating]:[Summ Voltage]],C$15,0)</f>
        <v>T703</v>
      </c>
      <c r="D92" s="71" t="str">
        <f>VLOOKUP($A92&amp;$F92,TMK[[ID Rating]:[Summ Voltage]],D$15,0)</f>
        <v>OH Line-DOG</v>
      </c>
      <c r="E92" s="142">
        <f>VLOOKUP($A92&amp;$F92,TMK[[ID Rating]:[Summ Voltage]],E$15,0)</f>
        <v>11.22</v>
      </c>
      <c r="F92" s="81">
        <f t="array" ref="F92">MIN(IF(TMK[Station/Feeder]=$A92,TMK[Lowest MVA]))</f>
        <v>4.9916883788167672</v>
      </c>
      <c r="G92" s="96" t="str">
        <f>VLOOKUP($A92&amp;$K92,TMK[[ID Rating]:[Summ Voltage]],G$15,0)</f>
        <v>CB4</v>
      </c>
      <c r="H92" s="97" t="str">
        <f>VLOOKUP($A92&amp;$K92,TMK[[ID Rating]:[Summ Voltage]],H$15,0)</f>
        <v>T703</v>
      </c>
      <c r="I92" s="71" t="str">
        <f>VLOOKUP($A92&amp;$K92,TMK[[ID Rating]:[Summ Voltage]],I$15,0)</f>
        <v>Cable-1-3c 185 mm² XLPE</v>
      </c>
      <c r="J92" s="142">
        <f>VLOOKUP($A92&amp;$K92,TMK[[ID Rating]:[Summ Voltage]],J$15,0)</f>
        <v>11.22</v>
      </c>
      <c r="K92" s="81">
        <f t="array" ref="K92">MIN(IF(TMK[Station/Feeder]=$A92,IF($F92&lt;TMK[Lowest MVA],TMK[Lowest MVA])))</f>
        <v>5.2588939271504485</v>
      </c>
    </row>
    <row r="93" spans="1:11" ht="15.75" thickBot="1" x14ac:dyDescent="0.3">
      <c r="A93" s="90"/>
      <c r="B93" s="100"/>
      <c r="C93" s="100"/>
      <c r="D93" s="91"/>
      <c r="E93" s="92"/>
      <c r="F93" s="92"/>
      <c r="G93" s="100"/>
      <c r="H93" s="100"/>
      <c r="I93" s="91"/>
      <c r="J93" s="92"/>
      <c r="K93" s="93"/>
    </row>
    <row r="94" spans="1:11" x14ac:dyDescent="0.25">
      <c r="A94" s="86" t="s">
        <v>87</v>
      </c>
      <c r="B94" s="98" t="str">
        <f>VLOOKUP($A94&amp;$F94,TMK[[ID Rating]:[Summ Voltage]],B$15,0)</f>
        <v>T557</v>
      </c>
      <c r="C94" s="99" t="str">
        <f>VLOOKUP($A94&amp;$F94,TMK[[ID Rating]:[Summ Voltage]],C$15,0)</f>
        <v>G127</v>
      </c>
      <c r="D94" s="72" t="str">
        <f>VLOOKUP($A94&amp;$F94,TMK[[ID Rating]:[Summ Voltage]],D$15,0)</f>
        <v>Cable-1-3c 95 mm² Al XLPE</v>
      </c>
      <c r="E94" s="143">
        <f>VLOOKUP($A94&amp;$F94,TMK[[ID Rating]:[Summ Voltage]],E$15,0)</f>
        <v>33.594000000000001</v>
      </c>
      <c r="F94" s="82">
        <f t="array" ref="F94">MIN(IF(TMK[Station/Feeder]=$A94,TMK[Lowest MVA]))</f>
        <v>12.058038017322694</v>
      </c>
      <c r="G94" s="98" t="str">
        <f>VLOOKUP($A94&amp;$K94,TMK[[ID Rating]:[Summ Voltage]],G$15,0)</f>
        <v>T557</v>
      </c>
      <c r="H94" s="99" t="str">
        <f>VLOOKUP($A94&amp;$K94,TMK[[ID Rating]:[Summ Voltage]],H$15,0)</f>
        <v>G127</v>
      </c>
      <c r="I94" s="72" t="str">
        <f>VLOOKUP($A94&amp;$K94,TMK[[ID Rating]:[Summ Voltage]],I$15,0)</f>
        <v>OH Line-DOG</v>
      </c>
      <c r="J94" s="143">
        <f>VLOOKUP($A94&amp;$K94,TMK[[ID Rating]:[Summ Voltage]],J$15,0)</f>
        <v>33.594000000000001</v>
      </c>
      <c r="K94" s="82">
        <f t="array" ref="K94">MIN(IF(TMK[Station/Feeder]=$A94,IF($F94&lt;TMK[Lowest MVA],TMK[Lowest MVA])))</f>
        <v>14.945702263633732</v>
      </c>
    </row>
    <row r="95" spans="1:11" x14ac:dyDescent="0.25">
      <c r="A95" s="86" t="s">
        <v>99</v>
      </c>
      <c r="B95" s="96" t="str">
        <f>VLOOKUP($A95&amp;$F95,TMK[[ID Rating]:[Summ Voltage]],B$15,0)</f>
        <v>T587</v>
      </c>
      <c r="C95" s="97" t="str">
        <f>VLOOKUP($A95&amp;$F95,TMK[[ID Rating]:[Summ Voltage]],C$15,0)</f>
        <v>Pole 808827</v>
      </c>
      <c r="D95" s="71" t="str">
        <f>VLOOKUP($A95&amp;$F95,TMK[[ID Rating]:[Summ Voltage]],D$15,0)</f>
        <v>OH Line-IODINE</v>
      </c>
      <c r="E95" s="142">
        <f>VLOOKUP($A95&amp;$F95,TMK[[ID Rating]:[Summ Voltage]],E$15,0)</f>
        <v>11.22</v>
      </c>
      <c r="F95" s="81">
        <f t="array" ref="F95">MIN(IF(TMK[Station/Feeder]=$A95,TMK[Lowest MVA]))</f>
        <v>5.3517536221209898</v>
      </c>
      <c r="G95" s="96" t="str">
        <f>VLOOKUP($A95&amp;$K95,TMK[[ID Rating]:[Summ Voltage]],G$15,0)</f>
        <v>CB11</v>
      </c>
      <c r="H95" s="97" t="str">
        <f>VLOOKUP($A95&amp;$K95,TMK[[ID Rating]:[Summ Voltage]],H$15,0)</f>
        <v>T587</v>
      </c>
      <c r="I95" s="71" t="str">
        <f>VLOOKUP($A95&amp;$K95,TMK[[ID Rating]:[Summ Voltage]],I$15,0)</f>
        <v>Circuit Breaker-RGA_T2-CB11-Protection</v>
      </c>
      <c r="J95" s="142">
        <f>VLOOKUP($A95&amp;$K95,TMK[[ID Rating]:[Summ Voltage]],J$15,0)</f>
        <v>11.22</v>
      </c>
      <c r="K95" s="81">
        <f t="array" ref="K95">MIN(IF(TMK[Station/Feeder]=$A95,IF($F95&lt;TMK[Lowest MVA],TMK[Lowest MVA])))</f>
        <v>5.8300830182768406</v>
      </c>
    </row>
    <row r="96" spans="1:11" x14ac:dyDescent="0.25">
      <c r="A96" s="86" t="s">
        <v>111</v>
      </c>
      <c r="B96" s="98" t="str">
        <f>VLOOKUP($A96&amp;$F96,TMK[[ID Rating]:[Summ Voltage]],B$15,0)</f>
        <v>T590</v>
      </c>
      <c r="C96" s="99" t="str">
        <f>VLOOKUP($A96&amp;$F96,TMK[[ID Rating]:[Summ Voltage]],C$15,0)</f>
        <v>Pole 46673</v>
      </c>
      <c r="D96" s="72" t="str">
        <f>VLOOKUP($A96&amp;$F96,TMK[[ID Rating]:[Summ Voltage]],D$15,0)</f>
        <v>OH Line-IODINE</v>
      </c>
      <c r="E96" s="143">
        <f>VLOOKUP($A96&amp;$F96,TMK[[ID Rating]:[Summ Voltage]],E$15,0)</f>
        <v>11.22</v>
      </c>
      <c r="F96" s="82">
        <f t="array" ref="F96">MIN(IF(TMK[Station/Feeder]=$A96,TMK[Lowest MVA]))</f>
        <v>5.3517536221209898</v>
      </c>
      <c r="G96" s="98" t="str">
        <f>VLOOKUP($A96&amp;$K96,TMK[[ID Rating]:[Summ Voltage]],G$15,0)</f>
        <v>CB12</v>
      </c>
      <c r="H96" s="99" t="str">
        <f>VLOOKUP($A96&amp;$K96,TMK[[ID Rating]:[Summ Voltage]],H$15,0)</f>
        <v>T590</v>
      </c>
      <c r="I96" s="72" t="str">
        <f>VLOOKUP($A96&amp;$K96,TMK[[ID Rating]:[Summ Voltage]],I$15,0)</f>
        <v>Circuit Breaker-RGA_T2-CB12-Protection</v>
      </c>
      <c r="J96" s="143">
        <f>VLOOKUP($A96&amp;$K96,TMK[[ID Rating]:[Summ Voltage]],J$15,0)</f>
        <v>11.22</v>
      </c>
      <c r="K96" s="82">
        <f t="array" ref="K96">MIN(IF(TMK[Station/Feeder]=$A96,IF($F96&lt;TMK[Lowest MVA],TMK[Lowest MVA])))</f>
        <v>5.8300830182768406</v>
      </c>
    </row>
    <row r="97" spans="1:11" ht="15.75" thickBot="1" x14ac:dyDescent="0.3">
      <c r="A97" s="86" t="s">
        <v>122</v>
      </c>
      <c r="B97" s="96" t="str">
        <f>VLOOKUP($A97&amp;$F97,TMK[[ID Rating]:[Summ Voltage]],B$15,0)</f>
        <v>T435</v>
      </c>
      <c r="C97" s="97" t="str">
        <f>VLOOKUP($A97&amp;$F97,TMK[[ID Rating]:[Summ Voltage]],C$15,0)</f>
        <v>T596</v>
      </c>
      <c r="D97" s="71" t="str">
        <f>VLOOKUP($A97&amp;$F97,TMK[[ID Rating]:[Summ Voltage]],D$15,0)</f>
        <v>OH Line-DOG</v>
      </c>
      <c r="E97" s="142">
        <f>VLOOKUP($A97&amp;$F97,TMK[[ID Rating]:[Summ Voltage]],E$15,0)</f>
        <v>11.22</v>
      </c>
      <c r="F97" s="81">
        <f t="array" ref="F97">MIN(IF(TMK[Station/Feeder]=$A97,TMK[Lowest MVA]))</f>
        <v>4.9916883788167672</v>
      </c>
      <c r="G97" s="96" t="str">
        <f>VLOOKUP($A97&amp;$K97,TMK[[ID Rating]:[Summ Voltage]],G$15,0)</f>
        <v>CB13</v>
      </c>
      <c r="H97" s="97" t="str">
        <f>VLOOKUP($A97&amp;$K97,TMK[[ID Rating]:[Summ Voltage]],H$15,0)</f>
        <v>T435</v>
      </c>
      <c r="I97" s="71" t="str">
        <f>VLOOKUP($A97&amp;$K97,TMK[[ID Rating]:[Summ Voltage]],I$15,0)</f>
        <v>Cable-1-3c 185 mm² XLPE</v>
      </c>
      <c r="J97" s="142">
        <f>VLOOKUP($A97&amp;$K97,TMK[[ID Rating]:[Summ Voltage]],J$15,0)</f>
        <v>11.22</v>
      </c>
      <c r="K97" s="81">
        <f t="array" ref="K97">MIN(IF(TMK[Station/Feeder]=$A97,IF($F97&lt;TMK[Lowest MVA],TMK[Lowest MVA])))</f>
        <v>5.2588939271504485</v>
      </c>
    </row>
    <row r="98" spans="1:11" ht="15.75" thickBot="1" x14ac:dyDescent="0.3">
      <c r="A98" s="90"/>
      <c r="B98" s="100"/>
      <c r="C98" s="100"/>
      <c r="D98" s="91"/>
      <c r="E98" s="92"/>
      <c r="F98" s="92"/>
      <c r="G98" s="100"/>
      <c r="H98" s="100"/>
      <c r="I98" s="91"/>
      <c r="J98" s="92"/>
      <c r="K98" s="93"/>
    </row>
    <row r="99" spans="1:11" x14ac:dyDescent="0.25">
      <c r="A99" s="86" t="s">
        <v>88</v>
      </c>
      <c r="B99" s="98" t="str">
        <f>VLOOKUP($A99&amp;$F99,TMK[[ID Rating]:[Summ Voltage]],B$15,0)</f>
        <v>Recloser T615</v>
      </c>
      <c r="C99" s="99" t="str">
        <f>VLOOKUP($A99&amp;$F99,TMK[[ID Rating]:[Summ Voltage]],C$15,0)</f>
        <v>11 kV Bus</v>
      </c>
      <c r="D99" s="72" t="str">
        <f>VLOOKUP($A99&amp;$F99,TMK[[ID Rating]:[Summ Voltage]],D$15,0)</f>
        <v>Cable-3-1c 300 mm² Al XLPE</v>
      </c>
      <c r="E99" s="143">
        <f>VLOOKUP($A99&amp;$F99,TMK[[ID Rating]:[Summ Voltage]],E$15,0)</f>
        <v>33.594000000000001</v>
      </c>
      <c r="F99" s="82">
        <f t="array" ref="F99">MIN(IF(TMK[Station/Feeder]=$A99,TMK[Lowest MVA]))</f>
        <v>20.231936062797093</v>
      </c>
      <c r="G99" s="98" t="str">
        <f>VLOOKUP($A99&amp;$K99,TMK[[ID Rating]:[Summ Voltage]],G$15,0)</f>
        <v>Recloser T615</v>
      </c>
      <c r="H99" s="99" t="str">
        <f>VLOOKUP($A99&amp;$K99,TMK[[ID Rating]:[Summ Voltage]],H$15,0)</f>
        <v>11 kV Bus</v>
      </c>
      <c r="I99" s="72" t="str">
        <f>VLOOKUP($A99&amp;$K99,TMK[[ID Rating]:[Summ Voltage]],I$15,0)</f>
        <v>Circuit Breaker-CD1-T606-Protection</v>
      </c>
      <c r="J99" s="143">
        <f>VLOOKUP($A99&amp;$K99,TMK[[ID Rating]:[Summ Voltage]],J$15,0)</f>
        <v>11</v>
      </c>
      <c r="K99" s="82">
        <f t="array" ref="K99">MIN(IF(TMK[Station/Feeder]=$A99,IF($F99&lt;TMK[Lowest MVA],TMK[Lowest MVA])))</f>
        <v>22.86307065990918</v>
      </c>
    </row>
    <row r="100" spans="1:11" x14ac:dyDescent="0.25">
      <c r="A100" s="86" t="s">
        <v>100</v>
      </c>
      <c r="B100" s="96" t="str">
        <f>VLOOKUP($A100&amp;$F100,TMK[[ID Rating]:[Summ Voltage]],B$15,0)</f>
        <v>11 kV Bus</v>
      </c>
      <c r="C100" s="97" t="str">
        <f>VLOOKUP($A100&amp;$F100,TMK[[ID Rating]:[Summ Voltage]],C$15,0)</f>
        <v>T465</v>
      </c>
      <c r="D100" s="71" t="str">
        <f>VLOOKUP($A100&amp;$F100,TMK[[ID Rating]:[Summ Voltage]],D$15,0)</f>
        <v>Cable-1-3c 300 mm² Al XLPE</v>
      </c>
      <c r="E100" s="142">
        <f>VLOOKUP($A100&amp;$F100,TMK[[ID Rating]:[Summ Voltage]],E$15,0)</f>
        <v>11</v>
      </c>
      <c r="F100" s="81">
        <f t="array" ref="F100">MIN(IF(TMK[Station/Feeder]=$A100,TMK[Lowest MVA]))</f>
        <v>5.776075720343532</v>
      </c>
      <c r="G100" s="96" t="str">
        <f>VLOOKUP($A100&amp;$K100,TMK[[ID Rating]:[Summ Voltage]],G$15,0)</f>
        <v>11 kV Bus</v>
      </c>
      <c r="H100" s="97" t="str">
        <f>VLOOKUP($A100&amp;$K100,TMK[[ID Rating]:[Summ Voltage]],H$15,0)</f>
        <v>T465</v>
      </c>
      <c r="I100" s="71" t="str">
        <f>VLOOKUP($A100&amp;$K100,TMK[[ID Rating]:[Summ Voltage]],I$15,0)</f>
        <v>Circuit Breaker-CD1-T600-Protection</v>
      </c>
      <c r="J100" s="142">
        <f>VLOOKUP($A100&amp;$K100,TMK[[ID Rating]:[Summ Voltage]],J$15,0)</f>
        <v>11</v>
      </c>
      <c r="K100" s="81">
        <f t="array" ref="K100">MIN(IF(TMK[Station/Feeder]=$A100,IF($F100&lt;TMK[Lowest MVA],TMK[Lowest MVA])))</f>
        <v>7.6210235533030604</v>
      </c>
    </row>
    <row r="101" spans="1:11" x14ac:dyDescent="0.25">
      <c r="A101" s="86" t="s">
        <v>112</v>
      </c>
      <c r="B101" s="98" t="str">
        <f>VLOOKUP($A101&amp;$F101,TMK[[ID Rating]:[Summ Voltage]],B$15,0)</f>
        <v>11 kV Bus</v>
      </c>
      <c r="C101" s="99" t="str">
        <f>VLOOKUP($A101&amp;$F101,TMK[[ID Rating]:[Summ Voltage]],C$15,0)</f>
        <v>T256</v>
      </c>
      <c r="D101" s="72" t="str">
        <f>VLOOKUP($A101&amp;$F101,TMK[[ID Rating]:[Summ Voltage]],D$15,0)</f>
        <v>Cable-1-3c 300 mm² Al XLPE</v>
      </c>
      <c r="E101" s="143">
        <f>VLOOKUP($A101&amp;$F101,TMK[[ID Rating]:[Summ Voltage]],E$15,0)</f>
        <v>11</v>
      </c>
      <c r="F101" s="82">
        <f t="array" ref="F101">MIN(IF(TMK[Station/Feeder]=$A101,TMK[Lowest MVA]))</f>
        <v>5.776075720343532</v>
      </c>
      <c r="G101" s="98" t="str">
        <f>VLOOKUP($A101&amp;$K101,TMK[[ID Rating]:[Summ Voltage]],G$15,0)</f>
        <v>11 kV Bus</v>
      </c>
      <c r="H101" s="99" t="str">
        <f>VLOOKUP($A101&amp;$K101,TMK[[ID Rating]:[Summ Voltage]],H$15,0)</f>
        <v>T256</v>
      </c>
      <c r="I101" s="72" t="str">
        <f>VLOOKUP($A101&amp;$K101,TMK[[ID Rating]:[Summ Voltage]],I$15,0)</f>
        <v>Circuit Breaker-CD1-T601</v>
      </c>
      <c r="J101" s="143">
        <f>VLOOKUP($A101&amp;$K101,TMK[[ID Rating]:[Summ Voltage]],J$15,0)</f>
        <v>11</v>
      </c>
      <c r="K101" s="82">
        <f t="array" ref="K101">MIN(IF(TMK[Station/Feeder]=$A101,IF($F101&lt;TMK[Lowest MVA],TMK[Lowest MVA])))</f>
        <v>7.6210235533030604</v>
      </c>
    </row>
    <row r="102" spans="1:11" x14ac:dyDescent="0.25">
      <c r="A102" s="86" t="s">
        <v>123</v>
      </c>
      <c r="B102" s="96" t="str">
        <f>VLOOKUP($A102&amp;$F102,TMK[[ID Rating]:[Summ Voltage]],B$15,0)</f>
        <v>11 kV Bus</v>
      </c>
      <c r="C102" s="97" t="str">
        <f>VLOOKUP($A102&amp;$F102,TMK[[ID Rating]:[Summ Voltage]],C$15,0)</f>
        <v>T172</v>
      </c>
      <c r="D102" s="71" t="str">
        <f>VLOOKUP($A102&amp;$F102,TMK[[ID Rating]:[Summ Voltage]],D$15,0)</f>
        <v>Cable-1-3c 185 mm² Al PILC</v>
      </c>
      <c r="E102" s="142">
        <f>VLOOKUP($A102&amp;$F102,TMK[[ID Rating]:[Summ Voltage]],E$15,0)</f>
        <v>11</v>
      </c>
      <c r="F102" s="81">
        <f t="array" ref="F102">MIN(IF(TMK[Station/Feeder]=$A102,TMK[Lowest MVA]))</f>
        <v>4.5640633435550297</v>
      </c>
      <c r="G102" s="96" t="str">
        <f>VLOOKUP($A102&amp;$K102,TMK[[ID Rating]:[Summ Voltage]],G$15,0)</f>
        <v>11 kV Bus</v>
      </c>
      <c r="H102" s="97" t="str">
        <f>VLOOKUP($A102&amp;$K102,TMK[[ID Rating]:[Summ Voltage]],H$15,0)</f>
        <v>T172</v>
      </c>
      <c r="I102" s="71" t="str">
        <f>VLOOKUP($A102&amp;$K102,TMK[[ID Rating]:[Summ Voltage]],I$15,0)</f>
        <v>Circuit Breaker-CD1-T602</v>
      </c>
      <c r="J102" s="142">
        <f>VLOOKUP($A102&amp;$K102,TMK[[ID Rating]:[Summ Voltage]],J$15,0)</f>
        <v>11</v>
      </c>
      <c r="K102" s="81">
        <f t="array" ref="K102">MIN(IF(TMK[Station/Feeder]=$A102,IF($F102&lt;TMK[Lowest MVA],TMK[Lowest MVA])))</f>
        <v>7.6210235533030604</v>
      </c>
    </row>
    <row r="103" spans="1:11" x14ac:dyDescent="0.25">
      <c r="A103" s="86" t="s">
        <v>131</v>
      </c>
      <c r="B103" s="98" t="str">
        <f>VLOOKUP($A103&amp;$F103,TMK[[ID Rating]:[Summ Voltage]],B$15,0)</f>
        <v>11 kV Bus</v>
      </c>
      <c r="C103" s="99" t="str">
        <f>VLOOKUP($A103&amp;$F103,TMK[[ID Rating]:[Summ Voltage]],C$15,0)</f>
        <v>T569</v>
      </c>
      <c r="D103" s="72" t="str">
        <f>VLOOKUP($A103&amp;$F103,TMK[[ID Rating]:[Summ Voltage]],D$15,0)</f>
        <v>Cable-3-1c 400 mm² Al XLPE</v>
      </c>
      <c r="E103" s="143">
        <f>VLOOKUP($A103&amp;$F103,TMK[[ID Rating]:[Summ Voltage]],E$15,0)</f>
        <v>11</v>
      </c>
      <c r="F103" s="82">
        <f t="array" ref="F103">MIN(IF(TMK[Station/Feeder]=$A103,TMK[Lowest MVA]))</f>
        <v>6.516287104673272</v>
      </c>
      <c r="G103" s="98" t="str">
        <f>VLOOKUP($A103&amp;$K103,TMK[[ID Rating]:[Summ Voltage]],G$15,0)</f>
        <v>11 kV Bus</v>
      </c>
      <c r="H103" s="99" t="str">
        <f>VLOOKUP($A103&amp;$K103,TMK[[ID Rating]:[Summ Voltage]],H$15,0)</f>
        <v>T569</v>
      </c>
      <c r="I103" s="72" t="str">
        <f>VLOOKUP($A103&amp;$K103,TMK[[ID Rating]:[Summ Voltage]],I$15,0)</f>
        <v>Circuit Breaker-CD1-T603</v>
      </c>
      <c r="J103" s="143">
        <f>VLOOKUP($A103&amp;$K103,TMK[[ID Rating]:[Summ Voltage]],J$15,0)</f>
        <v>11</v>
      </c>
      <c r="K103" s="82">
        <f t="array" ref="K103">MIN(IF(TMK[Station/Feeder]=$A103,IF($F103&lt;TMK[Lowest MVA],TMK[Lowest MVA])))</f>
        <v>7.6210235533030604</v>
      </c>
    </row>
    <row r="104" spans="1:11" x14ac:dyDescent="0.25">
      <c r="A104" s="86" t="s">
        <v>137</v>
      </c>
      <c r="B104" s="96" t="str">
        <f>VLOOKUP($A104&amp;$F104,TMK[[ID Rating]:[Summ Voltage]],B$15,0)</f>
        <v>11 kV Bus</v>
      </c>
      <c r="C104" s="97" t="str">
        <f>VLOOKUP($A104&amp;$F104,TMK[[ID Rating]:[Summ Voltage]],C$15,0)</f>
        <v>T166</v>
      </c>
      <c r="D104" s="71" t="str">
        <f>VLOOKUP($A104&amp;$F104,TMK[[ID Rating]:[Summ Voltage]],D$15,0)</f>
        <v>Cable-1-3c 95 mm² Al PILC</v>
      </c>
      <c r="E104" s="142">
        <f>VLOOKUP($A104&amp;$F104,TMK[[ID Rating]:[Summ Voltage]],E$15,0)</f>
        <v>11</v>
      </c>
      <c r="F104" s="81">
        <f t="array" ref="F104">MIN(IF(TMK[Station/Feeder]=$A104,TMK[Lowest MVA]))</f>
        <v>2.3390824635719527</v>
      </c>
      <c r="G104" s="96" t="str">
        <f>VLOOKUP($A104&amp;$K104,TMK[[ID Rating]:[Summ Voltage]],G$15,0)</f>
        <v>11 kV Bus</v>
      </c>
      <c r="H104" s="97" t="str">
        <f>VLOOKUP($A104&amp;$K104,TMK[[ID Rating]:[Summ Voltage]],H$15,0)</f>
        <v>T166</v>
      </c>
      <c r="I104" s="71" t="str">
        <f>VLOOKUP($A104&amp;$K104,TMK[[ID Rating]:[Summ Voltage]],I$15,0)</f>
        <v>Circuit Breaker-CD1-T605</v>
      </c>
      <c r="J104" s="142">
        <f>VLOOKUP($A104&amp;$K104,TMK[[ID Rating]:[Summ Voltage]],J$15,0)</f>
        <v>11</v>
      </c>
      <c r="K104" s="81">
        <f t="array" ref="K104">MIN(IF(TMK[Station/Feeder]=$A104,IF($F104&lt;TMK[Lowest MVA],TMK[Lowest MVA])))</f>
        <v>4.8012448385809279</v>
      </c>
    </row>
    <row r="105" spans="1:11" x14ac:dyDescent="0.25">
      <c r="A105" s="86" t="s">
        <v>141</v>
      </c>
      <c r="B105" s="98" t="str">
        <f>VLOOKUP($A105&amp;$F105,TMK[[ID Rating]:[Summ Voltage]],B$15,0)</f>
        <v>11 kV Bus</v>
      </c>
      <c r="C105" s="99" t="str">
        <f>VLOOKUP($A105&amp;$F105,TMK[[ID Rating]:[Summ Voltage]],C$15,0)</f>
        <v>T153</v>
      </c>
      <c r="D105" s="72" t="str">
        <f>VLOOKUP($A105&amp;$F105,TMK[[ID Rating]:[Summ Voltage]],D$15,0)</f>
        <v>Cable-1-3c 300 mm² Al XLPE</v>
      </c>
      <c r="E105" s="143">
        <f>VLOOKUP($A105&amp;$F105,TMK[[ID Rating]:[Summ Voltage]],E$15,0)</f>
        <v>11</v>
      </c>
      <c r="F105" s="82">
        <f t="array" ref="F105">MIN(IF(TMK[Station/Feeder]=$A105,TMK[Lowest MVA]))</f>
        <v>5.776075720343532</v>
      </c>
      <c r="G105" s="98" t="str">
        <f>VLOOKUP($A105&amp;$K105,TMK[[ID Rating]:[Summ Voltage]],G$15,0)</f>
        <v>11 kV Bus</v>
      </c>
      <c r="H105" s="99" t="str">
        <f>VLOOKUP($A105&amp;$K105,TMK[[ID Rating]:[Summ Voltage]],H$15,0)</f>
        <v>T153</v>
      </c>
      <c r="I105" s="72" t="str">
        <f>VLOOKUP($A105&amp;$K105,TMK[[ID Rating]:[Summ Voltage]],I$15,0)</f>
        <v>Circuit Breaker-CD1-T609</v>
      </c>
      <c r="J105" s="143">
        <f>VLOOKUP($A105&amp;$K105,TMK[[ID Rating]:[Summ Voltage]],J$15,0)</f>
        <v>11</v>
      </c>
      <c r="K105" s="82">
        <f t="array" ref="K105">MIN(IF(TMK[Station/Feeder]=$A105,IF($F105&lt;TMK[Lowest MVA],TMK[Lowest MVA])))</f>
        <v>7.6210235533030604</v>
      </c>
    </row>
    <row r="106" spans="1:11" x14ac:dyDescent="0.25">
      <c r="A106" s="86" t="s">
        <v>144</v>
      </c>
      <c r="B106" s="96" t="str">
        <f>VLOOKUP($A106&amp;$F106,TMK[[ID Rating]:[Summ Voltage]],B$15,0)</f>
        <v>11 kV Bus</v>
      </c>
      <c r="C106" s="97" t="str">
        <f>VLOOKUP($A106&amp;$F106,TMK[[ID Rating]:[Summ Voltage]],C$15,0)</f>
        <v>T249</v>
      </c>
      <c r="D106" s="71" t="str">
        <f>VLOOKUP($A106&amp;$F106,TMK[[ID Rating]:[Summ Voltage]],D$15,0)</f>
        <v>Cable-1-3c 185 mm² Al PILC</v>
      </c>
      <c r="E106" s="142">
        <f>VLOOKUP($A106&amp;$F106,TMK[[ID Rating]:[Summ Voltage]],E$15,0)</f>
        <v>11</v>
      </c>
      <c r="F106" s="81">
        <f t="array" ref="F106">MIN(IF(TMK[Station/Feeder]=$A106,TMK[Lowest MVA]))</f>
        <v>3.4230475076662725</v>
      </c>
      <c r="G106" s="96" t="str">
        <f>VLOOKUP($A106&amp;$K106,TMK[[ID Rating]:[Summ Voltage]],G$15,0)</f>
        <v>11 kV Bus</v>
      </c>
      <c r="H106" s="97" t="str">
        <f>VLOOKUP($A106&amp;$K106,TMK[[ID Rating]:[Summ Voltage]],H$15,0)</f>
        <v>T249</v>
      </c>
      <c r="I106" s="71" t="str">
        <f>VLOOKUP($A106&amp;$K106,TMK[[ID Rating]:[Summ Voltage]],I$15,0)</f>
        <v>Circuit Breaker-CD1-T610</v>
      </c>
      <c r="J106" s="142">
        <f>VLOOKUP($A106&amp;$K106,TMK[[ID Rating]:[Summ Voltage]],J$15,0)</f>
        <v>11</v>
      </c>
      <c r="K106" s="81">
        <f t="array" ref="K106">MIN(IF(TMK[Station/Feeder]=$A106,IF($F106&lt;TMK[Lowest MVA],TMK[Lowest MVA])))</f>
        <v>7.6210235533030604</v>
      </c>
    </row>
    <row r="107" spans="1:11" x14ac:dyDescent="0.25">
      <c r="A107" s="86" t="s">
        <v>147</v>
      </c>
      <c r="B107" s="98" t="str">
        <f>VLOOKUP($A107&amp;$F107,TMK[[ID Rating]:[Summ Voltage]],B$15,0)</f>
        <v>11 kV Bus</v>
      </c>
      <c r="C107" s="99" t="str">
        <f>VLOOKUP($A107&amp;$F107,TMK[[ID Rating]:[Summ Voltage]],C$15,0)</f>
        <v>T246</v>
      </c>
      <c r="D107" s="72" t="str">
        <f>VLOOKUP($A107&amp;$F107,TMK[[ID Rating]:[Summ Voltage]],D$15,0)</f>
        <v>Cable-1-3c 185 mm² Al PILC</v>
      </c>
      <c r="E107" s="143">
        <f>VLOOKUP($A107&amp;$F107,TMK[[ID Rating]:[Summ Voltage]],E$15,0)</f>
        <v>11</v>
      </c>
      <c r="F107" s="82">
        <f t="array" ref="F107">MIN(IF(TMK[Station/Feeder]=$A107,TMK[Lowest MVA]))</f>
        <v>3.4230475076662725</v>
      </c>
      <c r="G107" s="98" t="str">
        <f>VLOOKUP($A107&amp;$K107,TMK[[ID Rating]:[Summ Voltage]],G$15,0)</f>
        <v>11 kV Bus</v>
      </c>
      <c r="H107" s="99" t="str">
        <f>VLOOKUP($A107&amp;$K107,TMK[[ID Rating]:[Summ Voltage]],H$15,0)</f>
        <v>T246</v>
      </c>
      <c r="I107" s="72" t="str">
        <f>VLOOKUP($A107&amp;$K107,TMK[[ID Rating]:[Summ Voltage]],I$15,0)</f>
        <v>Circuit Breaker-CD1-T611</v>
      </c>
      <c r="J107" s="143">
        <f>VLOOKUP($A107&amp;$K107,TMK[[ID Rating]:[Summ Voltage]],J$15,0)</f>
        <v>11</v>
      </c>
      <c r="K107" s="82">
        <f t="array" ref="K107">MIN(IF(TMK[Station/Feeder]=$A107,IF($F107&lt;TMK[Lowest MVA],TMK[Lowest MVA])))</f>
        <v>7.6210235533030604</v>
      </c>
    </row>
    <row r="108" spans="1:11" x14ac:dyDescent="0.25">
      <c r="A108" s="86" t="s">
        <v>149</v>
      </c>
      <c r="B108" s="96" t="str">
        <f>VLOOKUP($A108&amp;$F108,TMK[[ID Rating]:[Summ Voltage]],B$15,0)</f>
        <v>11 kV Bus</v>
      </c>
      <c r="C108" s="97" t="str">
        <f>VLOOKUP($A108&amp;$F108,TMK[[ID Rating]:[Summ Voltage]],C$15,0)</f>
        <v>T139</v>
      </c>
      <c r="D108" s="71" t="str">
        <f>VLOOKUP($A108&amp;$F108,TMK[[ID Rating]:[Summ Voltage]],D$15,0)</f>
        <v>Cable-1-3c 95 mm² Al PILC</v>
      </c>
      <c r="E108" s="142">
        <f>VLOOKUP($A108&amp;$F108,TMK[[ID Rating]:[Summ Voltage]],E$15,0)</f>
        <v>11</v>
      </c>
      <c r="F108" s="81">
        <f t="array" ref="F108">MIN(IF(TMK[Station/Feeder]=$A108,TMK[Lowest MVA]))</f>
        <v>2.3390824635719527</v>
      </c>
      <c r="G108" s="96" t="str">
        <f>VLOOKUP($A108&amp;$K108,TMK[[ID Rating]:[Summ Voltage]],G$15,0)</f>
        <v>11 kV Bus</v>
      </c>
      <c r="H108" s="97" t="str">
        <f>VLOOKUP($A108&amp;$K108,TMK[[ID Rating]:[Summ Voltage]],H$15,0)</f>
        <v>T139</v>
      </c>
      <c r="I108" s="71" t="str">
        <f>VLOOKUP($A108&amp;$K108,TMK[[ID Rating]:[Summ Voltage]],I$15,0)</f>
        <v>Circuit Breaker-CD1-T612</v>
      </c>
      <c r="J108" s="142">
        <f>VLOOKUP($A108&amp;$K108,TMK[[ID Rating]:[Summ Voltage]],J$15,0)</f>
        <v>11</v>
      </c>
      <c r="K108" s="81">
        <f t="array" ref="K108">MIN(IF(TMK[Station/Feeder]=$A108,IF($F108&lt;TMK[Lowest MVA],TMK[Lowest MVA])))</f>
        <v>7.6210235533030604</v>
      </c>
    </row>
    <row r="109" spans="1:11" x14ac:dyDescent="0.25">
      <c r="A109" s="86" t="s">
        <v>152</v>
      </c>
      <c r="B109" s="98" t="str">
        <f>VLOOKUP($A109&amp;$F109,TMK[[ID Rating]:[Summ Voltage]],B$15,0)</f>
        <v>11 kV Bus</v>
      </c>
      <c r="C109" s="99" t="str">
        <f>VLOOKUP($A109&amp;$F109,TMK[[ID Rating]:[Summ Voltage]],C$15,0)</f>
        <v>T131</v>
      </c>
      <c r="D109" s="72" t="str">
        <f>VLOOKUP($A109&amp;$F109,TMK[[ID Rating]:[Summ Voltage]],D$15,0)</f>
        <v>Cable-1-3c 185 mm² Al PILC</v>
      </c>
      <c r="E109" s="143">
        <f>VLOOKUP($A109&amp;$F109,TMK[[ID Rating]:[Summ Voltage]],E$15,0)</f>
        <v>11</v>
      </c>
      <c r="F109" s="82">
        <f t="array" ref="F109">MIN(IF(TMK[Station/Feeder]=$A109,TMK[Lowest MVA]))</f>
        <v>3.4230475076662725</v>
      </c>
      <c r="G109" s="98" t="str">
        <f>VLOOKUP($A109&amp;$K109,TMK[[ID Rating]:[Summ Voltage]],G$15,0)</f>
        <v>T131</v>
      </c>
      <c r="H109" s="99" t="str">
        <f>VLOOKUP($A109&amp;$K109,TMK[[ID Rating]:[Summ Voltage]],H$15,0)</f>
        <v>Pole 51393</v>
      </c>
      <c r="I109" s="72" t="str">
        <f>VLOOKUP($A109&amp;$K109,TMK[[ID Rating]:[Summ Voltage]],I$15,0)</f>
        <v>OH Line-MINK</v>
      </c>
      <c r="J109" s="143">
        <f>VLOOKUP($A109&amp;$K109,TMK[[ID Rating]:[Summ Voltage]],J$15,0)</f>
        <v>11</v>
      </c>
      <c r="K109" s="82">
        <f t="array" ref="K109">MIN(IF(TMK[Station/Feeder]=$A109,IF($F109&lt;TMK[Lowest MVA],TMK[Lowest MVA])))</f>
        <v>3.5938195410109186</v>
      </c>
    </row>
    <row r="110" spans="1:11" ht="15.75" thickBot="1" x14ac:dyDescent="0.3">
      <c r="A110" s="86" t="s">
        <v>154</v>
      </c>
      <c r="B110" s="96" t="str">
        <f>VLOOKUP($A110&amp;$F110,TMK[[ID Rating]:[Summ Voltage]],B$15,0)</f>
        <v>11 kV Bus</v>
      </c>
      <c r="C110" s="97" t="str">
        <f>VLOOKUP($A110&amp;$F110,TMK[[ID Rating]:[Summ Voltage]],C$15,0)</f>
        <v>T580</v>
      </c>
      <c r="D110" s="71" t="str">
        <f>VLOOKUP($A110&amp;$F110,TMK[[ID Rating]:[Summ Voltage]],D$15,0)</f>
        <v>Cable-1-3c 300 mm² Al XLPE</v>
      </c>
      <c r="E110" s="142">
        <f>VLOOKUP($A110&amp;$F110,TMK[[ID Rating]:[Summ Voltage]],E$15,0)</f>
        <v>11</v>
      </c>
      <c r="F110" s="81">
        <f t="array" ref="F110">MIN(IF(TMK[Station/Feeder]=$A110,TMK[Lowest MVA]))</f>
        <v>6.1209160618565788</v>
      </c>
      <c r="G110" s="96" t="str">
        <f>VLOOKUP($A110&amp;$K110,TMK[[ID Rating]:[Summ Voltage]],G$15,0)</f>
        <v>11 kV Bus</v>
      </c>
      <c r="H110" s="97" t="str">
        <f>VLOOKUP($A110&amp;$K110,TMK[[ID Rating]:[Summ Voltage]],H$15,0)</f>
        <v>T580</v>
      </c>
      <c r="I110" s="71" t="str">
        <f>VLOOKUP($A110&amp;$K110,TMK[[ID Rating]:[Summ Voltage]],I$15,0)</f>
        <v>Circuit Breaker-CD1-T614</v>
      </c>
      <c r="J110" s="142">
        <f>VLOOKUP($A110&amp;$K110,TMK[[ID Rating]:[Summ Voltage]],J$15,0)</f>
        <v>11</v>
      </c>
      <c r="K110" s="81">
        <f t="array" ref="K110">MIN(IF(TMK[Station/Feeder]=$A110,IF($F110&lt;TMK[Lowest MVA],TMK[Lowest MVA])))</f>
        <v>7.6210235533030604</v>
      </c>
    </row>
    <row r="111" spans="1:11" ht="15.75" thickBot="1" x14ac:dyDescent="0.3">
      <c r="A111" s="90"/>
      <c r="B111" s="100"/>
      <c r="C111" s="100"/>
      <c r="D111" s="91"/>
      <c r="E111" s="92"/>
      <c r="F111" s="92"/>
      <c r="G111" s="100"/>
      <c r="H111" s="100"/>
      <c r="I111" s="91"/>
      <c r="J111" s="92"/>
      <c r="K111" s="93"/>
    </row>
    <row r="112" spans="1:11" x14ac:dyDescent="0.25">
      <c r="A112" s="85" t="s">
        <v>89</v>
      </c>
      <c r="B112" s="94" t="str">
        <f>VLOOKUP($A112&amp;$F112,TMK[[ID Rating]:[Summ Voltage]],B$15,0)</f>
        <v>Pole 02081</v>
      </c>
      <c r="C112" s="95" t="str">
        <f>VLOOKUP($A112&amp;$F112,TMK[[ID Rating]:[Summ Voltage]],C$15,0)</f>
        <v>CBT662</v>
      </c>
      <c r="D112" s="70" t="str">
        <f>VLOOKUP($A112&amp;$F112,TMK[[ID Rating]:[Summ Voltage]],D$15,0)</f>
        <v>Cable-3-1c 400 mm² Al XLPE</v>
      </c>
      <c r="E112" s="141">
        <f>VLOOKUP($A112&amp;$F112,TMK[[ID Rating]:[Summ Voltage]],E$15,0)</f>
        <v>33.594000000000001</v>
      </c>
      <c r="F112" s="80">
        <f t="array" ref="F112">MIN(IF(TMK[Station/Feeder]=$A112,TMK[Lowest MVA]))</f>
        <v>23.693203210661636</v>
      </c>
      <c r="G112" s="94" t="str">
        <f>VLOOKUP($A112&amp;$K112,TMK[[ID Rating]:[Summ Voltage]],G$15,0)</f>
        <v>REC T662</v>
      </c>
      <c r="H112" s="95" t="str">
        <f>VLOOKUP($A112&amp;$K112,TMK[[ID Rating]:[Summ Voltage]],H$15,0)</f>
        <v>11 kV Bus</v>
      </c>
      <c r="I112" s="70" t="str">
        <f>VLOOKUP($A112&amp;$K112,TMK[[ID Rating]:[Summ Voltage]],I$15,0)</f>
        <v>Circuit Breaker-CD2-T657-Protection</v>
      </c>
      <c r="J112" s="141">
        <f>VLOOKUP($A112&amp;$K112,TMK[[ID Rating]:[Summ Voltage]],J$15,0)</f>
        <v>11</v>
      </c>
      <c r="K112" s="80">
        <f t="array" ref="K112">MIN(IF(TMK[Station/Feeder]=$A112,IF($F112&lt;TMK[Lowest MVA],TMK[Lowest MVA])))</f>
        <v>26.673582436560707</v>
      </c>
    </row>
    <row r="113" spans="1:11" x14ac:dyDescent="0.25">
      <c r="A113" s="86" t="s">
        <v>101</v>
      </c>
      <c r="B113" s="96" t="str">
        <f>VLOOKUP($A113&amp;$F113,TMK[[ID Rating]:[Summ Voltage]],B$15,0)</f>
        <v>11 kV Bus</v>
      </c>
      <c r="C113" s="97" t="str">
        <f>VLOOKUP($A113&amp;$F113,TMK[[ID Rating]:[Summ Voltage]],C$15,0)</f>
        <v>T278</v>
      </c>
      <c r="D113" s="71" t="str">
        <f>VLOOKUP($A113&amp;$F113,TMK[[ID Rating]:[Summ Voltage]],D$15,0)</f>
        <v>Cable-1-3c 300 mm² Al XLPE</v>
      </c>
      <c r="E113" s="142">
        <f>VLOOKUP($A113&amp;$F113,TMK[[ID Rating]:[Summ Voltage]],E$15,0)</f>
        <v>11</v>
      </c>
      <c r="F113" s="81">
        <f t="array" ref="F113">MIN(IF(TMK[Station/Feeder]=$A113,TMK[Lowest MVA]))</f>
        <v>5.4312353788304852</v>
      </c>
      <c r="G113" s="96" t="e">
        <f>VLOOKUP($A113&amp;$K113,TMK[[ID Rating]:[Summ Voltage]],G$15,0)</f>
        <v>#N/A</v>
      </c>
      <c r="H113" s="97" t="e">
        <f>VLOOKUP($A113&amp;$K113,TMK[[ID Rating]:[Summ Voltage]],H$15,0)</f>
        <v>#N/A</v>
      </c>
      <c r="I113" s="71" t="e">
        <f>VLOOKUP($A113&amp;$K113,TMK[[ID Rating]:[Summ Voltage]],I$15,0)</f>
        <v>#N/A</v>
      </c>
      <c r="J113" s="142" t="e">
        <f>VLOOKUP($A113&amp;$K113,TMK[[ID Rating]:[Summ Voltage]],J$15,0)</f>
        <v>#N/A</v>
      </c>
      <c r="K113" s="81">
        <f t="array" ref="K113">MIN(IF(TMK[Station/Feeder]=$A113,IF($F113&lt;TMK[Lowest MVA],TMK[Lowest MVA])))</f>
        <v>9.1452282639636717</v>
      </c>
    </row>
    <row r="114" spans="1:11" x14ac:dyDescent="0.25">
      <c r="A114" s="86" t="s">
        <v>113</v>
      </c>
      <c r="B114" s="98" t="str">
        <f>VLOOKUP($A114&amp;$F114,TMK[[ID Rating]:[Summ Voltage]],B$15,0)</f>
        <v>11 kV Bus</v>
      </c>
      <c r="C114" s="99" t="str">
        <f>VLOOKUP($A114&amp;$F114,TMK[[ID Rating]:[Summ Voltage]],C$15,0)</f>
        <v>T364</v>
      </c>
      <c r="D114" s="72" t="str">
        <f>VLOOKUP($A114&amp;$F114,TMK[[ID Rating]:[Summ Voltage]],D$15,0)</f>
        <v>Cable-1-3c 300 mm² Al XLPE</v>
      </c>
      <c r="E114" s="143">
        <f>VLOOKUP($A114&amp;$F114,TMK[[ID Rating]:[Summ Voltage]],E$15,0)</f>
        <v>11</v>
      </c>
      <c r="F114" s="82">
        <f t="array" ref="F114">MIN(IF(TMK[Station/Feeder]=$A114,TMK[Lowest MVA]))</f>
        <v>6.2933362326131022</v>
      </c>
      <c r="G114" s="98" t="str">
        <f>VLOOKUP($A114&amp;$K114,TMK[[ID Rating]:[Summ Voltage]],G$15,0)</f>
        <v>11 kV Bus</v>
      </c>
      <c r="H114" s="99" t="str">
        <f>VLOOKUP($A114&amp;$K114,TMK[[ID Rating]:[Summ Voltage]],H$15,0)</f>
        <v>T364</v>
      </c>
      <c r="I114" s="72" t="str">
        <f>VLOOKUP($A114&amp;$K114,TMK[[ID Rating]:[Summ Voltage]],I$15,0)</f>
        <v>Circuit Breaker-CD2-T651-Protection</v>
      </c>
      <c r="J114" s="143">
        <f>VLOOKUP($A114&amp;$K114,TMK[[ID Rating]:[Summ Voltage]],J$15,0)</f>
        <v>11</v>
      </c>
      <c r="K114" s="82">
        <f t="array" ref="K114">MIN(IF(TMK[Station/Feeder]=$A114,IF($F114&lt;TMK[Lowest MVA],TMK[Lowest MVA])))</f>
        <v>9.1452282639636717</v>
      </c>
    </row>
    <row r="115" spans="1:11" x14ac:dyDescent="0.25">
      <c r="A115" s="86" t="s">
        <v>124</v>
      </c>
      <c r="B115" s="96" t="str">
        <f>VLOOKUP($A115&amp;$F115,TMK[[ID Rating]:[Summ Voltage]],B$15,0)</f>
        <v>11 kV Bus</v>
      </c>
      <c r="C115" s="97" t="str">
        <f>VLOOKUP($A115&amp;$F115,TMK[[ID Rating]:[Summ Voltage]],C$15,0)</f>
        <v>T379</v>
      </c>
      <c r="D115" s="71" t="str">
        <f>VLOOKUP($A115&amp;$F115,TMK[[ID Rating]:[Summ Voltage]],D$15,0)</f>
        <v>Cable-1-3c 185 mm² XLPE</v>
      </c>
      <c r="E115" s="142">
        <f>VLOOKUP($A115&amp;$F115,TMK[[ID Rating]:[Summ Voltage]],E$15,0)</f>
        <v>11</v>
      </c>
      <c r="F115" s="81">
        <f t="array" ref="F115">MIN(IF(TMK[Station/Feeder]=$A115,TMK[Lowest MVA]))</f>
        <v>4.1875281177117394</v>
      </c>
      <c r="G115" s="96" t="str">
        <f>VLOOKUP($A115&amp;$K115,TMK[[ID Rating]:[Summ Voltage]],G$15,0)</f>
        <v>11 kV Bus</v>
      </c>
      <c r="H115" s="97" t="str">
        <f>VLOOKUP($A115&amp;$K115,TMK[[ID Rating]:[Summ Voltage]],H$15,0)</f>
        <v>T379</v>
      </c>
      <c r="I115" s="71" t="str">
        <f>VLOOKUP($A115&amp;$K115,TMK[[ID Rating]:[Summ Voltage]],I$15,0)</f>
        <v>Cable-1-3c 185 mm² Al PILC</v>
      </c>
      <c r="J115" s="142">
        <f>VLOOKUP($A115&amp;$K115,TMK[[ID Rating]:[Summ Voltage]],J$15,0)</f>
        <v>11</v>
      </c>
      <c r="K115" s="81">
        <f t="array" ref="K115">MIN(IF(TMK[Station/Feeder]=$A115,IF($F115&lt;TMK[Lowest MVA],TMK[Lowest MVA])))</f>
        <v>4.6183974309783045</v>
      </c>
    </row>
    <row r="116" spans="1:11" x14ac:dyDescent="0.25">
      <c r="A116" s="86" t="s">
        <v>132</v>
      </c>
      <c r="B116" s="98" t="str">
        <f>VLOOKUP($A116&amp;$F116,TMK[[ID Rating]:[Summ Voltage]],B$15,0)</f>
        <v>11 kV Bus</v>
      </c>
      <c r="C116" s="99" t="str">
        <f>VLOOKUP($A116&amp;$F116,TMK[[ID Rating]:[Summ Voltage]],C$15,0)</f>
        <v>T373</v>
      </c>
      <c r="D116" s="72" t="str">
        <f>VLOOKUP($A116&amp;$F116,TMK[[ID Rating]:[Summ Voltage]],D$15,0)</f>
        <v>Cable-1-3c 300 mm² Al XLPE</v>
      </c>
      <c r="E116" s="143">
        <f>VLOOKUP($A116&amp;$F116,TMK[[ID Rating]:[Summ Voltage]],E$15,0)</f>
        <v>11</v>
      </c>
      <c r="F116" s="82">
        <f t="array" ref="F116">MIN(IF(TMK[Station/Feeder]=$A116,TMK[Lowest MVA]))</f>
        <v>6.0347059764783175</v>
      </c>
      <c r="G116" s="98" t="str">
        <f>VLOOKUP($A116&amp;$K116,TMK[[ID Rating]:[Summ Voltage]],G$15,0)</f>
        <v>11 kV Bus</v>
      </c>
      <c r="H116" s="99" t="str">
        <f>VLOOKUP($A116&amp;$K116,TMK[[ID Rating]:[Summ Voltage]],H$15,0)</f>
        <v>T373</v>
      </c>
      <c r="I116" s="72" t="str">
        <f>VLOOKUP($A116&amp;$K116,TMK[[ID Rating]:[Summ Voltage]],I$15,0)</f>
        <v>Circuit Breaker-CD2-T653-Protection</v>
      </c>
      <c r="J116" s="143">
        <f>VLOOKUP($A116&amp;$K116,TMK[[ID Rating]:[Summ Voltage]],J$15,0)</f>
        <v>11</v>
      </c>
      <c r="K116" s="82">
        <f t="array" ref="K116">MIN(IF(TMK[Station/Feeder]=$A116,IF($F116&lt;TMK[Lowest MVA],TMK[Lowest MVA])))</f>
        <v>9.1452282639636717</v>
      </c>
    </row>
    <row r="117" spans="1:11" x14ac:dyDescent="0.25">
      <c r="A117" s="86" t="s">
        <v>138</v>
      </c>
      <c r="B117" s="96" t="str">
        <f>VLOOKUP($A117&amp;$F117,TMK[[ID Rating]:[Summ Voltage]],B$15,0)</f>
        <v>11 kV Bus</v>
      </c>
      <c r="C117" s="97" t="str">
        <f>VLOOKUP($A117&amp;$F117,TMK[[ID Rating]:[Summ Voltage]],C$15,0)</f>
        <v>T670</v>
      </c>
      <c r="D117" s="71" t="str">
        <f>VLOOKUP($A117&amp;$F117,TMK[[ID Rating]:[Summ Voltage]],D$15,0)</f>
        <v>Cable-1-3c 300 mm² Al XLPE</v>
      </c>
      <c r="E117" s="142">
        <f>VLOOKUP($A117&amp;$F117,TMK[[ID Rating]:[Summ Voltage]],E$15,0)</f>
        <v>11</v>
      </c>
      <c r="F117" s="81">
        <f t="array" ref="F117">MIN(IF(TMK[Station/Feeder]=$A117,TMK[Lowest MVA]))</f>
        <v>5.8909017584313847</v>
      </c>
      <c r="G117" s="96" t="str">
        <f>VLOOKUP($A117&amp;$K117,TMK[[ID Rating]:[Summ Voltage]],G$15,0)</f>
        <v>11 kV Bus</v>
      </c>
      <c r="H117" s="97" t="str">
        <f>VLOOKUP($A117&amp;$K117,TMK[[ID Rating]:[Summ Voltage]],H$15,0)</f>
        <v>T670</v>
      </c>
      <c r="I117" s="71" t="str">
        <f>VLOOKUP($A117&amp;$K117,TMK[[ID Rating]:[Summ Voltage]],I$15,0)</f>
        <v>Cable-3-1c 400 mm² Al XLPE</v>
      </c>
      <c r="J117" s="142">
        <f>VLOOKUP($A117&amp;$K117,TMK[[ID Rating]:[Summ Voltage]],J$15,0)</f>
        <v>11</v>
      </c>
      <c r="K117" s="81">
        <f t="array" ref="K117">MIN(IF(TMK[Station/Feeder]=$A117,IF($F117&lt;TMK[Lowest MVA],TMK[Lowest MVA])))</f>
        <v>7.7975126075872501</v>
      </c>
    </row>
    <row r="118" spans="1:11" x14ac:dyDescent="0.25">
      <c r="A118" s="86" t="s">
        <v>142</v>
      </c>
      <c r="B118" s="98" t="str">
        <f>VLOOKUP($A118&amp;$F118,TMK[[ID Rating]:[Summ Voltage]],B$15,0)</f>
        <v>11 kV Bus</v>
      </c>
      <c r="C118" s="99" t="str">
        <f>VLOOKUP($A118&amp;$F118,TMK[[ID Rating]:[Summ Voltage]],C$15,0)</f>
        <v>T482</v>
      </c>
      <c r="D118" s="72" t="str">
        <f>VLOOKUP($A118&amp;$F118,TMK[[ID Rating]:[Summ Voltage]],D$15,0)</f>
        <v>Cable-1-3c 300 mm² Al XLPE</v>
      </c>
      <c r="E118" s="143">
        <f>VLOOKUP($A118&amp;$F118,TMK[[ID Rating]:[Summ Voltage]],E$15,0)</f>
        <v>11</v>
      </c>
      <c r="F118" s="82">
        <f t="array" ref="F118">MIN(IF(TMK[Station/Feeder]=$A118,TMK[Lowest MVA]))</f>
        <v>5.4312353788304852</v>
      </c>
      <c r="G118" s="98" t="str">
        <f>VLOOKUP($A118&amp;$K118,TMK[[ID Rating]:[Summ Voltage]],G$15,0)</f>
        <v>11 kV Bus</v>
      </c>
      <c r="H118" s="99" t="str">
        <f>VLOOKUP($A118&amp;$K118,TMK[[ID Rating]:[Summ Voltage]],H$15,0)</f>
        <v>T482</v>
      </c>
      <c r="I118" s="72" t="str">
        <f>VLOOKUP($A118&amp;$K118,TMK[[ID Rating]:[Summ Voltage]],I$15,0)</f>
        <v>Circuit Breaker-CD2-T658-Protection</v>
      </c>
      <c r="J118" s="143">
        <f>VLOOKUP($A118&amp;$K118,TMK[[ID Rating]:[Summ Voltage]],J$15,0)</f>
        <v>11</v>
      </c>
      <c r="K118" s="82">
        <f t="array" ref="K118">MIN(IF(TMK[Station/Feeder]=$A118,IF($F118&lt;TMK[Lowest MVA],TMK[Lowest MVA])))</f>
        <v>9.1452282639636717</v>
      </c>
    </row>
    <row r="119" spans="1:11" x14ac:dyDescent="0.25">
      <c r="A119" s="86" t="s">
        <v>145</v>
      </c>
      <c r="B119" s="96" t="str">
        <f>VLOOKUP($A119&amp;$F119,TMK[[ID Rating]:[Summ Voltage]],B$15,0)</f>
        <v>11 kV Bus</v>
      </c>
      <c r="C119" s="97" t="str">
        <f>VLOOKUP($A119&amp;$F119,TMK[[ID Rating]:[Summ Voltage]],C$15,0)</f>
        <v>T383</v>
      </c>
      <c r="D119" s="71" t="str">
        <f>VLOOKUP($A119&amp;$F119,TMK[[ID Rating]:[Summ Voltage]],D$15,0)</f>
        <v>Cable-1-3c 300 mm² Al XLPE</v>
      </c>
      <c r="E119" s="142">
        <f>VLOOKUP($A119&amp;$F119,TMK[[ID Rating]:[Summ Voltage]],E$15,0)</f>
        <v>11</v>
      </c>
      <c r="F119" s="81">
        <f t="array" ref="F119">MIN(IF(TMK[Station/Feeder]=$A119,TMK[Lowest MVA]))</f>
        <v>5.8307905159984115</v>
      </c>
      <c r="G119" s="96" t="str">
        <f>VLOOKUP($A119&amp;$K119,TMK[[ID Rating]:[Summ Voltage]],G$15,0)</f>
        <v>11 kV Bus</v>
      </c>
      <c r="H119" s="97" t="str">
        <f>VLOOKUP($A119&amp;$K119,TMK[[ID Rating]:[Summ Voltage]],H$15,0)</f>
        <v>T383</v>
      </c>
      <c r="I119" s="71" t="str">
        <f>VLOOKUP($A119&amp;$K119,TMK[[ID Rating]:[Summ Voltage]],I$15,0)</f>
        <v>Circuit Breaker-CD2-T659-Protection</v>
      </c>
      <c r="J119" s="142">
        <f>VLOOKUP($A119&amp;$K119,TMK[[ID Rating]:[Summ Voltage]],J$15,0)</f>
        <v>11</v>
      </c>
      <c r="K119" s="81">
        <f t="array" ref="K119">MIN(IF(TMK[Station/Feeder]=$A119,IF($F119&lt;TMK[Lowest MVA],TMK[Lowest MVA])))</f>
        <v>9.1452282639636717</v>
      </c>
    </row>
    <row r="120" spans="1:11" x14ac:dyDescent="0.25">
      <c r="A120" s="86" t="s">
        <v>148</v>
      </c>
      <c r="B120" s="96" t="str">
        <f>VLOOKUP($A120&amp;$F120,TMK[[ID Rating]:[Summ Voltage]],B$15,0)</f>
        <v>11 kV Bus</v>
      </c>
      <c r="C120" s="97" t="str">
        <f>VLOOKUP($A120&amp;$F120,TMK[[ID Rating]:[Summ Voltage]],C$15,0)</f>
        <v>T338</v>
      </c>
      <c r="D120" s="71" t="str">
        <f>VLOOKUP($A120&amp;$F120,TMK[[ID Rating]:[Summ Voltage]],D$15,0)</f>
        <v>Cable-1-3c 300 mm² Al XLPE</v>
      </c>
      <c r="E120" s="142">
        <f>VLOOKUP($A120&amp;$F120,TMK[[ID Rating]:[Summ Voltage]],E$15,0)</f>
        <v>11</v>
      </c>
      <c r="F120" s="81">
        <f t="array" ref="F120">MIN(IF(TMK[Station/Feeder]=$A120,TMK[Lowest MVA]))</f>
        <v>5.4312353788304852</v>
      </c>
      <c r="G120" s="96" t="str">
        <f>VLOOKUP($A120&amp;$K120,TMK[[ID Rating]:[Summ Voltage]],G$15,0)</f>
        <v>11 kV Bus</v>
      </c>
      <c r="H120" s="97" t="str">
        <f>VLOOKUP($A120&amp;$K120,TMK[[ID Rating]:[Summ Voltage]],H$15,0)</f>
        <v>T338</v>
      </c>
      <c r="I120" s="71" t="str">
        <f>VLOOKUP($A120&amp;$K120,TMK[[ID Rating]:[Summ Voltage]],I$15,0)</f>
        <v>Circuit Breaker-CD2-T660-Protection</v>
      </c>
      <c r="J120" s="142">
        <f>VLOOKUP($A120&amp;$K120,TMK[[ID Rating]:[Summ Voltage]],J$15,0)</f>
        <v>11</v>
      </c>
      <c r="K120" s="81">
        <f t="array" ref="K120">MIN(IF(TMK[Station/Feeder]=$A120,IF($F120&lt;TMK[Lowest MVA],TMK[Lowest MVA])))</f>
        <v>9.1452282639636717</v>
      </c>
    </row>
    <row r="121" spans="1:11" x14ac:dyDescent="0.25">
      <c r="A121" s="86" t="s">
        <v>150</v>
      </c>
      <c r="B121" s="96" t="str">
        <f>VLOOKUP($A121&amp;$F121,TMK[[ID Rating]:[Summ Voltage]],B$15,0)</f>
        <v>11 kV Bus</v>
      </c>
      <c r="C121" s="97" t="str">
        <f>VLOOKUP($A121&amp;$F121,TMK[[ID Rating]:[Summ Voltage]],C$15,0)</f>
        <v>T182</v>
      </c>
      <c r="D121" s="71" t="str">
        <f>VLOOKUP($A121&amp;$F121,TMK[[ID Rating]:[Summ Voltage]],D$15,0)</f>
        <v>Cable-1-3c 300 mm² Al XLPE</v>
      </c>
      <c r="E121" s="142">
        <f>VLOOKUP($A121&amp;$F121,TMK[[ID Rating]:[Summ Voltage]],E$15,0)</f>
        <v>11</v>
      </c>
      <c r="F121" s="81">
        <f t="array" ref="F121">MIN(IF(TMK[Station/Feeder]=$A121,TMK[Lowest MVA]))</f>
        <v>5.4312353788304852</v>
      </c>
      <c r="G121" s="96" t="str">
        <f>VLOOKUP($A121&amp;$K121,TMK[[ID Rating]:[Summ Voltage]],G$15,0)</f>
        <v>11 kV Bus</v>
      </c>
      <c r="H121" s="97" t="str">
        <f>VLOOKUP($A121&amp;$K121,TMK[[ID Rating]:[Summ Voltage]],H$15,0)</f>
        <v>T182</v>
      </c>
      <c r="I121" s="71" t="str">
        <f>VLOOKUP($A121&amp;$K121,TMK[[ID Rating]:[Summ Voltage]],I$15,0)</f>
        <v>Circuit Breaker-CD2-T661-Protection</v>
      </c>
      <c r="J121" s="142">
        <f>VLOOKUP($A121&amp;$K121,TMK[[ID Rating]:[Summ Voltage]],J$15,0)</f>
        <v>11</v>
      </c>
      <c r="K121" s="81">
        <f t="array" ref="K121">MIN(IF(TMK[Station/Feeder]=$A121,IF($F121&lt;TMK[Lowest MVA],TMK[Lowest MVA])))</f>
        <v>9.1452282639636717</v>
      </c>
    </row>
    <row r="122" spans="1:11" x14ac:dyDescent="0.25">
      <c r="A122" s="86" t="s">
        <v>1446</v>
      </c>
      <c r="B122" s="98" t="str">
        <f>VLOOKUP($A122&amp;$F122,TMK[[ID Rating]:[Summ Voltage]],B$15,0)</f>
        <v>11 kV Bus</v>
      </c>
      <c r="C122" s="99" t="str">
        <f>VLOOKUP($A122&amp;$F122,TMK[[ID Rating]:[Summ Voltage]],C$15,0)</f>
        <v>T708</v>
      </c>
      <c r="D122" s="72" t="str">
        <f>VLOOKUP($A122&amp;$F122,TMK[[ID Rating]:[Summ Voltage]],D$15,0)</f>
        <v>Circuit Breaker-CD2-CB2-Protection</v>
      </c>
      <c r="E122" s="143">
        <f>VLOOKUP($A122&amp;$F122,TMK[[ID Rating]:[Summ Voltage]],E$15,0)</f>
        <v>11</v>
      </c>
      <c r="F122" s="82">
        <f t="array" ref="F122">MIN(IF(TMK[Station/Feeder]=$A122,TMK[Lowest MVA]))</f>
        <v>11.43153532995459</v>
      </c>
      <c r="G122" s="98" t="str">
        <f>VLOOKUP($A122&amp;$K122,TMK[[ID Rating]:[Summ Voltage]],G$15,0)</f>
        <v>11 kV Bus</v>
      </c>
      <c r="H122" s="99" t="str">
        <f>VLOOKUP($A122&amp;$K122,TMK[[ID Rating]:[Summ Voltage]],H$15,0)</f>
        <v>T708</v>
      </c>
      <c r="I122" s="72" t="str">
        <f>VLOOKUP($A122&amp;$K122,TMK[[ID Rating]:[Summ Voltage]],I$15,0)</f>
        <v>RMU Switch-T708</v>
      </c>
      <c r="J122" s="143">
        <f>VLOOKUP($A122&amp;$K122,TMK[[ID Rating]:[Summ Voltage]],J$15,0)</f>
        <v>11</v>
      </c>
      <c r="K122" s="82">
        <f t="array" ref="K122">MIN(IF(TMK[Station/Feeder]=$A122,IF($F122&lt;TMK[Lowest MVA],TMK[Lowest MVA])))</f>
        <v>12.00311209645232</v>
      </c>
    </row>
    <row r="123" spans="1:11" ht="15.75" thickBot="1" x14ac:dyDescent="0.3">
      <c r="A123" s="87" t="s">
        <v>1447</v>
      </c>
      <c r="B123" s="101" t="str">
        <f>VLOOKUP($A123&amp;$F123,TMK[[ID Rating]:[Summ Voltage]],B$15,0)</f>
        <v>11 kV Bus</v>
      </c>
      <c r="C123" s="102" t="str">
        <f>VLOOKUP($A123&amp;$F123,TMK[[ID Rating]:[Summ Voltage]],C$15,0)</f>
        <v>T737</v>
      </c>
      <c r="D123" s="73" t="str">
        <f>VLOOKUP($A123&amp;$F123,TMK[[ID Rating]:[Summ Voltage]],D$15,0)</f>
        <v>Circuit Breaker-CD2-CB15-Protection</v>
      </c>
      <c r="E123" s="144">
        <f>VLOOKUP($A123&amp;$F123,TMK[[ID Rating]:[Summ Voltage]],E$15,0)</f>
        <v>11</v>
      </c>
      <c r="F123" s="83">
        <f t="array" ref="F123">MIN(IF(TMK[Station/Feeder]=$A123,TMK[Lowest MVA]))</f>
        <v>11.43153532995459</v>
      </c>
      <c r="G123" s="101" t="str">
        <f>VLOOKUP($A123&amp;$K123,TMK[[ID Rating]:[Summ Voltage]],G$15,0)</f>
        <v>11 kV Bus</v>
      </c>
      <c r="H123" s="102" t="str">
        <f>VLOOKUP($A123&amp;$K123,TMK[[ID Rating]:[Summ Voltage]],H$15,0)</f>
        <v>T737</v>
      </c>
      <c r="I123" s="73" t="str">
        <f>VLOOKUP($A123&amp;$K123,TMK[[ID Rating]:[Summ Voltage]],I$15,0)</f>
        <v>RMU Switch-T737</v>
      </c>
      <c r="J123" s="144">
        <f>VLOOKUP($A123&amp;$K123,TMK[[ID Rating]:[Summ Voltage]],J$15,0)</f>
        <v>11</v>
      </c>
      <c r="K123" s="83">
        <f t="array" ref="K123">MIN(IF(TMK[Station/Feeder]=$A123,IF($F123&lt;TMK[Lowest MVA],TMK[Lowest MVA])))</f>
        <v>12.00311209645232</v>
      </c>
    </row>
    <row r="124" spans="1:11" ht="15.75" thickBot="1" x14ac:dyDescent="0.3"/>
    <row r="125" spans="1:11" ht="15.75" customHeight="1" thickBot="1" x14ac:dyDescent="0.3">
      <c r="A125" s="518" t="s">
        <v>1136</v>
      </c>
      <c r="B125" s="519"/>
      <c r="C125" s="519"/>
      <c r="D125" s="519"/>
      <c r="E125" s="519"/>
      <c r="F125" s="519"/>
      <c r="G125" s="519"/>
      <c r="H125" s="519"/>
      <c r="I125" s="519"/>
      <c r="J125" s="519"/>
      <c r="K125" s="520"/>
    </row>
    <row r="126" spans="1:11" x14ac:dyDescent="0.25">
      <c r="A126" s="85" t="s">
        <v>75</v>
      </c>
      <c r="B126" s="311" t="str">
        <f>VLOOKUP($A126&amp;$F126,TIM[[ID Rating]:[Summ Voltage]],B$15,0)</f>
        <v>110 kV Bus</v>
      </c>
      <c r="C126" s="312" t="str">
        <f>VLOOKUP($A126&amp;$F126,TIM[[ID Rating]:[Summ Voltage]],C$15,0)</f>
        <v>11 kV Bus</v>
      </c>
      <c r="D126" s="313" t="str">
        <f>VLOOKUP($A126&amp;$F126,TIM[[ID Rating]:[Summ Voltage]],D$15,0)</f>
        <v>Circuit Breaker-TIM-CB2752-Protection</v>
      </c>
      <c r="E126" s="314">
        <f>VLOOKUP($A126&amp;$F126,TIM[[ID Rating]:[Summ Voltage]],E$15,0)</f>
        <v>11</v>
      </c>
      <c r="F126" s="315">
        <f t="array" ref="F126">MIN(IF(TIM[Station/Feeder]=$A126,TIM[Lowest MVA]))</f>
        <v>29.417150915749811</v>
      </c>
      <c r="G126" s="311" t="str">
        <f>VLOOKUP($A126&amp;$K126,TIM[[ID Rating]:[Summ Voltage]],G$15,0)</f>
        <v>110 kV Bus</v>
      </c>
      <c r="H126" s="312" t="str">
        <f>VLOOKUP($A126&amp;$K126,TIM[[ID Rating]:[Summ Voltage]],H$15,0)</f>
        <v>11 kV Bus</v>
      </c>
      <c r="I126" s="313" t="str">
        <f>VLOOKUP($A126&amp;$K126,TIM[[ID Rating]:[Summ Voltage]],I$15,0)</f>
        <v>Tap Changer-TIM.TF.T3-Tap Changer</v>
      </c>
      <c r="J126" s="314">
        <f>VLOOKUP($A126&amp;$K126,TIM[[ID Rating]:[Summ Voltage]],J$15,0)</f>
        <v>110</v>
      </c>
      <c r="K126" s="315">
        <f t="array" ref="K126">MIN(IF(TIM[Station/Feeder]=$A126,IF($F126&lt;TIM[Lowest MVA],TIM[Lowest MVA])))</f>
        <v>47.631397208144122</v>
      </c>
    </row>
    <row r="127" spans="1:11" x14ac:dyDescent="0.25">
      <c r="A127" s="86" t="s">
        <v>93</v>
      </c>
      <c r="B127" s="301" t="str">
        <f>VLOOKUP($A127&amp;$F127,TIM[[ID Rating]:[Summ Voltage]],B$15,0)</f>
        <v>CB2692</v>
      </c>
      <c r="C127" s="302" t="str">
        <f>VLOOKUP($A127&amp;$F127,TIM[[ID Rating]:[Summ Voltage]],C$15,0)</f>
        <v>NST35</v>
      </c>
      <c r="D127" s="303" t="str">
        <f>VLOOKUP($A127&amp;$F127,TIM[[ID Rating]:[Summ Voltage]],D$15,0)</f>
        <v>Cable-3/1c 1200mm² Al XLPE CWS MDPE</v>
      </c>
      <c r="E127" s="304">
        <f>VLOOKUP($A127&amp;$F127,TIM[[ID Rating]:[Summ Voltage]],E$15,0)</f>
        <v>11</v>
      </c>
      <c r="F127" s="305">
        <f t="array" ref="F127">MIN(IF(TIM[Station/Feeder]=$A127,TIM[Lowest MVA]))</f>
        <v>15.361411388009726</v>
      </c>
      <c r="G127" s="301" t="str">
        <f>VLOOKUP($A127&amp;$K127,TIM[[ID Rating]:[Summ Voltage]],G$15,0)</f>
        <v>11 kV Bus</v>
      </c>
      <c r="H127" s="302" t="str">
        <f>VLOOKUP($A127&amp;$K127,TIM[[ID Rating]:[Summ Voltage]],H$15,0)</f>
        <v>CB2692</v>
      </c>
      <c r="I127" s="303" t="str">
        <f>VLOOKUP($A127&amp;$K127,TIM[[ID Rating]:[Summ Voltage]],I$15,0)</f>
        <v>Circuit Breaker-TIM-CB2692-Protection</v>
      </c>
      <c r="J127" s="304">
        <f>VLOOKUP($A127&amp;$K127,TIM[[ID Rating]:[Summ Voltage]],J$15,0)</f>
        <v>11</v>
      </c>
      <c r="K127" s="305">
        <f t="array" ref="K127">MIN(IF(TIM[Station/Feeder]=$A127,IF($F127&lt;TIM[Lowest MVA],TIM[Lowest MVA])))</f>
        <v>22.558229717777056</v>
      </c>
    </row>
    <row r="128" spans="1:11" x14ac:dyDescent="0.25">
      <c r="A128" s="86" t="s">
        <v>106</v>
      </c>
      <c r="B128" s="306" t="str">
        <f>VLOOKUP($A128&amp;$F128,TIM[[ID Rating]:[Summ Voltage]],B$15,0)</f>
        <v>Joint</v>
      </c>
      <c r="C128" s="307" t="str">
        <f>VLOOKUP($A128&amp;$F128,TIM[[ID Rating]:[Summ Voltage]],C$15,0)</f>
        <v>TEGRASMERE19</v>
      </c>
      <c r="D128" s="308" t="str">
        <f>VLOOKUP($A128&amp;$F128,TIM[[ID Rating]:[Summ Voltage]],D$15,0)</f>
        <v>Cable-3c 400mm² Cu PILC SWA</v>
      </c>
      <c r="E128" s="309">
        <f>VLOOKUP($A128&amp;$F128,TIM[[ID Rating]:[Summ Voltage]],E$15,0)</f>
        <v>11</v>
      </c>
      <c r="F128" s="310">
        <f t="array" ref="F128">MIN(IF(TIM[Station/Feeder]=$A128,TIM[Lowest MVA]))</f>
        <v>7.8604380082300729</v>
      </c>
      <c r="G128" s="306" t="str">
        <f>VLOOKUP($A128&amp;$K128,TIM[[ID Rating]:[Summ Voltage]],G$15,0)</f>
        <v>11 kV Bus</v>
      </c>
      <c r="H128" s="307" t="str">
        <f>VLOOKUP($A128&amp;$K128,TIM[[ID Rating]:[Summ Voltage]],H$15,0)</f>
        <v>CB2812</v>
      </c>
      <c r="I128" s="308" t="str">
        <f>VLOOKUP($A128&amp;$K128,TIM[[ID Rating]:[Summ Voltage]],I$15,0)</f>
        <v>Circuit Breaker-TIM-CB2812-Protection</v>
      </c>
      <c r="J128" s="309">
        <f>VLOOKUP($A128&amp;$K128,TIM[[ID Rating]:[Summ Voltage]],J$15,0)</f>
        <v>11</v>
      </c>
      <c r="K128" s="310">
        <f t="array" ref="K128">MIN(IF(TIM[Station/Feeder]=$A128,IF($F128&lt;TIM[Lowest MVA],TIM[Lowest MVA])))</f>
        <v>10.478907385791706</v>
      </c>
    </row>
    <row r="129" spans="1:11" x14ac:dyDescent="0.25">
      <c r="A129" s="86" t="s">
        <v>1313</v>
      </c>
      <c r="B129" s="98" t="str">
        <f>VLOOKUP($A129&amp;$F129,TIM[[ID Rating]:[Summ Voltage]],B$15,0)</f>
        <v>11 kV Bus</v>
      </c>
      <c r="C129" s="99" t="str">
        <f>VLOOKUP($A129&amp;$F129,TIM[[ID Rating]:[Summ Voltage]],C$15,0)</f>
        <v>CB2662</v>
      </c>
      <c r="D129" s="72" t="str">
        <f>VLOOKUP($A129&amp;$F129,TIM[[ID Rating]:[Summ Voltage]],D$15,0)</f>
        <v>Circuit Breaker-TIM-CB2662-Protection</v>
      </c>
      <c r="E129" s="143">
        <f>VLOOKUP($A129&amp;$F129,TIM[[ID Rating]:[Summ Voltage]],E$15,0)</f>
        <v>11</v>
      </c>
      <c r="F129" s="82">
        <f t="array" ref="F129">MIN(IF(TIM[Station/Feeder]=$A129,TIM[Lowest MVA]))</f>
        <v>7.6210235533030604</v>
      </c>
      <c r="G129" s="98" t="e">
        <f>VLOOKUP($A129&amp;$K129,TIM[[ID Rating]:[Summ Voltage]],G$15,0)</f>
        <v>#N/A</v>
      </c>
      <c r="H129" s="99" t="e">
        <f>VLOOKUP($A129&amp;$K129,TIM[[ID Rating]:[Summ Voltage]],H$15,0)</f>
        <v>#N/A</v>
      </c>
      <c r="I129" s="72" t="e">
        <f>VLOOKUP($A129&amp;$K129,TIM[[ID Rating]:[Summ Voltage]],I$15,0)</f>
        <v>#N/A</v>
      </c>
      <c r="J129" s="143" t="e">
        <f>VLOOKUP($A129&amp;$K129,TIM[[ID Rating]:[Summ Voltage]],J$15,0)</f>
        <v>#N/A</v>
      </c>
      <c r="K129" s="82">
        <f t="array" ref="K129">MIN(IF(TIM[Station/Feeder]=$A129,IF($F129&lt;TIM[Lowest MVA],TIM[Lowest MVA])))</f>
        <v>0</v>
      </c>
    </row>
    <row r="130" spans="1:11" x14ac:dyDescent="0.25">
      <c r="A130" s="86" t="s">
        <v>1308</v>
      </c>
      <c r="B130" s="306" t="str">
        <f>VLOOKUP($A130&amp;$F130,TIM[[ID Rating]:[Summ Voltage]],B$15,0)</f>
        <v>CB2682</v>
      </c>
      <c r="C130" s="307" t="str">
        <f>VLOOKUP($A130&amp;$F130,TIM[[ID Rating]:[Summ Voltage]],C$15,0)</f>
        <v>L1080</v>
      </c>
      <c r="D130" s="308" t="str">
        <f>VLOOKUP($A130&amp;$F130,TIM[[ID Rating]:[Summ Voltage]],D$15,0)</f>
        <v>Cable-3x 1c 400mm2 Al XLPE HDPE</v>
      </c>
      <c r="E130" s="309">
        <f>VLOOKUP($A130&amp;$F130,TIM[[ID Rating]:[Summ Voltage]],E$15,0)</f>
        <v>11</v>
      </c>
      <c r="F130" s="310">
        <f t="array" ref="F130">MIN(IF(TIM[Station/Feeder]=$A130,TIM[Lowest MVA]))</f>
        <v>6.5731328147238894</v>
      </c>
      <c r="G130" s="306" t="str">
        <f>VLOOKUP($A130&amp;$K130,TIM[[ID Rating]:[Summ Voltage]],G$15,0)</f>
        <v>11 kV Bus</v>
      </c>
      <c r="H130" s="307" t="str">
        <f>VLOOKUP($A130&amp;$K130,TIM[[ID Rating]:[Summ Voltage]],H$15,0)</f>
        <v>CB2682</v>
      </c>
      <c r="I130" s="308" t="str">
        <f>VLOOKUP($A130&amp;$K130,TIM[[ID Rating]:[Summ Voltage]],I$15,0)</f>
        <v>Circuit Breaker-TIM-CB2682-Protection</v>
      </c>
      <c r="J130" s="309">
        <f>VLOOKUP($A130&amp;$K130,TIM[[ID Rating]:[Summ Voltage]],J$15,0)</f>
        <v>11</v>
      </c>
      <c r="K130" s="310">
        <f t="array" ref="K130">MIN(IF(TIM[Station/Feeder]=$A130,IF($F130&lt;TIM[Lowest MVA],TIM[Lowest MVA])))</f>
        <v>7.6210235533030604</v>
      </c>
    </row>
    <row r="131" spans="1:11" x14ac:dyDescent="0.25">
      <c r="A131" s="86" t="s">
        <v>1317</v>
      </c>
      <c r="B131" s="98" t="str">
        <f>VLOOKUP($A131&amp;$F131,TIM[[ID Rating]:[Summ Voltage]],B$15,0)</f>
        <v>CB2692</v>
      </c>
      <c r="C131" s="99" t="str">
        <f>VLOOKUP($A131&amp;$F131,TIM[[ID Rating]:[Summ Voltage]],C$15,0)</f>
        <v>NST35</v>
      </c>
      <c r="D131" s="72" t="str">
        <f>VLOOKUP($A131&amp;$F131,TIM[[ID Rating]:[Summ Voltage]],D$15,0)</f>
        <v>Cable-3/1c 1200mm² Al XLPE CWS MDPE</v>
      </c>
      <c r="E131" s="143">
        <f>VLOOKUP($A131&amp;$F131,TIM[[ID Rating]:[Summ Voltage]],E$15,0)</f>
        <v>11</v>
      </c>
      <c r="F131" s="82">
        <f t="array" ref="F131">MIN(IF(TIM[Station/Feeder]=$A131,TIM[Lowest MVA]))</f>
        <v>15.361411388009726</v>
      </c>
      <c r="G131" s="98" t="str">
        <f>VLOOKUP($A131&amp;$K131,TIM[[ID Rating]:[Summ Voltage]],G$15,0)</f>
        <v>11 kV Bus</v>
      </c>
      <c r="H131" s="99" t="str">
        <f>VLOOKUP($A131&amp;$K131,TIM[[ID Rating]:[Summ Voltage]],H$15,0)</f>
        <v>CB2692</v>
      </c>
      <c r="I131" s="72" t="str">
        <f>VLOOKUP($A131&amp;$K131,TIM[[ID Rating]:[Summ Voltage]],I$15,0)</f>
        <v>Circuit Breaker-TIM-CB2692-Protection</v>
      </c>
      <c r="J131" s="143">
        <f>VLOOKUP($A131&amp;$K131,TIM[[ID Rating]:[Summ Voltage]],J$15,0)</f>
        <v>11</v>
      </c>
      <c r="K131" s="82">
        <f t="array" ref="K131">MIN(IF(TIM[Station/Feeder]=$A131,IF($F131&lt;TIM[Lowest MVA],TIM[Lowest MVA])))</f>
        <v>22.558229717777056</v>
      </c>
    </row>
    <row r="132" spans="1:11" x14ac:dyDescent="0.25">
      <c r="A132" s="86" t="s">
        <v>117</v>
      </c>
      <c r="B132" s="96" t="str">
        <f>VLOOKUP($A132&amp;$F132,TIM[[ID Rating]:[Summ Voltage]],B$15,0)</f>
        <v>Pole 35233</v>
      </c>
      <c r="C132" s="97" t="str">
        <f>VLOOKUP($A132&amp;$F132,TIM[[ID Rating]:[Summ Voltage]],C$15,0)</f>
        <v>Joint</v>
      </c>
      <c r="D132" s="71" t="str">
        <f>VLOOKUP($A132&amp;$F132,TIM[[ID Rating]:[Summ Voltage]],D$15,0)</f>
        <v>Cable-3c 150mm² Al PILC STA</v>
      </c>
      <c r="E132" s="142">
        <f>VLOOKUP($A132&amp;$F132,TIM[[ID Rating]:[Summ Voltage]],E$15,0)</f>
        <v>11</v>
      </c>
      <c r="F132" s="81">
        <f t="array" ref="F132">MIN(IF(TIM[Station/Feeder]=$A132,TIM[Lowest MVA]))</f>
        <v>3.5824921808786194</v>
      </c>
      <c r="G132" s="96" t="str">
        <f>VLOOKUP($A132&amp;$K132,TIM[[ID Rating]:[Summ Voltage]],G$15,0)</f>
        <v>Pole 35185</v>
      </c>
      <c r="H132" s="97" t="str">
        <f>VLOOKUP($A132&amp;$K132,TIM[[ID Rating]:[Summ Voltage]],H$15,0)</f>
        <v>Pole 35229</v>
      </c>
      <c r="I132" s="71" t="str">
        <f>VLOOKUP($A132&amp;$K132,TIM[[ID Rating]:[Summ Voltage]],I$15,0)</f>
        <v>Cable-3c 185mm² Al XLPE HDPE</v>
      </c>
      <c r="J132" s="142">
        <f>VLOOKUP($A132&amp;$K132,TIM[[ID Rating]:[Summ Voltage]],J$15,0)</f>
        <v>11</v>
      </c>
      <c r="K132" s="81">
        <f t="array" ref="K132">MIN(IF(TIM[Station/Feeder]=$A132,IF($F132&lt;TIM[Lowest MVA],TIM[Lowest MVA])))</f>
        <v>4.9614136995564273</v>
      </c>
    </row>
    <row r="133" spans="1:11" x14ac:dyDescent="0.25">
      <c r="A133" s="86" t="s">
        <v>128</v>
      </c>
      <c r="B133" s="98" t="str">
        <f>VLOOKUP($A133&amp;$F133,TIM[[ID Rating]:[Summ Voltage]],B$15,0)</f>
        <v>Joint</v>
      </c>
      <c r="C133" s="99" t="str">
        <f>VLOOKUP($A133&amp;$F133,TIM[[ID Rating]:[Summ Voltage]],C$15,0)</f>
        <v>ABS L978</v>
      </c>
      <c r="D133" s="72" t="str">
        <f>VLOOKUP($A133&amp;$F133,TIM[[ID Rating]:[Summ Voltage]],D$15,0)</f>
        <v>Cable-3c 300mm² Al XLPE MDPE</v>
      </c>
      <c r="E133" s="143">
        <f>VLOOKUP($A133&amp;$F133,TIM[[ID Rating]:[Summ Voltage]],E$15,0)</f>
        <v>11</v>
      </c>
      <c r="F133" s="82">
        <f t="array" ref="F133">MIN(IF(TIM[Station/Feeder]=$A133,TIM[Lowest MVA]))</f>
        <v>7.0199640950870226</v>
      </c>
      <c r="G133" s="98" t="str">
        <f>VLOOKUP($A133&amp;$K133,TIM[[ID Rating]:[Summ Voltage]],G$15,0)</f>
        <v>11 kV Bus</v>
      </c>
      <c r="H133" s="99" t="str">
        <f>VLOOKUP($A133&amp;$K133,TIM[[ID Rating]:[Summ Voltage]],H$15,0)</f>
        <v>CB2712</v>
      </c>
      <c r="I133" s="72" t="str">
        <f>VLOOKUP($A133&amp;$K133,TIM[[ID Rating]:[Summ Voltage]],I$15,0)</f>
        <v>Circuit Breaker-TIM-CB2712-Protection</v>
      </c>
      <c r="J133" s="143">
        <f>VLOOKUP($A133&amp;$K133,TIM[[ID Rating]:[Summ Voltage]],J$15,0)</f>
        <v>11</v>
      </c>
      <c r="K133" s="82">
        <f t="array" ref="K133">MIN(IF(TIM[Station/Feeder]=$A133,IF($F133&lt;TIM[Lowest MVA],TIM[Lowest MVA])))</f>
        <v>7.6210235533030604</v>
      </c>
    </row>
    <row r="134" spans="1:11" x14ac:dyDescent="0.25">
      <c r="A134" s="86" t="s">
        <v>135</v>
      </c>
      <c r="B134" s="96" t="str">
        <f>VLOOKUP($A134&amp;$F134,TIM[[ID Rating]:[Summ Voltage]],B$15,0)</f>
        <v>11 kV Bus</v>
      </c>
      <c r="C134" s="97" t="str">
        <f>VLOOKUP($A134&amp;$F134,TIM[[ID Rating]:[Summ Voltage]],C$15,0)</f>
        <v>CB2732</v>
      </c>
      <c r="D134" s="71" t="str">
        <f>VLOOKUP($A134&amp;$F134,TIM[[ID Rating]:[Summ Voltage]],D$15,0)</f>
        <v>Circuit Breaker-TIM-CB2732-Protection</v>
      </c>
      <c r="E134" s="142">
        <f>VLOOKUP($A134&amp;$F134,TIM[[ID Rating]:[Summ Voltage]],E$15,0)</f>
        <v>11</v>
      </c>
      <c r="F134" s="81">
        <f t="array" ref="F134">MIN(IF(TIM[Station/Feeder]=$A134,TIM[Lowest MVA]))</f>
        <v>20.348132887319171</v>
      </c>
      <c r="G134" s="96" t="str">
        <f>VLOOKUP($A134&amp;$K134,TIM[[ID Rating]:[Summ Voltage]],G$15,0)</f>
        <v>CB2732</v>
      </c>
      <c r="H134" s="97" t="str">
        <f>VLOOKUP($A134&amp;$K134,TIM[[ID Rating]:[Summ Voltage]],H$15,0)</f>
        <v>B774/T1</v>
      </c>
      <c r="I134" s="71" t="str">
        <f>VLOOKUP($A134&amp;$K134,TIM[[ID Rating]:[Summ Voltage]],I$15,0)</f>
        <v xml:space="preserve">Cable-2 x 3/1c 630mm² Cu </v>
      </c>
      <c r="J134" s="142">
        <f>VLOOKUP($A134&amp;$K134,TIM[[ID Rating]:[Summ Voltage]],J$15,0)</f>
        <v>11</v>
      </c>
      <c r="K134" s="81">
        <f t="array" ref="K134">MIN(IF(TIM[Station/Feeder]=$A134,IF($F134&lt;TIM[Lowest MVA],TIM[Lowest MVA])))</f>
        <v>21.349230541281056</v>
      </c>
    </row>
    <row r="135" spans="1:11" x14ac:dyDescent="0.25">
      <c r="A135" s="86" t="s">
        <v>1309</v>
      </c>
      <c r="B135" s="98" t="str">
        <f>VLOOKUP($A135&amp;$F135,TIM[[ID Rating]:[Summ Voltage]],B$15,0)</f>
        <v>Joint</v>
      </c>
      <c r="C135" s="99" t="str">
        <f>VLOOKUP($A135&amp;$F135,TIM[[ID Rating]:[Summ Voltage]],C$15,0)</f>
        <v>ABS L767</v>
      </c>
      <c r="D135" s="72" t="str">
        <f>VLOOKUP($A135&amp;$F135,TIM[[ID Rating]:[Summ Voltage]],D$15,0)</f>
        <v>Cable-3c 300mm² Al XLPE MDPE</v>
      </c>
      <c r="E135" s="143">
        <f>VLOOKUP($A135&amp;$F135,TIM[[ID Rating]:[Summ Voltage]],E$15,0)</f>
        <v>11</v>
      </c>
      <c r="F135" s="82">
        <f t="array" ref="F135">MIN(IF(TIM[Station/Feeder]=$A135,TIM[Lowest MVA]))</f>
        <v>7.5161119333864042</v>
      </c>
      <c r="G135" s="98" t="str">
        <f>VLOOKUP($A135&amp;$K135,TIM[[ID Rating]:[Summ Voltage]],G$15,0)</f>
        <v>11 kV Bus</v>
      </c>
      <c r="H135" s="99" t="str">
        <f>VLOOKUP($A135&amp;$K135,TIM[[ID Rating]:[Summ Voltage]],H$15,0)</f>
        <v>CB2742</v>
      </c>
      <c r="I135" s="72" t="str">
        <f>VLOOKUP($A135&amp;$K135,TIM[[ID Rating]:[Summ Voltage]],I$15,0)</f>
        <v>Circuit Breaker-TIM-CB2742-Protection</v>
      </c>
      <c r="J135" s="143">
        <f>VLOOKUP($A135&amp;$K135,TIM[[ID Rating]:[Summ Voltage]],J$15,0)</f>
        <v>11</v>
      </c>
      <c r="K135" s="82">
        <f t="array" ref="K135">MIN(IF(TIM[Station/Feeder]=$A135,IF($F135&lt;TIM[Lowest MVA],TIM[Lowest MVA])))</f>
        <v>7.6210235533030604</v>
      </c>
    </row>
    <row r="136" spans="1:11" x14ac:dyDescent="0.25">
      <c r="A136" s="86" t="s">
        <v>143</v>
      </c>
      <c r="B136" s="96" t="str">
        <f>VLOOKUP($A136&amp;$F136,TIM[[ID Rating]:[Summ Voltage]],B$15,0)</f>
        <v>Joint</v>
      </c>
      <c r="C136" s="97" t="str">
        <f>VLOOKUP($A136&amp;$F136,TIM[[ID Rating]:[Summ Voltage]],C$15,0)</f>
        <v>ABS L516</v>
      </c>
      <c r="D136" s="71" t="str">
        <f>VLOOKUP($A136&amp;$F136,TIM[[ID Rating]:[Summ Voltage]],D$15,0)</f>
        <v>Cable-3c 240mm²  AL PILC STA</v>
      </c>
      <c r="E136" s="142">
        <f>VLOOKUP($A136&amp;$F136,TIM[[ID Rating]:[Summ Voltage]],E$15,0)</f>
        <v>11</v>
      </c>
      <c r="F136" s="81">
        <f t="array" ref="F136">MIN(IF(TIM[Station/Feeder]=$A136,TIM[Lowest MVA]))</f>
        <v>5.335280443055086</v>
      </c>
      <c r="G136" s="96" t="str">
        <f>VLOOKUP($A136&amp;$K136,TIM[[ID Rating]:[Summ Voltage]],G$15,0)</f>
        <v>CB2762</v>
      </c>
      <c r="H136" s="97" t="str">
        <f>VLOOKUP($A136&amp;$K136,TIM[[ID Rating]:[Summ Voltage]],H$15,0)</f>
        <v>Joint</v>
      </c>
      <c r="I136" s="71" t="str">
        <f>VLOOKUP($A136&amp;$K136,TIM[[ID Rating]:[Summ Voltage]],I$15,0)</f>
        <v>Cable-3/1c 400mm² AL XLPE HDPE Screened</v>
      </c>
      <c r="J136" s="142">
        <f>VLOOKUP($A136&amp;$K136,TIM[[ID Rating]:[Summ Voltage]],J$15,0)</f>
        <v>11</v>
      </c>
      <c r="K136" s="81">
        <f t="array" ref="K136">MIN(IF(TIM[Station/Feeder]=$A136,IF($F136&lt;TIM[Lowest MVA],TIM[Lowest MVA])))</f>
        <v>7.558009882154928</v>
      </c>
    </row>
    <row r="137" spans="1:11" x14ac:dyDescent="0.25">
      <c r="A137" s="86" t="s">
        <v>146</v>
      </c>
      <c r="B137" s="98" t="str">
        <f>VLOOKUP($A137&amp;$F137,TIM[[ID Rating]:[Summ Voltage]],B$15,0)</f>
        <v>Joint</v>
      </c>
      <c r="C137" s="99" t="str">
        <f>VLOOKUP($A137&amp;$F137,TIM[[ID Rating]:[Summ Voltage]],C$15,0)</f>
        <v>L773</v>
      </c>
      <c r="D137" s="72" t="str">
        <f>VLOOKUP($A137&amp;$F137,TIM[[ID Rating]:[Summ Voltage]],D$15,0)</f>
        <v>Cable-3c 240mm²  AL PILC STA</v>
      </c>
      <c r="E137" s="143">
        <f>VLOOKUP($A137&amp;$F137,TIM[[ID Rating]:[Summ Voltage]],E$15,0)</f>
        <v>11</v>
      </c>
      <c r="F137" s="82">
        <f t="array" ref="F137">MIN(IF(TIM[Station/Feeder]=$A137,TIM[Lowest MVA]))</f>
        <v>5.335280443055086</v>
      </c>
      <c r="G137" s="98" t="str">
        <f>VLOOKUP($A137&amp;$K137,TIM[[ID Rating]:[Summ Voltage]],G$15,0)</f>
        <v>11 kV Bus</v>
      </c>
      <c r="H137" s="99" t="str">
        <f>VLOOKUP($A137&amp;$K137,TIM[[ID Rating]:[Summ Voltage]],H$15,0)</f>
        <v>CB2832</v>
      </c>
      <c r="I137" s="72" t="str">
        <f>VLOOKUP($A137&amp;$K137,TIM[[ID Rating]:[Summ Voltage]],I$15,0)</f>
        <v>Circuit Breaker-TIM-CB2832-Protection</v>
      </c>
      <c r="J137" s="143">
        <f>VLOOKUP($A137&amp;$K137,TIM[[ID Rating]:[Summ Voltage]],J$15,0)</f>
        <v>11</v>
      </c>
      <c r="K137" s="82">
        <f t="array" ref="K137">MIN(IF(TIM[Station/Feeder]=$A137,IF($F137&lt;TIM[Lowest MVA],TIM[Lowest MVA])))</f>
        <v>7.6210235533030604</v>
      </c>
    </row>
    <row r="138" spans="1:11" x14ac:dyDescent="0.25">
      <c r="A138" s="86" t="s">
        <v>1310</v>
      </c>
      <c r="B138" s="96" t="str">
        <f>VLOOKUP($A138&amp;$F138,TIM[[ID Rating]:[Summ Voltage]],B$15,0)</f>
        <v>Pole 25185</v>
      </c>
      <c r="C138" s="97" t="str">
        <f>VLOOKUP($A138&amp;$F138,TIM[[ID Rating]:[Summ Voltage]],C$15,0)</f>
        <v>Pole 35228</v>
      </c>
      <c r="D138" s="71" t="str">
        <f>VLOOKUP($A138&amp;$F138,TIM[[ID Rating]:[Summ Voltage]],D$15,0)</f>
        <v>Cable-3c 185mm² Al XLPE HDPE</v>
      </c>
      <c r="E138" s="142">
        <f>VLOOKUP($A138&amp;$F138,TIM[[ID Rating]:[Summ Voltage]],E$15,0)</f>
        <v>11</v>
      </c>
      <c r="F138" s="81">
        <f t="array" ref="F138">MIN(IF(TIM[Station/Feeder]=$A138,TIM[Lowest MVA]))</f>
        <v>4.9614136995564273</v>
      </c>
      <c r="G138" s="96" t="str">
        <f>VLOOKUP($A138&amp;$K138,TIM[[ID Rating]:[Summ Voltage]],G$15,0)</f>
        <v>CB2852</v>
      </c>
      <c r="H138" s="97" t="str">
        <f>VLOOKUP($A138&amp;$K138,TIM[[ID Rating]:[Summ Voltage]],H$15,0)</f>
        <v>L800</v>
      </c>
      <c r="I138" s="71" t="str">
        <f>VLOOKUP($A138&amp;$K138,TIM[[ID Rating]:[Summ Voltage]],I$15,0)</f>
        <v>Cable-3/1c 400mm² AL XLPE HDPE Screened</v>
      </c>
      <c r="J138" s="142">
        <f>VLOOKUP($A138&amp;$K138,TIM[[ID Rating]:[Summ Voltage]],J$15,0)</f>
        <v>11</v>
      </c>
      <c r="K138" s="81">
        <f t="array" ref="K138">MIN(IF(TIM[Station/Feeder]=$A138,IF($F138&lt;TIM[Lowest MVA],TIM[Lowest MVA])))</f>
        <v>7.3387979985653633</v>
      </c>
    </row>
    <row r="139" spans="1:11" x14ac:dyDescent="0.25">
      <c r="A139" s="86" t="s">
        <v>151</v>
      </c>
      <c r="B139" s="98" t="str">
        <f>VLOOKUP($A139&amp;$F139,TIM[[ID Rating]:[Summ Voltage]],B$15,0)</f>
        <v>Joint</v>
      </c>
      <c r="C139" s="99" t="str">
        <f>VLOOKUP($A139&amp;$F139,TIM[[ID Rating]:[Summ Voltage]],C$15,0)</f>
        <v>RMU L420</v>
      </c>
      <c r="D139" s="72" t="str">
        <f>VLOOKUP($A139&amp;$F139,TIM[[ID Rating]:[Summ Voltage]],D$15,0)</f>
        <v>Cable-3c 300mm² Al XLPE HDPE</v>
      </c>
      <c r="E139" s="143">
        <f>VLOOKUP($A139&amp;$F139,TIM[[ID Rating]:[Summ Voltage]],E$15,0)</f>
        <v>11</v>
      </c>
      <c r="F139" s="82">
        <f t="array" ref="F139">MIN(IF(TIM[Station/Feeder]=$A139,TIM[Lowest MVA]))</f>
        <v>7.5161119333864042</v>
      </c>
      <c r="G139" s="98" t="str">
        <f>VLOOKUP($A139&amp;$K139,TIM[[ID Rating]:[Summ Voltage]],G$15,0)</f>
        <v>11 kV Bus</v>
      </c>
      <c r="H139" s="99" t="str">
        <f>VLOOKUP($A139&amp;$K139,TIM[[ID Rating]:[Summ Voltage]],H$15,0)</f>
        <v>CB2862</v>
      </c>
      <c r="I139" s="72" t="str">
        <f>VLOOKUP($A139&amp;$K139,TIM[[ID Rating]:[Summ Voltage]],I$15,0)</f>
        <v>Circuit Breaker-TIM-CB2862-Protection</v>
      </c>
      <c r="J139" s="143">
        <f>VLOOKUP($A139&amp;$K139,TIM[[ID Rating]:[Summ Voltage]],J$15,0)</f>
        <v>11</v>
      </c>
      <c r="K139" s="82">
        <f t="array" ref="K139">MIN(IF(TIM[Station/Feeder]=$A139,IF($F139&lt;TIM[Lowest MVA],TIM[Lowest MVA])))</f>
        <v>7.6210235533030604</v>
      </c>
    </row>
    <row r="140" spans="1:11" x14ac:dyDescent="0.25">
      <c r="A140" s="86" t="s">
        <v>153</v>
      </c>
      <c r="B140" s="96" t="str">
        <f>VLOOKUP($A140&amp;$F140,TIM[[ID Rating]:[Summ Voltage]],B$15,0)</f>
        <v>11 kV Bus</v>
      </c>
      <c r="C140" s="97" t="str">
        <f>VLOOKUP($A140&amp;$F140,TIM[[ID Rating]:[Summ Voltage]],C$15,0)</f>
        <v>CB2922</v>
      </c>
      <c r="D140" s="71" t="str">
        <f>VLOOKUP($A140&amp;$F140,TIM[[ID Rating]:[Summ Voltage]],D$15,0)</f>
        <v>Circuit Breaker-TIM-CB2922-Protection</v>
      </c>
      <c r="E140" s="142">
        <f>VLOOKUP($A140&amp;$F140,TIM[[ID Rating]:[Summ Voltage]],E$15,0)</f>
        <v>11</v>
      </c>
      <c r="F140" s="81">
        <f t="array" ref="F140">MIN(IF(TIM[Station/Feeder]=$A140,TIM[Lowest MVA]))</f>
        <v>20.348132887319171</v>
      </c>
      <c r="G140" s="96" t="str">
        <f>VLOOKUP($A140&amp;$K140,TIM[[ID Rating]:[Summ Voltage]],G$15,0)</f>
        <v>CB2922</v>
      </c>
      <c r="H140" s="97" t="str">
        <f>VLOOKUP($A140&amp;$K140,TIM[[ID Rating]:[Summ Voltage]],H$15,0)</f>
        <v>B774/T2</v>
      </c>
      <c r="I140" s="71" t="str">
        <f>VLOOKUP($A140&amp;$K140,TIM[[ID Rating]:[Summ Voltage]],I$15,0)</f>
        <v xml:space="preserve">Cable-2 x 3/1c 630mm² Cu </v>
      </c>
      <c r="J140" s="142">
        <f>VLOOKUP($A140&amp;$K140,TIM[[ID Rating]:[Summ Voltage]],J$15,0)</f>
        <v>11</v>
      </c>
      <c r="K140" s="81">
        <f t="array" ref="K140">MIN(IF(TIM[Station/Feeder]=$A140,IF($F140&lt;TIM[Lowest MVA],TIM[Lowest MVA])))</f>
        <v>21.349230541281056</v>
      </c>
    </row>
    <row r="141" spans="1:11" x14ac:dyDescent="0.25">
      <c r="A141" s="86" t="s">
        <v>155</v>
      </c>
      <c r="B141" s="98" t="str">
        <f>VLOOKUP($A141&amp;$F141,TIM[[ID Rating]:[Summ Voltage]],B$15,0)</f>
        <v>Joint</v>
      </c>
      <c r="C141" s="99" t="str">
        <f>VLOOKUP($A141&amp;$F141,TIM[[ID Rating]:[Summ Voltage]],C$15,0)</f>
        <v>L462</v>
      </c>
      <c r="D141" s="72" t="str">
        <f>VLOOKUP($A141&amp;$F141,TIM[[ID Rating]:[Summ Voltage]],D$15,0)</f>
        <v>Cable-3c 0.4in² Al PILC SWA</v>
      </c>
      <c r="E141" s="143">
        <f>VLOOKUP($A141&amp;$F141,TIM[[ID Rating]:[Summ Voltage]],E$15,0)</f>
        <v>11</v>
      </c>
      <c r="F141" s="82">
        <f t="array" ref="F141">MIN(IF(TIM[Station/Feeder]=$A141,TIM[Lowest MVA]))</f>
        <v>5.3501006665080171</v>
      </c>
      <c r="G141" s="98" t="str">
        <f>VLOOKUP($A141&amp;$K141,TIM[[ID Rating]:[Summ Voltage]],G$15,0)</f>
        <v>11 kV Bus</v>
      </c>
      <c r="H141" s="99" t="str">
        <f>VLOOKUP($A141&amp;$K141,TIM[[ID Rating]:[Summ Voltage]],H$15,0)</f>
        <v>CB2942</v>
      </c>
      <c r="I141" s="72" t="str">
        <f>VLOOKUP($A141&amp;$K141,TIM[[ID Rating]:[Summ Voltage]],I$15,0)</f>
        <v>Circuit Breaker-TIM-CB2942-Protection</v>
      </c>
      <c r="J141" s="143">
        <f>VLOOKUP($A141&amp;$K141,TIM[[ID Rating]:[Summ Voltage]],J$15,0)</f>
        <v>11</v>
      </c>
      <c r="K141" s="82">
        <f t="array" ref="K141">MIN(IF(TIM[Station/Feeder]=$A141,IF($F141&lt;TIM[Lowest MVA],TIM[Lowest MVA])))</f>
        <v>7.6210235533030604</v>
      </c>
    </row>
    <row r="142" spans="1:11" x14ac:dyDescent="0.25">
      <c r="A142" s="86" t="s">
        <v>156</v>
      </c>
      <c r="B142" s="96" t="str">
        <f>VLOOKUP($A142&amp;$F142,TIM[[ID Rating]:[Summ Voltage]],B$15,0)</f>
        <v>Joint</v>
      </c>
      <c r="C142" s="97" t="str">
        <f>VLOOKUP($A142&amp;$F142,TIM[[ID Rating]:[Summ Voltage]],C$15,0)</f>
        <v>RMU L549</v>
      </c>
      <c r="D142" s="71" t="str">
        <f>VLOOKUP($A142&amp;$F142,TIM[[ID Rating]:[Summ Voltage]],D$15,0)</f>
        <v>Cable-3c 240mm² Al PILC STA</v>
      </c>
      <c r="E142" s="142">
        <f>VLOOKUP($A142&amp;$F142,TIM[[ID Rating]:[Summ Voltage]],E$15,0)</f>
        <v>11</v>
      </c>
      <c r="F142" s="81">
        <f t="array" ref="F142">MIN(IF(TIM[Station/Feeder]=$A142,TIM[Lowest MVA]))</f>
        <v>5.335280443055086</v>
      </c>
      <c r="G142" s="96" t="str">
        <f>VLOOKUP($A142&amp;$K142,TIM[[ID Rating]:[Summ Voltage]],G$15,0)</f>
        <v>11 kV Bus</v>
      </c>
      <c r="H142" s="97" t="str">
        <f>VLOOKUP($A142&amp;$K142,TIM[[ID Rating]:[Summ Voltage]],H$15,0)</f>
        <v>CB2952</v>
      </c>
      <c r="I142" s="71" t="str">
        <f>VLOOKUP($A142&amp;$K142,TIM[[ID Rating]:[Summ Voltage]],I$15,0)</f>
        <v>Circuit Breaker-TIM-CB2952-Protection</v>
      </c>
      <c r="J142" s="142">
        <f>VLOOKUP($A142&amp;$K142,TIM[[ID Rating]:[Summ Voltage]],J$15,0)</f>
        <v>11</v>
      </c>
      <c r="K142" s="81">
        <f t="array" ref="K142">MIN(IF(TIM[Station/Feeder]=$A142,IF($F142&lt;TIM[Lowest MVA],TIM[Lowest MVA])))</f>
        <v>7.6210235533030604</v>
      </c>
    </row>
    <row r="143" spans="1:11" x14ac:dyDescent="0.25">
      <c r="A143" s="86" t="s">
        <v>157</v>
      </c>
      <c r="B143" s="301" t="s">
        <v>750</v>
      </c>
      <c r="C143" s="302" t="s">
        <v>875</v>
      </c>
      <c r="D143" s="303" t="s">
        <v>1322</v>
      </c>
      <c r="E143" s="304">
        <v>11</v>
      </c>
      <c r="F143" s="305">
        <v>5.3501006665080171</v>
      </c>
      <c r="G143" s="301" t="s">
        <v>243</v>
      </c>
      <c r="H143" s="302" t="s">
        <v>873</v>
      </c>
      <c r="I143" s="303" t="s">
        <v>1323</v>
      </c>
      <c r="J143" s="304">
        <v>11</v>
      </c>
      <c r="K143" s="305">
        <v>6.9732365512722998</v>
      </c>
    </row>
    <row r="144" spans="1:11" x14ac:dyDescent="0.25">
      <c r="A144" s="86" t="s">
        <v>1324</v>
      </c>
      <c r="B144" s="96" t="str">
        <f>VLOOKUP($A144&amp;$F144,TIM[[ID Rating]:[Summ Voltage]],B$15,0)</f>
        <v>CB2982</v>
      </c>
      <c r="C144" s="97" t="str">
        <f>VLOOKUP($A144&amp;$F144,TIM[[ID Rating]:[Summ Voltage]],C$15,0)</f>
        <v>NST36</v>
      </c>
      <c r="D144" s="71" t="str">
        <f>VLOOKUP($A144&amp;$F144,TIM[[ID Rating]:[Summ Voltage]],D$15,0)</f>
        <v>Cable-3/1c 1200mm² Al XLPE CWS MDPE</v>
      </c>
      <c r="E144" s="142">
        <f>VLOOKUP($A144&amp;$F144,TIM[[ID Rating]:[Summ Voltage]],E$15,0)</f>
        <v>11</v>
      </c>
      <c r="F144" s="81">
        <f t="array" ref="F144">MIN(IF(TIM[Station/Feeder]=$A144,TIM[Lowest MVA]))</f>
        <v>15.361411388009726</v>
      </c>
      <c r="G144" s="96" t="str">
        <f>VLOOKUP($A144&amp;$K144,TIM[[ID Rating]:[Summ Voltage]],G$15,0)</f>
        <v>11 kV Bus</v>
      </c>
      <c r="H144" s="97" t="str">
        <f>VLOOKUP($A144&amp;$K144,TIM[[ID Rating]:[Summ Voltage]],H$15,0)</f>
        <v>CB2982</v>
      </c>
      <c r="I144" s="71" t="str">
        <f>VLOOKUP($A144&amp;$K144,TIM[[ID Rating]:[Summ Voltage]],I$15,0)</f>
        <v>Circuit Breaker-TIM-CB2982-Protection</v>
      </c>
      <c r="J144" s="142">
        <f>VLOOKUP($A144&amp;$K144,TIM[[ID Rating]:[Summ Voltage]],J$15,0)</f>
        <v>11</v>
      </c>
      <c r="K144" s="81">
        <f t="array" ref="K144">MIN(IF(TIM[Station/Feeder]=$A144,IF($F144&lt;TIM[Lowest MVA],TIM[Lowest MVA])))</f>
        <v>22.558229717777056</v>
      </c>
    </row>
    <row r="145" spans="1:11" ht="15.75" thickBot="1" x14ac:dyDescent="0.3">
      <c r="A145" s="86" t="s">
        <v>1311</v>
      </c>
      <c r="B145" s="301" t="str">
        <f>VLOOKUP($A145&amp;$F145,TIM[[ID Rating]:[Summ Voltage]],B$15,0)</f>
        <v>CB2992</v>
      </c>
      <c r="C145" s="302" t="str">
        <f>VLOOKUP($A145&amp;$F145,TIM[[ID Rating]:[Summ Voltage]],C$15,0)</f>
        <v>L1075</v>
      </c>
      <c r="D145" s="303" t="str">
        <f>VLOOKUP($A145&amp;$F145,TIM[[ID Rating]:[Summ Voltage]],D$15,0)</f>
        <v>Cable-TIM-CB2992</v>
      </c>
      <c r="E145" s="304">
        <f>VLOOKUP($A145&amp;$F145,TIM[[ID Rating]:[Summ Voltage]],E$15,0)</f>
        <v>11</v>
      </c>
      <c r="F145" s="305">
        <f t="array" ref="F145">MIN(IF(TIM[Station/Feeder]=$A145,TIM[Lowest MVA]))</f>
        <v>6.5731328147238894</v>
      </c>
      <c r="G145" s="301" t="str">
        <f>VLOOKUP($A145&amp;$K145,TIM[[ID Rating]:[Summ Voltage]],G$15,0)</f>
        <v>11 kV Bus</v>
      </c>
      <c r="H145" s="302" t="str">
        <f>VLOOKUP($A145&amp;$K145,TIM[[ID Rating]:[Summ Voltage]],H$15,0)</f>
        <v>CB2992</v>
      </c>
      <c r="I145" s="303" t="str">
        <f>VLOOKUP($A145&amp;$K145,TIM[[ID Rating]:[Summ Voltage]],I$15,0)</f>
        <v>Circuit Breaker-TIM-CB2992-Protection</v>
      </c>
      <c r="J145" s="304">
        <f>VLOOKUP($A145&amp;$K145,TIM[[ID Rating]:[Summ Voltage]],J$15,0)</f>
        <v>11</v>
      </c>
      <c r="K145" s="305">
        <f t="array" ref="K145">MIN(IF(TIM[Station/Feeder]=$A145,IF($F145&lt;TIM[Lowest MVA],TIM[Lowest MVA])))</f>
        <v>7.6210235533030604</v>
      </c>
    </row>
    <row r="146" spans="1:11" ht="15.75" thickBot="1" x14ac:dyDescent="0.3">
      <c r="A146" s="90"/>
      <c r="B146" s="100"/>
      <c r="C146" s="100"/>
      <c r="D146" s="91"/>
      <c r="E146" s="92"/>
      <c r="F146" s="92"/>
      <c r="G146" s="100"/>
      <c r="H146" s="100"/>
      <c r="I146" s="91"/>
      <c r="J146" s="92"/>
      <c r="K146" s="93"/>
    </row>
    <row r="147" spans="1:11" x14ac:dyDescent="0.25">
      <c r="A147" s="86" t="s">
        <v>161</v>
      </c>
      <c r="B147" s="96" t="str">
        <f>VLOOKUP($A147&amp;$F147,TIM[[ID Rating]:[Summ Voltage]],B$15,0)</f>
        <v>11 kV Bus</v>
      </c>
      <c r="C147" s="97" t="str">
        <f>VLOOKUP($A147&amp;$F147,TIM[[ID Rating]:[Summ Voltage]],C$15,0)</f>
        <v>11 kV Bus</v>
      </c>
      <c r="D147" s="71" t="str">
        <f>VLOOKUP($A147&amp;$F147,TIM[[ID Rating]:[Summ Voltage]],D$15,0)</f>
        <v>Switchboard - 11 kV Switchboard</v>
      </c>
      <c r="E147" s="142">
        <f>VLOOKUP($A147&amp;$F147,TIM[[ID Rating]:[Summ Voltage]],E$15,0)</f>
        <v>11</v>
      </c>
      <c r="F147" s="81">
        <f t="array" ref="F147">MIN(IF(TIM[Station/Feeder]=$A147,TIM[Lowest MVA]))</f>
        <v>57.157676649772945</v>
      </c>
      <c r="G147" s="96" t="e">
        <f>VLOOKUP($A147&amp;$K147,TIM[[ID Rating]:[Summ Voltage]],G$15,0)</f>
        <v>#N/A</v>
      </c>
      <c r="H147" s="97" t="e">
        <f>VLOOKUP($A147&amp;$K147,TIM[[ID Rating]:[Summ Voltage]],H$15,0)</f>
        <v>#N/A</v>
      </c>
      <c r="I147" s="71" t="e">
        <f>VLOOKUP($A147&amp;$K147,TIM[[ID Rating]:[Summ Voltage]],I$15,0)</f>
        <v>#N/A</v>
      </c>
      <c r="J147" s="142" t="e">
        <f>VLOOKUP($A147&amp;$K147,TIM[[ID Rating]:[Summ Voltage]],J$15,0)</f>
        <v>#N/A</v>
      </c>
      <c r="K147" s="81">
        <f t="array" ref="K147">MIN(IF(TIM[Station/Feeder]=$A147,IF($F147&lt;TIM[Lowest MVA],TIM[Lowest MVA])))</f>
        <v>0</v>
      </c>
    </row>
    <row r="148" spans="1:11" x14ac:dyDescent="0.25">
      <c r="A148" s="86" t="s">
        <v>170</v>
      </c>
      <c r="B148" s="96" t="str">
        <f>VLOOKUP($A148&amp;$F148,TIM[[ID Rating]:[Summ Voltage]],B$15,0)</f>
        <v xml:space="preserve">TEGRASMERE 4 </v>
      </c>
      <c r="C148" s="97" t="str">
        <f>VLOOKUP($A148&amp;$F148,TIM[[ID Rating]:[Summ Voltage]],C$15,0)</f>
        <v>TEHUNT3</v>
      </c>
      <c r="D148" s="71" t="str">
        <f>VLOOKUP($A148&amp;$F148,TIM[[ID Rating]:[Summ Voltage]],D$15,0)</f>
        <v xml:space="preserve">Cable-3c 0.3in² Cu PILC SWA </v>
      </c>
      <c r="E148" s="142">
        <f>VLOOKUP($A148&amp;$F148,TIM[[ID Rating]:[Summ Voltage]],E$15,0)</f>
        <v>11</v>
      </c>
      <c r="F148" s="81">
        <f t="array" ref="F148">MIN(IF(TIM[Station/Feeder]=$A148,TIM[Lowest MVA]))</f>
        <v>5.6674503756493531</v>
      </c>
      <c r="G148" s="96" t="str">
        <f>VLOOKUP($A148&amp;$K148,TIM[[ID Rating]:[Summ Voltage]],G$15,0)</f>
        <v>11 kV Bus</v>
      </c>
      <c r="H148" s="97" t="str">
        <f>VLOOKUP($A148&amp;$K148,TIM[[ID Rating]:[Summ Voltage]],H$15,0)</f>
        <v xml:space="preserve">TEGRASMERE4 </v>
      </c>
      <c r="I148" s="71" t="str">
        <f>VLOOKUP($A148&amp;$K148,TIM[[ID Rating]:[Summ Voltage]],I$15,0)</f>
        <v>Circuit Breaker-GRM-CB4-Protection</v>
      </c>
      <c r="J148" s="142">
        <f>VLOOKUP($A148&amp;$K148,TIM[[ID Rating]:[Summ Voltage]],J$15,0)</f>
        <v>11</v>
      </c>
      <c r="K148" s="81">
        <f t="array" ref="K148">MIN(IF(TIM[Station/Feeder]=$A148,IF($F148&lt;TIM[Lowest MVA],TIM[Lowest MVA])))</f>
        <v>7.6210235533030604</v>
      </c>
    </row>
    <row r="149" spans="1:11" x14ac:dyDescent="0.25">
      <c r="A149" s="86" t="s">
        <v>994</v>
      </c>
      <c r="B149" s="96" t="str">
        <f>VLOOKUP($A149&amp;$F149,TIM[[ID Rating]:[Summ Voltage]],B$15,0)</f>
        <v>Joint</v>
      </c>
      <c r="C149" s="97" t="str">
        <f>VLOOKUP($A149&amp;$F149,TIM[[ID Rating]:[Summ Voltage]],C$15,0)</f>
        <v>Joint</v>
      </c>
      <c r="D149" s="71" t="str">
        <f>VLOOKUP($A149&amp;$F149,TIM[[ID Rating]:[Summ Voltage]],D$15,0)</f>
        <v>Cable-3c 0.3in² Cu PILC STAS</v>
      </c>
      <c r="E149" s="142">
        <f>VLOOKUP($A149&amp;$F149,TIM[[ID Rating]:[Summ Voltage]],E$15,0)</f>
        <v>11</v>
      </c>
      <c r="F149" s="81">
        <f t="array" ref="F149">MIN(IF(TIM[Station/Feeder]=$A149,TIM[Lowest MVA]))</f>
        <v>5.6674503756493531</v>
      </c>
      <c r="G149" s="96" t="str">
        <f>VLOOKUP($A149&amp;$K149,TIM[[ID Rating]:[Summ Voltage]],G$15,0)</f>
        <v>Grasmere</v>
      </c>
      <c r="H149" s="97" t="str">
        <f>VLOOKUP($A149&amp;$K149,TIM[[ID Rating]:[Summ Voltage]],H$15,0)</f>
        <v>NST6</v>
      </c>
      <c r="I149" s="71" t="str">
        <f>VLOOKUP($A149&amp;$K149,TIM[[ID Rating]:[Summ Voltage]],I$15,0)</f>
        <v>Circuit Breaker-NST-CB6-Protection</v>
      </c>
      <c r="J149" s="142">
        <f>VLOOKUP($A149&amp;$K149,TIM[[ID Rating]:[Summ Voltage]],J$15,0)</f>
        <v>11</v>
      </c>
      <c r="K149" s="81">
        <f t="array" ref="K149">MIN(IF(TIM[Station/Feeder]=$A149,IF($F149&lt;TIM[Lowest MVA],TIM[Lowest MVA])))</f>
        <v>7.6210235533030604</v>
      </c>
    </row>
    <row r="150" spans="1:11" x14ac:dyDescent="0.25">
      <c r="A150" s="86" t="s">
        <v>176</v>
      </c>
      <c r="B150" s="98" t="str">
        <f>VLOOKUP($A150&amp;$F150,TIM[[ID Rating]:[Summ Voltage]],B$15,0)</f>
        <v>Joint</v>
      </c>
      <c r="C150" s="99" t="str">
        <f>VLOOKUP($A150&amp;$F150,TIM[[ID Rating]:[Summ Voltage]],C$15,0)</f>
        <v>Joint</v>
      </c>
      <c r="D150" s="72" t="str">
        <f>VLOOKUP($A150&amp;$F150,TIM[[ID Rating]:[Summ Voltage]],D$15,0)</f>
        <v>Cable-3c 0.15in² Cu PILC STAS</v>
      </c>
      <c r="E150" s="143">
        <f>VLOOKUP($A150&amp;$F150,TIM[[ID Rating]:[Summ Voltage]],E$15,0)</f>
        <v>11</v>
      </c>
      <c r="F150" s="82">
        <f t="array" ref="F150">MIN(IF(TIM[Station/Feeder]=$A150,TIM[Lowest MVA]))</f>
        <v>3.05979332525397</v>
      </c>
      <c r="G150" s="98" t="str">
        <f>VLOOKUP($A150&amp;$K150,TIM[[ID Rating]:[Summ Voltage]],G$15,0)</f>
        <v>Joint</v>
      </c>
      <c r="H150" s="99" t="str">
        <f>VLOOKUP($A150&amp;$K150,TIM[[ID Rating]:[Summ Voltage]],H$15,0)</f>
        <v>TE64</v>
      </c>
      <c r="I150" s="72" t="str">
        <f>VLOOKUP($A150&amp;$K150,TIM[[ID Rating]:[Summ Voltage]],I$15,0)</f>
        <v>Cable-3c 185mm² Al PILC HDPE</v>
      </c>
      <c r="J150" s="143">
        <f>VLOOKUP($A150&amp;$K150,TIM[[ID Rating]:[Summ Voltage]],J$15,0)</f>
        <v>11</v>
      </c>
      <c r="K150" s="82">
        <f t="array" ref="K150">MIN(IF(TIM[Station/Feeder]=$A150,IF($F150&lt;TIM[Lowest MVA],TIM[Lowest MVA])))</f>
        <v>3.6634260220727808</v>
      </c>
    </row>
    <row r="151" spans="1:11" x14ac:dyDescent="0.25">
      <c r="A151" s="86" t="s">
        <v>1328</v>
      </c>
      <c r="B151" s="98" t="str">
        <f>VLOOKUP($A151&amp;$F151,TIM[[ID Rating]:[Summ Voltage]],B$15,0)</f>
        <v xml:space="preserve">TEGRASMERE 4 </v>
      </c>
      <c r="C151" s="99" t="str">
        <f>VLOOKUP($A151&amp;$F151,TIM[[ID Rating]:[Summ Voltage]],C$15,0)</f>
        <v>TEHUNT3</v>
      </c>
      <c r="D151" s="72" t="str">
        <f>VLOOKUP($A151&amp;$F151,TIM[[ID Rating]:[Summ Voltage]],D$15,0)</f>
        <v xml:space="preserve">Cable-3c 0.3in² Cu PILC SWA </v>
      </c>
      <c r="E151" s="143">
        <f>VLOOKUP($A151&amp;$F151,TIM[[ID Rating]:[Summ Voltage]],E$15,0)</f>
        <v>11</v>
      </c>
      <c r="F151" s="82">
        <f t="array" ref="F151">MIN(IF(TIM[Station/Feeder]=$A151,TIM[Lowest MVA]))</f>
        <v>5.6674503756493531</v>
      </c>
      <c r="G151" s="98" t="str">
        <f>VLOOKUP($A151&amp;$K151,TIM[[ID Rating]:[Summ Voltage]],G$15,0)</f>
        <v>11 kV Bus</v>
      </c>
      <c r="H151" s="99" t="str">
        <f>VLOOKUP($A151&amp;$K151,TIM[[ID Rating]:[Summ Voltage]],H$15,0)</f>
        <v xml:space="preserve">TEGRASMERE4 </v>
      </c>
      <c r="I151" s="72" t="str">
        <f>VLOOKUP($A151&amp;$K151,TIM[[ID Rating]:[Summ Voltage]],I$15,0)</f>
        <v>Circuit Breaker-GRM-CB4-Protection</v>
      </c>
      <c r="J151" s="143">
        <f>VLOOKUP($A151&amp;$K151,TIM[[ID Rating]:[Summ Voltage]],J$15,0)</f>
        <v>11</v>
      </c>
      <c r="K151" s="82">
        <f t="array" ref="K151">MIN(IF(TIM[Station/Feeder]=$A151,IF($F151&lt;TIM[Lowest MVA],TIM[Lowest MVA])))</f>
        <v>7.6210235533030604</v>
      </c>
    </row>
    <row r="152" spans="1:11" x14ac:dyDescent="0.25">
      <c r="A152" s="86" t="s">
        <v>182</v>
      </c>
      <c r="B152" s="96" t="str">
        <f>VLOOKUP($A152&amp;$F152,TIM[[ID Rating]:[Summ Voltage]],B$15,0)</f>
        <v>TEGRASMERE5</v>
      </c>
      <c r="C152" s="97" t="str">
        <f>VLOOKUP($A152&amp;$F152,TIM[[ID Rating]:[Summ Voltage]],C$15,0)</f>
        <v>TEE1 RMU</v>
      </c>
      <c r="D152" s="71" t="str">
        <f>VLOOKUP($A152&amp;$F152,TIM[[ID Rating]:[Summ Voltage]],D$15,0)</f>
        <v>Cable-3c 300mm² Al PILC SWAS</v>
      </c>
      <c r="E152" s="142">
        <f>VLOOKUP($A152&amp;$F152,TIM[[ID Rating]:[Summ Voltage]],E$15,0)</f>
        <v>11</v>
      </c>
      <c r="F152" s="81">
        <f t="array" ref="F152">MIN(IF(TIM[Station/Feeder]=$A152,TIM[Lowest MVA]))</f>
        <v>4.4471530317355841</v>
      </c>
      <c r="G152" s="96" t="str">
        <f>VLOOKUP($A152&amp;$K152,TIM[[ID Rating]:[Summ Voltage]],G$15,0)</f>
        <v>11 kV Bus</v>
      </c>
      <c r="H152" s="97" t="str">
        <f>VLOOKUP($A152&amp;$K152,TIM[[ID Rating]:[Summ Voltage]],H$15,0)</f>
        <v>TEGRASMERE5</v>
      </c>
      <c r="I152" s="71" t="str">
        <f>VLOOKUP($A152&amp;$K152,TIM[[ID Rating]:[Summ Voltage]],I$15,0)</f>
        <v>Circuit Breaker-GRM-CB5-Protection</v>
      </c>
      <c r="J152" s="142">
        <f>VLOOKUP($A152&amp;$K152,TIM[[ID Rating]:[Summ Voltage]],J$15,0)</f>
        <v>11</v>
      </c>
      <c r="K152" s="81">
        <f t="array" ref="K152">MIN(IF(TIM[Station/Feeder]=$A152,IF($F152&lt;TIM[Lowest MVA],TIM[Lowest MVA])))</f>
        <v>5.7919779005103251</v>
      </c>
    </row>
    <row r="153" spans="1:11" x14ac:dyDescent="0.25">
      <c r="A153" s="86" t="s">
        <v>185</v>
      </c>
      <c r="B153" s="98" t="str">
        <f>VLOOKUP($A153&amp;$F153,TIM[[ID Rating]:[Summ Voltage]],B$15,0)</f>
        <v>TEGRASMERE6</v>
      </c>
      <c r="C153" s="99" t="str">
        <f>VLOOKUP($A153&amp;$F153,TIM[[ID Rating]:[Summ Voltage]],C$15,0)</f>
        <v>TER1RMU</v>
      </c>
      <c r="D153" s="72" t="str">
        <f>VLOOKUP($A153&amp;$F153,TIM[[ID Rating]:[Summ Voltage]],D$15,0)</f>
        <v>Cable-3c 185mm² Al PILC SWAS</v>
      </c>
      <c r="E153" s="143">
        <f>VLOOKUP($A153&amp;$F153,TIM[[ID Rating]:[Summ Voltage]],E$15,0)</f>
        <v>11</v>
      </c>
      <c r="F153" s="82">
        <f t="array" ref="F153">MIN(IF(TIM[Station/Feeder]=$A153,TIM[Lowest MVA]))</f>
        <v>4.3439834253827438</v>
      </c>
      <c r="G153" s="98" t="str">
        <f>VLOOKUP($A153&amp;$K153,TIM[[ID Rating]:[Summ Voltage]],G$15,0)</f>
        <v>11 kV Bus</v>
      </c>
      <c r="H153" s="99" t="str">
        <f>VLOOKUP($A153&amp;$K153,TIM[[ID Rating]:[Summ Voltage]],H$15,0)</f>
        <v>TEGRASMERE6</v>
      </c>
      <c r="I153" s="72" t="str">
        <f>VLOOKUP($A153&amp;$K153,TIM[[ID Rating]:[Summ Voltage]],I$15,0)</f>
        <v>Circuit Breaker-GRM-CB6-Protection</v>
      </c>
      <c r="J153" s="143">
        <f>VLOOKUP($A153&amp;$K153,TIM[[ID Rating]:[Summ Voltage]],J$15,0)</f>
        <v>11</v>
      </c>
      <c r="K153" s="82">
        <f t="array" ref="K153">MIN(IF(TIM[Station/Feeder]=$A153,IF($F153&lt;TIM[Lowest MVA],TIM[Lowest MVA])))</f>
        <v>5.7919779005103251</v>
      </c>
    </row>
    <row r="154" spans="1:11" x14ac:dyDescent="0.25">
      <c r="A154" s="86" t="s">
        <v>187</v>
      </c>
      <c r="B154" s="96" t="str">
        <f>VLOOKUP($A154&amp;$F154,TIM[[ID Rating]:[Summ Voltage]],B$15,0)</f>
        <v>Joint</v>
      </c>
      <c r="C154" s="97" t="str">
        <f>VLOOKUP($A154&amp;$F154,TIM[[ID Rating]:[Summ Voltage]],C$15,0)</f>
        <v>TEF13 RMU</v>
      </c>
      <c r="D154" s="71" t="str">
        <f>VLOOKUP($A154&amp;$F154,TIM[[ID Rating]:[Summ Voltage]],D$15,0)</f>
        <v>Cable-3c 185mm² Al XLPE HDPE</v>
      </c>
      <c r="E154" s="142">
        <f>VLOOKUP($A154&amp;$F154,TIM[[ID Rating]:[Summ Voltage]],E$15,0)</f>
        <v>11</v>
      </c>
      <c r="F154" s="81">
        <f t="array" ref="F154">MIN(IF(TIM[Station/Feeder]=$A154,TIM[Lowest MVA]))</f>
        <v>4.4945748507960124</v>
      </c>
      <c r="G154" s="96" t="str">
        <f>VLOOKUP($A154&amp;$K154,TIM[[ID Rating]:[Summ Voltage]],G$15,0)</f>
        <v>Joint</v>
      </c>
      <c r="H154" s="97" t="str">
        <f>VLOOKUP($A154&amp;$K154,TIM[[ID Rating]:[Summ Voltage]],H$15,0)</f>
        <v>Joint</v>
      </c>
      <c r="I154" s="71" t="str">
        <f>VLOOKUP($A154&amp;$K154,TIM[[ID Rating]:[Summ Voltage]],I$15,0)</f>
        <v>Cable-3c 300mm² Al PILC SWAS</v>
      </c>
      <c r="J154" s="142">
        <f>VLOOKUP($A154&amp;$K154,TIM[[ID Rating]:[Summ Voltage]],J$15,0)</f>
        <v>11</v>
      </c>
      <c r="K154" s="81">
        <f t="array" ref="K154">MIN(IF(TIM[Station/Feeder]=$A154,IF($F154&lt;TIM[Lowest MVA],TIM[Lowest MVA])))</f>
        <v>5.3648195303476891</v>
      </c>
    </row>
    <row r="155" spans="1:11" x14ac:dyDescent="0.25">
      <c r="A155" s="86" t="s">
        <v>1330</v>
      </c>
      <c r="B155" s="96" t="str">
        <f>VLOOKUP($A155&amp;$F155,TIM[[ID Rating]:[Summ Voltage]],B$15,0)</f>
        <v>Joint</v>
      </c>
      <c r="C155" s="97" t="str">
        <f>VLOOKUP($A155&amp;$F155,TIM[[ID Rating]:[Summ Voltage]],C$15,0)</f>
        <v>Joint</v>
      </c>
      <c r="D155" s="71" t="str">
        <f>VLOOKUP($A155&amp;$F155,TIM[[ID Rating]:[Summ Voltage]],D$15,0)</f>
        <v>Cable-3c 0.3in² Cu PILC STAS</v>
      </c>
      <c r="E155" s="142">
        <f>VLOOKUP($A155&amp;$F155,TIM[[ID Rating]:[Summ Voltage]],E$15,0)</f>
        <v>11</v>
      </c>
      <c r="F155" s="81">
        <f t="array" ref="F155">MIN(IF(TIM[Station/Feeder]=$A155,TIM[Lowest MVA]))</f>
        <v>5.6674503756493531</v>
      </c>
      <c r="G155" s="96" t="str">
        <f>VLOOKUP($A155&amp;$K155,TIM[[ID Rating]:[Summ Voltage]],G$15,0)</f>
        <v>11 kV Bus</v>
      </c>
      <c r="H155" s="97" t="str">
        <f>VLOOKUP($A155&amp;$K155,TIM[[ID Rating]:[Summ Voltage]],H$15,0)</f>
        <v xml:space="preserve">TEGRASMERE9 </v>
      </c>
      <c r="I155" s="71" t="str">
        <f>VLOOKUP($A155&amp;$K155,TIM[[ID Rating]:[Summ Voltage]],I$15,0)</f>
        <v>Circuit Breaker-GRM-CB9-Protection</v>
      </c>
      <c r="J155" s="142">
        <f>VLOOKUP($A155&amp;$K155,TIM[[ID Rating]:[Summ Voltage]],J$15,0)</f>
        <v>11</v>
      </c>
      <c r="K155" s="81">
        <f t="array" ref="K155">MIN(IF(TIM[Station/Feeder]=$A155,IF($F155&lt;TIM[Lowest MVA],TIM[Lowest MVA])))</f>
        <v>7.6210235533030604</v>
      </c>
    </row>
    <row r="156" spans="1:11" x14ac:dyDescent="0.25">
      <c r="A156" s="86" t="s">
        <v>189</v>
      </c>
      <c r="B156" s="98" t="str">
        <f>VLOOKUP($A156&amp;$F156,TIM[[ID Rating]:[Summ Voltage]],B$15,0)</f>
        <v>Joint</v>
      </c>
      <c r="C156" s="99" t="str">
        <f>VLOOKUP($A156&amp;$F156,TIM[[ID Rating]:[Summ Voltage]],C$15,0)</f>
        <v>Joint</v>
      </c>
      <c r="D156" s="72" t="str">
        <f>VLOOKUP($A156&amp;$F156,TIM[[ID Rating]:[Summ Voltage]],D$15,0)</f>
        <v>Cable-3c 0.25in² Al PILC STAS</v>
      </c>
      <c r="E156" s="143">
        <f>VLOOKUP($A156&amp;$F156,TIM[[ID Rating]:[Summ Voltage]],E$15,0)</f>
        <v>11</v>
      </c>
      <c r="F156" s="82">
        <f t="array" ref="F156">MIN(IF(TIM[Station/Feeder]=$A156,TIM[Lowest MVA]))</f>
        <v>3.8371853590880907</v>
      </c>
      <c r="G156" s="98" t="str">
        <f>VLOOKUP($A156&amp;$K156,TIM[[ID Rating]:[Summ Voltage]],G$15,0)</f>
        <v>Joint</v>
      </c>
      <c r="H156" s="99" t="str">
        <f>VLOOKUP($A156&amp;$K156,TIM[[ID Rating]:[Summ Voltage]],H$15,0)</f>
        <v>TEM1 RMU</v>
      </c>
      <c r="I156" s="72" t="str">
        <f>VLOOKUP($A156&amp;$K156,TIM[[ID Rating]:[Summ Voltage]],I$15,0)</f>
        <v>Cable-3c 185mm² Al PILC SWAS</v>
      </c>
      <c r="J156" s="143">
        <f>VLOOKUP($A156&amp;$K156,TIM[[ID Rating]:[Summ Voltage]],J$15,0)</f>
        <v>11</v>
      </c>
      <c r="K156" s="82">
        <f t="array" ref="K156">MIN(IF(TIM[Station/Feeder]=$A156,IF($F156&lt;TIM[Lowest MVA],TIM[Lowest MVA])))</f>
        <v>4.3439834253827438</v>
      </c>
    </row>
    <row r="157" spans="1:11" x14ac:dyDescent="0.25">
      <c r="A157" s="86" t="s">
        <v>191</v>
      </c>
      <c r="B157" s="96" t="str">
        <f>VLOOKUP($A157&amp;$F157,TIM[[ID Rating]:[Summ Voltage]],B$15,0)</f>
        <v>Joint</v>
      </c>
      <c r="C157" s="97" t="str">
        <f>VLOOKUP($A157&amp;$F157,TIM[[ID Rating]:[Summ Voltage]],C$15,0)</f>
        <v xml:space="preserve">TEL6 RMU </v>
      </c>
      <c r="D157" s="71" t="str">
        <f>VLOOKUP($A157&amp;$F157,TIM[[ID Rating]:[Summ Voltage]],D$15,0)</f>
        <v>Cable-3c 300mm² Al PILC</v>
      </c>
      <c r="E157" s="142">
        <f>VLOOKUP($A157&amp;$F157,TIM[[ID Rating]:[Summ Voltage]],E$15,0)</f>
        <v>11</v>
      </c>
      <c r="F157" s="81">
        <f t="array" ref="F157">MIN(IF(TIM[Station/Feeder]=$A157,TIM[Lowest MVA]))</f>
        <v>3.3552819378070677</v>
      </c>
      <c r="G157" s="96" t="str">
        <f>VLOOKUP($A157&amp;$K157,TIM[[ID Rating]:[Summ Voltage]],G$15,0)</f>
        <v>TEGRASMERE12</v>
      </c>
      <c r="H157" s="97" t="str">
        <f>VLOOKUP($A157&amp;$K157,TIM[[ID Rating]:[Summ Voltage]],H$15,0)</f>
        <v>Joint</v>
      </c>
      <c r="I157" s="71" t="str">
        <f>VLOOKUP($A157&amp;$K157,TIM[[ID Rating]:[Summ Voltage]],I$15,0)</f>
        <v>Cable-3c 300mm² Al XLPE PVC</v>
      </c>
      <c r="J157" s="142">
        <f>VLOOKUP($A157&amp;$K157,TIM[[ID Rating]:[Summ Voltage]],J$15,0)</f>
        <v>11</v>
      </c>
      <c r="K157" s="81">
        <f t="array" ref="K157">MIN(IF(TIM[Station/Feeder]=$A157,IF($F157&lt;TIM[Lowest MVA],TIM[Lowest MVA])))</f>
        <v>4.2736312420244307</v>
      </c>
    </row>
    <row r="158" spans="1:11" x14ac:dyDescent="0.25">
      <c r="A158" s="86" t="s">
        <v>1329</v>
      </c>
      <c r="B158" s="96" t="str">
        <f>VLOOKUP($A158&amp;$F158,TIM[[ID Rating]:[Summ Voltage]],B$15,0)</f>
        <v>Joint</v>
      </c>
      <c r="C158" s="97" t="str">
        <f>VLOOKUP($A158&amp;$F158,TIM[[ID Rating]:[Summ Voltage]],C$15,0)</f>
        <v>TEHUNT12</v>
      </c>
      <c r="D158" s="71" t="str">
        <f>VLOOKUP($A158&amp;$F158,TIM[[ID Rating]:[Summ Voltage]],D$15,0)</f>
        <v>Cable-3c 0.3in² Cu PILC STAS</v>
      </c>
      <c r="E158" s="142">
        <f>VLOOKUP($A158&amp;$F158,TIM[[ID Rating]:[Summ Voltage]],E$15,0)</f>
        <v>11</v>
      </c>
      <c r="F158" s="81">
        <f t="array" ref="F158">MIN(IF(TIM[Station/Feeder]=$A158,TIM[Lowest MVA]))</f>
        <v>5.6674503756493531</v>
      </c>
      <c r="G158" s="96" t="str">
        <f>VLOOKUP($A158&amp;$K158,TIM[[ID Rating]:[Summ Voltage]],G$15,0)</f>
        <v>11 kV Bus</v>
      </c>
      <c r="H158" s="97" t="str">
        <f>VLOOKUP($A158&amp;$K158,TIM[[ID Rating]:[Summ Voltage]],H$15,0)</f>
        <v>TEGRASMERE13</v>
      </c>
      <c r="I158" s="71" t="str">
        <f>VLOOKUP($A158&amp;$K158,TIM[[ID Rating]:[Summ Voltage]],I$15,0)</f>
        <v>Circuit Breaker-GRM-CB13-Protection</v>
      </c>
      <c r="J158" s="142">
        <f>VLOOKUP($A158&amp;$K158,TIM[[ID Rating]:[Summ Voltage]],J$15,0)</f>
        <v>11</v>
      </c>
      <c r="K158" s="81">
        <f t="array" ref="K158">MIN(IF(TIM[Station/Feeder]=$A158,IF($F158&lt;TIM[Lowest MVA],TIM[Lowest MVA])))</f>
        <v>7.6210235533030604</v>
      </c>
    </row>
    <row r="159" spans="1:11" x14ac:dyDescent="0.25">
      <c r="A159" s="86" t="s">
        <v>193</v>
      </c>
      <c r="B159" s="98" t="str">
        <f>VLOOKUP($A159&amp;$F159,TIM[[ID Rating]:[Summ Voltage]],B$15,0)</f>
        <v xml:space="preserve">TEGRASMERE15 </v>
      </c>
      <c r="C159" s="99" t="str">
        <f>VLOOKUP($A159&amp;$F159,TIM[[ID Rating]:[Summ Voltage]],C$15,0)</f>
        <v>TEE28 RMU</v>
      </c>
      <c r="D159" s="72" t="str">
        <f>VLOOKUP($A159&amp;$F159,TIM[[ID Rating]:[Summ Voltage]],D$15,0)</f>
        <v>Cable-3c 300mm² Al PILC SWA</v>
      </c>
      <c r="E159" s="143">
        <f>VLOOKUP($A159&amp;$F159,TIM[[ID Rating]:[Summ Voltage]],E$15,0)</f>
        <v>11</v>
      </c>
      <c r="F159" s="82">
        <f t="array" ref="F159">MIN(IF(TIM[Station/Feeder]=$A159,TIM[Lowest MVA]))</f>
        <v>3.2888407113158382</v>
      </c>
      <c r="G159" s="98" t="str">
        <f>VLOOKUP($A159&amp;$K159,TIM[[ID Rating]:[Summ Voltage]],G$15,0)</f>
        <v>11 kV Bus</v>
      </c>
      <c r="H159" s="99" t="str">
        <f>VLOOKUP($A159&amp;$K159,TIM[[ID Rating]:[Summ Voltage]],H$15,0)</f>
        <v xml:space="preserve">TEGRASMERE15 </v>
      </c>
      <c r="I159" s="72" t="str">
        <f>VLOOKUP($A159&amp;$K159,TIM[[ID Rating]:[Summ Voltage]],I$15,0)</f>
        <v>Circuit Breaker-GRM-CB15-Protection</v>
      </c>
      <c r="J159" s="143">
        <f>VLOOKUP($A159&amp;$K159,TIM[[ID Rating]:[Summ Voltage]],J$15,0)</f>
        <v>11</v>
      </c>
      <c r="K159" s="82">
        <f t="array" ref="K159">MIN(IF(TIM[Station/Feeder]=$A159,IF($F159&lt;TIM[Lowest MVA],TIM[Lowest MVA])))</f>
        <v>5.7919779005103251</v>
      </c>
    </row>
    <row r="160" spans="1:11" x14ac:dyDescent="0.25">
      <c r="A160" s="86" t="s">
        <v>195</v>
      </c>
      <c r="B160" s="96" t="str">
        <f>VLOOKUP($A160&amp;$F160,TIM[[ID Rating]:[Summ Voltage]],B$15,0)</f>
        <v>Joint</v>
      </c>
      <c r="C160" s="97" t="str">
        <f>VLOOKUP($A160&amp;$F160,TIM[[ID Rating]:[Summ Voltage]],C$15,0)</f>
        <v>Joint</v>
      </c>
      <c r="D160" s="71" t="str">
        <f>VLOOKUP($A160&amp;$F160,TIM[[ID Rating]:[Summ Voltage]],D$15,0)</f>
        <v>Cable-3c 0.15in² Cu PILC STAS</v>
      </c>
      <c r="E160" s="142">
        <f>VLOOKUP($A160&amp;$F160,TIM[[ID Rating]:[Summ Voltage]],E$15,0)</f>
        <v>11</v>
      </c>
      <c r="F160" s="81">
        <f t="array" ref="F160">MIN(IF(TIM[Station/Feeder]=$A160,TIM[Lowest MVA]))</f>
        <v>3.2000677900319552</v>
      </c>
      <c r="G160" s="96" t="str">
        <f>VLOOKUP($A160&amp;$K160,TIM[[ID Rating]:[Summ Voltage]],G$15,0)</f>
        <v>Joint</v>
      </c>
      <c r="H160" s="97" t="str">
        <f>VLOOKUP($A160&amp;$K160,TIM[[ID Rating]:[Summ Voltage]],H$15,0)</f>
        <v>Joint</v>
      </c>
      <c r="I160" s="71" t="str">
        <f>VLOOKUP($A160&amp;$K160,TIM[[ID Rating]:[Summ Voltage]],I$15,0)</f>
        <v>Cable-3c 0.15in² Cu PILC STAS</v>
      </c>
      <c r="J160" s="142">
        <f>VLOOKUP($A160&amp;$K160,TIM[[ID Rating]:[Summ Voltage]],J$15,0)</f>
        <v>11</v>
      </c>
      <c r="K160" s="81">
        <f t="array" ref="K160">MIN(IF(TIM[Station/Feeder]=$A160,IF($F160&lt;TIM[Lowest MVA],TIM[Lowest MVA])))</f>
        <v>3.8371853590880907</v>
      </c>
    </row>
    <row r="161" spans="1:11" x14ac:dyDescent="0.25">
      <c r="A161" s="86" t="s">
        <v>197</v>
      </c>
      <c r="B161" s="98" t="str">
        <f>VLOOKUP($A161&amp;$F161,TIM[[ID Rating]:[Summ Voltage]],B$15,0)</f>
        <v>Joint</v>
      </c>
      <c r="C161" s="99" t="str">
        <f>VLOOKUP($A161&amp;$F161,TIM[[ID Rating]:[Summ Voltage]],C$15,0)</f>
        <v>TEF10 RMU</v>
      </c>
      <c r="D161" s="72" t="str">
        <f>VLOOKUP($A161&amp;$F161,TIM[[ID Rating]:[Summ Voltage]],D$15,0)</f>
        <v>Cable-3c 0.4in² Al PILC SWA</v>
      </c>
      <c r="E161" s="143">
        <f>VLOOKUP($A161&amp;$F161,TIM[[ID Rating]:[Summ Voltage]],E$15,0)</f>
        <v>11</v>
      </c>
      <c r="F161" s="82">
        <f t="array" ref="F161">MIN(IF(TIM[Station/Feeder]=$A161,TIM[Lowest MVA]))</f>
        <v>4.430863093890399</v>
      </c>
      <c r="G161" s="98" t="str">
        <f>VLOOKUP($A161&amp;$K161,TIM[[ID Rating]:[Summ Voltage]],G$15,0)</f>
        <v>11 kV Bus</v>
      </c>
      <c r="H161" s="99" t="str">
        <f>VLOOKUP($A161&amp;$K161,TIM[[ID Rating]:[Summ Voltage]],H$15,0)</f>
        <v>TEGRASMERE17</v>
      </c>
      <c r="I161" s="72" t="str">
        <f>VLOOKUP($A161&amp;$K161,TIM[[ID Rating]:[Summ Voltage]],I$15,0)</f>
        <v>Circuit Breaker-GRM-CB17-Protection</v>
      </c>
      <c r="J161" s="143">
        <f>VLOOKUP($A161&amp;$K161,TIM[[ID Rating]:[Summ Voltage]],J$15,0)</f>
        <v>11</v>
      </c>
      <c r="K161" s="82">
        <f t="array" ref="K161">MIN(IF(TIM[Station/Feeder]=$A161,IF($F161&lt;TIM[Lowest MVA],TIM[Lowest MVA])))</f>
        <v>5.7919779005103251</v>
      </c>
    </row>
    <row r="162" spans="1:11" x14ac:dyDescent="0.25">
      <c r="A162" s="86" t="s">
        <v>1331</v>
      </c>
      <c r="B162" s="98" t="str">
        <f>VLOOKUP($A162&amp;$F162,TIM[[ID Rating]:[Summ Voltage]],B$15,0)</f>
        <v>Joint</v>
      </c>
      <c r="C162" s="99" t="str">
        <f>VLOOKUP($A162&amp;$F162,TIM[[ID Rating]:[Summ Voltage]],C$15,0)</f>
        <v>Joint</v>
      </c>
      <c r="D162" s="72" t="str">
        <f>VLOOKUP($A162&amp;$F162,TIM[[ID Rating]:[Summ Voltage]],D$15,0)</f>
        <v>Cable-3c 0.3in² Cu PILC SWAS</v>
      </c>
      <c r="E162" s="143">
        <f>VLOOKUP($A162&amp;$F162,TIM[[ID Rating]:[Summ Voltage]],E$15,0)</f>
        <v>11</v>
      </c>
      <c r="F162" s="82">
        <f t="array" ref="F162">MIN(IF(TIM[Station/Feeder]=$A162,TIM[Lowest MVA]))</f>
        <v>5.6674503756493531</v>
      </c>
      <c r="G162" s="98" t="str">
        <f>VLOOKUP($A162&amp;$K162,TIM[[ID Rating]:[Summ Voltage]],G$15,0)</f>
        <v>11 kV Bus</v>
      </c>
      <c r="H162" s="99" t="str">
        <f>VLOOKUP($A162&amp;$K162,TIM[[ID Rating]:[Summ Voltage]],H$15,0)</f>
        <v>TEGRASMERE18</v>
      </c>
      <c r="I162" s="72" t="str">
        <f>VLOOKUP($A162&amp;$K162,TIM[[ID Rating]:[Summ Voltage]],I$15,0)</f>
        <v>Circuit Breaker-GRM-CB18-Protection</v>
      </c>
      <c r="J162" s="143">
        <f>VLOOKUP($A162&amp;$K162,TIM[[ID Rating]:[Summ Voltage]],J$15,0)</f>
        <v>11</v>
      </c>
      <c r="K162" s="82">
        <f t="array" ref="K162">MIN(IF(TIM[Station/Feeder]=$A162,IF($F162&lt;TIM[Lowest MVA],TIM[Lowest MVA])))</f>
        <v>7.6210235533030604</v>
      </c>
    </row>
    <row r="163" spans="1:11" ht="15.75" thickBot="1" x14ac:dyDescent="0.3">
      <c r="A163" s="86" t="s">
        <v>199</v>
      </c>
      <c r="B163" s="96" t="str">
        <f>VLOOKUP($A163&amp;$F163,TIM[[ID Rating]:[Summ Voltage]],B$15,0)</f>
        <v xml:space="preserve">TEGRASMERE20 </v>
      </c>
      <c r="C163" s="97" t="str">
        <f>VLOOKUP($A163&amp;$F163,TIM[[ID Rating]:[Summ Voltage]],C$15,0)</f>
        <v>TEM7 RMU</v>
      </c>
      <c r="D163" s="71" t="str">
        <f>VLOOKUP($A163&amp;$F163,TIM[[ID Rating]:[Summ Voltage]],D$15,0)</f>
        <v>Cable-3c 0.4in² Al PILC DSTA</v>
      </c>
      <c r="E163" s="142">
        <f>VLOOKUP($A163&amp;$F163,TIM[[ID Rating]:[Summ Voltage]],E$15,0)</f>
        <v>11</v>
      </c>
      <c r="F163" s="81">
        <f t="array" ref="F163">MIN(IF(TIM[Station/Feeder]=$A163,TIM[Lowest MVA]))</f>
        <v>3.8634560942196234</v>
      </c>
      <c r="G163" s="96" t="str">
        <f>VLOOKUP($A163&amp;$K163,TIM[[ID Rating]:[Summ Voltage]],G$15,0)</f>
        <v>11 kV Bus</v>
      </c>
      <c r="H163" s="97" t="str">
        <f>VLOOKUP($A163&amp;$K163,TIM[[ID Rating]:[Summ Voltage]],H$15,0)</f>
        <v xml:space="preserve">TEGRASMERE20 </v>
      </c>
      <c r="I163" s="71" t="str">
        <f>VLOOKUP($A163&amp;$K163,TIM[[ID Rating]:[Summ Voltage]],I$15,0)</f>
        <v>Circuit Breaker-GRM-CB20-Protection</v>
      </c>
      <c r="J163" s="142">
        <f>VLOOKUP($A163&amp;$K163,TIM[[ID Rating]:[Summ Voltage]],J$15,0)</f>
        <v>11</v>
      </c>
      <c r="K163" s="81">
        <f t="array" ref="K163">MIN(IF(TIM[Station/Feeder]=$A163,IF($F163&lt;TIM[Lowest MVA],TIM[Lowest MVA])))</f>
        <v>5.7919779005103251</v>
      </c>
    </row>
    <row r="164" spans="1:11" ht="15.75" thickBot="1" x14ac:dyDescent="0.3">
      <c r="A164" s="90"/>
      <c r="B164" s="100"/>
      <c r="C164" s="100"/>
      <c r="D164" s="91"/>
      <c r="E164" s="92"/>
      <c r="F164" s="92"/>
      <c r="G164" s="100"/>
      <c r="H164" s="100"/>
      <c r="I164" s="91"/>
      <c r="J164" s="92"/>
      <c r="K164" s="93"/>
    </row>
    <row r="165" spans="1:11" x14ac:dyDescent="0.25">
      <c r="A165" s="86" t="s">
        <v>162</v>
      </c>
      <c r="B165" s="98" t="str">
        <f t="shared" ref="B165:K165" si="2">B127</f>
        <v>CB2692</v>
      </c>
      <c r="C165" s="99" t="str">
        <f t="shared" si="2"/>
        <v>NST35</v>
      </c>
      <c r="D165" s="72" t="str">
        <f t="shared" si="2"/>
        <v>Cable-3/1c 1200mm² Al XLPE CWS MDPE</v>
      </c>
      <c r="E165" s="143">
        <f t="shared" si="2"/>
        <v>11</v>
      </c>
      <c r="F165" s="82">
        <f t="shared" si="2"/>
        <v>15.361411388009726</v>
      </c>
      <c r="G165" s="98" t="str">
        <f t="shared" si="2"/>
        <v>11 kV Bus</v>
      </c>
      <c r="H165" s="99" t="str">
        <f t="shared" si="2"/>
        <v>CB2692</v>
      </c>
      <c r="I165" s="72" t="str">
        <f t="shared" si="2"/>
        <v>Circuit Breaker-TIM-CB2692-Protection</v>
      </c>
      <c r="J165" s="143">
        <f t="shared" si="2"/>
        <v>11</v>
      </c>
      <c r="K165" s="82">
        <f t="shared" si="2"/>
        <v>22.558229717777056</v>
      </c>
    </row>
    <row r="166" spans="1:11" x14ac:dyDescent="0.25">
      <c r="A166" s="86" t="s">
        <v>171</v>
      </c>
      <c r="B166" s="96" t="str">
        <f>VLOOKUP($A166&amp;$F166,TIM[[ID Rating]:[Summ Voltage]],B$15,0)</f>
        <v>Joint</v>
      </c>
      <c r="C166" s="97" t="str">
        <f>VLOOKUP($A166&amp;$F166,TIM[[ID Rating]:[Summ Voltage]],C$15,0)</f>
        <v>L748 RMU</v>
      </c>
      <c r="D166" s="71" t="str">
        <f>VLOOKUP($A166&amp;$F166,TIM[[ID Rating]:[Summ Voltage]],D$15,0)</f>
        <v>Cable-3/1c 300mm² Al CWS</v>
      </c>
      <c r="E166" s="142">
        <f>VLOOKUP($A166&amp;$F166,TIM[[ID Rating]:[Summ Voltage]],E$15,0)</f>
        <v>11</v>
      </c>
      <c r="F166" s="81">
        <f t="array" ref="F166">MIN(IF(TIM[Station/Feeder]=$A166,TIM[Lowest MVA]))</f>
        <v>5.2075673303488346</v>
      </c>
      <c r="G166" s="96" t="str">
        <f>VLOOKUP($A166&amp;$K166,TIM[[ID Rating]:[Summ Voltage]],G$15,0)</f>
        <v>11 kV Bus</v>
      </c>
      <c r="H166" s="97" t="str">
        <f>VLOOKUP($A166&amp;$K166,TIM[[ID Rating]:[Summ Voltage]],H$15,0)</f>
        <v>NST03</v>
      </c>
      <c r="I166" s="71" t="str">
        <f>VLOOKUP($A166&amp;$K166,TIM[[ID Rating]:[Summ Voltage]],I$15,0)</f>
        <v>Circuit Breaker-NST-CB3-Protection</v>
      </c>
      <c r="J166" s="142">
        <f>VLOOKUP($A166&amp;$K166,TIM[[ID Rating]:[Summ Voltage]],J$15,0)</f>
        <v>11</v>
      </c>
      <c r="K166" s="81">
        <f t="array" ref="K166">MIN(IF(TIM[Station/Feeder]=$A166,IF($F166&lt;TIM[Lowest MVA],TIM[Lowest MVA])))</f>
        <v>5.7919779005103251</v>
      </c>
    </row>
    <row r="167" spans="1:11" x14ac:dyDescent="0.25">
      <c r="A167" s="86" t="s">
        <v>177</v>
      </c>
      <c r="B167" s="98" t="str">
        <f>VLOOKUP($A167&amp;$F167,TIM[[ID Rating]:[Summ Voltage]],B$15,0)</f>
        <v>Joint</v>
      </c>
      <c r="C167" s="99" t="str">
        <f>VLOOKUP($A167&amp;$F167,TIM[[ID Rating]:[Summ Voltage]],C$15,0)</f>
        <v>TEQ21 RMU</v>
      </c>
      <c r="D167" s="72" t="str">
        <f>VLOOKUP($A167&amp;$F167,TIM[[ID Rating]:[Summ Voltage]],D$15,0)</f>
        <v>Cable-3c 185mm²  Al PILC SWAS</v>
      </c>
      <c r="E167" s="143">
        <f>VLOOKUP($A167&amp;$F167,TIM[[ID Rating]:[Summ Voltage]],E$15,0)</f>
        <v>11</v>
      </c>
      <c r="F167" s="82">
        <f t="array" ref="F167">MIN(IF(TIM[Station/Feeder]=$A167,TIM[Lowest MVA]))</f>
        <v>4.3531286536467082</v>
      </c>
      <c r="G167" s="98" t="str">
        <f>VLOOKUP($A167&amp;$K167,TIM[[ID Rating]:[Summ Voltage]],G$15,0)</f>
        <v>11 kV Bus</v>
      </c>
      <c r="H167" s="99" t="str">
        <f>VLOOKUP($A167&amp;$K167,TIM[[ID Rating]:[Summ Voltage]],H$15,0)</f>
        <v>NST04</v>
      </c>
      <c r="I167" s="72" t="str">
        <f>VLOOKUP($A167&amp;$K167,TIM[[ID Rating]:[Summ Voltage]],I$15,0)</f>
        <v>Circuit Breaker-NST-CB4-Protection</v>
      </c>
      <c r="J167" s="143">
        <f>VLOOKUP($A167&amp;$K167,TIM[[ID Rating]:[Summ Voltage]],J$15,0)</f>
        <v>11</v>
      </c>
      <c r="K167" s="82">
        <f t="array" ref="K167">MIN(IF(TIM[Station/Feeder]=$A167,IF($F167&lt;TIM[Lowest MVA],TIM[Lowest MVA])))</f>
        <v>5.7919779005103251</v>
      </c>
    </row>
    <row r="168" spans="1:11" x14ac:dyDescent="0.25">
      <c r="A168" s="86" t="s">
        <v>183</v>
      </c>
      <c r="B168" s="96" t="str">
        <f>VLOOKUP($A168&amp;$F168,TIM[[ID Rating]:[Summ Voltage]],B$15,0)</f>
        <v>Joint</v>
      </c>
      <c r="C168" s="97" t="str">
        <f>VLOOKUP($A168&amp;$F168,TIM[[ID Rating]:[Summ Voltage]],C$15,0)</f>
        <v xml:space="preserve">TEQ25 RMU </v>
      </c>
      <c r="D168" s="71" t="str">
        <f>VLOOKUP($A168&amp;$F168,TIM[[ID Rating]:[Summ Voltage]],D$15,0)</f>
        <v>Cable-3c 185mm²  Al PILC SWAS</v>
      </c>
      <c r="E168" s="142">
        <f>VLOOKUP($A168&amp;$F168,TIM[[ID Rating]:[Summ Voltage]],E$15,0)</f>
        <v>11</v>
      </c>
      <c r="F168" s="81">
        <f t="array" ref="F168">MIN(IF(TIM[Station/Feeder]=$A168,TIM[Lowest MVA]))</f>
        <v>3.8470774476602769</v>
      </c>
      <c r="G168" s="96" t="str">
        <f>VLOOKUP($A168&amp;$K168,TIM[[ID Rating]:[Summ Voltage]],G$15,0)</f>
        <v>11 kV Bus</v>
      </c>
      <c r="H168" s="97" t="str">
        <f>VLOOKUP($A168&amp;$K168,TIM[[ID Rating]:[Summ Voltage]],H$15,0)</f>
        <v xml:space="preserve">NST05 </v>
      </c>
      <c r="I168" s="71" t="str">
        <f>VLOOKUP($A168&amp;$K168,TIM[[ID Rating]:[Summ Voltage]],I$15,0)</f>
        <v>Circuit Breaker-NST-CB5-Protection</v>
      </c>
      <c r="J168" s="142">
        <f>VLOOKUP($A168&amp;$K168,TIM[[ID Rating]:[Summ Voltage]],J$15,0)</f>
        <v>11</v>
      </c>
      <c r="K168" s="81">
        <f t="array" ref="K168">MIN(IF(TIM[Station/Feeder]=$A168,IF($F168&lt;TIM[Lowest MVA],TIM[Lowest MVA])))</f>
        <v>5.7919779005103251</v>
      </c>
    </row>
    <row r="169" spans="1:11" x14ac:dyDescent="0.25">
      <c r="A169" s="86" t="s">
        <v>186</v>
      </c>
      <c r="B169" s="98" t="str">
        <f>VLOOKUP($A169&amp;$F169,TIM[[ID Rating]:[Summ Voltage]],B$15,0)</f>
        <v>Joint</v>
      </c>
      <c r="C169" s="99" t="str">
        <f>VLOOKUP($A169&amp;$F169,TIM[[ID Rating]:[Summ Voltage]],C$15,0)</f>
        <v>TEW1</v>
      </c>
      <c r="D169" s="72" t="str">
        <f>VLOOKUP($A169&amp;$F169,TIM[[ID Rating]:[Summ Voltage]],D$15,0)</f>
        <v>Cable-3c 0.15in² Cu PILC STA</v>
      </c>
      <c r="E169" s="143">
        <f>VLOOKUP($A169&amp;$F169,TIM[[ID Rating]:[Summ Voltage]],E$15,0)</f>
        <v>11</v>
      </c>
      <c r="F169" s="82">
        <f t="array" ref="F169">MIN(IF(TIM[Station/Feeder]=$A169,TIM[Lowest MVA]))</f>
        <v>3.2869748942244015</v>
      </c>
      <c r="G169" s="98" t="str">
        <f>VLOOKUP($A169&amp;$K169,TIM[[ID Rating]:[Summ Voltage]],G$15,0)</f>
        <v>11 kV Bus</v>
      </c>
      <c r="H169" s="99" t="str">
        <f>VLOOKUP($A169&amp;$K169,TIM[[ID Rating]:[Summ Voltage]],H$15,0)</f>
        <v xml:space="preserve">NST08 </v>
      </c>
      <c r="I169" s="72" t="str">
        <f>VLOOKUP($A169&amp;$K169,TIM[[ID Rating]:[Summ Voltage]],I$15,0)</f>
        <v>Circuit Breaker-NST-CB8-Protection</v>
      </c>
      <c r="J169" s="143">
        <f>VLOOKUP($A169&amp;$K169,TIM[[ID Rating]:[Summ Voltage]],J$15,0)</f>
        <v>11</v>
      </c>
      <c r="K169" s="82">
        <f t="array" ref="K169">MIN(IF(TIM[Station/Feeder]=$A169,IF($F169&lt;TIM[Lowest MVA],TIM[Lowest MVA])))</f>
        <v>3.8105117766515302</v>
      </c>
    </row>
    <row r="170" spans="1:11" x14ac:dyDescent="0.25">
      <c r="A170" s="86" t="s">
        <v>188</v>
      </c>
      <c r="B170" s="96" t="str">
        <f>VLOOKUP($A170&amp;$F170,TIM[[ID Rating]:[Summ Voltage]],B$15,0)</f>
        <v>Joint</v>
      </c>
      <c r="C170" s="97" t="str">
        <f>VLOOKUP($A170&amp;$F170,TIM[[ID Rating]:[Summ Voltage]],C$15,0)</f>
        <v xml:space="preserve">TEX47 RMU </v>
      </c>
      <c r="D170" s="71" t="str">
        <f>VLOOKUP($A170&amp;$F170,TIM[[ID Rating]:[Summ Voltage]],D$15,0)</f>
        <v>Cable-3c 300mm² Al XLPE MDPE</v>
      </c>
      <c r="E170" s="142">
        <f>VLOOKUP($A170&amp;$F170,TIM[[ID Rating]:[Summ Voltage]],E$15,0)</f>
        <v>11</v>
      </c>
      <c r="F170" s="81">
        <f t="array" ref="F170">MIN(IF(TIM[Station/Feeder]=$A170,TIM[Lowest MVA]))</f>
        <v>5.2075673303488328</v>
      </c>
      <c r="G170" s="96" t="str">
        <f>VLOOKUP($A170&amp;$K170,TIM[[ID Rating]:[Summ Voltage]],G$15,0)</f>
        <v>11 kV Bus</v>
      </c>
      <c r="H170" s="97" t="str">
        <f>VLOOKUP($A170&amp;$K170,TIM[[ID Rating]:[Summ Voltage]],H$15,0)</f>
        <v>NST09</v>
      </c>
      <c r="I170" s="71" t="str">
        <f>VLOOKUP($A170&amp;$K170,TIM[[ID Rating]:[Summ Voltage]],I$15,0)</f>
        <v>Circuit Breaker-NST-CB9-Protection</v>
      </c>
      <c r="J170" s="142">
        <f>VLOOKUP($A170&amp;$K170,TIM[[ID Rating]:[Summ Voltage]],J$15,0)</f>
        <v>11</v>
      </c>
      <c r="K170" s="81">
        <f t="array" ref="K170">MIN(IF(TIM[Station/Feeder]=$A170,IF($F170&lt;TIM[Lowest MVA],TIM[Lowest MVA])))</f>
        <v>5.7919779005103251</v>
      </c>
    </row>
    <row r="171" spans="1:11" x14ac:dyDescent="0.25">
      <c r="A171" s="86" t="s">
        <v>190</v>
      </c>
      <c r="B171" s="98" t="str">
        <f>VLOOKUP($A171&amp;$F171,TIM[[ID Rating]:[Summ Voltage]],B$15,0)</f>
        <v>Joint</v>
      </c>
      <c r="C171" s="99" t="str">
        <f>VLOOKUP($A171&amp;$F171,TIM[[ID Rating]:[Summ Voltage]],C$15,0)</f>
        <v>TEW33 RMU</v>
      </c>
      <c r="D171" s="72" t="str">
        <f>VLOOKUP($A171&amp;$F171,TIM[[ID Rating]:[Summ Voltage]],D$15,0)</f>
        <v>Cable-3c 185mm²  Al PILC SWAS</v>
      </c>
      <c r="E171" s="143">
        <f>VLOOKUP($A171&amp;$F171,TIM[[ID Rating]:[Summ Voltage]],E$15,0)</f>
        <v>11</v>
      </c>
      <c r="F171" s="82">
        <f t="array" ref="F171">MIN(IF(TIM[Station/Feeder]=$A171,TIM[Lowest MVA]))</f>
        <v>3.8060129340275437</v>
      </c>
      <c r="G171" s="98" t="str">
        <f>VLOOKUP($A171&amp;$K171,TIM[[ID Rating]:[Summ Voltage]],G$15,0)</f>
        <v>11 kV Bus</v>
      </c>
      <c r="H171" s="99" t="str">
        <f>VLOOKUP($A171&amp;$K171,TIM[[ID Rating]:[Summ Voltage]],H$15,0)</f>
        <v>NST10</v>
      </c>
      <c r="I171" s="72" t="str">
        <f>VLOOKUP($A171&amp;$K171,TIM[[ID Rating]:[Summ Voltage]],I$15,0)</f>
        <v>Circuit Breaker-NST-CB10-Protection</v>
      </c>
      <c r="J171" s="143">
        <f>VLOOKUP($A171&amp;$K171,TIM[[ID Rating]:[Summ Voltage]],J$15,0)</f>
        <v>11</v>
      </c>
      <c r="K171" s="82">
        <f t="array" ref="K171">MIN(IF(TIM[Station/Feeder]=$A171,IF($F171&lt;TIM[Lowest MVA],TIM[Lowest MVA])))</f>
        <v>5.7919779005103251</v>
      </c>
    </row>
    <row r="172" spans="1:11" x14ac:dyDescent="0.25">
      <c r="A172" s="86" t="s">
        <v>192</v>
      </c>
      <c r="B172" s="96" t="str">
        <f>VLOOKUP($A172&amp;$F172,TIM[[ID Rating]:[Summ Voltage]],B$15,0)</f>
        <v>Joint</v>
      </c>
      <c r="C172" s="97" t="str">
        <f>VLOOKUP($A172&amp;$F172,TIM[[ID Rating]:[Summ Voltage]],C$15,0)</f>
        <v>TEW7 RMU</v>
      </c>
      <c r="D172" s="71" t="str">
        <f>VLOOKUP($A172&amp;$F172,TIM[[ID Rating]:[Summ Voltage]],D$15,0)</f>
        <v>Cable-3c 0.25in² Al PILC STAS</v>
      </c>
      <c r="E172" s="142">
        <f>VLOOKUP($A172&amp;$F172,TIM[[ID Rating]:[Summ Voltage]],E$15,0)</f>
        <v>11</v>
      </c>
      <c r="F172" s="81">
        <f t="array" ref="F172">MIN(IF(TIM[Station/Feeder]=$A172,TIM[Lowest MVA]))</f>
        <v>3.9413952351559556</v>
      </c>
      <c r="G172" s="96" t="str">
        <f>VLOOKUP($A172&amp;$K172,TIM[[ID Rating]:[Summ Voltage]],G$15,0)</f>
        <v>11 kV Bus</v>
      </c>
      <c r="H172" s="97" t="str">
        <f>VLOOKUP($A172&amp;$K172,TIM[[ID Rating]:[Summ Voltage]],H$15,0)</f>
        <v>NST11</v>
      </c>
      <c r="I172" s="71" t="str">
        <f>VLOOKUP($A172&amp;$K172,TIM[[ID Rating]:[Summ Voltage]],I$15,0)</f>
        <v>Circuit Breaker-NST-CB11-Protection</v>
      </c>
      <c r="J172" s="142">
        <f>VLOOKUP($A172&amp;$K172,TIM[[ID Rating]:[Summ Voltage]],J$15,0)</f>
        <v>11</v>
      </c>
      <c r="K172" s="81">
        <f t="array" ref="K172">MIN(IF(TIM[Station/Feeder]=$A172,IF($F172&lt;TIM[Lowest MVA],TIM[Lowest MVA])))</f>
        <v>5.7919779005103251</v>
      </c>
    </row>
    <row r="173" spans="1:11" x14ac:dyDescent="0.25">
      <c r="A173" s="86" t="s">
        <v>194</v>
      </c>
      <c r="B173" s="98" t="str">
        <f>VLOOKUP($A173&amp;$F173,TIM[[ID Rating]:[Summ Voltage]],B$15,0)</f>
        <v>Joint</v>
      </c>
      <c r="C173" s="99" t="str">
        <f>VLOOKUP($A173&amp;$F173,TIM[[ID Rating]:[Summ Voltage]],C$15,0)</f>
        <v>Joint</v>
      </c>
      <c r="D173" s="72" t="str">
        <f>VLOOKUP($A173&amp;$F173,TIM[[ID Rating]:[Summ Voltage]],D$15,0)</f>
        <v>Cable-3c 0.25in² Al PILC SWA</v>
      </c>
      <c r="E173" s="143">
        <f>VLOOKUP($A173&amp;$F173,TIM[[ID Rating]:[Summ Voltage]],E$15,0)</f>
        <v>11</v>
      </c>
      <c r="F173" s="82">
        <f t="array" ref="F173">MIN(IF(TIM[Station/Feeder]=$A173,TIM[Lowest MVA]))</f>
        <v>3.9413952351559556</v>
      </c>
      <c r="G173" s="98" t="str">
        <f>VLOOKUP($A173&amp;$K173,TIM[[ID Rating]:[Summ Voltage]],G$15,0)</f>
        <v>Joint</v>
      </c>
      <c r="H173" s="99" t="str">
        <f>VLOOKUP($A173&amp;$K173,TIM[[ID Rating]:[Summ Voltage]],H$15,0)</f>
        <v>Joint</v>
      </c>
      <c r="I173" s="72" t="str">
        <f>VLOOKUP($A173&amp;$K173,TIM[[ID Rating]:[Summ Voltage]],I$15,0)</f>
        <v>Cable-3c 185mm²  Al PILC SWA</v>
      </c>
      <c r="J173" s="143">
        <f>VLOOKUP($A173&amp;$K173,TIM[[ID Rating]:[Summ Voltage]],J$15,0)</f>
        <v>11</v>
      </c>
      <c r="K173" s="82">
        <f t="array" ref="K173">MIN(IF(TIM[Station/Feeder]=$A173,IF($F173&lt;TIM[Lowest MVA],TIM[Lowest MVA])))</f>
        <v>4.6850547134872684</v>
      </c>
    </row>
    <row r="174" spans="1:11" x14ac:dyDescent="0.25">
      <c r="A174" s="86" t="s">
        <v>196</v>
      </c>
      <c r="B174" s="96" t="str">
        <f>VLOOKUP($A174&amp;$F174,TIM[[ID Rating]:[Summ Voltage]],B$15,0)</f>
        <v>Joint</v>
      </c>
      <c r="C174" s="97" t="str">
        <f>VLOOKUP($A174&amp;$F174,TIM[[ID Rating]:[Summ Voltage]],C$15,0)</f>
        <v xml:space="preserve">TEX50 RMU </v>
      </c>
      <c r="D174" s="71" t="str">
        <f>VLOOKUP($A174&amp;$F174,TIM[[ID Rating]:[Summ Voltage]],D$15,0)</f>
        <v>Cable-3c 300mm² Al XLPE MDPE</v>
      </c>
      <c r="E174" s="142">
        <f>VLOOKUP($A174&amp;$F174,TIM[[ID Rating]:[Summ Voltage]],E$15,0)</f>
        <v>11</v>
      </c>
      <c r="F174" s="81">
        <f t="array" ref="F174">MIN(IF(TIM[Station/Feeder]=$A174,TIM[Lowest MVA]))</f>
        <v>5.2075673303488328</v>
      </c>
      <c r="G174" s="96" t="str">
        <f>VLOOKUP($A174&amp;$K174,TIM[[ID Rating]:[Summ Voltage]],G$15,0)</f>
        <v>11 kV Bus</v>
      </c>
      <c r="H174" s="97" t="str">
        <f>VLOOKUP($A174&amp;$K174,TIM[[ID Rating]:[Summ Voltage]],H$15,0)</f>
        <v>NST13</v>
      </c>
      <c r="I174" s="71" t="str">
        <f>VLOOKUP($A174&amp;$K174,TIM[[ID Rating]:[Summ Voltage]],I$15,0)</f>
        <v>Circuit Breaker-NST-CB13-Protection</v>
      </c>
      <c r="J174" s="142">
        <f>VLOOKUP($A174&amp;$K174,TIM[[ID Rating]:[Summ Voltage]],J$15,0)</f>
        <v>11</v>
      </c>
      <c r="K174" s="81">
        <f t="array" ref="K174">MIN(IF(TIM[Station/Feeder]=$A174,IF($F174&lt;TIM[Lowest MVA],TIM[Lowest MVA])))</f>
        <v>5.7919779005103251</v>
      </c>
    </row>
    <row r="175" spans="1:11" x14ac:dyDescent="0.25">
      <c r="A175" s="86" t="s">
        <v>198</v>
      </c>
      <c r="B175" s="98" t="str">
        <f>VLOOKUP($A175&amp;$F175,TIM[[ID Rating]:[Summ Voltage]],B$15,0)</f>
        <v>Joint</v>
      </c>
      <c r="C175" s="99" t="str">
        <f>VLOOKUP($A175&amp;$F175,TIM[[ID Rating]:[Summ Voltage]],C$15,0)</f>
        <v xml:space="preserve">TEP12 RMU </v>
      </c>
      <c r="D175" s="72" t="str">
        <f>VLOOKUP($A175&amp;$F175,TIM[[ID Rating]:[Summ Voltage]],D$15,0)</f>
        <v>Cable-3c 185mm² Al PILC SWAS</v>
      </c>
      <c r="E175" s="143">
        <f>VLOOKUP($A175&amp;$F175,TIM[[ID Rating]:[Summ Voltage]],E$15,0)</f>
        <v>11</v>
      </c>
      <c r="F175" s="82">
        <f t="array" ref="F175">MIN(IF(TIM[Station/Feeder]=$A175,TIM[Lowest MVA]))</f>
        <v>3.9994369505379117</v>
      </c>
      <c r="G175" s="98" t="str">
        <f>VLOOKUP($A175&amp;$K175,TIM[[ID Rating]:[Summ Voltage]],G$15,0)</f>
        <v>11 kV Bus</v>
      </c>
      <c r="H175" s="99" t="str">
        <f>VLOOKUP($A175&amp;$K175,TIM[[ID Rating]:[Summ Voltage]],H$15,0)</f>
        <v>NST16</v>
      </c>
      <c r="I175" s="72" t="str">
        <f>VLOOKUP($A175&amp;$K175,TIM[[ID Rating]:[Summ Voltage]],I$15,0)</f>
        <v>Circuit Breaker-NST-CB16-Protection</v>
      </c>
      <c r="J175" s="143">
        <f>VLOOKUP($A175&amp;$K175,TIM[[ID Rating]:[Summ Voltage]],J$15,0)</f>
        <v>11</v>
      </c>
      <c r="K175" s="82">
        <f t="array" ref="K175">MIN(IF(TIM[Station/Feeder]=$A175,IF($F175&lt;TIM[Lowest MVA],TIM[Lowest MVA])))</f>
        <v>5.7919779005103251</v>
      </c>
    </row>
    <row r="176" spans="1:11" x14ac:dyDescent="0.25">
      <c r="A176" s="86" t="s">
        <v>200</v>
      </c>
      <c r="B176" s="96" t="str">
        <f>VLOOKUP($A176&amp;$F176,TIM[[ID Rating]:[Summ Voltage]],B$15,0)</f>
        <v>Joint</v>
      </c>
      <c r="C176" s="97" t="str">
        <f>VLOOKUP($A176&amp;$F176,TIM[[ID Rating]:[Summ Voltage]],C$15,0)</f>
        <v>Joint</v>
      </c>
      <c r="D176" s="71" t="str">
        <f>VLOOKUP($A176&amp;$F176,TIM[[ID Rating]:[Summ Voltage]],D$15,0)</f>
        <v>Cable-3c 0.075in² Cu PILC STAS</v>
      </c>
      <c r="E176" s="142">
        <f>VLOOKUP($A176&amp;$F176,TIM[[ID Rating]:[Summ Voltage]],E$15,0)</f>
        <v>11</v>
      </c>
      <c r="F176" s="81">
        <f t="array" ref="F176">MIN(IF(TIM[Station/Feeder]=$A176,TIM[Lowest MVA]))</f>
        <v>2.5879349845929673</v>
      </c>
      <c r="G176" s="96" t="str">
        <f>VLOOKUP($A176&amp;$K176,TIM[[ID Rating]:[Summ Voltage]],G$15,0)</f>
        <v>Joint</v>
      </c>
      <c r="H176" s="97" t="str">
        <f>VLOOKUP($A176&amp;$K176,TIM[[ID Rating]:[Summ Voltage]],H$15,0)</f>
        <v>Joint</v>
      </c>
      <c r="I176" s="71" t="str">
        <f>VLOOKUP($A176&amp;$K176,TIM[[ID Rating]:[Summ Voltage]],I$15,0)</f>
        <v>Cable-3c 0.15in² Cu PILC SWA</v>
      </c>
      <c r="J176" s="142">
        <f>VLOOKUP($A176&amp;$K176,TIM[[ID Rating]:[Summ Voltage]],J$15,0)</f>
        <v>11</v>
      </c>
      <c r="K176" s="81">
        <f t="array" ref="K176">MIN(IF(TIM[Station/Feeder]=$A176,IF($F176&lt;TIM[Lowest MVA],TIM[Lowest MVA])))</f>
        <v>3.2869748942244015</v>
      </c>
    </row>
    <row r="177" spans="1:11" ht="15.75" thickBot="1" x14ac:dyDescent="0.3">
      <c r="A177" s="86" t="s">
        <v>201</v>
      </c>
      <c r="B177" s="98" t="str">
        <f>VLOOKUP($A177&amp;$F177,TIM[[ID Rating]:[Summ Voltage]],B$15,0)</f>
        <v>Joint</v>
      </c>
      <c r="C177" s="99" t="str">
        <f>VLOOKUP($A177&amp;$F177,TIM[[ID Rating]:[Summ Voltage]],C$15,0)</f>
        <v>L783 RMU</v>
      </c>
      <c r="D177" s="72" t="str">
        <f>VLOOKUP($A177&amp;$F177,TIM[[ID Rating]:[Summ Voltage]],D$15,0)</f>
        <v>Cable-3c 300mm² Al XLPE CWS MDPE</v>
      </c>
      <c r="E177" s="143">
        <f>VLOOKUP($A177&amp;$F177,TIM[[ID Rating]:[Summ Voltage]],E$15,0)</f>
        <v>11</v>
      </c>
      <c r="F177" s="82">
        <f t="array" ref="F177">MIN(IF(TIM[Station/Feeder]=$A177,TIM[Lowest MVA]))</f>
        <v>5.2075673303488346</v>
      </c>
      <c r="G177" s="98" t="str">
        <f>VLOOKUP($A177&amp;$K177,TIM[[ID Rating]:[Summ Voltage]],G$15,0)</f>
        <v>11 kV Bus</v>
      </c>
      <c r="H177" s="99" t="str">
        <f>VLOOKUP($A177&amp;$K177,TIM[[ID Rating]:[Summ Voltage]],H$15,0)</f>
        <v xml:space="preserve">NST18 </v>
      </c>
      <c r="I177" s="72" t="str">
        <f>VLOOKUP($A177&amp;$K177,TIM[[ID Rating]:[Summ Voltage]],I$15,0)</f>
        <v>Circuit Breaker-NST-CB18-Protection</v>
      </c>
      <c r="J177" s="143">
        <f>VLOOKUP($A177&amp;$K177,TIM[[ID Rating]:[Summ Voltage]],J$15,0)</f>
        <v>11</v>
      </c>
      <c r="K177" s="82">
        <f t="array" ref="K177">MIN(IF(TIM[Station/Feeder]=$A177,IF($F177&lt;TIM[Lowest MVA],TIM[Lowest MVA])))</f>
        <v>5.7919779005103251</v>
      </c>
    </row>
    <row r="178" spans="1:11" ht="15.75" thickBot="1" x14ac:dyDescent="0.3">
      <c r="A178" s="90"/>
      <c r="B178" s="100"/>
      <c r="C178" s="100"/>
      <c r="D178" s="91"/>
      <c r="E178" s="92"/>
      <c r="F178" s="92"/>
      <c r="G178" s="100"/>
      <c r="H178" s="100"/>
      <c r="I178" s="91"/>
      <c r="J178" s="92"/>
      <c r="K178" s="93"/>
    </row>
    <row r="179" spans="1:11" x14ac:dyDescent="0.25">
      <c r="A179" s="86" t="s">
        <v>204</v>
      </c>
      <c r="B179" s="98" t="str">
        <f t="shared" ref="B179:K179" si="3">B148</f>
        <v xml:space="preserve">TEGRASMERE 4 </v>
      </c>
      <c r="C179" s="99" t="str">
        <f t="shared" si="3"/>
        <v>TEHUNT3</v>
      </c>
      <c r="D179" s="72" t="str">
        <f t="shared" si="3"/>
        <v xml:space="preserve">Cable-3c 0.3in² Cu PILC SWA </v>
      </c>
      <c r="E179" s="143">
        <f t="shared" si="3"/>
        <v>11</v>
      </c>
      <c r="F179" s="82">
        <f t="shared" si="3"/>
        <v>5.6674503756493531</v>
      </c>
      <c r="G179" s="98" t="str">
        <f t="shared" si="3"/>
        <v>11 kV Bus</v>
      </c>
      <c r="H179" s="99" t="str">
        <f t="shared" si="3"/>
        <v xml:space="preserve">TEGRASMERE4 </v>
      </c>
      <c r="I179" s="72" t="str">
        <f t="shared" si="3"/>
        <v>Circuit Breaker-GRM-CB4-Protection</v>
      </c>
      <c r="J179" s="143">
        <f t="shared" si="3"/>
        <v>11</v>
      </c>
      <c r="K179" s="82">
        <f t="shared" si="3"/>
        <v>7.6210235533030604</v>
      </c>
    </row>
    <row r="180" spans="1:11" x14ac:dyDescent="0.25">
      <c r="A180" s="86" t="s">
        <v>207</v>
      </c>
      <c r="B180" s="96" t="str">
        <f>VLOOKUP($A180&amp;$F180,TIM[[ID Rating]:[Summ Voltage]],B$15,0)</f>
        <v>11 kV Bus</v>
      </c>
      <c r="C180" s="97" t="str">
        <f>VLOOKUP($A180&amp;$F180,TIM[[ID Rating]:[Summ Voltage]],C$15,0)</f>
        <v>TEHUNT1</v>
      </c>
      <c r="D180" s="71" t="str">
        <f>VLOOKUP($A180&amp;$F180,TIM[[ID Rating]:[Summ Voltage]],D$15,0)</f>
        <v>Circuit Breaker-HNT-CB1-Protection</v>
      </c>
      <c r="E180" s="142">
        <f>VLOOKUP($A180&amp;$F180,TIM[[ID Rating]:[Summ Voltage]],E$15,0)</f>
        <v>11</v>
      </c>
      <c r="F180" s="81">
        <f t="array" ref="F180">MIN(IF(TIM[Station/Feeder]=$A180,TIM[Lowest MVA]))</f>
        <v>3.8105117766515302</v>
      </c>
      <c r="G180" s="96" t="str">
        <f>VLOOKUP($A180&amp;$K180,TIM[[ID Rating]:[Summ Voltage]],G$15,0)</f>
        <v>TEHUNT1</v>
      </c>
      <c r="H180" s="97" t="str">
        <f>VLOOKUP($A180&amp;$K180,TIM[[ID Rating]:[Summ Voltage]],H$15,0)</f>
        <v>TEJ17</v>
      </c>
      <c r="I180" s="71" t="str">
        <f>VLOOKUP($A180&amp;$K180,TIM[[ID Rating]:[Summ Voltage]],I$15,0)</f>
        <v>Cable-3c 185mm² Al PILC SWAS</v>
      </c>
      <c r="J180" s="142">
        <f>VLOOKUP($A180&amp;$K180,TIM[[ID Rating]:[Summ Voltage]],J$15,0)</f>
        <v>11</v>
      </c>
      <c r="K180" s="81">
        <f t="array" ref="K180">MIN(IF(TIM[Station/Feeder]=$A180,IF($F180&lt;TIM[Lowest MVA],TIM[Lowest MVA])))</f>
        <v>4.2761086843611373</v>
      </c>
    </row>
    <row r="181" spans="1:11" x14ac:dyDescent="0.25">
      <c r="A181" s="86" t="s">
        <v>210</v>
      </c>
      <c r="B181" s="98" t="str">
        <f>VLOOKUP($A181&amp;$F181,TIM[[ID Rating]:[Summ Voltage]],B$15,0)</f>
        <v>TED18</v>
      </c>
      <c r="C181" s="99" t="str">
        <f>VLOOKUP($A181&amp;$F181,TIM[[ID Rating]:[Summ Voltage]],C$15,0)</f>
        <v>POLE 45041</v>
      </c>
      <c r="D181" s="72" t="str">
        <f>VLOOKUP($A181&amp;$F181,TIM[[ID Rating]:[Summ Voltage]],D$15,0)</f>
        <v>OH Line-GOPHER</v>
      </c>
      <c r="E181" s="143">
        <f>VLOOKUP($A181&amp;$F181,TIM[[ID Rating]:[Summ Voltage]],E$15,0)</f>
        <v>11</v>
      </c>
      <c r="F181" s="82">
        <f t="array" ref="F181">MIN(IF(TIM[Station/Feeder]=$A181,TIM[Lowest MVA]))</f>
        <v>2.1035186463624349</v>
      </c>
      <c r="G181" s="98" t="str">
        <f>VLOOKUP($A181&amp;$K181,TIM[[ID Rating]:[Summ Voltage]],G$15,0)</f>
        <v>11 kV Bus</v>
      </c>
      <c r="H181" s="99" t="str">
        <f>VLOOKUP($A181&amp;$K181,TIM[[ID Rating]:[Summ Voltage]],H$15,0)</f>
        <v>TEHUNT2</v>
      </c>
      <c r="I181" s="72" t="str">
        <f>VLOOKUP($A181&amp;$K181,TIM[[ID Rating]:[Summ Voltage]],I$15,0)</f>
        <v>Circuit Breaker-HNT-CB2-Protection</v>
      </c>
      <c r="J181" s="143">
        <f>VLOOKUP($A181&amp;$K181,TIM[[ID Rating]:[Summ Voltage]],J$15,0)</f>
        <v>11</v>
      </c>
      <c r="K181" s="82">
        <f t="array" ref="K181">MIN(IF(TIM[Station/Feeder]=$A181,IF($F181&lt;TIM[Lowest MVA],TIM[Lowest MVA])))</f>
        <v>3.8105117766515302</v>
      </c>
    </row>
    <row r="182" spans="1:11" x14ac:dyDescent="0.25">
      <c r="A182" s="86" t="s">
        <v>1412</v>
      </c>
      <c r="B182" s="98" t="str">
        <f>VLOOKUP($A182&amp;$F182,TIM[[ID Rating]:[Summ Voltage]],B$15,0)</f>
        <v xml:space="preserve">TEGRASMERE 4 </v>
      </c>
      <c r="C182" s="99" t="str">
        <f>VLOOKUP($A182&amp;$F182,TIM[[ID Rating]:[Summ Voltage]],C$15,0)</f>
        <v>TEHUNT3</v>
      </c>
      <c r="D182" s="72" t="str">
        <f>VLOOKUP($A182&amp;$F182,TIM[[ID Rating]:[Summ Voltage]],D$15,0)</f>
        <v xml:space="preserve">Cable-3c 0.3in² Cu PILC SWA </v>
      </c>
      <c r="E182" s="143">
        <f>VLOOKUP($A182&amp;$F182,TIM[[ID Rating]:[Summ Voltage]],E$15,0)</f>
        <v>11</v>
      </c>
      <c r="F182" s="82">
        <f t="array" ref="F182">MIN(IF(TIM[Station/Feeder]=$A182,TIM[Lowest MVA]))</f>
        <v>5.6674503756493531</v>
      </c>
      <c r="G182" s="98" t="str">
        <f>VLOOKUP($A182&amp;$K182,TIM[[ID Rating]:[Summ Voltage]],G$15,0)</f>
        <v>11 kV Bus</v>
      </c>
      <c r="H182" s="99" t="str">
        <f>VLOOKUP($A182&amp;$K182,TIM[[ID Rating]:[Summ Voltage]],H$15,0)</f>
        <v xml:space="preserve">TEGRASMERE 4 </v>
      </c>
      <c r="I182" s="72" t="str">
        <f>VLOOKUP($A182&amp;$K182,TIM[[ID Rating]:[Summ Voltage]],I$15,0)</f>
        <v>Circuit Breaker-HNT-CB3-Protection</v>
      </c>
      <c r="J182" s="143">
        <f>VLOOKUP($A182&amp;$K182,TIM[[ID Rating]:[Summ Voltage]],J$15,0)</f>
        <v>11</v>
      </c>
      <c r="K182" s="82">
        <f t="array" ref="K182">MIN(IF(TIM[Station/Feeder]=$A182,IF($F182&lt;TIM[Lowest MVA],TIM[Lowest MVA])))</f>
        <v>7.6210235533030604</v>
      </c>
    </row>
    <row r="183" spans="1:11" x14ac:dyDescent="0.25">
      <c r="A183" s="86" t="s">
        <v>213</v>
      </c>
      <c r="B183" s="96" t="str">
        <f>VLOOKUP($A183&amp;$F183,TIM[[ID Rating]:[Summ Voltage]],B$15,0)</f>
        <v>11 kV Bus</v>
      </c>
      <c r="C183" s="97" t="str">
        <f>VLOOKUP($A183&amp;$F183,TIM[[ID Rating]:[Summ Voltage]],C$15,0)</f>
        <v>TEHUNT4</v>
      </c>
      <c r="D183" s="71" t="str">
        <f>VLOOKUP($A183&amp;$F183,TIM[[ID Rating]:[Summ Voltage]],D$15,0)</f>
        <v>Circuit Breaker-HNT-CB4-Protection</v>
      </c>
      <c r="E183" s="142">
        <f>VLOOKUP($A183&amp;$F183,TIM[[ID Rating]:[Summ Voltage]],E$15,0)</f>
        <v>11</v>
      </c>
      <c r="F183" s="81">
        <f t="array" ref="F183">MIN(IF(TIM[Station/Feeder]=$A183,TIM[Lowest MVA]))</f>
        <v>3.8105117766515302</v>
      </c>
      <c r="G183" s="96" t="str">
        <f>VLOOKUP($A183&amp;$K183,TIM[[ID Rating]:[Summ Voltage]],G$15,0)</f>
        <v>Joint</v>
      </c>
      <c r="H183" s="97" t="str">
        <f>VLOOKUP($A183&amp;$K183,TIM[[ID Rating]:[Summ Voltage]],H$15,0)</f>
        <v>TED5</v>
      </c>
      <c r="I183" s="71" t="str">
        <f>VLOOKUP($A183&amp;$K183,TIM[[ID Rating]:[Summ Voltage]],I$15,0)</f>
        <v>Cable-3c 0.25in² Al PILC DSTA</v>
      </c>
      <c r="J183" s="142">
        <f>VLOOKUP($A183&amp;$K183,TIM[[ID Rating]:[Summ Voltage]],J$15,0)</f>
        <v>11</v>
      </c>
      <c r="K183" s="81">
        <f t="array" ref="K183">MIN(IF(TIM[Station/Feeder]=$A183,IF($F183&lt;TIM[Lowest MVA],TIM[Lowest MVA])))</f>
        <v>3.9877767845013592</v>
      </c>
    </row>
    <row r="184" spans="1:11" x14ac:dyDescent="0.25">
      <c r="A184" s="86" t="s">
        <v>216</v>
      </c>
      <c r="B184" s="98" t="str">
        <f>VLOOKUP($A184&amp;$F184,TIM[[ID Rating]:[Summ Voltage]],B$15,0)</f>
        <v>Joint</v>
      </c>
      <c r="C184" s="99" t="str">
        <f>VLOOKUP($A184&amp;$F184,TIM[[ID Rating]:[Summ Voltage]],C$15,0)</f>
        <v>TEK9 RMU</v>
      </c>
      <c r="D184" s="72" t="str">
        <f>VLOOKUP($A184&amp;$F184,TIM[[ID Rating]:[Summ Voltage]],D$15,0)</f>
        <v>Cable-3c 0.25in² Al PILC SWA</v>
      </c>
      <c r="E184" s="143">
        <f>VLOOKUP($A184&amp;$F184,TIM[[ID Rating]:[Summ Voltage]],E$15,0)</f>
        <v>11</v>
      </c>
      <c r="F184" s="82">
        <f t="array" ref="F184">MIN(IF(TIM[Station/Feeder]=$A184,TIM[Lowest MVA]))</f>
        <v>3.4582633048781415</v>
      </c>
      <c r="G184" s="98" t="str">
        <f>VLOOKUP($A184&amp;$K184,TIM[[ID Rating]:[Summ Voltage]],G$15,0)</f>
        <v>11 kV Bus</v>
      </c>
      <c r="H184" s="99" t="str">
        <f>VLOOKUP($A184&amp;$K184,TIM[[ID Rating]:[Summ Voltage]],H$15,0)</f>
        <v>TEHUNT5</v>
      </c>
      <c r="I184" s="72" t="str">
        <f>VLOOKUP($A184&amp;$K184,TIM[[ID Rating]:[Summ Voltage]],I$15,0)</f>
        <v>Circuit Breaker-HNT-CB5-Protection</v>
      </c>
      <c r="J184" s="143">
        <f>VLOOKUP($A184&amp;$K184,TIM[[ID Rating]:[Summ Voltage]],J$15,0)</f>
        <v>11</v>
      </c>
      <c r="K184" s="82">
        <f t="array" ref="K184">MIN(IF(TIM[Station/Feeder]=$A184,IF($F184&lt;TIM[Lowest MVA],TIM[Lowest MVA])))</f>
        <v>3.8105117766515302</v>
      </c>
    </row>
    <row r="185" spans="1:11" x14ac:dyDescent="0.25">
      <c r="A185" s="86" t="s">
        <v>1332</v>
      </c>
      <c r="B185" s="98" t="str">
        <f>VLOOKUP($A185&amp;$F185,TIM[[ID Rating]:[Summ Voltage]],B$15,0)</f>
        <v xml:space="preserve">TEHUNT6 </v>
      </c>
      <c r="C185" s="99" t="str">
        <f>VLOOKUP($A185&amp;$F185,TIM[[ID Rating]:[Summ Voltage]],C$15,0)</f>
        <v>Joint</v>
      </c>
      <c r="D185" s="72" t="str">
        <f>VLOOKUP($A185&amp;$F185,TIM[[ID Rating]:[Summ Voltage]],D$15,0)</f>
        <v>Cable-3c 0.3in² Cu PILC SWAS</v>
      </c>
      <c r="E185" s="143">
        <f>VLOOKUP($A185&amp;$F185,TIM[[ID Rating]:[Summ Voltage]],E$15,0)</f>
        <v>11</v>
      </c>
      <c r="F185" s="82">
        <f t="array" ref="F185">MIN(IF(TIM[Station/Feeder]=$A185,TIM[Lowest MVA]))</f>
        <v>5.5589412896694794</v>
      </c>
      <c r="G185" s="98" t="str">
        <f>VLOOKUP($A185&amp;$K185,TIM[[ID Rating]:[Summ Voltage]],G$15,0)</f>
        <v>Joint</v>
      </c>
      <c r="H185" s="99" t="str">
        <f>VLOOKUP($A185&amp;$K185,TIM[[ID Rating]:[Summ Voltage]],H$15,0)</f>
        <v>NST07</v>
      </c>
      <c r="I185" s="72" t="str">
        <f>VLOOKUP($A185&amp;$K185,TIM[[ID Rating]:[Summ Voltage]],I$15,0)</f>
        <v>Cable-3/1c 400mm² Al XLPE HPDE Screened</v>
      </c>
      <c r="J185" s="143">
        <f>VLOOKUP($A185&amp;$K185,TIM[[ID Rating]:[Summ Voltage]],J$15,0)</f>
        <v>11</v>
      </c>
      <c r="K185" s="82">
        <f t="array" ref="K185">MIN(IF(TIM[Station/Feeder]=$A185,IF($F185&lt;TIM[Lowest MVA],TIM[Lowest MVA])))</f>
        <v>7.5813370731492329</v>
      </c>
    </row>
    <row r="186" spans="1:11" x14ac:dyDescent="0.25">
      <c r="A186" s="86" t="s">
        <v>234</v>
      </c>
      <c r="B186" s="96" t="str">
        <f>VLOOKUP($A186&amp;$F186,TIM[[ID Rating]:[Summ Voltage]],B$15,0)</f>
        <v xml:space="preserve">TEHUNT6 </v>
      </c>
      <c r="C186" s="97" t="str">
        <f>VLOOKUP($A186&amp;$F186,TIM[[ID Rating]:[Summ Voltage]],C$15,0)</f>
        <v>Joint</v>
      </c>
      <c r="D186" s="71" t="str">
        <f>VLOOKUP($A186&amp;$F186,TIM[[ID Rating]:[Summ Voltage]],D$15,0)</f>
        <v>Cable-3c 0.3in² Cu PILC SWAS</v>
      </c>
      <c r="E186" s="142">
        <f>VLOOKUP($A186&amp;$F186,TIM[[ID Rating]:[Summ Voltage]],E$15,0)</f>
        <v>11</v>
      </c>
      <c r="F186" s="81">
        <f t="array" ref="F186">MIN(IF(TIM[Station/Feeder]=$A186,TIM[Lowest MVA]))</f>
        <v>5.5589412896694794</v>
      </c>
      <c r="G186" s="96" t="str">
        <f>VLOOKUP($A186&amp;$K186,TIM[[ID Rating]:[Summ Voltage]],G$15,0)</f>
        <v>Joint</v>
      </c>
      <c r="H186" s="97" t="str">
        <f>VLOOKUP($A186&amp;$K186,TIM[[ID Rating]:[Summ Voltage]],H$15,0)</f>
        <v>NST07</v>
      </c>
      <c r="I186" s="71" t="str">
        <f>VLOOKUP($A186&amp;$K186,TIM[[ID Rating]:[Summ Voltage]],I$15,0)</f>
        <v>Cable-3/1c 400mm² Al XLPE HPDE Screened</v>
      </c>
      <c r="J186" s="142">
        <f>VLOOKUP($A186&amp;$K186,TIM[[ID Rating]:[Summ Voltage]],J$15,0)</f>
        <v>11</v>
      </c>
      <c r="K186" s="81">
        <f t="array" ref="K186">MIN(IF(TIM[Station/Feeder]=$A186,IF($F186&lt;TIM[Lowest MVA],TIM[Lowest MVA])))</f>
        <v>7.5813370731492329</v>
      </c>
    </row>
    <row r="187" spans="1:11" x14ac:dyDescent="0.25">
      <c r="A187" s="86" t="s">
        <v>218</v>
      </c>
      <c r="B187" s="98" t="str">
        <f>VLOOKUP($A187&amp;$F187,TIM[[ID Rating]:[Summ Voltage]],B$15,0)</f>
        <v>Joint</v>
      </c>
      <c r="C187" s="99" t="str">
        <f>VLOOKUP($A187&amp;$F187,TIM[[ID Rating]:[Summ Voltage]],C$15,0)</f>
        <v>TEJ4</v>
      </c>
      <c r="D187" s="72" t="str">
        <f>VLOOKUP($A187&amp;$F187,TIM[[ID Rating]:[Summ Voltage]],D$15,0)</f>
        <v>Cable-3c 0.15in² Al PILC STAS</v>
      </c>
      <c r="E187" s="143">
        <f>VLOOKUP($A187&amp;$F187,TIM[[ID Rating]:[Summ Voltage]],E$15,0)</f>
        <v>11</v>
      </c>
      <c r="F187" s="82">
        <f t="array" ref="F187">MIN(IF(TIM[Station/Feeder]=$A187,TIM[Lowest MVA]))</f>
        <v>3.0574403342318877</v>
      </c>
      <c r="G187" s="98" t="str">
        <f>VLOOKUP($A187&amp;$K187,TIM[[ID Rating]:[Summ Voltage]],G$15,0)</f>
        <v>11 kV Bus</v>
      </c>
      <c r="H187" s="99" t="str">
        <f>VLOOKUP($A187&amp;$K187,TIM[[ID Rating]:[Summ Voltage]],H$15,0)</f>
        <v>TEHUNT7</v>
      </c>
      <c r="I187" s="72" t="str">
        <f>VLOOKUP($A187&amp;$K187,TIM[[ID Rating]:[Summ Voltage]],I$15,0)</f>
        <v>Circuit Breaker-HNT-CB7-Protection</v>
      </c>
      <c r="J187" s="143">
        <f>VLOOKUP($A187&amp;$K187,TIM[[ID Rating]:[Summ Voltage]],J$15,0)</f>
        <v>11</v>
      </c>
      <c r="K187" s="82">
        <f t="array" ref="K187">MIN(IF(TIM[Station/Feeder]=$A187,IF($F187&lt;TIM[Lowest MVA],TIM[Lowest MVA])))</f>
        <v>3.8105117766515302</v>
      </c>
    </row>
    <row r="188" spans="1:11" x14ac:dyDescent="0.25">
      <c r="A188" s="86" t="s">
        <v>219</v>
      </c>
      <c r="B188" s="96" t="str">
        <f>VLOOKUP($A188&amp;$F188,TIM[[ID Rating]:[Summ Voltage]],B$15,0)</f>
        <v>11 kV Bus</v>
      </c>
      <c r="C188" s="97" t="str">
        <f>VLOOKUP($A188&amp;$F188,TIM[[ID Rating]:[Summ Voltage]],C$15,0)</f>
        <v>TEHUNT10</v>
      </c>
      <c r="D188" s="71" t="str">
        <f>VLOOKUP($A188&amp;$F188,TIM[[ID Rating]:[Summ Voltage]],D$15,0)</f>
        <v>Circuit Breaker-HNT-CB10-Protection</v>
      </c>
      <c r="E188" s="142">
        <f>VLOOKUP($A188&amp;$F188,TIM[[ID Rating]:[Summ Voltage]],E$15,0)</f>
        <v>11</v>
      </c>
      <c r="F188" s="81">
        <f t="array" ref="F188">MIN(IF(TIM[Station/Feeder]=$A188,TIM[Lowest MVA]))</f>
        <v>3.8105117766515302</v>
      </c>
      <c r="G188" s="96" t="str">
        <f>VLOOKUP($A188&amp;$K188,TIM[[ID Rating]:[Summ Voltage]],G$15,0)</f>
        <v xml:space="preserve">TEHUNT10 </v>
      </c>
      <c r="H188" s="97" t="str">
        <f>VLOOKUP($A188&amp;$K188,TIM[[ID Rating]:[Summ Voltage]],H$15,0)</f>
        <v xml:space="preserve">TEJ8 RMU </v>
      </c>
      <c r="I188" s="71" t="str">
        <f>VLOOKUP($A188&amp;$K188,TIM[[ID Rating]:[Summ Voltage]],I$15,0)</f>
        <v>Cable-3c 185mm² Al PILC SWAS</v>
      </c>
      <c r="J188" s="142">
        <f>VLOOKUP($A188&amp;$K188,TIM[[ID Rating]:[Summ Voltage]],J$15,0)</f>
        <v>11</v>
      </c>
      <c r="K188" s="81">
        <f t="array" ref="K188">MIN(IF(TIM[Station/Feeder]=$A188,IF($F188&lt;TIM[Lowest MVA],TIM[Lowest MVA])))</f>
        <v>3.9910347720703951</v>
      </c>
    </row>
    <row r="189" spans="1:11" x14ac:dyDescent="0.25">
      <c r="A189" s="86" t="s">
        <v>220</v>
      </c>
      <c r="B189" s="98" t="str">
        <f>VLOOKUP($A189&amp;$F189,TIM[[ID Rating]:[Summ Voltage]],B$15,0)</f>
        <v>Joint</v>
      </c>
      <c r="C189" s="99" t="str">
        <f>VLOOKUP($A189&amp;$F189,TIM[[ID Rating]:[Summ Voltage]],C$15,0)</f>
        <v xml:space="preserve">TEJ7 Link </v>
      </c>
      <c r="D189" s="72" t="str">
        <f>VLOOKUP($A189&amp;$F189,TIM[[ID Rating]:[Summ Voltage]],D$15,0)</f>
        <v>Cable-3c 185mm² Al PILC SWAS</v>
      </c>
      <c r="E189" s="143">
        <f>VLOOKUP($A189&amp;$F189,TIM[[ID Rating]:[Summ Voltage]],E$15,0)</f>
        <v>11</v>
      </c>
      <c r="F189" s="82">
        <f t="array" ref="F189">MIN(IF(TIM[Station/Feeder]=$A189,TIM[Lowest MVA]))</f>
        <v>3.1549844058386221</v>
      </c>
      <c r="G189" s="98" t="str">
        <f>VLOOKUP($A189&amp;$K189,TIM[[ID Rating]:[Summ Voltage]],G$15,0)</f>
        <v>11 kV Bus</v>
      </c>
      <c r="H189" s="99" t="str">
        <f>VLOOKUP($A189&amp;$K189,TIM[[ID Rating]:[Summ Voltage]],H$15,0)</f>
        <v>TEHUNT11</v>
      </c>
      <c r="I189" s="72" t="str">
        <f>VLOOKUP($A189&amp;$K189,TIM[[ID Rating]:[Summ Voltage]],I$15,0)</f>
        <v>Circuit Breaker-HNT-CB11-Protection</v>
      </c>
      <c r="J189" s="143">
        <f>VLOOKUP($A189&amp;$K189,TIM[[ID Rating]:[Summ Voltage]],J$15,0)</f>
        <v>11</v>
      </c>
      <c r="K189" s="82">
        <f t="array" ref="K189">MIN(IF(TIM[Station/Feeder]=$A189,IF($F189&lt;TIM[Lowest MVA],TIM[Lowest MVA])))</f>
        <v>3.8105117766515302</v>
      </c>
    </row>
    <row r="190" spans="1:11" x14ac:dyDescent="0.25">
      <c r="A190" s="86" t="s">
        <v>1413</v>
      </c>
      <c r="B190" s="98" t="str">
        <f>VLOOKUP($A190&amp;$F190,TIM[[ID Rating]:[Summ Voltage]],B$15,0)</f>
        <v>Joint</v>
      </c>
      <c r="C190" s="99" t="str">
        <f>VLOOKUP($A190&amp;$F190,TIM[[ID Rating]:[Summ Voltage]],C$15,0)</f>
        <v>TEHUNT12</v>
      </c>
      <c r="D190" s="72" t="str">
        <f>VLOOKUP($A190&amp;$F190,TIM[[ID Rating]:[Summ Voltage]],D$15,0)</f>
        <v>Cable-3c 0.3in² Cu PILC STAS</v>
      </c>
      <c r="E190" s="143">
        <f>VLOOKUP($A190&amp;$F190,TIM[[ID Rating]:[Summ Voltage]],E$15,0)</f>
        <v>11</v>
      </c>
      <c r="F190" s="82">
        <f t="array" ref="F190">MIN(IF(TIM[Station/Feeder]=$A190,TIM[Lowest MVA]))</f>
        <v>5.6674503756493531</v>
      </c>
      <c r="G190" s="98" t="str">
        <f>VLOOKUP($A190&amp;$K190,TIM[[ID Rating]:[Summ Voltage]],G$15,0)</f>
        <v>TEGRASMERE13</v>
      </c>
      <c r="H190" s="99" t="str">
        <f>VLOOKUP($A190&amp;$K190,TIM[[ID Rating]:[Summ Voltage]],H$15,0)</f>
        <v>TEHUNT12</v>
      </c>
      <c r="I190" s="72" t="str">
        <f>VLOOKUP($A190&amp;$K190,TIM[[ID Rating]:[Summ Voltage]],I$15,0)</f>
        <v>Circuit Breaker-HNT-CB12-Protection</v>
      </c>
      <c r="J190" s="143">
        <f>VLOOKUP($A190&amp;$K190,TIM[[ID Rating]:[Summ Voltage]],J$15,0)</f>
        <v>11</v>
      </c>
      <c r="K190" s="82">
        <f t="array" ref="K190">MIN(IF(TIM[Station/Feeder]=$A190,IF($F190&lt;TIM[Lowest MVA],TIM[Lowest MVA])))</f>
        <v>7.6210235533030604</v>
      </c>
    </row>
    <row r="191" spans="1:11" x14ac:dyDescent="0.25">
      <c r="A191" s="86" t="s">
        <v>221</v>
      </c>
      <c r="B191" s="96" t="str">
        <f>VLOOKUP($A191&amp;$F191,TIM[[ID Rating]:[Summ Voltage]],B$15,0)</f>
        <v>11 kV Bus</v>
      </c>
      <c r="C191" s="97" t="str">
        <f>VLOOKUP($A191&amp;$F191,TIM[[ID Rating]:[Summ Voltage]],C$15,0)</f>
        <v>TEHUNT13</v>
      </c>
      <c r="D191" s="71" t="str">
        <f>VLOOKUP($A191&amp;$F191,TIM[[ID Rating]:[Summ Voltage]],D$15,0)</f>
        <v>Circuit Breaker-HNT-CB13-Protection</v>
      </c>
      <c r="E191" s="142">
        <f>VLOOKUP($A191&amp;$F191,TIM[[ID Rating]:[Summ Voltage]],E$15,0)</f>
        <v>11</v>
      </c>
      <c r="F191" s="81">
        <f t="array" ref="F191">MIN(IF(TIM[Station/Feeder]=$A191,TIM[Lowest MVA]))</f>
        <v>3.8105117766515302</v>
      </c>
      <c r="G191" s="96" t="str">
        <f>VLOOKUP($A191&amp;$K191,TIM[[ID Rating]:[Summ Voltage]],G$15,0)</f>
        <v>TEHUNT13</v>
      </c>
      <c r="H191" s="97" t="str">
        <f>VLOOKUP($A191&amp;$K191,TIM[[ID Rating]:[Summ Voltage]],H$15,0)</f>
        <v>TE62</v>
      </c>
      <c r="I191" s="71" t="str">
        <f>VLOOKUP($A191&amp;$K191,TIM[[ID Rating]:[Summ Voltage]],I$15,0)</f>
        <v>Cable-3c 185mm² Al PILC SWAS</v>
      </c>
      <c r="J191" s="142">
        <f>VLOOKUP($A191&amp;$K191,TIM[[ID Rating]:[Summ Voltage]],J$15,0)</f>
        <v>11</v>
      </c>
      <c r="K191" s="81">
        <f t="array" ref="K191">MIN(IF(TIM[Station/Feeder]=$A191,IF($F191&lt;TIM[Lowest MVA],TIM[Lowest MVA])))</f>
        <v>3.8770052071540992</v>
      </c>
    </row>
    <row r="192" spans="1:11" x14ac:dyDescent="0.25">
      <c r="A192" s="86" t="s">
        <v>222</v>
      </c>
      <c r="B192" s="98" t="str">
        <f>VLOOKUP($A192&amp;$F192,TIM[[ID Rating]:[Summ Voltage]],B$15,0)</f>
        <v>Joint</v>
      </c>
      <c r="C192" s="99" t="str">
        <f>VLOOKUP($A192&amp;$F192,TIM[[ID Rating]:[Summ Voltage]],C$15,0)</f>
        <v>TER8 RMU</v>
      </c>
      <c r="D192" s="72" t="str">
        <f>VLOOKUP($A192&amp;$F192,TIM[[ID Rating]:[Summ Voltage]],D$15,0)</f>
        <v>Cable-3c 95mm² AL PILC SWAS</v>
      </c>
      <c r="E192" s="143">
        <f>VLOOKUP($A192&amp;$F192,TIM[[ID Rating]:[Summ Voltage]],E$15,0)</f>
        <v>11</v>
      </c>
      <c r="F192" s="82">
        <f t="array" ref="F192">MIN(IF(TIM[Station/Feeder]=$A192,TIM[Lowest MVA]))</f>
        <v>2.9991404566770639</v>
      </c>
      <c r="G192" s="98" t="str">
        <f>VLOOKUP($A192&amp;$K192,TIM[[ID Rating]:[Summ Voltage]],G$15,0)</f>
        <v>11 kV Bus</v>
      </c>
      <c r="H192" s="99" t="str">
        <f>VLOOKUP($A192&amp;$K192,TIM[[ID Rating]:[Summ Voltage]],H$15,0)</f>
        <v>TEHUNT14</v>
      </c>
      <c r="I192" s="72" t="str">
        <f>VLOOKUP($A192&amp;$K192,TIM[[ID Rating]:[Summ Voltage]],I$15,0)</f>
        <v>Circuit Breaker-HNT-CB14-Protection</v>
      </c>
      <c r="J192" s="143">
        <f>VLOOKUP($A192&amp;$K192,TIM[[ID Rating]:[Summ Voltage]],J$15,0)</f>
        <v>11</v>
      </c>
      <c r="K192" s="82">
        <f t="array" ref="K192">MIN(IF(TIM[Station/Feeder]=$A192,IF($F192&lt;TIM[Lowest MVA],TIM[Lowest MVA])))</f>
        <v>3.8105117766515302</v>
      </c>
    </row>
    <row r="193" spans="1:11" x14ac:dyDescent="0.25">
      <c r="A193" s="86" t="s">
        <v>1333</v>
      </c>
      <c r="B193" s="98" t="str">
        <f>VLOOKUP($A193&amp;$F193,TIM[[ID Rating]:[Summ Voltage]],B$15,0)</f>
        <v xml:space="preserve">TEHUNT15 </v>
      </c>
      <c r="C193" s="99" t="str">
        <f>VLOOKUP($A193&amp;$F193,TIM[[ID Rating]:[Summ Voltage]],C$15,0)</f>
        <v>Joint</v>
      </c>
      <c r="D193" s="72" t="str">
        <f>VLOOKUP($A193&amp;$F193,TIM[[ID Rating]:[Summ Voltage]],D$15,0)</f>
        <v>Cable-3c 0.3in² Cu PILC SWAS</v>
      </c>
      <c r="E193" s="143">
        <f>VLOOKUP($A193&amp;$F193,TIM[[ID Rating]:[Summ Voltage]],E$15,0)</f>
        <v>11</v>
      </c>
      <c r="F193" s="82">
        <f t="array" ref="F193">MIN(IF(TIM[Station/Feeder]=$A193,TIM[Lowest MVA]))</f>
        <v>5.5589412896694794</v>
      </c>
      <c r="G193" s="98" t="str">
        <f>VLOOKUP($A193&amp;$K193,TIM[[ID Rating]:[Summ Voltage]],G$15,0)</f>
        <v>11 kV Bus</v>
      </c>
      <c r="H193" s="99" t="str">
        <f>VLOOKUP($A193&amp;$K193,TIM[[ID Rating]:[Summ Voltage]],H$15,0)</f>
        <v>TEHUNT15</v>
      </c>
      <c r="I193" s="72" t="str">
        <f>VLOOKUP($A193&amp;$K193,TIM[[ID Rating]:[Summ Voltage]],I$15,0)</f>
        <v>Circuit Breaker-HNT-CB15-Protection</v>
      </c>
      <c r="J193" s="143">
        <f>VLOOKUP($A193&amp;$K193,TIM[[ID Rating]:[Summ Voltage]],J$15,0)</f>
        <v>11</v>
      </c>
      <c r="K193" s="82">
        <f t="array" ref="K193">MIN(IF(TIM[Station/Feeder]=$A193,IF($F193&lt;TIM[Lowest MVA],TIM[Lowest MVA])))</f>
        <v>7.6210235533030604</v>
      </c>
    </row>
    <row r="194" spans="1:11" x14ac:dyDescent="0.25">
      <c r="A194" s="86" t="s">
        <v>234</v>
      </c>
      <c r="B194" s="96" t="str">
        <f>VLOOKUP($A194&amp;$F194,TIM[[ID Rating]:[Summ Voltage]],B$15,0)</f>
        <v xml:space="preserve">TEHUNT6 </v>
      </c>
      <c r="C194" s="97" t="str">
        <f>VLOOKUP($A194&amp;$F194,TIM[[ID Rating]:[Summ Voltage]],C$15,0)</f>
        <v>Joint</v>
      </c>
      <c r="D194" s="71" t="str">
        <f>VLOOKUP($A194&amp;$F194,TIM[[ID Rating]:[Summ Voltage]],D$15,0)</f>
        <v>Cable-3c 0.3in² Cu PILC SWAS</v>
      </c>
      <c r="E194" s="142">
        <f>VLOOKUP($A194&amp;$F194,TIM[[ID Rating]:[Summ Voltage]],E$15,0)</f>
        <v>11</v>
      </c>
      <c r="F194" s="81">
        <f t="array" ref="F194">MIN(IF(TIM[Station/Feeder]=$A194,TIM[Lowest MVA]))</f>
        <v>5.5589412896694794</v>
      </c>
      <c r="G194" s="96" t="str">
        <f>VLOOKUP($A194&amp;$K194,TIM[[ID Rating]:[Summ Voltage]],G$15,0)</f>
        <v>Joint</v>
      </c>
      <c r="H194" s="97" t="str">
        <f>VLOOKUP($A194&amp;$K194,TIM[[ID Rating]:[Summ Voltage]],H$15,0)</f>
        <v>NST07</v>
      </c>
      <c r="I194" s="71" t="str">
        <f>VLOOKUP($A194&amp;$K194,TIM[[ID Rating]:[Summ Voltage]],I$15,0)</f>
        <v>Cable-3/1c 400mm² Al XLPE HPDE Screened</v>
      </c>
      <c r="J194" s="142">
        <f>VLOOKUP($A194&amp;$K194,TIM[[ID Rating]:[Summ Voltage]],J$15,0)</f>
        <v>11</v>
      </c>
      <c r="K194" s="81">
        <f t="array" ref="K194">MIN(IF(TIM[Station/Feeder]=$A194,IF($F194&lt;TIM[Lowest MVA],TIM[Lowest MVA])))</f>
        <v>7.5813370731492329</v>
      </c>
    </row>
    <row r="195" spans="1:11" ht="15.75" thickBot="1" x14ac:dyDescent="0.3">
      <c r="A195" s="86" t="s">
        <v>223</v>
      </c>
      <c r="B195" s="98" t="str">
        <f>VLOOKUP($A195&amp;$F195,TIM[[ID Rating]:[Summ Voltage]],B$15,0)</f>
        <v>11 kV Bus</v>
      </c>
      <c r="C195" s="99" t="str">
        <f>VLOOKUP($A195&amp;$F195,TIM[[ID Rating]:[Summ Voltage]],C$15,0)</f>
        <v>TEHUNT16</v>
      </c>
      <c r="D195" s="72" t="str">
        <f>VLOOKUP($A195&amp;$F195,TIM[[ID Rating]:[Summ Voltage]],D$15,0)</f>
        <v>Circuit Breaker-HNT-CB16-Protection</v>
      </c>
      <c r="E195" s="143">
        <f>VLOOKUP($A195&amp;$F195,TIM[[ID Rating]:[Summ Voltage]],E$15,0)</f>
        <v>11</v>
      </c>
      <c r="F195" s="82">
        <f t="array" ref="F195">MIN(IF(TIM[Station/Feeder]=$A195,TIM[Lowest MVA]))</f>
        <v>3.8105117766515302</v>
      </c>
      <c r="G195" s="98" t="str">
        <f>VLOOKUP($A195&amp;$K195,TIM[[ID Rating]:[Summ Voltage]],G$15,0)</f>
        <v>TEHUNT16</v>
      </c>
      <c r="H195" s="99" t="str">
        <f>VLOOKUP($A195&amp;$K195,TIM[[ID Rating]:[Summ Voltage]],H$15,0)</f>
        <v>TEJ16 RMU</v>
      </c>
      <c r="I195" s="72" t="str">
        <f>VLOOKUP($A195&amp;$K195,TIM[[ID Rating]:[Summ Voltage]],I$15,0)</f>
        <v>Cable-3c 185mm² Al PILC SWAS</v>
      </c>
      <c r="J195" s="143">
        <f>VLOOKUP($A195&amp;$K195,TIM[[ID Rating]:[Summ Voltage]],J$15,0)</f>
        <v>11</v>
      </c>
      <c r="K195" s="82">
        <f t="array" ref="K195">MIN(IF(TIM[Station/Feeder]=$A195,IF($F195&lt;TIM[Lowest MVA],TIM[Lowest MVA])))</f>
        <v>4.2761086843611373</v>
      </c>
    </row>
    <row r="196" spans="1:11" ht="15.75" thickBot="1" x14ac:dyDescent="0.3">
      <c r="A196" s="90"/>
      <c r="B196" s="100"/>
      <c r="C196" s="100"/>
      <c r="D196" s="91"/>
      <c r="E196" s="92"/>
      <c r="F196" s="92"/>
      <c r="G196" s="100"/>
      <c r="H196" s="100"/>
      <c r="I196" s="91"/>
      <c r="J196" s="92"/>
      <c r="K196" s="93"/>
    </row>
    <row r="197" spans="1:11" x14ac:dyDescent="0.25">
      <c r="A197" s="86" t="s">
        <v>160</v>
      </c>
      <c r="B197" s="98" t="str">
        <f>VLOOKUP($A197&amp;$F197,TIM[[ID Rating]:[Summ Voltage]],B$15,0)</f>
        <v>33 kV Bus</v>
      </c>
      <c r="C197" s="99" t="str">
        <f>VLOOKUP($A197&amp;$F197,TIM[[ID Rating]:[Summ Voltage]],C$15,0)</f>
        <v>CB L413</v>
      </c>
      <c r="D197" s="72" t="str">
        <f>VLOOKUP($A197&amp;$F197,TIM[[ID Rating]:[Summ Voltage]],D$15,0)</f>
        <v>Circuit Breaker-ATM-L413-Protection</v>
      </c>
      <c r="E197" s="143">
        <f>VLOOKUP($A197&amp;$F197,TIM[[ID Rating]:[Summ Voltage]],E$15,0)</f>
        <v>33</v>
      </c>
      <c r="F197" s="82">
        <f t="array" ref="F197">MIN(IF(TIM[Station/Feeder]=$A197,TIM[Lowest MVA]))</f>
        <v>13.717842395945507</v>
      </c>
      <c r="G197" s="98" t="str">
        <f>VLOOKUP($A197&amp;$K197,TIM[[ID Rating]:[Summ Voltage]],G$15,0)</f>
        <v>11 kV Bus</v>
      </c>
      <c r="H197" s="99" t="str">
        <f>VLOOKUP($A197&amp;$K197,TIM[[ID Rating]:[Summ Voltage]],H$15,0)</f>
        <v>CB2732</v>
      </c>
      <c r="I197" s="72" t="str">
        <f>VLOOKUP($A197&amp;$K197,TIM[[ID Rating]:[Summ Voltage]],I$15,0)</f>
        <v>Circuit Breaker-TIM-CB2732-Protection</v>
      </c>
      <c r="J197" s="143">
        <f>VLOOKUP($A197&amp;$K197,TIM[[ID Rating]:[Summ Voltage]],J$15,0)</f>
        <v>11</v>
      </c>
      <c r="K197" s="82">
        <f t="array" ref="K197">MIN(IF(TIM[Station/Feeder]=$A197,IF($F197&lt;TIM[Lowest MVA],TIM[Lowest MVA])))</f>
        <v>20.348132887319171</v>
      </c>
    </row>
    <row r="198" spans="1:11" ht="15.75" thickBot="1" x14ac:dyDescent="0.3">
      <c r="A198" s="290" t="s">
        <v>168</v>
      </c>
      <c r="B198" s="291" t="str">
        <f>VLOOKUP($A198&amp;$F198,TIM[[ID Rating]:[Summ Voltage]],B$15,0)</f>
        <v>Pole 03576</v>
      </c>
      <c r="C198" s="292" t="str">
        <f>VLOOKUP($A198&amp;$F198,TIM[[ID Rating]:[Summ Voltage]],C$15,0)</f>
        <v>Pole 51637</v>
      </c>
      <c r="D198" s="293" t="str">
        <f>VLOOKUP($A198&amp;$F198,TIM[[ID Rating]:[Summ Voltage]],D$15,0)</f>
        <v>OH Line-MINK</v>
      </c>
      <c r="E198" s="294">
        <f>VLOOKUP($A198&amp;$F198,TIM[[ID Rating]:[Summ Voltage]],E$15,0)</f>
        <v>33</v>
      </c>
      <c r="F198" s="295">
        <f t="array" ref="F198">MIN(IF(TIM[Station/Feeder]=$A198,TIM[Lowest MVA]))</f>
        <v>10.781458623032757</v>
      </c>
      <c r="G198" s="291" t="str">
        <f>VLOOKUP($A198&amp;$K198,TIM[[ID Rating]:[Summ Voltage]],G$15,0)</f>
        <v>Pole 01408</v>
      </c>
      <c r="H198" s="292" t="str">
        <f>VLOOKUP($A198&amp;$K198,TIM[[ID Rating]:[Summ Voltage]],H$15,0)</f>
        <v>Pole 01401</v>
      </c>
      <c r="I198" s="293" t="str">
        <f>VLOOKUP($A198&amp;$K198,TIM[[ID Rating]:[Summ Voltage]],I$15,0)</f>
        <v>OH Line-QUAIL</v>
      </c>
      <c r="J198" s="294">
        <f>VLOOKUP($A198&amp;$K198,TIM[[ID Rating]:[Summ Voltage]],J$15,0)</f>
        <v>33</v>
      </c>
      <c r="K198" s="295">
        <f t="array" ref="K198">MIN(IF(TIM[Station/Feeder]=$A198,IF($F198&lt;TIM[Lowest MVA],TIM[Lowest MVA])))</f>
        <v>11.214709980189586</v>
      </c>
    </row>
    <row r="199" spans="1:11" ht="15.75" thickBot="1" x14ac:dyDescent="0.3">
      <c r="A199" s="296"/>
      <c r="B199" s="297"/>
      <c r="C199" s="297"/>
      <c r="D199" s="297"/>
      <c r="E199" s="297"/>
      <c r="F199" s="297"/>
      <c r="G199" s="297"/>
      <c r="H199" s="297"/>
      <c r="I199" s="297"/>
      <c r="J199" s="297"/>
      <c r="K199" s="298"/>
    </row>
    <row r="200" spans="1:11" x14ac:dyDescent="0.25">
      <c r="A200" s="111" t="s">
        <v>1197</v>
      </c>
      <c r="B200" s="94" t="str">
        <f t="shared" ref="B200:K200" si="4">B129</f>
        <v>11 kV Bus</v>
      </c>
      <c r="C200" s="95" t="str">
        <f t="shared" si="4"/>
        <v>CB2662</v>
      </c>
      <c r="D200" s="95" t="str">
        <f t="shared" si="4"/>
        <v>Circuit Breaker-TIM-CB2662-Protection</v>
      </c>
      <c r="E200" s="299">
        <f t="shared" si="4"/>
        <v>11</v>
      </c>
      <c r="F200" s="141">
        <f t="shared" si="4"/>
        <v>7.6210235533030604</v>
      </c>
      <c r="G200" s="95" t="e">
        <f t="shared" si="4"/>
        <v>#N/A</v>
      </c>
      <c r="H200" s="95" t="e">
        <f t="shared" si="4"/>
        <v>#N/A</v>
      </c>
      <c r="I200" s="299" t="e">
        <f t="shared" si="4"/>
        <v>#N/A</v>
      </c>
      <c r="J200" s="299" t="e">
        <f t="shared" si="4"/>
        <v>#N/A</v>
      </c>
      <c r="K200" s="300">
        <f t="shared" si="4"/>
        <v>0</v>
      </c>
    </row>
    <row r="201" spans="1:11" x14ac:dyDescent="0.25">
      <c r="A201" s="86" t="s">
        <v>1305</v>
      </c>
      <c r="B201" s="96" t="str">
        <f>VLOOKUP($A201&amp;$F201,TIM[[ID Rating]:[Summ Voltage]],B$15,0)</f>
        <v>Joint</v>
      </c>
      <c r="C201" s="97" t="str">
        <f>VLOOKUP($A201&amp;$F201,TIM[[ID Rating]:[Summ Voltage]],C$15,0)</f>
        <v>Joint</v>
      </c>
      <c r="D201" s="71" t="str">
        <f>VLOOKUP($A201&amp;$F201,TIM[[ID Rating]:[Summ Voltage]],D$15,0)</f>
        <v>Cable - 3c 240mm² AL PILC</v>
      </c>
      <c r="E201" s="142">
        <f>VLOOKUP($A201&amp;$F201,TIM[[ID Rating]:[Summ Voltage]],E$15,0)</f>
        <v>11</v>
      </c>
      <c r="F201" s="142">
        <f t="array" ref="F201">MIN(IF(TIM[Station/Feeder]=$A201,TIM[Lowest MVA]))</f>
        <v>5.2639750982809597</v>
      </c>
      <c r="G201" s="97" t="str">
        <f>VLOOKUP($A201&amp;$K201,TIM[[ID Rating]:[Summ Voltage]],G$15,0)</f>
        <v>L905</v>
      </c>
      <c r="H201" s="97" t="str">
        <f>VLOOKUP($A201&amp;$K201,TIM[[ID Rating]:[Summ Voltage]],H$15,0)</f>
        <v>Joint</v>
      </c>
      <c r="I201" s="71" t="str">
        <f>VLOOKUP($A201&amp;$K201,TIM[[ID Rating]:[Summ Voltage]],I$15,0)</f>
        <v>Cable - 3/1c 400mm² AL XLPE HDPE Screened</v>
      </c>
      <c r="J201" s="142">
        <f>VLOOKUP($A201&amp;$K201,TIM[[ID Rating]:[Summ Voltage]],J$15,0)</f>
        <v>11</v>
      </c>
      <c r="K201" s="81">
        <f t="array" ref="K201">MIN(IF(TIM[Station/Feeder]=$A201,IF($F201&lt;TIM[Lowest MVA],TIM[Lowest MVA])))</f>
        <v>7.197093220086896</v>
      </c>
    </row>
    <row r="202" spans="1:11" x14ac:dyDescent="0.25">
      <c r="A202" s="86" t="s">
        <v>1306</v>
      </c>
      <c r="B202" s="96" t="str">
        <f>VLOOKUP($A202&amp;$F202,TIM[[ID Rating]:[Summ Voltage]],B$15,0)</f>
        <v>L912</v>
      </c>
      <c r="C202" s="97" t="str">
        <f>VLOOKUP($A202&amp;$F202,TIM[[ID Rating]:[Summ Voltage]],C$15,0)</f>
        <v>LX25</v>
      </c>
      <c r="D202" s="71" t="str">
        <f>VLOOKUP($A202&amp;$F202,TIM[[ID Rating]:[Summ Voltage]],D$15,0)</f>
        <v>Cable - 3c 240mm² AL PILC</v>
      </c>
      <c r="E202" s="142">
        <f>VLOOKUP($A202&amp;$F202,TIM[[ID Rating]:[Summ Voltage]],E$15,0)</f>
        <v>11</v>
      </c>
      <c r="F202" s="142">
        <f t="array" ref="F202">MIN(IF(TIM[Station/Feeder]=$A202,TIM[Lowest MVA]))</f>
        <v>5.2639750982809597</v>
      </c>
      <c r="G202" s="97" t="str">
        <f>VLOOKUP($A202&amp;$K202,TIM[[ID Rating]:[Summ Voltage]],G$15,0)</f>
        <v>LX25</v>
      </c>
      <c r="H202" s="97" t="str">
        <f>VLOOKUP($A202&amp;$K202,TIM[[ID Rating]:[Summ Voltage]],H$15,0)</f>
        <v>B1110</v>
      </c>
      <c r="I202" s="71" t="str">
        <f>VLOOKUP($A202&amp;$K202,TIM[[ID Rating]:[Summ Voltage]],I$15,0)</f>
        <v>OH Line - Weke</v>
      </c>
      <c r="J202" s="142">
        <f>VLOOKUP($A202&amp;$K202,TIM[[ID Rating]:[Summ Voltage]],J$15,0)</f>
        <v>11</v>
      </c>
      <c r="K202" s="81">
        <f t="array" ref="K202">MIN(IF(TIM[Station/Feeder]=$A202,IF($F202&lt;TIM[Lowest MVA],TIM[Lowest MVA])))</f>
        <v>5.2775588106623692</v>
      </c>
    </row>
    <row r="203" spans="1:11" x14ac:dyDescent="0.25">
      <c r="A203" s="86" t="s">
        <v>1307</v>
      </c>
      <c r="B203" s="96" t="str">
        <f>VLOOKUP($A203&amp;$F203,TIM[[ID Rating]:[Summ Voltage]],B$15,0)</f>
        <v>Joint</v>
      </c>
      <c r="C203" s="97" t="str">
        <f>VLOOKUP($A203&amp;$F203,TIM[[ID Rating]:[Summ Voltage]],C$15,0)</f>
        <v>B1541</v>
      </c>
      <c r="D203" s="71" t="str">
        <f>VLOOKUP($A203&amp;$F203,TIM[[ID Rating]:[Summ Voltage]],D$15,0)</f>
        <v>Cable - 3c 240mm² AL PILC</v>
      </c>
      <c r="E203" s="142">
        <f>VLOOKUP($A203&amp;$F203,TIM[[ID Rating]:[Summ Voltage]],E$15,0)</f>
        <v>11</v>
      </c>
      <c r="F203" s="142">
        <f t="array" ref="F203">MIN(IF(TIM[Station/Feeder]=$A203,TIM[Lowest MVA]))</f>
        <v>4.4964673033647689</v>
      </c>
      <c r="G203" s="97" t="str">
        <f>VLOOKUP($A203&amp;$K203,TIM[[ID Rating]:[Summ Voltage]],G$15,0)</f>
        <v>Joint</v>
      </c>
      <c r="H203" s="97" t="str">
        <f>VLOOKUP($A203&amp;$K203,TIM[[ID Rating]:[Summ Voltage]],H$15,0)</f>
        <v>L868</v>
      </c>
      <c r="I203" s="71" t="str">
        <f>VLOOKUP($A203&amp;$K203,TIM[[ID Rating]:[Summ Voltage]],I$15,0)</f>
        <v>Cable - 3c 300mm² AL XLPE HDPE Screened</v>
      </c>
      <c r="J203" s="142">
        <f>VLOOKUP($A203&amp;$K203,TIM[[ID Rating]:[Summ Voltage]],J$15,0)</f>
        <v>11</v>
      </c>
      <c r="K203" s="81">
        <f t="array" ref="K203">MIN(IF(TIM[Station/Feeder]=$A203,IF($F203&lt;TIM[Lowest MVA],TIM[Lowest MVA])))</f>
        <v>7.2627598457441653</v>
      </c>
    </row>
    <row r="204" spans="1:11" ht="15.75" thickBot="1" x14ac:dyDescent="0.3">
      <c r="A204" s="86" t="s">
        <v>1312</v>
      </c>
      <c r="B204" s="101" t="str">
        <f>VLOOKUP($A204&amp;$F204,TIM[[ID Rating]:[Summ Voltage]],B$15,0)</f>
        <v>Joint</v>
      </c>
      <c r="C204" s="102" t="str">
        <f>VLOOKUP($A204&amp;$F204,TIM[[ID Rating]:[Summ Voltage]],C$15,0)</f>
        <v>L357</v>
      </c>
      <c r="D204" s="73" t="str">
        <f>VLOOKUP($A204&amp;$F204,TIM[[ID Rating]:[Summ Voltage]],D$15,0)</f>
        <v>Cable - 3c 150mm² Al PILC STA</v>
      </c>
      <c r="E204" s="144">
        <f>VLOOKUP($A204&amp;$F204,TIM[[ID Rating]:[Summ Voltage]],E$15,0)</f>
        <v>11</v>
      </c>
      <c r="F204" s="144">
        <f t="array" ref="F204">MIN(IF(TIM[Station/Feeder]=$A204,TIM[Lowest MVA]))</f>
        <v>3.761249480402979</v>
      </c>
      <c r="G204" s="102" t="str">
        <f>VLOOKUP($A204&amp;$K204,TIM[[ID Rating]:[Summ Voltage]],G$15,0)</f>
        <v>Joint</v>
      </c>
      <c r="H204" s="102" t="str">
        <f>VLOOKUP($A204&amp;$K204,TIM[[ID Rating]:[Summ Voltage]],H$15,0)</f>
        <v>L873</v>
      </c>
      <c r="I204" s="73" t="str">
        <f>VLOOKUP($A204&amp;$K204,TIM[[ID Rating]:[Summ Voltage]],I$15,0)</f>
        <v>Cable - 3c 300mm² AL XLPE HDPE Screened</v>
      </c>
      <c r="J204" s="144">
        <f>VLOOKUP($A204&amp;$K204,TIM[[ID Rating]:[Summ Voltage]],J$15,0)</f>
        <v>11</v>
      </c>
      <c r="K204" s="83">
        <f t="array" ref="K204">MIN(IF(TIM[Station/Feeder]=$A204,IF($F204&lt;TIM[Lowest MVA],TIM[Lowest MVA])))</f>
        <v>6.7560556704596904</v>
      </c>
    </row>
    <row r="205" spans="1:11" ht="15.75" thickBot="1" x14ac:dyDescent="0.3">
      <c r="A205" s="90"/>
      <c r="B205" s="100"/>
      <c r="C205" s="100"/>
      <c r="D205" s="91"/>
      <c r="E205" s="92"/>
      <c r="F205" s="92"/>
      <c r="G205" s="100"/>
      <c r="H205" s="100"/>
      <c r="I205" s="91"/>
      <c r="J205" s="92"/>
      <c r="K205" s="93"/>
    </row>
    <row r="206" spans="1:11" x14ac:dyDescent="0.25">
      <c r="A206" s="86" t="s">
        <v>202</v>
      </c>
      <c r="B206" s="98" t="str">
        <f>VLOOKUP($A206&amp;$F206,TIM[[ID Rating]:[Summ Voltage]],B$15,0)</f>
        <v>33 kV Bus</v>
      </c>
      <c r="C206" s="99" t="str">
        <f>VLOOKUP($A206&amp;$F206,TIM[[ID Rating]:[Summ Voltage]],C$15,0)</f>
        <v>11 kV Bus</v>
      </c>
      <c r="D206" s="72" t="str">
        <f>VLOOKUP($A206&amp;$F206,TIM[[ID Rating]:[Summ Voltage]],D$15,0)</f>
        <v>Cable-2 x 3/1c 400mm² AL XLPE HDPE Screened</v>
      </c>
      <c r="E206" s="143">
        <f>VLOOKUP($A206&amp;$F206,TIM[[ID Rating]:[Summ Voltage]],E$15,0)</f>
        <v>11.22</v>
      </c>
      <c r="F206" s="82">
        <f t="array" ref="F206">MIN(IF(TIM[Station/Feeder]=$A206,TIM[Lowest MVA]))</f>
        <v>16.499076640893275</v>
      </c>
      <c r="G206" s="98" t="str">
        <f>VLOOKUP($A206&amp;$K206,TIM[[ID Rating]:[Summ Voltage]],G$15,0)</f>
        <v>33 kV Bus</v>
      </c>
      <c r="H206" s="99" t="str">
        <f>VLOOKUP($A206&amp;$K206,TIM[[ID Rating]:[Summ Voltage]],H$15,0)</f>
        <v>11 kV Bus</v>
      </c>
      <c r="I206" s="72" t="str">
        <f>VLOOKUP($A206&amp;$K206,TIM[[ID Rating]:[Summ Voltage]],I$15,0)</f>
        <v>Cable-2 x 3/1c 400mm² AL XLPE HDPE Screened</v>
      </c>
      <c r="J206" s="143">
        <f>VLOOKUP($A206&amp;$K206,TIM[[ID Rating]:[Summ Voltage]],J$15,0)</f>
        <v>11.22</v>
      </c>
      <c r="K206" s="82">
        <f t="array" ref="K206">MIN(IF(TIM[Station/Feeder]=$A206,IF($F206&lt;TIM[Lowest MVA],TIM[Lowest MVA])))</f>
        <v>16.803803420092567</v>
      </c>
    </row>
    <row r="207" spans="1:11" x14ac:dyDescent="0.25">
      <c r="A207" s="86" t="s">
        <v>2853</v>
      </c>
      <c r="B207" s="96" t="str">
        <f>VLOOKUP($A207&amp;$F207,TIM[[ID Rating]:[Summ Voltage]],B$15,0)</f>
        <v>11 kV Bus</v>
      </c>
      <c r="C207" s="97" t="str">
        <f>VLOOKUP($A207&amp;$F207,TIM[[ID Rating]:[Summ Voltage]],C$15,0)</f>
        <v>PAR3</v>
      </c>
      <c r="D207" s="71" t="str">
        <f>VLOOKUP($A207&amp;$F207,TIM[[ID Rating]:[Summ Voltage]],D$15,0)</f>
        <v>Circuit Breaker-PAR-CB3-Protection</v>
      </c>
      <c r="E207" s="142">
        <f>VLOOKUP($A207&amp;$F207,TIM[[ID Rating]:[Summ Voltage]],E$15,0)</f>
        <v>11.22</v>
      </c>
      <c r="F207" s="81">
        <f t="array" ref="F207">MIN(IF(TIM[Station/Feeder]=$A207,TIM[Lowest MVA]))</f>
        <v>5.8300830182768406</v>
      </c>
      <c r="G207" s="96" t="str">
        <f>VLOOKUP($A207&amp;$K207,TIM[[ID Rating]:[Summ Voltage]],G$15,0)</f>
        <v>PAR3</v>
      </c>
      <c r="H207" s="97" t="str">
        <f>VLOOKUP($A207&amp;$K207,TIM[[ID Rating]:[Summ Voltage]],H$15,0)</f>
        <v>No.1 RMU</v>
      </c>
      <c r="I207" s="71" t="str">
        <f>VLOOKUP($A207&amp;$K207,TIM[[ID Rating]:[Summ Voltage]],I$15,0)</f>
        <v>Cable-3c 240mm²  AL PILC DSTA</v>
      </c>
      <c r="J207" s="142">
        <f>VLOOKUP($A207&amp;$K207,TIM[[ID Rating]:[Summ Voltage]],J$15,0)</f>
        <v>11.22</v>
      </c>
      <c r="K207" s="81">
        <f t="array" ref="K207">MIN(IF(TIM[Station/Feeder]=$A207,IF($F207&lt;TIM[Lowest MVA],TIM[Lowest MVA])))</f>
        <v>5.8598164416700529</v>
      </c>
    </row>
    <row r="208" spans="1:11" x14ac:dyDescent="0.25">
      <c r="A208" s="86" t="s">
        <v>208</v>
      </c>
      <c r="B208" s="98" t="str">
        <f>VLOOKUP($A208&amp;$F208,TIM[[ID Rating]:[Summ Voltage]],B$15,0)</f>
        <v>11 kV Bus</v>
      </c>
      <c r="C208" s="99" t="str">
        <f>VLOOKUP($A208&amp;$F208,TIM[[ID Rating]:[Summ Voltage]],C$15,0)</f>
        <v>PAR4</v>
      </c>
      <c r="D208" s="72" t="str">
        <f>VLOOKUP($A208&amp;$F208,TIM[[ID Rating]:[Summ Voltage]],D$15,0)</f>
        <v>Circuit Breaker-PAR-CB4-Protection</v>
      </c>
      <c r="E208" s="143">
        <f>VLOOKUP($A208&amp;$F208,TIM[[ID Rating]:[Summ Voltage]],E$15,0)</f>
        <v>11.22</v>
      </c>
      <c r="F208" s="82">
        <f t="array" ref="F208">MIN(IF(TIM[Station/Feeder]=$A208,TIM[Lowest MVA]))</f>
        <v>4.8972697353525465</v>
      </c>
      <c r="G208" s="98" t="str">
        <f>VLOOKUP($A208&amp;$K208,TIM[[ID Rating]:[Summ Voltage]],G$15,0)</f>
        <v>L572 Link</v>
      </c>
      <c r="H208" s="99" t="str">
        <f>VLOOKUP($A208&amp;$K208,TIM[[ID Rating]:[Summ Voltage]],H$15,0)</f>
        <v>L570 ABS</v>
      </c>
      <c r="I208" s="72" t="str">
        <f>VLOOKUP($A208&amp;$K208,TIM[[ID Rating]:[Summ Voltage]],I$15,0)</f>
        <v>OH Line-DOG</v>
      </c>
      <c r="J208" s="143">
        <f>VLOOKUP($A208&amp;$K208,TIM[[ID Rating]:[Summ Voltage]],J$15,0)</f>
        <v>11.22</v>
      </c>
      <c r="K208" s="82">
        <f t="array" ref="K208">MIN(IF(TIM[Station/Feeder]=$A208,IF($F208&lt;TIM[Lowest MVA],TIM[Lowest MVA])))</f>
        <v>4.9916883788167672</v>
      </c>
    </row>
    <row r="209" spans="1:11" x14ac:dyDescent="0.25">
      <c r="A209" s="86" t="s">
        <v>2854</v>
      </c>
      <c r="B209" s="96" t="str">
        <f>VLOOKUP($A209&amp;$F209,TIM[[ID Rating]:[Summ Voltage]],B$15,0)</f>
        <v>11 kV Bus</v>
      </c>
      <c r="C209" s="97" t="str">
        <f>VLOOKUP($A209&amp;$F209,TIM[[ID Rating]:[Summ Voltage]],C$15,0)</f>
        <v>PAR5</v>
      </c>
      <c r="D209" s="71" t="str">
        <f>VLOOKUP($A209&amp;$F209,TIM[[ID Rating]:[Summ Voltage]],D$15,0)</f>
        <v>Circuit Breaker-PAR-CB5-Protection</v>
      </c>
      <c r="E209" s="142">
        <f>VLOOKUP($A209&amp;$F209,TIM[[ID Rating]:[Summ Voltage]],E$15,0)</f>
        <v>11.22</v>
      </c>
      <c r="F209" s="81">
        <f t="array" ref="F209">MIN(IF(TIM[Station/Feeder]=$A209,TIM[Lowest MVA]))</f>
        <v>5.8300830182768406</v>
      </c>
      <c r="G209" s="96" t="str">
        <f>VLOOKUP($A209&amp;$K209,TIM[[ID Rating]:[Summ Voltage]],G$15,0)</f>
        <v>PAR5</v>
      </c>
      <c r="H209" s="97" t="str">
        <f>VLOOKUP($A209&amp;$K209,TIM[[ID Rating]:[Summ Voltage]],H$15,0)</f>
        <v>No.2 RMU</v>
      </c>
      <c r="I209" s="71" t="str">
        <f>VLOOKUP($A209&amp;$K209,TIM[[ID Rating]:[Summ Voltage]],I$15,0)</f>
        <v>Cable-3c 240mm²  AL PILC DSTA</v>
      </c>
      <c r="J209" s="142">
        <f>VLOOKUP($A209&amp;$K209,TIM[[ID Rating]:[Summ Voltage]],J$15,0)</f>
        <v>11.22</v>
      </c>
      <c r="K209" s="81">
        <f t="array" ref="K209">MIN(IF(TIM[Station/Feeder]=$A209,IF($F209&lt;TIM[Lowest MVA],TIM[Lowest MVA])))</f>
        <v>5.8598164416700529</v>
      </c>
    </row>
    <row r="210" spans="1:11" x14ac:dyDescent="0.25">
      <c r="A210" s="86" t="s">
        <v>214</v>
      </c>
      <c r="B210" s="98" t="str">
        <f>VLOOKUP($A210&amp;$F210,TIM[[ID Rating]:[Summ Voltage]],B$15,0)</f>
        <v xml:space="preserve">Link L179  </v>
      </c>
      <c r="C210" s="99" t="str">
        <f>VLOOKUP($A210&amp;$F210,TIM[[ID Rating]:[Summ Voltage]],C$15,0)</f>
        <v>Pole 36354</v>
      </c>
      <c r="D210" s="72" t="str">
        <f>VLOOKUP($A210&amp;$F210,TIM[[ID Rating]:[Summ Voltage]],D$15,0)</f>
        <v>OH Line-RANGO</v>
      </c>
      <c r="E210" s="143">
        <f>VLOOKUP($A210&amp;$F210,TIM[[ID Rating]:[Summ Voltage]],E$15,0)</f>
        <v>11.22</v>
      </c>
      <c r="F210" s="82">
        <f t="array" ref="F210">MIN(IF(TIM[Station/Feeder]=$A210,TIM[Lowest MVA]))</f>
        <v>3.9652310761414795</v>
      </c>
      <c r="G210" s="98" t="str">
        <f>VLOOKUP($A210&amp;$K210,TIM[[ID Rating]:[Summ Voltage]],G$15,0)</f>
        <v>11 kV Bus</v>
      </c>
      <c r="H210" s="99" t="str">
        <f>VLOOKUP($A210&amp;$K210,TIM[[ID Rating]:[Summ Voltage]],H$15,0)</f>
        <v>PAR6</v>
      </c>
      <c r="I210" s="72" t="str">
        <f>VLOOKUP($A210&amp;$K210,TIM[[ID Rating]:[Summ Voltage]],I$15,0)</f>
        <v>Circuit Breaker-PAR-CB6-Protection</v>
      </c>
      <c r="J210" s="143">
        <f>VLOOKUP($A210&amp;$K210,TIM[[ID Rating]:[Summ Voltage]],J$15,0)</f>
        <v>11.22</v>
      </c>
      <c r="K210" s="82">
        <f t="array" ref="K210">MIN(IF(TIM[Station/Feeder]=$A210,IF($F210&lt;TIM[Lowest MVA],TIM[Lowest MVA])))</f>
        <v>4.8972697353525465</v>
      </c>
    </row>
    <row r="211" spans="1:11" ht="15.75" thickBot="1" x14ac:dyDescent="0.3">
      <c r="A211" s="86" t="s">
        <v>217</v>
      </c>
      <c r="B211" s="96" t="str">
        <f>VLOOKUP($A211&amp;$F211,TIM[[ID Rating]:[Summ Voltage]],B$15,0)</f>
        <v>L571</v>
      </c>
      <c r="C211" s="97" t="str">
        <f>VLOOKUP($A211&amp;$F211,TIM[[ID Rating]:[Summ Voltage]],C$15,0)</f>
        <v>Pole 43326</v>
      </c>
      <c r="D211" s="71" t="str">
        <f>VLOOKUP($A211&amp;$F211,TIM[[ID Rating]:[Summ Voltage]],D$15,0)</f>
        <v>OH Line-MINK</v>
      </c>
      <c r="E211" s="142">
        <f>VLOOKUP($A211&amp;$F211,TIM[[ID Rating]:[Summ Voltage]],E$15,0)</f>
        <v>11.22</v>
      </c>
      <c r="F211" s="81">
        <f t="array" ref="F211">MIN(IF(TIM[Station/Feeder]=$A211,TIM[Lowest MVA]))</f>
        <v>3.6656959318311375</v>
      </c>
      <c r="G211" s="96" t="str">
        <f>VLOOKUP($A211&amp;$K211,TIM[[ID Rating]:[Summ Voltage]],G$15,0)</f>
        <v>11 kV Bus</v>
      </c>
      <c r="H211" s="97" t="str">
        <f>VLOOKUP($A211&amp;$K211,TIM[[ID Rating]:[Summ Voltage]],H$15,0)</f>
        <v>PAR7</v>
      </c>
      <c r="I211" s="71" t="str">
        <f>VLOOKUP($A211&amp;$K211,TIM[[ID Rating]:[Summ Voltage]],I$15,0)</f>
        <v>Circuit Breaker-PAR-CB7-Protection</v>
      </c>
      <c r="J211" s="142">
        <f>VLOOKUP($A211&amp;$K211,TIM[[ID Rating]:[Summ Voltage]],J$15,0)</f>
        <v>11.22</v>
      </c>
      <c r="K211" s="81">
        <f t="array" ref="K211">MIN(IF(TIM[Station/Feeder]=$A211,IF($F211&lt;TIM[Lowest MVA],TIM[Lowest MVA])))</f>
        <v>4.8972697353525465</v>
      </c>
    </row>
    <row r="212" spans="1:11" ht="15.75" thickBot="1" x14ac:dyDescent="0.3">
      <c r="A212" s="90"/>
      <c r="B212" s="100"/>
      <c r="C212" s="100"/>
      <c r="D212" s="91"/>
      <c r="E212" s="92"/>
      <c r="F212" s="92"/>
      <c r="G212" s="100"/>
      <c r="H212" s="100"/>
      <c r="I212" s="91"/>
      <c r="J212" s="92"/>
      <c r="K212" s="93"/>
    </row>
    <row r="213" spans="1:11" x14ac:dyDescent="0.25">
      <c r="A213" s="86" t="s">
        <v>165</v>
      </c>
      <c r="B213" s="98" t="str">
        <f>VLOOKUP($A213&amp;$F213,TIM[[ID Rating]:[Summ Voltage]],B$15,0)</f>
        <v>33 kV Bus</v>
      </c>
      <c r="C213" s="99" t="str">
        <f>VLOOKUP($A213&amp;$F213,TIM[[ID Rating]:[Summ Voltage]],C$15,0)</f>
        <v>CB L418</v>
      </c>
      <c r="D213" s="72" t="str">
        <f>VLOOKUP($A213&amp;$F213,TIM[[ID Rating]:[Summ Voltage]],D$15,0)</f>
        <v>Circuit Breaker-ATM-L418-Protection</v>
      </c>
      <c r="E213" s="143">
        <f>VLOOKUP($A213&amp;$F213,TIM[[ID Rating]:[Summ Voltage]],E$15,0)</f>
        <v>33</v>
      </c>
      <c r="F213" s="82">
        <f t="array" ref="F213">MIN(IF(TIM[Station/Feeder]=$A213,TIM[Lowest MVA]))</f>
        <v>13.717842395945507</v>
      </c>
      <c r="G213" s="98" t="str">
        <f>VLOOKUP($A213&amp;$K213,TIM[[ID Rating]:[Summ Voltage]],G$15,0)</f>
        <v>11 kV Bus</v>
      </c>
      <c r="H213" s="99" t="str">
        <f>VLOOKUP($A213&amp;$K213,TIM[[ID Rating]:[Summ Voltage]],H$15,0)</f>
        <v>CB2922</v>
      </c>
      <c r="I213" s="72" t="str">
        <f>VLOOKUP($A213&amp;$K213,TIM[[ID Rating]:[Summ Voltage]],I$15,0)</f>
        <v>Circuit Breaker-TIM-CB2922-Protection</v>
      </c>
      <c r="J213" s="143">
        <f>VLOOKUP($A213&amp;$K213,TIM[[ID Rating]:[Summ Voltage]],J$15,0)</f>
        <v>11</v>
      </c>
      <c r="K213" s="82">
        <f t="array" ref="K213">MIN(IF(TIM[Station/Feeder]=$A213,IF($F213&lt;TIM[Lowest MVA],TIM[Lowest MVA])))</f>
        <v>20.348132887319171</v>
      </c>
    </row>
    <row r="214" spans="1:11" ht="15.75" thickBot="1" x14ac:dyDescent="0.3">
      <c r="A214" s="86" t="s">
        <v>169</v>
      </c>
      <c r="B214" s="96" t="str">
        <f>VLOOKUP($A214&amp;$F214,TIM[[ID Rating]:[Summ Voltage]],B$15,0)</f>
        <v>L247 ABS</v>
      </c>
      <c r="C214" s="97" t="str">
        <f>VLOOKUP($A214&amp;$F214,TIM[[ID Rating]:[Summ Voltage]],C$15,0)</f>
        <v>L994  ABS</v>
      </c>
      <c r="D214" s="71" t="str">
        <f>VLOOKUP($A214&amp;$F214,TIM[[ID Rating]:[Summ Voltage]],D$15,0)</f>
        <v>Cable-3/1c 95mm² AL XLPE PVC screened</v>
      </c>
      <c r="E214" s="142">
        <f>VLOOKUP($A214&amp;$F214,TIM[[ID Rating]:[Summ Voltage]],E$15,0)</f>
        <v>33</v>
      </c>
      <c r="F214" s="81">
        <f t="array" ref="F214">MIN(IF(TIM[Station/Feeder]=$A214,TIM[Lowest MVA]))</f>
        <v>9.7996319910638814</v>
      </c>
      <c r="G214" s="96" t="str">
        <f>VLOOKUP($A214&amp;$K214,TIM[[ID Rating]:[Summ Voltage]],G$15,0)</f>
        <v>CB L269</v>
      </c>
      <c r="H214" s="97" t="str">
        <f>VLOOKUP($A214&amp;$K214,TIM[[ID Rating]:[Summ Voltage]],H$15,0)</f>
        <v>Pole 872745</v>
      </c>
      <c r="I214" s="71" t="str">
        <f>VLOOKUP($A214&amp;$K214,TIM[[ID Rating]:[Summ Voltage]],I$15,0)</f>
        <v>OH Line-QUAIL</v>
      </c>
      <c r="J214" s="142">
        <f>VLOOKUP($A214&amp;$K214,TIM[[ID Rating]:[Summ Voltage]],J$15,0)</f>
        <v>33</v>
      </c>
      <c r="K214" s="81">
        <f t="array" ref="K214">MIN(IF(TIM[Station/Feeder]=$A214,IF($F214&lt;TIM[Lowest MVA],TIM[Lowest MVA])))</f>
        <v>11.214709980189586</v>
      </c>
    </row>
    <row r="215" spans="1:11" ht="15.75" thickBot="1" x14ac:dyDescent="0.3">
      <c r="A215" s="90"/>
      <c r="B215" s="100"/>
      <c r="C215" s="100"/>
      <c r="D215" s="91"/>
      <c r="E215" s="92"/>
      <c r="F215" s="92"/>
      <c r="G215" s="100"/>
      <c r="H215" s="100"/>
      <c r="I215" s="91"/>
      <c r="J215" s="92"/>
      <c r="K215" s="93"/>
    </row>
    <row r="216" spans="1:11" x14ac:dyDescent="0.25">
      <c r="A216" s="86" t="s">
        <v>203</v>
      </c>
      <c r="B216" s="98" t="str">
        <f>VLOOKUP($A216&amp;$F216,TIM[[ID Rating]:[Summ Voltage]],B$15,0)</f>
        <v>33 kV Bus</v>
      </c>
      <c r="C216" s="99" t="str">
        <f>VLOOKUP($A216&amp;$F216,TIM[[ID Rating]:[Summ Voltage]],C$15,0)</f>
        <v>11 kV Bus</v>
      </c>
      <c r="D216" s="72" t="str">
        <f>VLOOKUP($A216&amp;$F216,TIM[[ID Rating]:[Summ Voltage]],D$15,0)</f>
        <v>Circuit Breaker-PLP-CB3-Protection</v>
      </c>
      <c r="E216" s="143">
        <f>VLOOKUP($A216&amp;$F216,TIM[[ID Rating]:[Summ Voltage]],E$15,0)</f>
        <v>11.22</v>
      </c>
      <c r="F216" s="82">
        <f t="array" ref="F216">MIN(IF(TIM[Station/Feeder]=$A216,TIM[Lowest MVA]))</f>
        <v>6.7628963012011356</v>
      </c>
      <c r="G216" s="98" t="str">
        <f>VLOOKUP($A216&amp;$K216,TIM[[ID Rating]:[Summ Voltage]],G$15,0)</f>
        <v>33 kV Bus</v>
      </c>
      <c r="H216" s="99" t="str">
        <f>VLOOKUP($A216&amp;$K216,TIM[[ID Rating]:[Summ Voltage]],H$15,0)</f>
        <v>11 kV Bus</v>
      </c>
      <c r="I216" s="72" t="str">
        <f>VLOOKUP($A216&amp;$K216,TIM[[ID Rating]:[Summ Voltage]],I$15,0)</f>
        <v>OH Line-70mm² Cu</v>
      </c>
      <c r="J216" s="143">
        <f>VLOOKUP($A216&amp;$K216,TIM[[ID Rating]:[Summ Voltage]],J$15,0)</f>
        <v>11.22</v>
      </c>
      <c r="K216" s="82">
        <f t="array" ref="K216">MIN(IF(TIM[Station/Feeder]=$A216,IF($F216&lt;TIM[Lowest MVA],TIM[Lowest MVA])))</f>
        <v>7.0349668420540548</v>
      </c>
    </row>
    <row r="217" spans="1:11" x14ac:dyDescent="0.25">
      <c r="A217" s="86" t="s">
        <v>206</v>
      </c>
      <c r="B217" s="96">
        <f>VLOOKUP($A217&amp;$F217,TIM[[ID Rating]:[Summ Voltage]],B$15,0)</f>
        <v>0</v>
      </c>
      <c r="C217" s="97" t="str">
        <f>VLOOKUP($A217&amp;$F217,TIM[[ID Rating]:[Summ Voltage]],C$15,0)</f>
        <v>Fuse L260</v>
      </c>
      <c r="D217" s="71" t="str">
        <f>VLOOKUP($A217&amp;$F217,TIM[[ID Rating]:[Summ Voltage]],D$15,0)</f>
        <v>OH Line-Ferret</v>
      </c>
      <c r="E217" s="142">
        <f>VLOOKUP($A217&amp;$F217,TIM[[ID Rating]:[Summ Voltage]],E$15,0)</f>
        <v>11.22</v>
      </c>
      <c r="F217" s="81">
        <f t="array" ref="F217">MIN(IF(TIM[Station/Feeder]=$A217,TIM[Lowest MVA]))</f>
        <v>2.8761742890165753</v>
      </c>
      <c r="G217" s="96" t="str">
        <f>VLOOKUP($A217&amp;$K217,TIM[[ID Rating]:[Summ Voltage]],G$15,0)</f>
        <v>PLPTCB 1</v>
      </c>
      <c r="H217" s="97" t="str">
        <f>VLOOKUP($A217&amp;$K217,TIM[[ID Rating]:[Summ Voltage]],H$15,0)</f>
        <v>Joint</v>
      </c>
      <c r="I217" s="71" t="str">
        <f>VLOOKUP($A217&amp;$K217,TIM[[ID Rating]:[Summ Voltage]],I$15,0)</f>
        <v>Cable-3c 150mm² Al PILC STA</v>
      </c>
      <c r="J217" s="142">
        <f>VLOOKUP($A217&amp;$K217,TIM[[ID Rating]:[Summ Voltage]],J$15,0)</f>
        <v>11.22</v>
      </c>
      <c r="K217" s="81">
        <f t="array" ref="K217">MIN(IF(TIM[Station/Feeder]=$A217,IF($F217&lt;TIM[Lowest MVA],TIM[Lowest MVA])))</f>
        <v>3.8868984936559263</v>
      </c>
    </row>
    <row r="218" spans="1:11" x14ac:dyDescent="0.25">
      <c r="A218" s="86" t="s">
        <v>209</v>
      </c>
      <c r="B218" s="98" t="str">
        <f>VLOOKUP($A218&amp;$F218,TIM[[ID Rating]:[Summ Voltage]],B$15,0)</f>
        <v>PLPTCB 2</v>
      </c>
      <c r="C218" s="99" t="str">
        <f>VLOOKUP($A218&amp;$F218,TIM[[ID Rating]:[Summ Voltage]],C$15,0)</f>
        <v>Link L254</v>
      </c>
      <c r="D218" s="72" t="str">
        <f>VLOOKUP($A218&amp;$F218,TIM[[ID Rating]:[Summ Voltage]],D$15,0)</f>
        <v>Cable-3c 150mm² Al PILC STA</v>
      </c>
      <c r="E218" s="143">
        <f>VLOOKUP($A218&amp;$F218,TIM[[ID Rating]:[Summ Voltage]],E$15,0)</f>
        <v>11.22</v>
      </c>
      <c r="F218" s="82">
        <f t="array" ref="F218">MIN(IF(TIM[Station/Feeder]=$A218,TIM[Lowest MVA]))</f>
        <v>3.8868984936559263</v>
      </c>
      <c r="G218" s="98" t="str">
        <f>VLOOKUP($A218&amp;$K218,TIM[[ID Rating]:[Summ Voltage]],G$15,0)</f>
        <v>Link L254</v>
      </c>
      <c r="H218" s="99">
        <f>VLOOKUP($A218&amp;$K218,TIM[[ID Rating]:[Summ Voltage]],H$15,0)</f>
        <v>0</v>
      </c>
      <c r="I218" s="72" t="str">
        <f>VLOOKUP($A218&amp;$K218,TIM[[ID Rating]:[Summ Voltage]],I$15,0)</f>
        <v>OH Line-7/10 Cu</v>
      </c>
      <c r="J218" s="143">
        <f>VLOOKUP($A218&amp;$K218,TIM[[ID Rating]:[Summ Voltage]],J$15,0)</f>
        <v>11.22</v>
      </c>
      <c r="K218" s="82">
        <f t="array" ref="K218">MIN(IF(TIM[Station/Feeder]=$A218,IF($F218&lt;TIM[Lowest MVA],TIM[Lowest MVA])))</f>
        <v>4.1782261630984028</v>
      </c>
    </row>
    <row r="219" spans="1:11" x14ac:dyDescent="0.25">
      <c r="A219" s="86" t="s">
        <v>212</v>
      </c>
      <c r="B219" s="96" t="str">
        <f>VLOOKUP($A219&amp;$F219,TIM[[ID Rating]:[Summ Voltage]],B$15,0)</f>
        <v>Link L262</v>
      </c>
      <c r="C219" s="97" t="str">
        <f>VLOOKUP($A219&amp;$F219,TIM[[ID Rating]:[Summ Voltage]],C$15,0)</f>
        <v>B1088</v>
      </c>
      <c r="D219" s="71" t="str">
        <f>VLOOKUP($A219&amp;$F219,TIM[[ID Rating]:[Summ Voltage]],D$15,0)</f>
        <v xml:space="preserve">OH Line-Mink </v>
      </c>
      <c r="E219" s="142">
        <f>VLOOKUP($A219&amp;$F219,TIM[[ID Rating]:[Summ Voltage]],E$15,0)</f>
        <v>11.22</v>
      </c>
      <c r="F219" s="81">
        <f t="array" ref="F219">MIN(IF(TIM[Station/Feeder]=$A219,TIM[Lowest MVA]))</f>
        <v>3.6729523015144094</v>
      </c>
      <c r="G219" s="96" t="str">
        <f>VLOOKUP($A219&amp;$K219,TIM[[ID Rating]:[Summ Voltage]],G$15,0)</f>
        <v>PLPTCB 4</v>
      </c>
      <c r="H219" s="97" t="str">
        <f>VLOOKUP($A219&amp;$K219,TIM[[ID Rating]:[Summ Voltage]],H$15,0)</f>
        <v>Link L262</v>
      </c>
      <c r="I219" s="71" t="str">
        <f>VLOOKUP($A219&amp;$K219,TIM[[ID Rating]:[Summ Voltage]],I$15,0)</f>
        <v>Cable-3c 150mm² Al PILC STA</v>
      </c>
      <c r="J219" s="142">
        <f>VLOOKUP($A219&amp;$K219,TIM[[ID Rating]:[Summ Voltage]],J$15,0)</f>
        <v>11.22</v>
      </c>
      <c r="K219" s="81">
        <f t="array" ref="K219">MIN(IF(TIM[Station/Feeder]=$A219,IF($F219&lt;TIM[Lowest MVA],TIM[Lowest MVA])))</f>
        <v>3.8868984936559263</v>
      </c>
    </row>
    <row r="220" spans="1:11" ht="15.75" thickBot="1" x14ac:dyDescent="0.3">
      <c r="A220" s="87" t="s">
        <v>215</v>
      </c>
      <c r="B220" s="98" t="str">
        <f>VLOOKUP($A220&amp;$F220,TIM[[ID Rating]:[Summ Voltage]],B$15,0)</f>
        <v>Link L263</v>
      </c>
      <c r="C220" s="99">
        <f>VLOOKUP($A220&amp;$F220,TIM[[ID Rating]:[Summ Voltage]],C$15,0)</f>
        <v>0</v>
      </c>
      <c r="D220" s="72" t="str">
        <f>VLOOKUP($A220&amp;$F220,TIM[[ID Rating]:[Summ Voltage]],D$15,0)</f>
        <v xml:space="preserve">OH line-7/14 Cu </v>
      </c>
      <c r="E220" s="143">
        <f>VLOOKUP($A220&amp;$F220,TIM[[ID Rating]:[Summ Voltage]],E$15,0)</f>
        <v>11.22</v>
      </c>
      <c r="F220" s="82">
        <f t="array" ref="F220">MIN(IF(TIM[Station/Feeder]=$A220,TIM[Lowest MVA]))</f>
        <v>2.5458029179808874</v>
      </c>
      <c r="G220" s="98" t="str">
        <f>VLOOKUP($A220&amp;$K220,TIM[[ID Rating]:[Summ Voltage]],G$15,0)</f>
        <v>Joint</v>
      </c>
      <c r="H220" s="99" t="str">
        <f>VLOOKUP($A220&amp;$K220,TIM[[ID Rating]:[Summ Voltage]],H$15,0)</f>
        <v>Link L263</v>
      </c>
      <c r="I220" s="72" t="str">
        <f>VLOOKUP($A220&amp;$K220,TIM[[ID Rating]:[Summ Voltage]],I$15,0)</f>
        <v>Cable-3 x 1c 185mm² Al XLPE</v>
      </c>
      <c r="J220" s="143">
        <f>VLOOKUP($A220&amp;$K220,TIM[[ID Rating]:[Summ Voltage]],J$15,0)</f>
        <v>11.22</v>
      </c>
      <c r="K220" s="82">
        <f t="array" ref="K220">MIN(IF(TIM[Station/Feeder]=$A220,IF($F220&lt;TIM[Lowest MVA],TIM[Lowest MVA])))</f>
        <v>3.5935476639460449</v>
      </c>
    </row>
    <row r="221" spans="1:11" ht="15.75" thickBot="1" x14ac:dyDescent="0.3"/>
    <row r="222" spans="1:11" ht="15.75" customHeight="1" thickBot="1" x14ac:dyDescent="0.3">
      <c r="A222" s="521" t="s">
        <v>1137</v>
      </c>
      <c r="B222" s="522"/>
      <c r="C222" s="522"/>
      <c r="D222" s="522"/>
      <c r="E222" s="522"/>
      <c r="F222" s="522"/>
      <c r="G222" s="522"/>
      <c r="H222" s="522"/>
      <c r="I222" s="522"/>
      <c r="J222" s="522"/>
      <c r="K222" s="523"/>
    </row>
    <row r="223" spans="1:11" x14ac:dyDescent="0.25">
      <c r="A223" s="85" t="s">
        <v>78</v>
      </c>
      <c r="B223" s="94" t="str">
        <f>VLOOKUP($A223&amp;$F223,TWZ[[ID Rating]:[Summ Voltage]],B$15,0)</f>
        <v>33 kV Bus</v>
      </c>
      <c r="C223" s="95" t="str">
        <f>VLOOKUP($A223&amp;$F223,TWZ[[ID Rating]:[Summ Voltage]],C$15,0)</f>
        <v>CB6316</v>
      </c>
      <c r="D223" s="70" t="str">
        <f>VLOOKUP($A223&amp;$F223,TWZ[[ID Rating]:[Summ Voltage]],D$15,0)</f>
        <v>Circuit Breaker-TWZ-CB6312-Other Equipment</v>
      </c>
      <c r="E223" s="141">
        <f>VLOOKUP($A223&amp;$F223,TWZ[[ID Rating]:[Summ Voltage]],E$15,0)</f>
        <v>33</v>
      </c>
      <c r="F223" s="80">
        <f t="array" ref="F223">MIN(IF(TWZ[Station/Feeder]=$A223,TWZ[Lowest MVA]))</f>
        <v>6.8589211979727533</v>
      </c>
      <c r="G223" s="94" t="str">
        <f>VLOOKUP($A223&amp;$K223,TWZ[[ID Rating]:[Summ Voltage]],G$15,0)</f>
        <v>33 kV Bus</v>
      </c>
      <c r="H223" s="95" t="str">
        <f>VLOOKUP($A223&amp;$K223,TWZ[[ID Rating]:[Summ Voltage]],H$15,0)</f>
        <v>CB6316</v>
      </c>
      <c r="I223" s="70" t="str">
        <f>VLOOKUP($A223&amp;$K223,TWZ[[ID Rating]:[Summ Voltage]],I$15,0)</f>
        <v>Circuit Breaker-TWZ-CB6312-Protection</v>
      </c>
      <c r="J223" s="141">
        <f>VLOOKUP($A223&amp;$K223,TWZ[[ID Rating]:[Summ Voltage]],J$15,0)</f>
        <v>33</v>
      </c>
      <c r="K223" s="80">
        <f t="array" ref="K223">MIN(IF(TWZ[Station/Feeder]=$A223,IF($F223&lt;TWZ[Lowest MVA],TWZ[Lowest MVA])))</f>
        <v>14.403734515742782</v>
      </c>
    </row>
    <row r="224" spans="1:11" x14ac:dyDescent="0.25">
      <c r="A224" s="86" t="s">
        <v>236</v>
      </c>
      <c r="B224" s="96" t="str">
        <f>VLOOKUP($A224&amp;$F224,TWZ[[ID Rating]:[Summ Voltage]],B$15,0)</f>
        <v>Z69</v>
      </c>
      <c r="C224" s="97" t="str">
        <f>VLOOKUP($A224&amp;$F224,TWZ[[ID Rating]:[Summ Voltage]],C$15,0)</f>
        <v>11 kV Bus</v>
      </c>
      <c r="D224" s="71" t="str">
        <f>VLOOKUP($A224&amp;$F224,TWZ[[ID Rating]:[Summ Voltage]],D$15,0)</f>
        <v>Cable-3-1c 400 mm² AL XLPE</v>
      </c>
      <c r="E224" s="142">
        <f>VLOOKUP($A224&amp;$F224,TWZ[[ID Rating]:[Summ Voltage]],E$15,0)</f>
        <v>11</v>
      </c>
      <c r="F224" s="81">
        <f t="array" ref="F224">MIN(IF(TWZ[Station/Feeder]=$A224,TWZ[Lowest MVA]))</f>
        <v>6.2523010599210478</v>
      </c>
      <c r="G224" s="96" t="str">
        <f>VLOOKUP($A224&amp;$K224,TWZ[[ID Rating]:[Summ Voltage]],G$15,0)</f>
        <v>Z69</v>
      </c>
      <c r="H224" s="97" t="str">
        <f>VLOOKUP($A224&amp;$K224,TWZ[[ID Rating]:[Summ Voltage]],H$15,0)</f>
        <v>11 kV Bus</v>
      </c>
      <c r="I224" s="71" t="str">
        <f>VLOOKUP($A224&amp;$K224,TWZ[[ID Rating]:[Summ Voltage]],I$15,0)</f>
        <v>Circuit Breaker-TVS-Z68-Protection</v>
      </c>
      <c r="J224" s="142">
        <f>VLOOKUP($A224&amp;$K224,TWZ[[ID Rating]:[Summ Voltage]],J$15,0)</f>
        <v>33</v>
      </c>
      <c r="K224" s="81">
        <f t="array" ref="K224">MIN(IF(TWZ[Station/Feeder]=$A224,IF($F224&lt;TWZ[Lowest MVA],TWZ[Lowest MVA])))</f>
        <v>8.5736514974659421</v>
      </c>
    </row>
    <row r="225" spans="1:11" x14ac:dyDescent="0.25">
      <c r="A225" s="86" t="s">
        <v>102</v>
      </c>
      <c r="B225" s="98" t="str">
        <f>VLOOKUP($A225&amp;$F225,TWZ[[ID Rating]:[Summ Voltage]],B$15,0)</f>
        <v>11 kV Bus</v>
      </c>
      <c r="C225" s="99" t="str">
        <f>VLOOKUP($A225&amp;$F225,TWZ[[ID Rating]:[Summ Voltage]],C$15,0)</f>
        <v>Z110</v>
      </c>
      <c r="D225" s="72" t="str">
        <f>VLOOKUP($A225&amp;$F225,TWZ[[ID Rating]:[Summ Voltage]],D$15,0)</f>
        <v>Circuit Breaker-TVS-Z1-Protection</v>
      </c>
      <c r="E225" s="143">
        <f>VLOOKUP($A225&amp;$F225,TWZ[[ID Rating]:[Summ Voltage]],E$15,0)</f>
        <v>11</v>
      </c>
      <c r="F225" s="82">
        <f t="array" ref="F225">MIN(IF(TWZ[Station/Feeder]=$A225,TWZ[Lowest MVA]))</f>
        <v>2.8959889502551626</v>
      </c>
      <c r="G225" s="98" t="str">
        <f>VLOOKUP($A225&amp;$K225,TWZ[[ID Rating]:[Summ Voltage]],G$15,0)</f>
        <v>11 kV Bus</v>
      </c>
      <c r="H225" s="99" t="str">
        <f>VLOOKUP($A225&amp;$K225,TWZ[[ID Rating]:[Summ Voltage]],H$15,0)</f>
        <v>Z110</v>
      </c>
      <c r="I225" s="72" t="str">
        <f>VLOOKUP($A225&amp;$K225,TWZ[[ID Rating]:[Summ Voltage]],I$15,0)</f>
        <v>OH Line - MINK</v>
      </c>
      <c r="J225" s="143">
        <f>VLOOKUP($A225&amp;$K225,TWZ[[ID Rating]:[Summ Voltage]],J$15,0)</f>
        <v>11</v>
      </c>
      <c r="K225" s="82">
        <f t="array" ref="K225">MIN(IF(TWZ[Station/Feeder]=$A225,IF($F225&lt;TWZ[Lowest MVA],TWZ[Lowest MVA])))</f>
        <v>3.6009336289356955</v>
      </c>
    </row>
    <row r="226" spans="1:11" x14ac:dyDescent="0.25">
      <c r="A226" s="86" t="s">
        <v>114</v>
      </c>
      <c r="B226" s="96" t="str">
        <f>VLOOKUP($A226&amp;$F226,TWZ[[ID Rating]:[Summ Voltage]],B$15,0)</f>
        <v>11 kV Bus</v>
      </c>
      <c r="C226" s="97" t="str">
        <f>VLOOKUP($A226&amp;$F226,TWZ[[ID Rating]:[Summ Voltage]],C$15,0)</f>
        <v>Pole 12571</v>
      </c>
      <c r="D226" s="71" t="str">
        <f>VLOOKUP($A226&amp;$F226,TWZ[[ID Rating]:[Summ Voltage]],D$15,0)</f>
        <v>Circuit Breaker-TVS-Z2-Protection</v>
      </c>
      <c r="E226" s="142">
        <f>VLOOKUP($A226&amp;$F226,TWZ[[ID Rating]:[Summ Voltage]],E$15,0)</f>
        <v>11</v>
      </c>
      <c r="F226" s="81">
        <f t="array" ref="F226">MIN(IF(TWZ[Station/Feeder]=$A226,TWZ[Lowest MVA]))</f>
        <v>2.8959889502551626</v>
      </c>
      <c r="G226" s="96" t="str">
        <f>VLOOKUP($A226&amp;$K226,TWZ[[ID Rating]:[Summ Voltage]],G$15,0)</f>
        <v>11 kV Bus</v>
      </c>
      <c r="H226" s="97" t="str">
        <f>VLOOKUP($A226&amp;$K226,TWZ[[ID Rating]:[Summ Voltage]],H$15,0)</f>
        <v>Pole 12571</v>
      </c>
      <c r="I226" s="71" t="str">
        <f>VLOOKUP($A226&amp;$K226,TWZ[[ID Rating]:[Summ Voltage]],I$15,0)</f>
        <v>OH Line-MINK</v>
      </c>
      <c r="J226" s="142">
        <f>VLOOKUP($A226&amp;$K226,TWZ[[ID Rating]:[Summ Voltage]],J$15,0)</f>
        <v>11</v>
      </c>
      <c r="K226" s="81">
        <f t="array" ref="K226">MIN(IF(TWZ[Station/Feeder]=$A226,IF($F226&lt;TWZ[Lowest MVA],TWZ[Lowest MVA])))</f>
        <v>3.6009336289356955</v>
      </c>
    </row>
    <row r="227" spans="1:11" x14ac:dyDescent="0.25">
      <c r="A227" s="86" t="s">
        <v>125</v>
      </c>
      <c r="B227" s="98" t="str">
        <f>VLOOKUP($A227&amp;$F227,TWZ[[ID Rating]:[Summ Voltage]],B$15,0)</f>
        <v>11 kV Bus</v>
      </c>
      <c r="C227" s="99" t="str">
        <f>VLOOKUP($A227&amp;$F227,TWZ[[ID Rating]:[Summ Voltage]],C$15,0)</f>
        <v>E48</v>
      </c>
      <c r="D227" s="72" t="str">
        <f>VLOOKUP($A227&amp;$F227,TWZ[[ID Rating]:[Summ Voltage]],D$15,0)</f>
        <v>Cable-1-3c 35 mm² AL PILC</v>
      </c>
      <c r="E227" s="143">
        <f>VLOOKUP($A227&amp;$F227,TWZ[[ID Rating]:[Summ Voltage]],E$15,0)</f>
        <v>11</v>
      </c>
      <c r="F227" s="82">
        <f t="array" ref="F227">MIN(IF(TWZ[Station/Feeder]=$A227,TWZ[Lowest MVA]))</f>
        <v>1.626850371644162</v>
      </c>
      <c r="G227" s="98" t="str">
        <f>VLOOKUP($A227&amp;$K227,TWZ[[ID Rating]:[Summ Voltage]],G$15,0)</f>
        <v>11 kV Bus</v>
      </c>
      <c r="H227" s="99" t="str">
        <f>VLOOKUP($A227&amp;$K227,TWZ[[ID Rating]:[Summ Voltage]],H$15,0)</f>
        <v>E48</v>
      </c>
      <c r="I227" s="72" t="str">
        <f>VLOOKUP($A227&amp;$K227,TWZ[[ID Rating]:[Summ Voltage]],I$15,0)</f>
        <v>Cable-1-3c 0.0225 in² Cu PILC</v>
      </c>
      <c r="J227" s="143">
        <f>VLOOKUP($A227&amp;$K227,TWZ[[ID Rating]:[Summ Voltage]],J$15,0)</f>
        <v>11</v>
      </c>
      <c r="K227" s="82">
        <f t="array" ref="K227">MIN(IF(TWZ[Station/Feeder]=$A227,IF($F227&lt;TWZ[Lowest MVA],TWZ[Lowest MVA])))</f>
        <v>1.8862033294425073</v>
      </c>
    </row>
    <row r="228" spans="1:11" ht="15.75" thickBot="1" x14ac:dyDescent="0.3">
      <c r="A228" s="87" t="s">
        <v>133</v>
      </c>
      <c r="B228" s="101" t="str">
        <f>VLOOKUP($A228&amp;$F228,TWZ[[ID Rating]:[Summ Voltage]],B$15,0)</f>
        <v>11 kV Bus</v>
      </c>
      <c r="C228" s="102" t="str">
        <f>VLOOKUP($A228&amp;$F228,TWZ[[ID Rating]:[Summ Voltage]],C$15,0)</f>
        <v>Z401</v>
      </c>
      <c r="D228" s="73" t="str">
        <f>VLOOKUP($A228&amp;$F228,TWZ[[ID Rating]:[Summ Voltage]],D$15,0)</f>
        <v>Circuit Breaker-TVS-Z4-Protection</v>
      </c>
      <c r="E228" s="144">
        <f>VLOOKUP($A228&amp;$F228,TWZ[[ID Rating]:[Summ Voltage]],E$15,0)</f>
        <v>11</v>
      </c>
      <c r="F228" s="83">
        <f t="array" ref="F228">MIN(IF(TWZ[Station/Feeder]=$A228,TWZ[Lowest MVA]))</f>
        <v>2.8959889502551626</v>
      </c>
      <c r="G228" s="101" t="str">
        <f>VLOOKUP($A228&amp;$K228,TWZ[[ID Rating]:[Summ Voltage]],G$15,0)</f>
        <v>11 kV Bus</v>
      </c>
      <c r="H228" s="102" t="str">
        <f>VLOOKUP($A228&amp;$K228,TWZ[[ID Rating]:[Summ Voltage]],H$15,0)</f>
        <v>Pole 18576</v>
      </c>
      <c r="I228" s="73" t="str">
        <f>VLOOKUP($A228&amp;$K228,TWZ[[ID Rating]:[Summ Voltage]],I$15,0)</f>
        <v>OH line - MINK</v>
      </c>
      <c r="J228" s="144">
        <f>VLOOKUP($A228&amp;$K228,TWZ[[ID Rating]:[Summ Voltage]],J$15,0)</f>
        <v>11</v>
      </c>
      <c r="K228" s="83">
        <f t="array" ref="K228">MIN(IF(TWZ[Station/Feeder]=$A228,IF($F228&lt;TWZ[Lowest MVA],TWZ[Lowest MVA])))</f>
        <v>3.6009336289356955</v>
      </c>
    </row>
  </sheetData>
  <mergeCells count="10">
    <mergeCell ref="A42:K42"/>
    <mergeCell ref="A65:K65"/>
    <mergeCell ref="A125:K125"/>
    <mergeCell ref="A222:K222"/>
    <mergeCell ref="A1:A2"/>
    <mergeCell ref="B1:F1"/>
    <mergeCell ref="G1:K1"/>
    <mergeCell ref="A3:K3"/>
    <mergeCell ref="A16:K16"/>
    <mergeCell ref="A33:K33"/>
  </mergeCells>
  <conditionalFormatting sqref="B124:K124 B64:K64 B41:K41 B32:K32 B1:K2 B229:K1048576 B6:K8 B216:K217 B221:K221 B126:K145 B147:K163 B165:K174 B179:K191 B10:K15">
    <cfRule type="cellIs" dxfId="1225" priority="64" operator="equal">
      <formula>0</formula>
    </cfRule>
  </conditionalFormatting>
  <conditionalFormatting sqref="A1 A3:A8 A32 A41:A42 A64:A65 A229:A1048576 A10:A15 A216:A222 A124:A145 A147:A163 A165:A177 A179:A195">
    <cfRule type="cellIs" dxfId="1224" priority="63" operator="equal">
      <formula>0</formula>
    </cfRule>
  </conditionalFormatting>
  <conditionalFormatting sqref="B18:K26">
    <cfRule type="cellIs" dxfId="1223" priority="62" operator="equal">
      <formula>0</formula>
    </cfRule>
  </conditionalFormatting>
  <conditionalFormatting sqref="A17:A31">
    <cfRule type="cellIs" dxfId="1222" priority="61" operator="equal">
      <formula>0</formula>
    </cfRule>
  </conditionalFormatting>
  <conditionalFormatting sqref="B38:K40">
    <cfRule type="cellIs" dxfId="1221" priority="60" operator="equal">
      <formula>0</formula>
    </cfRule>
  </conditionalFormatting>
  <conditionalFormatting sqref="A34:A40">
    <cfRule type="cellIs" dxfId="1220" priority="59" operator="equal">
      <formula>0</formula>
    </cfRule>
  </conditionalFormatting>
  <conditionalFormatting sqref="B51:K53 B55:K56 B61:K63 B58:K59">
    <cfRule type="cellIs" dxfId="1219" priority="58" operator="equal">
      <formula>0</formula>
    </cfRule>
  </conditionalFormatting>
  <conditionalFormatting sqref="A51:A53 A55:A56 A58:A59 A61:A63 A43:A49">
    <cfRule type="cellIs" dxfId="1218" priority="57" operator="equal">
      <formula>0</formula>
    </cfRule>
  </conditionalFormatting>
  <conditionalFormatting sqref="A215 A212 A205 A196 A178 A164 A146">
    <cfRule type="cellIs" dxfId="1217" priority="43" operator="equal">
      <formula>0</formula>
    </cfRule>
  </conditionalFormatting>
  <conditionalFormatting sqref="B89:K92 B99:K110 B112:K123">
    <cfRule type="cellIs" dxfId="1216" priority="56" operator="equal">
      <formula>0</formula>
    </cfRule>
  </conditionalFormatting>
  <conditionalFormatting sqref="A76:A82 A84:A87 A89:A92 A94:A97 A99:A110 A112:A123 A66:A74">
    <cfRule type="cellIs" dxfId="1215" priority="55" operator="equal">
      <formula>0</formula>
    </cfRule>
  </conditionalFormatting>
  <conditionalFormatting sqref="B206:K211 B175:K177 B197:K198 B213:K214">
    <cfRule type="cellIs" dxfId="1214" priority="54" operator="equal">
      <formula>0</formula>
    </cfRule>
  </conditionalFormatting>
  <conditionalFormatting sqref="A197:A199 A206:A211 A213:A214">
    <cfRule type="cellIs" dxfId="1213" priority="53" operator="equal">
      <formula>0</formula>
    </cfRule>
  </conditionalFormatting>
  <conditionalFormatting sqref="B224:K228">
    <cfRule type="cellIs" dxfId="1212" priority="52" operator="equal">
      <formula>0</formula>
    </cfRule>
  </conditionalFormatting>
  <conditionalFormatting sqref="A223:A228">
    <cfRule type="cellIs" dxfId="1211" priority="51" operator="equal">
      <formula>0</formula>
    </cfRule>
  </conditionalFormatting>
  <conditionalFormatting sqref="B9:K9">
    <cfRule type="cellIs" dxfId="1210" priority="50" operator="equal">
      <formula>0</formula>
    </cfRule>
  </conditionalFormatting>
  <conditionalFormatting sqref="A9">
    <cfRule type="cellIs" dxfId="1209" priority="49" operator="equal">
      <formula>0</formula>
    </cfRule>
  </conditionalFormatting>
  <conditionalFormatting sqref="B60:K60 B57:K57 B54:K54 B50:K50">
    <cfRule type="cellIs" dxfId="1208" priority="48" operator="equal">
      <formula>0</formula>
    </cfRule>
  </conditionalFormatting>
  <conditionalFormatting sqref="A60 A57 A54 A50">
    <cfRule type="cellIs" dxfId="1207" priority="47" operator="equal">
      <formula>0</formula>
    </cfRule>
  </conditionalFormatting>
  <conditionalFormatting sqref="B111:K111 B98:K98 B93:K93 B88:K88 B83:K83 B75:K75">
    <cfRule type="cellIs" dxfId="1206" priority="46" operator="equal">
      <formula>0</formula>
    </cfRule>
  </conditionalFormatting>
  <conditionalFormatting sqref="A111 A98 A93 A88 A83 A75">
    <cfRule type="cellIs" dxfId="1205" priority="45" operator="equal">
      <formula>0</formula>
    </cfRule>
  </conditionalFormatting>
  <conditionalFormatting sqref="B215:K215 B212:K212 B205:K205 B196:K196 B178:K178 B164:K164 B146:K146">
    <cfRule type="cellIs" dxfId="1204" priority="44" operator="equal">
      <formula>0</formula>
    </cfRule>
  </conditionalFormatting>
  <conditionalFormatting sqref="B80:K81">
    <cfRule type="cellIs" dxfId="1203" priority="21" operator="equal">
      <formula>0</formula>
    </cfRule>
  </conditionalFormatting>
  <conditionalFormatting sqref="B4:K5">
    <cfRule type="cellIs" dxfId="1202" priority="41" operator="equal">
      <formula>0</formula>
    </cfRule>
  </conditionalFormatting>
  <conditionalFormatting sqref="B223:K223">
    <cfRule type="cellIs" dxfId="1201" priority="40" operator="equal">
      <formula>0</formula>
    </cfRule>
  </conditionalFormatting>
  <conditionalFormatting sqref="B17:K17">
    <cfRule type="cellIs" dxfId="1200" priority="37" operator="equal">
      <formula>0</formula>
    </cfRule>
  </conditionalFormatting>
  <conditionalFormatting sqref="B28:K31">
    <cfRule type="cellIs" dxfId="1199" priority="35" operator="equal">
      <formula>0</formula>
    </cfRule>
  </conditionalFormatting>
  <conditionalFormatting sqref="B27:K27">
    <cfRule type="cellIs" dxfId="1198" priority="34" operator="equal">
      <formula>0</formula>
    </cfRule>
  </conditionalFormatting>
  <conditionalFormatting sqref="B35:K37">
    <cfRule type="cellIs" dxfId="1197" priority="33" operator="equal">
      <formula>0</formula>
    </cfRule>
  </conditionalFormatting>
  <conditionalFormatting sqref="B34:K34">
    <cfRule type="cellIs" dxfId="1196" priority="32" operator="equal">
      <formula>0</formula>
    </cfRule>
  </conditionalFormatting>
  <conditionalFormatting sqref="B44:K47">
    <cfRule type="cellIs" dxfId="1195" priority="31" operator="equal">
      <formula>0</formula>
    </cfRule>
  </conditionalFormatting>
  <conditionalFormatting sqref="B43:K43">
    <cfRule type="cellIs" dxfId="1194" priority="30" operator="equal">
      <formula>0</formula>
    </cfRule>
  </conditionalFormatting>
  <conditionalFormatting sqref="B220:K220">
    <cfRule type="cellIs" dxfId="1193" priority="11" operator="equal">
      <formula>0</formula>
    </cfRule>
  </conditionalFormatting>
  <conditionalFormatting sqref="B48:K49">
    <cfRule type="cellIs" dxfId="1192" priority="29" operator="equal">
      <formula>0</formula>
    </cfRule>
  </conditionalFormatting>
  <conditionalFormatting sqref="B66:K67">
    <cfRule type="cellIs" dxfId="1191" priority="28" operator="equal">
      <formula>0</formula>
    </cfRule>
  </conditionalFormatting>
  <conditionalFormatting sqref="B68:K69">
    <cfRule type="cellIs" dxfId="1190" priority="27" operator="equal">
      <formula>0</formula>
    </cfRule>
  </conditionalFormatting>
  <conditionalFormatting sqref="B70:K71">
    <cfRule type="cellIs" dxfId="1189" priority="26" operator="equal">
      <formula>0</formula>
    </cfRule>
  </conditionalFormatting>
  <conditionalFormatting sqref="B72:K73">
    <cfRule type="cellIs" dxfId="1188" priority="25" operator="equal">
      <formula>0</formula>
    </cfRule>
  </conditionalFormatting>
  <conditionalFormatting sqref="B74:K74">
    <cfRule type="cellIs" dxfId="1187" priority="24" operator="equal">
      <formula>0</formula>
    </cfRule>
  </conditionalFormatting>
  <conditionalFormatting sqref="B76:K77">
    <cfRule type="cellIs" dxfId="1186" priority="23" operator="equal">
      <formula>0</formula>
    </cfRule>
  </conditionalFormatting>
  <conditionalFormatting sqref="B78:K79">
    <cfRule type="cellIs" dxfId="1185" priority="22" operator="equal">
      <formula>0</formula>
    </cfRule>
  </conditionalFormatting>
  <conditionalFormatting sqref="B82:K82">
    <cfRule type="cellIs" dxfId="1184" priority="20" operator="equal">
      <formula>0</formula>
    </cfRule>
  </conditionalFormatting>
  <conditionalFormatting sqref="B84:K85">
    <cfRule type="cellIs" dxfId="1183" priority="19" operator="equal">
      <formula>0</formula>
    </cfRule>
  </conditionalFormatting>
  <conditionalFormatting sqref="B86:K87">
    <cfRule type="cellIs" dxfId="1182" priority="18" operator="equal">
      <formula>0</formula>
    </cfRule>
  </conditionalFormatting>
  <conditionalFormatting sqref="B94:K95">
    <cfRule type="cellIs" dxfId="1181" priority="17" operator="equal">
      <formula>0</formula>
    </cfRule>
  </conditionalFormatting>
  <conditionalFormatting sqref="B96:K97">
    <cfRule type="cellIs" dxfId="1180" priority="16" operator="equal">
      <formula>0</formula>
    </cfRule>
  </conditionalFormatting>
  <conditionalFormatting sqref="B192:K195">
    <cfRule type="cellIs" dxfId="1179" priority="14" operator="equal">
      <formula>0</formula>
    </cfRule>
  </conditionalFormatting>
  <conditionalFormatting sqref="B218:K219">
    <cfRule type="cellIs" dxfId="1178" priority="12" operator="equal">
      <formula>0</formula>
    </cfRule>
  </conditionalFormatting>
  <conditionalFormatting sqref="A16">
    <cfRule type="cellIs" dxfId="1177" priority="10" operator="equal">
      <formula>0</formula>
    </cfRule>
  </conditionalFormatting>
  <conditionalFormatting sqref="A33">
    <cfRule type="cellIs" dxfId="1176" priority="9" operator="equal">
      <formula>0</formula>
    </cfRule>
  </conditionalFormatting>
  <conditionalFormatting sqref="B204:K204 B200:K200">
    <cfRule type="cellIs" dxfId="1175" priority="8" operator="equal">
      <formula>0</formula>
    </cfRule>
  </conditionalFormatting>
  <conditionalFormatting sqref="A200 A204">
    <cfRule type="cellIs" dxfId="1174" priority="7" operator="equal">
      <formula>0</formula>
    </cfRule>
  </conditionalFormatting>
  <conditionalFormatting sqref="B203:K203">
    <cfRule type="cellIs" dxfId="1173" priority="6" operator="equal">
      <formula>0</formula>
    </cfRule>
  </conditionalFormatting>
  <conditionalFormatting sqref="A203">
    <cfRule type="cellIs" dxfId="1172" priority="5" operator="equal">
      <formula>0</formula>
    </cfRule>
  </conditionalFormatting>
  <conditionalFormatting sqref="B202:K202">
    <cfRule type="cellIs" dxfId="1171" priority="4" operator="equal">
      <formula>0</formula>
    </cfRule>
  </conditionalFormatting>
  <conditionalFormatting sqref="A202">
    <cfRule type="cellIs" dxfId="1170" priority="3" operator="equal">
      <formula>0</formula>
    </cfRule>
  </conditionalFormatting>
  <conditionalFormatting sqref="B201:K201">
    <cfRule type="cellIs" dxfId="1169" priority="2" operator="equal">
      <formula>0</formula>
    </cfRule>
  </conditionalFormatting>
  <conditionalFormatting sqref="A201">
    <cfRule type="cellIs" dxfId="1168" priority="1" operator="equal">
      <formula>0</formula>
    </cfRule>
  </conditionalFormatting>
  <printOptions horizontalCentered="1"/>
  <pageMargins left="0" right="0" top="0.39370078740157483" bottom="0.39370078740157483" header="0" footer="0"/>
  <pageSetup paperSize="8" scale="95" fitToHeight="0" orientation="landscape" r:id="rId1"/>
  <ignoredErrors>
    <ignoredError sqref="G67:J74" evalError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rgb="FF0070C0"/>
  </sheetPr>
  <dimension ref="A1:M199"/>
  <sheetViews>
    <sheetView zoomScaleNormal="100" workbookViewId="0">
      <selection activeCell="F26" sqref="F26"/>
    </sheetView>
  </sheetViews>
  <sheetFormatPr defaultColWidth="9.140625" defaultRowHeight="15" x14ac:dyDescent="0.25"/>
  <cols>
    <col min="1" max="1" width="18.5703125" style="1" bestFit="1" customWidth="1"/>
    <col min="2" max="2" width="14.42578125" style="211" bestFit="1" customWidth="1"/>
    <col min="3" max="3" width="27.5703125" style="212" bestFit="1" customWidth="1"/>
    <col min="4" max="4" width="24.28515625" style="230" customWidth="1"/>
    <col min="5" max="5" width="24.28515625" style="212" customWidth="1"/>
    <col min="6" max="7" width="24.28515625" style="230" customWidth="1"/>
    <col min="8" max="8" width="24.28515625" style="212" customWidth="1"/>
    <col min="9" max="9" width="25.28515625" style="212" customWidth="1"/>
    <col min="10" max="10" width="20.42578125" style="1" customWidth="1"/>
    <col min="11" max="11" width="27.5703125" style="40" bestFit="1" customWidth="1"/>
    <col min="12" max="12" width="14.28515625" style="363" bestFit="1" customWidth="1"/>
    <col min="13" max="16384" width="9.140625" style="1"/>
  </cols>
  <sheetData>
    <row r="1" spans="1:13" ht="16.5" thickBot="1" x14ac:dyDescent="0.3">
      <c r="A1" s="538" t="s">
        <v>1184</v>
      </c>
      <c r="B1" s="531" t="s">
        <v>1186</v>
      </c>
      <c r="C1" s="538" t="s">
        <v>21</v>
      </c>
      <c r="D1" s="538" t="s">
        <v>1139</v>
      </c>
      <c r="E1" s="538"/>
      <c r="F1" s="538" t="s">
        <v>1153</v>
      </c>
      <c r="G1" s="538" t="str">
        <f>M1&amp;" Performance"</f>
        <v>2021 Performance</v>
      </c>
      <c r="H1" s="538"/>
      <c r="I1" s="538"/>
      <c r="J1" s="529" t="s">
        <v>1188</v>
      </c>
      <c r="L1" s="425" t="s">
        <v>1187</v>
      </c>
      <c r="M1" s="239">
        <v>2021</v>
      </c>
    </row>
    <row r="2" spans="1:13" ht="32.25" thickBot="1" x14ac:dyDescent="0.3">
      <c r="A2" s="538"/>
      <c r="B2" s="532"/>
      <c r="C2" s="538"/>
      <c r="D2" s="213" t="s">
        <v>1141</v>
      </c>
      <c r="E2" s="227" t="str">
        <f>M1&amp;" MVA"</f>
        <v>2021 MVA</v>
      </c>
      <c r="F2" s="538"/>
      <c r="G2" s="227" t="s">
        <v>1142</v>
      </c>
      <c r="H2" s="227" t="s">
        <v>1143</v>
      </c>
      <c r="I2" s="213" t="s">
        <v>1144</v>
      </c>
      <c r="J2" s="530"/>
    </row>
    <row r="3" spans="1:13" hidden="1" x14ac:dyDescent="0.25">
      <c r="A3" s="226" t="s">
        <v>56</v>
      </c>
      <c r="B3" s="226" t="s">
        <v>57</v>
      </c>
      <c r="C3" s="217" t="s">
        <v>58</v>
      </c>
      <c r="D3" s="218" t="s">
        <v>59</v>
      </c>
      <c r="E3" s="228" t="s">
        <v>60</v>
      </c>
      <c r="F3" s="218" t="s">
        <v>61</v>
      </c>
      <c r="G3" s="228" t="s">
        <v>52</v>
      </c>
      <c r="H3" s="228" t="s">
        <v>53</v>
      </c>
      <c r="I3" s="218" t="s">
        <v>54</v>
      </c>
      <c r="J3" s="218" t="s">
        <v>55</v>
      </c>
    </row>
    <row r="4" spans="1:13" x14ac:dyDescent="0.25">
      <c r="A4" s="225" t="s">
        <v>4</v>
      </c>
      <c r="B4" s="225" t="s">
        <v>79</v>
      </c>
      <c r="C4" s="219" t="s">
        <v>79</v>
      </c>
      <c r="D4" s="220" t="s">
        <v>1145</v>
      </c>
      <c r="E4" s="229">
        <v>20</v>
      </c>
      <c r="F4" s="220" t="s">
        <v>1145</v>
      </c>
      <c r="G4" s="229">
        <v>4.58</v>
      </c>
      <c r="H4" s="229"/>
      <c r="I4" s="220" t="s">
        <v>1145</v>
      </c>
      <c r="J4" s="221" t="s">
        <v>1146</v>
      </c>
    </row>
    <row r="5" spans="1:13" x14ac:dyDescent="0.25">
      <c r="A5" s="225" t="s">
        <v>4</v>
      </c>
      <c r="B5" s="225" t="s">
        <v>80</v>
      </c>
      <c r="C5" s="219" t="s">
        <v>80</v>
      </c>
      <c r="D5" s="220" t="s">
        <v>1145</v>
      </c>
      <c r="E5" s="229">
        <v>54</v>
      </c>
      <c r="F5" s="220" t="s">
        <v>1147</v>
      </c>
      <c r="G5" s="229">
        <v>13.7</v>
      </c>
      <c r="H5" s="229"/>
      <c r="I5" s="220" t="s">
        <v>1145</v>
      </c>
      <c r="J5" s="221" t="s">
        <v>1146</v>
      </c>
    </row>
    <row r="6" spans="1:13" x14ac:dyDescent="0.25">
      <c r="A6" s="225" t="s">
        <v>4</v>
      </c>
      <c r="B6" s="225" t="s">
        <v>1148</v>
      </c>
      <c r="C6" s="219" t="s">
        <v>1148</v>
      </c>
      <c r="D6" s="220" t="s">
        <v>1147</v>
      </c>
      <c r="E6" s="229">
        <v>10</v>
      </c>
      <c r="F6" s="220" t="s">
        <v>1147</v>
      </c>
      <c r="G6" s="229">
        <v>16.399999999999999</v>
      </c>
      <c r="H6" s="229"/>
      <c r="I6" s="220" t="s">
        <v>1145</v>
      </c>
      <c r="J6" s="221" t="s">
        <v>1149</v>
      </c>
    </row>
    <row r="7" spans="1:13" x14ac:dyDescent="0.25">
      <c r="A7" s="225" t="s">
        <v>4</v>
      </c>
      <c r="B7" s="225" t="s">
        <v>225</v>
      </c>
      <c r="C7" s="219" t="s">
        <v>225</v>
      </c>
      <c r="D7" s="220" t="s">
        <v>1145</v>
      </c>
      <c r="E7" s="229">
        <v>10</v>
      </c>
      <c r="F7" s="220" t="s">
        <v>1147</v>
      </c>
      <c r="G7" s="229">
        <v>6</v>
      </c>
      <c r="H7" s="229"/>
      <c r="I7" s="220" t="s">
        <v>1145</v>
      </c>
      <c r="J7" s="221" t="s">
        <v>1150</v>
      </c>
    </row>
    <row r="8" spans="1:13" x14ac:dyDescent="0.25">
      <c r="A8" s="225" t="s">
        <v>4</v>
      </c>
      <c r="B8" s="225" t="s">
        <v>1138</v>
      </c>
      <c r="C8" s="219" t="s">
        <v>1138</v>
      </c>
      <c r="D8" s="220" t="s">
        <v>1147</v>
      </c>
      <c r="E8" s="229">
        <v>54</v>
      </c>
      <c r="F8" s="220" t="s">
        <v>1147</v>
      </c>
      <c r="G8" s="229">
        <v>62</v>
      </c>
      <c r="H8" s="229"/>
      <c r="I8" s="220" t="s">
        <v>1145</v>
      </c>
      <c r="J8" s="221" t="s">
        <v>1151</v>
      </c>
    </row>
    <row r="9" spans="1:13" x14ac:dyDescent="0.25">
      <c r="A9" s="225" t="s">
        <v>4</v>
      </c>
      <c r="B9" s="225" t="s">
        <v>82</v>
      </c>
      <c r="C9" s="219" t="s">
        <v>82</v>
      </c>
      <c r="D9" s="220" t="s">
        <v>1147</v>
      </c>
      <c r="E9" s="229">
        <v>48</v>
      </c>
      <c r="F9" s="220" t="s">
        <v>1147</v>
      </c>
      <c r="G9" s="229">
        <v>66.400000000000006</v>
      </c>
      <c r="H9" s="229"/>
      <c r="I9" s="220" t="s">
        <v>1145</v>
      </c>
      <c r="J9" s="221" t="s">
        <v>1151</v>
      </c>
    </row>
    <row r="10" spans="1:13" x14ac:dyDescent="0.25">
      <c r="A10" s="225" t="s">
        <v>4</v>
      </c>
      <c r="B10" s="225" t="s">
        <v>70</v>
      </c>
      <c r="C10" s="219" t="s">
        <v>70</v>
      </c>
      <c r="D10" s="220" t="s">
        <v>1145</v>
      </c>
      <c r="E10" s="229">
        <v>207</v>
      </c>
      <c r="F10" s="220" t="s">
        <v>1147</v>
      </c>
      <c r="G10" s="229">
        <v>3.5</v>
      </c>
      <c r="H10" s="229"/>
      <c r="I10" s="220" t="s">
        <v>1145</v>
      </c>
      <c r="J10" s="221" t="s">
        <v>1152</v>
      </c>
    </row>
    <row r="11" spans="1:13" ht="15.75" thickBot="1" x14ac:dyDescent="0.3">
      <c r="A11" s="274"/>
      <c r="B11" s="275"/>
      <c r="C11" s="274">
        <v>1</v>
      </c>
      <c r="D11" s="275">
        <v>2</v>
      </c>
      <c r="E11" s="274">
        <v>3</v>
      </c>
      <c r="F11" s="275">
        <v>4</v>
      </c>
      <c r="G11" s="274">
        <v>5</v>
      </c>
      <c r="H11" s="275">
        <v>6</v>
      </c>
      <c r="I11" s="274">
        <v>7</v>
      </c>
      <c r="J11" s="275">
        <v>8</v>
      </c>
    </row>
    <row r="12" spans="1:13" ht="16.5" thickBot="1" x14ac:dyDescent="0.3">
      <c r="A12" s="533" t="s">
        <v>1185</v>
      </c>
      <c r="B12" s="533"/>
      <c r="C12" s="533"/>
      <c r="D12" s="534"/>
      <c r="E12" s="535" t="s">
        <v>1154</v>
      </c>
      <c r="F12" s="536"/>
      <c r="G12" s="536"/>
      <c r="H12" s="537"/>
      <c r="I12" s="535" t="s">
        <v>1297</v>
      </c>
      <c r="J12" s="537"/>
    </row>
    <row r="13" spans="1:13" ht="31.5" x14ac:dyDescent="0.25">
      <c r="A13" s="214" t="s">
        <v>1184</v>
      </c>
      <c r="B13" s="214" t="s">
        <v>1186</v>
      </c>
      <c r="C13" s="214" t="s">
        <v>21</v>
      </c>
      <c r="D13" s="214" t="s">
        <v>1140</v>
      </c>
      <c r="E13" s="231" t="s">
        <v>1155</v>
      </c>
      <c r="F13" s="214" t="s">
        <v>1141</v>
      </c>
      <c r="G13" s="231" t="s">
        <v>1156</v>
      </c>
      <c r="H13" s="231" t="s">
        <v>1157</v>
      </c>
      <c r="I13" s="214" t="s">
        <v>1479</v>
      </c>
      <c r="J13" s="214" t="s">
        <v>1480</v>
      </c>
      <c r="K13" s="424" t="s">
        <v>2855</v>
      </c>
    </row>
    <row r="14" spans="1:13" ht="15.75" x14ac:dyDescent="0.25">
      <c r="A14" s="215"/>
      <c r="B14" s="215"/>
      <c r="C14" s="215"/>
      <c r="D14" s="215"/>
      <c r="E14" s="232" t="s">
        <v>28</v>
      </c>
      <c r="F14" s="215"/>
      <c r="G14" s="232" t="s">
        <v>28</v>
      </c>
      <c r="H14" s="232" t="s">
        <v>1158</v>
      </c>
      <c r="I14" s="215"/>
      <c r="J14" s="215"/>
      <c r="K14" s="215"/>
    </row>
    <row r="15" spans="1:13" ht="15.75" x14ac:dyDescent="0.25">
      <c r="A15" s="215"/>
      <c r="B15" s="215"/>
      <c r="C15" s="215"/>
      <c r="D15" s="215"/>
      <c r="E15" s="232"/>
      <c r="F15" s="215"/>
      <c r="G15" s="232"/>
      <c r="H15" s="232" t="s">
        <v>28</v>
      </c>
      <c r="I15" s="215"/>
      <c r="J15" s="215"/>
      <c r="K15" s="215"/>
    </row>
    <row r="16" spans="1:13" x14ac:dyDescent="0.25">
      <c r="A16" s="1" t="s">
        <v>56</v>
      </c>
      <c r="B16" s="1" t="s">
        <v>57</v>
      </c>
      <c r="C16" t="s">
        <v>58</v>
      </c>
      <c r="D16" s="41" t="s">
        <v>59</v>
      </c>
      <c r="E16" s="79" t="s">
        <v>60</v>
      </c>
      <c r="F16" s="41" t="s">
        <v>61</v>
      </c>
      <c r="G16" s="79" t="s">
        <v>52</v>
      </c>
      <c r="H16" s="79" t="s">
        <v>53</v>
      </c>
      <c r="I16" s="41" t="s">
        <v>54</v>
      </c>
      <c r="J16" s="41" t="s">
        <v>55</v>
      </c>
      <c r="K16" s="40" t="s">
        <v>2852</v>
      </c>
      <c r="L16" s="1"/>
    </row>
    <row r="17" spans="1:12" x14ac:dyDescent="0.25">
      <c r="A17" s="224" t="s">
        <v>1245</v>
      </c>
      <c r="B17" s="224" t="s">
        <v>79</v>
      </c>
      <c r="C17" s="247" t="s">
        <v>1159</v>
      </c>
      <c r="D17" s="216" t="s">
        <v>1247</v>
      </c>
      <c r="E17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2.901514192331307</v>
      </c>
      <c r="F17" s="216" t="s">
        <v>1247</v>
      </c>
      <c r="G17" s="233">
        <f>IF(Table10[[#This Row],[Ref]]="RGA",IFERROR(VLOOKUP(Table10[[#This Row],[Ref]]&amp;"_T2",Summary!$A$4:$K$228,6,0),""),IFERROR(VLOOKUP(Table10[[#This Row],[Ref]],Summary!$A$4:$K$228,6,0),""))</f>
        <v>8.5736514974659421</v>
      </c>
      <c r="H17" s="233">
        <f>IFERROR(IF(Table10[[#This Row],[Column5]]-Table10[[#This Row],[Column3]]=0,"",Table10[[#This Row],[Column5]]-Table10[[#This Row],[Column3]]),"")</f>
        <v>5.6721373051346351</v>
      </c>
      <c r="I17" s="216">
        <v>2023</v>
      </c>
      <c r="J17" s="216">
        <v>2023</v>
      </c>
      <c r="K17" s="40" t="s">
        <v>90</v>
      </c>
      <c r="L17" s="1"/>
    </row>
    <row r="18" spans="1:12" x14ac:dyDescent="0.25">
      <c r="A18" s="224" t="s">
        <v>1245</v>
      </c>
      <c r="B18" s="224" t="s">
        <v>79</v>
      </c>
      <c r="C18" s="247" t="s">
        <v>1161</v>
      </c>
      <c r="D18" s="216" t="s">
        <v>1247</v>
      </c>
      <c r="E18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7</v>
      </c>
      <c r="F18" s="216" t="s">
        <v>1247</v>
      </c>
      <c r="G18" s="233" t="str">
        <f>IF(Table10[[#This Row],[Ref]]="RGA",IFERROR(VLOOKUP(Table10[[#This Row],[Ref]]&amp;"_T2",Summary!$A$4:$K$228,6,0),""),IFERROR(VLOOKUP(Table10[[#This Row],[Ref]],Summary!$A$4:$K$228,6,0),""))</f>
        <v/>
      </c>
      <c r="H18" s="233" t="str">
        <f>IFERROR(IF(Table10[[#This Row],[Column5]]-Table10[[#This Row],[Column3]]=0,"",Table10[[#This Row],[Column5]]-Table10[[#This Row],[Column3]]),"")</f>
        <v/>
      </c>
      <c r="I18" s="216" t="s">
        <v>1162</v>
      </c>
      <c r="J18" s="216" t="s">
        <v>1162</v>
      </c>
      <c r="K18" s="40">
        <v>7</v>
      </c>
      <c r="L18" s="1"/>
    </row>
    <row r="19" spans="1:12" x14ac:dyDescent="0.25">
      <c r="A19" s="224" t="s">
        <v>1245</v>
      </c>
      <c r="B19" s="224" t="s">
        <v>80</v>
      </c>
      <c r="C19" s="247" t="s">
        <v>1163</v>
      </c>
      <c r="D19" s="216" t="s">
        <v>1247</v>
      </c>
      <c r="E19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4.6061736902499835</v>
      </c>
      <c r="F19" s="216" t="s">
        <v>1247</v>
      </c>
      <c r="G19" s="233">
        <f>IF(Table10[[#This Row],[Ref]]="RGA",IFERROR(VLOOKUP(Table10[[#This Row],[Ref]]&amp;"_T2",Summary!$A$4:$K$228,6,0),""),IFERROR(VLOOKUP(Table10[[#This Row],[Ref]],Summary!$A$4:$K$228,6,0),""))</f>
        <v>28.12157691168829</v>
      </c>
      <c r="H19" s="233">
        <f>IFERROR(IF(Table10[[#This Row],[Column5]]-Table10[[#This Row],[Column3]]=0,"",Table10[[#This Row],[Column5]]-Table10[[#This Row],[Column3]]),"")</f>
        <v>23.515403221438305</v>
      </c>
      <c r="I19" s="216" t="s">
        <v>1175</v>
      </c>
      <c r="J19" s="216" t="s">
        <v>1175</v>
      </c>
      <c r="K19" s="40" t="s">
        <v>733</v>
      </c>
      <c r="L19" s="1"/>
    </row>
    <row r="20" spans="1:12" x14ac:dyDescent="0.25">
      <c r="A20" s="224" t="s">
        <v>1245</v>
      </c>
      <c r="B20" s="224" t="s">
        <v>80</v>
      </c>
      <c r="C20" s="247" t="s">
        <v>1164</v>
      </c>
      <c r="D20" s="216" t="s">
        <v>1247</v>
      </c>
      <c r="E20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4.6061736902499835</v>
      </c>
      <c r="F20" s="216" t="s">
        <v>1247</v>
      </c>
      <c r="G20" s="233">
        <f>IF(Table10[[#This Row],[Ref]]="RGA",IFERROR(VLOOKUP(Table10[[#This Row],[Ref]]&amp;"_T2",Summary!$A$4:$K$228,6,0),""),IFERROR(VLOOKUP(Table10[[#This Row],[Ref]],Summary!$A$4:$K$228,6,0),""))</f>
        <v>28.12157691168829</v>
      </c>
      <c r="H20" s="233">
        <f>IFERROR(IF(Table10[[#This Row],[Column5]]-Table10[[#This Row],[Column3]]=0,"",Table10[[#This Row],[Column5]]-Table10[[#This Row],[Column3]]),"")</f>
        <v>23.515403221438305</v>
      </c>
      <c r="I20" s="216" t="s">
        <v>1175</v>
      </c>
      <c r="J20" s="216" t="s">
        <v>1175</v>
      </c>
      <c r="K20" s="40" t="s">
        <v>733</v>
      </c>
      <c r="L20" s="1"/>
    </row>
    <row r="21" spans="1:12" x14ac:dyDescent="0.25">
      <c r="A21" s="224" t="s">
        <v>1245</v>
      </c>
      <c r="B21" s="224" t="s">
        <v>225</v>
      </c>
      <c r="C21" s="247" t="s">
        <v>1165</v>
      </c>
      <c r="D21" s="216" t="s">
        <v>1248</v>
      </c>
      <c r="E21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5.0540000000000003</v>
      </c>
      <c r="F21" s="216" t="s">
        <v>1247</v>
      </c>
      <c r="G21" s="233">
        <f>IF(Table10[[#This Row],[Ref]]="RGA",IFERROR(VLOOKUP(Table10[[#This Row],[Ref]]&amp;"_T2",Summary!$A$4:$K$228,6,0),""),IFERROR(VLOOKUP(Table10[[#This Row],[Ref]],Summary!$A$4:$K$228,6,0),""))</f>
        <v>10.459854826908449</v>
      </c>
      <c r="H21" s="233">
        <f>IFERROR(IF(Table10[[#This Row],[Column5]]-Table10[[#This Row],[Column3]]=0,"",Table10[[#This Row],[Column5]]-Table10[[#This Row],[Column3]]),"")</f>
        <v>5.405854826908449</v>
      </c>
      <c r="I21" s="216">
        <v>2021</v>
      </c>
      <c r="J21" s="216">
        <v>2021</v>
      </c>
      <c r="K21" s="40" t="s">
        <v>76</v>
      </c>
      <c r="L21" s="1"/>
    </row>
    <row r="22" spans="1:12" x14ac:dyDescent="0.25">
      <c r="A22" s="224" t="s">
        <v>1245</v>
      </c>
      <c r="B22" s="224" t="s">
        <v>82</v>
      </c>
      <c r="C22" s="247" t="s">
        <v>1364</v>
      </c>
      <c r="D22" s="216" t="s">
        <v>1248</v>
      </c>
      <c r="E22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9.9555795650862162</v>
      </c>
      <c r="F22" s="216" t="s">
        <v>1278</v>
      </c>
      <c r="G22" s="233">
        <f>IF(Table10[[#This Row],[Ref]]="RGA",IFERROR(VLOOKUP(Table10[[#This Row],[Ref]]&amp;"_T2",Summary!$A$4:$K$228,6,0),""),IFERROR(VLOOKUP(Table10[[#This Row],[Ref]],Summary!$A$4:$K$228,6,0),""))</f>
        <v>10.781458623032757</v>
      </c>
      <c r="H22" s="233">
        <f>IFERROR(IF(Table10[[#This Row],[Column5]]-Table10[[#This Row],[Column3]]=0,"",Table10[[#This Row],[Column5]]-Table10[[#This Row],[Column3]]),"")</f>
        <v>0.82587905794654048</v>
      </c>
      <c r="I22" s="216">
        <v>2025</v>
      </c>
      <c r="J22" s="216"/>
      <c r="K22" s="40" t="s">
        <v>168</v>
      </c>
      <c r="L22" s="1"/>
    </row>
    <row r="23" spans="1:12" x14ac:dyDescent="0.25">
      <c r="A23" s="224" t="s">
        <v>1245</v>
      </c>
      <c r="B23" s="224" t="s">
        <v>82</v>
      </c>
      <c r="C23" s="247" t="s">
        <v>1365</v>
      </c>
      <c r="D23" s="216" t="s">
        <v>1248</v>
      </c>
      <c r="E23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9.9555795650862162</v>
      </c>
      <c r="F23" s="216" t="s">
        <v>1278</v>
      </c>
      <c r="G23" s="233">
        <f>IF(Table10[[#This Row],[Ref]]="RGA",IFERROR(VLOOKUP(Table10[[#This Row],[Ref]]&amp;"_T2",Summary!$A$4:$K$228,6,0),""),IFERROR(VLOOKUP(Table10[[#This Row],[Ref]],Summary!$A$4:$K$228,6,0),""))</f>
        <v>10.781458623032757</v>
      </c>
      <c r="H23" s="233">
        <f>IFERROR(IF(Table10[[#This Row],[Column5]]-Table10[[#This Row],[Column3]]=0,"",Table10[[#This Row],[Column5]]-Table10[[#This Row],[Column3]]),"")</f>
        <v>0.82587905794654048</v>
      </c>
      <c r="I23" s="216">
        <v>2025</v>
      </c>
      <c r="J23" s="216"/>
      <c r="K23" s="40" t="s">
        <v>168</v>
      </c>
      <c r="L23" s="1"/>
    </row>
    <row r="24" spans="1:12" x14ac:dyDescent="0.25">
      <c r="A24" s="224" t="s">
        <v>1245</v>
      </c>
      <c r="B24" s="224" t="s">
        <v>82</v>
      </c>
      <c r="C24" s="247" t="s">
        <v>169</v>
      </c>
      <c r="D24" s="216" t="s">
        <v>1271</v>
      </c>
      <c r="E24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5.47</v>
      </c>
      <c r="F24" s="216" t="s">
        <v>1247</v>
      </c>
      <c r="G24" s="233">
        <f>IF(Table10[[#This Row],[Ref]]="RGA",IFERROR(VLOOKUP(Table10[[#This Row],[Ref]]&amp;"_T2",Summary!$A$4:$K$228,6,0),""),IFERROR(VLOOKUP(Table10[[#This Row],[Ref]],Summary!$A$4:$K$228,6,0),""))</f>
        <v>9.7996319910638814</v>
      </c>
      <c r="H24" s="233">
        <f>IFERROR(IF(Table10[[#This Row],[Column5]]-Table10[[#This Row],[Column3]]=0,"",Table10[[#This Row],[Column5]]-Table10[[#This Row],[Column3]]),"")</f>
        <v>4.3296319910638816</v>
      </c>
      <c r="I24" s="216" t="s">
        <v>1175</v>
      </c>
      <c r="J24" s="216" t="s">
        <v>1175</v>
      </c>
      <c r="K24" s="247" t="s">
        <v>169</v>
      </c>
      <c r="L24" s="1"/>
    </row>
    <row r="25" spans="1:12" x14ac:dyDescent="0.25">
      <c r="A25" s="224" t="s">
        <v>1245</v>
      </c>
      <c r="B25" s="224" t="s">
        <v>82</v>
      </c>
      <c r="C25" s="247" t="s">
        <v>1317</v>
      </c>
      <c r="D25" s="216" t="s">
        <v>1248</v>
      </c>
      <c r="E25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3.43</v>
      </c>
      <c r="F25" s="216" t="s">
        <v>1248</v>
      </c>
      <c r="G25" s="233">
        <f>IF(Table10[[#This Row],[Ref]]="RGA",IFERROR(VLOOKUP(Table10[[#This Row],[Ref]]&amp;"_T2",Summary!$A$4:$K$228,6,0),""),IFERROR(VLOOKUP(Table10[[#This Row],[Ref]],Summary!$A$4:$K$228,6,0),""))</f>
        <v>15.361411388009726</v>
      </c>
      <c r="H25" s="233">
        <f>IFERROR(IF(Table10[[#This Row],[Column5]]-Table10[[#This Row],[Column3]]=0,"",Table10[[#This Row],[Column5]]-Table10[[#This Row],[Column3]]),"")</f>
        <v>11.931411388009726</v>
      </c>
      <c r="I25" s="216" t="s">
        <v>1175</v>
      </c>
      <c r="J25" s="216" t="s">
        <v>1175</v>
      </c>
      <c r="K25" s="247" t="s">
        <v>1317</v>
      </c>
      <c r="L25" s="1"/>
    </row>
    <row r="26" spans="1:12" x14ac:dyDescent="0.25">
      <c r="A26" s="224" t="s">
        <v>1245</v>
      </c>
      <c r="B26" s="224" t="s">
        <v>82</v>
      </c>
      <c r="C26" s="247" t="s">
        <v>1324</v>
      </c>
      <c r="D26" s="216" t="s">
        <v>1248</v>
      </c>
      <c r="E26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3.34</v>
      </c>
      <c r="F26" s="216" t="s">
        <v>1248</v>
      </c>
      <c r="G26" s="233">
        <f>IF(Table10[[#This Row],[Ref]]="RGA",IFERROR(VLOOKUP(Table10[[#This Row],[Ref]]&amp;"_T2",Summary!$A$4:$K$228,6,0),""),IFERROR(VLOOKUP(Table10[[#This Row],[Ref]],Summary!$A$4:$K$228,6,0),""))</f>
        <v>15.361411388009726</v>
      </c>
      <c r="H26" s="233">
        <f>IFERROR(IF(Table10[[#This Row],[Column5]]-Table10[[#This Row],[Column3]]=0,"",Table10[[#This Row],[Column5]]-Table10[[#This Row],[Column3]]),"")</f>
        <v>12.021411388009726</v>
      </c>
      <c r="I26" s="216" t="s">
        <v>1175</v>
      </c>
      <c r="J26" s="216" t="s">
        <v>1175</v>
      </c>
      <c r="K26" s="247" t="s">
        <v>1324</v>
      </c>
      <c r="L26" s="1"/>
    </row>
    <row r="27" spans="1:12" x14ac:dyDescent="0.25">
      <c r="A27" s="224" t="s">
        <v>1245</v>
      </c>
      <c r="B27" s="224" t="s">
        <v>82</v>
      </c>
      <c r="C27" s="247" t="s">
        <v>106</v>
      </c>
      <c r="D27" s="216" t="s">
        <v>1248</v>
      </c>
      <c r="E27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5.9377298833160141</v>
      </c>
      <c r="F27" s="216" t="s">
        <v>1248</v>
      </c>
      <c r="G27" s="233">
        <f>IF(Table10[[#This Row],[Ref]]="RGA",IFERROR(VLOOKUP(Table10[[#This Row],[Ref]]&amp;"_T2",Summary!$A$4:$K$228,6,0),""),IFERROR(VLOOKUP(Table10[[#This Row],[Ref]],Summary!$A$4:$K$228,6,0),""))</f>
        <v>7.8604380082300729</v>
      </c>
      <c r="H27" s="233">
        <f>IFERROR(IF(Table10[[#This Row],[Column5]]-Table10[[#This Row],[Column3]]=0,"",Table10[[#This Row],[Column5]]-Table10[[#This Row],[Column3]]),"")</f>
        <v>1.9227081249140587</v>
      </c>
      <c r="I27" s="216"/>
      <c r="J27" s="216"/>
      <c r="K27" s="40" t="s">
        <v>106</v>
      </c>
      <c r="L27" s="1"/>
    </row>
    <row r="28" spans="1:12" x14ac:dyDescent="0.25">
      <c r="A28" s="224" t="s">
        <v>1245</v>
      </c>
      <c r="B28" s="224" t="s">
        <v>82</v>
      </c>
      <c r="C28" s="247" t="s">
        <v>106</v>
      </c>
      <c r="D28" s="216" t="s">
        <v>1248</v>
      </c>
      <c r="E28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5.9377298833160141</v>
      </c>
      <c r="F28" s="216" t="s">
        <v>1248</v>
      </c>
      <c r="G28" s="233">
        <f>IF(Table10[[#This Row],[Ref]]="RGA",IFERROR(VLOOKUP(Table10[[#This Row],[Ref]]&amp;"_T2",Summary!$A$4:$K$228,6,0),""),IFERROR(VLOOKUP(Table10[[#This Row],[Ref]],Summary!$A$4:$K$228,6,0),""))</f>
        <v>7.8604380082300729</v>
      </c>
      <c r="H28" s="233">
        <f>IFERROR(IF(Table10[[#This Row],[Column5]]-Table10[[#This Row],[Column3]]=0,"",Table10[[#This Row],[Column5]]-Table10[[#This Row],[Column3]]),"")</f>
        <v>1.9227081249140587</v>
      </c>
      <c r="I28" s="216"/>
      <c r="J28" s="216"/>
      <c r="K28" s="40" t="s">
        <v>106</v>
      </c>
      <c r="L28" s="1"/>
    </row>
    <row r="29" spans="1:12" x14ac:dyDescent="0.25">
      <c r="A29" s="224" t="s">
        <v>1245</v>
      </c>
      <c r="B29" s="224" t="s">
        <v>82</v>
      </c>
      <c r="C29" s="247" t="s">
        <v>106</v>
      </c>
      <c r="D29" s="216" t="s">
        <v>1248</v>
      </c>
      <c r="E29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5.9377298833160141</v>
      </c>
      <c r="F29" s="216" t="s">
        <v>1248</v>
      </c>
      <c r="G29" s="233">
        <f>IF(Table10[[#This Row],[Ref]]="RGA",IFERROR(VLOOKUP(Table10[[#This Row],[Ref]]&amp;"_T2",Summary!$A$4:$K$228,6,0),""),IFERROR(VLOOKUP(Table10[[#This Row],[Ref]],Summary!$A$4:$K$228,6,0),""))</f>
        <v>7.8604380082300729</v>
      </c>
      <c r="H29" s="233">
        <f>IFERROR(IF(Table10[[#This Row],[Column5]]-Table10[[#This Row],[Column3]]=0,"",Table10[[#This Row],[Column5]]-Table10[[#This Row],[Column3]]),"")</f>
        <v>1.9227081249140587</v>
      </c>
      <c r="I29" s="216"/>
      <c r="J29" s="216"/>
      <c r="K29" s="40" t="s">
        <v>106</v>
      </c>
      <c r="L29" s="1"/>
    </row>
    <row r="30" spans="1:12" x14ac:dyDescent="0.25">
      <c r="A30" s="224" t="s">
        <v>1245</v>
      </c>
      <c r="B30" s="224" t="s">
        <v>82</v>
      </c>
      <c r="C30" s="247" t="s">
        <v>106</v>
      </c>
      <c r="D30" s="216" t="s">
        <v>1248</v>
      </c>
      <c r="E30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5.9377298833160141</v>
      </c>
      <c r="F30" s="216" t="s">
        <v>1248</v>
      </c>
      <c r="G30" s="233">
        <f>IF(Table10[[#This Row],[Ref]]="RGA",IFERROR(VLOOKUP(Table10[[#This Row],[Ref]]&amp;"_T2",Summary!$A$4:$K$228,6,0),""),IFERROR(VLOOKUP(Table10[[#This Row],[Ref]],Summary!$A$4:$K$228,6,0),""))</f>
        <v>7.8604380082300729</v>
      </c>
      <c r="H30" s="233">
        <f>IFERROR(IF(Table10[[#This Row],[Column5]]-Table10[[#This Row],[Column3]]=0,"",Table10[[#This Row],[Column5]]-Table10[[#This Row],[Column3]]),"")</f>
        <v>1.9227081249140587</v>
      </c>
      <c r="I30" s="216"/>
      <c r="J30" s="216"/>
      <c r="K30" s="40" t="s">
        <v>106</v>
      </c>
      <c r="L30" s="1"/>
    </row>
    <row r="31" spans="1:12" x14ac:dyDescent="0.25">
      <c r="A31" s="224" t="s">
        <v>1245</v>
      </c>
      <c r="B31" s="224" t="s">
        <v>82</v>
      </c>
      <c r="C31" s="247" t="s">
        <v>994</v>
      </c>
      <c r="D31" s="216" t="s">
        <v>1248</v>
      </c>
      <c r="E31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4.8110946279742333</v>
      </c>
      <c r="F31" s="216" t="s">
        <v>1248</v>
      </c>
      <c r="G31" s="233">
        <f>IF(Table10[[#This Row],[Ref]]="RGA",IFERROR(VLOOKUP(Table10[[#This Row],[Ref]]&amp;"_T2",Summary!$A$4:$K$228,6,0),""),IFERROR(VLOOKUP(Table10[[#This Row],[Ref]],Summary!$A$4:$K$228,6,0),""))</f>
        <v>5.6674503756493531</v>
      </c>
      <c r="H31" s="233">
        <f>IFERROR(IF(Table10[[#This Row],[Column5]]-Table10[[#This Row],[Column3]]=0,"",Table10[[#This Row],[Column5]]-Table10[[#This Row],[Column3]]),"")</f>
        <v>0.85635574767511979</v>
      </c>
      <c r="I31" s="216"/>
      <c r="J31" s="216"/>
      <c r="K31" s="40" t="s">
        <v>994</v>
      </c>
      <c r="L31" s="1"/>
    </row>
    <row r="32" spans="1:12" x14ac:dyDescent="0.25">
      <c r="A32" s="224" t="s">
        <v>1245</v>
      </c>
      <c r="B32" s="224" t="s">
        <v>82</v>
      </c>
      <c r="C32" s="247" t="s">
        <v>994</v>
      </c>
      <c r="D32" s="216" t="s">
        <v>1248</v>
      </c>
      <c r="E32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4.8110946279742333</v>
      </c>
      <c r="F32" s="216" t="s">
        <v>1248</v>
      </c>
      <c r="G32" s="233">
        <f>IF(Table10[[#This Row],[Ref]]="RGA",IFERROR(VLOOKUP(Table10[[#This Row],[Ref]]&amp;"_T2",Summary!$A$4:$K$228,6,0),""),IFERROR(VLOOKUP(Table10[[#This Row],[Ref]],Summary!$A$4:$K$228,6,0),""))</f>
        <v>5.6674503756493531</v>
      </c>
      <c r="H32" s="233">
        <f>IFERROR(IF(Table10[[#This Row],[Column5]]-Table10[[#This Row],[Column3]]=0,"",Table10[[#This Row],[Column5]]-Table10[[#This Row],[Column3]]),"")</f>
        <v>0.85635574767511979</v>
      </c>
      <c r="I32" s="216"/>
      <c r="J32" s="216"/>
      <c r="K32" s="40" t="s">
        <v>994</v>
      </c>
      <c r="L32" s="1"/>
    </row>
    <row r="33" spans="1:12" x14ac:dyDescent="0.25">
      <c r="A33" s="224" t="s">
        <v>1245</v>
      </c>
      <c r="B33" s="224" t="s">
        <v>82</v>
      </c>
      <c r="C33" s="247" t="s">
        <v>1328</v>
      </c>
      <c r="D33" s="216" t="s">
        <v>1248</v>
      </c>
      <c r="E33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4.87</v>
      </c>
      <c r="F33" s="216" t="s">
        <v>1248</v>
      </c>
      <c r="G33" s="233">
        <f>IF(Table10[[#This Row],[Ref]]="RGA",IFERROR(VLOOKUP(Table10[[#This Row],[Ref]]&amp;"_T2",Summary!$A$4:$K$228,6,0),""),IFERROR(VLOOKUP(Table10[[#This Row],[Ref]],Summary!$A$4:$K$228,6,0),""))</f>
        <v>5.6674503756493531</v>
      </c>
      <c r="H33" s="233">
        <f>IFERROR(IF(Table10[[#This Row],[Column5]]-Table10[[#This Row],[Column3]]=0,"",Table10[[#This Row],[Column5]]-Table10[[#This Row],[Column3]]),"")</f>
        <v>0.79745037564935295</v>
      </c>
      <c r="I33" s="216"/>
      <c r="J33" s="216"/>
      <c r="K33" s="40" t="s">
        <v>1328</v>
      </c>
      <c r="L33" s="1"/>
    </row>
    <row r="34" spans="1:12" x14ac:dyDescent="0.25">
      <c r="A34" s="224" t="s">
        <v>1245</v>
      </c>
      <c r="B34" s="224" t="s">
        <v>82</v>
      </c>
      <c r="C34" s="247" t="s">
        <v>1329</v>
      </c>
      <c r="D34" s="216" t="s">
        <v>1248</v>
      </c>
      <c r="E34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5.01</v>
      </c>
      <c r="F34" s="216" t="s">
        <v>1248</v>
      </c>
      <c r="G34" s="233">
        <f>IF(Table10[[#This Row],[Ref]]="RGA",IFERROR(VLOOKUP(Table10[[#This Row],[Ref]]&amp;"_T2",Summary!$A$4:$K$228,6,0),""),IFERROR(VLOOKUP(Table10[[#This Row],[Ref]],Summary!$A$4:$K$228,6,0),""))</f>
        <v>5.6674503756493531</v>
      </c>
      <c r="H34" s="233">
        <f>IFERROR(IF(Table10[[#This Row],[Column5]]-Table10[[#This Row],[Column3]]=0,"",Table10[[#This Row],[Column5]]-Table10[[#This Row],[Column3]]),"")</f>
        <v>0.65745037564935327</v>
      </c>
      <c r="I34" s="216"/>
      <c r="J34" s="216"/>
      <c r="K34" s="40" t="s">
        <v>1329</v>
      </c>
      <c r="L34" s="1"/>
    </row>
    <row r="35" spans="1:12" x14ac:dyDescent="0.25">
      <c r="A35" s="224" t="s">
        <v>1245</v>
      </c>
      <c r="B35" s="224" t="s">
        <v>82</v>
      </c>
      <c r="C35" s="247" t="s">
        <v>1332</v>
      </c>
      <c r="D35" s="216" t="s">
        <v>1248</v>
      </c>
      <c r="E35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2.6</v>
      </c>
      <c r="F35" s="216" t="s">
        <v>1248</v>
      </c>
      <c r="G35" s="233">
        <f>IF(Table10[[#This Row],[Ref]]="RGA",IFERROR(VLOOKUP(Table10[[#This Row],[Ref]]&amp;"_T2",Summary!$A$4:$K$228,6,0),""),IFERROR(VLOOKUP(Table10[[#This Row],[Ref]],Summary!$A$4:$K$228,6,0),""))</f>
        <v>5.5589412896694794</v>
      </c>
      <c r="H35" s="233">
        <f>IFERROR(IF(Table10[[#This Row],[Column5]]-Table10[[#This Row],[Column3]]=0,"",Table10[[#This Row],[Column5]]-Table10[[#This Row],[Column3]]),"")</f>
        <v>2.9589412896694793</v>
      </c>
      <c r="I35" s="216" t="s">
        <v>1175</v>
      </c>
      <c r="J35" s="216" t="s">
        <v>1175</v>
      </c>
      <c r="K35" s="40" t="s">
        <v>1332</v>
      </c>
      <c r="L35" s="1"/>
    </row>
    <row r="36" spans="1:12" x14ac:dyDescent="0.25">
      <c r="A36" s="224" t="s">
        <v>1245</v>
      </c>
      <c r="B36" s="224" t="s">
        <v>82</v>
      </c>
      <c r="C36" s="247" t="s">
        <v>1333</v>
      </c>
      <c r="D36" s="216" t="s">
        <v>1248</v>
      </c>
      <c r="E36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2.31</v>
      </c>
      <c r="F36" s="216" t="s">
        <v>1248</v>
      </c>
      <c r="G36" s="233">
        <f>IF(Table10[[#This Row],[Ref]]="RGA",IFERROR(VLOOKUP(Table10[[#This Row],[Ref]]&amp;"_T2",Summary!$A$4:$K$228,6,0),""),IFERROR(VLOOKUP(Table10[[#This Row],[Ref]],Summary!$A$4:$K$228,6,0),""))</f>
        <v>5.5589412896694794</v>
      </c>
      <c r="H36" s="233">
        <f>IFERROR(IF(Table10[[#This Row],[Column5]]-Table10[[#This Row],[Column3]]=0,"",Table10[[#This Row],[Column5]]-Table10[[#This Row],[Column3]]),"")</f>
        <v>3.2489412896694794</v>
      </c>
      <c r="I36" s="216" t="s">
        <v>1175</v>
      </c>
      <c r="J36" s="216" t="s">
        <v>1175</v>
      </c>
      <c r="K36" s="40" t="s">
        <v>1333</v>
      </c>
      <c r="L36" s="1"/>
    </row>
    <row r="37" spans="1:12" x14ac:dyDescent="0.25">
      <c r="A37" s="224" t="s">
        <v>1245</v>
      </c>
      <c r="B37" s="224" t="s">
        <v>82</v>
      </c>
      <c r="C37" s="247" t="s">
        <v>1305</v>
      </c>
      <c r="D37" s="216" t="s">
        <v>1249</v>
      </c>
      <c r="E37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2.2799999999999998</v>
      </c>
      <c r="F37" s="216" t="s">
        <v>1278</v>
      </c>
      <c r="G37" s="233">
        <f>IF(Table10[[#This Row],[Ref]]="RGA",IFERROR(VLOOKUP(Table10[[#This Row],[Ref]]&amp;"_T2",Summary!$A$4:$K$228,6,0),""),IFERROR(VLOOKUP(Table10[[#This Row],[Ref]],Summary!$A$4:$K$228,6,0),""))</f>
        <v>5.2639750982809597</v>
      </c>
      <c r="H37" s="233">
        <f>IFERROR(IF(Table10[[#This Row],[Column5]]-Table10[[#This Row],[Column3]]=0,"",Table10[[#This Row],[Column5]]-Table10[[#This Row],[Column3]]),"")</f>
        <v>2.9839750982809599</v>
      </c>
      <c r="I37" s="216" t="s">
        <v>1175</v>
      </c>
      <c r="J37" s="216" t="s">
        <v>1175</v>
      </c>
      <c r="K37" s="40" t="s">
        <v>1305</v>
      </c>
      <c r="L37" s="1"/>
    </row>
    <row r="38" spans="1:12" x14ac:dyDescent="0.25">
      <c r="A38" s="224" t="s">
        <v>1245</v>
      </c>
      <c r="B38" s="224" t="s">
        <v>82</v>
      </c>
      <c r="C38" s="247" t="s">
        <v>1306</v>
      </c>
      <c r="D38" s="216" t="s">
        <v>1249</v>
      </c>
      <c r="E38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2.75</v>
      </c>
      <c r="F38" s="216" t="s">
        <v>1278</v>
      </c>
      <c r="G38" s="233">
        <f>IF(Table10[[#This Row],[Ref]]="RGA",IFERROR(VLOOKUP(Table10[[#This Row],[Ref]]&amp;"_T2",Summary!$A$4:$K$228,6,0),""),IFERROR(VLOOKUP(Table10[[#This Row],[Ref]],Summary!$A$4:$K$228,6,0),""))</f>
        <v>5.2639750982809597</v>
      </c>
      <c r="H38" s="233">
        <f>IFERROR(IF(Table10[[#This Row],[Column5]]-Table10[[#This Row],[Column3]]=0,"",Table10[[#This Row],[Column5]]-Table10[[#This Row],[Column3]]),"")</f>
        <v>2.5139750982809597</v>
      </c>
      <c r="I38" s="216">
        <v>2019</v>
      </c>
      <c r="J38" s="216"/>
      <c r="K38" s="40" t="s">
        <v>1306</v>
      </c>
      <c r="L38" s="1"/>
    </row>
    <row r="39" spans="1:12" x14ac:dyDescent="0.25">
      <c r="A39" s="224" t="s">
        <v>1245</v>
      </c>
      <c r="B39" s="224" t="s">
        <v>82</v>
      </c>
      <c r="C39" s="247" t="s">
        <v>1307</v>
      </c>
      <c r="D39" s="216" t="s">
        <v>1249</v>
      </c>
      <c r="E39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5.39</v>
      </c>
      <c r="F39" s="216" t="s">
        <v>1278</v>
      </c>
      <c r="G39" s="233">
        <f>IF(Table10[[#This Row],[Ref]]="RGA",IFERROR(VLOOKUP(Table10[[#This Row],[Ref]]&amp;"_T2",Summary!$A$4:$K$228,6,0),""),IFERROR(VLOOKUP(Table10[[#This Row],[Ref]],Summary!$A$4:$K$228,6,0),""))</f>
        <v>4.4964673033647689</v>
      </c>
      <c r="H39" s="233">
        <f>IFERROR(IF(Table10[[#This Row],[Column5]]-Table10[[#This Row],[Column3]]=0,"",Table10[[#This Row],[Column5]]-Table10[[#This Row],[Column3]]),"")</f>
        <v>-0.89353269663523083</v>
      </c>
      <c r="I39" s="216">
        <v>2019</v>
      </c>
      <c r="J39" s="216"/>
      <c r="K39" s="40" t="s">
        <v>1307</v>
      </c>
      <c r="L39" s="1"/>
    </row>
    <row r="40" spans="1:12" x14ac:dyDescent="0.25">
      <c r="A40" s="224" t="s">
        <v>1245</v>
      </c>
      <c r="B40" s="224" t="s">
        <v>82</v>
      </c>
      <c r="C40" s="247" t="s">
        <v>1312</v>
      </c>
      <c r="D40" s="216" t="s">
        <v>1249</v>
      </c>
      <c r="E40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1.19</v>
      </c>
      <c r="F40" s="216" t="s">
        <v>1278</v>
      </c>
      <c r="G40" s="233">
        <f>IF(Table10[[#This Row],[Ref]]="RGA",IFERROR(VLOOKUP(Table10[[#This Row],[Ref]]&amp;"_T2",Summary!$A$4:$K$228,6,0),""),IFERROR(VLOOKUP(Table10[[#This Row],[Ref]],Summary!$A$4:$K$228,6,0),""))</f>
        <v>3.761249480402979</v>
      </c>
      <c r="H40" s="233">
        <f>IFERROR(IF(Table10[[#This Row],[Column5]]-Table10[[#This Row],[Column3]]=0,"",Table10[[#This Row],[Column5]]-Table10[[#This Row],[Column3]]),"")</f>
        <v>2.5712494804029791</v>
      </c>
      <c r="I40" s="216" t="s">
        <v>1175</v>
      </c>
      <c r="J40" s="216" t="s">
        <v>1175</v>
      </c>
      <c r="K40" s="40" t="s">
        <v>1312</v>
      </c>
      <c r="L40" s="1"/>
    </row>
    <row r="41" spans="1:12" x14ac:dyDescent="0.25">
      <c r="A41" s="224" t="s">
        <v>1245</v>
      </c>
      <c r="B41" s="224" t="s">
        <v>225</v>
      </c>
      <c r="C41" s="247" t="s">
        <v>1167</v>
      </c>
      <c r="D41" s="216" t="s">
        <v>1247</v>
      </c>
      <c r="E41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1.5708</v>
      </c>
      <c r="F41" s="216" t="s">
        <v>1247</v>
      </c>
      <c r="G41" s="233">
        <f>IF(Table10[[#This Row],[Ref]]="RGA",IFERROR(VLOOKUP(Table10[[#This Row],[Ref]]&amp;"_T2",Summary!$A$4:$K$228,6,0),""),IFERROR(VLOOKUP(Table10[[#This Row],[Ref]],Summary!$A$4:$K$228,6,0),""))</f>
        <v>8.5736514974659421</v>
      </c>
      <c r="H41" s="233">
        <f>IFERROR(IF(Table10[[#This Row],[Column5]]-Table10[[#This Row],[Column3]]=0,"",Table10[[#This Row],[Column5]]-Table10[[#This Row],[Column3]]),"")</f>
        <v>7.0028514974659419</v>
      </c>
      <c r="I41" s="216" t="s">
        <v>1175</v>
      </c>
      <c r="J41" s="216" t="s">
        <v>1175</v>
      </c>
      <c r="K41" s="40" t="s">
        <v>84</v>
      </c>
      <c r="L41" s="1"/>
    </row>
    <row r="42" spans="1:12" x14ac:dyDescent="0.25">
      <c r="A42" s="224" t="s">
        <v>1245</v>
      </c>
      <c r="B42" s="224" t="s">
        <v>225</v>
      </c>
      <c r="C42" s="247" t="s">
        <v>1168</v>
      </c>
      <c r="D42" s="216" t="s">
        <v>1247</v>
      </c>
      <c r="E42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0.27634444444444445</v>
      </c>
      <c r="F42" s="216" t="s">
        <v>1247</v>
      </c>
      <c r="G42" s="233" t="str">
        <f>IF(Table10[[#This Row],[Ref]]="RGA",IFERROR(VLOOKUP(Table10[[#This Row],[Ref]]&amp;"_T2",Summary!$A$4:$K$228,6,0),""),IFERROR(VLOOKUP(Table10[[#This Row],[Ref]],Summary!$A$4:$K$228,6,0),""))</f>
        <v/>
      </c>
      <c r="H42" s="233" t="str">
        <f>IFERROR(IF(Table10[[#This Row],[Column5]]-Table10[[#This Row],[Column3]]=0,"",Table10[[#This Row],[Column5]]-Table10[[#This Row],[Column3]]),"")</f>
        <v/>
      </c>
      <c r="I42" s="216" t="s">
        <v>1175</v>
      </c>
      <c r="J42" s="216" t="s">
        <v>1175</v>
      </c>
      <c r="K42" s="426">
        <f>E41*(0.19/1.08)</f>
        <v>0.27634444444444445</v>
      </c>
      <c r="L42" s="1"/>
    </row>
    <row r="43" spans="1:12" x14ac:dyDescent="0.25">
      <c r="A43" s="224" t="s">
        <v>1245</v>
      </c>
      <c r="B43" s="224" t="s">
        <v>225</v>
      </c>
      <c r="C43" s="247" t="s">
        <v>1169</v>
      </c>
      <c r="D43" s="216" t="s">
        <v>1247</v>
      </c>
      <c r="E43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5.0540000000000003</v>
      </c>
      <c r="F43" s="216" t="s">
        <v>1247</v>
      </c>
      <c r="G43" s="233">
        <f>IF(Table10[[#This Row],[Ref]]="RGA",IFERROR(VLOOKUP(Table10[[#This Row],[Ref]]&amp;"_T2",Summary!$A$4:$K$228,6,0),""),IFERROR(VLOOKUP(Table10[[#This Row],[Ref]],Summary!$A$4:$K$228,6,0),""))</f>
        <v>10.459854826908449</v>
      </c>
      <c r="H43" s="233">
        <f>IFERROR(IF(Table10[[#This Row],[Column5]]-Table10[[#This Row],[Column3]]=0,"",Table10[[#This Row],[Column5]]-Table10[[#This Row],[Column3]]),"")</f>
        <v>5.405854826908449</v>
      </c>
      <c r="I43" s="216" t="s">
        <v>1175</v>
      </c>
      <c r="J43" s="216" t="s">
        <v>1175</v>
      </c>
      <c r="K43" s="40" t="s">
        <v>95</v>
      </c>
      <c r="L43" s="1"/>
    </row>
    <row r="44" spans="1:12" x14ac:dyDescent="0.25">
      <c r="A44" s="224" t="s">
        <v>1245</v>
      </c>
      <c r="B44" s="224" t="s">
        <v>1138</v>
      </c>
      <c r="C44" s="247" t="s">
        <v>1174</v>
      </c>
      <c r="D44" s="216" t="s">
        <v>1248</v>
      </c>
      <c r="E44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8.6998556475086399</v>
      </c>
      <c r="F44" s="216" t="s">
        <v>1248</v>
      </c>
      <c r="G44" s="233">
        <f>IF(Table10[[#This Row],[Ref]]="RGA",IFERROR(VLOOKUP(Table10[[#This Row],[Ref]]&amp;"_T2",Summary!$A$4:$K$228,6,0),""),IFERROR(VLOOKUP(Table10[[#This Row],[Ref]],Summary!$A$4:$K$228,6,0),""))</f>
        <v>23.693203210661636</v>
      </c>
      <c r="H44" s="233">
        <f>IFERROR(IF(Table10[[#This Row],[Column5]]-Table10[[#This Row],[Column3]]=0,"",Table10[[#This Row],[Column5]]-Table10[[#This Row],[Column3]]),"")</f>
        <v>14.993347563152996</v>
      </c>
      <c r="I44" s="216" t="s">
        <v>1175</v>
      </c>
      <c r="J44" s="216" t="s">
        <v>1175</v>
      </c>
      <c r="K44" s="40" t="s">
        <v>233</v>
      </c>
      <c r="L44" s="1"/>
    </row>
    <row r="45" spans="1:12" x14ac:dyDescent="0.25">
      <c r="A45" s="224" t="s">
        <v>1245</v>
      </c>
      <c r="B45" s="224" t="s">
        <v>1138</v>
      </c>
      <c r="C45" s="247" t="s">
        <v>1176</v>
      </c>
      <c r="D45" s="216" t="s">
        <v>1248</v>
      </c>
      <c r="E45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10.658763541649661</v>
      </c>
      <c r="F45" s="216" t="s">
        <v>1248</v>
      </c>
      <c r="G45" s="233">
        <f>IF(Table10[[#This Row],[Ref]]="RGA",IFERROR(VLOOKUP(Table10[[#This Row],[Ref]]&amp;"_T2",Summary!$A$4:$K$228,6,0),""),IFERROR(VLOOKUP(Table10[[#This Row],[Ref]],Summary!$A$4:$K$228,6,0),""))</f>
        <v>28.864014078356504</v>
      </c>
      <c r="H45" s="233">
        <f>IFERROR(IF(Table10[[#This Row],[Column5]]-Table10[[#This Row],[Column3]]=0,"",Table10[[#This Row],[Column5]]-Table10[[#This Row],[Column3]]),"")</f>
        <v>18.205250536706842</v>
      </c>
      <c r="I45" s="216" t="s">
        <v>1175</v>
      </c>
      <c r="J45" s="216" t="s">
        <v>1175</v>
      </c>
      <c r="K45" s="40" t="s">
        <v>228</v>
      </c>
      <c r="L45" s="1"/>
    </row>
    <row r="46" spans="1:12" x14ac:dyDescent="0.25">
      <c r="A46" s="224" t="s">
        <v>1245</v>
      </c>
      <c r="B46" s="224" t="s">
        <v>1138</v>
      </c>
      <c r="C46" s="247" t="s">
        <v>1177</v>
      </c>
      <c r="D46" s="216" t="s">
        <v>1248</v>
      </c>
      <c r="E46" s="233" t="str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/>
      </c>
      <c r="F46" s="216" t="s">
        <v>1248</v>
      </c>
      <c r="G46" s="233" t="str">
        <f>IF(Table10[[#This Row],[Ref]]="RGA",IFERROR(VLOOKUP(Table10[[#This Row],[Ref]]&amp;"_T2",Summary!$A$4:$K$228,6,0),""),IFERROR(VLOOKUP(Table10[[#This Row],[Ref]],Summary!$A$4:$K$228,6,0),""))</f>
        <v/>
      </c>
      <c r="H46" s="233" t="str">
        <f>IFERROR(IF(Table10[[#This Row],[Column5]]-Table10[[#This Row],[Column3]]=0,"",Table10[[#This Row],[Column5]]-Table10[[#This Row],[Column3]]),"")</f>
        <v/>
      </c>
      <c r="I46" s="216" t="s">
        <v>1175</v>
      </c>
      <c r="J46" s="216" t="s">
        <v>1175</v>
      </c>
      <c r="L46" s="1"/>
    </row>
    <row r="47" spans="1:12" x14ac:dyDescent="0.25">
      <c r="A47" s="224" t="s">
        <v>1245</v>
      </c>
      <c r="B47" s="224" t="s">
        <v>1138</v>
      </c>
      <c r="C47" s="247" t="s">
        <v>1178</v>
      </c>
      <c r="D47" s="216" t="s">
        <v>1248</v>
      </c>
      <c r="E47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8.8727004616975531</v>
      </c>
      <c r="F47" s="216" t="s">
        <v>1248</v>
      </c>
      <c r="G47" s="233">
        <f>IF(Table10[[#This Row],[Ref]]="RGA",IFERROR(VLOOKUP(Table10[[#This Row],[Ref]]&amp;"_T2",Summary!$A$4:$K$228,6,0),""),IFERROR(VLOOKUP(Table10[[#This Row],[Ref]],Summary!$A$4:$K$228,6,0),""))</f>
        <v>23.693203210661636</v>
      </c>
      <c r="H47" s="233">
        <f>IFERROR(IF(Table10[[#This Row],[Column5]]-Table10[[#This Row],[Column3]]=0,"",Table10[[#This Row],[Column5]]-Table10[[#This Row],[Column3]]),"")</f>
        <v>14.820502748964083</v>
      </c>
      <c r="I47" s="216">
        <v>2021</v>
      </c>
      <c r="J47" s="216" t="s">
        <v>1175</v>
      </c>
      <c r="K47" s="40" t="s">
        <v>230</v>
      </c>
      <c r="L47" s="1"/>
    </row>
    <row r="48" spans="1:12" x14ac:dyDescent="0.25">
      <c r="A48" s="224" t="s">
        <v>1245</v>
      </c>
      <c r="B48" s="224" t="s">
        <v>1138</v>
      </c>
      <c r="C48" s="247" t="s">
        <v>1179</v>
      </c>
      <c r="D48" s="216" t="s">
        <v>1248</v>
      </c>
      <c r="E48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11.811062302909084</v>
      </c>
      <c r="F48" s="216" t="s">
        <v>1248</v>
      </c>
      <c r="G48" s="233">
        <f>IF(Table10[[#This Row],[Ref]]="RGA",IFERROR(VLOOKUP(Table10[[#This Row],[Ref]]&amp;"_T2",Summary!$A$4:$K$228,6,0),""),IFERROR(VLOOKUP(Table10[[#This Row],[Ref]],Summary!$A$4:$K$228,6,0),""))</f>
        <v>23.693203210661636</v>
      </c>
      <c r="H48" s="233">
        <f>IFERROR(IF(Table10[[#This Row],[Column5]]-Table10[[#This Row],[Column3]]=0,"",Table10[[#This Row],[Column5]]-Table10[[#This Row],[Column3]]),"")</f>
        <v>11.882140907752552</v>
      </c>
      <c r="I48" s="216">
        <v>2021</v>
      </c>
      <c r="J48" s="216" t="s">
        <v>1175</v>
      </c>
      <c r="K48" s="40" t="s">
        <v>227</v>
      </c>
      <c r="L48" s="1"/>
    </row>
    <row r="49" spans="1:12" x14ac:dyDescent="0.25">
      <c r="A49" s="224" t="s">
        <v>1245</v>
      </c>
      <c r="B49" s="224" t="s">
        <v>1138</v>
      </c>
      <c r="C49" s="247" t="s">
        <v>1180</v>
      </c>
      <c r="D49" s="216" t="s">
        <v>1248</v>
      </c>
      <c r="E49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5.1315704834752953</v>
      </c>
      <c r="F49" s="216" t="s">
        <v>1247</v>
      </c>
      <c r="G49" s="233">
        <f>IF(Table10[[#This Row],[Ref]]="RGA",IFERROR(VLOOKUP(Table10[[#This Row],[Ref]]&amp;"_T2",Summary!$A$4:$K$228,6,0),""),IFERROR(VLOOKUP(Table10[[#This Row],[Ref]],Summary!$A$4:$K$228,6,0),""))</f>
        <v>10</v>
      </c>
      <c r="H49" s="233">
        <f>IFERROR(IF(Table10[[#This Row],[Column5]]-Table10[[#This Row],[Column3]]=0,"",Table10[[#This Row],[Column5]]-Table10[[#This Row],[Column3]]),"")</f>
        <v>4.8684295165247047</v>
      </c>
      <c r="I49" s="216">
        <v>2035</v>
      </c>
      <c r="J49" s="216">
        <v>2035</v>
      </c>
      <c r="K49" s="40" t="s">
        <v>86</v>
      </c>
      <c r="L49" s="1"/>
    </row>
    <row r="50" spans="1:12" x14ac:dyDescent="0.25">
      <c r="A50" s="224" t="s">
        <v>1245</v>
      </c>
      <c r="B50" s="224" t="s">
        <v>1138</v>
      </c>
      <c r="C50" s="247" t="s">
        <v>1181</v>
      </c>
      <c r="D50" s="216" t="s">
        <v>1248</v>
      </c>
      <c r="E50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5.6462639301711715</v>
      </c>
      <c r="F50" s="216" t="s">
        <v>1247</v>
      </c>
      <c r="G50" s="233">
        <f>IF(Table10[[#This Row],[Ref]]="RGA",IFERROR(VLOOKUP(Table10[[#This Row],[Ref]]&amp;"_T2",Summary!$A$4:$K$228,6,0),""),IFERROR(VLOOKUP(Table10[[#This Row],[Ref]],Summary!$A$4:$K$228,6,0),""))</f>
        <v>12.058038017322694</v>
      </c>
      <c r="H50" s="233">
        <f>IFERROR(IF(Table10[[#This Row],[Column5]]-Table10[[#This Row],[Column3]]=0,"",Table10[[#This Row],[Column5]]-Table10[[#This Row],[Column3]]),"")</f>
        <v>6.4117740871515227</v>
      </c>
      <c r="I50" s="216">
        <v>2050</v>
      </c>
      <c r="J50" s="216">
        <v>2050</v>
      </c>
      <c r="K50" s="40" t="s">
        <v>232</v>
      </c>
      <c r="L50" s="1"/>
    </row>
    <row r="51" spans="1:12" x14ac:dyDescent="0.25">
      <c r="A51" s="235" t="s">
        <v>1245</v>
      </c>
      <c r="B51" s="235" t="s">
        <v>1138</v>
      </c>
      <c r="C51" s="248" t="s">
        <v>1182</v>
      </c>
      <c r="D51" s="222" t="s">
        <v>1270</v>
      </c>
      <c r="E51" s="236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6.9137925675565368</v>
      </c>
      <c r="F51" s="222" t="s">
        <v>1247</v>
      </c>
      <c r="G51" s="236">
        <f>IF(Table10[[#This Row],[Ref]]="RGA",IFERROR(VLOOKUP(Table10[[#This Row],[Ref]]&amp;"_T2",Summary!$A$4:$K$228,6,0),""),IFERROR(VLOOKUP(Table10[[#This Row],[Ref]],Summary!$A$4:$K$228,6,0),""))</f>
        <v>14.945702263633732</v>
      </c>
      <c r="H51" s="236">
        <f>IFERROR(IF(Table10[[#This Row],[Column5]]-Table10[[#This Row],[Column3]]=0,"",Table10[[#This Row],[Column5]]-Table10[[#This Row],[Column3]]),"")</f>
        <v>8.0319096960771965</v>
      </c>
      <c r="I51" s="222">
        <v>2045</v>
      </c>
      <c r="J51" s="222">
        <v>2045</v>
      </c>
      <c r="K51" s="40" t="s">
        <v>226</v>
      </c>
      <c r="L51" s="1"/>
    </row>
    <row r="52" spans="1:12" ht="15.75" thickBot="1" x14ac:dyDescent="0.3">
      <c r="A52" s="224" t="s">
        <v>1245</v>
      </c>
      <c r="B52" s="224" t="s">
        <v>70</v>
      </c>
      <c r="C52" s="247" t="s">
        <v>1170</v>
      </c>
      <c r="D52" s="216" t="s">
        <v>1248</v>
      </c>
      <c r="E52" s="23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4.0199999999999996</v>
      </c>
      <c r="F52" s="216" t="s">
        <v>1247</v>
      </c>
      <c r="G52" s="233">
        <f>IF(Table10[[#This Row],[Ref]]="RGA",IFERROR(VLOOKUP(Table10[[#This Row],[Ref]]&amp;"_T2",Summary!$A$4:$K$228,6,0),""),IFERROR(VLOOKUP(Table10[[#This Row],[Ref]],Summary!$A$4:$K$228,6,0),""))</f>
        <v>6.8589211979727533</v>
      </c>
      <c r="H52" s="233">
        <f>IFERROR(IF(Table10[[#This Row],[Column5]]-Table10[[#This Row],[Column3]]=0,"",Table10[[#This Row],[Column5]]-Table10[[#This Row],[Column3]]),"")</f>
        <v>2.8389211979727538</v>
      </c>
      <c r="I52" s="216">
        <v>2043</v>
      </c>
      <c r="J52" s="216">
        <v>2043</v>
      </c>
      <c r="K52" s="40" t="s">
        <v>78</v>
      </c>
      <c r="L52" s="1"/>
    </row>
    <row r="53" spans="1:12" ht="15.75" thickTop="1" x14ac:dyDescent="0.25">
      <c r="A53" s="237" t="s">
        <v>1246</v>
      </c>
      <c r="B53" s="237" t="s">
        <v>79</v>
      </c>
      <c r="C53" s="249" t="s">
        <v>79</v>
      </c>
      <c r="D53" s="238" t="s">
        <v>1250</v>
      </c>
      <c r="E53" s="238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4.3</v>
      </c>
      <c r="F53" s="238" t="s">
        <v>1250</v>
      </c>
      <c r="G53" s="238">
        <f>IF(Table10[[#This Row],[Ref]]="RGA",IFERROR(VLOOKUP(Table10[[#This Row],[Ref]]&amp;"_T2",Summary!$A$4:$K$228,6,0),""),IFERROR(VLOOKUP(Table10[[#This Row],[Ref]],Summary!$A$4:$K$228,6,0),""))</f>
        <v>6.9160788746225261</v>
      </c>
      <c r="H53" s="238">
        <f>IFERROR(IF(Table10[[#This Row],[Column5]]-Table10[[#This Row],[Column3]]=0,"",Table10[[#This Row],[Column5]]-Table10[[#This Row],[Column3]]),"")</f>
        <v>2.6160788746225263</v>
      </c>
      <c r="I53" s="237">
        <v>2022</v>
      </c>
      <c r="J53" s="237">
        <v>2022</v>
      </c>
      <c r="K53" s="40" t="s">
        <v>79</v>
      </c>
      <c r="L53" s="1"/>
    </row>
    <row r="54" spans="1:12" x14ac:dyDescent="0.25">
      <c r="A54" s="224" t="s">
        <v>1246</v>
      </c>
      <c r="B54" s="235" t="s">
        <v>79</v>
      </c>
      <c r="C54" s="250" t="s">
        <v>158</v>
      </c>
      <c r="D54" s="229" t="s">
        <v>1272</v>
      </c>
      <c r="E54" s="234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2.982077968053257</v>
      </c>
      <c r="F54" s="229" t="s">
        <v>1250</v>
      </c>
      <c r="G54" s="234">
        <f>IF(Table10[[#This Row],[Ref]]="RGA",IFERROR(VLOOKUP(Table10[[#This Row],[Ref]]&amp;"_T2",Summary!$A$4:$K$228,6,0),""),IFERROR(VLOOKUP(Table10[[#This Row],[Ref]],Summary!$A$4:$K$228,6,0),""))</f>
        <v>5.3832624073466819</v>
      </c>
      <c r="H54" s="229">
        <f>IFERROR(IF(Table10[[#This Row],[Column5]]-Table10[[#This Row],[Column3]]=0,"",Table10[[#This Row],[Column5]]-Table10[[#This Row],[Column3]]),"")</f>
        <v>2.401184439293425</v>
      </c>
      <c r="I54" s="220">
        <v>2037</v>
      </c>
      <c r="J54" s="223">
        <v>2037</v>
      </c>
      <c r="K54" s="40" t="s">
        <v>158</v>
      </c>
      <c r="L54" s="1"/>
    </row>
    <row r="55" spans="1:12" x14ac:dyDescent="0.25">
      <c r="A55" s="224" t="s">
        <v>1246</v>
      </c>
      <c r="B55" s="235" t="s">
        <v>80</v>
      </c>
      <c r="C55" s="250" t="s">
        <v>1243</v>
      </c>
      <c r="D55" s="229" t="s">
        <v>1251</v>
      </c>
      <c r="E55" s="234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15.05</v>
      </c>
      <c r="F55" s="229" t="s">
        <v>1251</v>
      </c>
      <c r="G55" s="234">
        <f>IF(Table10[[#This Row],[Ref]]="RGA",IFERROR(VLOOKUP(Table10[[#This Row],[Ref]]&amp;"_T2",Summary!$A$4:$K$228,6,0),""),IFERROR(VLOOKUP(Table10[[#This Row],[Ref]],Summary!$A$4:$K$228,6,0),""))</f>
        <v>17.490249054830521</v>
      </c>
      <c r="H55" s="229">
        <f>IFERROR(IF(Table10[[#This Row],[Column5]]-Table10[[#This Row],[Column3]]=0,"",Table10[[#This Row],[Column5]]-Table10[[#This Row],[Column3]]),"")</f>
        <v>2.4402490548305202</v>
      </c>
      <c r="I55" s="220">
        <v>2023</v>
      </c>
      <c r="J55" s="223">
        <v>2023</v>
      </c>
      <c r="K55" s="40" t="s">
        <v>80</v>
      </c>
      <c r="L55" s="1"/>
    </row>
    <row r="56" spans="1:12" x14ac:dyDescent="0.25">
      <c r="A56" s="224" t="s">
        <v>1246</v>
      </c>
      <c r="B56" s="235" t="s">
        <v>80</v>
      </c>
      <c r="C56" s="250" t="s">
        <v>1244</v>
      </c>
      <c r="D56" s="229" t="s">
        <v>1252</v>
      </c>
      <c r="E56" s="234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4.6061736902499835</v>
      </c>
      <c r="F56" s="229" t="s">
        <v>1252</v>
      </c>
      <c r="G56" s="234">
        <f>IF(Table10[[#This Row],[Ref]]="RGA",IFERROR(VLOOKUP(Table10[[#This Row],[Ref]]&amp;"_T2",Summary!$A$4:$K$228,6,0),""),IFERROR(VLOOKUP(Table10[[#This Row],[Ref]],Summary!$A$4:$K$228,6,0),""))</f>
        <v>28.12157691168829</v>
      </c>
      <c r="H56" s="229">
        <f>IFERROR(IF(Table10[[#This Row],[Column5]]-Table10[[#This Row],[Column3]]=0,"",Table10[[#This Row],[Column5]]-Table10[[#This Row],[Column3]]),"")</f>
        <v>23.515403221438305</v>
      </c>
      <c r="I56" s="220" t="s">
        <v>1175</v>
      </c>
      <c r="J56" s="223" t="s">
        <v>1175</v>
      </c>
      <c r="K56" s="40" t="s">
        <v>733</v>
      </c>
      <c r="L56" s="1"/>
    </row>
    <row r="57" spans="1:12" x14ac:dyDescent="0.25">
      <c r="A57" s="224" t="s">
        <v>1246</v>
      </c>
      <c r="B57" s="235" t="s">
        <v>80</v>
      </c>
      <c r="C57" s="250" t="s">
        <v>159</v>
      </c>
      <c r="D57" s="229" t="s">
        <v>1272</v>
      </c>
      <c r="E57" s="234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4.6383568916644045</v>
      </c>
      <c r="F57" s="229" t="s">
        <v>1272</v>
      </c>
      <c r="G57" s="234">
        <f>IF(Table10[[#This Row],[Ref]]="RGA",IFERROR(VLOOKUP(Table10[[#This Row],[Ref]]&amp;"_T2",Summary!$A$4:$K$228,6,0),""),IFERROR(VLOOKUP(Table10[[#This Row],[Ref]],Summary!$A$4:$K$228,6,0),""))</f>
        <v>21.034025007116444</v>
      </c>
      <c r="H57" s="229">
        <f>IFERROR(IF(Table10[[#This Row],[Column5]]-Table10[[#This Row],[Column3]]=0,"",Table10[[#This Row],[Column5]]-Table10[[#This Row],[Column3]]),"")</f>
        <v>16.39566811545204</v>
      </c>
      <c r="I57" s="220" t="s">
        <v>1175</v>
      </c>
      <c r="J57" s="223" t="s">
        <v>1175</v>
      </c>
      <c r="K57" s="40" t="s">
        <v>159</v>
      </c>
      <c r="L57" s="1"/>
    </row>
    <row r="58" spans="1:12" x14ac:dyDescent="0.25">
      <c r="A58" s="224" t="s">
        <v>1246</v>
      </c>
      <c r="B58" s="235" t="s">
        <v>1148</v>
      </c>
      <c r="C58" s="250" t="s">
        <v>74</v>
      </c>
      <c r="D58" s="229" t="s">
        <v>1253</v>
      </c>
      <c r="E58" s="234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15.132</v>
      </c>
      <c r="F58" s="229" t="s">
        <v>1272</v>
      </c>
      <c r="G58" s="234">
        <f>IF(Table10[[#This Row],[Ref]]="RGA",IFERROR(VLOOKUP(Table10[[#This Row],[Ref]]&amp;"_T2",Summary!$A$4:$K$228,6,0),""),IFERROR(VLOOKUP(Table10[[#This Row],[Ref]],Summary!$A$4:$K$228,6,0),""))</f>
        <v>11.637302965893772</v>
      </c>
      <c r="H58" s="229">
        <f>IFERROR(IF(Table10[[#This Row],[Column5]]-Table10[[#This Row],[Column3]]=0,"",Table10[[#This Row],[Column5]]-Table10[[#This Row],[Column3]]),"")</f>
        <v>-3.4946970341062276</v>
      </c>
      <c r="I58" s="220">
        <v>2002</v>
      </c>
      <c r="J58" s="223">
        <v>2023</v>
      </c>
      <c r="K58" s="40" t="s">
        <v>74</v>
      </c>
      <c r="L58" s="1"/>
    </row>
    <row r="59" spans="1:12" x14ac:dyDescent="0.25">
      <c r="A59" s="224" t="s">
        <v>1246</v>
      </c>
      <c r="B59" s="235" t="s">
        <v>225</v>
      </c>
      <c r="C59" s="250" t="s">
        <v>83</v>
      </c>
      <c r="D59" s="229" t="s">
        <v>1251</v>
      </c>
      <c r="E59" s="234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4.6532064560580153</v>
      </c>
      <c r="F59" s="229" t="s">
        <v>1250</v>
      </c>
      <c r="G59" s="234">
        <f>IF(Table10[[#This Row],[Ref]]="RGA",IFERROR(VLOOKUP(Table10[[#This Row],[Ref]]&amp;"_T2",Summary!$A$4:$K$228,6,0),""),IFERROR(VLOOKUP(Table10[[#This Row],[Ref]],Summary!$A$4:$K$228,6,0),""))</f>
        <v>7.6210235533030604</v>
      </c>
      <c r="H59" s="229">
        <f>IFERROR(IF(Table10[[#This Row],[Column5]]-Table10[[#This Row],[Column3]]=0,"",Table10[[#This Row],[Column5]]-Table10[[#This Row],[Column3]]),"")</f>
        <v>2.9678170972450451</v>
      </c>
      <c r="I59" s="220">
        <v>2020</v>
      </c>
      <c r="J59" s="223">
        <v>2020</v>
      </c>
      <c r="K59" s="40" t="s">
        <v>83</v>
      </c>
      <c r="L59" s="1"/>
    </row>
    <row r="60" spans="1:12" x14ac:dyDescent="0.25">
      <c r="A60" s="235" t="s">
        <v>1246</v>
      </c>
      <c r="B60" s="235" t="s">
        <v>225</v>
      </c>
      <c r="C60" s="251" t="s">
        <v>163</v>
      </c>
      <c r="D60" s="242" t="s">
        <v>1250</v>
      </c>
      <c r="E60" s="24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1.02</v>
      </c>
      <c r="F60" s="242" t="s">
        <v>1250</v>
      </c>
      <c r="G60" s="243">
        <f>IF(Table10[[#This Row],[Ref]]="RGA",IFERROR(VLOOKUP(Table10[[#This Row],[Ref]]&amp;"_T2",Summary!$A$4:$K$228,6,0),""),IFERROR(VLOOKUP(Table10[[#This Row],[Ref]],Summary!$A$4:$K$228,6,0),""))</f>
        <v>2.8578838324886475</v>
      </c>
      <c r="H60" s="242">
        <f>IFERROR(IF(Table10[[#This Row],[Column5]]-Table10[[#This Row],[Column3]]=0,"",Table10[[#This Row],[Column5]]-Table10[[#This Row],[Column3]]),"")</f>
        <v>1.8378838324886475</v>
      </c>
      <c r="I60" s="222" t="s">
        <v>1175</v>
      </c>
      <c r="J60" s="222" t="s">
        <v>1175</v>
      </c>
      <c r="K60" s="40" t="s">
        <v>163</v>
      </c>
      <c r="L60" s="1"/>
    </row>
    <row r="61" spans="1:12" x14ac:dyDescent="0.25">
      <c r="A61" s="224" t="s">
        <v>1246</v>
      </c>
      <c r="B61" s="235" t="s">
        <v>225</v>
      </c>
      <c r="C61" s="250" t="s">
        <v>1443</v>
      </c>
      <c r="D61" s="229" t="s">
        <v>1250</v>
      </c>
      <c r="E61" s="234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0.38</v>
      </c>
      <c r="F61" s="229" t="s">
        <v>1250</v>
      </c>
      <c r="G61" s="234">
        <f>IF(Table10[[#This Row],[Ref]]="RGA",IFERROR(VLOOKUP(Table10[[#This Row],[Ref]]&amp;"_T2",Summary!$A$4:$K$228,6,0),""),IFERROR(VLOOKUP(Table10[[#This Row],[Ref]],Summary!$A$4:$K$228,6,0),""))</f>
        <v>1.4043525141235669</v>
      </c>
      <c r="H61" s="229">
        <f>IFERROR(IF(Table10[[#This Row],[Column5]]-Table10[[#This Row],[Column3]]=0,"",Table10[[#This Row],[Column5]]-Table10[[#This Row],[Column3]]),"")</f>
        <v>1.0243525141235668</v>
      </c>
      <c r="I61" s="220">
        <v>2019</v>
      </c>
      <c r="J61" s="223">
        <v>2019</v>
      </c>
      <c r="K61" s="40" t="s">
        <v>1443</v>
      </c>
      <c r="L61" s="1"/>
    </row>
    <row r="62" spans="1:12" x14ac:dyDescent="0.25">
      <c r="A62" s="224" t="s">
        <v>1246</v>
      </c>
      <c r="B62" s="235" t="s">
        <v>225</v>
      </c>
      <c r="C62" s="250" t="s">
        <v>164</v>
      </c>
      <c r="D62" s="229" t="s">
        <v>1250</v>
      </c>
      <c r="E62" s="234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0.47648000000000007</v>
      </c>
      <c r="F62" s="229" t="s">
        <v>1250</v>
      </c>
      <c r="G62" s="234">
        <f>IF(Table10[[#This Row],[Ref]]="RGA",IFERROR(VLOOKUP(Table10[[#This Row],[Ref]]&amp;"_T2",Summary!$A$4:$K$228,6,0),""),IFERROR(VLOOKUP(Table10[[#This Row],[Ref]],Summary!$A$4:$K$228,6,0),""))</f>
        <v>1.143153532995459</v>
      </c>
      <c r="H62" s="229">
        <f>IFERROR(IF(Table10[[#This Row],[Column5]]-Table10[[#This Row],[Column3]]=0,"",Table10[[#This Row],[Column5]]-Table10[[#This Row],[Column3]]),"")</f>
        <v>0.66667353299545895</v>
      </c>
      <c r="I62" s="220">
        <v>2034</v>
      </c>
      <c r="J62" s="223">
        <v>2034</v>
      </c>
      <c r="K62" s="40" t="s">
        <v>164</v>
      </c>
      <c r="L62" s="1"/>
    </row>
    <row r="63" spans="1:12" x14ac:dyDescent="0.25">
      <c r="A63" s="224" t="s">
        <v>1246</v>
      </c>
      <c r="B63" s="235" t="s">
        <v>82</v>
      </c>
      <c r="C63" s="250" t="s">
        <v>160</v>
      </c>
      <c r="D63" s="229" t="s">
        <v>1251</v>
      </c>
      <c r="E63" s="234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6.9</v>
      </c>
      <c r="F63" s="229" t="s">
        <v>1252</v>
      </c>
      <c r="G63" s="234">
        <f>IF(Table10[[#This Row],[Ref]]="RGA",IFERROR(VLOOKUP(Table10[[#This Row],[Ref]]&amp;"_T2",Summary!$A$4:$K$228,6,0),""),IFERROR(VLOOKUP(Table10[[#This Row],[Ref]],Summary!$A$4:$K$228,6,0),""))</f>
        <v>13.717842395945507</v>
      </c>
      <c r="H63" s="229">
        <f>IFERROR(IF(Table10[[#This Row],[Column5]]-Table10[[#This Row],[Column3]]=0,"",Table10[[#This Row],[Column5]]-Table10[[#This Row],[Column3]]),"")</f>
        <v>6.8178423959455063</v>
      </c>
      <c r="I63" s="220">
        <v>2025</v>
      </c>
      <c r="J63" s="223" t="s">
        <v>1175</v>
      </c>
      <c r="K63" s="40" t="s">
        <v>160</v>
      </c>
      <c r="L63" s="1"/>
    </row>
    <row r="64" spans="1:12" x14ac:dyDescent="0.25">
      <c r="A64" s="224" t="s">
        <v>1246</v>
      </c>
      <c r="B64" s="235" t="s">
        <v>82</v>
      </c>
      <c r="C64" s="250" t="s">
        <v>202</v>
      </c>
      <c r="D64" s="229" t="s">
        <v>1253</v>
      </c>
      <c r="E64" s="234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9.68</v>
      </c>
      <c r="F64" s="229" t="s">
        <v>1272</v>
      </c>
      <c r="G64" s="234">
        <f>IF(Table10[[#This Row],[Ref]]="RGA",IFERROR(VLOOKUP(Table10[[#This Row],[Ref]]&amp;"_T2",Summary!$A$4:$K$228,6,0),""),IFERROR(VLOOKUP(Table10[[#This Row],[Ref]],Summary!$A$4:$K$228,6,0),""))</f>
        <v>16.499076640893275</v>
      </c>
      <c r="H64" s="229">
        <f>IFERROR(IF(Table10[[#This Row],[Column5]]-Table10[[#This Row],[Column3]]=0,"",Table10[[#This Row],[Column5]]-Table10[[#This Row],[Column3]]),"")</f>
        <v>6.8190766408932753</v>
      </c>
      <c r="I64" s="220">
        <v>2025</v>
      </c>
      <c r="J64" s="223" t="s">
        <v>1175</v>
      </c>
      <c r="K64" s="40" t="s">
        <v>202</v>
      </c>
      <c r="L64" s="1"/>
    </row>
    <row r="65" spans="1:12" x14ac:dyDescent="0.25">
      <c r="A65" s="224" t="s">
        <v>1246</v>
      </c>
      <c r="B65" s="235" t="s">
        <v>82</v>
      </c>
      <c r="C65" s="250" t="s">
        <v>203</v>
      </c>
      <c r="D65" s="229" t="s">
        <v>1272</v>
      </c>
      <c r="E65" s="234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4.96</v>
      </c>
      <c r="F65" s="229" t="s">
        <v>1250</v>
      </c>
      <c r="G65" s="234">
        <f>IF(Table10[[#This Row],[Ref]]="RGA",IFERROR(VLOOKUP(Table10[[#This Row],[Ref]]&amp;"_T2",Summary!$A$4:$K$228,6,0),""),IFERROR(VLOOKUP(Table10[[#This Row],[Ref]],Summary!$A$4:$K$228,6,0),""))</f>
        <v>6.7628963012011356</v>
      </c>
      <c r="H65" s="229">
        <f>IFERROR(IF(Table10[[#This Row],[Column5]]-Table10[[#This Row],[Column3]]=0,"",Table10[[#This Row],[Column5]]-Table10[[#This Row],[Column3]]),"")</f>
        <v>1.8028963012011356</v>
      </c>
      <c r="I65" s="220" t="s">
        <v>1175</v>
      </c>
      <c r="J65" s="223" t="s">
        <v>1175</v>
      </c>
      <c r="K65" s="40" t="s">
        <v>203</v>
      </c>
      <c r="L65" s="1"/>
    </row>
    <row r="66" spans="1:12" x14ac:dyDescent="0.25">
      <c r="A66" s="224" t="s">
        <v>1246</v>
      </c>
      <c r="B66" s="235" t="s">
        <v>1138</v>
      </c>
      <c r="C66" s="250" t="s">
        <v>1138</v>
      </c>
      <c r="D66" s="229" t="s">
        <v>1251</v>
      </c>
      <c r="E66" s="234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14.549666113661599</v>
      </c>
      <c r="F66" s="229" t="s">
        <v>1251</v>
      </c>
      <c r="G66" s="234">
        <f>IF(Table10[[#This Row],[Ref]]="RGA",IFERROR(VLOOKUP(Table10[[#This Row],[Ref]]&amp;"_T2",Summary!$A$4:$K$228,6,0),""),IFERROR(VLOOKUP(Table10[[#This Row],[Ref]],Summary!$A$4:$K$228,6,0),""))</f>
        <v>19.852519404707252</v>
      </c>
      <c r="H66" s="229">
        <f>IFERROR(IF(Table10[[#This Row],[Column5]]-Table10[[#This Row],[Column3]]=0,"",Table10[[#This Row],[Column5]]-Table10[[#This Row],[Column3]]),"")</f>
        <v>5.3028532910456523</v>
      </c>
      <c r="I66" s="220">
        <v>2031</v>
      </c>
      <c r="J66" s="223" t="s">
        <v>1175</v>
      </c>
      <c r="K66" s="40" t="s">
        <v>1138</v>
      </c>
      <c r="L66" s="1"/>
    </row>
    <row r="67" spans="1:12" x14ac:dyDescent="0.25">
      <c r="A67" s="224" t="s">
        <v>1246</v>
      </c>
      <c r="B67" s="235" t="s">
        <v>1138</v>
      </c>
      <c r="C67" s="250" t="s">
        <v>88</v>
      </c>
      <c r="D67" s="229" t="s">
        <v>1251</v>
      </c>
      <c r="E67" s="234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13.96</v>
      </c>
      <c r="F67" s="229" t="s">
        <v>1251</v>
      </c>
      <c r="G67" s="234">
        <f>IF(Table10[[#This Row],[Ref]]="RGA",IFERROR(VLOOKUP(Table10[[#This Row],[Ref]]&amp;"_T2",Summary!$A$4:$K$228,6,0),""),IFERROR(VLOOKUP(Table10[[#This Row],[Ref]],Summary!$A$4:$K$228,6,0),""))</f>
        <v>20.231936062797093</v>
      </c>
      <c r="H67" s="229">
        <f>IFERROR(IF(Table10[[#This Row],[Column5]]-Table10[[#This Row],[Column3]]=0,"",Table10[[#This Row],[Column5]]-Table10[[#This Row],[Column3]]),"")</f>
        <v>6.2719360627970921</v>
      </c>
      <c r="I67" s="220">
        <v>2021</v>
      </c>
      <c r="J67" s="223" t="s">
        <v>1175</v>
      </c>
      <c r="K67" s="40" t="s">
        <v>88</v>
      </c>
      <c r="L67" s="1"/>
    </row>
    <row r="68" spans="1:12" x14ac:dyDescent="0.25">
      <c r="A68" s="224" t="s">
        <v>1246</v>
      </c>
      <c r="B68" s="235" t="s">
        <v>1138</v>
      </c>
      <c r="C68" s="250" t="s">
        <v>89</v>
      </c>
      <c r="D68" s="229" t="s">
        <v>1251</v>
      </c>
      <c r="E68" s="234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20.07</v>
      </c>
      <c r="F68" s="229" t="s">
        <v>1251</v>
      </c>
      <c r="G68" s="234">
        <f>IF(Table10[[#This Row],[Ref]]="RGA",IFERROR(VLOOKUP(Table10[[#This Row],[Ref]]&amp;"_T2",Summary!$A$4:$K$228,6,0),""),IFERROR(VLOOKUP(Table10[[#This Row],[Ref]],Summary!$A$4:$K$228,6,0),""))</f>
        <v>23.693203210661636</v>
      </c>
      <c r="H68" s="229">
        <f>IFERROR(IF(Table10[[#This Row],[Column5]]-Table10[[#This Row],[Column3]]=0,"",Table10[[#This Row],[Column5]]-Table10[[#This Row],[Column3]]),"")</f>
        <v>3.6232032106616359</v>
      </c>
      <c r="I68" s="220" t="s">
        <v>1275</v>
      </c>
      <c r="J68" s="223" t="s">
        <v>1175</v>
      </c>
      <c r="K68" s="40" t="s">
        <v>89</v>
      </c>
      <c r="L68" s="1"/>
    </row>
    <row r="69" spans="1:12" x14ac:dyDescent="0.25">
      <c r="A69" s="224" t="s">
        <v>1246</v>
      </c>
      <c r="B69" s="235" t="s">
        <v>1138</v>
      </c>
      <c r="C69" s="250" t="s">
        <v>85</v>
      </c>
      <c r="D69" s="229" t="s">
        <v>1272</v>
      </c>
      <c r="E69" s="234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6.8689878994365943</v>
      </c>
      <c r="F69" s="229" t="s">
        <v>1250</v>
      </c>
      <c r="G69" s="234">
        <f>IF(Table10[[#This Row],[Ref]]="RGA",IFERROR(VLOOKUP(Table10[[#This Row],[Ref]]&amp;"_T2",Summary!$A$4:$K$228,6,0),""),IFERROR(VLOOKUP(Table10[[#This Row],[Ref]],Summary!$A$4:$K$228,6,0),""))</f>
        <v>12.063127656934579</v>
      </c>
      <c r="H69" s="229">
        <f>IFERROR(IF(Table10[[#This Row],[Column5]]-Table10[[#This Row],[Column3]]=0,"",Table10[[#This Row],[Column5]]-Table10[[#This Row],[Column3]]),"")</f>
        <v>5.1941397574979851</v>
      </c>
      <c r="I69" s="220">
        <v>2014</v>
      </c>
      <c r="J69" s="223">
        <v>2014</v>
      </c>
      <c r="K69" s="40" t="s">
        <v>85</v>
      </c>
      <c r="L69" s="1"/>
    </row>
    <row r="70" spans="1:12" x14ac:dyDescent="0.25">
      <c r="A70" s="224" t="s">
        <v>1246</v>
      </c>
      <c r="B70" s="235" t="s">
        <v>1138</v>
      </c>
      <c r="C70" s="250" t="s">
        <v>1193</v>
      </c>
      <c r="D70" s="229" t="s">
        <v>1251</v>
      </c>
      <c r="E70" s="234" t="str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/>
      </c>
      <c r="F70" s="229" t="s">
        <v>1252</v>
      </c>
      <c r="G70" s="234">
        <f>IF(Table10[[#This Row],[Ref]]="RGA",IFERROR(VLOOKUP(Table10[[#This Row],[Ref]]&amp;"_T2",Summary!$A$4:$K$228,6,0),""),IFERROR(VLOOKUP(Table10[[#This Row],[Ref]],Summary!$A$4:$K$228,6,0),""))</f>
        <v>12.058038017322694</v>
      </c>
      <c r="H70" s="229" t="str">
        <f>IFERROR(IF(Table10[[#This Row],[Column5]]-Table10[[#This Row],[Column3]]=0,"",Table10[[#This Row],[Column5]]-Table10[[#This Row],[Column3]]),"")</f>
        <v/>
      </c>
      <c r="I70" s="220">
        <v>2032</v>
      </c>
      <c r="J70" s="223">
        <v>2036</v>
      </c>
      <c r="K70" s="40" t="s">
        <v>1193</v>
      </c>
      <c r="L70" s="1"/>
    </row>
    <row r="71" spans="1:12" ht="15.75" thickBot="1" x14ac:dyDescent="0.3">
      <c r="A71" s="224" t="s">
        <v>1246</v>
      </c>
      <c r="B71" s="235" t="s">
        <v>70</v>
      </c>
      <c r="C71" s="250" t="s">
        <v>236</v>
      </c>
      <c r="D71" s="229" t="s">
        <v>1273</v>
      </c>
      <c r="E71" s="234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3.99</v>
      </c>
      <c r="F71" s="229" t="s">
        <v>1272</v>
      </c>
      <c r="G71" s="234">
        <f>IF(Table10[[#This Row],[Ref]]="RGA",IFERROR(VLOOKUP(Table10[[#This Row],[Ref]]&amp;"_T2",Summary!$A$4:$K$228,6,0),""),IFERROR(VLOOKUP(Table10[[#This Row],[Ref]],Summary!$A$4:$K$228,6,0),""))</f>
        <v>6.2523010599210478</v>
      </c>
      <c r="H71" s="229">
        <f>IFERROR(IF(Table10[[#This Row],[Column5]]-Table10[[#This Row],[Column3]]=0,"",Table10[[#This Row],[Column5]]-Table10[[#This Row],[Column3]]),"")</f>
        <v>2.2623010599210476</v>
      </c>
      <c r="I71" s="220">
        <v>2036</v>
      </c>
      <c r="J71" s="223">
        <v>2036</v>
      </c>
      <c r="K71" s="40" t="s">
        <v>236</v>
      </c>
      <c r="L71" s="1"/>
    </row>
    <row r="72" spans="1:12" ht="15.75" thickTop="1" x14ac:dyDescent="0.25">
      <c r="A72" s="237" t="s">
        <v>1274</v>
      </c>
      <c r="B72" s="244" t="s">
        <v>1148</v>
      </c>
      <c r="C72" s="249" t="s">
        <v>1196</v>
      </c>
      <c r="D72" s="246" t="s">
        <v>1252</v>
      </c>
      <c r="E72" s="246" t="str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/>
      </c>
      <c r="F72" s="246" t="s">
        <v>1252</v>
      </c>
      <c r="G72" s="246" t="str">
        <f>IF(Table10[[#This Row],[Ref]]="RGA",IFERROR(VLOOKUP(Table10[[#This Row],[Ref]]&amp;"_T2",Summary!$A$4:$K$228,6,0),""),IFERROR(VLOOKUP(Table10[[#This Row],[Ref]],Summary!$A$4:$K$228,6,0),""))</f>
        <v/>
      </c>
      <c r="H72" s="246" t="str">
        <f>IFERROR(IF(Table10[[#This Row],[Column5]]-Table10[[#This Row],[Column3]]=0,"",Table10[[#This Row],[Column5]]-Table10[[#This Row],[Column3]]),"")</f>
        <v/>
      </c>
      <c r="I72" s="245"/>
      <c r="J72" s="237"/>
      <c r="L72" s="1"/>
    </row>
    <row r="73" spans="1:12" x14ac:dyDescent="0.25">
      <c r="A73" s="223" t="s">
        <v>1274</v>
      </c>
      <c r="B73" s="235" t="s">
        <v>82</v>
      </c>
      <c r="C73" s="250" t="s">
        <v>160</v>
      </c>
      <c r="D73" s="229" t="s">
        <v>1252</v>
      </c>
      <c r="E73" s="24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6.9</v>
      </c>
      <c r="F73" s="229" t="s">
        <v>1252</v>
      </c>
      <c r="G73" s="243">
        <f>IF(Table10[[#This Row],[Ref]]="RGA",IFERROR(VLOOKUP(Table10[[#This Row],[Ref]]&amp;"_T2",Summary!$A$4:$K$228,6,0),""),IFERROR(VLOOKUP(Table10[[#This Row],[Ref]],Summary!$A$4:$K$228,6,0),""))</f>
        <v>13.717842395945507</v>
      </c>
      <c r="H73" s="229">
        <f>IFERROR(IF(Table10[[#This Row],[Column5]]-Table10[[#This Row],[Column3]]=0,"",Table10[[#This Row],[Column5]]-Table10[[#This Row],[Column3]]),"")</f>
        <v>6.8178423959455063</v>
      </c>
      <c r="I73" s="220"/>
      <c r="J73" s="223"/>
      <c r="K73" s="40" t="s">
        <v>160</v>
      </c>
      <c r="L73" s="1"/>
    </row>
    <row r="74" spans="1:12" x14ac:dyDescent="0.25">
      <c r="A74" s="223" t="s">
        <v>1274</v>
      </c>
      <c r="B74" s="235" t="s">
        <v>82</v>
      </c>
      <c r="C74" s="250" t="s">
        <v>202</v>
      </c>
      <c r="D74" s="229" t="s">
        <v>1252</v>
      </c>
      <c r="E74" s="24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9.68</v>
      </c>
      <c r="F74" s="229" t="s">
        <v>1252</v>
      </c>
      <c r="G74" s="243">
        <f>IF(Table10[[#This Row],[Ref]]="RGA",IFERROR(VLOOKUP(Table10[[#This Row],[Ref]]&amp;"_T2",Summary!$A$4:$K$228,6,0),""),IFERROR(VLOOKUP(Table10[[#This Row],[Ref]],Summary!$A$4:$K$228,6,0),""))</f>
        <v>16.499076640893275</v>
      </c>
      <c r="H74" s="229">
        <f>IFERROR(IF(Table10[[#This Row],[Column5]]-Table10[[#This Row],[Column3]]=0,"",Table10[[#This Row],[Column5]]-Table10[[#This Row],[Column3]]),"")</f>
        <v>6.8190766408932753</v>
      </c>
      <c r="I74" s="220"/>
      <c r="J74" s="223"/>
      <c r="K74" s="40" t="s">
        <v>202</v>
      </c>
      <c r="L74" s="1"/>
    </row>
    <row r="75" spans="1:12" x14ac:dyDescent="0.25">
      <c r="A75" s="223" t="s">
        <v>1274</v>
      </c>
      <c r="B75" s="235" t="s">
        <v>82</v>
      </c>
      <c r="C75" s="250" t="s">
        <v>203</v>
      </c>
      <c r="D75" s="229" t="s">
        <v>1252</v>
      </c>
      <c r="E75" s="24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4.96</v>
      </c>
      <c r="F75" s="229" t="s">
        <v>1252</v>
      </c>
      <c r="G75" s="243">
        <f>IF(Table10[[#This Row],[Ref]]="RGA",IFERROR(VLOOKUP(Table10[[#This Row],[Ref]]&amp;"_T2",Summary!$A$4:$K$228,6,0),""),IFERROR(VLOOKUP(Table10[[#This Row],[Ref]],Summary!$A$4:$K$228,6,0),""))</f>
        <v>6.7628963012011356</v>
      </c>
      <c r="H75" s="229">
        <f>IFERROR(IF(Table10[[#This Row],[Column5]]-Table10[[#This Row],[Column3]]=0,"",Table10[[#This Row],[Column5]]-Table10[[#This Row],[Column3]]),"")</f>
        <v>1.8028963012011356</v>
      </c>
      <c r="I75" s="220"/>
      <c r="J75" s="223"/>
      <c r="K75" s="40" t="s">
        <v>203</v>
      </c>
      <c r="L75" s="1"/>
    </row>
    <row r="76" spans="1:12" ht="15.75" thickBot="1" x14ac:dyDescent="0.3">
      <c r="A76" s="240" t="s">
        <v>1274</v>
      </c>
      <c r="B76" s="235" t="s">
        <v>82</v>
      </c>
      <c r="C76" s="251" t="s">
        <v>1197</v>
      </c>
      <c r="D76" s="242" t="s">
        <v>1273</v>
      </c>
      <c r="E76" s="243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2.9842877765572382</v>
      </c>
      <c r="F76" s="242" t="s">
        <v>1273</v>
      </c>
      <c r="G76" s="243">
        <f>IF(Table10[[#This Row],[Ref]]="RGA",IFERROR(VLOOKUP(Table10[[#This Row],[Ref]]&amp;"_T2",Summary!$A$4:$K$228,6,0),""),IFERROR(VLOOKUP(Table10[[#This Row],[Ref]],Summary!$A$4:$K$228,6,0),""))</f>
        <v>7.6210235533030604</v>
      </c>
      <c r="H76" s="242">
        <f>IFERROR(IF(Table10[[#This Row],[Column5]]-Table10[[#This Row],[Column3]]=0,"",Table10[[#This Row],[Column5]]-Table10[[#This Row],[Column3]]),"")</f>
        <v>4.6367357767458222</v>
      </c>
      <c r="I76" s="241" t="s">
        <v>1175</v>
      </c>
      <c r="J76" s="240" t="s">
        <v>1175</v>
      </c>
      <c r="K76" s="251" t="s">
        <v>1197</v>
      </c>
      <c r="L76" s="1"/>
    </row>
    <row r="77" spans="1:12" ht="15.75" thickTop="1" x14ac:dyDescent="0.25">
      <c r="A77" s="237" t="s">
        <v>1276</v>
      </c>
      <c r="B77" s="244" t="s">
        <v>79</v>
      </c>
      <c r="C77" s="249" t="s">
        <v>103</v>
      </c>
      <c r="D77" s="246" t="s">
        <v>1254</v>
      </c>
      <c r="E77" s="246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0.89</v>
      </c>
      <c r="F77" s="246" t="s">
        <v>1254</v>
      </c>
      <c r="G77" s="246">
        <f>IF(Table10[[#This Row],[Ref]]="RGA",IFERROR(VLOOKUP(Table10[[#This Row],[Ref]]&amp;"_T2",Summary!$A$4:$K$228,6,0),""),IFERROR(VLOOKUP(Table10[[#This Row],[Ref]],Summary!$A$4:$K$228,6,0),""))</f>
        <v>4.2868257487329711</v>
      </c>
      <c r="H77" s="246">
        <f>IFERROR(IF(Table10[[#This Row],[Column5]]-Table10[[#This Row],[Column3]]=0,"",Table10[[#This Row],[Column5]]-Table10[[#This Row],[Column3]]),"")</f>
        <v>3.3968257487329709</v>
      </c>
      <c r="I77" s="245" t="s">
        <v>1175</v>
      </c>
      <c r="J77" s="257" t="s">
        <v>1175</v>
      </c>
      <c r="K77" s="40" t="s">
        <v>103</v>
      </c>
      <c r="L77" s="1"/>
    </row>
    <row r="78" spans="1:12" x14ac:dyDescent="0.25">
      <c r="A78" s="223" t="s">
        <v>1276</v>
      </c>
      <c r="B78" s="235" t="s">
        <v>79</v>
      </c>
      <c r="C78" s="250" t="s">
        <v>115</v>
      </c>
      <c r="D78" s="229" t="s">
        <v>1255</v>
      </c>
      <c r="E78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1.33</v>
      </c>
      <c r="F78" s="229" t="s">
        <v>1255</v>
      </c>
      <c r="G78" s="229">
        <f>IF(Table10[[#This Row],[Ref]]="RGA",IFERROR(VLOOKUP(Table10[[#This Row],[Ref]]&amp;"_T2",Summary!$A$4:$K$228,6,0),""),IFERROR(VLOOKUP(Table10[[#This Row],[Ref]],Summary!$A$4:$K$228,6,0),""))</f>
        <v>4.2868257487329711</v>
      </c>
      <c r="H78" s="229">
        <f>IFERROR(IF(Table10[[#This Row],[Column5]]-Table10[[#This Row],[Column3]]=0,"",Table10[[#This Row],[Column5]]-Table10[[#This Row],[Column3]]),"")</f>
        <v>2.956825748732971</v>
      </c>
      <c r="I78" s="220" t="s">
        <v>1175</v>
      </c>
      <c r="J78" s="258" t="s">
        <v>1175</v>
      </c>
      <c r="K78" s="40" t="s">
        <v>115</v>
      </c>
      <c r="L78" s="1"/>
    </row>
    <row r="79" spans="1:12" x14ac:dyDescent="0.25">
      <c r="A79" s="223" t="s">
        <v>1276</v>
      </c>
      <c r="B79" s="235" t="s">
        <v>79</v>
      </c>
      <c r="C79" s="250" t="s">
        <v>90</v>
      </c>
      <c r="D79" s="229" t="s">
        <v>1256</v>
      </c>
      <c r="E79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2.901514192331307</v>
      </c>
      <c r="F79" s="229" t="s">
        <v>1256</v>
      </c>
      <c r="G79" s="229">
        <f>IF(Table10[[#This Row],[Ref]]="RGA",IFERROR(VLOOKUP(Table10[[#This Row],[Ref]]&amp;"_T2",Summary!$A$4:$K$228,6,0),""),IFERROR(VLOOKUP(Table10[[#This Row],[Ref]],Summary!$A$4:$K$228,6,0),""))</f>
        <v>8.5736514974659421</v>
      </c>
      <c r="H79" s="229">
        <f>IFERROR(IF(Table10[[#This Row],[Column5]]-Table10[[#This Row],[Column3]]=0,"",Table10[[#This Row],[Column5]]-Table10[[#This Row],[Column3]]),"")</f>
        <v>5.6721373051346351</v>
      </c>
      <c r="I79" s="220">
        <v>2026</v>
      </c>
      <c r="J79" s="258">
        <v>2026</v>
      </c>
      <c r="K79" s="40" t="s">
        <v>90</v>
      </c>
      <c r="L79" s="1"/>
    </row>
    <row r="80" spans="1:12" x14ac:dyDescent="0.25">
      <c r="A80" s="223" t="s">
        <v>1276</v>
      </c>
      <c r="B80" s="235" t="s">
        <v>79</v>
      </c>
      <c r="C80" s="250" t="s">
        <v>166</v>
      </c>
      <c r="D80" s="229" t="s">
        <v>1255</v>
      </c>
      <c r="E80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0.55000000000000004</v>
      </c>
      <c r="F80" s="229" t="s">
        <v>1255</v>
      </c>
      <c r="G80" s="229">
        <f>IF(Table10[[#This Row],[Ref]]="RGA",IFERROR(VLOOKUP(Table10[[#This Row],[Ref]]&amp;"_T2",Summary!$A$4:$K$228,6,0),""),IFERROR(VLOOKUP(Table10[[#This Row],[Ref]],Summary!$A$4:$K$228,6,0),""))</f>
        <v>3.6265232988341185</v>
      </c>
      <c r="H80" s="229">
        <f>IFERROR(IF(Table10[[#This Row],[Column5]]-Table10[[#This Row],[Column3]]=0,"",Table10[[#This Row],[Column5]]-Table10[[#This Row],[Column3]]),"")</f>
        <v>3.0765232988341182</v>
      </c>
      <c r="I80" s="220" t="s">
        <v>1175</v>
      </c>
      <c r="J80" s="258" t="s">
        <v>1175</v>
      </c>
      <c r="K80" s="40" t="s">
        <v>166</v>
      </c>
      <c r="L80" s="1"/>
    </row>
    <row r="81" spans="1:12" x14ac:dyDescent="0.25">
      <c r="A81" s="223" t="s">
        <v>1276</v>
      </c>
      <c r="B81" s="235" t="s">
        <v>79</v>
      </c>
      <c r="C81" s="250" t="s">
        <v>174</v>
      </c>
      <c r="D81" s="229" t="s">
        <v>1255</v>
      </c>
      <c r="E81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1.9525599301829448</v>
      </c>
      <c r="F81" s="229" t="s">
        <v>1255</v>
      </c>
      <c r="G81" s="229">
        <f>IF(Table10[[#This Row],[Ref]]="RGA",IFERROR(VLOOKUP(Table10[[#This Row],[Ref]]&amp;"_T2",Summary!$A$4:$K$228,6,0),""),IFERROR(VLOOKUP(Table10[[#This Row],[Ref]],Summary!$A$4:$K$228,6,0),""))</f>
        <v>3.6913799364662974</v>
      </c>
      <c r="H81" s="229">
        <f>IFERROR(IF(Table10[[#This Row],[Column5]]-Table10[[#This Row],[Column3]]=0,"",Table10[[#This Row],[Column5]]-Table10[[#This Row],[Column3]]),"")</f>
        <v>1.7388200062833525</v>
      </c>
      <c r="I81" s="220">
        <v>2036</v>
      </c>
      <c r="J81" s="258">
        <v>2036</v>
      </c>
      <c r="K81" s="40" t="s">
        <v>174</v>
      </c>
      <c r="L81" s="1"/>
    </row>
    <row r="82" spans="1:12" x14ac:dyDescent="0.25">
      <c r="A82" s="223" t="s">
        <v>1276</v>
      </c>
      <c r="B82" s="235" t="s">
        <v>79</v>
      </c>
      <c r="C82" s="250" t="s">
        <v>180</v>
      </c>
      <c r="D82" s="229" t="s">
        <v>1256</v>
      </c>
      <c r="E82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1.0988860346259279</v>
      </c>
      <c r="F82" s="229" t="s">
        <v>1256</v>
      </c>
      <c r="G82" s="229">
        <f>IF(Table10[[#This Row],[Ref]]="RGA",IFERROR(VLOOKUP(Table10[[#This Row],[Ref]]&amp;"_T2",Summary!$A$4:$K$228,6,0),""),IFERROR(VLOOKUP(Table10[[#This Row],[Ref]],Summary!$A$4:$K$228,6,0),""))</f>
        <v>3.283117160680558</v>
      </c>
      <c r="H82" s="229">
        <f>IFERROR(IF(Table10[[#This Row],[Column5]]-Table10[[#This Row],[Column3]]=0,"",Table10[[#This Row],[Column5]]-Table10[[#This Row],[Column3]]),"")</f>
        <v>2.1842311260546303</v>
      </c>
      <c r="I82" s="220" t="s">
        <v>1175</v>
      </c>
      <c r="J82" s="258" t="s">
        <v>1175</v>
      </c>
      <c r="K82" s="40" t="s">
        <v>180</v>
      </c>
      <c r="L82" s="1"/>
    </row>
    <row r="83" spans="1:12" x14ac:dyDescent="0.25">
      <c r="A83" s="223" t="s">
        <v>1276</v>
      </c>
      <c r="B83" s="235" t="s">
        <v>80</v>
      </c>
      <c r="C83" s="250" t="s">
        <v>224</v>
      </c>
      <c r="D83" s="229" t="s">
        <v>1257</v>
      </c>
      <c r="E83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3.9701569780461221</v>
      </c>
      <c r="F83" s="229" t="s">
        <v>1257</v>
      </c>
      <c r="G83" s="229">
        <f>IF(Table10[[#This Row],[Ref]]="RGA",IFERROR(VLOOKUP(Table10[[#This Row],[Ref]]&amp;"_T2",Summary!$A$4:$K$228,6,0),""),IFERROR(VLOOKUP(Table10[[#This Row],[Ref]],Summary!$A$4:$K$228,6,0),""))</f>
        <v>4.6582363316031961</v>
      </c>
      <c r="H83" s="229">
        <f>IFERROR(IF(Table10[[#This Row],[Column5]]-Table10[[#This Row],[Column3]]=0,"",Table10[[#This Row],[Column5]]-Table10[[#This Row],[Column3]]),"")</f>
        <v>0.68807935355707395</v>
      </c>
      <c r="I83" s="220" t="s">
        <v>1175</v>
      </c>
      <c r="J83" s="258" t="s">
        <v>1175</v>
      </c>
      <c r="K83" s="40" t="s">
        <v>224</v>
      </c>
      <c r="L83" s="1"/>
    </row>
    <row r="84" spans="1:12" x14ac:dyDescent="0.25">
      <c r="A84" s="223" t="s">
        <v>1276</v>
      </c>
      <c r="B84" s="235" t="s">
        <v>80</v>
      </c>
      <c r="C84" s="250" t="s">
        <v>91</v>
      </c>
      <c r="D84" s="229" t="s">
        <v>1257</v>
      </c>
      <c r="E84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2.3901892380459921</v>
      </c>
      <c r="F84" s="229" t="s">
        <v>1257</v>
      </c>
      <c r="G84" s="229">
        <f>IF(Table10[[#This Row],[Ref]]="RGA",IFERROR(VLOOKUP(Table10[[#This Row],[Ref]]&amp;"_T2",Summary!$A$4:$K$228,6,0),""),IFERROR(VLOOKUP(Table10[[#This Row],[Ref]],Summary!$A$4:$K$228,6,0),""))</f>
        <v>6.5909088521619674</v>
      </c>
      <c r="H84" s="229">
        <f>IFERROR(IF(Table10[[#This Row],[Column5]]-Table10[[#This Row],[Column3]]=0,"",Table10[[#This Row],[Column5]]-Table10[[#This Row],[Column3]]),"")</f>
        <v>4.2007196141159753</v>
      </c>
      <c r="I84" s="220" t="s">
        <v>1175</v>
      </c>
      <c r="J84" s="223" t="s">
        <v>1175</v>
      </c>
      <c r="K84" s="40" t="s">
        <v>91</v>
      </c>
      <c r="L84" s="1"/>
    </row>
    <row r="85" spans="1:12" x14ac:dyDescent="0.25">
      <c r="A85" s="223" t="s">
        <v>1276</v>
      </c>
      <c r="B85" s="235" t="s">
        <v>80</v>
      </c>
      <c r="C85" s="250" t="s">
        <v>104</v>
      </c>
      <c r="D85" s="229" t="s">
        <v>1257</v>
      </c>
      <c r="E85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1.0474638088397148</v>
      </c>
      <c r="F85" s="229" t="s">
        <v>1257</v>
      </c>
      <c r="G85" s="229">
        <f>IF(Table10[[#This Row],[Ref]]="RGA",IFERROR(VLOOKUP(Table10[[#This Row],[Ref]]&amp;"_T2",Summary!$A$4:$K$228,6,0),""),IFERROR(VLOOKUP(Table10[[#This Row],[Ref]],Summary!$A$4:$K$228,6,0),""))</f>
        <v>6.5909088521619674</v>
      </c>
      <c r="H85" s="229">
        <f>IFERROR(IF(Table10[[#This Row],[Column5]]-Table10[[#This Row],[Column3]]=0,"",Table10[[#This Row],[Column5]]-Table10[[#This Row],[Column3]]),"")</f>
        <v>5.5434450433222526</v>
      </c>
      <c r="I85" s="220" t="s">
        <v>1175</v>
      </c>
      <c r="J85" s="223" t="s">
        <v>1175</v>
      </c>
      <c r="K85" s="40" t="s">
        <v>104</v>
      </c>
      <c r="L85" s="1"/>
    </row>
    <row r="86" spans="1:12" x14ac:dyDescent="0.25">
      <c r="A86" s="223" t="s">
        <v>1276</v>
      </c>
      <c r="B86" s="235" t="s">
        <v>80</v>
      </c>
      <c r="C86" s="250" t="s">
        <v>1354</v>
      </c>
      <c r="D86" s="229" t="s">
        <v>1257</v>
      </c>
      <c r="E86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2.71931396204883</v>
      </c>
      <c r="F86" s="229" t="s">
        <v>1257</v>
      </c>
      <c r="G86" s="229">
        <f>IF(Table10[[#This Row],[Ref]]="RGA",IFERROR(VLOOKUP(Table10[[#This Row],[Ref]]&amp;"_T2",Summary!$A$4:$K$228,6,0),""),IFERROR(VLOOKUP(Table10[[#This Row],[Ref]],Summary!$A$4:$K$228,6,0),""))</f>
        <v>7.5194131512728157</v>
      </c>
      <c r="H86" s="229">
        <f>IFERROR(IF(Table10[[#This Row],[Column5]]-Table10[[#This Row],[Column3]]=0,"",Table10[[#This Row],[Column5]]-Table10[[#This Row],[Column3]]),"")</f>
        <v>4.8000991892239853</v>
      </c>
      <c r="I86" s="220" t="s">
        <v>1175</v>
      </c>
      <c r="J86" s="223" t="s">
        <v>1175</v>
      </c>
      <c r="K86" s="40" t="s">
        <v>1354</v>
      </c>
      <c r="L86" s="1"/>
    </row>
    <row r="87" spans="1:12" x14ac:dyDescent="0.25">
      <c r="A87" s="223" t="s">
        <v>1276</v>
      </c>
      <c r="B87" s="235" t="s">
        <v>80</v>
      </c>
      <c r="C87" s="250" t="s">
        <v>1355</v>
      </c>
      <c r="D87" s="229" t="s">
        <v>1258</v>
      </c>
      <c r="E87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2.764137621759466</v>
      </c>
      <c r="F87" s="229" t="s">
        <v>1258</v>
      </c>
      <c r="G87" s="229">
        <f>IF(Table10[[#This Row],[Ref]]="RGA",IFERROR(VLOOKUP(Table10[[#This Row],[Ref]]&amp;"_T2",Summary!$A$4:$K$228,6,0),""),IFERROR(VLOOKUP(Table10[[#This Row],[Ref]],Summary!$A$4:$K$228,6,0),""))</f>
        <v>7.5194131512728157</v>
      </c>
      <c r="H87" s="229">
        <f>IFERROR(IF(Table10[[#This Row],[Column5]]-Table10[[#This Row],[Column3]]=0,"",Table10[[#This Row],[Column5]]-Table10[[#This Row],[Column3]]),"")</f>
        <v>4.7552755295133498</v>
      </c>
      <c r="I87" s="220" t="s">
        <v>1175</v>
      </c>
      <c r="J87" s="223" t="s">
        <v>1175</v>
      </c>
      <c r="K87" s="40" t="s">
        <v>1355</v>
      </c>
      <c r="L87" s="1"/>
    </row>
    <row r="88" spans="1:12" x14ac:dyDescent="0.25">
      <c r="A88" s="223" t="s">
        <v>1276</v>
      </c>
      <c r="B88" s="235" t="s">
        <v>80</v>
      </c>
      <c r="C88" s="250" t="s">
        <v>167</v>
      </c>
      <c r="D88" s="229" t="s">
        <v>1259</v>
      </c>
      <c r="E88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1.2443454837362171</v>
      </c>
      <c r="F88" s="229" t="s">
        <v>1259</v>
      </c>
      <c r="G88" s="229">
        <f>IF(Table10[[#This Row],[Ref]]="RGA",IFERROR(VLOOKUP(Table10[[#This Row],[Ref]]&amp;"_T2",Summary!$A$4:$K$228,6,0),""),IFERROR(VLOOKUP(Table10[[#This Row],[Ref]],Summary!$A$4:$K$228,6,0),""))</f>
        <v>7.2191517392902824</v>
      </c>
      <c r="H88" s="229">
        <f>IFERROR(IF(Table10[[#This Row],[Column5]]-Table10[[#This Row],[Column3]]=0,"",Table10[[#This Row],[Column5]]-Table10[[#This Row],[Column3]]),"")</f>
        <v>5.9748062555540651</v>
      </c>
      <c r="I88" s="220" t="s">
        <v>1175</v>
      </c>
      <c r="J88" s="223" t="s">
        <v>1175</v>
      </c>
      <c r="K88" s="40" t="s">
        <v>167</v>
      </c>
      <c r="L88" s="1"/>
    </row>
    <row r="89" spans="1:12" x14ac:dyDescent="0.25">
      <c r="A89" s="223" t="s">
        <v>1276</v>
      </c>
      <c r="B89" s="235" t="s">
        <v>80</v>
      </c>
      <c r="C89" s="250" t="s">
        <v>175</v>
      </c>
      <c r="D89" s="229" t="s">
        <v>1259</v>
      </c>
      <c r="E89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2.0003014835707837</v>
      </c>
      <c r="F89" s="229" t="s">
        <v>1259</v>
      </c>
      <c r="G89" s="229">
        <f>IF(Table10[[#This Row],[Ref]]="RGA",IFERROR(VLOOKUP(Table10[[#This Row],[Ref]]&amp;"_T2",Summary!$A$4:$K$228,6,0),""),IFERROR(VLOOKUP(Table10[[#This Row],[Ref]],Summary!$A$4:$K$228,6,0),""))</f>
        <v>7.5199497284273766</v>
      </c>
      <c r="H89" s="229">
        <f>IFERROR(IF(Table10[[#This Row],[Column5]]-Table10[[#This Row],[Column3]]=0,"",Table10[[#This Row],[Column5]]-Table10[[#This Row],[Column3]]),"")</f>
        <v>5.5196482448565929</v>
      </c>
      <c r="I89" s="220" t="s">
        <v>1175</v>
      </c>
      <c r="J89" s="223" t="s">
        <v>1175</v>
      </c>
      <c r="K89" s="40" t="s">
        <v>175</v>
      </c>
      <c r="L89" s="1"/>
    </row>
    <row r="90" spans="1:12" x14ac:dyDescent="0.25">
      <c r="A90" s="223" t="s">
        <v>1276</v>
      </c>
      <c r="B90" s="235" t="s">
        <v>80</v>
      </c>
      <c r="C90" s="250" t="s">
        <v>181</v>
      </c>
      <c r="D90" s="229" t="s">
        <v>1259</v>
      </c>
      <c r="E90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1.3027301451780715</v>
      </c>
      <c r="F90" s="229" t="s">
        <v>1259</v>
      </c>
      <c r="G90" s="229">
        <f>IF(Table10[[#This Row],[Ref]]="RGA",IFERROR(VLOOKUP(Table10[[#This Row],[Ref]]&amp;"_T2",Summary!$A$4:$K$228,6,0),""),IFERROR(VLOOKUP(Table10[[#This Row],[Ref]],Summary!$A$4:$K$228,6,0),""))</f>
        <v>7.2191517392902824</v>
      </c>
      <c r="H90" s="229">
        <f>IFERROR(IF(Table10[[#This Row],[Column5]]-Table10[[#This Row],[Column3]]=0,"",Table10[[#This Row],[Column5]]-Table10[[#This Row],[Column3]]),"")</f>
        <v>5.9164215941122107</v>
      </c>
      <c r="I90" s="220" t="s">
        <v>1175</v>
      </c>
      <c r="J90" s="223" t="s">
        <v>1175</v>
      </c>
      <c r="K90" s="40" t="s">
        <v>181</v>
      </c>
      <c r="L90" s="1"/>
    </row>
    <row r="91" spans="1:12" x14ac:dyDescent="0.25">
      <c r="A91" s="223" t="s">
        <v>1276</v>
      </c>
      <c r="B91" s="235" t="s">
        <v>80</v>
      </c>
      <c r="C91" s="250" t="s">
        <v>184</v>
      </c>
      <c r="D91" s="229" t="s">
        <v>1259</v>
      </c>
      <c r="E91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0.43179576299482136</v>
      </c>
      <c r="F91" s="229" t="s">
        <v>1259</v>
      </c>
      <c r="G91" s="229">
        <f>IF(Table10[[#This Row],[Ref]]="RGA",IFERROR(VLOOKUP(Table10[[#This Row],[Ref]]&amp;"_T2",Summary!$A$4:$K$228,6,0),""),IFERROR(VLOOKUP(Table10[[#This Row],[Ref]],Summary!$A$4:$K$228,6,0),""))</f>
        <v>7.5199497284273766</v>
      </c>
      <c r="H91" s="229">
        <f>IFERROR(IF(Table10[[#This Row],[Column5]]-Table10[[#This Row],[Column3]]=0,"",Table10[[#This Row],[Column5]]-Table10[[#This Row],[Column3]]),"")</f>
        <v>7.0881539654325554</v>
      </c>
      <c r="I91" s="220" t="s">
        <v>1175</v>
      </c>
      <c r="J91" s="223" t="s">
        <v>1175</v>
      </c>
      <c r="K91" s="40" t="s">
        <v>184</v>
      </c>
      <c r="L91" s="1"/>
    </row>
    <row r="92" spans="1:12" x14ac:dyDescent="0.25">
      <c r="A92" s="223" t="s">
        <v>1276</v>
      </c>
      <c r="B92" s="235" t="s">
        <v>1148</v>
      </c>
      <c r="C92" s="250" t="s">
        <v>92</v>
      </c>
      <c r="D92" s="229" t="s">
        <v>1257</v>
      </c>
      <c r="E92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4.4031830485992938</v>
      </c>
      <c r="F92" s="229" t="s">
        <v>1257</v>
      </c>
      <c r="G92" s="229">
        <f>IF(Table10[[#This Row],[Ref]]="RGA",IFERROR(VLOOKUP(Table10[[#This Row],[Ref]]&amp;"_T2",Summary!$A$4:$K$228,6,0),""),IFERROR(VLOOKUP(Table10[[#This Row],[Ref]],Summary!$A$4:$K$228,6,0),""))</f>
        <v>6.8454256193754901</v>
      </c>
      <c r="H92" s="229">
        <f>IFERROR(IF(Table10[[#This Row],[Column5]]-Table10[[#This Row],[Column3]]=0,"",Table10[[#This Row],[Column5]]-Table10[[#This Row],[Column3]]),"")</f>
        <v>2.4422425707761963</v>
      </c>
      <c r="I92" s="220" t="s">
        <v>1298</v>
      </c>
      <c r="J92" s="220" t="s">
        <v>1298</v>
      </c>
      <c r="K92" s="40" t="s">
        <v>92</v>
      </c>
      <c r="L92" s="1"/>
    </row>
    <row r="93" spans="1:12" x14ac:dyDescent="0.25">
      <c r="A93" s="223" t="s">
        <v>1276</v>
      </c>
      <c r="B93" s="235" t="s">
        <v>1148</v>
      </c>
      <c r="C93" s="250" t="s">
        <v>105</v>
      </c>
      <c r="D93" s="229" t="s">
        <v>1257</v>
      </c>
      <c r="E93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2.1529941471140743</v>
      </c>
      <c r="F93" s="229" t="s">
        <v>1257</v>
      </c>
      <c r="G93" s="229">
        <f>IF(Table10[[#This Row],[Ref]]="RGA",IFERROR(VLOOKUP(Table10[[#This Row],[Ref]]&amp;"_T2",Summary!$A$4:$K$228,6,0),""),IFERROR(VLOOKUP(Table10[[#This Row],[Ref]],Summary!$A$4:$K$228,6,0),""))</f>
        <v>5.8186514829468861</v>
      </c>
      <c r="H93" s="229">
        <f>IFERROR(IF(Table10[[#This Row],[Column5]]-Table10[[#This Row],[Column3]]=0,"",Table10[[#This Row],[Column5]]-Table10[[#This Row],[Column3]]),"")</f>
        <v>3.6656573358328117</v>
      </c>
      <c r="I93" s="220" t="s">
        <v>1299</v>
      </c>
      <c r="J93" s="220" t="s">
        <v>1299</v>
      </c>
      <c r="K93" s="40" t="s">
        <v>105</v>
      </c>
      <c r="L93" s="1"/>
    </row>
    <row r="94" spans="1:12" x14ac:dyDescent="0.25">
      <c r="A94" s="223" t="s">
        <v>1276</v>
      </c>
      <c r="B94" s="235" t="s">
        <v>1148</v>
      </c>
      <c r="C94" s="250" t="s">
        <v>116</v>
      </c>
      <c r="D94" s="229" t="s">
        <v>1256</v>
      </c>
      <c r="E94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4.3733915530066065</v>
      </c>
      <c r="F94" s="229" t="s">
        <v>1256</v>
      </c>
      <c r="G94" s="229">
        <f>IF(Table10[[#This Row],[Ref]]="RGA",IFERROR(VLOOKUP(Table10[[#This Row],[Ref]]&amp;"_T2",Summary!$A$4:$K$228,6,0),""),IFERROR(VLOOKUP(Table10[[#This Row],[Ref]],Summary!$A$4:$K$228,6,0),""))</f>
        <v>5.8186514829468861</v>
      </c>
      <c r="H94" s="229">
        <f>IFERROR(IF(Table10[[#This Row],[Column5]]-Table10[[#This Row],[Column3]]=0,"",Table10[[#This Row],[Column5]]-Table10[[#This Row],[Column3]]),"")</f>
        <v>1.4452599299402795</v>
      </c>
      <c r="I94" s="220" t="s">
        <v>1300</v>
      </c>
      <c r="J94" s="223" t="s">
        <v>1300</v>
      </c>
      <c r="K94" s="40" t="s">
        <v>116</v>
      </c>
      <c r="L94" s="1"/>
    </row>
    <row r="95" spans="1:12" x14ac:dyDescent="0.25">
      <c r="A95" s="223" t="s">
        <v>1276</v>
      </c>
      <c r="B95" s="235" t="s">
        <v>1148</v>
      </c>
      <c r="C95" s="250" t="s">
        <v>127</v>
      </c>
      <c r="D95" s="229" t="s">
        <v>1254</v>
      </c>
      <c r="E95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0.8380720103918059</v>
      </c>
      <c r="F95" s="229" t="s">
        <v>1254</v>
      </c>
      <c r="G95" s="229">
        <f>IF(Table10[[#This Row],[Ref]]="RGA",IFERROR(VLOOKUP(Table10[[#This Row],[Ref]]&amp;"_T2",Summary!$A$4:$K$228,6,0),""),IFERROR(VLOOKUP(Table10[[#This Row],[Ref]],Summary!$A$4:$K$228,6,0),""))</f>
        <v>6.8454256193754901</v>
      </c>
      <c r="H95" s="229">
        <f>IFERROR(IF(Table10[[#This Row],[Column5]]-Table10[[#This Row],[Column3]]=0,"",Table10[[#This Row],[Column5]]-Table10[[#This Row],[Column3]]),"")</f>
        <v>6.0073536089836841</v>
      </c>
      <c r="I95" s="220" t="s">
        <v>1175</v>
      </c>
      <c r="J95" s="223" t="s">
        <v>1175</v>
      </c>
      <c r="K95" s="40" t="s">
        <v>127</v>
      </c>
      <c r="L95" s="1"/>
    </row>
    <row r="96" spans="1:12" x14ac:dyDescent="0.25">
      <c r="A96" s="223" t="s">
        <v>1276</v>
      </c>
      <c r="B96" s="235" t="s">
        <v>1148</v>
      </c>
      <c r="C96" s="250" t="s">
        <v>134</v>
      </c>
      <c r="D96" s="229" t="s">
        <v>1257</v>
      </c>
      <c r="E96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3.7989742786100891</v>
      </c>
      <c r="F96" s="229" t="s">
        <v>1257</v>
      </c>
      <c r="G96" s="229">
        <f>IF(Table10[[#This Row],[Ref]]="RGA",IFERROR(VLOOKUP(Table10[[#This Row],[Ref]]&amp;"_T2",Summary!$A$4:$K$228,6,0),""),IFERROR(VLOOKUP(Table10[[#This Row],[Ref]],Summary!$A$4:$K$228,6,0),""))</f>
        <v>4.7906897209596027</v>
      </c>
      <c r="H96" s="229">
        <f>IFERROR(IF(Table10[[#This Row],[Column5]]-Table10[[#This Row],[Column3]]=0,"",Table10[[#This Row],[Column5]]-Table10[[#This Row],[Column3]]),"")</f>
        <v>0.99171544234951359</v>
      </c>
      <c r="I96" s="220" t="s">
        <v>1300</v>
      </c>
      <c r="J96" s="223" t="s">
        <v>1300</v>
      </c>
      <c r="K96" s="40" t="s">
        <v>134</v>
      </c>
      <c r="L96" s="1"/>
    </row>
    <row r="97" spans="1:12" x14ac:dyDescent="0.25">
      <c r="A97" s="223" t="s">
        <v>1276</v>
      </c>
      <c r="B97" s="235" t="s">
        <v>1148</v>
      </c>
      <c r="C97" s="250" t="s">
        <v>139</v>
      </c>
      <c r="D97" s="229" t="s">
        <v>1257</v>
      </c>
      <c r="E97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3.9689720003358655</v>
      </c>
      <c r="F97" s="229" t="s">
        <v>1257</v>
      </c>
      <c r="G97" s="229">
        <f>IF(Table10[[#This Row],[Ref]]="RGA",IFERROR(VLOOKUP(Table10[[#This Row],[Ref]]&amp;"_T2",Summary!$A$4:$K$228,6,0),""),IFERROR(VLOOKUP(Table10[[#This Row],[Ref]],Summary!$A$4:$K$228,6,0),""))</f>
        <v>5.8186514829468861</v>
      </c>
      <c r="H97" s="229">
        <f>IFERROR(IF(Table10[[#This Row],[Column5]]-Table10[[#This Row],[Column3]]=0,"",Table10[[#This Row],[Column5]]-Table10[[#This Row],[Column3]]),"")</f>
        <v>1.8496794826110206</v>
      </c>
      <c r="I97" s="220" t="s">
        <v>1301</v>
      </c>
      <c r="J97" s="223" t="s">
        <v>1301</v>
      </c>
      <c r="K97" s="40" t="s">
        <v>139</v>
      </c>
      <c r="L97" s="1"/>
    </row>
    <row r="98" spans="1:12" x14ac:dyDescent="0.25">
      <c r="A98" s="223" t="s">
        <v>1276</v>
      </c>
      <c r="B98" s="235" t="s">
        <v>82</v>
      </c>
      <c r="C98" s="250" t="s">
        <v>176</v>
      </c>
      <c r="D98" s="229" t="s">
        <v>1256</v>
      </c>
      <c r="E98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1.32</v>
      </c>
      <c r="F98" s="229" t="s">
        <v>1256</v>
      </c>
      <c r="G98" s="229">
        <f>IF(Table10[[#This Row],[Ref]]="RGA",IFERROR(VLOOKUP(Table10[[#This Row],[Ref]]&amp;"_T2",Summary!$A$4:$K$228,6,0),""),IFERROR(VLOOKUP(Table10[[#This Row],[Ref]],Summary!$A$4:$K$228,6,0),""))</f>
        <v>3.05979332525397</v>
      </c>
      <c r="H98" s="229">
        <f>IFERROR(IF(Table10[[#This Row],[Column5]]-Table10[[#This Row],[Column3]]=0,"",Table10[[#This Row],[Column5]]-Table10[[#This Row],[Column3]]),"")</f>
        <v>1.7397933252539699</v>
      </c>
      <c r="I98" s="220">
        <v>2019</v>
      </c>
      <c r="J98" s="223" t="s">
        <v>1175</v>
      </c>
      <c r="K98" s="40" t="s">
        <v>176</v>
      </c>
      <c r="L98" s="1"/>
    </row>
    <row r="99" spans="1:12" x14ac:dyDescent="0.25">
      <c r="A99" s="223" t="s">
        <v>1276</v>
      </c>
      <c r="B99" s="235" t="s">
        <v>82</v>
      </c>
      <c r="C99" s="250" t="s">
        <v>182</v>
      </c>
      <c r="D99" s="229" t="s">
        <v>1256</v>
      </c>
      <c r="E99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1.54</v>
      </c>
      <c r="F99" s="229" t="s">
        <v>1256</v>
      </c>
      <c r="G99" s="229">
        <f>IF(Table10[[#This Row],[Ref]]="RGA",IFERROR(VLOOKUP(Table10[[#This Row],[Ref]]&amp;"_T2",Summary!$A$4:$K$228,6,0),""),IFERROR(VLOOKUP(Table10[[#This Row],[Ref]],Summary!$A$4:$K$228,6,0),""))</f>
        <v>4.4471530317355841</v>
      </c>
      <c r="H99" s="229">
        <f>IFERROR(IF(Table10[[#This Row],[Column5]]-Table10[[#This Row],[Column3]]=0,"",Table10[[#This Row],[Column5]]-Table10[[#This Row],[Column3]]),"")</f>
        <v>2.907153031735584</v>
      </c>
      <c r="I99" s="220">
        <v>2019</v>
      </c>
      <c r="J99" s="223" t="s">
        <v>1175</v>
      </c>
      <c r="K99" s="40" t="s">
        <v>182</v>
      </c>
      <c r="L99" s="1"/>
    </row>
    <row r="100" spans="1:12" x14ac:dyDescent="0.25">
      <c r="A100" s="223" t="s">
        <v>1276</v>
      </c>
      <c r="B100" s="235" t="s">
        <v>82</v>
      </c>
      <c r="C100" s="250" t="s">
        <v>185</v>
      </c>
      <c r="D100" s="229" t="s">
        <v>1259</v>
      </c>
      <c r="E100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1.82</v>
      </c>
      <c r="F100" s="229" t="s">
        <v>1259</v>
      </c>
      <c r="G100" s="229">
        <f>IF(Table10[[#This Row],[Ref]]="RGA",IFERROR(VLOOKUP(Table10[[#This Row],[Ref]]&amp;"_T2",Summary!$A$4:$K$228,6,0),""),IFERROR(VLOOKUP(Table10[[#This Row],[Ref]],Summary!$A$4:$K$228,6,0),""))</f>
        <v>4.3439834253827438</v>
      </c>
      <c r="H100" s="229">
        <f>IFERROR(IF(Table10[[#This Row],[Column5]]-Table10[[#This Row],[Column3]]=0,"",Table10[[#This Row],[Column5]]-Table10[[#This Row],[Column3]]),"")</f>
        <v>2.5239834253827436</v>
      </c>
      <c r="I100" s="220">
        <v>2024</v>
      </c>
      <c r="J100" s="223" t="s">
        <v>1175</v>
      </c>
      <c r="K100" s="40" t="s">
        <v>185</v>
      </c>
      <c r="L100" s="1"/>
    </row>
    <row r="101" spans="1:12" x14ac:dyDescent="0.25">
      <c r="A101" s="223" t="s">
        <v>1276</v>
      </c>
      <c r="B101" s="235" t="s">
        <v>82</v>
      </c>
      <c r="C101" s="250" t="s">
        <v>187</v>
      </c>
      <c r="D101" s="229" t="s">
        <v>1259</v>
      </c>
      <c r="E101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1.1200000000000001</v>
      </c>
      <c r="F101" s="229" t="s">
        <v>1259</v>
      </c>
      <c r="G101" s="229">
        <f>IF(Table10[[#This Row],[Ref]]="RGA",IFERROR(VLOOKUP(Table10[[#This Row],[Ref]]&amp;"_T2",Summary!$A$4:$K$228,6,0),""),IFERROR(VLOOKUP(Table10[[#This Row],[Ref]],Summary!$A$4:$K$228,6,0),""))</f>
        <v>4.4945748507960124</v>
      </c>
      <c r="H101" s="229">
        <f>IFERROR(IF(Table10[[#This Row],[Column5]]-Table10[[#This Row],[Column3]]=0,"",Table10[[#This Row],[Column5]]-Table10[[#This Row],[Column3]]),"")</f>
        <v>3.3745748507960123</v>
      </c>
      <c r="I101" s="220" t="s">
        <v>1175</v>
      </c>
      <c r="J101" s="223" t="s">
        <v>1175</v>
      </c>
      <c r="K101" s="40" t="s">
        <v>187</v>
      </c>
      <c r="L101" s="1"/>
    </row>
    <row r="102" spans="1:12" x14ac:dyDescent="0.25">
      <c r="A102" s="223" t="s">
        <v>1276</v>
      </c>
      <c r="B102" s="235" t="s">
        <v>82</v>
      </c>
      <c r="C102" s="250" t="s">
        <v>189</v>
      </c>
      <c r="D102" s="229" t="s">
        <v>1258</v>
      </c>
      <c r="E102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</v>
      </c>
      <c r="F102" s="229" t="s">
        <v>1258</v>
      </c>
      <c r="G102" s="229">
        <f>IF(Table10[[#This Row],[Ref]]="RGA",IFERROR(VLOOKUP(Table10[[#This Row],[Ref]]&amp;"_T2",Summary!$A$4:$K$228,6,0),""),IFERROR(VLOOKUP(Table10[[#This Row],[Ref]],Summary!$A$4:$K$228,6,0),""))</f>
        <v>3.8371853590880907</v>
      </c>
      <c r="H102" s="229">
        <f>IFERROR(IF(Table10[[#This Row],[Column5]]-Table10[[#This Row],[Column3]]=0,"",Table10[[#This Row],[Column5]]-Table10[[#This Row],[Column3]]),"")</f>
        <v>2.8371853590880907</v>
      </c>
      <c r="I102" s="220" t="s">
        <v>1175</v>
      </c>
      <c r="J102" s="223" t="s">
        <v>1175</v>
      </c>
      <c r="K102" s="40" t="s">
        <v>189</v>
      </c>
      <c r="L102" s="1"/>
    </row>
    <row r="103" spans="1:12" x14ac:dyDescent="0.25">
      <c r="A103" s="223" t="s">
        <v>1276</v>
      </c>
      <c r="B103" s="235" t="s">
        <v>82</v>
      </c>
      <c r="C103" s="250" t="s">
        <v>191</v>
      </c>
      <c r="D103" s="229" t="s">
        <v>1258</v>
      </c>
      <c r="E103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1.67</v>
      </c>
      <c r="F103" s="229" t="s">
        <v>1258</v>
      </c>
      <c r="G103" s="229">
        <f>IF(Table10[[#This Row],[Ref]]="RGA",IFERROR(VLOOKUP(Table10[[#This Row],[Ref]]&amp;"_T2",Summary!$A$4:$K$228,6,0),""),IFERROR(VLOOKUP(Table10[[#This Row],[Ref]],Summary!$A$4:$K$228,6,0),""))</f>
        <v>3.3552819378070677</v>
      </c>
      <c r="H103" s="229">
        <f>IFERROR(IF(Table10[[#This Row],[Column5]]-Table10[[#This Row],[Column3]]=0,"",Table10[[#This Row],[Column5]]-Table10[[#This Row],[Column3]]),"")</f>
        <v>1.6852819378070678</v>
      </c>
      <c r="I103" s="220">
        <v>2019</v>
      </c>
      <c r="J103" s="223" t="s">
        <v>1175</v>
      </c>
      <c r="K103" s="40" t="s">
        <v>191</v>
      </c>
      <c r="L103" s="1"/>
    </row>
    <row r="104" spans="1:12" x14ac:dyDescent="0.25">
      <c r="A104" s="223" t="s">
        <v>1276</v>
      </c>
      <c r="B104" s="235" t="s">
        <v>82</v>
      </c>
      <c r="C104" s="250" t="s">
        <v>193</v>
      </c>
      <c r="D104" s="229" t="s">
        <v>1256</v>
      </c>
      <c r="E104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1.83</v>
      </c>
      <c r="F104" s="229" t="s">
        <v>1256</v>
      </c>
      <c r="G104" s="229">
        <f>IF(Table10[[#This Row],[Ref]]="RGA",IFERROR(VLOOKUP(Table10[[#This Row],[Ref]]&amp;"_T2",Summary!$A$4:$K$228,6,0),""),IFERROR(VLOOKUP(Table10[[#This Row],[Ref]],Summary!$A$4:$K$228,6,0),""))</f>
        <v>3.2888407113158382</v>
      </c>
      <c r="H104" s="229">
        <f>IFERROR(IF(Table10[[#This Row],[Column5]]-Table10[[#This Row],[Column3]]=0,"",Table10[[#This Row],[Column5]]-Table10[[#This Row],[Column3]]),"")</f>
        <v>1.4588407113158381</v>
      </c>
      <c r="I104" s="220">
        <v>2019</v>
      </c>
      <c r="J104" s="223" t="s">
        <v>1175</v>
      </c>
      <c r="K104" s="40" t="s">
        <v>193</v>
      </c>
      <c r="L104" s="1"/>
    </row>
    <row r="105" spans="1:12" x14ac:dyDescent="0.25">
      <c r="A105" s="223" t="s">
        <v>1276</v>
      </c>
      <c r="B105" s="235" t="s">
        <v>82</v>
      </c>
      <c r="C105" s="250" t="s">
        <v>195</v>
      </c>
      <c r="D105" s="229" t="s">
        <v>1258</v>
      </c>
      <c r="E105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1.97</v>
      </c>
      <c r="F105" s="229" t="s">
        <v>1258</v>
      </c>
      <c r="G105" s="229">
        <f>IF(Table10[[#This Row],[Ref]]="RGA",IFERROR(VLOOKUP(Table10[[#This Row],[Ref]]&amp;"_T2",Summary!$A$4:$K$228,6,0),""),IFERROR(VLOOKUP(Table10[[#This Row],[Ref]],Summary!$A$4:$K$228,6,0),""))</f>
        <v>3.2000677900319552</v>
      </c>
      <c r="H105" s="229">
        <f>IFERROR(IF(Table10[[#This Row],[Column5]]-Table10[[#This Row],[Column3]]=0,"",Table10[[#This Row],[Column5]]-Table10[[#This Row],[Column3]]),"")</f>
        <v>1.2300677900319552</v>
      </c>
      <c r="I105" s="220">
        <v>2024</v>
      </c>
      <c r="J105" s="223" t="s">
        <v>1175</v>
      </c>
      <c r="K105" s="40" t="s">
        <v>195</v>
      </c>
      <c r="L105" s="1"/>
    </row>
    <row r="106" spans="1:12" x14ac:dyDescent="0.25">
      <c r="A106" s="223" t="s">
        <v>1276</v>
      </c>
      <c r="B106" s="235" t="s">
        <v>82</v>
      </c>
      <c r="C106" s="250" t="s">
        <v>197</v>
      </c>
      <c r="D106" s="229" t="s">
        <v>1256</v>
      </c>
      <c r="E106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1.1000000000000001</v>
      </c>
      <c r="F106" s="229" t="s">
        <v>1256</v>
      </c>
      <c r="G106" s="229">
        <f>IF(Table10[[#This Row],[Ref]]="RGA",IFERROR(VLOOKUP(Table10[[#This Row],[Ref]]&amp;"_T2",Summary!$A$4:$K$228,6,0),""),IFERROR(VLOOKUP(Table10[[#This Row],[Ref]],Summary!$A$4:$K$228,6,0),""))</f>
        <v>4.430863093890399</v>
      </c>
      <c r="H106" s="229">
        <f>IFERROR(IF(Table10[[#This Row],[Column5]]-Table10[[#This Row],[Column3]]=0,"",Table10[[#This Row],[Column5]]-Table10[[#This Row],[Column3]]),"")</f>
        <v>3.3308630938903989</v>
      </c>
      <c r="I106" s="220" t="s">
        <v>1175</v>
      </c>
      <c r="J106" s="223" t="s">
        <v>1175</v>
      </c>
      <c r="K106" s="40" t="s">
        <v>197</v>
      </c>
      <c r="L106" s="1"/>
    </row>
    <row r="107" spans="1:12" x14ac:dyDescent="0.25">
      <c r="A107" s="223" t="s">
        <v>1276</v>
      </c>
      <c r="B107" s="235" t="s">
        <v>82</v>
      </c>
      <c r="C107" s="250" t="s">
        <v>199</v>
      </c>
      <c r="D107" s="229" t="s">
        <v>1258</v>
      </c>
      <c r="E107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1.51</v>
      </c>
      <c r="F107" s="229" t="s">
        <v>1258</v>
      </c>
      <c r="G107" s="229">
        <f>IF(Table10[[#This Row],[Ref]]="RGA",IFERROR(VLOOKUP(Table10[[#This Row],[Ref]]&amp;"_T2",Summary!$A$4:$K$228,6,0),""),IFERROR(VLOOKUP(Table10[[#This Row],[Ref]],Summary!$A$4:$K$228,6,0),""))</f>
        <v>3.8634560942196234</v>
      </c>
      <c r="H107" s="229">
        <f>IFERROR(IF(Table10[[#This Row],[Column5]]-Table10[[#This Row],[Column3]]=0,"",Table10[[#This Row],[Column5]]-Table10[[#This Row],[Column3]]),"")</f>
        <v>2.3534560942196237</v>
      </c>
      <c r="I107" s="220" t="s">
        <v>1175</v>
      </c>
      <c r="J107" s="223" t="s">
        <v>1175</v>
      </c>
      <c r="K107" s="40" t="s">
        <v>199</v>
      </c>
      <c r="L107" s="1"/>
    </row>
    <row r="108" spans="1:12" x14ac:dyDescent="0.25">
      <c r="A108" s="223" t="s">
        <v>1276</v>
      </c>
      <c r="B108" s="235" t="s">
        <v>82</v>
      </c>
      <c r="C108" s="250" t="s">
        <v>207</v>
      </c>
      <c r="D108" s="229" t="s">
        <v>1256</v>
      </c>
      <c r="E108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1.04</v>
      </c>
      <c r="F108" s="229" t="s">
        <v>1256</v>
      </c>
      <c r="G108" s="229">
        <f>IF(Table10[[#This Row],[Ref]]="RGA",IFERROR(VLOOKUP(Table10[[#This Row],[Ref]]&amp;"_T2",Summary!$A$4:$K$228,6,0),""),IFERROR(VLOOKUP(Table10[[#This Row],[Ref]],Summary!$A$4:$K$228,6,0),""))</f>
        <v>3.8105117766515302</v>
      </c>
      <c r="H108" s="229">
        <f>IFERROR(IF(Table10[[#This Row],[Column5]]-Table10[[#This Row],[Column3]]=0,"",Table10[[#This Row],[Column5]]-Table10[[#This Row],[Column3]]),"")</f>
        <v>2.7705117766515301</v>
      </c>
      <c r="I108" s="220" t="s">
        <v>1175</v>
      </c>
      <c r="J108" s="223" t="s">
        <v>1175</v>
      </c>
      <c r="K108" s="40" t="s">
        <v>207</v>
      </c>
      <c r="L108" s="1"/>
    </row>
    <row r="109" spans="1:12" x14ac:dyDescent="0.25">
      <c r="A109" s="223" t="s">
        <v>1276</v>
      </c>
      <c r="B109" s="235" t="s">
        <v>82</v>
      </c>
      <c r="C109" s="250" t="s">
        <v>210</v>
      </c>
      <c r="D109" s="229" t="s">
        <v>1256</v>
      </c>
      <c r="E109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0.94</v>
      </c>
      <c r="F109" s="229" t="s">
        <v>1256</v>
      </c>
      <c r="G109" s="229">
        <f>IF(Table10[[#This Row],[Ref]]="RGA",IFERROR(VLOOKUP(Table10[[#This Row],[Ref]]&amp;"_T2",Summary!$A$4:$K$228,6,0),""),IFERROR(VLOOKUP(Table10[[#This Row],[Ref]],Summary!$A$4:$K$228,6,0),""))</f>
        <v>2.1035186463624349</v>
      </c>
      <c r="H109" s="229">
        <f>IFERROR(IF(Table10[[#This Row],[Column5]]-Table10[[#This Row],[Column3]]=0,"",Table10[[#This Row],[Column5]]-Table10[[#This Row],[Column3]]),"")</f>
        <v>1.163518646362435</v>
      </c>
      <c r="I109" s="220" t="s">
        <v>1175</v>
      </c>
      <c r="J109" s="223" t="s">
        <v>1175</v>
      </c>
      <c r="K109" s="40" t="s">
        <v>210</v>
      </c>
      <c r="L109" s="1"/>
    </row>
    <row r="110" spans="1:12" x14ac:dyDescent="0.25">
      <c r="A110" s="223" t="s">
        <v>1276</v>
      </c>
      <c r="B110" s="235" t="s">
        <v>82</v>
      </c>
      <c r="C110" s="250" t="s">
        <v>213</v>
      </c>
      <c r="D110" s="229" t="s">
        <v>1256</v>
      </c>
      <c r="E110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1.23</v>
      </c>
      <c r="F110" s="229" t="s">
        <v>1256</v>
      </c>
      <c r="G110" s="229">
        <f>IF(Table10[[#This Row],[Ref]]="RGA",IFERROR(VLOOKUP(Table10[[#This Row],[Ref]]&amp;"_T2",Summary!$A$4:$K$228,6,0),""),IFERROR(VLOOKUP(Table10[[#This Row],[Ref]],Summary!$A$4:$K$228,6,0),""))</f>
        <v>3.8105117766515302</v>
      </c>
      <c r="H110" s="229">
        <f>IFERROR(IF(Table10[[#This Row],[Column5]]-Table10[[#This Row],[Column3]]=0,"",Table10[[#This Row],[Column5]]-Table10[[#This Row],[Column3]]),"")</f>
        <v>2.5805117766515302</v>
      </c>
      <c r="I110" s="220" t="s">
        <v>1175</v>
      </c>
      <c r="J110" s="223" t="s">
        <v>1175</v>
      </c>
      <c r="K110" s="40" t="s">
        <v>213</v>
      </c>
      <c r="L110" s="1"/>
    </row>
    <row r="111" spans="1:12" x14ac:dyDescent="0.25">
      <c r="A111" s="223" t="s">
        <v>1276</v>
      </c>
      <c r="B111" s="235" t="s">
        <v>82</v>
      </c>
      <c r="C111" s="250" t="s">
        <v>216</v>
      </c>
      <c r="D111" s="229" t="s">
        <v>1256</v>
      </c>
      <c r="E111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2.08</v>
      </c>
      <c r="F111" s="229" t="s">
        <v>1256</v>
      </c>
      <c r="G111" s="229">
        <f>IF(Table10[[#This Row],[Ref]]="RGA",IFERROR(VLOOKUP(Table10[[#This Row],[Ref]]&amp;"_T2",Summary!$A$4:$K$228,6,0),""),IFERROR(VLOOKUP(Table10[[#This Row],[Ref]],Summary!$A$4:$K$228,6,0),""))</f>
        <v>3.4582633048781415</v>
      </c>
      <c r="H111" s="229">
        <f>IFERROR(IF(Table10[[#This Row],[Column5]]-Table10[[#This Row],[Column3]]=0,"",Table10[[#This Row],[Column5]]-Table10[[#This Row],[Column3]]),"")</f>
        <v>1.3782633048781414</v>
      </c>
      <c r="I111" s="220">
        <v>2019</v>
      </c>
      <c r="J111" s="223" t="s">
        <v>1175</v>
      </c>
      <c r="K111" s="40" t="s">
        <v>216</v>
      </c>
      <c r="L111" s="1"/>
    </row>
    <row r="112" spans="1:12" x14ac:dyDescent="0.25">
      <c r="A112" s="223" t="s">
        <v>1276</v>
      </c>
      <c r="B112" s="235" t="s">
        <v>82</v>
      </c>
      <c r="C112" s="250" t="s">
        <v>218</v>
      </c>
      <c r="D112" s="229" t="s">
        <v>1258</v>
      </c>
      <c r="E112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0.84</v>
      </c>
      <c r="F112" s="229" t="s">
        <v>1258</v>
      </c>
      <c r="G112" s="229">
        <f>IF(Table10[[#This Row],[Ref]]="RGA",IFERROR(VLOOKUP(Table10[[#This Row],[Ref]]&amp;"_T2",Summary!$A$4:$K$228,6,0),""),IFERROR(VLOOKUP(Table10[[#This Row],[Ref]],Summary!$A$4:$K$228,6,0),""))</f>
        <v>3.0574403342318877</v>
      </c>
      <c r="H112" s="229">
        <f>IFERROR(IF(Table10[[#This Row],[Column5]]-Table10[[#This Row],[Column3]]=0,"",Table10[[#This Row],[Column5]]-Table10[[#This Row],[Column3]]),"")</f>
        <v>2.2174403342318878</v>
      </c>
      <c r="I112" s="220" t="s">
        <v>1175</v>
      </c>
      <c r="J112" s="223" t="s">
        <v>1175</v>
      </c>
      <c r="K112" s="40" t="s">
        <v>218</v>
      </c>
      <c r="L112" s="1"/>
    </row>
    <row r="113" spans="1:12" x14ac:dyDescent="0.25">
      <c r="A113" s="223" t="s">
        <v>1276</v>
      </c>
      <c r="B113" s="235" t="s">
        <v>82</v>
      </c>
      <c r="C113" s="250" t="s">
        <v>219</v>
      </c>
      <c r="D113" s="229" t="s">
        <v>1256</v>
      </c>
      <c r="E113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0.84</v>
      </c>
      <c r="F113" s="229" t="s">
        <v>1256</v>
      </c>
      <c r="G113" s="229">
        <f>IF(Table10[[#This Row],[Ref]]="RGA",IFERROR(VLOOKUP(Table10[[#This Row],[Ref]]&amp;"_T2",Summary!$A$4:$K$228,6,0),""),IFERROR(VLOOKUP(Table10[[#This Row],[Ref]],Summary!$A$4:$K$228,6,0),""))</f>
        <v>3.8105117766515302</v>
      </c>
      <c r="H113" s="229">
        <f>IFERROR(IF(Table10[[#This Row],[Column5]]-Table10[[#This Row],[Column3]]=0,"",Table10[[#This Row],[Column5]]-Table10[[#This Row],[Column3]]),"")</f>
        <v>2.9705117766515303</v>
      </c>
      <c r="I113" s="220" t="s">
        <v>1175</v>
      </c>
      <c r="J113" s="223" t="s">
        <v>1175</v>
      </c>
      <c r="K113" s="40" t="s">
        <v>219</v>
      </c>
      <c r="L113" s="1"/>
    </row>
    <row r="114" spans="1:12" x14ac:dyDescent="0.25">
      <c r="A114" s="223" t="s">
        <v>1276</v>
      </c>
      <c r="B114" s="235" t="s">
        <v>82</v>
      </c>
      <c r="C114" s="250" t="s">
        <v>220</v>
      </c>
      <c r="D114" s="229" t="s">
        <v>1256</v>
      </c>
      <c r="E114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1.53</v>
      </c>
      <c r="F114" s="229" t="s">
        <v>1256</v>
      </c>
      <c r="G114" s="229">
        <f>IF(Table10[[#This Row],[Ref]]="RGA",IFERROR(VLOOKUP(Table10[[#This Row],[Ref]]&amp;"_T2",Summary!$A$4:$K$228,6,0),""),IFERROR(VLOOKUP(Table10[[#This Row],[Ref]],Summary!$A$4:$K$228,6,0),""))</f>
        <v>3.1549844058386221</v>
      </c>
      <c r="H114" s="229">
        <f>IFERROR(IF(Table10[[#This Row],[Column5]]-Table10[[#This Row],[Column3]]=0,"",Table10[[#This Row],[Column5]]-Table10[[#This Row],[Column3]]),"")</f>
        <v>1.624984405838622</v>
      </c>
      <c r="I114" s="220">
        <v>2019</v>
      </c>
      <c r="J114" s="223" t="s">
        <v>1175</v>
      </c>
      <c r="K114" s="40" t="s">
        <v>220</v>
      </c>
      <c r="L114" s="1"/>
    </row>
    <row r="115" spans="1:12" x14ac:dyDescent="0.25">
      <c r="A115" s="223" t="s">
        <v>1276</v>
      </c>
      <c r="B115" s="235" t="s">
        <v>82</v>
      </c>
      <c r="C115" s="250" t="s">
        <v>221</v>
      </c>
      <c r="D115" s="229" t="s">
        <v>1256</v>
      </c>
      <c r="E115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1.32</v>
      </c>
      <c r="F115" s="229" t="s">
        <v>1256</v>
      </c>
      <c r="G115" s="229">
        <f>IF(Table10[[#This Row],[Ref]]="RGA",IFERROR(VLOOKUP(Table10[[#This Row],[Ref]]&amp;"_T2",Summary!$A$4:$K$228,6,0),""),IFERROR(VLOOKUP(Table10[[#This Row],[Ref]],Summary!$A$4:$K$228,6,0),""))</f>
        <v>3.8105117766515302</v>
      </c>
      <c r="H115" s="229">
        <f>IFERROR(IF(Table10[[#This Row],[Column5]]-Table10[[#This Row],[Column3]]=0,"",Table10[[#This Row],[Column5]]-Table10[[#This Row],[Column3]]),"")</f>
        <v>2.4905117766515303</v>
      </c>
      <c r="I115" s="220" t="s">
        <v>1175</v>
      </c>
      <c r="J115" s="223" t="s">
        <v>1175</v>
      </c>
      <c r="K115" s="40" t="s">
        <v>221</v>
      </c>
      <c r="L115" s="1"/>
    </row>
    <row r="116" spans="1:12" x14ac:dyDescent="0.25">
      <c r="A116" s="223" t="s">
        <v>1276</v>
      </c>
      <c r="B116" s="235" t="s">
        <v>82</v>
      </c>
      <c r="C116" s="250" t="s">
        <v>222</v>
      </c>
      <c r="D116" s="229" t="s">
        <v>1256</v>
      </c>
      <c r="E116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0.69</v>
      </c>
      <c r="F116" s="229" t="s">
        <v>1256</v>
      </c>
      <c r="G116" s="229">
        <f>IF(Table10[[#This Row],[Ref]]="RGA",IFERROR(VLOOKUP(Table10[[#This Row],[Ref]]&amp;"_T2",Summary!$A$4:$K$228,6,0),""),IFERROR(VLOOKUP(Table10[[#This Row],[Ref]],Summary!$A$4:$K$228,6,0),""))</f>
        <v>2.9991404566770639</v>
      </c>
      <c r="H116" s="229">
        <f>IFERROR(IF(Table10[[#This Row],[Column5]]-Table10[[#This Row],[Column3]]=0,"",Table10[[#This Row],[Column5]]-Table10[[#This Row],[Column3]]),"")</f>
        <v>2.3091404566770639</v>
      </c>
      <c r="I116" s="220">
        <v>2019</v>
      </c>
      <c r="J116" s="223" t="s">
        <v>1175</v>
      </c>
      <c r="K116" s="40" t="s">
        <v>222</v>
      </c>
      <c r="L116" s="1"/>
    </row>
    <row r="117" spans="1:12" x14ac:dyDescent="0.25">
      <c r="A117" s="223" t="s">
        <v>1276</v>
      </c>
      <c r="B117" s="235" t="s">
        <v>82</v>
      </c>
      <c r="C117" s="250" t="s">
        <v>223</v>
      </c>
      <c r="D117" s="229" t="s">
        <v>1258</v>
      </c>
      <c r="E117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1.54</v>
      </c>
      <c r="F117" s="229" t="s">
        <v>1258</v>
      </c>
      <c r="G117" s="229">
        <f>IF(Table10[[#This Row],[Ref]]="RGA",IFERROR(VLOOKUP(Table10[[#This Row],[Ref]]&amp;"_T2",Summary!$A$4:$K$228,6,0),""),IFERROR(VLOOKUP(Table10[[#This Row],[Ref]],Summary!$A$4:$K$228,6,0),""))</f>
        <v>3.8105117766515302</v>
      </c>
      <c r="H117" s="229">
        <f>IFERROR(IF(Table10[[#This Row],[Column5]]-Table10[[#This Row],[Column3]]=0,"",Table10[[#This Row],[Column5]]-Table10[[#This Row],[Column3]]),"")</f>
        <v>2.2705117766515301</v>
      </c>
      <c r="I117" s="220" t="s">
        <v>1175</v>
      </c>
      <c r="J117" s="223" t="s">
        <v>1175</v>
      </c>
      <c r="K117" s="40" t="s">
        <v>223</v>
      </c>
      <c r="L117" s="1"/>
    </row>
    <row r="118" spans="1:12" x14ac:dyDescent="0.25">
      <c r="A118" s="223" t="s">
        <v>1276</v>
      </c>
      <c r="B118" s="235" t="s">
        <v>82</v>
      </c>
      <c r="C118" s="250" t="s">
        <v>171</v>
      </c>
      <c r="D118" s="229" t="s">
        <v>1258</v>
      </c>
      <c r="E118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0.41</v>
      </c>
      <c r="F118" s="229" t="s">
        <v>1258</v>
      </c>
      <c r="G118" s="229">
        <f>IF(Table10[[#This Row],[Ref]]="RGA",IFERROR(VLOOKUP(Table10[[#This Row],[Ref]]&amp;"_T2",Summary!$A$4:$K$228,6,0),""),IFERROR(VLOOKUP(Table10[[#This Row],[Ref]],Summary!$A$4:$K$228,6,0),""))</f>
        <v>5.2075673303488346</v>
      </c>
      <c r="H118" s="229">
        <f>IFERROR(IF(Table10[[#This Row],[Column5]]-Table10[[#This Row],[Column3]]=0,"",Table10[[#This Row],[Column5]]-Table10[[#This Row],[Column3]]),"")</f>
        <v>4.7975673303488344</v>
      </c>
      <c r="I118" s="220" t="s">
        <v>1175</v>
      </c>
      <c r="J118" s="223" t="s">
        <v>1175</v>
      </c>
      <c r="K118" s="40" t="s">
        <v>171</v>
      </c>
      <c r="L118" s="1"/>
    </row>
    <row r="119" spans="1:12" x14ac:dyDescent="0.25">
      <c r="A119" s="223" t="s">
        <v>1276</v>
      </c>
      <c r="B119" s="235" t="s">
        <v>82</v>
      </c>
      <c r="C119" s="250" t="s">
        <v>177</v>
      </c>
      <c r="D119" s="229" t="s">
        <v>1256</v>
      </c>
      <c r="E119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1.26</v>
      </c>
      <c r="F119" s="229" t="s">
        <v>1256</v>
      </c>
      <c r="G119" s="229">
        <f>IF(Table10[[#This Row],[Ref]]="RGA",IFERROR(VLOOKUP(Table10[[#This Row],[Ref]]&amp;"_T2",Summary!$A$4:$K$228,6,0),""),IFERROR(VLOOKUP(Table10[[#This Row],[Ref]],Summary!$A$4:$K$228,6,0),""))</f>
        <v>4.3531286536467082</v>
      </c>
      <c r="H119" s="229">
        <f>IFERROR(IF(Table10[[#This Row],[Column5]]-Table10[[#This Row],[Column3]]=0,"",Table10[[#This Row],[Column5]]-Table10[[#This Row],[Column3]]),"")</f>
        <v>3.0931286536467084</v>
      </c>
      <c r="I119" s="220" t="s">
        <v>1175</v>
      </c>
      <c r="J119" s="223" t="s">
        <v>1175</v>
      </c>
      <c r="K119" s="40" t="s">
        <v>177</v>
      </c>
      <c r="L119" s="1"/>
    </row>
    <row r="120" spans="1:12" x14ac:dyDescent="0.25">
      <c r="A120" s="223" t="s">
        <v>1276</v>
      </c>
      <c r="B120" s="235" t="s">
        <v>82</v>
      </c>
      <c r="C120" s="250" t="s">
        <v>183</v>
      </c>
      <c r="D120" s="229" t="s">
        <v>1256</v>
      </c>
      <c r="E120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1.27</v>
      </c>
      <c r="F120" s="229" t="s">
        <v>1256</v>
      </c>
      <c r="G120" s="229">
        <f>IF(Table10[[#This Row],[Ref]]="RGA",IFERROR(VLOOKUP(Table10[[#This Row],[Ref]]&amp;"_T2",Summary!$A$4:$K$228,6,0),""),IFERROR(VLOOKUP(Table10[[#This Row],[Ref]],Summary!$A$4:$K$228,6,0),""))</f>
        <v>3.8470774476602769</v>
      </c>
      <c r="H120" s="229">
        <f>IFERROR(IF(Table10[[#This Row],[Column5]]-Table10[[#This Row],[Column3]]=0,"",Table10[[#This Row],[Column5]]-Table10[[#This Row],[Column3]]),"")</f>
        <v>2.5770774476602769</v>
      </c>
      <c r="I120" s="220" t="s">
        <v>1175</v>
      </c>
      <c r="J120" s="223" t="s">
        <v>1175</v>
      </c>
      <c r="K120" s="40" t="s">
        <v>183</v>
      </c>
      <c r="L120" s="1"/>
    </row>
    <row r="121" spans="1:12" x14ac:dyDescent="0.25">
      <c r="A121" s="223" t="s">
        <v>1276</v>
      </c>
      <c r="B121" s="235" t="s">
        <v>82</v>
      </c>
      <c r="C121" s="250" t="s">
        <v>186</v>
      </c>
      <c r="D121" s="229" t="s">
        <v>1259</v>
      </c>
      <c r="E121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1.23</v>
      </c>
      <c r="F121" s="229" t="s">
        <v>1259</v>
      </c>
      <c r="G121" s="229">
        <f>IF(Table10[[#This Row],[Ref]]="RGA",IFERROR(VLOOKUP(Table10[[#This Row],[Ref]]&amp;"_T2",Summary!$A$4:$K$228,6,0),""),IFERROR(VLOOKUP(Table10[[#This Row],[Ref]],Summary!$A$4:$K$228,6,0),""))</f>
        <v>3.2869748942244015</v>
      </c>
      <c r="H121" s="229">
        <f>IFERROR(IF(Table10[[#This Row],[Column5]]-Table10[[#This Row],[Column3]]=0,"",Table10[[#This Row],[Column5]]-Table10[[#This Row],[Column3]]),"")</f>
        <v>2.0569748942244015</v>
      </c>
      <c r="I121" s="220">
        <v>2020</v>
      </c>
      <c r="J121" s="223" t="s">
        <v>1175</v>
      </c>
      <c r="K121" s="40" t="s">
        <v>186</v>
      </c>
      <c r="L121" s="1"/>
    </row>
    <row r="122" spans="1:12" x14ac:dyDescent="0.25">
      <c r="A122" s="223" t="s">
        <v>1276</v>
      </c>
      <c r="B122" s="235" t="s">
        <v>82</v>
      </c>
      <c r="C122" s="250" t="s">
        <v>188</v>
      </c>
      <c r="D122" s="229" t="s">
        <v>1259</v>
      </c>
      <c r="E122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3.52</v>
      </c>
      <c r="F122" s="229" t="s">
        <v>1259</v>
      </c>
      <c r="G122" s="229">
        <f>IF(Table10[[#This Row],[Ref]]="RGA",IFERROR(VLOOKUP(Table10[[#This Row],[Ref]]&amp;"_T2",Summary!$A$4:$K$228,6,0),""),IFERROR(VLOOKUP(Table10[[#This Row],[Ref]],Summary!$A$4:$K$228,6,0),""))</f>
        <v>5.2075673303488328</v>
      </c>
      <c r="H122" s="229">
        <f>IFERROR(IF(Table10[[#This Row],[Column5]]-Table10[[#This Row],[Column3]]=0,"",Table10[[#This Row],[Column5]]-Table10[[#This Row],[Column3]]),"")</f>
        <v>1.6875673303488328</v>
      </c>
      <c r="I122" s="220"/>
      <c r="J122" s="223" t="s">
        <v>1175</v>
      </c>
      <c r="K122" s="40" t="s">
        <v>188</v>
      </c>
      <c r="L122" s="1"/>
    </row>
    <row r="123" spans="1:12" x14ac:dyDescent="0.25">
      <c r="A123" s="223" t="s">
        <v>1276</v>
      </c>
      <c r="B123" s="235" t="s">
        <v>82</v>
      </c>
      <c r="C123" s="250" t="s">
        <v>190</v>
      </c>
      <c r="D123" s="229" t="s">
        <v>1259</v>
      </c>
      <c r="E123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0.99</v>
      </c>
      <c r="F123" s="229" t="s">
        <v>1259</v>
      </c>
      <c r="G123" s="229">
        <f>IF(Table10[[#This Row],[Ref]]="RGA",IFERROR(VLOOKUP(Table10[[#This Row],[Ref]]&amp;"_T2",Summary!$A$4:$K$228,6,0),""),IFERROR(VLOOKUP(Table10[[#This Row],[Ref]],Summary!$A$4:$K$228,6,0),""))</f>
        <v>3.8060129340275437</v>
      </c>
      <c r="H123" s="229">
        <f>IFERROR(IF(Table10[[#This Row],[Column5]]-Table10[[#This Row],[Column3]]=0,"",Table10[[#This Row],[Column5]]-Table10[[#This Row],[Column3]]),"")</f>
        <v>2.8160129340275439</v>
      </c>
      <c r="I123" s="220" t="s">
        <v>1175</v>
      </c>
      <c r="J123" s="223" t="s">
        <v>1175</v>
      </c>
      <c r="K123" s="40" t="s">
        <v>190</v>
      </c>
      <c r="L123" s="1"/>
    </row>
    <row r="124" spans="1:12" x14ac:dyDescent="0.25">
      <c r="A124" s="223" t="s">
        <v>1276</v>
      </c>
      <c r="B124" s="235" t="s">
        <v>82</v>
      </c>
      <c r="C124" s="250" t="s">
        <v>192</v>
      </c>
      <c r="D124" s="229" t="s">
        <v>1259</v>
      </c>
      <c r="E124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1.1299999999999999</v>
      </c>
      <c r="F124" s="229" t="s">
        <v>1259</v>
      </c>
      <c r="G124" s="229">
        <f>IF(Table10[[#This Row],[Ref]]="RGA",IFERROR(VLOOKUP(Table10[[#This Row],[Ref]]&amp;"_T2",Summary!$A$4:$K$228,6,0),""),IFERROR(VLOOKUP(Table10[[#This Row],[Ref]],Summary!$A$4:$K$228,6,0),""))</f>
        <v>3.9413952351559556</v>
      </c>
      <c r="H124" s="229">
        <f>IFERROR(IF(Table10[[#This Row],[Column5]]-Table10[[#This Row],[Column3]]=0,"",Table10[[#This Row],[Column5]]-Table10[[#This Row],[Column3]]),"")</f>
        <v>2.8113952351559557</v>
      </c>
      <c r="I124" s="220"/>
      <c r="J124" s="223" t="s">
        <v>1175</v>
      </c>
      <c r="K124" s="40" t="s">
        <v>192</v>
      </c>
      <c r="L124" s="1"/>
    </row>
    <row r="125" spans="1:12" x14ac:dyDescent="0.25">
      <c r="A125" s="223" t="s">
        <v>1276</v>
      </c>
      <c r="B125" s="235" t="s">
        <v>82</v>
      </c>
      <c r="C125" s="250" t="s">
        <v>194</v>
      </c>
      <c r="D125" s="229" t="s">
        <v>1259</v>
      </c>
      <c r="E125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0.83</v>
      </c>
      <c r="F125" s="229" t="s">
        <v>1259</v>
      </c>
      <c r="G125" s="229">
        <f>IF(Table10[[#This Row],[Ref]]="RGA",IFERROR(VLOOKUP(Table10[[#This Row],[Ref]]&amp;"_T2",Summary!$A$4:$K$228,6,0),""),IFERROR(VLOOKUP(Table10[[#This Row],[Ref]],Summary!$A$4:$K$228,6,0),""))</f>
        <v>3.9413952351559556</v>
      </c>
      <c r="H125" s="229">
        <f>IFERROR(IF(Table10[[#This Row],[Column5]]-Table10[[#This Row],[Column3]]=0,"",Table10[[#This Row],[Column5]]-Table10[[#This Row],[Column3]]),"")</f>
        <v>3.1113952351559555</v>
      </c>
      <c r="I125" s="220" t="s">
        <v>1175</v>
      </c>
      <c r="J125" s="223" t="s">
        <v>1175</v>
      </c>
      <c r="K125" s="40" t="s">
        <v>194</v>
      </c>
      <c r="L125" s="1"/>
    </row>
    <row r="126" spans="1:12" x14ac:dyDescent="0.25">
      <c r="A126" s="223" t="s">
        <v>1276</v>
      </c>
      <c r="B126" s="235" t="s">
        <v>82</v>
      </c>
      <c r="C126" s="250" t="s">
        <v>196</v>
      </c>
      <c r="D126" s="229" t="s">
        <v>1259</v>
      </c>
      <c r="E126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2.0099999999999998</v>
      </c>
      <c r="F126" s="229" t="s">
        <v>1259</v>
      </c>
      <c r="G126" s="229">
        <f>IF(Table10[[#This Row],[Ref]]="RGA",IFERROR(VLOOKUP(Table10[[#This Row],[Ref]]&amp;"_T2",Summary!$A$4:$K$228,6,0),""),IFERROR(VLOOKUP(Table10[[#This Row],[Ref]],Summary!$A$4:$K$228,6,0),""))</f>
        <v>5.2075673303488328</v>
      </c>
      <c r="H126" s="229">
        <f>IFERROR(IF(Table10[[#This Row],[Column5]]-Table10[[#This Row],[Column3]]=0,"",Table10[[#This Row],[Column5]]-Table10[[#This Row],[Column3]]),"")</f>
        <v>3.197567330348833</v>
      </c>
      <c r="I126" s="220"/>
      <c r="J126" s="223" t="s">
        <v>1175</v>
      </c>
      <c r="K126" s="40" t="s">
        <v>196</v>
      </c>
      <c r="L126" s="1"/>
    </row>
    <row r="127" spans="1:12" x14ac:dyDescent="0.25">
      <c r="A127" s="223" t="s">
        <v>1276</v>
      </c>
      <c r="B127" s="235" t="s">
        <v>82</v>
      </c>
      <c r="C127" s="250" t="s">
        <v>198</v>
      </c>
      <c r="D127" s="229" t="s">
        <v>1258</v>
      </c>
      <c r="E127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1.45</v>
      </c>
      <c r="F127" s="229" t="s">
        <v>1258</v>
      </c>
      <c r="G127" s="229">
        <f>IF(Table10[[#This Row],[Ref]]="RGA",IFERROR(VLOOKUP(Table10[[#This Row],[Ref]]&amp;"_T2",Summary!$A$4:$K$228,6,0),""),IFERROR(VLOOKUP(Table10[[#This Row],[Ref]],Summary!$A$4:$K$228,6,0),""))</f>
        <v>3.9994369505379117</v>
      </c>
      <c r="H127" s="229">
        <f>IFERROR(IF(Table10[[#This Row],[Column5]]-Table10[[#This Row],[Column3]]=0,"",Table10[[#This Row],[Column5]]-Table10[[#This Row],[Column3]]),"")</f>
        <v>2.5494369505379115</v>
      </c>
      <c r="I127" s="220" t="s">
        <v>1175</v>
      </c>
      <c r="J127" s="223" t="s">
        <v>1175</v>
      </c>
      <c r="K127" s="40" t="s">
        <v>198</v>
      </c>
      <c r="L127" s="1"/>
    </row>
    <row r="128" spans="1:12" x14ac:dyDescent="0.25">
      <c r="A128" s="223" t="s">
        <v>1276</v>
      </c>
      <c r="B128" s="235" t="s">
        <v>82</v>
      </c>
      <c r="C128" s="250" t="s">
        <v>200</v>
      </c>
      <c r="D128" s="229" t="s">
        <v>1258</v>
      </c>
      <c r="E128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1.1299999999999999</v>
      </c>
      <c r="F128" s="229" t="s">
        <v>1258</v>
      </c>
      <c r="G128" s="229">
        <f>IF(Table10[[#This Row],[Ref]]="RGA",IFERROR(VLOOKUP(Table10[[#This Row],[Ref]]&amp;"_T2",Summary!$A$4:$K$228,6,0),""),IFERROR(VLOOKUP(Table10[[#This Row],[Ref]],Summary!$A$4:$K$228,6,0),""))</f>
        <v>2.5879349845929673</v>
      </c>
      <c r="H128" s="229">
        <f>IFERROR(IF(Table10[[#This Row],[Column5]]-Table10[[#This Row],[Column3]]=0,"",Table10[[#This Row],[Column5]]-Table10[[#This Row],[Column3]]),"")</f>
        <v>1.4579349845929674</v>
      </c>
      <c r="I128" s="220">
        <v>2020</v>
      </c>
      <c r="J128" s="223" t="s">
        <v>1175</v>
      </c>
      <c r="K128" s="40" t="s">
        <v>200</v>
      </c>
      <c r="L128" s="1"/>
    </row>
    <row r="129" spans="1:12" x14ac:dyDescent="0.25">
      <c r="A129" s="223" t="s">
        <v>1276</v>
      </c>
      <c r="B129" s="235" t="s">
        <v>82</v>
      </c>
      <c r="C129" s="250" t="s">
        <v>201</v>
      </c>
      <c r="D129" s="229" t="s">
        <v>1258</v>
      </c>
      <c r="E129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1.34</v>
      </c>
      <c r="F129" s="229" t="s">
        <v>1258</v>
      </c>
      <c r="G129" s="229">
        <f>IF(Table10[[#This Row],[Ref]]="RGA",IFERROR(VLOOKUP(Table10[[#This Row],[Ref]]&amp;"_T2",Summary!$A$4:$K$228,6,0),""),IFERROR(VLOOKUP(Table10[[#This Row],[Ref]],Summary!$A$4:$K$228,6,0),""))</f>
        <v>5.2075673303488346</v>
      </c>
      <c r="H129" s="229">
        <f>IFERROR(IF(Table10[[#This Row],[Column5]]-Table10[[#This Row],[Column3]]=0,"",Table10[[#This Row],[Column5]]-Table10[[#This Row],[Column3]]),"")</f>
        <v>3.8675673303488347</v>
      </c>
      <c r="I129" s="220" t="s">
        <v>1175</v>
      </c>
      <c r="J129" s="223" t="s">
        <v>1175</v>
      </c>
      <c r="K129" s="40" t="s">
        <v>201</v>
      </c>
      <c r="L129" s="1"/>
    </row>
    <row r="130" spans="1:12" x14ac:dyDescent="0.25">
      <c r="A130" s="223" t="s">
        <v>1276</v>
      </c>
      <c r="B130" s="235" t="s">
        <v>82</v>
      </c>
      <c r="C130" s="250" t="s">
        <v>2853</v>
      </c>
      <c r="D130" s="229" t="s">
        <v>1259</v>
      </c>
      <c r="E130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2.56</v>
      </c>
      <c r="F130" s="229" t="s">
        <v>1259</v>
      </c>
      <c r="G130" s="229">
        <f>IF(Table10[[#This Row],[Ref]]="RGA",IFERROR(VLOOKUP(Table10[[#This Row],[Ref]]&amp;"_T2",Summary!$A$4:$K$228,6,0),""),IFERROR(VLOOKUP(Table10[[#This Row],[Ref]],Summary!$A$4:$K$228,6,0),""))</f>
        <v>5.8300830182768406</v>
      </c>
      <c r="H130" s="229">
        <f>IFERROR(IF(Table10[[#This Row],[Column5]]-Table10[[#This Row],[Column3]]=0,"",Table10[[#This Row],[Column5]]-Table10[[#This Row],[Column3]]),"")</f>
        <v>3.2700830182768406</v>
      </c>
      <c r="I130" s="220" t="s">
        <v>1175</v>
      </c>
      <c r="J130" s="223" t="s">
        <v>1175</v>
      </c>
      <c r="K130" s="40" t="s">
        <v>2853</v>
      </c>
      <c r="L130" s="1"/>
    </row>
    <row r="131" spans="1:12" x14ac:dyDescent="0.25">
      <c r="A131" s="223" t="s">
        <v>1276</v>
      </c>
      <c r="B131" s="235" t="s">
        <v>82</v>
      </c>
      <c r="C131" s="250" t="s">
        <v>208</v>
      </c>
      <c r="D131" s="229" t="s">
        <v>1255</v>
      </c>
      <c r="E131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3.04</v>
      </c>
      <c r="F131" s="229" t="s">
        <v>1255</v>
      </c>
      <c r="G131" s="229">
        <f>IF(Table10[[#This Row],[Ref]]="RGA",IFERROR(VLOOKUP(Table10[[#This Row],[Ref]]&amp;"_T2",Summary!$A$4:$K$228,6,0),""),IFERROR(VLOOKUP(Table10[[#This Row],[Ref]],Summary!$A$4:$K$228,6,0),""))</f>
        <v>4.8972697353525465</v>
      </c>
      <c r="H131" s="229">
        <f>IFERROR(IF(Table10[[#This Row],[Column5]]-Table10[[#This Row],[Column3]]=0,"",Table10[[#This Row],[Column5]]-Table10[[#This Row],[Column3]]),"")</f>
        <v>1.8572697353525465</v>
      </c>
      <c r="I131" s="220" t="s">
        <v>1175</v>
      </c>
      <c r="J131" s="223" t="s">
        <v>1175</v>
      </c>
      <c r="K131" s="40" t="s">
        <v>208</v>
      </c>
      <c r="L131" s="1"/>
    </row>
    <row r="132" spans="1:12" x14ac:dyDescent="0.25">
      <c r="A132" s="223" t="s">
        <v>1276</v>
      </c>
      <c r="B132" s="235" t="s">
        <v>82</v>
      </c>
      <c r="C132" s="250" t="s">
        <v>2854</v>
      </c>
      <c r="D132" s="229" t="s">
        <v>1259</v>
      </c>
      <c r="E132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2.58</v>
      </c>
      <c r="F132" s="229" t="s">
        <v>1259</v>
      </c>
      <c r="G132" s="229">
        <f>IF(Table10[[#This Row],[Ref]]="RGA",IFERROR(VLOOKUP(Table10[[#This Row],[Ref]]&amp;"_T2",Summary!$A$4:$K$228,6,0),""),IFERROR(VLOOKUP(Table10[[#This Row],[Ref]],Summary!$A$4:$K$228,6,0),""))</f>
        <v>5.8300830182768406</v>
      </c>
      <c r="H132" s="229">
        <f>IFERROR(IF(Table10[[#This Row],[Column5]]-Table10[[#This Row],[Column3]]=0,"",Table10[[#This Row],[Column5]]-Table10[[#This Row],[Column3]]),"")</f>
        <v>3.2500830182768405</v>
      </c>
      <c r="I132" s="220" t="s">
        <v>1175</v>
      </c>
      <c r="J132" s="223" t="s">
        <v>1175</v>
      </c>
      <c r="K132" s="40" t="s">
        <v>2854</v>
      </c>
      <c r="L132" s="1"/>
    </row>
    <row r="133" spans="1:12" x14ac:dyDescent="0.25">
      <c r="A133" s="223" t="s">
        <v>1276</v>
      </c>
      <c r="B133" s="235" t="s">
        <v>82</v>
      </c>
      <c r="C133" s="250" t="s">
        <v>214</v>
      </c>
      <c r="D133" s="229" t="s">
        <v>1255</v>
      </c>
      <c r="E133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2.06</v>
      </c>
      <c r="F133" s="229" t="s">
        <v>1255</v>
      </c>
      <c r="G133" s="229">
        <f>IF(Table10[[#This Row],[Ref]]="RGA",IFERROR(VLOOKUP(Table10[[#This Row],[Ref]]&amp;"_T2",Summary!$A$4:$K$228,6,0),""),IFERROR(VLOOKUP(Table10[[#This Row],[Ref]],Summary!$A$4:$K$228,6,0),""))</f>
        <v>3.9652310761414795</v>
      </c>
      <c r="H133" s="229">
        <f>IFERROR(IF(Table10[[#This Row],[Column5]]-Table10[[#This Row],[Column3]]=0,"",Table10[[#This Row],[Column5]]-Table10[[#This Row],[Column3]]),"")</f>
        <v>1.9052310761414795</v>
      </c>
      <c r="I133" s="220" t="s">
        <v>1175</v>
      </c>
      <c r="J133" s="223" t="s">
        <v>1175</v>
      </c>
      <c r="K133" s="40" t="s">
        <v>214</v>
      </c>
      <c r="L133" s="1"/>
    </row>
    <row r="134" spans="1:12" x14ac:dyDescent="0.25">
      <c r="A134" s="223" t="s">
        <v>1276</v>
      </c>
      <c r="B134" s="235" t="s">
        <v>82</v>
      </c>
      <c r="C134" s="250" t="s">
        <v>217</v>
      </c>
      <c r="D134" s="229" t="s">
        <v>1257</v>
      </c>
      <c r="E134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1.69</v>
      </c>
      <c r="F134" s="229" t="s">
        <v>1257</v>
      </c>
      <c r="G134" s="229">
        <f>IF(Table10[[#This Row],[Ref]]="RGA",IFERROR(VLOOKUP(Table10[[#This Row],[Ref]]&amp;"_T2",Summary!$A$4:$K$228,6,0),""),IFERROR(VLOOKUP(Table10[[#This Row],[Ref]],Summary!$A$4:$K$228,6,0),""))</f>
        <v>3.6656959318311375</v>
      </c>
      <c r="H134" s="229">
        <f>IFERROR(IF(Table10[[#This Row],[Column5]]-Table10[[#This Row],[Column3]]=0,"",Table10[[#This Row],[Column5]]-Table10[[#This Row],[Column3]]),"")</f>
        <v>1.9756959318311376</v>
      </c>
      <c r="I134" s="220"/>
      <c r="J134" s="223" t="s">
        <v>1175</v>
      </c>
      <c r="K134" s="40" t="s">
        <v>217</v>
      </c>
      <c r="L134" s="1"/>
    </row>
    <row r="135" spans="1:12" x14ac:dyDescent="0.25">
      <c r="A135" s="223" t="s">
        <v>1276</v>
      </c>
      <c r="B135" s="235" t="s">
        <v>82</v>
      </c>
      <c r="C135" s="250" t="s">
        <v>206</v>
      </c>
      <c r="D135" s="229" t="s">
        <v>1257</v>
      </c>
      <c r="E135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1.64</v>
      </c>
      <c r="F135" s="229" t="s">
        <v>1257</v>
      </c>
      <c r="G135" s="229">
        <f>IF(Table10[[#This Row],[Ref]]="RGA",IFERROR(VLOOKUP(Table10[[#This Row],[Ref]]&amp;"_T2",Summary!$A$4:$K$228,6,0),""),IFERROR(VLOOKUP(Table10[[#This Row],[Ref]],Summary!$A$4:$K$228,6,0),""))</f>
        <v>2.8761742890165753</v>
      </c>
      <c r="H135" s="229">
        <f>IFERROR(IF(Table10[[#This Row],[Column5]]-Table10[[#This Row],[Column3]]=0,"",Table10[[#This Row],[Column5]]-Table10[[#This Row],[Column3]]),"")</f>
        <v>1.2361742890165754</v>
      </c>
      <c r="I135" s="220"/>
      <c r="J135" s="223" t="s">
        <v>1175</v>
      </c>
      <c r="K135" s="40" t="s">
        <v>206</v>
      </c>
      <c r="L135" s="1"/>
    </row>
    <row r="136" spans="1:12" x14ac:dyDescent="0.25">
      <c r="A136" s="223" t="s">
        <v>1276</v>
      </c>
      <c r="B136" s="235" t="s">
        <v>82</v>
      </c>
      <c r="C136" s="250" t="s">
        <v>209</v>
      </c>
      <c r="D136" s="229" t="s">
        <v>1257</v>
      </c>
      <c r="E136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0.62</v>
      </c>
      <c r="F136" s="229" t="s">
        <v>1257</v>
      </c>
      <c r="G136" s="229">
        <f>IF(Table10[[#This Row],[Ref]]="RGA",IFERROR(VLOOKUP(Table10[[#This Row],[Ref]]&amp;"_T2",Summary!$A$4:$K$228,6,0),""),IFERROR(VLOOKUP(Table10[[#This Row],[Ref]],Summary!$A$4:$K$228,6,0),""))</f>
        <v>3.8868984936559263</v>
      </c>
      <c r="H136" s="229">
        <f>IFERROR(IF(Table10[[#This Row],[Column5]]-Table10[[#This Row],[Column3]]=0,"",Table10[[#This Row],[Column5]]-Table10[[#This Row],[Column3]]),"")</f>
        <v>3.2668984936559262</v>
      </c>
      <c r="I136" s="220"/>
      <c r="J136" s="223" t="s">
        <v>1175</v>
      </c>
      <c r="K136" s="40" t="s">
        <v>209</v>
      </c>
      <c r="L136" s="1"/>
    </row>
    <row r="137" spans="1:12" x14ac:dyDescent="0.25">
      <c r="A137" s="223" t="s">
        <v>1276</v>
      </c>
      <c r="B137" s="235" t="s">
        <v>82</v>
      </c>
      <c r="C137" s="250" t="s">
        <v>212</v>
      </c>
      <c r="D137" s="229" t="s">
        <v>1256</v>
      </c>
      <c r="E137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2.25</v>
      </c>
      <c r="F137" s="229" t="s">
        <v>1256</v>
      </c>
      <c r="G137" s="229">
        <f>IF(Table10[[#This Row],[Ref]]="RGA",IFERROR(VLOOKUP(Table10[[#This Row],[Ref]]&amp;"_T2",Summary!$A$4:$K$228,6,0),""),IFERROR(VLOOKUP(Table10[[#This Row],[Ref]],Summary!$A$4:$K$228,6,0),""))</f>
        <v>3.6729523015144094</v>
      </c>
      <c r="H137" s="229">
        <f>IFERROR(IF(Table10[[#This Row],[Column5]]-Table10[[#This Row],[Column3]]=0,"",Table10[[#This Row],[Column5]]-Table10[[#This Row],[Column3]]),"")</f>
        <v>1.4229523015144094</v>
      </c>
      <c r="I137" s="220"/>
      <c r="J137" s="223" t="s">
        <v>1175</v>
      </c>
      <c r="K137" s="40" t="s">
        <v>212</v>
      </c>
      <c r="L137" s="1"/>
    </row>
    <row r="138" spans="1:12" x14ac:dyDescent="0.25">
      <c r="A138" s="223" t="s">
        <v>1276</v>
      </c>
      <c r="B138" s="235" t="s">
        <v>82</v>
      </c>
      <c r="C138" s="250" t="s">
        <v>215</v>
      </c>
      <c r="D138" s="229" t="s">
        <v>1256</v>
      </c>
      <c r="E138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1.25</v>
      </c>
      <c r="F138" s="229" t="s">
        <v>1256</v>
      </c>
      <c r="G138" s="229">
        <f>IF(Table10[[#This Row],[Ref]]="RGA",IFERROR(VLOOKUP(Table10[[#This Row],[Ref]]&amp;"_T2",Summary!$A$4:$K$228,6,0),""),IFERROR(VLOOKUP(Table10[[#This Row],[Ref]],Summary!$A$4:$K$228,6,0),""))</f>
        <v>2.5458029179808874</v>
      </c>
      <c r="H138" s="229">
        <f>IFERROR(IF(Table10[[#This Row],[Column5]]-Table10[[#This Row],[Column3]]=0,"",Table10[[#This Row],[Column5]]-Table10[[#This Row],[Column3]]),"")</f>
        <v>1.2958029179808874</v>
      </c>
      <c r="I138" s="220"/>
      <c r="J138" s="223" t="s">
        <v>1175</v>
      </c>
      <c r="K138" s="40" t="s">
        <v>215</v>
      </c>
      <c r="L138" s="1"/>
    </row>
    <row r="139" spans="1:12" x14ac:dyDescent="0.25">
      <c r="A139" s="223" t="s">
        <v>1276</v>
      </c>
      <c r="B139" s="235" t="s">
        <v>82</v>
      </c>
      <c r="C139" s="250" t="s">
        <v>117</v>
      </c>
      <c r="D139" s="229" t="s">
        <v>1256</v>
      </c>
      <c r="E139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2.6</v>
      </c>
      <c r="F139" s="229" t="s">
        <v>1256</v>
      </c>
      <c r="G139" s="229">
        <f>IF(Table10[[#This Row],[Ref]]="RGA",IFERROR(VLOOKUP(Table10[[#This Row],[Ref]]&amp;"_T2",Summary!$A$4:$K$228,6,0),""),IFERROR(VLOOKUP(Table10[[#This Row],[Ref]],Summary!$A$4:$K$228,6,0),""))</f>
        <v>3.5824921808786194</v>
      </c>
      <c r="H139" s="229">
        <f>IFERROR(IF(Table10[[#This Row],[Column5]]-Table10[[#This Row],[Column3]]=0,"",Table10[[#This Row],[Column5]]-Table10[[#This Row],[Column3]]),"")</f>
        <v>0.98249218087861934</v>
      </c>
      <c r="I139" s="220"/>
      <c r="J139" s="223" t="s">
        <v>1175</v>
      </c>
      <c r="K139" s="40" t="s">
        <v>117</v>
      </c>
      <c r="L139" s="1"/>
    </row>
    <row r="140" spans="1:12" x14ac:dyDescent="0.25">
      <c r="A140" s="223" t="s">
        <v>1276</v>
      </c>
      <c r="B140" s="235" t="s">
        <v>82</v>
      </c>
      <c r="C140" s="250" t="s">
        <v>128</v>
      </c>
      <c r="D140" s="229" t="s">
        <v>1256</v>
      </c>
      <c r="E140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4</v>
      </c>
      <c r="F140" s="229" t="s">
        <v>1256</v>
      </c>
      <c r="G140" s="229">
        <f>IF(Table10[[#This Row],[Ref]]="RGA",IFERROR(VLOOKUP(Table10[[#This Row],[Ref]]&amp;"_T2",Summary!$A$4:$K$228,6,0),""),IFERROR(VLOOKUP(Table10[[#This Row],[Ref]],Summary!$A$4:$K$228,6,0),""))</f>
        <v>7.0199640950870226</v>
      </c>
      <c r="H140" s="229">
        <f>IFERROR(IF(Table10[[#This Row],[Column5]]-Table10[[#This Row],[Column3]]=0,"",Table10[[#This Row],[Column5]]-Table10[[#This Row],[Column3]]),"")</f>
        <v>3.0199640950870226</v>
      </c>
      <c r="I140" s="220"/>
      <c r="J140" s="223" t="s">
        <v>1175</v>
      </c>
      <c r="K140" s="40" t="s">
        <v>128</v>
      </c>
      <c r="L140" s="1"/>
    </row>
    <row r="141" spans="1:12" x14ac:dyDescent="0.25">
      <c r="A141" s="223" t="s">
        <v>1276</v>
      </c>
      <c r="B141" s="235" t="s">
        <v>82</v>
      </c>
      <c r="C141" s="250" t="s">
        <v>1309</v>
      </c>
      <c r="D141" s="229" t="s">
        <v>1258</v>
      </c>
      <c r="E141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1.57</v>
      </c>
      <c r="F141" s="229" t="s">
        <v>1258</v>
      </c>
      <c r="G141" s="229">
        <f>IF(Table10[[#This Row],[Ref]]="RGA",IFERROR(VLOOKUP(Table10[[#This Row],[Ref]]&amp;"_T2",Summary!$A$4:$K$228,6,0),""),IFERROR(VLOOKUP(Table10[[#This Row],[Ref]],Summary!$A$4:$K$228,6,0),""))</f>
        <v>7.5161119333864042</v>
      </c>
      <c r="H141" s="229">
        <f>IFERROR(IF(Table10[[#This Row],[Column5]]-Table10[[#This Row],[Column3]]=0,"",Table10[[#This Row],[Column5]]-Table10[[#This Row],[Column3]]),"")</f>
        <v>5.9461119333864039</v>
      </c>
      <c r="I141" s="220"/>
      <c r="J141" s="223" t="s">
        <v>1175</v>
      </c>
      <c r="K141" s="40" t="s">
        <v>1309</v>
      </c>
      <c r="L141" s="1"/>
    </row>
    <row r="142" spans="1:12" x14ac:dyDescent="0.25">
      <c r="A142" s="223" t="s">
        <v>1276</v>
      </c>
      <c r="B142" s="235" t="s">
        <v>82</v>
      </c>
      <c r="C142" s="250" t="s">
        <v>143</v>
      </c>
      <c r="D142" s="229" t="s">
        <v>1259</v>
      </c>
      <c r="E142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1.3</v>
      </c>
      <c r="F142" s="229" t="s">
        <v>1259</v>
      </c>
      <c r="G142" s="229">
        <f>IF(Table10[[#This Row],[Ref]]="RGA",IFERROR(VLOOKUP(Table10[[#This Row],[Ref]]&amp;"_T2",Summary!$A$4:$K$228,6,0),""),IFERROR(VLOOKUP(Table10[[#This Row],[Ref]],Summary!$A$4:$K$228,6,0),""))</f>
        <v>5.335280443055086</v>
      </c>
      <c r="H142" s="229">
        <f>IFERROR(IF(Table10[[#This Row],[Column5]]-Table10[[#This Row],[Column3]]=0,"",Table10[[#This Row],[Column5]]-Table10[[#This Row],[Column3]]),"")</f>
        <v>4.0352804430550862</v>
      </c>
      <c r="I142" s="220"/>
      <c r="J142" s="223" t="s">
        <v>1175</v>
      </c>
      <c r="K142" s="40" t="s">
        <v>143</v>
      </c>
      <c r="L142" s="1"/>
    </row>
    <row r="143" spans="1:12" x14ac:dyDescent="0.25">
      <c r="A143" s="223" t="s">
        <v>1276</v>
      </c>
      <c r="B143" s="235" t="s">
        <v>82</v>
      </c>
      <c r="C143" s="250" t="s">
        <v>146</v>
      </c>
      <c r="D143" s="229" t="s">
        <v>1259</v>
      </c>
      <c r="E143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2.64</v>
      </c>
      <c r="F143" s="229" t="s">
        <v>1259</v>
      </c>
      <c r="G143" s="229">
        <f>IF(Table10[[#This Row],[Ref]]="RGA",IFERROR(VLOOKUP(Table10[[#This Row],[Ref]]&amp;"_T2",Summary!$A$4:$K$228,6,0),""),IFERROR(VLOOKUP(Table10[[#This Row],[Ref]],Summary!$A$4:$K$228,6,0),""))</f>
        <v>5.335280443055086</v>
      </c>
      <c r="H143" s="229">
        <f>IFERROR(IF(Table10[[#This Row],[Column5]]-Table10[[#This Row],[Column3]]=0,"",Table10[[#This Row],[Column5]]-Table10[[#This Row],[Column3]]),"")</f>
        <v>2.6952804430550859</v>
      </c>
      <c r="I143" s="220"/>
      <c r="J143" s="223" t="s">
        <v>1175</v>
      </c>
      <c r="K143" s="40" t="s">
        <v>146</v>
      </c>
      <c r="L143" s="1"/>
    </row>
    <row r="144" spans="1:12" x14ac:dyDescent="0.25">
      <c r="A144" s="223" t="s">
        <v>1276</v>
      </c>
      <c r="B144" s="235" t="s">
        <v>82</v>
      </c>
      <c r="C144" s="250" t="s">
        <v>1310</v>
      </c>
      <c r="D144" s="229" t="s">
        <v>1257</v>
      </c>
      <c r="E144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2.94</v>
      </c>
      <c r="F144" s="229" t="s">
        <v>1257</v>
      </c>
      <c r="G144" s="229">
        <f>IF(Table10[[#This Row],[Ref]]="RGA",IFERROR(VLOOKUP(Table10[[#This Row],[Ref]]&amp;"_T2",Summary!$A$4:$K$228,6,0),""),IFERROR(VLOOKUP(Table10[[#This Row],[Ref]],Summary!$A$4:$K$228,6,0),""))</f>
        <v>4.9614136995564273</v>
      </c>
      <c r="H144" s="229">
        <f>IFERROR(IF(Table10[[#This Row],[Column5]]-Table10[[#This Row],[Column3]]=0,"",Table10[[#This Row],[Column5]]-Table10[[#This Row],[Column3]]),"")</f>
        <v>2.0214136995564274</v>
      </c>
      <c r="I144" s="220"/>
      <c r="J144" s="223" t="s">
        <v>1175</v>
      </c>
      <c r="K144" s="40" t="s">
        <v>1310</v>
      </c>
      <c r="L144" s="1"/>
    </row>
    <row r="145" spans="1:12" x14ac:dyDescent="0.25">
      <c r="A145" s="223" t="s">
        <v>1276</v>
      </c>
      <c r="B145" s="235" t="s">
        <v>82</v>
      </c>
      <c r="C145" s="250" t="s">
        <v>151</v>
      </c>
      <c r="D145" s="229" t="s">
        <v>1258</v>
      </c>
      <c r="E145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0.87</v>
      </c>
      <c r="F145" s="229" t="s">
        <v>1258</v>
      </c>
      <c r="G145" s="229">
        <f>IF(Table10[[#This Row],[Ref]]="RGA",IFERROR(VLOOKUP(Table10[[#This Row],[Ref]]&amp;"_T2",Summary!$A$4:$K$228,6,0),""),IFERROR(VLOOKUP(Table10[[#This Row],[Ref]],Summary!$A$4:$K$228,6,0),""))</f>
        <v>7.5161119333864042</v>
      </c>
      <c r="H145" s="229">
        <f>IFERROR(IF(Table10[[#This Row],[Column5]]-Table10[[#This Row],[Column3]]=0,"",Table10[[#This Row],[Column5]]-Table10[[#This Row],[Column3]]),"")</f>
        <v>6.646111933386404</v>
      </c>
      <c r="I145" s="220" t="s">
        <v>1175</v>
      </c>
      <c r="J145" s="223" t="s">
        <v>1175</v>
      </c>
      <c r="K145" s="40" t="s">
        <v>151</v>
      </c>
      <c r="L145" s="1"/>
    </row>
    <row r="146" spans="1:12" x14ac:dyDescent="0.25">
      <c r="A146" s="223" t="s">
        <v>1276</v>
      </c>
      <c r="B146" s="235" t="s">
        <v>82</v>
      </c>
      <c r="C146" s="250" t="s">
        <v>155</v>
      </c>
      <c r="D146" s="229" t="s">
        <v>1259</v>
      </c>
      <c r="E146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4.0599999999999996</v>
      </c>
      <c r="F146" s="229" t="s">
        <v>1259</v>
      </c>
      <c r="G146" s="229">
        <f>IF(Table10[[#This Row],[Ref]]="RGA",IFERROR(VLOOKUP(Table10[[#This Row],[Ref]]&amp;"_T2",Summary!$A$4:$K$228,6,0),""),IFERROR(VLOOKUP(Table10[[#This Row],[Ref]],Summary!$A$4:$K$228,6,0),""))</f>
        <v>5.3501006665080171</v>
      </c>
      <c r="H146" s="229">
        <f>IFERROR(IF(Table10[[#This Row],[Column5]]-Table10[[#This Row],[Column3]]=0,"",Table10[[#This Row],[Column5]]-Table10[[#This Row],[Column3]]),"")</f>
        <v>1.2901006665080175</v>
      </c>
      <c r="I146" s="220">
        <v>2025</v>
      </c>
      <c r="J146" s="223">
        <v>2025</v>
      </c>
      <c r="K146" s="40" t="s">
        <v>155</v>
      </c>
      <c r="L146" s="1"/>
    </row>
    <row r="147" spans="1:12" x14ac:dyDescent="0.25">
      <c r="A147" s="223" t="s">
        <v>1276</v>
      </c>
      <c r="B147" s="235" t="s">
        <v>82</v>
      </c>
      <c r="C147" s="250" t="s">
        <v>156</v>
      </c>
      <c r="D147" s="229" t="s">
        <v>1256</v>
      </c>
      <c r="E147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2.79</v>
      </c>
      <c r="F147" s="229" t="s">
        <v>1256</v>
      </c>
      <c r="G147" s="229">
        <f>IF(Table10[[#This Row],[Ref]]="RGA",IFERROR(VLOOKUP(Table10[[#This Row],[Ref]]&amp;"_T2",Summary!$A$4:$K$228,6,0),""),IFERROR(VLOOKUP(Table10[[#This Row],[Ref]],Summary!$A$4:$K$228,6,0),""))</f>
        <v>5.335280443055086</v>
      </c>
      <c r="H147" s="229">
        <f>IFERROR(IF(Table10[[#This Row],[Column5]]-Table10[[#This Row],[Column3]]=0,"",Table10[[#This Row],[Column5]]-Table10[[#This Row],[Column3]]),"")</f>
        <v>2.5452804430550859</v>
      </c>
      <c r="I147" s="220"/>
      <c r="J147" s="223" t="s">
        <v>1175</v>
      </c>
      <c r="K147" s="40" t="s">
        <v>156</v>
      </c>
      <c r="L147" s="1"/>
    </row>
    <row r="148" spans="1:12" x14ac:dyDescent="0.25">
      <c r="A148" s="223" t="s">
        <v>1276</v>
      </c>
      <c r="B148" s="235" t="s">
        <v>82</v>
      </c>
      <c r="C148" s="250" t="s">
        <v>157</v>
      </c>
      <c r="D148" s="229" t="s">
        <v>1259</v>
      </c>
      <c r="E148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3.87</v>
      </c>
      <c r="F148" s="229" t="s">
        <v>1259</v>
      </c>
      <c r="G148" s="229">
        <f>IF(Table10[[#This Row],[Ref]]="RGA",IFERROR(VLOOKUP(Table10[[#This Row],[Ref]]&amp;"_T2",Summary!$A$4:$K$228,6,0),""),IFERROR(VLOOKUP(Table10[[#This Row],[Ref]],Summary!$A$4:$K$228,6,0),""))</f>
        <v>5.3501006665080171</v>
      </c>
      <c r="H148" s="229">
        <f>IFERROR(IF(Table10[[#This Row],[Column5]]-Table10[[#This Row],[Column3]]=0,"",Table10[[#This Row],[Column5]]-Table10[[#This Row],[Column3]]),"")</f>
        <v>1.480100666508017</v>
      </c>
      <c r="I148" s="220"/>
      <c r="J148" s="223" t="s">
        <v>1175</v>
      </c>
      <c r="K148" s="40" t="s">
        <v>157</v>
      </c>
      <c r="L148" s="1"/>
    </row>
    <row r="149" spans="1:12" x14ac:dyDescent="0.25">
      <c r="A149" s="223" t="s">
        <v>1276</v>
      </c>
      <c r="B149" s="235" t="s">
        <v>82</v>
      </c>
      <c r="C149" s="250" t="s">
        <v>1204</v>
      </c>
      <c r="D149" s="229" t="s">
        <v>1258</v>
      </c>
      <c r="E149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0.64</v>
      </c>
      <c r="F149" s="229" t="s">
        <v>1258</v>
      </c>
      <c r="G149" s="229">
        <f>IF(Table10[[#This Row],[Ref]]="RGA",IFERROR(VLOOKUP(Table10[[#This Row],[Ref]]&amp;"_T2",Summary!$A$4:$K$228,6,0),""),IFERROR(VLOOKUP(Table10[[#This Row],[Ref]],Summary!$A$4:$K$228,6,0),""))</f>
        <v>6.5731328147238894</v>
      </c>
      <c r="H149" s="229">
        <f>IFERROR(IF(Table10[[#This Row],[Column5]]-Table10[[#This Row],[Column3]]=0,"",Table10[[#This Row],[Column5]]-Table10[[#This Row],[Column3]]),"")</f>
        <v>5.9331328147238898</v>
      </c>
      <c r="I149" s="220" t="s">
        <v>1175</v>
      </c>
      <c r="J149" s="223" t="s">
        <v>1175</v>
      </c>
      <c r="K149" s="40" t="s">
        <v>1311</v>
      </c>
      <c r="L149" s="1"/>
    </row>
    <row r="150" spans="1:12" x14ac:dyDescent="0.25">
      <c r="A150" s="223" t="s">
        <v>1276</v>
      </c>
      <c r="B150" s="235" t="s">
        <v>225</v>
      </c>
      <c r="C150" s="250" t="s">
        <v>94</v>
      </c>
      <c r="D150" s="229" t="s">
        <v>1258</v>
      </c>
      <c r="E150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1.34</v>
      </c>
      <c r="F150" s="229" t="s">
        <v>1258</v>
      </c>
      <c r="G150" s="229">
        <f>IF(Table10[[#This Row],[Ref]]="RGA",IFERROR(VLOOKUP(Table10[[#This Row],[Ref]]&amp;"_T2",Summary!$A$4:$K$228,6,0),""),IFERROR(VLOOKUP(Table10[[#This Row],[Ref]],Summary!$A$4:$K$228,6,0),""))</f>
        <v>3.5555561494434405</v>
      </c>
      <c r="H150" s="229">
        <f>IFERROR(IF(Table10[[#This Row],[Column5]]-Table10[[#This Row],[Column3]]=0,"",Table10[[#This Row],[Column5]]-Table10[[#This Row],[Column3]]),"")</f>
        <v>2.2155561494434401</v>
      </c>
      <c r="I150" s="220">
        <v>2050</v>
      </c>
      <c r="J150" s="223">
        <v>2050</v>
      </c>
      <c r="K150" s="40" t="s">
        <v>94</v>
      </c>
      <c r="L150" s="1"/>
    </row>
    <row r="151" spans="1:12" x14ac:dyDescent="0.25">
      <c r="A151" s="223" t="s">
        <v>1276</v>
      </c>
      <c r="B151" s="235" t="s">
        <v>225</v>
      </c>
      <c r="C151" s="250" t="s">
        <v>107</v>
      </c>
      <c r="D151" s="229" t="s">
        <v>1257</v>
      </c>
      <c r="E151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0.55000000000000004</v>
      </c>
      <c r="F151" s="229" t="s">
        <v>1257</v>
      </c>
      <c r="G151" s="229">
        <f>IF(Table10[[#This Row],[Ref]]="RGA",IFERROR(VLOOKUP(Table10[[#This Row],[Ref]]&amp;"_T2",Summary!$A$4:$K$228,6,0),""),IFERROR(VLOOKUP(Table10[[#This Row],[Ref]],Summary!$A$4:$K$228,6,0),""))</f>
        <v>1.4043525141235669</v>
      </c>
      <c r="H151" s="229">
        <f>IFERROR(IF(Table10[[#This Row],[Column5]]-Table10[[#This Row],[Column3]]=0,"",Table10[[#This Row],[Column5]]-Table10[[#This Row],[Column3]]),"")</f>
        <v>0.85435251412356683</v>
      </c>
      <c r="I151" s="220">
        <v>2020</v>
      </c>
      <c r="J151" s="223">
        <v>2020</v>
      </c>
      <c r="K151" s="40" t="s">
        <v>107</v>
      </c>
      <c r="L151" s="1"/>
    </row>
    <row r="152" spans="1:12" x14ac:dyDescent="0.25">
      <c r="A152" s="223" t="s">
        <v>1276</v>
      </c>
      <c r="B152" s="235" t="s">
        <v>225</v>
      </c>
      <c r="C152" s="250" t="s">
        <v>118</v>
      </c>
      <c r="D152" s="229" t="s">
        <v>1254</v>
      </c>
      <c r="E152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0.2525</v>
      </c>
      <c r="F152" s="229" t="s">
        <v>1254</v>
      </c>
      <c r="G152" s="229">
        <f>IF(Table10[[#This Row],[Ref]]="RGA",IFERROR(VLOOKUP(Table10[[#This Row],[Ref]]&amp;"_T2",Summary!$A$4:$K$228,6,0),""),IFERROR(VLOOKUP(Table10[[#This Row],[Ref]],Summary!$A$4:$K$228,6,0),""))</f>
        <v>1.4043525141235669</v>
      </c>
      <c r="H152" s="229">
        <f>IFERROR(IF(Table10[[#This Row],[Column5]]-Table10[[#This Row],[Column3]]=0,"",Table10[[#This Row],[Column5]]-Table10[[#This Row],[Column3]]),"")</f>
        <v>1.1518525141235669</v>
      </c>
      <c r="I152" s="220" t="s">
        <v>1175</v>
      </c>
      <c r="J152" s="258" t="s">
        <v>1175</v>
      </c>
      <c r="K152" s="40" t="s">
        <v>118</v>
      </c>
      <c r="L152" s="1"/>
    </row>
    <row r="153" spans="1:12" x14ac:dyDescent="0.25">
      <c r="A153" s="223" t="s">
        <v>1276</v>
      </c>
      <c r="B153" s="235" t="s">
        <v>225</v>
      </c>
      <c r="C153" s="250" t="s">
        <v>129</v>
      </c>
      <c r="D153" s="229" t="s">
        <v>1258</v>
      </c>
      <c r="E153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3.07</v>
      </c>
      <c r="F153" s="229" t="s">
        <v>1258</v>
      </c>
      <c r="G153" s="229">
        <f>IF(Table10[[#This Row],[Ref]]="RGA",IFERROR(VLOOKUP(Table10[[#This Row],[Ref]]&amp;"_T2",Summary!$A$4:$K$228,6,0),""),IFERROR(VLOOKUP(Table10[[#This Row],[Ref]],Summary!$A$4:$K$228,6,0),""))</f>
        <v>3.5555561494434405</v>
      </c>
      <c r="H153" s="229">
        <f>IFERROR(IF(Table10[[#This Row],[Column5]]-Table10[[#This Row],[Column3]]=0,"",Table10[[#This Row],[Column5]]-Table10[[#This Row],[Column3]]),"")</f>
        <v>0.48555614944344061</v>
      </c>
      <c r="I153" s="220">
        <v>2019</v>
      </c>
      <c r="J153" s="223">
        <v>2019</v>
      </c>
      <c r="K153" s="40" t="s">
        <v>129</v>
      </c>
      <c r="L153" s="1"/>
    </row>
    <row r="154" spans="1:12" x14ac:dyDescent="0.25">
      <c r="A154" s="223" t="s">
        <v>1276</v>
      </c>
      <c r="B154" s="235" t="s">
        <v>225</v>
      </c>
      <c r="C154" s="250" t="s">
        <v>1444</v>
      </c>
      <c r="D154" s="229" t="s">
        <v>1257</v>
      </c>
      <c r="E154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0.38</v>
      </c>
      <c r="F154" s="229" t="s">
        <v>1257</v>
      </c>
      <c r="G154" s="229">
        <f>IF(Table10[[#This Row],[Ref]]="RGA",IFERROR(VLOOKUP(Table10[[#This Row],[Ref]]&amp;"_T2",Summary!$A$4:$K$228,6,0),""),IFERROR(VLOOKUP(Table10[[#This Row],[Ref]],Summary!$A$4:$K$228,6,0),""))</f>
        <v>2.2863070659909179</v>
      </c>
      <c r="H154" s="229">
        <f>IFERROR(IF(Table10[[#This Row],[Column5]]-Table10[[#This Row],[Column3]]=0,"",Table10[[#This Row],[Column5]]-Table10[[#This Row],[Column3]]),"")</f>
        <v>1.906307065990918</v>
      </c>
      <c r="I154" s="220">
        <v>2019</v>
      </c>
      <c r="J154" s="223">
        <v>2019</v>
      </c>
      <c r="K154" s="40" t="s">
        <v>1444</v>
      </c>
      <c r="L154" s="1"/>
    </row>
    <row r="155" spans="1:12" x14ac:dyDescent="0.25">
      <c r="A155" s="223" t="s">
        <v>1276</v>
      </c>
      <c r="B155" s="235" t="s">
        <v>225</v>
      </c>
      <c r="C155" s="250" t="s">
        <v>173</v>
      </c>
      <c r="D155" s="229" t="s">
        <v>1254</v>
      </c>
      <c r="E155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0.17629760000000003</v>
      </c>
      <c r="F155" s="229" t="s">
        <v>1254</v>
      </c>
      <c r="G155" s="229">
        <f>IF(Table10[[#This Row],[Ref]]="RGA",IFERROR(VLOOKUP(Table10[[#This Row],[Ref]]&amp;"_T2",Summary!$A$4:$K$228,6,0),""),IFERROR(VLOOKUP(Table10[[#This Row],[Ref]],Summary!$A$4:$K$228,6,0),""))</f>
        <v>2.8087050282471338</v>
      </c>
      <c r="H155" s="229">
        <f>IFERROR(IF(Table10[[#This Row],[Column5]]-Table10[[#This Row],[Column3]]=0,"",Table10[[#This Row],[Column5]]-Table10[[#This Row],[Column3]]),"")</f>
        <v>2.6324074282471339</v>
      </c>
      <c r="I155" s="220" t="s">
        <v>1175</v>
      </c>
      <c r="J155" s="258" t="s">
        <v>1175</v>
      </c>
      <c r="K155" s="40" t="s">
        <v>173</v>
      </c>
      <c r="L155" s="1"/>
    </row>
    <row r="156" spans="1:12" x14ac:dyDescent="0.25">
      <c r="A156" s="223" t="s">
        <v>1276</v>
      </c>
      <c r="B156" s="235" t="s">
        <v>225</v>
      </c>
      <c r="C156" s="250" t="s">
        <v>179</v>
      </c>
      <c r="D156" s="229" t="s">
        <v>1257</v>
      </c>
      <c r="E156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0.30494720000000003</v>
      </c>
      <c r="F156" s="229" t="s">
        <v>1257</v>
      </c>
      <c r="G156" s="229">
        <f>IF(Table10[[#This Row],[Ref]]="RGA",IFERROR(VLOOKUP(Table10[[#This Row],[Ref]]&amp;"_T2",Summary!$A$4:$K$228,6,0),""),IFERROR(VLOOKUP(Table10[[#This Row],[Ref]],Summary!$A$4:$K$228,6,0),""))</f>
        <v>2.8087050282471338</v>
      </c>
      <c r="H156" s="229">
        <f>IFERROR(IF(Table10[[#This Row],[Column5]]-Table10[[#This Row],[Column3]]=0,"",Table10[[#This Row],[Column5]]-Table10[[#This Row],[Column3]]),"")</f>
        <v>2.5037578282471338</v>
      </c>
      <c r="I156" s="220" t="s">
        <v>1175</v>
      </c>
      <c r="J156" s="258" t="s">
        <v>1175</v>
      </c>
      <c r="K156" s="40" t="s">
        <v>179</v>
      </c>
      <c r="L156" s="1"/>
    </row>
    <row r="157" spans="1:12" x14ac:dyDescent="0.25">
      <c r="A157" s="223" t="s">
        <v>1276</v>
      </c>
      <c r="B157" s="235" t="s">
        <v>225</v>
      </c>
      <c r="C157" s="250" t="s">
        <v>172</v>
      </c>
      <c r="D157" s="229" t="s">
        <v>1256</v>
      </c>
      <c r="E157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0.71</v>
      </c>
      <c r="F157" s="229" t="s">
        <v>1256</v>
      </c>
      <c r="G157" s="229">
        <f>IF(Table10[[#This Row],[Ref]]="RGA",IFERROR(VLOOKUP(Table10[[#This Row],[Ref]]&amp;"_T2",Summary!$A$4:$K$228,6,0),""),IFERROR(VLOOKUP(Table10[[#This Row],[Ref]],Summary!$A$4:$K$228,6,0),""))</f>
        <v>1.9052558883257651</v>
      </c>
      <c r="H157" s="229">
        <f>IFERROR(IF(Table10[[#This Row],[Column5]]-Table10[[#This Row],[Column3]]=0,"",Table10[[#This Row],[Column5]]-Table10[[#This Row],[Column3]]),"")</f>
        <v>1.1952558883257651</v>
      </c>
      <c r="I157" s="220" t="s">
        <v>1175</v>
      </c>
      <c r="J157" s="258" t="s">
        <v>1175</v>
      </c>
      <c r="K157" s="40" t="s">
        <v>172</v>
      </c>
      <c r="L157" s="1"/>
    </row>
    <row r="158" spans="1:12" x14ac:dyDescent="0.25">
      <c r="A158" s="223" t="s">
        <v>1276</v>
      </c>
      <c r="B158" s="235" t="s">
        <v>225</v>
      </c>
      <c r="C158" s="250" t="s">
        <v>178</v>
      </c>
      <c r="D158" s="229" t="s">
        <v>1256</v>
      </c>
      <c r="E158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0.32</v>
      </c>
      <c r="F158" s="229" t="s">
        <v>1256</v>
      </c>
      <c r="G158" s="229">
        <f>IF(Table10[[#This Row],[Ref]]="RGA",IFERROR(VLOOKUP(Table10[[#This Row],[Ref]]&amp;"_T2",Summary!$A$4:$K$228,6,0),""),IFERROR(VLOOKUP(Table10[[#This Row],[Ref]],Summary!$A$4:$K$228,6,0),""))</f>
        <v>1.9052558883257651</v>
      </c>
      <c r="H158" s="229">
        <f>IFERROR(IF(Table10[[#This Row],[Column5]]-Table10[[#This Row],[Column3]]=0,"",Table10[[#This Row],[Column5]]-Table10[[#This Row],[Column3]]),"")</f>
        <v>1.585255888325765</v>
      </c>
      <c r="I158" s="220" t="s">
        <v>1175</v>
      </c>
      <c r="J158" s="258" t="s">
        <v>1175</v>
      </c>
      <c r="K158" s="40" t="s">
        <v>178</v>
      </c>
      <c r="L158" s="1"/>
    </row>
    <row r="159" spans="1:12" x14ac:dyDescent="0.25">
      <c r="A159" s="223" t="s">
        <v>1276</v>
      </c>
      <c r="B159" s="235" t="s">
        <v>1138</v>
      </c>
      <c r="C159" s="250" t="s">
        <v>100</v>
      </c>
      <c r="D159" s="229" t="s">
        <v>1259</v>
      </c>
      <c r="E159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</v>
      </c>
      <c r="F159" s="229" t="s">
        <v>1259</v>
      </c>
      <c r="G159" s="229">
        <f>IF(Table10[[#This Row],[Ref]]="RGA",IFERROR(VLOOKUP(Table10[[#This Row],[Ref]]&amp;"_T2",Summary!$A$4:$K$228,6,0),""),IFERROR(VLOOKUP(Table10[[#This Row],[Ref]],Summary!$A$4:$K$228,6,0),""))</f>
        <v>5.776075720343532</v>
      </c>
      <c r="H159" s="229">
        <f>IFERROR(IF(Table10[[#This Row],[Column5]]-Table10[[#This Row],[Column3]]=0,"",Table10[[#This Row],[Column5]]-Table10[[#This Row],[Column3]]),"")</f>
        <v>5.776075720343532</v>
      </c>
      <c r="I159" s="220" t="s">
        <v>1175</v>
      </c>
      <c r="J159" s="258" t="s">
        <v>1175</v>
      </c>
      <c r="K159" s="40" t="s">
        <v>100</v>
      </c>
      <c r="L159" s="1"/>
    </row>
    <row r="160" spans="1:12" x14ac:dyDescent="0.25">
      <c r="A160" s="223" t="s">
        <v>1276</v>
      </c>
      <c r="B160" s="235" t="s">
        <v>1138</v>
      </c>
      <c r="C160" s="250" t="s">
        <v>112</v>
      </c>
      <c r="D160" s="229" t="s">
        <v>1259</v>
      </c>
      <c r="E160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3.8559940452176424</v>
      </c>
      <c r="F160" s="229" t="s">
        <v>1259</v>
      </c>
      <c r="G160" s="229">
        <f>IF(Table10[[#This Row],[Ref]]="RGA",IFERROR(VLOOKUP(Table10[[#This Row],[Ref]]&amp;"_T2",Summary!$A$4:$K$228,6,0),""),IFERROR(VLOOKUP(Table10[[#This Row],[Ref]],Summary!$A$4:$K$228,6,0),""))</f>
        <v>5.776075720343532</v>
      </c>
      <c r="H160" s="229">
        <f>IFERROR(IF(Table10[[#This Row],[Column5]]-Table10[[#This Row],[Column3]]=0,"",Table10[[#This Row],[Column5]]-Table10[[#This Row],[Column3]]),"")</f>
        <v>1.9200816751258896</v>
      </c>
      <c r="I160" s="220" t="s">
        <v>1175</v>
      </c>
      <c r="J160" s="258" t="s">
        <v>1175</v>
      </c>
      <c r="K160" s="40" t="s">
        <v>112</v>
      </c>
      <c r="L160" s="1"/>
    </row>
    <row r="161" spans="1:12" x14ac:dyDescent="0.25">
      <c r="A161" s="223" t="s">
        <v>1276</v>
      </c>
      <c r="B161" s="235" t="s">
        <v>1138</v>
      </c>
      <c r="C161" s="250" t="s">
        <v>123</v>
      </c>
      <c r="D161" s="229" t="s">
        <v>1259</v>
      </c>
      <c r="E161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3.0704189373431636</v>
      </c>
      <c r="F161" s="229" t="s">
        <v>1259</v>
      </c>
      <c r="G161" s="229">
        <f>IF(Table10[[#This Row],[Ref]]="RGA",IFERROR(VLOOKUP(Table10[[#This Row],[Ref]]&amp;"_T2",Summary!$A$4:$K$228,6,0),""),IFERROR(VLOOKUP(Table10[[#This Row],[Ref]],Summary!$A$4:$K$228,6,0),""))</f>
        <v>4.5640633435550297</v>
      </c>
      <c r="H161" s="229">
        <f>IFERROR(IF(Table10[[#This Row],[Column5]]-Table10[[#This Row],[Column3]]=0,"",Table10[[#This Row],[Column5]]-Table10[[#This Row],[Column3]]),"")</f>
        <v>1.4936444062118661</v>
      </c>
      <c r="I161" s="220" t="s">
        <v>1175</v>
      </c>
      <c r="J161" s="258" t="s">
        <v>1175</v>
      </c>
      <c r="K161" s="40" t="s">
        <v>123</v>
      </c>
      <c r="L161" s="1"/>
    </row>
    <row r="162" spans="1:12" x14ac:dyDescent="0.25">
      <c r="A162" s="223" t="s">
        <v>1276</v>
      </c>
      <c r="B162" s="235" t="s">
        <v>1138</v>
      </c>
      <c r="C162" s="250" t="s">
        <v>131</v>
      </c>
      <c r="D162" s="229" t="s">
        <v>1259</v>
      </c>
      <c r="E162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</v>
      </c>
      <c r="F162" s="229" t="s">
        <v>1259</v>
      </c>
      <c r="G162" s="229">
        <f>IF(Table10[[#This Row],[Ref]]="RGA",IFERROR(VLOOKUP(Table10[[#This Row],[Ref]]&amp;"_T2",Summary!$A$4:$K$228,6,0),""),IFERROR(VLOOKUP(Table10[[#This Row],[Ref]],Summary!$A$4:$K$228,6,0),""))</f>
        <v>6.516287104673272</v>
      </c>
      <c r="H162" s="229">
        <f>IFERROR(IF(Table10[[#This Row],[Column5]]-Table10[[#This Row],[Column3]]=0,"",Table10[[#This Row],[Column5]]-Table10[[#This Row],[Column3]]),"")</f>
        <v>6.516287104673272</v>
      </c>
      <c r="I162" s="220" t="s">
        <v>1175</v>
      </c>
      <c r="J162" s="258" t="s">
        <v>1175</v>
      </c>
      <c r="K162" s="40" t="s">
        <v>131</v>
      </c>
      <c r="L162" s="1"/>
    </row>
    <row r="163" spans="1:12" x14ac:dyDescent="0.25">
      <c r="A163" s="223" t="s">
        <v>1276</v>
      </c>
      <c r="B163" s="235" t="s">
        <v>1138</v>
      </c>
      <c r="C163" s="250" t="s">
        <v>137</v>
      </c>
      <c r="D163" s="229" t="s">
        <v>1255</v>
      </c>
      <c r="E163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</v>
      </c>
      <c r="F163" s="229" t="s">
        <v>1255</v>
      </c>
      <c r="G163" s="229">
        <f>IF(Table10[[#This Row],[Ref]]="RGA",IFERROR(VLOOKUP(Table10[[#This Row],[Ref]]&amp;"_T2",Summary!$A$4:$K$228,6,0),""),IFERROR(VLOOKUP(Table10[[#This Row],[Ref]],Summary!$A$4:$K$228,6,0),""))</f>
        <v>2.3390824635719527</v>
      </c>
      <c r="H163" s="229">
        <f>IFERROR(IF(Table10[[#This Row],[Column5]]-Table10[[#This Row],[Column3]]=0,"",Table10[[#This Row],[Column5]]-Table10[[#This Row],[Column3]]),"")</f>
        <v>2.3390824635719527</v>
      </c>
      <c r="I163" s="220" t="s">
        <v>1175</v>
      </c>
      <c r="J163" s="258" t="s">
        <v>1175</v>
      </c>
      <c r="K163" s="40" t="s">
        <v>137</v>
      </c>
      <c r="L163" s="1"/>
    </row>
    <row r="164" spans="1:12" x14ac:dyDescent="0.25">
      <c r="A164" s="223" t="s">
        <v>1276</v>
      </c>
      <c r="B164" s="235" t="s">
        <v>1138</v>
      </c>
      <c r="C164" s="250" t="s">
        <v>141</v>
      </c>
      <c r="D164" s="229" t="s">
        <v>1259</v>
      </c>
      <c r="E164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0.74515319894776011</v>
      </c>
      <c r="F164" s="229" t="s">
        <v>1259</v>
      </c>
      <c r="G164" s="229">
        <f>IF(Table10[[#This Row],[Ref]]="RGA",IFERROR(VLOOKUP(Table10[[#This Row],[Ref]]&amp;"_T2",Summary!$A$4:$K$228,6,0),""),IFERROR(VLOOKUP(Table10[[#This Row],[Ref]],Summary!$A$4:$K$228,6,0),""))</f>
        <v>5.776075720343532</v>
      </c>
      <c r="H164" s="229">
        <f>IFERROR(IF(Table10[[#This Row],[Column5]]-Table10[[#This Row],[Column3]]=0,"",Table10[[#This Row],[Column5]]-Table10[[#This Row],[Column3]]),"")</f>
        <v>5.0309225213957722</v>
      </c>
      <c r="I164" s="220" t="s">
        <v>1175</v>
      </c>
      <c r="J164" s="258" t="s">
        <v>1175</v>
      </c>
      <c r="K164" s="40" t="s">
        <v>141</v>
      </c>
      <c r="L164" s="1"/>
    </row>
    <row r="165" spans="1:12" x14ac:dyDescent="0.25">
      <c r="A165" s="223" t="s">
        <v>1276</v>
      </c>
      <c r="B165" s="235" t="s">
        <v>1138</v>
      </c>
      <c r="C165" s="250" t="s">
        <v>144</v>
      </c>
      <c r="D165" s="229" t="s">
        <v>1259</v>
      </c>
      <c r="E165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2.518595863895595</v>
      </c>
      <c r="F165" s="229" t="s">
        <v>1259</v>
      </c>
      <c r="G165" s="229">
        <f>IF(Table10[[#This Row],[Ref]]="RGA",IFERROR(VLOOKUP(Table10[[#This Row],[Ref]]&amp;"_T2",Summary!$A$4:$K$228,6,0),""),IFERROR(VLOOKUP(Table10[[#This Row],[Ref]],Summary!$A$4:$K$228,6,0),""))</f>
        <v>3.4230475076662725</v>
      </c>
      <c r="H165" s="229">
        <f>IFERROR(IF(Table10[[#This Row],[Column5]]-Table10[[#This Row],[Column3]]=0,"",Table10[[#This Row],[Column5]]-Table10[[#This Row],[Column3]]),"")</f>
        <v>0.90445164377067755</v>
      </c>
      <c r="I165" s="220" t="s">
        <v>1175</v>
      </c>
      <c r="J165" s="258" t="s">
        <v>1175</v>
      </c>
      <c r="K165" s="40" t="s">
        <v>144</v>
      </c>
      <c r="L165" s="1"/>
    </row>
    <row r="166" spans="1:12" x14ac:dyDescent="0.25">
      <c r="A166" s="223" t="s">
        <v>1276</v>
      </c>
      <c r="B166" s="235" t="s">
        <v>1138</v>
      </c>
      <c r="C166" s="250" t="s">
        <v>147</v>
      </c>
      <c r="D166" s="229" t="s">
        <v>1259</v>
      </c>
      <c r="E166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1.847153204755382</v>
      </c>
      <c r="F166" s="229" t="s">
        <v>1259</v>
      </c>
      <c r="G166" s="229">
        <f>IF(Table10[[#This Row],[Ref]]="RGA",IFERROR(VLOOKUP(Table10[[#This Row],[Ref]]&amp;"_T2",Summary!$A$4:$K$228,6,0),""),IFERROR(VLOOKUP(Table10[[#This Row],[Ref]],Summary!$A$4:$K$228,6,0),""))</f>
        <v>3.4230475076662725</v>
      </c>
      <c r="H166" s="229">
        <f>IFERROR(IF(Table10[[#This Row],[Column5]]-Table10[[#This Row],[Column3]]=0,"",Table10[[#This Row],[Column5]]-Table10[[#This Row],[Column3]]),"")</f>
        <v>1.5758943029108905</v>
      </c>
      <c r="I166" s="220" t="s">
        <v>1175</v>
      </c>
      <c r="J166" s="258" t="s">
        <v>1175</v>
      </c>
      <c r="K166" s="40" t="s">
        <v>147</v>
      </c>
      <c r="L166" s="1"/>
    </row>
    <row r="167" spans="1:12" x14ac:dyDescent="0.25">
      <c r="A167" s="223" t="s">
        <v>1276</v>
      </c>
      <c r="B167" s="235" t="s">
        <v>1138</v>
      </c>
      <c r="C167" s="250" t="s">
        <v>149</v>
      </c>
      <c r="D167" s="229" t="s">
        <v>1259</v>
      </c>
      <c r="E167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1.0059751090360036</v>
      </c>
      <c r="F167" s="229" t="s">
        <v>1259</v>
      </c>
      <c r="G167" s="229">
        <f>IF(Table10[[#This Row],[Ref]]="RGA",IFERROR(VLOOKUP(Table10[[#This Row],[Ref]]&amp;"_T2",Summary!$A$4:$K$228,6,0),""),IFERROR(VLOOKUP(Table10[[#This Row],[Ref]],Summary!$A$4:$K$228,6,0),""))</f>
        <v>2.3390824635719527</v>
      </c>
      <c r="H167" s="229">
        <f>IFERROR(IF(Table10[[#This Row],[Column5]]-Table10[[#This Row],[Column3]]=0,"",Table10[[#This Row],[Column5]]-Table10[[#This Row],[Column3]]),"")</f>
        <v>1.3331073545359491</v>
      </c>
      <c r="I167" s="220" t="s">
        <v>1175</v>
      </c>
      <c r="J167" s="258" t="s">
        <v>1175</v>
      </c>
      <c r="K167" s="40" t="s">
        <v>149</v>
      </c>
      <c r="L167" s="1"/>
    </row>
    <row r="168" spans="1:12" x14ac:dyDescent="0.25">
      <c r="A168" s="223" t="s">
        <v>1276</v>
      </c>
      <c r="B168" s="235" t="s">
        <v>1138</v>
      </c>
      <c r="C168" s="250" t="s">
        <v>152</v>
      </c>
      <c r="D168" s="229" t="s">
        <v>1257</v>
      </c>
      <c r="E168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2.5286556149859547</v>
      </c>
      <c r="F168" s="229" t="s">
        <v>1257</v>
      </c>
      <c r="G168" s="229">
        <f>IF(Table10[[#This Row],[Ref]]="RGA",IFERROR(VLOOKUP(Table10[[#This Row],[Ref]]&amp;"_T2",Summary!$A$4:$K$228,6,0),""),IFERROR(VLOOKUP(Table10[[#This Row],[Ref]],Summary!$A$4:$K$228,6,0),""))</f>
        <v>3.4230475076662725</v>
      </c>
      <c r="H168" s="229">
        <f>IFERROR(IF(Table10[[#This Row],[Column5]]-Table10[[#This Row],[Column3]]=0,"",Table10[[#This Row],[Column5]]-Table10[[#This Row],[Column3]]),"")</f>
        <v>0.89439189268031782</v>
      </c>
      <c r="I168" s="220" t="s">
        <v>1175</v>
      </c>
      <c r="J168" s="258" t="s">
        <v>1175</v>
      </c>
      <c r="K168" s="40" t="s">
        <v>152</v>
      </c>
      <c r="L168" s="1"/>
    </row>
    <row r="169" spans="1:12" x14ac:dyDescent="0.25">
      <c r="A169" s="223" t="s">
        <v>1276</v>
      </c>
      <c r="B169" s="235" t="s">
        <v>1138</v>
      </c>
      <c r="C169" s="250" t="s">
        <v>154</v>
      </c>
      <c r="D169" s="229" t="s">
        <v>1259</v>
      </c>
      <c r="E169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1.1522987612594224</v>
      </c>
      <c r="F169" s="229" t="s">
        <v>1255</v>
      </c>
      <c r="G169" s="229">
        <f>IF(Table10[[#This Row],[Ref]]="RGA",IFERROR(VLOOKUP(Table10[[#This Row],[Ref]]&amp;"_T2",Summary!$A$4:$K$228,6,0),""),IFERROR(VLOOKUP(Table10[[#This Row],[Ref]],Summary!$A$4:$K$228,6,0),""))</f>
        <v>6.1209160618565788</v>
      </c>
      <c r="H169" s="229">
        <f>IFERROR(IF(Table10[[#This Row],[Column5]]-Table10[[#This Row],[Column3]]=0,"",Table10[[#This Row],[Column5]]-Table10[[#This Row],[Column3]]),"")</f>
        <v>4.9686173005971561</v>
      </c>
      <c r="I169" s="220">
        <v>2020</v>
      </c>
      <c r="J169" s="223" t="s">
        <v>1175</v>
      </c>
      <c r="K169" s="40" t="s">
        <v>154</v>
      </c>
      <c r="L169" s="1"/>
    </row>
    <row r="170" spans="1:12" x14ac:dyDescent="0.25">
      <c r="A170" s="223" t="s">
        <v>1276</v>
      </c>
      <c r="B170" s="235" t="s">
        <v>1138</v>
      </c>
      <c r="C170" s="250" t="s">
        <v>101</v>
      </c>
      <c r="D170" s="229" t="s">
        <v>1259</v>
      </c>
      <c r="E170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</v>
      </c>
      <c r="F170" s="229" t="s">
        <v>1259</v>
      </c>
      <c r="G170" s="229">
        <f>IF(Table10[[#This Row],[Ref]]="RGA",IFERROR(VLOOKUP(Table10[[#This Row],[Ref]]&amp;"_T2",Summary!$A$4:$K$228,6,0),""),IFERROR(VLOOKUP(Table10[[#This Row],[Ref]],Summary!$A$4:$K$228,6,0),""))</f>
        <v>5.4312353788304852</v>
      </c>
      <c r="H170" s="229">
        <f>IFERROR(IF(Table10[[#This Row],[Column5]]-Table10[[#This Row],[Column3]]=0,"",Table10[[#This Row],[Column5]]-Table10[[#This Row],[Column3]]),"")</f>
        <v>5.4312353788304852</v>
      </c>
      <c r="I170" s="220" t="s">
        <v>1175</v>
      </c>
      <c r="J170" s="223" t="s">
        <v>1175</v>
      </c>
      <c r="K170" s="40" t="s">
        <v>101</v>
      </c>
      <c r="L170" s="1"/>
    </row>
    <row r="171" spans="1:12" x14ac:dyDescent="0.25">
      <c r="A171" s="223" t="s">
        <v>1276</v>
      </c>
      <c r="B171" s="235" t="s">
        <v>1138</v>
      </c>
      <c r="C171" s="250" t="s">
        <v>113</v>
      </c>
      <c r="D171" s="229" t="s">
        <v>1259</v>
      </c>
      <c r="E171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5.6641885775685399</v>
      </c>
      <c r="F171" s="229" t="s">
        <v>1255</v>
      </c>
      <c r="G171" s="229">
        <f>IF(Table10[[#This Row],[Ref]]="RGA",IFERROR(VLOOKUP(Table10[[#This Row],[Ref]]&amp;"_T2",Summary!$A$4:$K$228,6,0),""),IFERROR(VLOOKUP(Table10[[#This Row],[Ref]],Summary!$A$4:$K$228,6,0),""))</f>
        <v>6.2933362326131022</v>
      </c>
      <c r="H171" s="229">
        <f>IFERROR(IF(Table10[[#This Row],[Column5]]-Table10[[#This Row],[Column3]]=0,"",Table10[[#This Row],[Column5]]-Table10[[#This Row],[Column3]]),"")</f>
        <v>0.62914765504456227</v>
      </c>
      <c r="I171" s="220">
        <v>2020</v>
      </c>
      <c r="J171" s="223" t="s">
        <v>1175</v>
      </c>
      <c r="K171" s="40" t="s">
        <v>113</v>
      </c>
      <c r="L171" s="1"/>
    </row>
    <row r="172" spans="1:12" x14ac:dyDescent="0.25">
      <c r="A172" s="223" t="s">
        <v>1276</v>
      </c>
      <c r="B172" s="235" t="s">
        <v>1138</v>
      </c>
      <c r="C172" s="250" t="s">
        <v>124</v>
      </c>
      <c r="D172" s="229" t="s">
        <v>1259</v>
      </c>
      <c r="E172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1.0751130347115694</v>
      </c>
      <c r="F172" s="229" t="s">
        <v>1259</v>
      </c>
      <c r="G172" s="229">
        <f>IF(Table10[[#This Row],[Ref]]="RGA",IFERROR(VLOOKUP(Table10[[#This Row],[Ref]]&amp;"_T2",Summary!$A$4:$K$228,6,0),""),IFERROR(VLOOKUP(Table10[[#This Row],[Ref]],Summary!$A$4:$K$228,6,0),""))</f>
        <v>4.1875281177117394</v>
      </c>
      <c r="H172" s="229">
        <f>IFERROR(IF(Table10[[#This Row],[Column5]]-Table10[[#This Row],[Column3]]=0,"",Table10[[#This Row],[Column5]]-Table10[[#This Row],[Column3]]),"")</f>
        <v>3.1124150830001698</v>
      </c>
      <c r="I172" s="220" t="s">
        <v>1175</v>
      </c>
      <c r="J172" s="223" t="s">
        <v>1175</v>
      </c>
      <c r="K172" s="40" t="s">
        <v>124</v>
      </c>
      <c r="L172" s="1"/>
    </row>
    <row r="173" spans="1:12" x14ac:dyDescent="0.25">
      <c r="A173" s="223" t="s">
        <v>1276</v>
      </c>
      <c r="B173" s="235" t="s">
        <v>1138</v>
      </c>
      <c r="C173" s="250" t="s">
        <v>132</v>
      </c>
      <c r="D173" s="229" t="s">
        <v>1259</v>
      </c>
      <c r="E173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1.1612610849581069</v>
      </c>
      <c r="F173" s="229" t="s">
        <v>1259</v>
      </c>
      <c r="G173" s="229">
        <f>IF(Table10[[#This Row],[Ref]]="RGA",IFERROR(VLOOKUP(Table10[[#This Row],[Ref]]&amp;"_T2",Summary!$A$4:$K$228,6,0),""),IFERROR(VLOOKUP(Table10[[#This Row],[Ref]],Summary!$A$4:$K$228,6,0),""))</f>
        <v>6.0347059764783175</v>
      </c>
      <c r="H173" s="229">
        <f>IFERROR(IF(Table10[[#This Row],[Column5]]-Table10[[#This Row],[Column3]]=0,"",Table10[[#This Row],[Column5]]-Table10[[#This Row],[Column3]]),"")</f>
        <v>4.8734448915202107</v>
      </c>
      <c r="I173" s="220" t="s">
        <v>1175</v>
      </c>
      <c r="J173" s="223" t="s">
        <v>1175</v>
      </c>
      <c r="K173" s="40" t="s">
        <v>132</v>
      </c>
      <c r="L173" s="1"/>
    </row>
    <row r="174" spans="1:12" x14ac:dyDescent="0.25">
      <c r="A174" s="223" t="s">
        <v>1276</v>
      </c>
      <c r="B174" s="235" t="s">
        <v>1138</v>
      </c>
      <c r="C174" s="250" t="s">
        <v>138</v>
      </c>
      <c r="D174" s="229" t="s">
        <v>1259</v>
      </c>
      <c r="E174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3.2922821750269211</v>
      </c>
      <c r="F174" s="229" t="s">
        <v>1259</v>
      </c>
      <c r="G174" s="229">
        <f>IF(Table10[[#This Row],[Ref]]="RGA",IFERROR(VLOOKUP(Table10[[#This Row],[Ref]]&amp;"_T2",Summary!$A$4:$K$228,6,0),""),IFERROR(VLOOKUP(Table10[[#This Row],[Ref]],Summary!$A$4:$K$228,6,0),""))</f>
        <v>5.8909017584313847</v>
      </c>
      <c r="H174" s="229">
        <f>IFERROR(IF(Table10[[#This Row],[Column5]]-Table10[[#This Row],[Column3]]=0,"",Table10[[#This Row],[Column5]]-Table10[[#This Row],[Column3]]),"")</f>
        <v>2.5986195834044636</v>
      </c>
      <c r="I174" s="220" t="s">
        <v>1175</v>
      </c>
      <c r="J174" s="223" t="s">
        <v>1175</v>
      </c>
      <c r="K174" s="40" t="s">
        <v>138</v>
      </c>
      <c r="L174" s="1"/>
    </row>
    <row r="175" spans="1:12" x14ac:dyDescent="0.25">
      <c r="A175" s="223" t="s">
        <v>1276</v>
      </c>
      <c r="B175" s="235" t="s">
        <v>1138</v>
      </c>
      <c r="C175" s="250" t="s">
        <v>142</v>
      </c>
      <c r="D175" s="229" t="s">
        <v>1259</v>
      </c>
      <c r="E175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3.2847830878504714</v>
      </c>
      <c r="F175" s="229" t="s">
        <v>1259</v>
      </c>
      <c r="G175" s="229">
        <f>IF(Table10[[#This Row],[Ref]]="RGA",IFERROR(VLOOKUP(Table10[[#This Row],[Ref]]&amp;"_T2",Summary!$A$4:$K$228,6,0),""),IFERROR(VLOOKUP(Table10[[#This Row],[Ref]],Summary!$A$4:$K$228,6,0),""))</f>
        <v>5.4312353788304852</v>
      </c>
      <c r="H175" s="229">
        <f>IFERROR(IF(Table10[[#This Row],[Column5]]-Table10[[#This Row],[Column3]]=0,"",Table10[[#This Row],[Column5]]-Table10[[#This Row],[Column3]]),"")</f>
        <v>2.1464522909800139</v>
      </c>
      <c r="I175" s="220" t="s">
        <v>1175</v>
      </c>
      <c r="J175" s="223" t="s">
        <v>1175</v>
      </c>
      <c r="K175" s="40" t="s">
        <v>142</v>
      </c>
      <c r="L175" s="1"/>
    </row>
    <row r="176" spans="1:12" x14ac:dyDescent="0.25">
      <c r="A176" s="223" t="s">
        <v>1276</v>
      </c>
      <c r="B176" s="235" t="s">
        <v>1138</v>
      </c>
      <c r="C176" s="250" t="s">
        <v>145</v>
      </c>
      <c r="D176" s="229" t="s">
        <v>1259</v>
      </c>
      <c r="E176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1.3534937830666234</v>
      </c>
      <c r="F176" s="229" t="s">
        <v>1259</v>
      </c>
      <c r="G176" s="229">
        <f>IF(Table10[[#This Row],[Ref]]="RGA",IFERROR(VLOOKUP(Table10[[#This Row],[Ref]]&amp;"_T2",Summary!$A$4:$K$228,6,0),""),IFERROR(VLOOKUP(Table10[[#This Row],[Ref]],Summary!$A$4:$K$228,6,0),""))</f>
        <v>5.8307905159984115</v>
      </c>
      <c r="H176" s="229">
        <f>IFERROR(IF(Table10[[#This Row],[Column5]]-Table10[[#This Row],[Column3]]=0,"",Table10[[#This Row],[Column5]]-Table10[[#This Row],[Column3]]),"")</f>
        <v>4.4772967329317881</v>
      </c>
      <c r="I176" s="220" t="s">
        <v>1175</v>
      </c>
      <c r="J176" s="223" t="s">
        <v>1175</v>
      </c>
      <c r="K176" s="40" t="s">
        <v>145</v>
      </c>
      <c r="L176" s="1"/>
    </row>
    <row r="177" spans="1:12" x14ac:dyDescent="0.25">
      <c r="A177" s="223" t="s">
        <v>1276</v>
      </c>
      <c r="B177" s="235" t="s">
        <v>1138</v>
      </c>
      <c r="C177" s="250" t="s">
        <v>148</v>
      </c>
      <c r="D177" s="229" t="s">
        <v>1259</v>
      </c>
      <c r="E177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0.69503734806123907</v>
      </c>
      <c r="F177" s="229" t="s">
        <v>1259</v>
      </c>
      <c r="G177" s="229">
        <f>IF(Table10[[#This Row],[Ref]]="RGA",IFERROR(VLOOKUP(Table10[[#This Row],[Ref]]&amp;"_T2",Summary!$A$4:$K$228,6,0),""),IFERROR(VLOOKUP(Table10[[#This Row],[Ref]],Summary!$A$4:$K$228,6,0),""))</f>
        <v>5.4312353788304852</v>
      </c>
      <c r="H177" s="229">
        <f>IFERROR(IF(Table10[[#This Row],[Column5]]-Table10[[#This Row],[Column3]]=0,"",Table10[[#This Row],[Column5]]-Table10[[#This Row],[Column3]]),"")</f>
        <v>4.7361980307692466</v>
      </c>
      <c r="I177" s="220" t="s">
        <v>1175</v>
      </c>
      <c r="J177" s="223" t="s">
        <v>1175</v>
      </c>
      <c r="K177" s="40" t="s">
        <v>148</v>
      </c>
      <c r="L177" s="1"/>
    </row>
    <row r="178" spans="1:12" x14ac:dyDescent="0.25">
      <c r="A178" s="223" t="s">
        <v>1276</v>
      </c>
      <c r="B178" s="235" t="s">
        <v>1138</v>
      </c>
      <c r="C178" s="250" t="s">
        <v>150</v>
      </c>
      <c r="D178" s="229" t="s">
        <v>1259</v>
      </c>
      <c r="E178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0.53042323930989288</v>
      </c>
      <c r="F178" s="229" t="s">
        <v>1259</v>
      </c>
      <c r="G178" s="229">
        <f>IF(Table10[[#This Row],[Ref]]="RGA",IFERROR(VLOOKUP(Table10[[#This Row],[Ref]]&amp;"_T2",Summary!$A$4:$K$228,6,0),""),IFERROR(VLOOKUP(Table10[[#This Row],[Ref]],Summary!$A$4:$K$228,6,0),""))</f>
        <v>5.4312353788304852</v>
      </c>
      <c r="H178" s="229">
        <f>IFERROR(IF(Table10[[#This Row],[Column5]]-Table10[[#This Row],[Column3]]=0,"",Table10[[#This Row],[Column5]]-Table10[[#This Row],[Column3]]),"")</f>
        <v>4.9008121395205926</v>
      </c>
      <c r="I178" s="220" t="s">
        <v>1175</v>
      </c>
      <c r="J178" s="223" t="s">
        <v>1175</v>
      </c>
      <c r="K178" s="40" t="s">
        <v>150</v>
      </c>
      <c r="L178" s="1"/>
    </row>
    <row r="179" spans="1:12" x14ac:dyDescent="0.25">
      <c r="A179" s="223" t="s">
        <v>1276</v>
      </c>
      <c r="B179" s="235" t="s">
        <v>1138</v>
      </c>
      <c r="C179" s="250" t="s">
        <v>96</v>
      </c>
      <c r="D179" s="229" t="s">
        <v>1255</v>
      </c>
      <c r="E179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2.1032195961463649</v>
      </c>
      <c r="F179" s="229" t="s">
        <v>1255</v>
      </c>
      <c r="G179" s="229">
        <f>IF(Table10[[#This Row],[Ref]]="RGA",IFERROR(VLOOKUP(Table10[[#This Row],[Ref]]&amp;"_T2",Summary!$A$4:$K$228,6,0),""),IFERROR(VLOOKUP(Table10[[#This Row],[Ref]],Summary!$A$4:$K$228,6,0),""))</f>
        <v>3.6117886387159737</v>
      </c>
      <c r="H179" s="229">
        <f>IFERROR(IF(Table10[[#This Row],[Column5]]-Table10[[#This Row],[Column3]]=0,"",Table10[[#This Row],[Column5]]-Table10[[#This Row],[Column3]]),"")</f>
        <v>1.5085690425696088</v>
      </c>
      <c r="I179" s="220">
        <v>2035</v>
      </c>
      <c r="J179" s="223">
        <v>2035</v>
      </c>
      <c r="K179" s="40" t="s">
        <v>96</v>
      </c>
      <c r="L179" s="1"/>
    </row>
    <row r="180" spans="1:12" x14ac:dyDescent="0.25">
      <c r="A180" s="223" t="s">
        <v>1276</v>
      </c>
      <c r="B180" s="235" t="s">
        <v>1138</v>
      </c>
      <c r="C180" s="250" t="s">
        <v>108</v>
      </c>
      <c r="D180" s="229" t="s">
        <v>1256</v>
      </c>
      <c r="E180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4.0239004361440145</v>
      </c>
      <c r="F180" s="229" t="s">
        <v>1256</v>
      </c>
      <c r="G180" s="229">
        <f>IF(Table10[[#This Row],[Ref]]="RGA",IFERROR(VLOOKUP(Table10[[#This Row],[Ref]]&amp;"_T2",Summary!$A$4:$K$228,6,0),""),IFERROR(VLOOKUP(Table10[[#This Row],[Ref]],Summary!$A$4:$K$228,6,0),""))</f>
        <v>4.6146250243194187</v>
      </c>
      <c r="H180" s="229">
        <f>IFERROR(IF(Table10[[#This Row],[Column5]]-Table10[[#This Row],[Column3]]=0,"",Table10[[#This Row],[Column5]]-Table10[[#This Row],[Column3]]),"")</f>
        <v>0.59072458817540419</v>
      </c>
      <c r="I180" s="220">
        <v>2024</v>
      </c>
      <c r="J180" s="223">
        <v>2024</v>
      </c>
      <c r="K180" s="40" t="s">
        <v>108</v>
      </c>
      <c r="L180" s="1"/>
    </row>
    <row r="181" spans="1:12" x14ac:dyDescent="0.25">
      <c r="A181" s="223" t="s">
        <v>1276</v>
      </c>
      <c r="B181" s="235" t="s">
        <v>1138</v>
      </c>
      <c r="C181" s="250" t="s">
        <v>119</v>
      </c>
      <c r="D181" s="229" t="s">
        <v>1257</v>
      </c>
      <c r="E181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2.4692116312701913</v>
      </c>
      <c r="F181" s="229" t="s">
        <v>1257</v>
      </c>
      <c r="G181" s="229">
        <f>IF(Table10[[#This Row],[Ref]]="RGA",IFERROR(VLOOKUP(Table10[[#This Row],[Ref]]&amp;"_T2",Summary!$A$4:$K$228,6,0),""),IFERROR(VLOOKUP(Table10[[#This Row],[Ref]],Summary!$A$4:$K$228,6,0),""))</f>
        <v>4.6146250243194187</v>
      </c>
      <c r="H181" s="229">
        <f>IFERROR(IF(Table10[[#This Row],[Column5]]-Table10[[#This Row],[Column3]]=0,"",Table10[[#This Row],[Column5]]-Table10[[#This Row],[Column3]]),"")</f>
        <v>2.1454133930492274</v>
      </c>
      <c r="I181" s="220" t="s">
        <v>1175</v>
      </c>
      <c r="J181" s="223" t="s">
        <v>1175</v>
      </c>
      <c r="K181" s="40" t="s">
        <v>119</v>
      </c>
      <c r="L181" s="1"/>
    </row>
    <row r="182" spans="1:12" x14ac:dyDescent="0.25">
      <c r="A182" s="223" t="s">
        <v>1276</v>
      </c>
      <c r="B182" s="235" t="s">
        <v>1138</v>
      </c>
      <c r="C182" s="250" t="s">
        <v>98</v>
      </c>
      <c r="D182" s="229" t="s">
        <v>1257</v>
      </c>
      <c r="E182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1.8392078304396509</v>
      </c>
      <c r="F182" s="229" t="s">
        <v>1257</v>
      </c>
      <c r="G182" s="229">
        <f>IF(Table10[[#This Row],[Ref]]="RGA",IFERROR(VLOOKUP(Table10[[#This Row],[Ref]]&amp;"_T2",Summary!$A$4:$K$228,6,0),""),IFERROR(VLOOKUP(Table10[[#This Row],[Ref]],Summary!$A$4:$K$228,6,0),""))</f>
        <v>4.9916883788167672</v>
      </c>
      <c r="H182" s="229">
        <f>IFERROR(IF(Table10[[#This Row],[Column5]]-Table10[[#This Row],[Column3]]=0,"",Table10[[#This Row],[Column5]]-Table10[[#This Row],[Column3]]),"")</f>
        <v>3.1524805483771163</v>
      </c>
      <c r="I182" s="220" t="s">
        <v>1175</v>
      </c>
      <c r="J182" s="223" t="s">
        <v>1175</v>
      </c>
      <c r="K182" s="40" t="s">
        <v>98</v>
      </c>
      <c r="L182" s="1"/>
    </row>
    <row r="183" spans="1:12" x14ac:dyDescent="0.25">
      <c r="A183" s="223" t="s">
        <v>1276</v>
      </c>
      <c r="B183" s="235" t="s">
        <v>1138</v>
      </c>
      <c r="C183" s="250" t="s">
        <v>110</v>
      </c>
      <c r="D183" s="229" t="s">
        <v>1257</v>
      </c>
      <c r="E183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2.9187910527266454</v>
      </c>
      <c r="F183" s="229" t="s">
        <v>1257</v>
      </c>
      <c r="G183" s="229">
        <f>IF(Table10[[#This Row],[Ref]]="RGA",IFERROR(VLOOKUP(Table10[[#This Row],[Ref]]&amp;"_T2",Summary!$A$4:$K$228,6,0),""),IFERROR(VLOOKUP(Table10[[#This Row],[Ref]],Summary!$A$4:$K$228,6,0),""))</f>
        <v>4.0457161495369949</v>
      </c>
      <c r="H183" s="229">
        <f>IFERROR(IF(Table10[[#This Row],[Column5]]-Table10[[#This Row],[Column3]]=0,"",Table10[[#This Row],[Column5]]-Table10[[#This Row],[Column3]]),"")</f>
        <v>1.1269250968103495</v>
      </c>
      <c r="I183" s="220">
        <v>2026</v>
      </c>
      <c r="J183" s="223">
        <v>2026</v>
      </c>
      <c r="K183" s="40" t="s">
        <v>110</v>
      </c>
      <c r="L183" s="1"/>
    </row>
    <row r="184" spans="1:12" x14ac:dyDescent="0.25">
      <c r="A184" s="223" t="s">
        <v>1276</v>
      </c>
      <c r="B184" s="235" t="s">
        <v>1138</v>
      </c>
      <c r="C184" s="250" t="s">
        <v>121</v>
      </c>
      <c r="D184" s="229" t="s">
        <v>1257</v>
      </c>
      <c r="E184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1.7074927658450876</v>
      </c>
      <c r="F184" s="229" t="s">
        <v>1257</v>
      </c>
      <c r="G184" s="229">
        <f>IF(Table10[[#This Row],[Ref]]="RGA",IFERROR(VLOOKUP(Table10[[#This Row],[Ref]]&amp;"_T2",Summary!$A$4:$K$228,6,0),""),IFERROR(VLOOKUP(Table10[[#This Row],[Ref]],Summary!$A$4:$K$228,6,0),""))</f>
        <v>4.9916883788167672</v>
      </c>
      <c r="H184" s="229">
        <f>IFERROR(IF(Table10[[#This Row],[Column5]]-Table10[[#This Row],[Column3]]=0,"",Table10[[#This Row],[Column5]]-Table10[[#This Row],[Column3]]),"")</f>
        <v>3.2841956129716796</v>
      </c>
      <c r="I184" s="220" t="s">
        <v>1175</v>
      </c>
      <c r="J184" s="223" t="s">
        <v>1175</v>
      </c>
      <c r="K184" s="40" t="s">
        <v>121</v>
      </c>
      <c r="L184" s="1"/>
    </row>
    <row r="185" spans="1:12" x14ac:dyDescent="0.25">
      <c r="A185" s="223" t="s">
        <v>1276</v>
      </c>
      <c r="B185" s="235" t="s">
        <v>1138</v>
      </c>
      <c r="C185" s="250" t="s">
        <v>99</v>
      </c>
      <c r="D185" s="229" t="s">
        <v>1257</v>
      </c>
      <c r="E185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2.4006132740621995</v>
      </c>
      <c r="F185" s="229" t="s">
        <v>1257</v>
      </c>
      <c r="G185" s="229">
        <f>IF(Table10[[#This Row],[Ref]]="RGA",IFERROR(VLOOKUP(Table10[[#This Row],[Ref]]&amp;"_T2",Summary!$A$4:$K$228,6,0),""),IFERROR(VLOOKUP(Table10[[#This Row],[Ref]],Summary!$A$4:$K$228,6,0),""))</f>
        <v>5.3517536221209898</v>
      </c>
      <c r="H185" s="229">
        <f>IFERROR(IF(Table10[[#This Row],[Column5]]-Table10[[#This Row],[Column3]]=0,"",Table10[[#This Row],[Column5]]-Table10[[#This Row],[Column3]]),"")</f>
        <v>2.9511403480587903</v>
      </c>
      <c r="I185" s="220" t="s">
        <v>1175</v>
      </c>
      <c r="J185" s="223" t="s">
        <v>1175</v>
      </c>
      <c r="K185" s="40" t="s">
        <v>99</v>
      </c>
      <c r="L185" s="1"/>
    </row>
    <row r="186" spans="1:12" x14ac:dyDescent="0.25">
      <c r="A186" s="223" t="s">
        <v>1276</v>
      </c>
      <c r="B186" s="235" t="s">
        <v>1138</v>
      </c>
      <c r="C186" s="250" t="s">
        <v>111</v>
      </c>
      <c r="D186" s="229" t="s">
        <v>1257</v>
      </c>
      <c r="E186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0.64656763826223163</v>
      </c>
      <c r="F186" s="229" t="s">
        <v>1257</v>
      </c>
      <c r="G186" s="229">
        <f>IF(Table10[[#This Row],[Ref]]="RGA",IFERROR(VLOOKUP(Table10[[#This Row],[Ref]]&amp;"_T2",Summary!$A$4:$K$228,6,0),""),IFERROR(VLOOKUP(Table10[[#This Row],[Ref]],Summary!$A$4:$K$228,6,0),""))</f>
        <v>5.3517536221209898</v>
      </c>
      <c r="H186" s="229">
        <f>IFERROR(IF(Table10[[#This Row],[Column5]]-Table10[[#This Row],[Column3]]=0,"",Table10[[#This Row],[Column5]]-Table10[[#This Row],[Column3]]),"")</f>
        <v>4.7051859838587582</v>
      </c>
      <c r="I186" s="220" t="s">
        <v>1175</v>
      </c>
      <c r="J186" s="223" t="s">
        <v>1175</v>
      </c>
      <c r="K186" s="40" t="s">
        <v>111</v>
      </c>
      <c r="L186" s="1"/>
    </row>
    <row r="187" spans="1:12" x14ac:dyDescent="0.25">
      <c r="A187" s="223" t="s">
        <v>1276</v>
      </c>
      <c r="B187" s="235" t="s">
        <v>1138</v>
      </c>
      <c r="C187" s="250" t="s">
        <v>122</v>
      </c>
      <c r="D187" s="229" t="s">
        <v>1257</v>
      </c>
      <c r="E187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1.563400549318076</v>
      </c>
      <c r="F187" s="229" t="s">
        <v>1257</v>
      </c>
      <c r="G187" s="229">
        <f>IF(Table10[[#This Row],[Ref]]="RGA",IFERROR(VLOOKUP(Table10[[#This Row],[Ref]]&amp;"_T2",Summary!$A$4:$K$228,6,0),""),IFERROR(VLOOKUP(Table10[[#This Row],[Ref]],Summary!$A$4:$K$228,6,0),""))</f>
        <v>4.9916883788167672</v>
      </c>
      <c r="H187" s="229">
        <f>IFERROR(IF(Table10[[#This Row],[Column5]]-Table10[[#This Row],[Column3]]=0,"",Table10[[#This Row],[Column5]]-Table10[[#This Row],[Column3]]),"")</f>
        <v>3.4282878294986912</v>
      </c>
      <c r="I187" s="220" t="s">
        <v>1175</v>
      </c>
      <c r="J187" s="223" t="s">
        <v>1175</v>
      </c>
      <c r="K187" s="40" t="s">
        <v>122</v>
      </c>
      <c r="L187" s="1"/>
    </row>
    <row r="188" spans="1:12" x14ac:dyDescent="0.25">
      <c r="A188" s="223" t="s">
        <v>1276</v>
      </c>
      <c r="B188" s="235" t="s">
        <v>1138</v>
      </c>
      <c r="C188" s="250" t="s">
        <v>97</v>
      </c>
      <c r="D188" s="229" t="s">
        <v>1256</v>
      </c>
      <c r="E188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3.3778815115776215</v>
      </c>
      <c r="F188" s="229" t="s">
        <v>1256</v>
      </c>
      <c r="G188" s="229">
        <f>IF(Table10[[#This Row],[Ref]]="RGA",IFERROR(VLOOKUP(Table10[[#This Row],[Ref]]&amp;"_T2",Summary!$A$4:$K$228,6,0),""),IFERROR(VLOOKUP(Table10[[#This Row],[Ref]],Summary!$A$4:$K$228,6,0),""))</f>
        <v>4.9406825650093298</v>
      </c>
      <c r="H188" s="229">
        <f>IFERROR(IF(Table10[[#This Row],[Column5]]-Table10[[#This Row],[Column3]]=0,"",Table10[[#This Row],[Column5]]-Table10[[#This Row],[Column3]]),"")</f>
        <v>1.5628010534317083</v>
      </c>
      <c r="I188" s="220" t="s">
        <v>1175</v>
      </c>
      <c r="J188" s="223" t="s">
        <v>1175</v>
      </c>
      <c r="K188" s="40" t="s">
        <v>97</v>
      </c>
      <c r="L188" s="1"/>
    </row>
    <row r="189" spans="1:12" x14ac:dyDescent="0.25">
      <c r="A189" s="223" t="s">
        <v>1276</v>
      </c>
      <c r="B189" s="235" t="s">
        <v>1138</v>
      </c>
      <c r="C189" s="250" t="s">
        <v>109</v>
      </c>
      <c r="D189" s="229" t="s">
        <v>1257</v>
      </c>
      <c r="E189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2.6</v>
      </c>
      <c r="F189" s="229" t="s">
        <v>1257</v>
      </c>
      <c r="G189" s="229">
        <f>IF(Table10[[#This Row],[Ref]]="RGA",IFERROR(VLOOKUP(Table10[[#This Row],[Ref]]&amp;"_T2",Summary!$A$4:$K$228,6,0),""),IFERROR(VLOOKUP(Table10[[#This Row],[Ref]],Summary!$A$4:$K$228,6,0),""))</f>
        <v>3.0371305626281191</v>
      </c>
      <c r="H189" s="229">
        <f>IFERROR(IF(Table10[[#This Row],[Column5]]-Table10[[#This Row],[Column3]]=0,"",Table10[[#This Row],[Column5]]-Table10[[#This Row],[Column3]]),"")</f>
        <v>0.437130562628119</v>
      </c>
      <c r="I189" s="220">
        <v>2038</v>
      </c>
      <c r="J189" s="223">
        <v>2038</v>
      </c>
      <c r="K189" s="40" t="s">
        <v>109</v>
      </c>
      <c r="L189" s="1"/>
    </row>
    <row r="190" spans="1:12" x14ac:dyDescent="0.25">
      <c r="A190" s="223" t="s">
        <v>1276</v>
      </c>
      <c r="B190" s="235" t="s">
        <v>1138</v>
      </c>
      <c r="C190" s="250" t="s">
        <v>120</v>
      </c>
      <c r="D190" s="229" t="s">
        <v>1256</v>
      </c>
      <c r="E190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3.0726137921265146</v>
      </c>
      <c r="F190" s="229" t="s">
        <v>1256</v>
      </c>
      <c r="G190" s="229">
        <f>IF(Table10[[#This Row],[Ref]]="RGA",IFERROR(VLOOKUP(Table10[[#This Row],[Ref]]&amp;"_T2",Summary!$A$4:$K$228,6,0),""),IFERROR(VLOOKUP(Table10[[#This Row],[Ref]],Summary!$A$4:$K$228,6,0),""))</f>
        <v>5.715767664977295</v>
      </c>
      <c r="H190" s="229">
        <f>IFERROR(IF(Table10[[#This Row],[Column5]]-Table10[[#This Row],[Column3]]=0,"",Table10[[#This Row],[Column5]]-Table10[[#This Row],[Column3]]),"")</f>
        <v>2.6431538728507804</v>
      </c>
      <c r="I190" s="220">
        <v>2039</v>
      </c>
      <c r="J190" s="223">
        <v>2039</v>
      </c>
      <c r="K190" s="40" t="s">
        <v>120</v>
      </c>
      <c r="L190" s="1"/>
    </row>
    <row r="191" spans="1:12" x14ac:dyDescent="0.25">
      <c r="A191" s="223" t="s">
        <v>1276</v>
      </c>
      <c r="B191" s="235" t="s">
        <v>1138</v>
      </c>
      <c r="C191" s="250" t="s">
        <v>130</v>
      </c>
      <c r="D191" s="229" t="s">
        <v>1257</v>
      </c>
      <c r="E191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3.1627857428091954</v>
      </c>
      <c r="F191" s="229" t="s">
        <v>1257</v>
      </c>
      <c r="G191" s="229">
        <f>IF(Table10[[#This Row],[Ref]]="RGA",IFERROR(VLOOKUP(Table10[[#This Row],[Ref]]&amp;"_T2",Summary!$A$4:$K$228,6,0),""),IFERROR(VLOOKUP(Table10[[#This Row],[Ref]],Summary!$A$4:$K$228,6,0),""))</f>
        <v>5.715767664977295</v>
      </c>
      <c r="H191" s="229">
        <f>IFERROR(IF(Table10[[#This Row],[Column5]]-Table10[[#This Row],[Column3]]=0,"",Table10[[#This Row],[Column5]]-Table10[[#This Row],[Column3]]),"")</f>
        <v>2.5529819221680996</v>
      </c>
      <c r="I191" s="220">
        <v>2039</v>
      </c>
      <c r="J191" s="223">
        <v>2039</v>
      </c>
      <c r="K191" s="40" t="s">
        <v>130</v>
      </c>
      <c r="L191" s="1"/>
    </row>
    <row r="192" spans="1:12" x14ac:dyDescent="0.25">
      <c r="A192" s="223" t="s">
        <v>1276</v>
      </c>
      <c r="B192" s="235" t="s">
        <v>1138</v>
      </c>
      <c r="C192" s="250" t="s">
        <v>136</v>
      </c>
      <c r="D192" s="229" t="s">
        <v>1256</v>
      </c>
      <c r="E192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3.6547990234104413</v>
      </c>
      <c r="F192" s="229" t="s">
        <v>1256</v>
      </c>
      <c r="G192" s="229">
        <f>IF(Table10[[#This Row],[Ref]]="RGA",IFERROR(VLOOKUP(Table10[[#This Row],[Ref]]&amp;"_T2",Summary!$A$4:$K$228,6,0),""),IFERROR(VLOOKUP(Table10[[#This Row],[Ref]],Summary!$A$4:$K$228,6,0),""))</f>
        <v>4.5916666908650932</v>
      </c>
      <c r="H192" s="229">
        <f>IFERROR(IF(Table10[[#This Row],[Column5]]-Table10[[#This Row],[Column3]]=0,"",Table10[[#This Row],[Column5]]-Table10[[#This Row],[Column3]]),"")</f>
        <v>0.93686766745465189</v>
      </c>
      <c r="I192" s="220">
        <v>2020</v>
      </c>
      <c r="J192" s="223">
        <v>2020</v>
      </c>
      <c r="K192" s="40" t="s">
        <v>136</v>
      </c>
      <c r="L192" s="1"/>
    </row>
    <row r="193" spans="1:12" x14ac:dyDescent="0.25">
      <c r="A193" s="223" t="s">
        <v>1276</v>
      </c>
      <c r="B193" s="235" t="s">
        <v>1138</v>
      </c>
      <c r="C193" s="250" t="s">
        <v>140</v>
      </c>
      <c r="D193" s="229" t="s">
        <v>1257</v>
      </c>
      <c r="E193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1.8767837443306248</v>
      </c>
      <c r="F193" s="229" t="s">
        <v>1257</v>
      </c>
      <c r="G193" s="229">
        <f>IF(Table10[[#This Row],[Ref]]="RGA",IFERROR(VLOOKUP(Table10[[#This Row],[Ref]]&amp;"_T2",Summary!$A$4:$K$228,6,0),""),IFERROR(VLOOKUP(Table10[[#This Row],[Ref]],Summary!$A$4:$K$228,6,0),""))</f>
        <v>3.3532503634533466</v>
      </c>
      <c r="H193" s="229">
        <f>IFERROR(IF(Table10[[#This Row],[Column5]]-Table10[[#This Row],[Column3]]=0,"",Table10[[#This Row],[Column5]]-Table10[[#This Row],[Column3]]),"")</f>
        <v>1.4764666191227218</v>
      </c>
      <c r="I193" s="220">
        <v>2043</v>
      </c>
      <c r="J193" s="223">
        <v>2043</v>
      </c>
      <c r="K193" s="40" t="s">
        <v>140</v>
      </c>
      <c r="L193" s="1"/>
    </row>
    <row r="194" spans="1:12" x14ac:dyDescent="0.25">
      <c r="A194" s="223" t="s">
        <v>1276</v>
      </c>
      <c r="B194" s="235" t="s">
        <v>70</v>
      </c>
      <c r="C194" s="250" t="s">
        <v>102</v>
      </c>
      <c r="D194" s="229" t="s">
        <v>1256</v>
      </c>
      <c r="E194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1.76</v>
      </c>
      <c r="F194" s="229" t="s">
        <v>1256</v>
      </c>
      <c r="G194" s="229">
        <f>IF(Table10[[#This Row],[Ref]]="RGA",IFERROR(VLOOKUP(Table10[[#This Row],[Ref]]&amp;"_T2",Summary!$A$4:$K$228,6,0),""),IFERROR(VLOOKUP(Table10[[#This Row],[Ref]],Summary!$A$4:$K$228,6,0),""))</f>
        <v>2.8959889502551626</v>
      </c>
      <c r="H194" s="229">
        <f>IFERROR(IF(Table10[[#This Row],[Column5]]-Table10[[#This Row],[Column3]]=0,"",Table10[[#This Row],[Column5]]-Table10[[#This Row],[Column3]]),"")</f>
        <v>1.1359889502551626</v>
      </c>
      <c r="I194" s="220">
        <v>2040</v>
      </c>
      <c r="J194" s="223">
        <v>2040</v>
      </c>
      <c r="K194" s="40" t="s">
        <v>102</v>
      </c>
      <c r="L194" s="1"/>
    </row>
    <row r="195" spans="1:12" x14ac:dyDescent="0.25">
      <c r="A195" s="223" t="s">
        <v>1276</v>
      </c>
      <c r="B195" s="235" t="s">
        <v>70</v>
      </c>
      <c r="C195" s="250" t="s">
        <v>114</v>
      </c>
      <c r="D195" s="229" t="s">
        <v>1256</v>
      </c>
      <c r="E195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1.64</v>
      </c>
      <c r="F195" s="229" t="s">
        <v>1256</v>
      </c>
      <c r="G195" s="229">
        <f>IF(Table10[[#This Row],[Ref]]="RGA",IFERROR(VLOOKUP(Table10[[#This Row],[Ref]]&amp;"_T2",Summary!$A$4:$K$228,6,0),""),IFERROR(VLOOKUP(Table10[[#This Row],[Ref]],Summary!$A$4:$K$228,6,0),""))</f>
        <v>2.8959889502551626</v>
      </c>
      <c r="H195" s="229">
        <f>IFERROR(IF(Table10[[#This Row],[Column5]]-Table10[[#This Row],[Column3]]=0,"",Table10[[#This Row],[Column5]]-Table10[[#This Row],[Column3]]),"")</f>
        <v>1.2559889502551627</v>
      </c>
      <c r="I195" s="220">
        <v>2042</v>
      </c>
      <c r="J195" s="223">
        <v>2042</v>
      </c>
      <c r="K195" s="40" t="s">
        <v>114</v>
      </c>
      <c r="L195" s="1"/>
    </row>
    <row r="196" spans="1:12" x14ac:dyDescent="0.25">
      <c r="A196" s="223" t="s">
        <v>1276</v>
      </c>
      <c r="B196" s="235" t="s">
        <v>70</v>
      </c>
      <c r="C196" s="250" t="s">
        <v>125</v>
      </c>
      <c r="D196" s="229" t="s">
        <v>1258</v>
      </c>
      <c r="E196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0.01</v>
      </c>
      <c r="F196" s="229" t="s">
        <v>1258</v>
      </c>
      <c r="G196" s="229">
        <f>IF(Table10[[#This Row],[Ref]]="RGA",IFERROR(VLOOKUP(Table10[[#This Row],[Ref]]&amp;"_T2",Summary!$A$4:$K$228,6,0),""),IFERROR(VLOOKUP(Table10[[#This Row],[Ref]],Summary!$A$4:$K$228,6,0),""))</f>
        <v>1.626850371644162</v>
      </c>
      <c r="H196" s="229">
        <f>IFERROR(IF(Table10[[#This Row],[Column5]]-Table10[[#This Row],[Column3]]=0,"",Table10[[#This Row],[Column5]]-Table10[[#This Row],[Column3]]),"")</f>
        <v>1.616850371644162</v>
      </c>
      <c r="I196" s="220" t="s">
        <v>1175</v>
      </c>
      <c r="J196" s="223" t="s">
        <v>1175</v>
      </c>
      <c r="K196" s="40" t="s">
        <v>125</v>
      </c>
      <c r="L196" s="1"/>
    </row>
    <row r="197" spans="1:12" x14ac:dyDescent="0.25">
      <c r="A197" s="223" t="s">
        <v>1276</v>
      </c>
      <c r="B197" s="235" t="s">
        <v>70</v>
      </c>
      <c r="C197" s="250" t="s">
        <v>133</v>
      </c>
      <c r="D197" s="229" t="s">
        <v>1255</v>
      </c>
      <c r="E197" s="229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>0.8</v>
      </c>
      <c r="F197" s="229" t="s">
        <v>1255</v>
      </c>
      <c r="G197" s="229">
        <f>IF(Table10[[#This Row],[Ref]]="RGA",IFERROR(VLOOKUP(Table10[[#This Row],[Ref]]&amp;"_T2",Summary!$A$4:$K$228,6,0),""),IFERROR(VLOOKUP(Table10[[#This Row],[Ref]],Summary!$A$4:$K$228,6,0),""))</f>
        <v>2.8959889502551626</v>
      </c>
      <c r="H197" s="229">
        <f>IFERROR(IF(Table10[[#This Row],[Column5]]-Table10[[#This Row],[Column3]]=0,"",Table10[[#This Row],[Column5]]-Table10[[#This Row],[Column3]]),"")</f>
        <v>2.0959889502551627</v>
      </c>
      <c r="I197" s="220" t="s">
        <v>1175</v>
      </c>
      <c r="J197" s="223" t="s">
        <v>1175</v>
      </c>
      <c r="K197" s="40" t="s">
        <v>133</v>
      </c>
      <c r="L197" s="1"/>
    </row>
    <row r="198" spans="1:12" ht="15.75" thickBot="1" x14ac:dyDescent="0.3">
      <c r="A198" s="252" t="s">
        <v>1276</v>
      </c>
      <c r="B198" s="253" t="s">
        <v>70</v>
      </c>
      <c r="C198" s="254" t="s">
        <v>1205</v>
      </c>
      <c r="D198" s="255" t="s">
        <v>1258</v>
      </c>
      <c r="E198" s="255" t="str">
        <f>IF(OR(Table10[[#This Row],[Ref]]="WSS",Table10[[#This Row],[Ref]]="TIM_GRM_SUBTRANS"),IF(ISNUMBER(Table10[[#This Row],[Ref]]),Table10[[#This Row],[Ref]],IFERROR(VLOOKUP(Table10[[#This Row],[Ref]],'[1]All Summary'!$A$395:$B$584,2,0),""))/4,IF(ISNUMBER(Table10[[#This Row],[Ref]]),Table10[[#This Row],[Ref]],IFERROR(VLOOKUP(Table10[[#This Row],[Ref]],'[1]All Summary'!$A$395:$B$584,2,0),"")))</f>
        <v/>
      </c>
      <c r="F198" s="255" t="s">
        <v>1258</v>
      </c>
      <c r="G198" s="255" t="str">
        <f>IF(Table10[[#This Row],[Ref]]="RGA",IFERROR(VLOOKUP(Table10[[#This Row],[Ref]]&amp;"_T2",Summary!$A$4:$K$228,6,0),""),IFERROR(VLOOKUP(Table10[[#This Row],[Ref]],Summary!$A$4:$K$228,6,0),""))</f>
        <v/>
      </c>
      <c r="H198" s="255" t="str">
        <f>IFERROR(IF(Table10[[#This Row],[Column5]]-Table10[[#This Row],[Column3]]=0,"",Table10[[#This Row],[Column5]]-Table10[[#This Row],[Column3]]),"")</f>
        <v/>
      </c>
      <c r="I198" s="256" t="s">
        <v>1175</v>
      </c>
      <c r="J198" s="252" t="s">
        <v>1175</v>
      </c>
      <c r="K198" s="254" t="s">
        <v>1205</v>
      </c>
      <c r="L198" s="1"/>
    </row>
    <row r="199" spans="1:12" ht="15.75" thickTop="1" x14ac:dyDescent="0.25"/>
  </sheetData>
  <mergeCells count="10">
    <mergeCell ref="J1:J2"/>
    <mergeCell ref="B1:B2"/>
    <mergeCell ref="A12:D12"/>
    <mergeCell ref="E12:H12"/>
    <mergeCell ref="A1:A2"/>
    <mergeCell ref="I12:J12"/>
    <mergeCell ref="C1:C2"/>
    <mergeCell ref="D1:E1"/>
    <mergeCell ref="G1:I1"/>
    <mergeCell ref="F1:F2"/>
  </mergeCells>
  <conditionalFormatting sqref="H1:H10 H12:H1048576">
    <cfRule type="cellIs" dxfId="1167" priority="1" operator="lessThan">
      <formula>0</formula>
    </cfRule>
  </conditionalFormatting>
  <dataValidations count="3">
    <dataValidation type="list" allowBlank="1" showInputMessage="1" showErrorMessage="1" sqref="D77:D198 D17:D71" xr:uid="{00000000-0002-0000-0200-000000000000}">
      <formula1>INDIRECT(A17)</formula1>
    </dataValidation>
    <dataValidation type="list" allowBlank="1" showInputMessage="1" showErrorMessage="1" sqref="F77:F198 F17:F71" xr:uid="{00000000-0002-0000-0200-000001000000}">
      <formula1>INDIRECT(A17)</formula1>
    </dataValidation>
    <dataValidation type="list" allowBlank="1" showInputMessage="1" showErrorMessage="1" sqref="B17:B198" xr:uid="{00000000-0002-0000-0200-000002000000}">
      <formula1>$C$4:$C$11</formula1>
    </dataValidation>
  </dataValidations>
  <hyperlinks>
    <hyperlink ref="J1:J2" r:id="rId1" display="RCP3 (proposed)" xr:uid="{00000000-0004-0000-0200-000000000000}"/>
  </hyperlinks>
  <pageMargins left="0.7" right="0.7" top="0.75" bottom="0.75" header="0.3" footer="0.3"/>
  <pageSetup paperSize="9" orientation="portrait" r:id="rId2"/>
  <ignoredErrors>
    <ignoredError sqref="B4:B10" listDataValidation="1"/>
  </ignoredErrors>
  <legacyDrawing r:id="rId3"/>
  <tableParts count="2"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3000000}">
          <x14:formula1>
            <xm:f>'Dropdown List'!$A$2:$A$8</xm:f>
          </x14:formula1>
          <xm:sqref>A4:B10 A17:A198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>
    <tabColor rgb="FF92D050"/>
    <pageSetUpPr fitToPage="1"/>
  </sheetPr>
  <dimension ref="A1:BA388"/>
  <sheetViews>
    <sheetView showGridLines="0" tabSelected="1" zoomScaleNormal="100" workbookViewId="0">
      <selection activeCell="F395" sqref="F395"/>
    </sheetView>
  </sheetViews>
  <sheetFormatPr defaultColWidth="9.140625" defaultRowHeight="15" x14ac:dyDescent="0.25"/>
  <cols>
    <col min="1" max="1" width="2.28515625" style="468" customWidth="1"/>
    <col min="2" max="2" width="7.28515625" style="211" bestFit="1" customWidth="1"/>
    <col min="3" max="3" width="36.5703125" style="212" bestFit="1" customWidth="1"/>
    <col min="4" max="4" width="7.42578125" style="270" bestFit="1" customWidth="1"/>
    <col min="5" max="5" width="10.7109375" style="270" bestFit="1" customWidth="1"/>
    <col min="6" max="6" width="7.28515625" style="270" bestFit="1" customWidth="1"/>
    <col min="7" max="7" width="7.140625" style="270" customWidth="1"/>
    <col min="8" max="8" width="7.140625" style="404" customWidth="1"/>
    <col min="9" max="9" width="7.140625" style="270" customWidth="1"/>
    <col min="10" max="10" width="7.140625" style="404" customWidth="1"/>
    <col min="11" max="11" width="45.28515625" style="212" bestFit="1" customWidth="1"/>
    <col min="12" max="12" width="10.5703125" style="212" bestFit="1" customWidth="1"/>
    <col min="13" max="13" width="8.7109375" style="1" bestFit="1" customWidth="1"/>
    <col min="14" max="14" width="2.28515625" style="468" customWidth="1"/>
    <col min="15" max="15" width="16" style="1" customWidth="1"/>
    <col min="16" max="16" width="19.85546875" style="1" customWidth="1"/>
    <col min="17" max="17" width="27.5703125" style="1" customWidth="1"/>
    <col min="18" max="18" width="8.140625" style="211" customWidth="1"/>
    <col min="19" max="19" width="7.42578125" style="363" customWidth="1"/>
    <col min="20" max="21" width="7.28515625" style="1" customWidth="1"/>
    <col min="22" max="22" width="61.28515625" style="1" customWidth="1"/>
    <col min="23" max="23" width="1.7109375" style="468" customWidth="1"/>
    <col min="24" max="24" width="8.42578125" style="427" bestFit="1" customWidth="1"/>
    <col min="25" max="25" width="32.7109375" style="427" bestFit="1" customWidth="1"/>
    <col min="26" max="26" width="5" style="47" bestFit="1" customWidth="1"/>
    <col min="27" max="27" width="7" style="438" bestFit="1" customWidth="1"/>
    <col min="28" max="28" width="6.5703125" style="449" bestFit="1" customWidth="1"/>
    <col min="29" max="29" width="8.140625" style="449" bestFit="1" customWidth="1"/>
    <col min="30" max="30" width="7.5703125" style="449" bestFit="1" customWidth="1"/>
    <col min="31" max="31" width="10.5703125" style="449" bestFit="1" customWidth="1"/>
    <col min="32" max="32" width="5" style="47" bestFit="1" customWidth="1"/>
    <col min="33" max="33" width="7" style="47" bestFit="1" customWidth="1"/>
    <col min="34" max="34" width="7.5703125" style="449" bestFit="1" customWidth="1"/>
    <col min="35" max="35" width="8.140625" style="449" bestFit="1" customWidth="1"/>
    <col min="36" max="36" width="7.5703125" style="449" bestFit="1" customWidth="1"/>
    <col min="37" max="37" width="10.5703125" style="449" bestFit="1" customWidth="1"/>
    <col min="38" max="38" width="14.28515625" style="427" bestFit="1" customWidth="1"/>
    <col min="39" max="39" width="1.7109375" style="482" customWidth="1"/>
    <col min="40" max="40" width="8.7109375" style="1" bestFit="1" customWidth="1"/>
    <col min="41" max="41" width="6.5703125" style="403" bestFit="1" customWidth="1"/>
    <col min="42" max="42" width="7.5703125" style="403" bestFit="1" customWidth="1"/>
    <col min="43" max="43" width="9.28515625" style="403" bestFit="1" customWidth="1"/>
    <col min="44" max="44" width="8.140625" style="403" bestFit="1" customWidth="1"/>
    <col min="45" max="45" width="10.5703125" style="403" bestFit="1" customWidth="1"/>
    <col min="46" max="46" width="12.28515625" style="403" bestFit="1" customWidth="1"/>
    <col min="47" max="47" width="6.5703125" style="403" bestFit="1" customWidth="1"/>
    <col min="48" max="48" width="7.5703125" style="403" bestFit="1" customWidth="1"/>
    <col min="49" max="49" width="9.28515625" style="403" bestFit="1" customWidth="1"/>
    <col min="50" max="50" width="8.140625" style="403" bestFit="1" customWidth="1"/>
    <col min="51" max="51" width="10.5703125" style="403" bestFit="1" customWidth="1"/>
    <col min="52" max="52" width="12.28515625" style="403" bestFit="1" customWidth="1"/>
    <col min="53" max="16384" width="9.140625" style="1"/>
  </cols>
  <sheetData>
    <row r="1" spans="1:53" ht="19.5" thickBot="1" x14ac:dyDescent="0.3">
      <c r="A1" s="515"/>
      <c r="B1" s="393"/>
      <c r="C1" s="562" t="s">
        <v>2991</v>
      </c>
      <c r="D1" s="563"/>
      <c r="E1" s="44"/>
      <c r="F1" s="44"/>
      <c r="G1" s="44"/>
      <c r="H1" s="403"/>
      <c r="I1" s="44"/>
      <c r="J1" s="403"/>
      <c r="K1" s="1"/>
      <c r="L1" s="2"/>
      <c r="M1" s="2"/>
      <c r="N1" s="515"/>
      <c r="P1" s="342"/>
      <c r="R1" s="391"/>
      <c r="S1" s="367"/>
      <c r="T1" s="342"/>
      <c r="U1" s="342"/>
      <c r="V1" s="40"/>
      <c r="AA1"/>
      <c r="AB1"/>
      <c r="AC1"/>
      <c r="AD1"/>
      <c r="AE1"/>
      <c r="AF1"/>
      <c r="AG1"/>
      <c r="AH1"/>
      <c r="AI1"/>
      <c r="AJ1"/>
      <c r="AK1"/>
      <c r="AL1"/>
      <c r="AM1" s="477"/>
    </row>
    <row r="2" spans="1:53" ht="15.75" x14ac:dyDescent="0.25">
      <c r="A2" s="515"/>
      <c r="B2" s="393"/>
      <c r="C2" s="464" t="s">
        <v>2752</v>
      </c>
      <c r="D2" s="465">
        <v>0.9</v>
      </c>
      <c r="E2" s="564" t="s">
        <v>2754</v>
      </c>
      <c r="F2" s="565"/>
      <c r="G2" s="565"/>
      <c r="H2" s="565"/>
      <c r="I2" s="565"/>
      <c r="J2" s="565"/>
      <c r="K2" s="1"/>
      <c r="L2" s="2"/>
      <c r="M2" s="2"/>
      <c r="N2" s="515"/>
      <c r="P2" s="343"/>
      <c r="R2" s="392"/>
      <c r="S2" s="368"/>
      <c r="T2" s="343"/>
      <c r="U2" s="343"/>
      <c r="V2" s="40"/>
      <c r="AA2"/>
      <c r="AB2"/>
      <c r="AC2"/>
      <c r="AD2"/>
      <c r="AE2"/>
      <c r="AF2"/>
      <c r="AG2"/>
      <c r="AH2"/>
      <c r="AI2"/>
      <c r="AJ2"/>
      <c r="AK2"/>
      <c r="AL2"/>
      <c r="AM2" s="478"/>
    </row>
    <row r="3" spans="1:53" ht="15.75" thickBot="1" x14ac:dyDescent="0.3">
      <c r="A3" s="515"/>
      <c r="B3" s="393"/>
      <c r="C3" s="462" t="s">
        <v>2751</v>
      </c>
      <c r="D3" s="463">
        <v>0.8</v>
      </c>
      <c r="E3" s="44"/>
      <c r="F3" s="44"/>
      <c r="G3" s="44"/>
      <c r="H3" s="403"/>
      <c r="I3" s="44"/>
      <c r="J3" s="403"/>
      <c r="K3" s="1"/>
      <c r="L3" s="2"/>
      <c r="M3" s="2"/>
      <c r="N3" s="515"/>
      <c r="P3" s="343"/>
      <c r="R3" s="392"/>
      <c r="S3" s="368"/>
      <c r="T3" s="343"/>
      <c r="U3" s="343"/>
      <c r="V3" s="40"/>
      <c r="AA3"/>
      <c r="AB3"/>
      <c r="AC3"/>
      <c r="AD3"/>
      <c r="AE3"/>
      <c r="AF3"/>
      <c r="AG3"/>
      <c r="AH3"/>
      <c r="AI3"/>
      <c r="AJ3"/>
      <c r="AK3"/>
      <c r="AL3"/>
      <c r="AM3" s="479"/>
    </row>
    <row r="4" spans="1:53" ht="15.75" thickBot="1" x14ac:dyDescent="0.3">
      <c r="A4" s="515"/>
      <c r="B4" s="40"/>
      <c r="D4" s="44"/>
      <c r="E4" s="44"/>
      <c r="F4" s="44"/>
      <c r="G4" s="44"/>
      <c r="H4" s="403"/>
      <c r="I4" s="44"/>
      <c r="J4" s="403"/>
      <c r="K4" s="1"/>
      <c r="L4" s="2"/>
      <c r="M4" s="2"/>
      <c r="N4" s="515"/>
      <c r="P4" s="40"/>
      <c r="Q4" s="40"/>
      <c r="R4" s="385"/>
      <c r="S4" s="33"/>
      <c r="T4" s="2"/>
      <c r="U4" s="2"/>
      <c r="V4" s="40"/>
      <c r="AA4"/>
      <c r="AB4"/>
      <c r="AC4"/>
      <c r="AD4"/>
      <c r="AE4"/>
      <c r="AF4"/>
      <c r="AG4"/>
      <c r="AH4"/>
      <c r="AI4"/>
      <c r="AJ4"/>
      <c r="AK4"/>
      <c r="AL4"/>
      <c r="AM4" s="480"/>
    </row>
    <row r="5" spans="1:53" ht="27" thickBot="1" x14ac:dyDescent="0.3">
      <c r="A5" s="516"/>
      <c r="B5" s="581" t="s">
        <v>2390</v>
      </c>
      <c r="C5" s="582"/>
      <c r="D5" s="582"/>
      <c r="E5" s="582"/>
      <c r="F5" s="582"/>
      <c r="G5" s="582"/>
      <c r="H5" s="582"/>
      <c r="I5" s="582"/>
      <c r="J5" s="582"/>
      <c r="K5" s="582"/>
      <c r="L5" s="582"/>
      <c r="M5" s="583"/>
      <c r="N5" s="516"/>
      <c r="O5" s="551" t="s">
        <v>2391</v>
      </c>
      <c r="P5" s="552"/>
      <c r="Q5" s="552"/>
      <c r="R5" s="552"/>
      <c r="S5" s="552"/>
      <c r="T5" s="552"/>
      <c r="U5" s="552"/>
      <c r="V5" s="553"/>
      <c r="X5" s="586" t="str">
        <f>B5&amp;"-OLD"</f>
        <v>ALBURY SUBSTATION (C251)-OLD</v>
      </c>
      <c r="Y5" s="587"/>
      <c r="Z5" s="587"/>
      <c r="AA5" s="587"/>
      <c r="AB5" s="587"/>
      <c r="AC5" s="587"/>
      <c r="AD5" s="587"/>
      <c r="AE5" s="587"/>
      <c r="AF5" s="587"/>
      <c r="AG5" s="587"/>
      <c r="AH5" s="587"/>
      <c r="AI5" s="587"/>
      <c r="AJ5" s="587"/>
      <c r="AK5" s="587"/>
      <c r="AL5" s="588"/>
      <c r="AM5" s="481"/>
      <c r="AN5" s="598" t="s">
        <v>2965</v>
      </c>
      <c r="AO5" s="599"/>
      <c r="AP5" s="599"/>
      <c r="AQ5" s="599"/>
      <c r="AR5" s="599"/>
      <c r="AS5" s="599"/>
      <c r="AT5" s="599"/>
      <c r="AU5" s="599"/>
      <c r="AV5" s="599"/>
      <c r="AW5" s="599"/>
      <c r="AX5" s="599"/>
      <c r="AY5" s="599"/>
      <c r="AZ5" s="600"/>
    </row>
    <row r="6" spans="1:53" ht="16.5" thickBot="1" x14ac:dyDescent="0.3">
      <c r="A6" s="466"/>
      <c r="B6" s="571" t="s">
        <v>1260</v>
      </c>
      <c r="C6" s="545" t="s">
        <v>1261</v>
      </c>
      <c r="D6" s="361" t="s">
        <v>2402</v>
      </c>
      <c r="E6" s="572" t="s">
        <v>2749</v>
      </c>
      <c r="F6" s="572" t="s">
        <v>1268</v>
      </c>
      <c r="G6" s="559" t="s">
        <v>2750</v>
      </c>
      <c r="H6" s="560"/>
      <c r="I6" s="560"/>
      <c r="J6" s="561"/>
      <c r="K6" s="574" t="s">
        <v>2401</v>
      </c>
      <c r="L6" s="575" t="s">
        <v>2637</v>
      </c>
      <c r="M6" s="576"/>
      <c r="N6" s="466"/>
      <c r="O6" s="554" t="s">
        <v>2392</v>
      </c>
      <c r="P6" s="557" t="s">
        <v>1184</v>
      </c>
      <c r="Q6" s="566" t="s">
        <v>1481</v>
      </c>
      <c r="R6" s="567" t="s">
        <v>2989</v>
      </c>
      <c r="S6" s="569" t="s">
        <v>41</v>
      </c>
      <c r="T6" s="539" t="s">
        <v>2601</v>
      </c>
      <c r="U6" s="539" t="s">
        <v>2600</v>
      </c>
      <c r="V6" s="542" t="s">
        <v>2393</v>
      </c>
      <c r="X6" s="585" t="s">
        <v>1260</v>
      </c>
      <c r="Y6" s="545" t="s">
        <v>1261</v>
      </c>
      <c r="Z6" s="559" t="s">
        <v>2749</v>
      </c>
      <c r="AA6" s="560"/>
      <c r="AB6" s="560"/>
      <c r="AC6" s="560"/>
      <c r="AD6" s="560"/>
      <c r="AE6" s="561"/>
      <c r="AF6" s="559" t="s">
        <v>1268</v>
      </c>
      <c r="AG6" s="560"/>
      <c r="AH6" s="560"/>
      <c r="AI6" s="560"/>
      <c r="AJ6" s="560"/>
      <c r="AK6" s="561"/>
      <c r="AL6" s="546" t="s">
        <v>2857</v>
      </c>
      <c r="AM6" s="466"/>
      <c r="AN6" s="601" t="s">
        <v>2967</v>
      </c>
      <c r="AO6" s="595" t="s">
        <v>2961</v>
      </c>
      <c r="AP6" s="596"/>
      <c r="AQ6" s="596"/>
      <c r="AR6" s="596"/>
      <c r="AS6" s="596"/>
      <c r="AT6" s="597"/>
      <c r="AU6" s="595" t="s">
        <v>2964</v>
      </c>
      <c r="AV6" s="596"/>
      <c r="AW6" s="596"/>
      <c r="AX6" s="596"/>
      <c r="AY6" s="596"/>
      <c r="AZ6" s="597"/>
    </row>
    <row r="7" spans="1:53" ht="15.75" hidden="1" thickBot="1" x14ac:dyDescent="0.3">
      <c r="A7" s="466"/>
      <c r="B7" s="557"/>
      <c r="C7" s="540"/>
      <c r="D7" s="362" t="s">
        <v>41</v>
      </c>
      <c r="E7" s="573"/>
      <c r="F7" s="573"/>
      <c r="G7" s="544" t="s">
        <v>2751</v>
      </c>
      <c r="H7" s="544"/>
      <c r="I7" s="544" t="s">
        <v>2752</v>
      </c>
      <c r="J7" s="544"/>
      <c r="K7" s="540"/>
      <c r="L7" s="545" t="s">
        <v>1262</v>
      </c>
      <c r="M7" s="546" t="s">
        <v>1263</v>
      </c>
      <c r="N7" s="466"/>
      <c r="O7" s="555"/>
      <c r="P7" s="557"/>
      <c r="Q7" s="557"/>
      <c r="R7" s="567"/>
      <c r="S7" s="569"/>
      <c r="T7" s="540"/>
      <c r="U7" s="540"/>
      <c r="V7" s="542"/>
      <c r="X7" s="555"/>
      <c r="Y7" s="540"/>
      <c r="Z7" s="589"/>
      <c r="AA7" s="590"/>
      <c r="AB7" s="590"/>
      <c r="AC7" s="590"/>
      <c r="AD7" s="590"/>
      <c r="AE7" s="591"/>
      <c r="AF7" s="589"/>
      <c r="AG7" s="590"/>
      <c r="AH7" s="590"/>
      <c r="AI7" s="590"/>
      <c r="AJ7" s="590"/>
      <c r="AK7" s="591"/>
      <c r="AL7" s="577"/>
      <c r="AM7" s="466"/>
      <c r="AN7" s="602"/>
      <c r="AO7" s="455" t="s">
        <v>2959</v>
      </c>
      <c r="AP7" s="455" t="s">
        <v>2957</v>
      </c>
      <c r="AQ7" s="455" t="s">
        <v>2962</v>
      </c>
      <c r="AR7" s="455" t="s">
        <v>2960</v>
      </c>
      <c r="AS7" s="455" t="s">
        <v>2958</v>
      </c>
      <c r="AT7" s="456" t="s">
        <v>2963</v>
      </c>
      <c r="AU7" s="455" t="s">
        <v>2959</v>
      </c>
      <c r="AV7" s="455" t="s">
        <v>2957</v>
      </c>
      <c r="AW7" s="455" t="s">
        <v>2962</v>
      </c>
      <c r="AX7" s="455" t="s">
        <v>2960</v>
      </c>
      <c r="AY7" s="455" t="s">
        <v>2958</v>
      </c>
      <c r="AZ7" s="456" t="s">
        <v>2963</v>
      </c>
    </row>
    <row r="8" spans="1:53" s="271" customFormat="1" ht="15.75" hidden="1" thickBot="1" x14ac:dyDescent="0.3">
      <c r="A8" s="466"/>
      <c r="B8" s="558"/>
      <c r="C8" s="541"/>
      <c r="D8" s="345" t="s">
        <v>27</v>
      </c>
      <c r="E8" s="345" t="s">
        <v>26</v>
      </c>
      <c r="F8" s="345" t="s">
        <v>26</v>
      </c>
      <c r="G8" s="406" t="s">
        <v>26</v>
      </c>
      <c r="H8" s="407" t="s">
        <v>28</v>
      </c>
      <c r="I8" s="406" t="s">
        <v>26</v>
      </c>
      <c r="J8" s="407" t="s">
        <v>28</v>
      </c>
      <c r="K8" s="541"/>
      <c r="L8" s="541"/>
      <c r="M8" s="547"/>
      <c r="N8" s="466"/>
      <c r="O8" s="556"/>
      <c r="P8" s="558"/>
      <c r="Q8" s="558"/>
      <c r="R8" s="568"/>
      <c r="S8" s="570"/>
      <c r="T8" s="541"/>
      <c r="U8" s="541"/>
      <c r="V8" s="543"/>
      <c r="W8" s="505"/>
      <c r="X8" s="556"/>
      <c r="Y8" s="541"/>
      <c r="Z8" s="428" t="s">
        <v>26</v>
      </c>
      <c r="AA8" s="439" t="s">
        <v>2861</v>
      </c>
      <c r="AB8" s="450" t="s">
        <v>2959</v>
      </c>
      <c r="AC8" s="450" t="s">
        <v>2960</v>
      </c>
      <c r="AD8" s="450" t="s">
        <v>2957</v>
      </c>
      <c r="AE8" s="450" t="s">
        <v>2958</v>
      </c>
      <c r="AF8" s="428" t="s">
        <v>26</v>
      </c>
      <c r="AG8" s="439" t="s">
        <v>2861</v>
      </c>
      <c r="AH8" s="450" t="s">
        <v>2959</v>
      </c>
      <c r="AI8" s="450" t="s">
        <v>2960</v>
      </c>
      <c r="AJ8" s="450" t="s">
        <v>2957</v>
      </c>
      <c r="AK8" s="450" t="s">
        <v>2958</v>
      </c>
      <c r="AL8" s="547"/>
      <c r="AM8" s="466"/>
      <c r="AN8" s="473" t="s">
        <v>2968</v>
      </c>
      <c r="AO8" s="458">
        <f>SUM(AO9:AO32)</f>
        <v>3906.3320762741819</v>
      </c>
      <c r="AP8" s="458">
        <f>SUM(AP9:AP32)</f>
        <v>12094.158000879832</v>
      </c>
      <c r="AQ8" s="29">
        <f>AO8-AP8</f>
        <v>-8187.8259246056496</v>
      </c>
      <c r="AR8" s="458">
        <f t="shared" ref="AR8:AY8" si="0">SUM(AR9:AR32)</f>
        <v>125.15512312724226</v>
      </c>
      <c r="AS8" s="458">
        <f t="shared" si="0"/>
        <v>296.13976686280932</v>
      </c>
      <c r="AT8" s="29">
        <f>AR8-AS8</f>
        <v>-170.98464373556706</v>
      </c>
      <c r="AU8" s="458">
        <f t="shared" si="0"/>
        <v>4116</v>
      </c>
      <c r="AV8" s="458">
        <f t="shared" si="0"/>
        <v>802</v>
      </c>
      <c r="AW8" s="29">
        <f>AU8-AV8</f>
        <v>3314</v>
      </c>
      <c r="AX8" s="458">
        <f t="shared" si="0"/>
        <v>109.03897574753428</v>
      </c>
      <c r="AY8" s="458">
        <f t="shared" si="0"/>
        <v>25.947032156106566</v>
      </c>
      <c r="AZ8" s="29">
        <f>AX8-AY8</f>
        <v>83.091943591427707</v>
      </c>
      <c r="BA8" s="461">
        <f>AT8+AZ8</f>
        <v>-87.892700144139354</v>
      </c>
    </row>
    <row r="9" spans="1:53" s="271" customFormat="1" hidden="1" x14ac:dyDescent="0.25">
      <c r="A9" s="467"/>
      <c r="B9" s="7" t="s">
        <v>2394</v>
      </c>
      <c r="C9" s="6" t="s">
        <v>2403</v>
      </c>
      <c r="D9" s="57">
        <f t="shared" ref="D9:D14" si="1">ROUNDDOWN(S9,0)</f>
        <v>110</v>
      </c>
      <c r="E9" s="57">
        <f t="array" ref="E9">IF(U9="YES",IF(T9="YES",MIN(IF(ABY[Load Capability Reference]=CONCATENATE(P9,Q9,S9,R9),ABY[Lowest A-PTX])),MIN(IF(ABY[Load Capability Reference]=CONCATENATE(P9,Q9,S9,R9),IF(ABY[Equipment ID]&lt;&gt;O9,ABY[Lowest A-PTX])))),IF(T9="YES",MIN(IF(ABY[Load Capability Reference]=CONCATENATE(P9,Q9,S9,R9),ABY[Lowest A-No PTX])),MIN(IF(ABY[Load Capability Reference]=CONCATENATE(P9,Q9,S9,R9),IF(ABY[Equipment ID]&lt;&gt;O9,ABY[Lowest A-No PTX])))))</f>
        <v>105</v>
      </c>
      <c r="F9" s="57">
        <f>IFERROR(IFERROR(VLOOKUP(CONCATENATE(P9,Q9,O9,S9,"Protection"),ABY[[OC Protection Reference]:[Forward A]],23,0),VLOOKUP(O9,AEL_Protection_Data[],12,0)),"N/A")</f>
        <v>199</v>
      </c>
      <c r="G9" s="57">
        <f>IFERROR(FLOOR(MIN(E9:F9)*$D$3,5),"")</f>
        <v>80</v>
      </c>
      <c r="H9" s="9">
        <f>G9*S9*SQRT(3)/1000</f>
        <v>15.242047106606121</v>
      </c>
      <c r="I9" s="57">
        <f>IFERROR(FLOOR(MIN(E9:F9)*$D$2,5),"")</f>
        <v>90</v>
      </c>
      <c r="J9" s="9">
        <f>I9*S9*SQRT(3)/1000</f>
        <v>17.147302994931884</v>
      </c>
      <c r="K9" s="6" t="str">
        <f>IF(U9="Yes",UPPER(IF(ISNUMBER(SEARCH("winding",VLOOKUP(CONCATENATE(P9,Q9,S9,E9),ABY[[Limiting Equipment Reference-PTX]:[Summ Equipment]],7,0))),"Power Transformer Rating at "&amp;ROUND(E9*S9*SQRT(3)/1000,2)&amp;" MVA",VLOOKUP(CONCATENATE(P9,Q9,S9,E9),ABY[[Limiting Equipment Reference-No PTX]:[Summ Equipment]],8,0))),UPPER(VLOOKUP(CONCATENATE(P9,Q9,S9,E9),ABY[[Limiting Equipment Reference-No PTX]:[Summ Equipment]],8,0)))</f>
        <v>POWER TRANSFORMER RATING AT 20.01 MVA</v>
      </c>
      <c r="L9" s="8" t="s">
        <v>1266</v>
      </c>
      <c r="M9" s="506" t="s">
        <v>1162</v>
      </c>
      <c r="N9" s="467"/>
      <c r="O9" s="496" t="str">
        <f>"ABY-"&amp;B9</f>
        <v>ABY-CB62</v>
      </c>
      <c r="P9" s="7" t="s">
        <v>4</v>
      </c>
      <c r="Q9" s="7" t="s">
        <v>365</v>
      </c>
      <c r="R9" s="386"/>
      <c r="S9" s="43">
        <v>110</v>
      </c>
      <c r="T9" s="8" t="s">
        <v>1267</v>
      </c>
      <c r="U9" s="8" t="s">
        <v>1267</v>
      </c>
      <c r="V9" s="484"/>
      <c r="W9" s="505"/>
      <c r="X9" s="491" t="s">
        <v>2856</v>
      </c>
      <c r="Y9" s="429" t="str">
        <f>IF(X9=B9,C9,"NEW")</f>
        <v>NEW</v>
      </c>
      <c r="Z9" s="430"/>
      <c r="AA9" s="440" t="str">
        <f>IF(Z9&gt;E9,"q",IF(Z9&lt;E9,"p"))</f>
        <v>p</v>
      </c>
      <c r="AB9" s="453">
        <f>IF(Z9="",0,IF(Z9-E9&lt;0,ABS(Z9-E9),0))</f>
        <v>0</v>
      </c>
      <c r="AC9" s="453">
        <f>AB9*$S9*SQRT(3)/1000</f>
        <v>0</v>
      </c>
      <c r="AD9" s="453">
        <f>IF(Z9="",0,IF(Z9-E9&gt;0,ABS(Z9-E9),0))</f>
        <v>0</v>
      </c>
      <c r="AE9" s="453">
        <f>AD9*$S9*SQRT(3)/1000</f>
        <v>0</v>
      </c>
      <c r="AF9" s="430"/>
      <c r="AG9" s="435" t="str">
        <f t="shared" ref="AG9:AG10" si="2">IF(AF9&gt;F9,"q",IF(AF9&lt;F9,"p","u"))</f>
        <v>p</v>
      </c>
      <c r="AH9" s="453">
        <f>IF(AF9="",0,IF(AF9-F9&lt;0,ABS(AF9-F9),0))</f>
        <v>0</v>
      </c>
      <c r="AI9" s="453">
        <f>AH9*$S9*SQRT(3)/1000</f>
        <v>0</v>
      </c>
      <c r="AJ9" s="453">
        <f>IF(AF9="",0,IF(AF9-F9&gt;0,ABS(AF9-F9),0))</f>
        <v>0</v>
      </c>
      <c r="AK9" s="453">
        <f>AJ9*$S9*SQRT(3)/1000</f>
        <v>0</v>
      </c>
      <c r="AL9" s="469" t="s">
        <v>1162</v>
      </c>
      <c r="AM9" s="482"/>
      <c r="AN9" s="474" t="s">
        <v>79</v>
      </c>
      <c r="AO9" s="29">
        <f t="shared" ref="AO9:AP32" si="3">VLOOKUP($AN9,$X$5:$AL$388,AO$33,0)</f>
        <v>20</v>
      </c>
      <c r="AP9" s="29">
        <f t="shared" si="3"/>
        <v>361.52901743114535</v>
      </c>
      <c r="AQ9" s="29">
        <f>AO9-AP9</f>
        <v>-341.52901743114535</v>
      </c>
      <c r="AR9" s="29">
        <f t="shared" ref="AR9:AS32" si="4">VLOOKUP($AN9,$X$5:$AL$388,AR$33,0)</f>
        <v>0.38105117766515295</v>
      </c>
      <c r="AS9" s="29">
        <f t="shared" si="4"/>
        <v>6.8880528926131781</v>
      </c>
      <c r="AT9" s="29">
        <f>AR9-AS9</f>
        <v>-6.507001714948025</v>
      </c>
      <c r="AU9" s="29">
        <f t="shared" ref="AU9:AV32" si="5">VLOOKUP($AN9,$X$5:$AL$388,AU$33,0)</f>
        <v>0</v>
      </c>
      <c r="AV9" s="29">
        <f t="shared" si="5"/>
        <v>0</v>
      </c>
      <c r="AW9" s="29">
        <f>AU9-AV9</f>
        <v>0</v>
      </c>
      <c r="AX9" s="29">
        <f t="shared" ref="AX9:AY32" si="6">VLOOKUP($AN9,$X$5:$AL$388,AX$33,0)</f>
        <v>0</v>
      </c>
      <c r="AY9" s="29">
        <f t="shared" si="6"/>
        <v>0</v>
      </c>
      <c r="AZ9" s="29">
        <f>AX9-AY9</f>
        <v>0</v>
      </c>
    </row>
    <row r="10" spans="1:53" hidden="1" x14ac:dyDescent="0.25">
      <c r="A10" s="467"/>
      <c r="B10" s="7" t="s">
        <v>309</v>
      </c>
      <c r="C10" s="6" t="s">
        <v>2403</v>
      </c>
      <c r="D10" s="57">
        <f t="shared" si="1"/>
        <v>11</v>
      </c>
      <c r="E10" s="57">
        <f t="array" ref="E10">IF(U10="YES",IF(T10="YES",MIN(IF(ABY[Load Capability Reference]=CONCATENATE(P10,Q10,S10,R10),ABY[Lowest A-PTX])),MIN(IF(ABY[Load Capability Reference]=CONCATENATE(P10,Q10,S10,R10),IF(ABY[Equipment ID]&lt;&gt;O10,ABY[Lowest A-PTX])))),IF(T10="YES",MIN(IF(ABY[Load Capability Reference]=CONCATENATE(P10,Q10,S10,R10),ABY[Lowest A-No PTX])),MIN(IF(ABY[Load Capability Reference]=CONCATENATE(P10,Q10,S10,R10),IF(ABY[Equipment ID]&lt;&gt;O10,ABY[Lowest A-No PTX])))))</f>
        <v>600</v>
      </c>
      <c r="F10" s="57">
        <f>IFERROR(IFERROR(VLOOKUP(CONCATENATE(P10,Q10,O10,S10,"Protection"),ABY[[OC Protection Reference]:[Forward A]],23,0),VLOOKUP(O10,AEL_Protection_Data[],12,0)),"N/A")</f>
        <v>1635</v>
      </c>
      <c r="G10" s="57">
        <f t="shared" ref="G10:G14" si="7">IFERROR(FLOOR(MIN(E10:F10)*$D$3,5),"")</f>
        <v>480</v>
      </c>
      <c r="H10" s="9">
        <f t="shared" ref="H10:H14" si="8">G10*S10*SQRT(3)/1000</f>
        <v>9.1452282639636717</v>
      </c>
      <c r="I10" s="57">
        <f>IFERROR(FLOOR(MIN(E10:F10)*$D$2,5),"")</f>
        <v>540</v>
      </c>
      <c r="J10" s="9">
        <f t="shared" ref="J10:J14" si="9">I10*S10*SQRT(3)/1000</f>
        <v>10.288381796959131</v>
      </c>
      <c r="K10" s="6" t="str">
        <f>IF(U10="Yes",UPPER(IF(ISNUMBER(SEARCH("winding",VLOOKUP(CONCATENATE(P10,Q10,S10,E10),ABY[[Limiting Equipment Reference-PTX]:[Summ Equipment]],7,0))),"Power Transformer Rating at "&amp;ROUND(E10*S10*SQRT(3)/1000,2)&amp;" MVA",VLOOKUP(CONCATENATE(P10,Q10,S10,E10),ABY[[Limiting Equipment Reference-No PTX]:[Summ Equipment]],8,0))),UPPER(VLOOKUP(CONCATENATE(P10,Q10,S10,E10),ABY[[Limiting Equipment Reference-No PTX]:[Summ Equipment]],8,0)))</f>
        <v>CIRCUIT BREAKER-ABY-CB2712-OTHER EQUIPMENT</v>
      </c>
      <c r="L10" s="8" t="s">
        <v>1266</v>
      </c>
      <c r="M10" s="506" t="s">
        <v>1162</v>
      </c>
      <c r="N10" s="467"/>
      <c r="O10" s="496" t="str">
        <f>"ABY-"&amp;B10</f>
        <v>ABY-CB2712</v>
      </c>
      <c r="P10" s="7" t="s">
        <v>4</v>
      </c>
      <c r="Q10" s="7" t="s">
        <v>365</v>
      </c>
      <c r="R10" s="386"/>
      <c r="S10" s="43">
        <v>11</v>
      </c>
      <c r="T10" s="8" t="s">
        <v>1267</v>
      </c>
      <c r="U10" s="8" t="s">
        <v>1267</v>
      </c>
      <c r="V10" s="484"/>
      <c r="X10" s="492" t="str">
        <f>B10</f>
        <v>CB2712</v>
      </c>
      <c r="Y10" s="431" t="str">
        <f t="shared" ref="Y10:Y14" si="10">IF(X10=B10,C10,"NEW")</f>
        <v>TRANSPOWER INCOMER</v>
      </c>
      <c r="Z10" s="432"/>
      <c r="AA10" s="441" t="str">
        <f t="shared" ref="AA10:AA14" si="11">IF(Z10&gt;E10,"q",IF(Z10&lt;E10,"p"))</f>
        <v>p</v>
      </c>
      <c r="AB10" s="134">
        <f t="shared" ref="AB10:AB14" si="12">IF(Z10="",0,IF(Z10-E10&lt;0,ABS(Z10-E10),0))</f>
        <v>0</v>
      </c>
      <c r="AC10" s="134">
        <f t="shared" ref="AC10:AE14" si="13">AB10*$S10*SQRT(3)/1000</f>
        <v>0</v>
      </c>
      <c r="AD10" s="134">
        <f t="shared" ref="AD10:AD14" si="14">IF(Z10="",0,IF(Z10-E10&gt;0,ABS(Z10-E10),0))</f>
        <v>0</v>
      </c>
      <c r="AE10" s="134">
        <f t="shared" si="13"/>
        <v>0</v>
      </c>
      <c r="AF10" s="432"/>
      <c r="AG10" s="436" t="str">
        <f t="shared" si="2"/>
        <v>p</v>
      </c>
      <c r="AH10" s="134">
        <f t="shared" ref="AH10:AH14" si="15">IF(AF10="",0,IF(AF10-F10&lt;0,ABS(AF10-F10),0))</f>
        <v>0</v>
      </c>
      <c r="AI10" s="134">
        <f t="shared" ref="AI10" si="16">AH10*$S10*SQRT(3)/1000</f>
        <v>0</v>
      </c>
      <c r="AJ10" s="134">
        <f t="shared" ref="AJ10:AJ14" si="17">IF(AF10="",0,IF(AF10-F10&gt;0,ABS(AF10-F10),0))</f>
        <v>0</v>
      </c>
      <c r="AK10" s="134">
        <f t="shared" ref="AK10" si="18">AJ10*$S10*SQRT(3)/1000</f>
        <v>0</v>
      </c>
      <c r="AL10" s="470" t="s">
        <v>1266</v>
      </c>
      <c r="AN10" s="475" t="s">
        <v>158</v>
      </c>
      <c r="AO10" s="9">
        <f t="shared" si="3"/>
        <v>107.62660722014468</v>
      </c>
      <c r="AP10" s="9">
        <f t="shared" si="3"/>
        <v>254.15331763361047</v>
      </c>
      <c r="AQ10" s="9">
        <f t="shared" ref="AQ10:AQ32" si="19">AO10-AP10</f>
        <v>-146.52671041346579</v>
      </c>
      <c r="AR10" s="9">
        <f t="shared" si="4"/>
        <v>3.8520141437292503</v>
      </c>
      <c r="AS10" s="9">
        <f t="shared" si="4"/>
        <v>10.196779243435786</v>
      </c>
      <c r="AT10" s="9">
        <f t="shared" ref="AT10:AT32" si="20">AR10-AS10</f>
        <v>-6.3447650997065361</v>
      </c>
      <c r="AU10" s="9">
        <f t="shared" si="5"/>
        <v>20</v>
      </c>
      <c r="AV10" s="9">
        <f t="shared" si="5"/>
        <v>0</v>
      </c>
      <c r="AW10" s="9">
        <f t="shared" ref="AW10:AW32" si="21">AU10-AV10</f>
        <v>20</v>
      </c>
      <c r="AX10" s="9">
        <f t="shared" si="6"/>
        <v>0.38451874338190589</v>
      </c>
      <c r="AY10" s="9">
        <f t="shared" si="6"/>
        <v>0</v>
      </c>
      <c r="AZ10" s="9">
        <f t="shared" ref="AZ10:AZ32" si="22">AX10-AY10</f>
        <v>0.38451874338190589</v>
      </c>
    </row>
    <row r="11" spans="1:53" hidden="1" x14ac:dyDescent="0.25">
      <c r="A11" s="467"/>
      <c r="B11" s="7" t="s">
        <v>330</v>
      </c>
      <c r="C11" s="6" t="s">
        <v>2404</v>
      </c>
      <c r="D11" s="57">
        <f t="shared" si="1"/>
        <v>33</v>
      </c>
      <c r="E11" s="57">
        <f t="array" ref="E11">IF(U11="YES",IF(T11="YES",MIN(IF(ABY[Load Capability Reference]=CONCATENATE(P11,Q11,S11,R11),ABY[Lowest A-PTX])),MIN(IF(ABY[Load Capability Reference]=CONCATENATE(P11,Q11,S11,R11),IF(ABY[Equipment ID]&lt;&gt;O11,ABY[Lowest A-PTX])))),IF(T11="YES",MIN(IF(ABY[Load Capability Reference]=CONCATENATE(P11,Q11,S11,R11),ABY[Lowest A-No PTX])),MIN(IF(ABY[Load Capability Reference]=CONCATENATE(P11,Q11,S11,R11),IF(ABY[Equipment ID]&lt;&gt;O11,ABY[Lowest A-No PTX])))))</f>
        <v>172.83709311979484</v>
      </c>
      <c r="F11" s="57">
        <f>IFERROR(IFERROR(VLOOKUP(CONCATENATE(P11,Q11,O11,S11,"Protection"),ABY[[OC Protection Reference]:[Forward A]],23,0),VLOOKUP(O11,AEL_Protection_Data[],12,0)),"N/A")</f>
        <v>150</v>
      </c>
      <c r="G11" s="57">
        <f t="shared" si="7"/>
        <v>120</v>
      </c>
      <c r="H11" s="9">
        <f t="shared" si="8"/>
        <v>6.8589211979727533</v>
      </c>
      <c r="I11" s="57">
        <f t="shared" ref="I11:I14" si="23">IFERROR(FLOOR(MIN(E11:F11)*$D$2,5),"")</f>
        <v>135</v>
      </c>
      <c r="J11" s="9">
        <f t="shared" si="9"/>
        <v>7.7162863477193477</v>
      </c>
      <c r="K11" s="6" t="str">
        <f>IF(U11="Yes",UPPER(IF(ISNUMBER(SEARCH("winding",VLOOKUP(CONCATENATE(P11,Q11,S11,E11),ABY[[Limiting Equipment Reference-PTX]:[Summ Equipment]],7,0))),"Power Transformer Rating at "&amp;ROUND(E11*S11*SQRT(3)/1000,2)&amp;" MVA",VLOOKUP(CONCATENATE(P11,Q11,S11,E11),ABY[[Limiting Equipment Reference-No PTX]:[Summ Equipment]],8,0))),UPPER(VLOOKUP(CONCATENATE(P11,Q11,S11,E11),ABY[[Limiting Equipment Reference-No PTX]:[Summ Equipment]],8,0)))</f>
        <v>OH LINE-PETREL</v>
      </c>
      <c r="L11" s="8" t="s">
        <v>1266</v>
      </c>
      <c r="M11" s="506" t="s">
        <v>1162</v>
      </c>
      <c r="N11" s="467"/>
      <c r="O11" s="496" t="str">
        <f t="shared" ref="O11:O14" si="24">"ABY-"&amp;B11</f>
        <v>ABY-CB4242</v>
      </c>
      <c r="P11" s="7" t="s">
        <v>1245</v>
      </c>
      <c r="Q11" s="7" t="s">
        <v>90</v>
      </c>
      <c r="R11" s="386"/>
      <c r="S11" s="43">
        <v>33</v>
      </c>
      <c r="T11" s="8" t="s">
        <v>1266</v>
      </c>
      <c r="U11" s="8" t="s">
        <v>1266</v>
      </c>
      <c r="V11" s="484"/>
      <c r="X11" s="492" t="str">
        <f>B11</f>
        <v>CB4242</v>
      </c>
      <c r="Y11" s="431" t="s">
        <v>2858</v>
      </c>
      <c r="Z11" s="432"/>
      <c r="AA11" s="441" t="str">
        <f t="shared" si="11"/>
        <v>p</v>
      </c>
      <c r="AB11" s="134">
        <f t="shared" si="12"/>
        <v>0</v>
      </c>
      <c r="AC11" s="134">
        <f t="shared" si="13"/>
        <v>0</v>
      </c>
      <c r="AD11" s="134">
        <f t="shared" si="14"/>
        <v>0</v>
      </c>
      <c r="AE11" s="134">
        <f t="shared" si="13"/>
        <v>0</v>
      </c>
      <c r="AF11" s="432">
        <v>150</v>
      </c>
      <c r="AG11" s="436" t="str">
        <f>IF(AF11&gt;F11,"q",IF(AF11&lt;F11,"p","u"))</f>
        <v>u</v>
      </c>
      <c r="AH11" s="134">
        <f t="shared" si="15"/>
        <v>0</v>
      </c>
      <c r="AI11" s="134">
        <f t="shared" ref="AI11" si="25">AH11*$S11*SQRT(3)/1000</f>
        <v>0</v>
      </c>
      <c r="AJ11" s="134">
        <f t="shared" si="17"/>
        <v>0</v>
      </c>
      <c r="AK11" s="134">
        <f t="shared" ref="AK11" si="26">AJ11*$S11*SQRT(3)/1000</f>
        <v>0</v>
      </c>
      <c r="AL11" s="470" t="s">
        <v>1266</v>
      </c>
      <c r="AN11" s="475" t="s">
        <v>80</v>
      </c>
      <c r="AO11" s="9">
        <f t="shared" si="3"/>
        <v>641.64963125589293</v>
      </c>
      <c r="AP11" s="9">
        <f t="shared" si="3"/>
        <v>1047.5057254034164</v>
      </c>
      <c r="AQ11" s="9">
        <f t="shared" si="19"/>
        <v>-405.85609414752344</v>
      </c>
      <c r="AR11" s="9">
        <f t="shared" si="4"/>
        <v>33.889032994200427</v>
      </c>
      <c r="AS11" s="9">
        <f t="shared" si="4"/>
        <v>45.179128039034765</v>
      </c>
      <c r="AT11" s="9">
        <f t="shared" si="20"/>
        <v>-11.290095044834338</v>
      </c>
      <c r="AU11" s="9">
        <f t="shared" si="5"/>
        <v>30</v>
      </c>
      <c r="AV11" s="9">
        <f t="shared" si="5"/>
        <v>4</v>
      </c>
      <c r="AW11" s="9">
        <f t="shared" si="21"/>
        <v>26</v>
      </c>
      <c r="AX11" s="9">
        <f t="shared" si="6"/>
        <v>0.58300830182768415</v>
      </c>
      <c r="AY11" s="9">
        <f t="shared" si="6"/>
        <v>7.7734440243691208E-2</v>
      </c>
      <c r="AZ11" s="9">
        <f t="shared" si="22"/>
        <v>0.5052738615839929</v>
      </c>
    </row>
    <row r="12" spans="1:53" hidden="1" x14ac:dyDescent="0.25">
      <c r="A12" s="467"/>
      <c r="B12" s="7" t="s">
        <v>310</v>
      </c>
      <c r="C12" s="6" t="s">
        <v>2404</v>
      </c>
      <c r="D12" s="57">
        <f t="shared" si="1"/>
        <v>11</v>
      </c>
      <c r="E12" s="57">
        <f t="array" ref="E12">IF(U12="YES",IF(T12="YES",MIN(IF(ABY[Load Capability Reference]=CONCATENATE(P12,Q12,S12,R12),ABY[Lowest A-PTX])),MIN(IF(ABY[Load Capability Reference]=CONCATENATE(P12,Q12,S12,R12),IF(ABY[Equipment ID]&lt;&gt;O12,ABY[Lowest A-PTX])))),IF(T12="YES",MIN(IF(ABY[Load Capability Reference]=CONCATENATE(P12,Q12,S12,R12),ABY[Lowest A-No PTX])),MIN(IF(ABY[Load Capability Reference]=CONCATENATE(P12,Q12,S12,R12),IF(ABY[Equipment ID]&lt;&gt;O12,ABY[Lowest A-No PTX])))))</f>
        <v>450</v>
      </c>
      <c r="F12" s="57">
        <f>IFERROR(IFERROR(VLOOKUP(CONCATENATE(P12,Q12,O12,S12,"Protection"),ABY[[OC Protection Reference]:[Forward A]],23,0),VLOOKUP(O12,AEL_Protection_Data[],12,0)),"N/A")</f>
        <v>450</v>
      </c>
      <c r="G12" s="57">
        <f t="shared" si="7"/>
        <v>360</v>
      </c>
      <c r="H12" s="9">
        <f t="shared" si="8"/>
        <v>6.8589211979727533</v>
      </c>
      <c r="I12" s="57">
        <f t="shared" si="23"/>
        <v>405</v>
      </c>
      <c r="J12" s="9">
        <f t="shared" si="9"/>
        <v>7.7162863477193477</v>
      </c>
      <c r="K12" s="6" t="str">
        <f>IF(U12="Yes",UPPER(IF(ISNUMBER(SEARCH("winding",VLOOKUP(CONCATENATE(P12,Q12,S12,E12),ABY[[Limiting Equipment Reference-PTX]:[Summ Equipment]],7,0))),"Power Transformer Rating at "&amp;ROUND(E12*S12*SQRT(3)/1000,2)&amp;" MVA",VLOOKUP(CONCATENATE(P12,Q12,S12,E12),ABY[[Limiting Equipment Reference-No PTX]:[Summ Equipment]],8,0))),UPPER(VLOOKUP(CONCATENATE(P12,Q12,S12,E12),ABY[[Limiting Equipment Reference-No PTX]:[Summ Equipment]],8,0)))</f>
        <v>CIRCUIT BREAKER-ABY-CB2722-PROTECTION</v>
      </c>
      <c r="L12" s="8" t="s">
        <v>1266</v>
      </c>
      <c r="M12" s="506" t="s">
        <v>1162</v>
      </c>
      <c r="N12" s="467"/>
      <c r="O12" s="496" t="str">
        <f t="shared" si="24"/>
        <v>ABY-CB2722</v>
      </c>
      <c r="P12" s="7" t="s">
        <v>1245</v>
      </c>
      <c r="Q12" s="7" t="s">
        <v>90</v>
      </c>
      <c r="R12" s="386"/>
      <c r="S12" s="43">
        <v>11</v>
      </c>
      <c r="T12" s="8" t="s">
        <v>1267</v>
      </c>
      <c r="U12" s="8" t="s">
        <v>1266</v>
      </c>
      <c r="V12" s="484"/>
      <c r="X12" s="492" t="str">
        <f>B12</f>
        <v>CB2722</v>
      </c>
      <c r="Y12" s="431" t="s">
        <v>2859</v>
      </c>
      <c r="Z12" s="432">
        <v>430</v>
      </c>
      <c r="AA12" s="441" t="str">
        <f t="shared" si="11"/>
        <v>p</v>
      </c>
      <c r="AB12" s="134">
        <f t="shared" si="12"/>
        <v>20</v>
      </c>
      <c r="AC12" s="134">
        <f t="shared" si="13"/>
        <v>0.38105117766515295</v>
      </c>
      <c r="AD12" s="134">
        <f t="shared" si="14"/>
        <v>0</v>
      </c>
      <c r="AE12" s="134">
        <f t="shared" si="13"/>
        <v>0</v>
      </c>
      <c r="AF12" s="432">
        <v>450</v>
      </c>
      <c r="AG12" s="436" t="str">
        <f t="shared" ref="AG12:AG14" si="27">IF(AF12&gt;F12,"q",IF(AF12&lt;F12,"p","u"))</f>
        <v>u</v>
      </c>
      <c r="AH12" s="134">
        <f t="shared" si="15"/>
        <v>0</v>
      </c>
      <c r="AI12" s="134">
        <f t="shared" ref="AI12" si="28">AH12*$S12*SQRT(3)/1000</f>
        <v>0</v>
      </c>
      <c r="AJ12" s="134">
        <f t="shared" si="17"/>
        <v>0</v>
      </c>
      <c r="AK12" s="134">
        <f t="shared" ref="AK12" si="29">AJ12*$S12*SQRT(3)/1000</f>
        <v>0</v>
      </c>
      <c r="AL12" s="470" t="s">
        <v>1266</v>
      </c>
      <c r="AN12" s="475" t="s">
        <v>159</v>
      </c>
      <c r="AO12" s="9">
        <f t="shared" si="3"/>
        <v>195.79308811233284</v>
      </c>
      <c r="AP12" s="9">
        <f t="shared" si="3"/>
        <v>1233.4997783777833</v>
      </c>
      <c r="AQ12" s="9">
        <f t="shared" si="19"/>
        <v>-1037.7066902654506</v>
      </c>
      <c r="AR12" s="9">
        <f t="shared" si="4"/>
        <v>11.191078020585225</v>
      </c>
      <c r="AS12" s="9">
        <f t="shared" si="4"/>
        <v>23.501327160027977</v>
      </c>
      <c r="AT12" s="9">
        <f t="shared" si="20"/>
        <v>-12.310249139442751</v>
      </c>
      <c r="AU12" s="9">
        <f t="shared" si="5"/>
        <v>144</v>
      </c>
      <c r="AV12" s="9">
        <f t="shared" si="5"/>
        <v>18</v>
      </c>
      <c r="AW12" s="9">
        <f t="shared" si="21"/>
        <v>126</v>
      </c>
      <c r="AX12" s="9">
        <f t="shared" si="6"/>
        <v>2.7435684791891011</v>
      </c>
      <c r="AY12" s="9">
        <f t="shared" si="6"/>
        <v>0.34294605989863769</v>
      </c>
      <c r="AZ12" s="9">
        <f t="shared" si="22"/>
        <v>2.4006224192904635</v>
      </c>
    </row>
    <row r="13" spans="1:53" hidden="1" x14ac:dyDescent="0.25">
      <c r="A13" s="467"/>
      <c r="B13" s="7" t="s">
        <v>313</v>
      </c>
      <c r="C13" s="6" t="s">
        <v>1264</v>
      </c>
      <c r="D13" s="57">
        <f t="shared" si="1"/>
        <v>11</v>
      </c>
      <c r="E13" s="57">
        <f t="array" ref="E13">IF(U13="YES",IF(T13="YES",MIN(IF(ABY[Load Capability Reference]=CONCATENATE(P13,Q13,S13,R13),ABY[Lowest A-PTX])),MIN(IF(ABY[Load Capability Reference]=CONCATENATE(P13,Q13,S13,R13),IF(ABY[Equipment ID]&lt;&gt;O13,ABY[Lowest A-PTX])))),IF(T13="YES",MIN(IF(ABY[Load Capability Reference]=CONCATENATE(P13,Q13,S13,R13),ABY[Lowest A-No PTX])),MIN(IF(ABY[Load Capability Reference]=CONCATENATE(P13,Q13,S13,R13),IF(ABY[Equipment ID]&lt;&gt;O13,ABY[Lowest A-No PTX])))))</f>
        <v>241.61245946541547</v>
      </c>
      <c r="F13" s="57">
        <f>IFERROR(IFERROR(VLOOKUP(CONCATENATE(P13,Q13,O13,S13,"Protection"),ABY[[OC Protection Reference]:[Forward A]],23,0),VLOOKUP(O13,AEL_Protection_Data[],12,0)),"N/A")</f>
        <v>225</v>
      </c>
      <c r="G13" s="57">
        <f t="shared" si="7"/>
        <v>180</v>
      </c>
      <c r="H13" s="9">
        <f t="shared" si="8"/>
        <v>3.4294605989863767</v>
      </c>
      <c r="I13" s="57">
        <f t="shared" si="23"/>
        <v>200</v>
      </c>
      <c r="J13" s="9">
        <f t="shared" si="9"/>
        <v>3.8105117766515302</v>
      </c>
      <c r="K13" s="6" t="str">
        <f>IF(U13="Yes",UPPER(IF(ISNUMBER(SEARCH("winding",VLOOKUP(CONCATENATE(P13,Q13,S13,E13),ABY[[Limiting Equipment Reference-PTX]:[Summ Equipment]],7,0))),"Power Transformer Rating at "&amp;ROUND(E13*S13*SQRT(3)/1000,2)&amp;" MVA",VLOOKUP(CONCATENATE(P13,Q13,S13,E13),ABY[[Limiting Equipment Reference-No PTX]:[Summ Equipment]],8,0))),UPPER(VLOOKUP(CONCATENATE(P13,Q13,S13,E13),ABY[[Limiting Equipment Reference-No PTX]:[Summ Equipment]],8,0)))</f>
        <v>OH LINE-19/14 CU</v>
      </c>
      <c r="L13" s="8" t="s">
        <v>1267</v>
      </c>
      <c r="M13" s="506" t="s">
        <v>1267</v>
      </c>
      <c r="N13" s="467"/>
      <c r="O13" s="496" t="str">
        <f t="shared" si="24"/>
        <v>ABY-CB2732</v>
      </c>
      <c r="P13" s="7" t="s">
        <v>1276</v>
      </c>
      <c r="Q13" s="7" t="s">
        <v>103</v>
      </c>
      <c r="R13" s="386"/>
      <c r="S13" s="43">
        <v>11</v>
      </c>
      <c r="T13" s="8" t="s">
        <v>1266</v>
      </c>
      <c r="U13" s="8" t="s">
        <v>1266</v>
      </c>
      <c r="V13" s="484"/>
      <c r="X13" s="492" t="str">
        <f>B13</f>
        <v>CB2732</v>
      </c>
      <c r="Y13" s="431" t="str">
        <f t="shared" si="10"/>
        <v>RAINCLIFF</v>
      </c>
      <c r="Z13" s="432">
        <v>430</v>
      </c>
      <c r="AA13" s="441" t="str">
        <f t="shared" si="11"/>
        <v>q</v>
      </c>
      <c r="AB13" s="134">
        <f t="shared" si="12"/>
        <v>0</v>
      </c>
      <c r="AC13" s="134">
        <f t="shared" si="13"/>
        <v>0</v>
      </c>
      <c r="AD13" s="134">
        <f t="shared" si="14"/>
        <v>188.38754053458453</v>
      </c>
      <c r="AE13" s="134">
        <f t="shared" si="13"/>
        <v>3.5892647089072591</v>
      </c>
      <c r="AF13" s="432">
        <v>225</v>
      </c>
      <c r="AG13" s="436" t="str">
        <f t="shared" si="27"/>
        <v>u</v>
      </c>
      <c r="AH13" s="134">
        <f t="shared" si="15"/>
        <v>0</v>
      </c>
      <c r="AI13" s="134">
        <f t="shared" ref="AI13" si="30">AH13*$S13*SQRT(3)/1000</f>
        <v>0</v>
      </c>
      <c r="AJ13" s="134">
        <f t="shared" si="17"/>
        <v>0</v>
      </c>
      <c r="AK13" s="134">
        <f t="shared" ref="AK13" si="31">AJ13*$S13*SQRT(3)/1000</f>
        <v>0</v>
      </c>
      <c r="AL13" s="470" t="s">
        <v>1267</v>
      </c>
      <c r="AN13" s="475" t="s">
        <v>1148</v>
      </c>
      <c r="AO13" s="9">
        <f t="shared" si="3"/>
        <v>14.693840000000193</v>
      </c>
      <c r="AP13" s="9">
        <f t="shared" si="3"/>
        <v>103</v>
      </c>
      <c r="AQ13" s="9">
        <f t="shared" si="19"/>
        <v>-88.306159999999807</v>
      </c>
      <c r="AR13" s="9">
        <f t="shared" si="4"/>
        <v>0.28499444635395133</v>
      </c>
      <c r="AS13" s="9">
        <f t="shared" si="4"/>
        <v>1.9977370091450974</v>
      </c>
      <c r="AT13" s="9">
        <f t="shared" si="20"/>
        <v>-1.7127425627911461</v>
      </c>
      <c r="AU13" s="457">
        <f t="shared" si="5"/>
        <v>0</v>
      </c>
      <c r="AV13" s="457">
        <f t="shared" si="5"/>
        <v>12</v>
      </c>
      <c r="AW13" s="457">
        <f t="shared" si="21"/>
        <v>-12</v>
      </c>
      <c r="AX13" s="457">
        <f t="shared" si="6"/>
        <v>0</v>
      </c>
      <c r="AY13" s="457">
        <f t="shared" si="6"/>
        <v>0.23274605931787545</v>
      </c>
      <c r="AZ13" s="457">
        <f t="shared" si="22"/>
        <v>-0.23274605931787545</v>
      </c>
    </row>
    <row r="14" spans="1:53" ht="15.75" hidden="1" thickBot="1" x14ac:dyDescent="0.3">
      <c r="A14" s="467"/>
      <c r="B14" s="193" t="s">
        <v>314</v>
      </c>
      <c r="C14" s="191" t="s">
        <v>1265</v>
      </c>
      <c r="D14" s="197">
        <f t="shared" si="1"/>
        <v>11</v>
      </c>
      <c r="E14" s="197">
        <f t="array" ref="E14">IF(U14="YES",IF(T14="YES",MIN(IF(ABY[Load Capability Reference]=CONCATENATE(P14,Q14,S14,R14),ABY[Lowest A-PTX])),MIN(IF(ABY[Load Capability Reference]=CONCATENATE(P14,Q14,S14,R14),IF(ABY[Equipment ID]&lt;&gt;O14,ABY[Lowest A-PTX])))),IF(T14="YES",MIN(IF(ABY[Load Capability Reference]=CONCATENATE(P14,Q14,S14,R14),ABY[Lowest A-No PTX])),MIN(IF(ABY[Load Capability Reference]=CONCATENATE(P14,Q14,S14,R14),IF(ABY[Equipment ID]&lt;&gt;O14,ABY[Lowest A-No PTX])))))</f>
        <v>256.85852310343915</v>
      </c>
      <c r="F14" s="197">
        <f>IFERROR(IFERROR(VLOOKUP(CONCATENATE(P14,Q14,O14,S14,"Protection"),ABY[[OC Protection Reference]:[Forward A]],23,0),VLOOKUP(O14,AEL_Protection_Data[],12,0)),"N/A")</f>
        <v>225</v>
      </c>
      <c r="G14" s="197">
        <f t="shared" si="7"/>
        <v>180</v>
      </c>
      <c r="H14" s="155">
        <f t="shared" si="8"/>
        <v>3.4294605989863767</v>
      </c>
      <c r="I14" s="197">
        <f t="shared" si="23"/>
        <v>200</v>
      </c>
      <c r="J14" s="155">
        <f t="shared" si="9"/>
        <v>3.8105117766515302</v>
      </c>
      <c r="K14" s="191" t="str">
        <f>IF(U14="Yes",UPPER(IF(ISNUMBER(SEARCH("winding",VLOOKUP(CONCATENATE(P14,Q14,S14,E14),ABY[[Limiting Equipment Reference-PTX]:[Summ Equipment]],7,0))),"Power Transformer Rating at "&amp;ROUND(E14*S14*SQRT(3)/1000,2)&amp;" MVA",VLOOKUP(CONCATENATE(P14,Q14,S14,E14),ABY[[Limiting Equipment Reference-No PTX]:[Summ Equipment]],8,0))),UPPER(VLOOKUP(CONCATENATE(P14,Q14,S14,E14),ABY[[Limiting Equipment Reference-No PTX]:[Summ Equipment]],8,0)))</f>
        <v>OH LINE-DOG</v>
      </c>
      <c r="L14" s="201" t="s">
        <v>1267</v>
      </c>
      <c r="M14" s="507" t="s">
        <v>1267</v>
      </c>
      <c r="N14" s="467"/>
      <c r="O14" s="497" t="str">
        <f t="shared" si="24"/>
        <v>ABY-CB2742</v>
      </c>
      <c r="P14" s="193" t="s">
        <v>1276</v>
      </c>
      <c r="Q14" s="193" t="s">
        <v>115</v>
      </c>
      <c r="R14" s="387"/>
      <c r="S14" s="175">
        <v>11</v>
      </c>
      <c r="T14" s="201" t="s">
        <v>1266</v>
      </c>
      <c r="U14" s="201" t="s">
        <v>1266</v>
      </c>
      <c r="V14" s="485"/>
      <c r="X14" s="493" t="str">
        <f>B14</f>
        <v>CB2742</v>
      </c>
      <c r="Y14" s="433" t="str">
        <f t="shared" si="10"/>
        <v>CAVE</v>
      </c>
      <c r="Z14" s="434">
        <v>430</v>
      </c>
      <c r="AA14" s="442" t="str">
        <f t="shared" si="11"/>
        <v>q</v>
      </c>
      <c r="AB14" s="451">
        <f t="shared" si="12"/>
        <v>0</v>
      </c>
      <c r="AC14" s="451">
        <f t="shared" si="13"/>
        <v>0</v>
      </c>
      <c r="AD14" s="451">
        <f t="shared" si="14"/>
        <v>173.14147689656085</v>
      </c>
      <c r="AE14" s="451">
        <f t="shared" si="13"/>
        <v>3.2987881837059194</v>
      </c>
      <c r="AF14" s="434">
        <v>225</v>
      </c>
      <c r="AG14" s="437" t="str">
        <f t="shared" si="27"/>
        <v>u</v>
      </c>
      <c r="AH14" s="451">
        <f t="shared" si="15"/>
        <v>0</v>
      </c>
      <c r="AI14" s="451">
        <f t="shared" ref="AI14" si="32">AH14*$S14*SQRT(3)/1000</f>
        <v>0</v>
      </c>
      <c r="AJ14" s="451">
        <f t="shared" si="17"/>
        <v>0</v>
      </c>
      <c r="AK14" s="451">
        <f t="shared" ref="AK14" si="33">AJ14*$S14*SQRT(3)/1000</f>
        <v>0</v>
      </c>
      <c r="AL14" s="471" t="s">
        <v>1267</v>
      </c>
      <c r="AN14" s="475" t="s">
        <v>82</v>
      </c>
      <c r="AO14" s="9">
        <f t="shared" si="3"/>
        <v>178.93417599999898</v>
      </c>
      <c r="AP14" s="9">
        <f t="shared" si="3"/>
        <v>2801.478192</v>
      </c>
      <c r="AQ14" s="9">
        <f t="shared" si="19"/>
        <v>-2622.5440160000012</v>
      </c>
      <c r="AR14" s="9">
        <f t="shared" si="4"/>
        <v>3.409153924467168</v>
      </c>
      <c r="AS14" s="9">
        <f t="shared" si="4"/>
        <v>53.375328213242184</v>
      </c>
      <c r="AT14" s="9">
        <f t="shared" si="20"/>
        <v>-49.966174288775015</v>
      </c>
      <c r="AU14" s="457">
        <f t="shared" si="5"/>
        <v>0</v>
      </c>
      <c r="AV14" s="457">
        <f t="shared" si="5"/>
        <v>0</v>
      </c>
      <c r="AW14" s="457">
        <f t="shared" si="21"/>
        <v>0</v>
      </c>
      <c r="AX14" s="457">
        <f t="shared" si="6"/>
        <v>0</v>
      </c>
      <c r="AY14" s="457">
        <f t="shared" si="6"/>
        <v>0</v>
      </c>
      <c r="AZ14" s="457">
        <f t="shared" si="22"/>
        <v>0</v>
      </c>
    </row>
    <row r="15" spans="1:53" hidden="1" x14ac:dyDescent="0.25">
      <c r="R15" s="388"/>
      <c r="X15" s="427" t="s">
        <v>79</v>
      </c>
      <c r="AB15" s="449">
        <f>SUM(AB9:AB14)</f>
        <v>20</v>
      </c>
      <c r="AC15" s="449">
        <f>SUM(AC9:AC14)</f>
        <v>0.38105117766515295</v>
      </c>
      <c r="AD15" s="449">
        <f>SUM(AD9:AD14)</f>
        <v>361.52901743114535</v>
      </c>
      <c r="AE15" s="449">
        <f>SUM(AE9:AE14)</f>
        <v>6.8880528926131781</v>
      </c>
      <c r="AH15" s="449">
        <f>SUM(AH9:AH14)</f>
        <v>0</v>
      </c>
      <c r="AI15" s="449">
        <f t="shared" ref="AI15:AK15" si="34">SUM(AI9:AI14)</f>
        <v>0</v>
      </c>
      <c r="AJ15" s="449">
        <f t="shared" si="34"/>
        <v>0</v>
      </c>
      <c r="AK15" s="449">
        <f t="shared" si="34"/>
        <v>0</v>
      </c>
      <c r="AN15" s="475" t="s">
        <v>161</v>
      </c>
      <c r="AO15" s="9">
        <f t="shared" si="3"/>
        <v>114.38135599999987</v>
      </c>
      <c r="AP15" s="9">
        <f t="shared" si="3"/>
        <v>744.3840000000007</v>
      </c>
      <c r="AQ15" s="9">
        <f t="shared" si="19"/>
        <v>-630.00264400000083</v>
      </c>
      <c r="AR15" s="9">
        <f t="shared" si="4"/>
        <v>2.1792575203368534</v>
      </c>
      <c r="AS15" s="9">
        <f t="shared" si="4"/>
        <v>14.182419991754873</v>
      </c>
      <c r="AT15" s="9">
        <f t="shared" si="20"/>
        <v>-12.003162471418019</v>
      </c>
      <c r="AU15" s="9">
        <f t="shared" si="5"/>
        <v>140</v>
      </c>
      <c r="AV15" s="9">
        <f t="shared" si="5"/>
        <v>0</v>
      </c>
      <c r="AW15" s="9">
        <f t="shared" si="21"/>
        <v>140</v>
      </c>
      <c r="AX15" s="9">
        <f t="shared" si="6"/>
        <v>2.6673582436560705</v>
      </c>
      <c r="AY15" s="9">
        <f t="shared" si="6"/>
        <v>0</v>
      </c>
      <c r="AZ15" s="9">
        <f t="shared" si="22"/>
        <v>2.6673582436560705</v>
      </c>
    </row>
    <row r="16" spans="1:53" ht="27" hidden="1" thickBot="1" x14ac:dyDescent="0.3">
      <c r="B16" s="584" t="s">
        <v>2405</v>
      </c>
      <c r="C16" s="582"/>
      <c r="D16" s="582"/>
      <c r="E16" s="582"/>
      <c r="F16" s="582"/>
      <c r="G16" s="582"/>
      <c r="H16" s="582"/>
      <c r="I16" s="582"/>
      <c r="J16" s="582"/>
      <c r="K16" s="582"/>
      <c r="L16" s="582"/>
      <c r="M16" s="583"/>
      <c r="O16" s="551" t="s">
        <v>2391</v>
      </c>
      <c r="P16" s="552"/>
      <c r="Q16" s="552"/>
      <c r="R16" s="552"/>
      <c r="S16" s="552"/>
      <c r="T16" s="552"/>
      <c r="U16" s="552"/>
      <c r="V16" s="553"/>
      <c r="X16" s="586" t="str">
        <f>B16&amp;"-OLD"</f>
        <v>FAIRLIE SUBSTATION (C1)-OLD</v>
      </c>
      <c r="Y16" s="587"/>
      <c r="Z16" s="587"/>
      <c r="AA16" s="587"/>
      <c r="AB16" s="587"/>
      <c r="AC16" s="587"/>
      <c r="AD16" s="587"/>
      <c r="AE16" s="587"/>
      <c r="AF16" s="587"/>
      <c r="AG16" s="587"/>
      <c r="AH16" s="587"/>
      <c r="AI16" s="587"/>
      <c r="AJ16" s="587"/>
      <c r="AK16" s="587"/>
      <c r="AL16" s="588"/>
      <c r="AM16" s="481"/>
      <c r="AN16" s="475" t="s">
        <v>204</v>
      </c>
      <c r="AO16" s="9">
        <f t="shared" si="3"/>
        <v>50.069632065704312</v>
      </c>
      <c r="AP16" s="9">
        <f t="shared" si="3"/>
        <v>31.060500000000104</v>
      </c>
      <c r="AQ16" s="9">
        <f t="shared" si="19"/>
        <v>19.009132065704208</v>
      </c>
      <c r="AR16" s="9">
        <f t="shared" si="4"/>
        <v>0.95395461319487684</v>
      </c>
      <c r="AS16" s="9">
        <f t="shared" si="4"/>
        <v>0.59178200519342627</v>
      </c>
      <c r="AT16" s="9">
        <f t="shared" si="20"/>
        <v>0.36217260800145057</v>
      </c>
      <c r="AU16" s="9">
        <f t="shared" si="5"/>
        <v>0</v>
      </c>
      <c r="AV16" s="9">
        <f t="shared" si="5"/>
        <v>0</v>
      </c>
      <c r="AW16" s="9">
        <f t="shared" si="21"/>
        <v>0</v>
      </c>
      <c r="AX16" s="9">
        <f t="shared" si="6"/>
        <v>0</v>
      </c>
      <c r="AY16" s="9">
        <f t="shared" si="6"/>
        <v>0</v>
      </c>
      <c r="AZ16" s="9">
        <f t="shared" si="22"/>
        <v>0</v>
      </c>
    </row>
    <row r="17" spans="2:52" ht="15.75" hidden="1" thickBot="1" x14ac:dyDescent="0.3">
      <c r="B17" s="571" t="str">
        <f t="shared" ref="B17:L17" si="35">B6</f>
        <v>CB ID</v>
      </c>
      <c r="C17" s="545" t="str">
        <f t="shared" si="35"/>
        <v>DESIGNATION</v>
      </c>
      <c r="D17" s="382" t="str">
        <f t="shared" si="35"/>
        <v>Rated</v>
      </c>
      <c r="E17" s="572" t="str">
        <f t="shared" si="35"/>
        <v>LOAD
CAPABILITY</v>
      </c>
      <c r="F17" s="572" t="str">
        <f t="shared" si="35"/>
        <v>OC
PICKUP</v>
      </c>
      <c r="G17" s="559" t="str">
        <f t="shared" ref="G17:J19" si="36">G6</f>
        <v>SCADA ALARM</v>
      </c>
      <c r="H17" s="560"/>
      <c r="I17" s="560"/>
      <c r="J17" s="561"/>
      <c r="K17" s="574" t="str">
        <f t="shared" si="35"/>
        <v>LIMITING EQUIPMENT</v>
      </c>
      <c r="L17" s="575" t="str">
        <f t="shared" si="35"/>
        <v>RECLOSING</v>
      </c>
      <c r="M17" s="576"/>
      <c r="O17" s="554" t="str">
        <f t="shared" ref="O17:V17" si="37">O6</f>
        <v>OC Pick up
Reference ID</v>
      </c>
      <c r="P17" s="557" t="str">
        <f t="shared" si="37"/>
        <v>Supply Level</v>
      </c>
      <c r="Q17" s="566" t="str">
        <f t="shared" si="37"/>
        <v>Station/Feeder</v>
      </c>
      <c r="R17" s="578" t="str">
        <f t="shared" ref="R17" si="38">$R$6</f>
        <v>Refered
to PTX</v>
      </c>
      <c r="S17" s="579" t="str">
        <f t="shared" si="37"/>
        <v>Voltage</v>
      </c>
      <c r="T17" s="574" t="str">
        <f t="shared" si="37"/>
        <v>Include
CB</v>
      </c>
      <c r="U17" s="539" t="str">
        <f t="shared" si="37"/>
        <v>Include
PTX</v>
      </c>
      <c r="V17" s="542" t="str">
        <f t="shared" si="37"/>
        <v>Notes</v>
      </c>
      <c r="X17" s="585" t="s">
        <v>1260</v>
      </c>
      <c r="Y17" s="545" t="s">
        <v>1261</v>
      </c>
      <c r="Z17" s="559" t="s">
        <v>2749</v>
      </c>
      <c r="AA17" s="560"/>
      <c r="AB17" s="560"/>
      <c r="AC17" s="560"/>
      <c r="AD17" s="560"/>
      <c r="AE17" s="561"/>
      <c r="AF17" s="559" t="s">
        <v>1268</v>
      </c>
      <c r="AG17" s="560"/>
      <c r="AH17" s="560"/>
      <c r="AI17" s="560"/>
      <c r="AJ17" s="560"/>
      <c r="AK17" s="561"/>
      <c r="AL17" s="546" t="s">
        <v>2857</v>
      </c>
      <c r="AM17" s="466"/>
      <c r="AN17" s="475" t="s">
        <v>162</v>
      </c>
      <c r="AO17" s="9">
        <f t="shared" si="3"/>
        <v>55.712799999999731</v>
      </c>
      <c r="AP17" s="9">
        <f t="shared" si="3"/>
        <v>459.24062800000036</v>
      </c>
      <c r="AQ17" s="9">
        <f t="shared" si="19"/>
        <v>-403.52782800000062</v>
      </c>
      <c r="AR17" s="9">
        <f t="shared" si="4"/>
        <v>1.0614714025511518</v>
      </c>
      <c r="AS17" s="9">
        <f t="shared" si="4"/>
        <v>8.7497091065542296</v>
      </c>
      <c r="AT17" s="9">
        <f t="shared" si="20"/>
        <v>-7.688237704003078</v>
      </c>
      <c r="AU17" s="9">
        <f t="shared" si="5"/>
        <v>376</v>
      </c>
      <c r="AV17" s="9">
        <f t="shared" si="5"/>
        <v>0</v>
      </c>
      <c r="AW17" s="9">
        <f t="shared" si="21"/>
        <v>376</v>
      </c>
      <c r="AX17" s="9">
        <f t="shared" si="6"/>
        <v>7.1637621401048763</v>
      </c>
      <c r="AY17" s="9">
        <f t="shared" si="6"/>
        <v>0</v>
      </c>
      <c r="AZ17" s="9">
        <f t="shared" si="22"/>
        <v>7.1637621401048763</v>
      </c>
    </row>
    <row r="18" spans="2:52" ht="15.75" hidden="1" thickBot="1" x14ac:dyDescent="0.3">
      <c r="B18" s="557"/>
      <c r="C18" s="540"/>
      <c r="D18" s="362" t="str">
        <f t="shared" ref="D18:M18" si="39">D7</f>
        <v>Voltage</v>
      </c>
      <c r="E18" s="573"/>
      <c r="F18" s="573"/>
      <c r="G18" s="544" t="str">
        <f t="shared" si="36"/>
        <v>Pre-Emergency</v>
      </c>
      <c r="H18" s="544"/>
      <c r="I18" s="544" t="str">
        <f t="shared" si="36"/>
        <v>Emergency</v>
      </c>
      <c r="J18" s="544"/>
      <c r="K18" s="540"/>
      <c r="L18" s="545" t="str">
        <f t="shared" si="39"/>
        <v>AVAILABLE</v>
      </c>
      <c r="M18" s="546" t="str">
        <f t="shared" si="39"/>
        <v>UTILISED</v>
      </c>
      <c r="O18" s="555"/>
      <c r="P18" s="557"/>
      <c r="Q18" s="557"/>
      <c r="R18" s="567"/>
      <c r="S18" s="569"/>
      <c r="T18" s="539"/>
      <c r="U18" s="540"/>
      <c r="V18" s="542"/>
      <c r="X18" s="555"/>
      <c r="Y18" s="540"/>
      <c r="Z18" s="589"/>
      <c r="AA18" s="590"/>
      <c r="AB18" s="590"/>
      <c r="AC18" s="590"/>
      <c r="AD18" s="590"/>
      <c r="AE18" s="591"/>
      <c r="AF18" s="589"/>
      <c r="AG18" s="590"/>
      <c r="AH18" s="590"/>
      <c r="AI18" s="590"/>
      <c r="AJ18" s="590"/>
      <c r="AK18" s="591"/>
      <c r="AL18" s="577"/>
      <c r="AM18" s="466"/>
      <c r="AN18" s="475" t="s">
        <v>160</v>
      </c>
      <c r="AO18" s="9">
        <f t="shared" si="3"/>
        <v>0</v>
      </c>
      <c r="AP18" s="9">
        <f t="shared" si="3"/>
        <v>0</v>
      </c>
      <c r="AQ18" s="9">
        <f t="shared" si="19"/>
        <v>0</v>
      </c>
      <c r="AR18" s="9">
        <f t="shared" si="4"/>
        <v>0</v>
      </c>
      <c r="AS18" s="9">
        <f t="shared" si="4"/>
        <v>0</v>
      </c>
      <c r="AT18" s="9">
        <f t="shared" si="20"/>
        <v>0</v>
      </c>
      <c r="AU18" s="9">
        <f t="shared" si="5"/>
        <v>0</v>
      </c>
      <c r="AV18" s="9">
        <f t="shared" si="5"/>
        <v>0</v>
      </c>
      <c r="AW18" s="9">
        <f t="shared" si="21"/>
        <v>0</v>
      </c>
      <c r="AX18" s="9">
        <f t="shared" si="6"/>
        <v>0</v>
      </c>
      <c r="AY18" s="9">
        <f t="shared" si="6"/>
        <v>0</v>
      </c>
      <c r="AZ18" s="9">
        <f t="shared" si="22"/>
        <v>0</v>
      </c>
    </row>
    <row r="19" spans="2:52" ht="15.75" hidden="1" thickBot="1" x14ac:dyDescent="0.3">
      <c r="B19" s="558"/>
      <c r="C19" s="541"/>
      <c r="D19" s="345" t="str">
        <f t="shared" ref="D19:F19" si="40">D8</f>
        <v>(kV)</v>
      </c>
      <c r="E19" s="345" t="str">
        <f t="shared" si="40"/>
        <v>(A)</v>
      </c>
      <c r="F19" s="345" t="str">
        <f t="shared" si="40"/>
        <v>(A)</v>
      </c>
      <c r="G19" s="406" t="str">
        <f t="shared" si="36"/>
        <v>(A)</v>
      </c>
      <c r="H19" s="407" t="str">
        <f t="shared" si="36"/>
        <v>(MVA)</v>
      </c>
      <c r="I19" s="406" t="str">
        <f t="shared" si="36"/>
        <v>(A)</v>
      </c>
      <c r="J19" s="407" t="str">
        <f t="shared" si="36"/>
        <v>(MVA)</v>
      </c>
      <c r="K19" s="541"/>
      <c r="L19" s="541"/>
      <c r="M19" s="547"/>
      <c r="O19" s="556"/>
      <c r="P19" s="558"/>
      <c r="Q19" s="558"/>
      <c r="R19" s="568"/>
      <c r="S19" s="570"/>
      <c r="T19" s="580"/>
      <c r="U19" s="541"/>
      <c r="V19" s="543"/>
      <c r="X19" s="556"/>
      <c r="Y19" s="541"/>
      <c r="Z19" s="428" t="s">
        <v>26</v>
      </c>
      <c r="AA19" s="439" t="s">
        <v>2861</v>
      </c>
      <c r="AB19" s="450" t="s">
        <v>2959</v>
      </c>
      <c r="AC19" s="450" t="s">
        <v>2960</v>
      </c>
      <c r="AD19" s="450" t="s">
        <v>2957</v>
      </c>
      <c r="AE19" s="450" t="s">
        <v>2958</v>
      </c>
      <c r="AF19" s="428" t="s">
        <v>26</v>
      </c>
      <c r="AG19" s="439" t="s">
        <v>2861</v>
      </c>
      <c r="AH19" s="450" t="s">
        <v>2959</v>
      </c>
      <c r="AI19" s="450" t="s">
        <v>2960</v>
      </c>
      <c r="AJ19" s="450" t="s">
        <v>2957</v>
      </c>
      <c r="AK19" s="450" t="s">
        <v>2958</v>
      </c>
      <c r="AL19" s="547"/>
      <c r="AM19" s="466"/>
      <c r="AN19" s="475" t="s">
        <v>202</v>
      </c>
      <c r="AO19" s="9">
        <f t="shared" si="3"/>
        <v>186.6400000000001</v>
      </c>
      <c r="AP19" s="9">
        <f t="shared" si="3"/>
        <v>721.53110515697313</v>
      </c>
      <c r="AQ19" s="9">
        <f t="shared" si="19"/>
        <v>-534.89110515697303</v>
      </c>
      <c r="AR19" s="9">
        <f t="shared" si="4"/>
        <v>10.552473126151744</v>
      </c>
      <c r="AS19" s="9">
        <f t="shared" si="4"/>
        <v>29.66889323295786</v>
      </c>
      <c r="AT19" s="9">
        <f t="shared" si="20"/>
        <v>-19.116420106806117</v>
      </c>
      <c r="AU19" s="9">
        <f t="shared" si="5"/>
        <v>0</v>
      </c>
      <c r="AV19" s="9">
        <f t="shared" si="5"/>
        <v>244</v>
      </c>
      <c r="AW19" s="9">
        <f t="shared" si="21"/>
        <v>-244</v>
      </c>
      <c r="AX19" s="9">
        <f t="shared" si="6"/>
        <v>0</v>
      </c>
      <c r="AY19" s="9">
        <f t="shared" si="6"/>
        <v>4.741800854865164</v>
      </c>
      <c r="AZ19" s="9">
        <f t="shared" si="22"/>
        <v>-4.741800854865164</v>
      </c>
    </row>
    <row r="20" spans="2:52" hidden="1" x14ac:dyDescent="0.25">
      <c r="B20" s="38" t="s">
        <v>334</v>
      </c>
      <c r="C20" s="3" t="s">
        <v>2462</v>
      </c>
      <c r="D20" s="61">
        <f t="shared" ref="D20:D25" si="41">ROUNDDOWN(S20,0)</f>
        <v>33</v>
      </c>
      <c r="E20" s="61">
        <f t="array" ref="E20">IF(U20="YES",IF(T20="YES",MIN(IF(ABY[Load Capability Reference]=CONCATENATE(P20,Q20,S20,R20),ABY[Lowest A-PTX])),MIN(IF(ABY[Load Capability Reference]=CONCATENATE(P20,Q20,S20,R20),IF(ABY[Equipment ID]&lt;&gt;O20,ABY[Lowest A-PTX])))),IF(T20="YES",MIN(IF(ABY[Load Capability Reference]=CONCATENATE(P20,Q20,S20,R20),ABY[Lowest A-No PTX])),MIN(IF(ABY[Load Capability Reference]=CONCATENATE(P20,Q20,S20,R20),IF(ABY[Equipment ID]&lt;&gt;O20,ABY[Lowest A-No PTX])))))</f>
        <v>247.00000000000003</v>
      </c>
      <c r="F20" s="61">
        <f>IFERROR(IFERROR(VLOOKUP(CONCATENATE(P20,Q20,O20,S20,"Protection"),ABY[[OC Protection Reference]:[Forward A]],23,0),VLOOKUP(O20,AEL_Protection_Data[],12,0)),"N/A")</f>
        <v>150</v>
      </c>
      <c r="G20" s="61">
        <f t="shared" ref="G20:G25" si="42">IFERROR(FLOOR(MIN(E20:F20)*$D$3,5),"")</f>
        <v>120</v>
      </c>
      <c r="H20" s="5">
        <f t="shared" ref="H20:H25" si="43">G20*S20*SQRT(3)/1000</f>
        <v>6.8589211979727533</v>
      </c>
      <c r="I20" s="61">
        <f t="shared" ref="I20:I25" si="44">IFERROR(FLOOR(MIN(E20:F20)*$D$2,5),"")</f>
        <v>135</v>
      </c>
      <c r="J20" s="5">
        <f t="shared" ref="J20:J25" si="45">I20*S20*SQRT(3)/1000</f>
        <v>7.7162863477193477</v>
      </c>
      <c r="K20" s="3" t="str">
        <f>IF(U20="Yes",UPPER(IF(ISNUMBER(SEARCH("winding",VLOOKUP(CONCATENATE(P20,Q20,S20,E20),ABY[[Limiting Equipment Reference-PTX]:[Summ Equipment]],7,0))),"Power Transformer Rating at "&amp;ROUND(E20*S20*SQRT(3)/1000,2)&amp;" MVA",VLOOKUP(CONCATENATE(P20,Q20,S20,E20),ABY[[Limiting Equipment Reference-No PTX]:[Summ Equipment]],8,0))),UPPER(VLOOKUP(CONCATENATE(P20,Q20,S20,E20),ABY[[Limiting Equipment Reference-No PTX]:[Summ Equipment]],8,0)))</f>
        <v>OH LINE-70 MM² CU</v>
      </c>
      <c r="L20" s="4" t="s">
        <v>1266</v>
      </c>
      <c r="M20" s="508" t="s">
        <v>1162</v>
      </c>
      <c r="O20" s="496" t="str">
        <f>"OPU-"&amp;B20</f>
        <v>OPU-F400</v>
      </c>
      <c r="P20" s="7" t="s">
        <v>1245</v>
      </c>
      <c r="Q20" s="7" t="s">
        <v>346</v>
      </c>
      <c r="R20" s="386"/>
      <c r="S20" s="43">
        <v>33</v>
      </c>
      <c r="T20" s="8" t="s">
        <v>1266</v>
      </c>
      <c r="U20" s="8" t="s">
        <v>1266</v>
      </c>
      <c r="V20" s="484"/>
      <c r="X20" s="491" t="str">
        <f>B20</f>
        <v>F400</v>
      </c>
      <c r="Y20" s="429" t="s">
        <v>2862</v>
      </c>
      <c r="Z20" s="430">
        <v>200</v>
      </c>
      <c r="AA20" s="440" t="str">
        <f>IF(Z20&gt;E20,"q",IF(Z20&lt;E20,"p","u"))</f>
        <v>p</v>
      </c>
      <c r="AB20" s="453">
        <f t="shared" ref="AB20:AB25" si="46">IF(Z20="",0,IF(Z20-E20&lt;0,ABS(Z20-E20),0))</f>
        <v>47.000000000000028</v>
      </c>
      <c r="AC20" s="453">
        <f t="shared" ref="AC20:AC25" si="47">AB20*$S20*SQRT(3)/1000</f>
        <v>2.6864108025393301</v>
      </c>
      <c r="AD20" s="453">
        <f t="shared" ref="AD20:AD25" si="48">IF(Z20="",0,IF(Z20-E20&gt;0,ABS(Z20-E20),0))</f>
        <v>0</v>
      </c>
      <c r="AE20" s="453">
        <f t="shared" ref="AE20:AE25" si="49">AD20*$S20*SQRT(3)/1000</f>
        <v>0</v>
      </c>
      <c r="AF20" s="430">
        <v>150</v>
      </c>
      <c r="AG20" s="435" t="str">
        <f t="shared" ref="AG20:AG21" si="50">IF(AF20&gt;F20,"q",IF(AF20&lt;F20,"p","u"))</f>
        <v>u</v>
      </c>
      <c r="AH20" s="453">
        <f t="shared" ref="AH20:AH25" si="51">IF(AF20="",0,IF(AF20-F20&lt;0,ABS(AF20-F20),0))</f>
        <v>0</v>
      </c>
      <c r="AI20" s="453">
        <f t="shared" ref="AI20:AI25" si="52">AH20*$S20*SQRT(3)/1000</f>
        <v>0</v>
      </c>
      <c r="AJ20" s="453">
        <f t="shared" ref="AJ20:AJ25" si="53">IF(AF20="",0,IF(AF20-F20&gt;0,ABS(AF20-F20),0))</f>
        <v>0</v>
      </c>
      <c r="AK20" s="453">
        <f t="shared" ref="AK20:AK25" si="54">AJ20*$S20*SQRT(3)/1000</f>
        <v>0</v>
      </c>
      <c r="AL20" s="469" t="s">
        <v>1266</v>
      </c>
      <c r="AN20" s="475" t="s">
        <v>203</v>
      </c>
      <c r="AO20" s="9">
        <f t="shared" si="3"/>
        <v>60.458177250000034</v>
      </c>
      <c r="AP20" s="9">
        <f t="shared" si="3"/>
        <v>127.3922297294865</v>
      </c>
      <c r="AQ20" s="9">
        <f t="shared" si="19"/>
        <v>-66.934052479486468</v>
      </c>
      <c r="AR20" s="9">
        <f t="shared" si="4"/>
        <v>3.3044100980550501</v>
      </c>
      <c r="AS20" s="9">
        <f t="shared" si="4"/>
        <v>2.4756909173543376</v>
      </c>
      <c r="AT20" s="9">
        <f t="shared" si="20"/>
        <v>0.8287191807007126</v>
      </c>
      <c r="AU20" s="9">
        <f t="shared" si="5"/>
        <v>208</v>
      </c>
      <c r="AV20" s="9">
        <f t="shared" si="5"/>
        <v>262</v>
      </c>
      <c r="AW20" s="9">
        <f t="shared" si="21"/>
        <v>-54</v>
      </c>
      <c r="AX20" s="9">
        <f t="shared" si="6"/>
        <v>4.0421908926719432</v>
      </c>
      <c r="AY20" s="9">
        <f t="shared" si="6"/>
        <v>7.0532572985819826</v>
      </c>
      <c r="AZ20" s="9">
        <f t="shared" si="22"/>
        <v>-3.0110664059100394</v>
      </c>
    </row>
    <row r="21" spans="2:52" hidden="1" x14ac:dyDescent="0.25">
      <c r="B21" s="7" t="s">
        <v>1419</v>
      </c>
      <c r="C21" s="6" t="s">
        <v>2406</v>
      </c>
      <c r="D21" s="57">
        <f t="shared" si="41"/>
        <v>33</v>
      </c>
      <c r="E21" s="323">
        <f t="array" ref="E21">IF(U21="YES",IF(T21="YES",MIN(IF(ABY[Load Capability Reference]=CONCATENATE(P21,Q21,S21,R21),ABY[Lowest A-PTX])),MIN(IF(ABY[Load Capability Reference]=CONCATENATE(P21,Q21,S21,R21),IF(ABY[Equipment ID]&lt;&gt;O21,ABY[Lowest A-PTX])))),IF(T21="YES",MIN(IF(ABY[Load Capability Reference]=CONCATENATE(P21,Q21,S21,R21),ABY[Lowest A-No PTX])),MIN(IF(ABY[Load Capability Reference]=CONCATENATE(P21,Q21,S21,R21),IF(ABY[Equipment ID]&lt;&gt;O21,ABY[Lowest A-No PTX])))))</f>
        <v>150</v>
      </c>
      <c r="F21" s="57">
        <f>IFERROR(IFERROR(VLOOKUP(CONCATENATE(P21,Q21,O21,S21,"Protection"),ABY[[OC Protection Reference]:[Forward A]],23,0),VLOOKUP(O21,AEL_Protection_Data[],12,0)),"N/A")</f>
        <v>100</v>
      </c>
      <c r="G21" s="57">
        <f t="shared" si="42"/>
        <v>80</v>
      </c>
      <c r="H21" s="9">
        <f t="shared" si="43"/>
        <v>4.5726141319818359</v>
      </c>
      <c r="I21" s="57">
        <f t="shared" si="44"/>
        <v>90</v>
      </c>
      <c r="J21" s="9">
        <f t="shared" si="45"/>
        <v>5.1441908984795655</v>
      </c>
      <c r="K21" s="6" t="str">
        <f>IF(U21="Yes",UPPER(IF(ISNUMBER(SEARCH("winding",VLOOKUP(CONCATENATE(P21,Q21,S21,E21),ABY[[Limiting Equipment Reference-PTX]:[Summ Equipment]],7,0))),"Power Transformer Rating at "&amp;ROUND(E21*S21*SQRT(3)/1000,2)&amp;" MVA",VLOOKUP(CONCATENATE(P21,Q21,S21,E21),ABY[[Limiting Equipment Reference-No PTX]:[Summ Equipment]],8,0))),UPPER(VLOOKUP(CONCATENATE(P21,Q21,S21,E21),ABY[[Limiting Equipment Reference-No PTX]:[Summ Equipment]],8,0)))</f>
        <v>CIRCUIT BREAKER-ABY-CB4242-PROTECTION</v>
      </c>
      <c r="L21" s="8" t="s">
        <v>1266</v>
      </c>
      <c r="M21" s="509" t="s">
        <v>1162</v>
      </c>
      <c r="O21" s="496" t="str">
        <f>"FLE-"&amp;B21</f>
        <v>FLE-F323</v>
      </c>
      <c r="P21" s="7" t="s">
        <v>1245</v>
      </c>
      <c r="Q21" s="7" t="s">
        <v>90</v>
      </c>
      <c r="R21" s="386"/>
      <c r="S21" s="43">
        <v>33</v>
      </c>
      <c r="T21" s="8" t="s">
        <v>1266</v>
      </c>
      <c r="U21" s="8" t="s">
        <v>1267</v>
      </c>
      <c r="V21" s="484"/>
      <c r="X21" s="492" t="str">
        <f t="shared" ref="X21:X25" si="55">B21</f>
        <v>F323</v>
      </c>
      <c r="Y21" s="431" t="str">
        <f t="shared" ref="Y21:Y25" si="56">IF(X21=B21,C21,"NEW")</f>
        <v>T1 HV CB</v>
      </c>
      <c r="Z21" s="432">
        <v>290</v>
      </c>
      <c r="AA21" s="441" t="str">
        <f t="shared" ref="AA21:AA25" si="57">IF(Z21&gt;E21,"q",IF(Z21&lt;E21,"p","u"))</f>
        <v>q</v>
      </c>
      <c r="AB21" s="134">
        <f t="shared" si="46"/>
        <v>0</v>
      </c>
      <c r="AC21" s="134">
        <f t="shared" si="47"/>
        <v>0</v>
      </c>
      <c r="AD21" s="134">
        <f t="shared" si="48"/>
        <v>140</v>
      </c>
      <c r="AE21" s="134">
        <f t="shared" si="49"/>
        <v>8.0020747309682125</v>
      </c>
      <c r="AF21" s="432">
        <v>100</v>
      </c>
      <c r="AG21" s="436" t="str">
        <f t="shared" si="50"/>
        <v>u</v>
      </c>
      <c r="AH21" s="134">
        <f t="shared" si="51"/>
        <v>0</v>
      </c>
      <c r="AI21" s="134">
        <f t="shared" si="52"/>
        <v>0</v>
      </c>
      <c r="AJ21" s="134">
        <f t="shared" si="53"/>
        <v>0</v>
      </c>
      <c r="AK21" s="134">
        <f t="shared" si="54"/>
        <v>0</v>
      </c>
      <c r="AL21" s="470" t="s">
        <v>1266</v>
      </c>
      <c r="AN21" s="475" t="s">
        <v>83</v>
      </c>
      <c r="AO21" s="9">
        <f t="shared" si="3"/>
        <v>2.6553821938852309</v>
      </c>
      <c r="AP21" s="9">
        <f t="shared" si="3"/>
        <v>22.999999999999972</v>
      </c>
      <c r="AQ21" s="9">
        <f t="shared" si="19"/>
        <v>-20.344617806114741</v>
      </c>
      <c r="AR21" s="9">
        <f t="shared" si="4"/>
        <v>5.0591825606552246E-2</v>
      </c>
      <c r="AS21" s="9">
        <f t="shared" si="4"/>
        <v>1.3146265629447762</v>
      </c>
      <c r="AT21" s="9">
        <f t="shared" si="20"/>
        <v>-1.2640347373382239</v>
      </c>
      <c r="AU21" s="9">
        <f t="shared" si="5"/>
        <v>0</v>
      </c>
      <c r="AV21" s="9">
        <f t="shared" si="5"/>
        <v>0</v>
      </c>
      <c r="AW21" s="9">
        <f t="shared" si="21"/>
        <v>0</v>
      </c>
      <c r="AX21" s="9">
        <f t="shared" si="6"/>
        <v>0</v>
      </c>
      <c r="AY21" s="9">
        <f t="shared" si="6"/>
        <v>0</v>
      </c>
      <c r="AZ21" s="9">
        <f t="shared" si="22"/>
        <v>0</v>
      </c>
    </row>
    <row r="22" spans="2:52" hidden="1" x14ac:dyDescent="0.25">
      <c r="B22" s="7" t="s">
        <v>349</v>
      </c>
      <c r="C22" s="6" t="s">
        <v>2407</v>
      </c>
      <c r="D22" s="57">
        <f t="shared" si="41"/>
        <v>11</v>
      </c>
      <c r="E22" s="323">
        <f t="array" ref="E22">IF(U22="YES",IF(T22="YES",MIN(IF(ABY[Load Capability Reference]=CONCATENATE(P22,Q22,S22,R22),ABY[Lowest A-PTX])),MIN(IF(ABY[Load Capability Reference]=CONCATENATE(P22,Q22,S22,R22),IF(ABY[Equipment ID]&lt;&gt;O22,ABY[Lowest A-PTX])))),IF(T22="YES",MIN(IF(ABY[Load Capability Reference]=CONCATENATE(P22,Q22,S22,R22),ABY[Lowest A-No PTX])),MIN(IF(ABY[Load Capability Reference]=CONCATENATE(P22,Q22,S22,R22),IF(ABY[Equipment ID]&lt;&gt;O22,ABY[Lowest A-No PTX])))))</f>
        <v>325.08168236638954</v>
      </c>
      <c r="F22" s="57">
        <f>IFERROR(IFERROR(VLOOKUP(CONCATENATE(P22,Q22,O22,S22,"Protection"),ABY[[OC Protection Reference]:[Forward A]],23,0),VLOOKUP(O22,AEL_Protection_Data[],12,0)),"N/A")</f>
        <v>280</v>
      </c>
      <c r="G22" s="57">
        <f t="shared" si="42"/>
        <v>220</v>
      </c>
      <c r="H22" s="9">
        <f t="shared" si="43"/>
        <v>4.2297061772009652</v>
      </c>
      <c r="I22" s="57">
        <f t="shared" si="44"/>
        <v>250</v>
      </c>
      <c r="J22" s="9">
        <f t="shared" si="45"/>
        <v>4.8064842922738231</v>
      </c>
      <c r="K22" s="6" t="str">
        <f>IF(U22="Yes",UPPER(IF(ISNUMBER(SEARCH("winding",VLOOKUP(CONCATENATE(P22,Q22,S22,E22),ABY[[Limiting Equipment Reference-PTX]:[Summ Equipment]],7,0))),"Power Transformer Rating at "&amp;ROUND(E22*S22*SQRT(3)/1000,2)&amp;" MVA",VLOOKUP(CONCATENATE(P22,Q22,S22,E22),ABY[[Limiting Equipment Reference-No PTX]:[Summ Equipment]],8,0))),UPPER(VLOOKUP(CONCATENATE(P22,Q22,S22,E22),ABY[[Limiting Equipment Reference-No PTX]:[Summ Equipment]],8,0)))</f>
        <v>POWER TRANSFORMER RATING AT 6.25 MVA</v>
      </c>
      <c r="L22" s="8" t="s">
        <v>1267</v>
      </c>
      <c r="M22" s="506" t="s">
        <v>1266</v>
      </c>
      <c r="O22" s="496" t="str">
        <f>"FLE-"&amp;B22</f>
        <v>FLE-F377</v>
      </c>
      <c r="P22" s="7" t="s">
        <v>1246</v>
      </c>
      <c r="Q22" s="7" t="s">
        <v>158</v>
      </c>
      <c r="R22" s="386"/>
      <c r="S22" s="43">
        <v>11.100100000000001</v>
      </c>
      <c r="T22" s="8" t="s">
        <v>1266</v>
      </c>
      <c r="U22" s="8" t="s">
        <v>1267</v>
      </c>
      <c r="V22" s="484"/>
      <c r="X22" s="492" t="str">
        <f t="shared" si="55"/>
        <v>F377</v>
      </c>
      <c r="Y22" s="431" t="str">
        <f t="shared" si="56"/>
        <v>T1 LV INCOMER</v>
      </c>
      <c r="Z22" s="432">
        <v>420</v>
      </c>
      <c r="AA22" s="441" t="str">
        <f t="shared" si="57"/>
        <v>q</v>
      </c>
      <c r="AB22" s="134">
        <f t="shared" si="46"/>
        <v>0</v>
      </c>
      <c r="AC22" s="134">
        <f t="shared" si="47"/>
        <v>0</v>
      </c>
      <c r="AD22" s="134">
        <f t="shared" si="48"/>
        <v>94.918317633610457</v>
      </c>
      <c r="AE22" s="134">
        <f t="shared" si="49"/>
        <v>1.8248936110200247</v>
      </c>
      <c r="AF22" s="432">
        <v>260</v>
      </c>
      <c r="AG22" s="436" t="str">
        <f>IF(AF22&gt;F22,"q",IF(AF22&lt;F22,"p","u"))</f>
        <v>p</v>
      </c>
      <c r="AH22" s="134">
        <f t="shared" si="51"/>
        <v>20</v>
      </c>
      <c r="AI22" s="134">
        <f t="shared" si="52"/>
        <v>0.38451874338190589</v>
      </c>
      <c r="AJ22" s="134">
        <f t="shared" si="53"/>
        <v>0</v>
      </c>
      <c r="AK22" s="134">
        <f t="shared" si="54"/>
        <v>0</v>
      </c>
      <c r="AL22" s="470" t="s">
        <v>2860</v>
      </c>
      <c r="AN22" s="475" t="s">
        <v>163</v>
      </c>
      <c r="AO22" s="9">
        <f t="shared" si="3"/>
        <v>361.64319405407389</v>
      </c>
      <c r="AP22" s="9">
        <f t="shared" si="3"/>
        <v>0</v>
      </c>
      <c r="AQ22" s="9">
        <f t="shared" si="19"/>
        <v>361.64319405407389</v>
      </c>
      <c r="AR22" s="9">
        <f t="shared" si="4"/>
        <v>6.8994951875152175</v>
      </c>
      <c r="AS22" s="9">
        <f t="shared" si="4"/>
        <v>0</v>
      </c>
      <c r="AT22" s="9">
        <f t="shared" si="20"/>
        <v>6.8994951875152175</v>
      </c>
      <c r="AU22" s="9">
        <f t="shared" si="5"/>
        <v>0</v>
      </c>
      <c r="AV22" s="9">
        <f t="shared" si="5"/>
        <v>0</v>
      </c>
      <c r="AW22" s="9">
        <f t="shared" si="21"/>
        <v>0</v>
      </c>
      <c r="AX22" s="9">
        <f t="shared" si="6"/>
        <v>0</v>
      </c>
      <c r="AY22" s="9">
        <f t="shared" si="6"/>
        <v>0</v>
      </c>
      <c r="AZ22" s="9">
        <f t="shared" si="22"/>
        <v>0</v>
      </c>
    </row>
    <row r="23" spans="2:52" hidden="1" x14ac:dyDescent="0.25">
      <c r="B23" s="7" t="s">
        <v>354</v>
      </c>
      <c r="C23" s="6" t="s">
        <v>2408</v>
      </c>
      <c r="D23" s="57">
        <f t="shared" si="41"/>
        <v>11</v>
      </c>
      <c r="E23" s="57">
        <f t="array" ref="E23">IF(U23="YES",IF(T23="YES",MIN(IF(ABY[Load Capability Reference]=CONCATENATE(P23,Q23,S23,R23),ABY[Lowest A-PTX])),MIN(IF(ABY[Load Capability Reference]=CONCATENATE(P23,Q23,S23,R23),IF(ABY[Equipment ID]&lt;&gt;O23,ABY[Lowest A-PTX])))),IF(T23="YES",MIN(IF(ABY[Load Capability Reference]=CONCATENATE(P23,Q23,S23,R23),ABY[Lowest A-No PTX])),MIN(IF(ABY[Load Capability Reference]=CONCATENATE(P23,Q23,S23,R23),IF(ABY[Equipment ID]&lt;&gt;O23,ABY[Lowest A-No PTX])))))</f>
        <v>188.62660722014468</v>
      </c>
      <c r="F23" s="57">
        <f>IFERROR(IFERROR(VLOOKUP(CONCATENATE(P23,Q23,O23,S23,"Protection"),ABY[[OC Protection Reference]:[Forward A]],23,0),VLOOKUP(O23,AEL_Protection_Data[],12,0)),"N/A")</f>
        <v>192</v>
      </c>
      <c r="G23" s="57">
        <f t="shared" si="42"/>
        <v>150</v>
      </c>
      <c r="H23" s="9">
        <f t="shared" si="43"/>
        <v>2.8838905753642945</v>
      </c>
      <c r="I23" s="57">
        <f t="shared" si="44"/>
        <v>165</v>
      </c>
      <c r="J23" s="9">
        <f t="shared" si="45"/>
        <v>3.1722796329007239</v>
      </c>
      <c r="K23" s="6" t="str">
        <f>IF(U23="Yes",UPPER(IF(ISNUMBER(SEARCH("winding",VLOOKUP(CONCATENATE(P23,Q23,S23,E23),ABY[[Limiting Equipment Reference-PTX]:[Summ Equipment]],7,0))),"Power Transformer Rating at "&amp;ROUND(E23*S23*SQRT(3)/1000,2)&amp;" MVA",VLOOKUP(CONCATENATE(P23,Q23,S23,E23),ABY[[Limiting Equipment Reference-No PTX]:[Summ Equipment]],8,0))),UPPER(VLOOKUP(CONCATENATE(P23,Q23,S23,E23),ABY[[Limiting Equipment Reference-No PTX]:[Summ Equipment]],8,0)))</f>
        <v>OH LINE-MINK</v>
      </c>
      <c r="L23" s="8" t="s">
        <v>1267</v>
      </c>
      <c r="M23" s="506" t="s">
        <v>1267</v>
      </c>
      <c r="O23" s="496" t="str">
        <f>"FLE-"&amp;B23</f>
        <v>FLE-F374</v>
      </c>
      <c r="P23" s="7" t="s">
        <v>1276</v>
      </c>
      <c r="Q23" s="7" t="s">
        <v>166</v>
      </c>
      <c r="R23" s="386"/>
      <c r="S23" s="43">
        <v>11.100100000000001</v>
      </c>
      <c r="T23" s="8" t="s">
        <v>1266</v>
      </c>
      <c r="U23" s="8" t="s">
        <v>1266</v>
      </c>
      <c r="V23" s="484"/>
      <c r="X23" s="492" t="str">
        <f t="shared" si="55"/>
        <v>F374</v>
      </c>
      <c r="Y23" s="431" t="str">
        <f t="shared" si="56"/>
        <v>CRICKLEWOOD</v>
      </c>
      <c r="Z23" s="432">
        <v>185</v>
      </c>
      <c r="AA23" s="441" t="str">
        <f t="shared" si="57"/>
        <v>p</v>
      </c>
      <c r="AB23" s="134">
        <f t="shared" si="46"/>
        <v>3.6266072201446775</v>
      </c>
      <c r="AC23" s="134">
        <f t="shared" si="47"/>
        <v>6.9724922551488919E-2</v>
      </c>
      <c r="AD23" s="134">
        <f t="shared" si="48"/>
        <v>0</v>
      </c>
      <c r="AE23" s="134">
        <f t="shared" si="49"/>
        <v>0</v>
      </c>
      <c r="AF23" s="432">
        <v>192</v>
      </c>
      <c r="AG23" s="436" t="str">
        <f t="shared" ref="AG23:AG25" si="58">IF(AF23&gt;F23,"q",IF(AF23&lt;F23,"p","u"))</f>
        <v>u</v>
      </c>
      <c r="AH23" s="134">
        <f t="shared" si="51"/>
        <v>0</v>
      </c>
      <c r="AI23" s="134">
        <f t="shared" si="52"/>
        <v>0</v>
      </c>
      <c r="AJ23" s="134">
        <f t="shared" si="53"/>
        <v>0</v>
      </c>
      <c r="AK23" s="134">
        <f t="shared" si="54"/>
        <v>0</v>
      </c>
      <c r="AL23" s="470" t="s">
        <v>1267</v>
      </c>
      <c r="AN23" s="475" t="s">
        <v>1443</v>
      </c>
      <c r="AO23" s="9">
        <f t="shared" si="3"/>
        <v>0</v>
      </c>
      <c r="AP23" s="9">
        <f t="shared" si="3"/>
        <v>5.0258178219465108</v>
      </c>
      <c r="AQ23" s="9">
        <f t="shared" si="19"/>
        <v>-5.0258178219465108</v>
      </c>
      <c r="AR23" s="9">
        <f t="shared" si="4"/>
        <v>0</v>
      </c>
      <c r="AS23" s="9">
        <f t="shared" si="4"/>
        <v>9.6425509989512923E-2</v>
      </c>
      <c r="AT23" s="9">
        <f t="shared" si="20"/>
        <v>-9.6425509989512923E-2</v>
      </c>
      <c r="AU23" s="9">
        <f t="shared" si="5"/>
        <v>0</v>
      </c>
      <c r="AV23" s="9">
        <f t="shared" si="5"/>
        <v>0</v>
      </c>
      <c r="AW23" s="9">
        <f t="shared" si="21"/>
        <v>0</v>
      </c>
      <c r="AX23" s="9">
        <f t="shared" si="6"/>
        <v>0</v>
      </c>
      <c r="AY23" s="9">
        <f t="shared" si="6"/>
        <v>0</v>
      </c>
      <c r="AZ23" s="9">
        <f t="shared" si="22"/>
        <v>0</v>
      </c>
    </row>
    <row r="24" spans="2:52" hidden="1" x14ac:dyDescent="0.25">
      <c r="B24" s="39" t="s">
        <v>355</v>
      </c>
      <c r="C24" s="14" t="s">
        <v>2409</v>
      </c>
      <c r="D24" s="128">
        <f t="shared" si="41"/>
        <v>11</v>
      </c>
      <c r="E24" s="128">
        <f t="array" ref="E24">IF(U24="YES",IF(T24="YES",MIN(IF(ABY[Load Capability Reference]=CONCATENATE(P24,Q24,S24,R24),ABY[Lowest A-PTX])),MIN(IF(ABY[Load Capability Reference]=CONCATENATE(P24,Q24,S24,R24),IF(ABY[Equipment ID]&lt;&gt;O24,ABY[Lowest A-PTX])))),IF(T24="YES",MIN(IF(ABY[Load Capability Reference]=CONCATENATE(P24,Q24,S24,R24),ABY[Lowest A-No PTX])),MIN(IF(ABY[Load Capability Reference]=CONCATENATE(P24,Q24,S24,R24),IF(ABY[Equipment ID]&lt;&gt;O24,ABY[Lowest A-No PTX])))))</f>
        <v>246.99999999999997</v>
      </c>
      <c r="F24" s="128">
        <f>IFERROR(IFERROR(VLOOKUP(CONCATENATE(P24,Q24,O24,S24,"Protection"),ABY[[OC Protection Reference]:[Forward A]],23,0),VLOOKUP(O24,AEL_Protection_Data[],12,0)),"N/A")</f>
        <v>192</v>
      </c>
      <c r="G24" s="128">
        <f t="shared" si="42"/>
        <v>150</v>
      </c>
      <c r="H24" s="16">
        <f t="shared" si="43"/>
        <v>2.8838905753642945</v>
      </c>
      <c r="I24" s="128">
        <f t="shared" si="44"/>
        <v>170</v>
      </c>
      <c r="J24" s="16">
        <f t="shared" si="45"/>
        <v>3.2684093187462002</v>
      </c>
      <c r="K24" s="14" t="str">
        <f>IF(U24="Yes",UPPER(IF(ISNUMBER(SEARCH("winding",VLOOKUP(CONCATENATE(P24,Q24,S24,E24),ABY[[Limiting Equipment Reference-PTX]:[Summ Equipment]],7,0))),"Power Transformer Rating at "&amp;ROUND(E24*S24*SQRT(3)/1000,2)&amp;" MVA",VLOOKUP(CONCATENATE(P24,Q24,S24,E24),ABY[[Limiting Equipment Reference-No PTX]:[Summ Equipment]],8,0))),UPPER(VLOOKUP(CONCATENATE(P24,Q24,S24,E24),ABY[[Limiting Equipment Reference-No PTX]:[Summ Equipment]],8,0)))</f>
        <v>OH LINE-70 MM² CU</v>
      </c>
      <c r="L24" s="15" t="s">
        <v>1267</v>
      </c>
      <c r="M24" s="510" t="s">
        <v>1266</v>
      </c>
      <c r="O24" s="496" t="str">
        <f>"FLE-"&amp;B24</f>
        <v>FLE-F380</v>
      </c>
      <c r="P24" s="7" t="s">
        <v>1276</v>
      </c>
      <c r="Q24" s="7" t="s">
        <v>174</v>
      </c>
      <c r="R24" s="386"/>
      <c r="S24" s="43">
        <v>11.100100000000001</v>
      </c>
      <c r="T24" s="8" t="s">
        <v>1266</v>
      </c>
      <c r="U24" s="8" t="s">
        <v>1266</v>
      </c>
      <c r="V24" s="484"/>
      <c r="X24" s="492" t="str">
        <f t="shared" si="55"/>
        <v>F380</v>
      </c>
      <c r="Y24" s="431" t="str">
        <f t="shared" si="56"/>
        <v>FAIRLIE RURAL</v>
      </c>
      <c r="Z24" s="432">
        <v>190</v>
      </c>
      <c r="AA24" s="441" t="str">
        <f t="shared" si="57"/>
        <v>p</v>
      </c>
      <c r="AB24" s="134">
        <f t="shared" si="46"/>
        <v>56.999999999999972</v>
      </c>
      <c r="AC24" s="134">
        <f t="shared" si="47"/>
        <v>1.0958784186384314</v>
      </c>
      <c r="AD24" s="134">
        <f t="shared" si="48"/>
        <v>0</v>
      </c>
      <c r="AE24" s="134">
        <f t="shared" si="49"/>
        <v>0</v>
      </c>
      <c r="AF24" s="432">
        <v>192</v>
      </c>
      <c r="AG24" s="436" t="str">
        <f t="shared" si="58"/>
        <v>u</v>
      </c>
      <c r="AH24" s="134">
        <f t="shared" si="51"/>
        <v>0</v>
      </c>
      <c r="AI24" s="134">
        <f t="shared" si="52"/>
        <v>0</v>
      </c>
      <c r="AJ24" s="134">
        <f t="shared" si="53"/>
        <v>0</v>
      </c>
      <c r="AK24" s="134">
        <f t="shared" si="54"/>
        <v>0</v>
      </c>
      <c r="AL24" s="470" t="s">
        <v>2860</v>
      </c>
      <c r="AN24" s="475" t="s">
        <v>164</v>
      </c>
      <c r="AO24" s="9">
        <f t="shared" si="3"/>
        <v>4.3194054073900645E-2</v>
      </c>
      <c r="AP24" s="9">
        <f t="shared" si="3"/>
        <v>1.3611891852200131E-2</v>
      </c>
      <c r="AQ24" s="9">
        <f t="shared" si="19"/>
        <v>2.9582162221700514E-2</v>
      </c>
      <c r="AR24" s="9">
        <f t="shared" si="4"/>
        <v>1.6459145172992139E-3</v>
      </c>
      <c r="AS24" s="9">
        <f t="shared" si="4"/>
        <v>2.5934137102657801E-4</v>
      </c>
      <c r="AT24" s="9">
        <f t="shared" si="20"/>
        <v>1.3865731462726358E-3</v>
      </c>
      <c r="AU24" s="9">
        <f t="shared" si="5"/>
        <v>0</v>
      </c>
      <c r="AV24" s="9">
        <f t="shared" si="5"/>
        <v>0</v>
      </c>
      <c r="AW24" s="9">
        <f t="shared" si="21"/>
        <v>0</v>
      </c>
      <c r="AX24" s="9">
        <f t="shared" si="6"/>
        <v>0</v>
      </c>
      <c r="AY24" s="9">
        <f t="shared" si="6"/>
        <v>0</v>
      </c>
      <c r="AZ24" s="9">
        <f t="shared" si="22"/>
        <v>0</v>
      </c>
    </row>
    <row r="25" spans="2:52" ht="15.75" hidden="1" thickBot="1" x14ac:dyDescent="0.3">
      <c r="B25" s="193" t="s">
        <v>356</v>
      </c>
      <c r="C25" s="191" t="s">
        <v>2410</v>
      </c>
      <c r="D25" s="197">
        <f t="shared" si="41"/>
        <v>11</v>
      </c>
      <c r="E25" s="197">
        <f t="array" ref="E25">IF(U25="YES",IF(T25="YES",MIN(IF(ABY[Load Capability Reference]=CONCATENATE(P25,Q25,S25,R25),ABY[Lowest A-PTX])),MIN(IF(ABY[Load Capability Reference]=CONCATENATE(P25,Q25,S25,R25),IF(ABY[Equipment ID]&lt;&gt;O25,ABY[Lowest A-PTX])))),IF(T25="YES",MIN(IF(ABY[Load Capability Reference]=CONCATENATE(P25,Q25,S25,R25),ABY[Lowest A-No PTX])),MIN(IF(ABY[Load Capability Reference]=CONCATENATE(P25,Q25,S25,R25),IF(ABY[Equipment ID]&lt;&gt;O25,ABY[Lowest A-No PTX])))))</f>
        <v>170.76499999999999</v>
      </c>
      <c r="F25" s="197">
        <f>IFERROR(IFERROR(VLOOKUP(CONCATENATE(P25,Q25,O25,S25,"Protection"),ABY[[OC Protection Reference]:[Forward A]],23,0),VLOOKUP(O25,AEL_Protection_Data[],12,0)),"N/A")</f>
        <v>192</v>
      </c>
      <c r="G25" s="197">
        <f t="shared" si="42"/>
        <v>135</v>
      </c>
      <c r="H25" s="155">
        <f t="shared" si="43"/>
        <v>2.5955015178278651</v>
      </c>
      <c r="I25" s="197">
        <f t="shared" si="44"/>
        <v>150</v>
      </c>
      <c r="J25" s="155">
        <f t="shared" si="45"/>
        <v>2.8838905753642945</v>
      </c>
      <c r="K25" s="191" t="str">
        <f>IF(U25="Yes",UPPER(IF(ISNUMBER(SEARCH("winding",VLOOKUP(CONCATENATE(P25,Q25,S25,E25),ABY[[Limiting Equipment Reference-PTX]:[Summ Equipment]],7,0))),"Power Transformer Rating at "&amp;ROUND(E25*S25*SQRT(3)/1000,2)&amp;" MVA",VLOOKUP(CONCATENATE(P25,Q25,S25,E25),ABY[[Limiting Equipment Reference-No PTX]:[Summ Equipment]],8,0))),UPPER(VLOOKUP(CONCATENATE(P25,Q25,S25,E25),ABY[[Limiting Equipment Reference-No PTX]:[Summ Equipment]],8,0)))</f>
        <v>CABLE-1-3C 95 MM² AL PILC</v>
      </c>
      <c r="L25" s="201" t="s">
        <v>1267</v>
      </c>
      <c r="M25" s="507" t="s">
        <v>1266</v>
      </c>
      <c r="O25" s="497" t="str">
        <f>"FLE-"&amp;B25</f>
        <v>FLE-F383</v>
      </c>
      <c r="P25" s="193" t="s">
        <v>1276</v>
      </c>
      <c r="Q25" s="193" t="s">
        <v>180</v>
      </c>
      <c r="R25" s="387"/>
      <c r="S25" s="175">
        <v>11.100100000000001</v>
      </c>
      <c r="T25" s="201" t="s">
        <v>1266</v>
      </c>
      <c r="U25" s="201" t="s">
        <v>1266</v>
      </c>
      <c r="V25" s="485"/>
      <c r="X25" s="493" t="str">
        <f t="shared" si="55"/>
        <v>F383</v>
      </c>
      <c r="Y25" s="433" t="str">
        <f t="shared" si="56"/>
        <v>FAIRLIE TOWNSHIP</v>
      </c>
      <c r="Z25" s="434">
        <v>190</v>
      </c>
      <c r="AA25" s="442" t="str">
        <f t="shared" si="57"/>
        <v>q</v>
      </c>
      <c r="AB25" s="451">
        <f t="shared" si="46"/>
        <v>0</v>
      </c>
      <c r="AC25" s="451">
        <f t="shared" si="47"/>
        <v>0</v>
      </c>
      <c r="AD25" s="451">
        <f t="shared" si="48"/>
        <v>19.235000000000014</v>
      </c>
      <c r="AE25" s="451">
        <f t="shared" si="49"/>
        <v>0.36981090144754825</v>
      </c>
      <c r="AF25" s="434">
        <v>192</v>
      </c>
      <c r="AG25" s="437" t="str">
        <f t="shared" si="58"/>
        <v>u</v>
      </c>
      <c r="AH25" s="451">
        <f t="shared" si="51"/>
        <v>0</v>
      </c>
      <c r="AI25" s="451">
        <f t="shared" si="52"/>
        <v>0</v>
      </c>
      <c r="AJ25" s="451">
        <f t="shared" si="53"/>
        <v>0</v>
      </c>
      <c r="AK25" s="451">
        <f t="shared" si="54"/>
        <v>0</v>
      </c>
      <c r="AL25" s="471" t="s">
        <v>2860</v>
      </c>
      <c r="AN25" s="475" t="s">
        <v>2966</v>
      </c>
      <c r="AO25" s="9">
        <f t="shared" si="3"/>
        <v>41.060198191113784</v>
      </c>
      <c r="AP25" s="9">
        <f t="shared" si="3"/>
        <v>290.75754999999992</v>
      </c>
      <c r="AQ25" s="9">
        <f t="shared" si="19"/>
        <v>-249.69735180888614</v>
      </c>
      <c r="AR25" s="9">
        <f t="shared" si="4"/>
        <v>2.3891498309481727</v>
      </c>
      <c r="AS25" s="9">
        <f t="shared" si="4"/>
        <v>16.918168494855031</v>
      </c>
      <c r="AT25" s="9">
        <f t="shared" si="20"/>
        <v>-14.529018663906859</v>
      </c>
      <c r="AU25" s="9">
        <f t="shared" si="5"/>
        <v>780</v>
      </c>
      <c r="AV25" s="9">
        <f t="shared" si="5"/>
        <v>120</v>
      </c>
      <c r="AW25" s="9">
        <f t="shared" si="21"/>
        <v>660</v>
      </c>
      <c r="AX25" s="9">
        <f t="shared" si="6"/>
        <v>45.38548156698571</v>
      </c>
      <c r="AY25" s="9">
        <f t="shared" si="6"/>
        <v>6.9823817795362642</v>
      </c>
      <c r="AZ25" s="9">
        <f t="shared" si="22"/>
        <v>38.403099787449449</v>
      </c>
    </row>
    <row r="26" spans="2:52" hidden="1" x14ac:dyDescent="0.25">
      <c r="R26" s="388"/>
      <c r="X26" s="427" t="s">
        <v>158</v>
      </c>
      <c r="AB26" s="449">
        <f>SUM(AB20:AB25)</f>
        <v>107.62660722014468</v>
      </c>
      <c r="AC26" s="449">
        <f t="shared" ref="AC26:AE26" si="59">SUM(AC20:AC25)</f>
        <v>3.8520141437292503</v>
      </c>
      <c r="AD26" s="449">
        <f t="shared" si="59"/>
        <v>254.15331763361047</v>
      </c>
      <c r="AE26" s="449">
        <f t="shared" si="59"/>
        <v>10.196779243435786</v>
      </c>
      <c r="AH26" s="449">
        <f>SUM(AH20:AH25)</f>
        <v>20</v>
      </c>
      <c r="AI26" s="449">
        <f t="shared" ref="AI26:AK26" si="60">SUM(AI20:AI25)</f>
        <v>0.38451874338190589</v>
      </c>
      <c r="AJ26" s="449">
        <f t="shared" si="60"/>
        <v>0</v>
      </c>
      <c r="AK26" s="449">
        <f t="shared" si="60"/>
        <v>0</v>
      </c>
      <c r="AN26" s="475" t="s">
        <v>1138</v>
      </c>
      <c r="AO26" s="9">
        <f t="shared" si="3"/>
        <v>823.97407680000015</v>
      </c>
      <c r="AP26" s="9">
        <f t="shared" si="3"/>
        <v>494.27340392854444</v>
      </c>
      <c r="AQ26" s="9">
        <f t="shared" si="19"/>
        <v>329.70067287145571</v>
      </c>
      <c r="AR26" s="9">
        <f t="shared" si="4"/>
        <v>15.698814616509864</v>
      </c>
      <c r="AS26" s="9">
        <f t="shared" si="4"/>
        <v>9.4171731327767851</v>
      </c>
      <c r="AT26" s="9">
        <f t="shared" si="20"/>
        <v>6.281641483733079</v>
      </c>
      <c r="AU26" s="9">
        <f t="shared" si="5"/>
        <v>492</v>
      </c>
      <c r="AV26" s="9">
        <f t="shared" si="5"/>
        <v>0</v>
      </c>
      <c r="AW26" s="9">
        <f t="shared" si="21"/>
        <v>492</v>
      </c>
      <c r="AX26" s="9">
        <f t="shared" si="6"/>
        <v>9.3738589705627611</v>
      </c>
      <c r="AY26" s="9">
        <f t="shared" si="6"/>
        <v>0</v>
      </c>
      <c r="AZ26" s="9">
        <f t="shared" si="22"/>
        <v>9.3738589705627611</v>
      </c>
    </row>
    <row r="27" spans="2:52" ht="27" hidden="1" thickBot="1" x14ac:dyDescent="0.3">
      <c r="B27" s="584" t="s">
        <v>2475</v>
      </c>
      <c r="C27" s="582"/>
      <c r="D27" s="582"/>
      <c r="E27" s="582"/>
      <c r="F27" s="582"/>
      <c r="G27" s="582"/>
      <c r="H27" s="582"/>
      <c r="I27" s="582"/>
      <c r="J27" s="582"/>
      <c r="K27" s="582"/>
      <c r="L27" s="582"/>
      <c r="M27" s="583"/>
      <c r="O27" s="551" t="s">
        <v>2391</v>
      </c>
      <c r="P27" s="552"/>
      <c r="Q27" s="552"/>
      <c r="R27" s="552"/>
      <c r="S27" s="552"/>
      <c r="T27" s="552"/>
      <c r="U27" s="552"/>
      <c r="V27" s="553"/>
      <c r="X27" s="586" t="str">
        <f>B27&amp;"-OLD"</f>
        <v>BELLS POND SUBSTATION (A1067-T1)-OLD</v>
      </c>
      <c r="Y27" s="587"/>
      <c r="Z27" s="587"/>
      <c r="AA27" s="587"/>
      <c r="AB27" s="587"/>
      <c r="AC27" s="587"/>
      <c r="AD27" s="587"/>
      <c r="AE27" s="587"/>
      <c r="AF27" s="587"/>
      <c r="AG27" s="587"/>
      <c r="AH27" s="587"/>
      <c r="AI27" s="587"/>
      <c r="AJ27" s="587"/>
      <c r="AK27" s="587"/>
      <c r="AL27" s="588"/>
      <c r="AM27" s="481"/>
      <c r="AN27" s="475" t="s">
        <v>85</v>
      </c>
      <c r="AO27" s="9">
        <f t="shared" si="3"/>
        <v>370.23745009071985</v>
      </c>
      <c r="AP27" s="9">
        <f t="shared" si="3"/>
        <v>119.37339277985524</v>
      </c>
      <c r="AQ27" s="9">
        <f t="shared" si="19"/>
        <v>250.86405731086461</v>
      </c>
      <c r="AR27" s="9">
        <f t="shared" si="4"/>
        <v>8.9185361777152625</v>
      </c>
      <c r="AS27" s="9">
        <f t="shared" si="4"/>
        <v>2.2857404380075979</v>
      </c>
      <c r="AT27" s="9">
        <f t="shared" si="20"/>
        <v>6.6327957397076647</v>
      </c>
      <c r="AU27" s="9">
        <f t="shared" si="5"/>
        <v>0</v>
      </c>
      <c r="AV27" s="9">
        <f t="shared" si="5"/>
        <v>2</v>
      </c>
      <c r="AW27" s="9">
        <f t="shared" si="21"/>
        <v>-2</v>
      </c>
      <c r="AX27" s="9">
        <f t="shared" si="6"/>
        <v>0</v>
      </c>
      <c r="AY27" s="9">
        <f t="shared" si="6"/>
        <v>3.8295643355347873E-2</v>
      </c>
      <c r="AZ27" s="9">
        <f t="shared" si="22"/>
        <v>-3.8295643355347873E-2</v>
      </c>
    </row>
    <row r="28" spans="2:52" ht="15.75" hidden="1" thickBot="1" x14ac:dyDescent="0.3">
      <c r="B28" s="571" t="str">
        <f t="shared" ref="B28:L28" si="61">B6</f>
        <v>CB ID</v>
      </c>
      <c r="C28" s="545" t="str">
        <f t="shared" si="61"/>
        <v>DESIGNATION</v>
      </c>
      <c r="D28" s="382" t="str">
        <f t="shared" si="61"/>
        <v>Rated</v>
      </c>
      <c r="E28" s="572" t="str">
        <f t="shared" si="61"/>
        <v>LOAD
CAPABILITY</v>
      </c>
      <c r="F28" s="572" t="str">
        <f t="shared" si="61"/>
        <v>OC
PICKUP</v>
      </c>
      <c r="G28" s="559" t="str">
        <f t="shared" ref="G28:J30" si="62">G6</f>
        <v>SCADA ALARM</v>
      </c>
      <c r="H28" s="560"/>
      <c r="I28" s="560"/>
      <c r="J28" s="561"/>
      <c r="K28" s="574" t="str">
        <f t="shared" si="61"/>
        <v>LIMITING EQUIPMENT</v>
      </c>
      <c r="L28" s="575" t="str">
        <f t="shared" si="61"/>
        <v>RECLOSING</v>
      </c>
      <c r="M28" s="576"/>
      <c r="O28" s="554" t="str">
        <f t="shared" ref="O28:V28" si="63">O6</f>
        <v>OC Pick up
Reference ID</v>
      </c>
      <c r="P28" s="557" t="str">
        <f t="shared" si="63"/>
        <v>Supply Level</v>
      </c>
      <c r="Q28" s="566" t="str">
        <f t="shared" si="63"/>
        <v>Station/Feeder</v>
      </c>
      <c r="R28" s="567" t="str">
        <f t="shared" ref="R28" si="64">$R$6</f>
        <v>Refered
to PTX</v>
      </c>
      <c r="S28" s="569" t="str">
        <f t="shared" si="63"/>
        <v>Voltage</v>
      </c>
      <c r="T28" s="539" t="str">
        <f t="shared" si="63"/>
        <v>Include
CB</v>
      </c>
      <c r="U28" s="539" t="str">
        <f t="shared" si="63"/>
        <v>Include
PTX</v>
      </c>
      <c r="V28" s="542" t="str">
        <f t="shared" si="63"/>
        <v>Notes</v>
      </c>
      <c r="X28" s="585" t="s">
        <v>1260</v>
      </c>
      <c r="Y28" s="545" t="s">
        <v>1261</v>
      </c>
      <c r="Z28" s="559" t="s">
        <v>2749</v>
      </c>
      <c r="AA28" s="560"/>
      <c r="AB28" s="560"/>
      <c r="AC28" s="560"/>
      <c r="AD28" s="560"/>
      <c r="AE28" s="561"/>
      <c r="AF28" s="559" t="s">
        <v>1268</v>
      </c>
      <c r="AG28" s="560"/>
      <c r="AH28" s="560"/>
      <c r="AI28" s="560"/>
      <c r="AJ28" s="560"/>
      <c r="AK28" s="561"/>
      <c r="AL28" s="546" t="s">
        <v>2857</v>
      </c>
      <c r="AM28" s="466"/>
      <c r="AN28" s="475" t="s">
        <v>1193</v>
      </c>
      <c r="AO28" s="9">
        <f t="shared" si="3"/>
        <v>110.57556931031746</v>
      </c>
      <c r="AP28" s="9">
        <f t="shared" si="3"/>
        <v>652.23640013260706</v>
      </c>
      <c r="AQ28" s="9">
        <f t="shared" si="19"/>
        <v>-541.66083082228965</v>
      </c>
      <c r="AR28" s="9">
        <f t="shared" si="4"/>
        <v>2.1488824962412525</v>
      </c>
      <c r="AS28" s="9">
        <f t="shared" si="4"/>
        <v>18.290916630733086</v>
      </c>
      <c r="AT28" s="9">
        <f t="shared" si="20"/>
        <v>-16.142034134491833</v>
      </c>
      <c r="AU28" s="9">
        <f t="shared" si="5"/>
        <v>0</v>
      </c>
      <c r="AV28" s="9">
        <f t="shared" si="5"/>
        <v>0</v>
      </c>
      <c r="AW28" s="9">
        <f t="shared" si="21"/>
        <v>0</v>
      </c>
      <c r="AX28" s="9">
        <f t="shared" si="6"/>
        <v>0</v>
      </c>
      <c r="AY28" s="9">
        <f t="shared" si="6"/>
        <v>0</v>
      </c>
      <c r="AZ28" s="9">
        <f t="shared" si="22"/>
        <v>0</v>
      </c>
    </row>
    <row r="29" spans="2:52" ht="15.75" hidden="1" thickBot="1" x14ac:dyDescent="0.3">
      <c r="B29" s="557"/>
      <c r="C29" s="540"/>
      <c r="D29" s="362" t="str">
        <f t="shared" ref="D29:M29" si="65">D7</f>
        <v>Voltage</v>
      </c>
      <c r="E29" s="573"/>
      <c r="F29" s="573"/>
      <c r="G29" s="544" t="str">
        <f t="shared" si="62"/>
        <v>Pre-Emergency</v>
      </c>
      <c r="H29" s="544"/>
      <c r="I29" s="544" t="str">
        <f t="shared" si="62"/>
        <v>Emergency</v>
      </c>
      <c r="J29" s="544"/>
      <c r="K29" s="540"/>
      <c r="L29" s="545" t="str">
        <f t="shared" si="65"/>
        <v>AVAILABLE</v>
      </c>
      <c r="M29" s="546" t="str">
        <f t="shared" si="65"/>
        <v>UTILISED</v>
      </c>
      <c r="O29" s="555"/>
      <c r="P29" s="557"/>
      <c r="Q29" s="557"/>
      <c r="R29" s="567"/>
      <c r="S29" s="569"/>
      <c r="T29" s="540"/>
      <c r="U29" s="540"/>
      <c r="V29" s="542"/>
      <c r="X29" s="555"/>
      <c r="Y29" s="540"/>
      <c r="Z29" s="589"/>
      <c r="AA29" s="590"/>
      <c r="AB29" s="590"/>
      <c r="AC29" s="590"/>
      <c r="AD29" s="590"/>
      <c r="AE29" s="591"/>
      <c r="AF29" s="589"/>
      <c r="AG29" s="590"/>
      <c r="AH29" s="590"/>
      <c r="AI29" s="590"/>
      <c r="AJ29" s="590"/>
      <c r="AK29" s="591"/>
      <c r="AL29" s="577"/>
      <c r="AM29" s="466"/>
      <c r="AN29" s="475" t="s">
        <v>2573</v>
      </c>
      <c r="AO29" s="9">
        <f t="shared" si="3"/>
        <v>0</v>
      </c>
      <c r="AP29" s="9">
        <f t="shared" si="3"/>
        <v>0</v>
      </c>
      <c r="AQ29" s="9">
        <f t="shared" si="19"/>
        <v>0</v>
      </c>
      <c r="AR29" s="9">
        <f t="shared" si="4"/>
        <v>0</v>
      </c>
      <c r="AS29" s="9">
        <f t="shared" si="4"/>
        <v>0</v>
      </c>
      <c r="AT29" s="9">
        <f t="shared" si="20"/>
        <v>0</v>
      </c>
      <c r="AU29" s="9">
        <f t="shared" si="5"/>
        <v>0</v>
      </c>
      <c r="AV29" s="9">
        <f t="shared" si="5"/>
        <v>0</v>
      </c>
      <c r="AW29" s="9">
        <f t="shared" si="21"/>
        <v>0</v>
      </c>
      <c r="AX29" s="9">
        <f t="shared" si="6"/>
        <v>0</v>
      </c>
      <c r="AY29" s="9">
        <f t="shared" si="6"/>
        <v>0</v>
      </c>
      <c r="AZ29" s="9">
        <f t="shared" si="22"/>
        <v>0</v>
      </c>
    </row>
    <row r="30" spans="2:52" ht="15.75" hidden="1" thickBot="1" x14ac:dyDescent="0.3">
      <c r="B30" s="558"/>
      <c r="C30" s="541"/>
      <c r="D30" s="345" t="str">
        <f t="shared" ref="D30:F30" si="66">D8</f>
        <v>(kV)</v>
      </c>
      <c r="E30" s="345" t="str">
        <f t="shared" si="66"/>
        <v>(A)</v>
      </c>
      <c r="F30" s="345" t="str">
        <f t="shared" si="66"/>
        <v>(A)</v>
      </c>
      <c r="G30" s="406" t="str">
        <f t="shared" si="62"/>
        <v>(A)</v>
      </c>
      <c r="H30" s="407" t="str">
        <f t="shared" si="62"/>
        <v>(MVA)</v>
      </c>
      <c r="I30" s="406" t="str">
        <f t="shared" si="62"/>
        <v>(A)</v>
      </c>
      <c r="J30" s="407" t="str">
        <f t="shared" si="62"/>
        <v>(MVA)</v>
      </c>
      <c r="K30" s="541"/>
      <c r="L30" s="541"/>
      <c r="M30" s="547"/>
      <c r="O30" s="556"/>
      <c r="P30" s="558"/>
      <c r="Q30" s="558"/>
      <c r="R30" s="568"/>
      <c r="S30" s="570"/>
      <c r="T30" s="541"/>
      <c r="U30" s="541"/>
      <c r="V30" s="543"/>
      <c r="X30" s="556"/>
      <c r="Y30" s="541"/>
      <c r="Z30" s="428" t="s">
        <v>26</v>
      </c>
      <c r="AA30" s="439" t="s">
        <v>2861</v>
      </c>
      <c r="AB30" s="450" t="s">
        <v>2959</v>
      </c>
      <c r="AC30" s="450" t="s">
        <v>2960</v>
      </c>
      <c r="AD30" s="450" t="s">
        <v>2957</v>
      </c>
      <c r="AE30" s="450" t="s">
        <v>2958</v>
      </c>
      <c r="AF30" s="428" t="s">
        <v>26</v>
      </c>
      <c r="AG30" s="439" t="s">
        <v>2861</v>
      </c>
      <c r="AH30" s="450" t="s">
        <v>2959</v>
      </c>
      <c r="AI30" s="450" t="s">
        <v>2960</v>
      </c>
      <c r="AJ30" s="450" t="s">
        <v>2957</v>
      </c>
      <c r="AK30" s="450" t="s">
        <v>2958</v>
      </c>
      <c r="AL30" s="547"/>
      <c r="AM30" s="466"/>
      <c r="AN30" s="475" t="s">
        <v>2205</v>
      </c>
      <c r="AO30" s="9">
        <f t="shared" si="3"/>
        <v>0</v>
      </c>
      <c r="AP30" s="9">
        <f t="shared" si="3"/>
        <v>1663.5902140000001</v>
      </c>
      <c r="AQ30" s="9">
        <f t="shared" si="19"/>
        <v>-1663.5902140000001</v>
      </c>
      <c r="AR30" s="9">
        <f t="shared" si="4"/>
        <v>0</v>
      </c>
      <c r="AS30" s="9">
        <f t="shared" si="4"/>
        <v>31.695650509846192</v>
      </c>
      <c r="AT30" s="9">
        <f t="shared" si="20"/>
        <v>-31.695650509846192</v>
      </c>
      <c r="AU30" s="9">
        <f t="shared" si="5"/>
        <v>0</v>
      </c>
      <c r="AV30" s="9">
        <f t="shared" si="5"/>
        <v>0</v>
      </c>
      <c r="AW30" s="9">
        <f t="shared" si="21"/>
        <v>0</v>
      </c>
      <c r="AX30" s="9">
        <f t="shared" si="6"/>
        <v>0</v>
      </c>
      <c r="AY30" s="9">
        <f t="shared" si="6"/>
        <v>0</v>
      </c>
      <c r="AZ30" s="9">
        <f t="shared" si="22"/>
        <v>0</v>
      </c>
    </row>
    <row r="31" spans="2:52" hidden="1" x14ac:dyDescent="0.25">
      <c r="B31" s="38" t="s">
        <v>705</v>
      </c>
      <c r="C31" s="3" t="s">
        <v>2477</v>
      </c>
      <c r="D31" s="61">
        <f t="shared" ref="D31:D36" si="67">ROUNDDOWN(S31,0)</f>
        <v>110</v>
      </c>
      <c r="E31" s="365">
        <f t="array" ref="E31">IF(U31="YES",IF(T31="YES",MIN(IF(BPD[Load Capability Reference]=CONCATENATE(P31,Q31,S31,R31),BPD[Lowest A-PTX])),MIN(IF(BPD[Load Capability Reference]=CONCATENATE(P31,Q31,S31,R31),IF(BPD[Equipment ID]&lt;&gt;O31,BPD[Lowest A-PTX])))),IF(T31="YES",MIN(IF(BPD[Load Capability Reference]=CONCATENATE(P31,Q31,S31,R31),BPD[Lowest A-No PTX])),MIN(IF(BPD[Load Capability Reference]=CONCATENATE(P31,Q31,S31,R31),IF(BPD[Equipment ID]&lt;&gt;O31,BPD[Lowest A-No PTX])))))</f>
        <v>209.9455524325912</v>
      </c>
      <c r="F31" s="61">
        <f>IFERROR(IFERROR(VLOOKUP(CONCATENATE(P31,Q31,O31,S31,"Protection"),BPD[[OC Protection Reference]:[Forward A]],23,0),VLOOKUP(O31,AEL_Protection_Data[],12,0)),"N/A")</f>
        <v>292</v>
      </c>
      <c r="G31" s="61">
        <f t="shared" ref="G31:G36" si="68">IFERROR(FLOOR(MIN(E31:F31)*$D$3,5),"")</f>
        <v>165</v>
      </c>
      <c r="H31" s="5">
        <f t="shared" ref="H31:H36" si="69">G31*S31*SQRT(3)/1000</f>
        <v>31.436722157375119</v>
      </c>
      <c r="I31" s="61">
        <f t="shared" ref="I31:I36" si="70">IFERROR(FLOOR(MIN(E31:F31)*$D$2,5),"")</f>
        <v>185</v>
      </c>
      <c r="J31" s="5">
        <f t="shared" ref="J31:J36" si="71">I31*S31*SQRT(3)/1000</f>
        <v>35.247233934026646</v>
      </c>
      <c r="K31" s="3" t="str">
        <f>IF(U31="Yes",UPPER(IF(ISNUMBER(SEARCH("winding",VLOOKUP(CONCATENATE(P31,Q31,S31,E31),BPD[[Limiting Equipment Reference-PTX]:[Summ Equipment]],7,0))),"Power Transformer Rating at "&amp;ROUND(E31*S31*SQRT(3)/1000,2)&amp;" MVA",VLOOKUP(CONCATENATE(P31,Q31,S31,E31),BPD[[Limiting Equipment Reference-No PTX]:[Summ Equipment]],8,0))),UPPER(VLOOKUP(CONCATENATE(P31,Q31,S31,E31),BPD[[Limiting Equipment Reference-No PTX]:[Summ Equipment]],8,0)))</f>
        <v>POWER TRANSFORMER RATING AT 40 MVA</v>
      </c>
      <c r="L31" s="4" t="s">
        <v>1266</v>
      </c>
      <c r="M31" s="508" t="s">
        <v>1162</v>
      </c>
      <c r="O31" s="10" t="str">
        <f>"BPD-T1-"&amp;B31</f>
        <v>BPD-T1-CB442</v>
      </c>
      <c r="P31" s="38" t="s">
        <v>1246</v>
      </c>
      <c r="Q31" s="38" t="s">
        <v>80</v>
      </c>
      <c r="R31" s="389" t="s">
        <v>378</v>
      </c>
      <c r="S31" s="139">
        <v>110</v>
      </c>
      <c r="T31" s="4" t="s">
        <v>1267</v>
      </c>
      <c r="U31" s="4" t="s">
        <v>1267</v>
      </c>
      <c r="V31" s="486"/>
      <c r="X31" s="491" t="s">
        <v>705</v>
      </c>
      <c r="Y31" s="429" t="s">
        <v>2863</v>
      </c>
      <c r="Z31" s="430">
        <v>310</v>
      </c>
      <c r="AA31" s="440" t="str">
        <f t="shared" ref="AA31:AA36" si="72">IF(Z31&gt;E31,"q",IF(Z31&lt;E31,"p","u"))</f>
        <v>q</v>
      </c>
      <c r="AB31" s="453">
        <f t="shared" ref="AB31:AB36" si="73">IF(Z31="",0,IF(Z31-E31&lt;0,ABS(Z31-E31),0))</f>
        <v>0</v>
      </c>
      <c r="AC31" s="453">
        <f t="shared" ref="AC31:AC36" si="74">AB31*$S31*SQRT(3)/1000</f>
        <v>0</v>
      </c>
      <c r="AD31" s="453">
        <f t="shared" ref="AD31:AD36" si="75">IF(Z31="",0,IF(Z31-E31&gt;0,ABS(Z31-E31),0))</f>
        <v>100.0544475674088</v>
      </c>
      <c r="AE31" s="453">
        <f t="shared" ref="AE31:AE36" si="76">AD31*$S31*SQRT(3)/1000</f>
        <v>19.06293253809871</v>
      </c>
      <c r="AF31" s="430">
        <v>292</v>
      </c>
      <c r="AG31" s="435" t="str">
        <f t="shared" ref="AG31:AG36" si="77">IF(AF31&gt;F31,"q",IF(AF31&lt;F31,"p","u"))</f>
        <v>u</v>
      </c>
      <c r="AH31" s="453">
        <f t="shared" ref="AH31:AH36" si="78">IF(AF31="",0,IF(AF31-F31&lt;0,ABS(AF31-F31),0))</f>
        <v>0</v>
      </c>
      <c r="AI31" s="453">
        <f t="shared" ref="AI31:AI36" si="79">AH31*$S31*SQRT(3)/1000</f>
        <v>0</v>
      </c>
      <c r="AJ31" s="453">
        <f t="shared" ref="AJ31:AJ36" si="80">IF(AF31="",0,IF(AF31-F31&gt;0,ABS(AF31-F31),0))</f>
        <v>0</v>
      </c>
      <c r="AK31" s="453">
        <f t="shared" ref="AK31:AK36" si="81">AJ31*$S31*SQRT(3)/1000</f>
        <v>0</v>
      </c>
      <c r="AL31" s="469" t="s">
        <v>1266</v>
      </c>
      <c r="AN31" s="475" t="s">
        <v>2206</v>
      </c>
      <c r="AO31" s="9">
        <f t="shared" si="3"/>
        <v>131.54377799999997</v>
      </c>
      <c r="AP31" s="9">
        <f t="shared" si="3"/>
        <v>534.50061659260984</v>
      </c>
      <c r="AQ31" s="9">
        <f t="shared" si="19"/>
        <v>-402.95683859260987</v>
      </c>
      <c r="AR31" s="9">
        <f t="shared" si="4"/>
        <v>2.5062455760711715</v>
      </c>
      <c r="AS31" s="9">
        <f t="shared" si="4"/>
        <v>11.185898654387866</v>
      </c>
      <c r="AT31" s="9">
        <f t="shared" si="20"/>
        <v>-8.6796530783166954</v>
      </c>
      <c r="AU31" s="9">
        <f t="shared" si="5"/>
        <v>1920</v>
      </c>
      <c r="AV31" s="9">
        <f t="shared" si="5"/>
        <v>40</v>
      </c>
      <c r="AW31" s="9">
        <f t="shared" si="21"/>
        <v>1880</v>
      </c>
      <c r="AX31" s="9">
        <f t="shared" si="6"/>
        <v>36.580913055854687</v>
      </c>
      <c r="AY31" s="9">
        <f t="shared" si="6"/>
        <v>0.7621023553303059</v>
      </c>
      <c r="AZ31" s="9">
        <f t="shared" si="22"/>
        <v>35.818810700524381</v>
      </c>
    </row>
    <row r="32" spans="2:52" ht="15.75" hidden="1" thickBot="1" x14ac:dyDescent="0.3">
      <c r="B32" s="49" t="s">
        <v>736</v>
      </c>
      <c r="C32" s="168" t="s">
        <v>2491</v>
      </c>
      <c r="D32" s="119">
        <f t="shared" si="67"/>
        <v>33</v>
      </c>
      <c r="E32" s="366">
        <f t="array" ref="E32">IF(U32="YES",IF(T32="YES",MIN(IF(BPD[Load Capability Reference]=CONCATENATE(P32,Q32,S32,R32),BPD[Lowest A-PTX])),MIN(IF(BPD[Load Capability Reference]=CONCATENATE(P32,Q32,S32,R32),IF(BPD[Equipment ID]&lt;&gt;O32,BPD[Lowest A-PTX])))),IF(T32="YES",MIN(IF(BPD[Load Capability Reference]=CONCATENATE(P32,Q32,S32,R32),BPD[Lowest A-No PTX])),MIN(IF(BPD[Load Capability Reference]=CONCATENATE(P32,Q32,S32,R32),IF(BPD[Equipment ID]&lt;&gt;O32,BPD[Lowest A-No PTX])))))</f>
        <v>800</v>
      </c>
      <c r="F32" s="119">
        <f>IFERROR(IFERROR(VLOOKUP(CONCATENATE(P32,Q32,O32,S32,"Protection"),BPD[[OC Protection Reference]:[Forward A]],23,0),VLOOKUP(O32,AEL_Protection_Data[],12,0)),"N/A")</f>
        <v>492</v>
      </c>
      <c r="G32" s="119">
        <f t="shared" si="68"/>
        <v>390</v>
      </c>
      <c r="H32" s="29">
        <f t="shared" si="69"/>
        <v>22.291493893411452</v>
      </c>
      <c r="I32" s="119">
        <f t="shared" si="70"/>
        <v>440</v>
      </c>
      <c r="J32" s="29">
        <f t="shared" si="71"/>
        <v>25.149377725900095</v>
      </c>
      <c r="K32" s="168" t="str">
        <f>IF(U32="Yes",UPPER(IF(ISNUMBER(SEARCH("winding",VLOOKUP(CONCATENATE(P32,Q32,S32,E32),BPD[[Limiting Equipment Reference-PTX]:[Summ Equipment]],7,0))),"Power Transformer Rating at "&amp;ROUND(E32*S32*SQRT(3)/1000,2)&amp;" MVA",VLOOKUP(CONCATENATE(P32,Q32,S32,E32),BPD[[Limiting Equipment Reference-No PTX]:[Summ Equipment]],8,0))),UPPER(VLOOKUP(CONCATENATE(P32,Q32,S32,E32),BPD[[Limiting Equipment Reference-No PTX]:[Summ Equipment]],8,0)))</f>
        <v>AIR BREAK SWITCH-3604 ABS</v>
      </c>
      <c r="L32" s="146" t="s">
        <v>1266</v>
      </c>
      <c r="M32" s="509" t="s">
        <v>1162</v>
      </c>
      <c r="O32" s="118" t="str">
        <f t="shared" ref="O32:O36" si="82">"BPD-T1-"&amp;B32</f>
        <v>BPD-T1-CB3602</v>
      </c>
      <c r="P32" s="7" t="s">
        <v>1245</v>
      </c>
      <c r="Q32" s="49" t="s">
        <v>733</v>
      </c>
      <c r="R32" s="390" t="s">
        <v>378</v>
      </c>
      <c r="S32" s="32">
        <v>33</v>
      </c>
      <c r="T32" s="146" t="s">
        <v>1266</v>
      </c>
      <c r="U32" s="146" t="s">
        <v>1267</v>
      </c>
      <c r="V32" s="487"/>
      <c r="X32" s="492" t="s">
        <v>736</v>
      </c>
      <c r="Y32" s="431" t="s">
        <v>2864</v>
      </c>
      <c r="Z32" s="432">
        <v>345</v>
      </c>
      <c r="AA32" s="441" t="str">
        <f t="shared" si="72"/>
        <v>p</v>
      </c>
      <c r="AB32" s="134">
        <f t="shared" si="73"/>
        <v>455</v>
      </c>
      <c r="AC32" s="134">
        <f t="shared" si="74"/>
        <v>26.00674287564669</v>
      </c>
      <c r="AD32" s="134">
        <f t="shared" si="75"/>
        <v>0</v>
      </c>
      <c r="AE32" s="134">
        <f t="shared" si="76"/>
        <v>0</v>
      </c>
      <c r="AF32" s="432">
        <v>492</v>
      </c>
      <c r="AG32" s="436" t="str">
        <f t="shared" si="77"/>
        <v>u</v>
      </c>
      <c r="AH32" s="134">
        <f t="shared" si="78"/>
        <v>0</v>
      </c>
      <c r="AI32" s="134">
        <f t="shared" si="79"/>
        <v>0</v>
      </c>
      <c r="AJ32" s="134">
        <f t="shared" si="80"/>
        <v>0</v>
      </c>
      <c r="AK32" s="134">
        <f t="shared" si="81"/>
        <v>0</v>
      </c>
      <c r="AL32" s="470" t="s">
        <v>1266</v>
      </c>
      <c r="AN32" s="476" t="s">
        <v>70</v>
      </c>
      <c r="AO32" s="155">
        <f t="shared" si="3"/>
        <v>438.63992567592373</v>
      </c>
      <c r="AP32" s="155">
        <f t="shared" si="3"/>
        <v>426.61250000000001</v>
      </c>
      <c r="AQ32" s="155">
        <f t="shared" si="19"/>
        <v>12.027425675923723</v>
      </c>
      <c r="AR32" s="155">
        <f t="shared" si="4"/>
        <v>15.482870034826654</v>
      </c>
      <c r="AS32" s="155">
        <f t="shared" si="4"/>
        <v>8.1280597765837541</v>
      </c>
      <c r="AT32" s="155">
        <f t="shared" si="20"/>
        <v>7.3548102582428996</v>
      </c>
      <c r="AU32" s="155">
        <f t="shared" si="5"/>
        <v>6</v>
      </c>
      <c r="AV32" s="155">
        <f t="shared" si="5"/>
        <v>100</v>
      </c>
      <c r="AW32" s="155">
        <f t="shared" si="21"/>
        <v>-94</v>
      </c>
      <c r="AX32" s="155">
        <f t="shared" si="6"/>
        <v>0.1143153532995459</v>
      </c>
      <c r="AY32" s="155">
        <f t="shared" si="6"/>
        <v>5.715767664977295</v>
      </c>
      <c r="AZ32" s="155">
        <f t="shared" si="22"/>
        <v>-5.6014523116777495</v>
      </c>
    </row>
    <row r="33" spans="2:52" hidden="1" x14ac:dyDescent="0.25">
      <c r="B33" s="7" t="s">
        <v>587</v>
      </c>
      <c r="C33" s="6" t="s">
        <v>2463</v>
      </c>
      <c r="D33" s="57">
        <f t="shared" si="67"/>
        <v>11</v>
      </c>
      <c r="E33" s="323">
        <f t="array" ref="E33">IF(U33="YES",IF(T33="YES",MIN(IF(BPD[Load Capability Reference]=CONCATENATE(P33,Q33,S33,R33),BPD[Lowest A-PTX])),MIN(IF(BPD[Load Capability Reference]=CONCATENATE(P33,Q33,S33,R33),IF(BPD[Equipment ID]&lt;&gt;O33,BPD[Lowest A-PTX])))),IF(T33="YES",MIN(IF(BPD[Load Capability Reference]=CONCATENATE(P33,Q33,S33,R33),BPD[Lowest A-No PTX])),MIN(IF(BPD[Load Capability Reference]=CONCATENATE(P33,Q33,S33,R33),IF(BPD[Equipment ID]&lt;&gt;O33,BPD[Lowest A-No PTX])))))</f>
        <v>1543.7172972984647</v>
      </c>
      <c r="F33" s="57">
        <f>IFERROR(IFERROR(VLOOKUP(CONCATENATE(P33,Q33,O33,S33,"Protection"),BPD[[OC Protection Reference]:[Forward A]],23,0),VLOOKUP(O33,AEL_Protection_Data[],12,0)),"N/A")</f>
        <v>2208</v>
      </c>
      <c r="G33" s="57">
        <f t="shared" si="68"/>
        <v>1230</v>
      </c>
      <c r="H33" s="9">
        <f t="shared" si="69"/>
        <v>23.903340374935048</v>
      </c>
      <c r="I33" s="57">
        <f t="shared" si="70"/>
        <v>1385</v>
      </c>
      <c r="J33" s="9">
        <f t="shared" si="71"/>
        <v>26.915549934378085</v>
      </c>
      <c r="K33" s="6" t="str">
        <f>IF(U33="Yes",UPPER(IF(ISNUMBER(SEARCH("winding",VLOOKUP(CONCATENATE(P33,Q33,S33,E33),BPD[[Limiting Equipment Reference-PTX]:[Summ Equipment]],7,0))),"Power Transformer Rating at "&amp;ROUND(E33*S33*SQRT(3)/1000,2)&amp;" MVA",VLOOKUP(CONCATENATE(P33,Q33,S33,E33),BPD[[Limiting Equipment Reference-No PTX]:[Summ Equipment]],8,0))),UPPER(VLOOKUP(CONCATENATE(P33,Q33,S33,E33),BPD[[Limiting Equipment Reference-No PTX]:[Summ Equipment]],8,0)))</f>
        <v>POWER TRANSFORMER RATING AT 30 MVA</v>
      </c>
      <c r="L33" s="8" t="s">
        <v>1266</v>
      </c>
      <c r="M33" s="506" t="s">
        <v>1162</v>
      </c>
      <c r="O33" s="11" t="str">
        <f t="shared" si="82"/>
        <v>BPD-T1-CB35</v>
      </c>
      <c r="P33" s="7" t="s">
        <v>1246</v>
      </c>
      <c r="Q33" s="7" t="s">
        <v>80</v>
      </c>
      <c r="R33" s="386" t="s">
        <v>378</v>
      </c>
      <c r="S33" s="43">
        <v>11.22</v>
      </c>
      <c r="T33" s="8" t="s">
        <v>1267</v>
      </c>
      <c r="U33" s="8" t="s">
        <v>1267</v>
      </c>
      <c r="V33" s="484"/>
      <c r="X33" s="492" t="s">
        <v>587</v>
      </c>
      <c r="Y33" s="431" t="s">
        <v>2633</v>
      </c>
      <c r="Z33" s="432">
        <v>2186</v>
      </c>
      <c r="AA33" s="441" t="str">
        <f t="shared" si="72"/>
        <v>q</v>
      </c>
      <c r="AB33" s="134">
        <f t="shared" si="73"/>
        <v>0</v>
      </c>
      <c r="AC33" s="134">
        <f t="shared" si="74"/>
        <v>0</v>
      </c>
      <c r="AD33" s="134">
        <f t="shared" si="75"/>
        <v>642.2827027015353</v>
      </c>
      <c r="AE33" s="134">
        <f t="shared" si="76"/>
        <v>12.481871593177246</v>
      </c>
      <c r="AF33" s="432">
        <v>2208</v>
      </c>
      <c r="AG33" s="436" t="str">
        <f t="shared" si="77"/>
        <v>u</v>
      </c>
      <c r="AH33" s="134">
        <f t="shared" si="78"/>
        <v>0</v>
      </c>
      <c r="AI33" s="134">
        <f t="shared" si="79"/>
        <v>0</v>
      </c>
      <c r="AJ33" s="134">
        <f t="shared" si="80"/>
        <v>0</v>
      </c>
      <c r="AK33" s="134">
        <f t="shared" si="81"/>
        <v>0</v>
      </c>
      <c r="AL33" s="470" t="s">
        <v>1266</v>
      </c>
      <c r="AO33" s="459">
        <v>5</v>
      </c>
      <c r="AP33" s="459">
        <v>7</v>
      </c>
      <c r="AQ33" s="459"/>
      <c r="AR33" s="459">
        <v>6</v>
      </c>
      <c r="AS33" s="459">
        <v>8</v>
      </c>
      <c r="AT33" s="459"/>
      <c r="AU33" s="459">
        <v>11</v>
      </c>
      <c r="AV33" s="459">
        <v>13</v>
      </c>
      <c r="AW33" s="459"/>
      <c r="AX33" s="459">
        <v>12</v>
      </c>
      <c r="AY33" s="459">
        <v>14</v>
      </c>
      <c r="AZ33" s="459"/>
    </row>
    <row r="34" spans="2:52" hidden="1" x14ac:dyDescent="0.25">
      <c r="B34" s="7" t="s">
        <v>2464</v>
      </c>
      <c r="C34" s="6" t="s">
        <v>2465</v>
      </c>
      <c r="D34" s="57">
        <f t="shared" si="67"/>
        <v>11</v>
      </c>
      <c r="E34" s="323">
        <v>1250</v>
      </c>
      <c r="F34" s="57">
        <v>1000</v>
      </c>
      <c r="G34" s="57">
        <f t="shared" si="68"/>
        <v>800</v>
      </c>
      <c r="H34" s="9">
        <f t="shared" si="69"/>
        <v>15.546888048738241</v>
      </c>
      <c r="I34" s="57">
        <f t="shared" si="70"/>
        <v>900</v>
      </c>
      <c r="J34" s="9">
        <f t="shared" si="71"/>
        <v>17.490249054830521</v>
      </c>
      <c r="K34" s="6" t="s">
        <v>2494</v>
      </c>
      <c r="L34" s="8" t="s">
        <v>1266</v>
      </c>
      <c r="M34" s="506" t="s">
        <v>1162</v>
      </c>
      <c r="O34" s="11" t="str">
        <f t="shared" si="82"/>
        <v>BPD-T1-CB31</v>
      </c>
      <c r="P34" s="7" t="s">
        <v>1246</v>
      </c>
      <c r="Q34" s="7" t="s">
        <v>80</v>
      </c>
      <c r="R34" s="386"/>
      <c r="S34" s="43">
        <v>11.22</v>
      </c>
      <c r="T34" s="8" t="s">
        <v>1266</v>
      </c>
      <c r="U34" s="8" t="s">
        <v>1267</v>
      </c>
      <c r="V34" s="484" t="s">
        <v>2823</v>
      </c>
      <c r="X34" s="492" t="s">
        <v>2464</v>
      </c>
      <c r="Y34" s="431" t="s">
        <v>2730</v>
      </c>
      <c r="Z34" s="432">
        <v>1250</v>
      </c>
      <c r="AA34" s="441" t="str">
        <f t="shared" si="72"/>
        <v>u</v>
      </c>
      <c r="AB34" s="134">
        <f t="shared" si="73"/>
        <v>0</v>
      </c>
      <c r="AC34" s="134">
        <f t="shared" si="74"/>
        <v>0</v>
      </c>
      <c r="AD34" s="134">
        <f t="shared" si="75"/>
        <v>0</v>
      </c>
      <c r="AE34" s="134">
        <f t="shared" si="76"/>
        <v>0</v>
      </c>
      <c r="AF34" s="432">
        <v>1000</v>
      </c>
      <c r="AG34" s="436" t="str">
        <f t="shared" si="77"/>
        <v>u</v>
      </c>
      <c r="AH34" s="134">
        <f t="shared" si="78"/>
        <v>0</v>
      </c>
      <c r="AI34" s="134">
        <f t="shared" si="79"/>
        <v>0</v>
      </c>
      <c r="AJ34" s="134">
        <f t="shared" si="80"/>
        <v>0</v>
      </c>
      <c r="AK34" s="134">
        <f t="shared" si="81"/>
        <v>0</v>
      </c>
      <c r="AL34" s="470" t="s">
        <v>1266</v>
      </c>
    </row>
    <row r="35" spans="2:52" hidden="1" x14ac:dyDescent="0.25">
      <c r="B35" s="7" t="s">
        <v>502</v>
      </c>
      <c r="C35" s="6" t="s">
        <v>2469</v>
      </c>
      <c r="D35" s="57">
        <f t="shared" si="67"/>
        <v>11</v>
      </c>
      <c r="E35" s="323">
        <f t="array" ref="E35">IF(U35="YES",IF(T35="YES",MIN(IF(BPD[Load Capability Reference]=CONCATENATE(P35,Q35,S35,R35),BPD[Lowest A-PTX])),MIN(IF(BPD[Load Capability Reference]=CONCATENATE(P35,Q35,S35,R35),IF(BPD[Equipment ID]&lt;&gt;O35,BPD[Lowest A-PTX])))),IF(T35="YES",MIN(IF(BPD[Load Capability Reference]=CONCATENATE(P35,Q35,S35,R35),BPD[Lowest A-No PTX])),MIN(IF(BPD[Load Capability Reference]=CONCATENATE(P35,Q35,S35,R35),IF(BPD[Equipment ID]&lt;&gt;O35,BPD[Lowest A-No PTX])))))</f>
        <v>386.92827157178004</v>
      </c>
      <c r="F35" s="57">
        <f>IFERROR(IFERROR(VLOOKUP(CONCATENATE(P35,Q35,O35,S35,"Protection"),BPD[[OC Protection Reference]:[Forward A]],23,0),VLOOKUP(O35,AEL_Protection_Data[],12,0)),"N/A")</f>
        <v>400</v>
      </c>
      <c r="G35" s="57">
        <f t="shared" si="68"/>
        <v>305</v>
      </c>
      <c r="H35" s="9">
        <f t="shared" si="69"/>
        <v>5.9272510685814552</v>
      </c>
      <c r="I35" s="57">
        <f t="shared" si="70"/>
        <v>345</v>
      </c>
      <c r="J35" s="9">
        <f t="shared" si="71"/>
        <v>6.7045954710183668</v>
      </c>
      <c r="K35" s="6" t="str">
        <f>IF(U35="Yes",UPPER(IF(ISNUMBER(SEARCH("winding",VLOOKUP(CONCATENATE(P35,Q35,S35,E35),BPD[[Limiting Equipment Reference-PTX]:[Summ Equipment]],7,0))),"Power Transformer Rating at "&amp;ROUND(E35*S35*SQRT(3)/1000,2)&amp;" MVA",VLOOKUP(CONCATENATE(P35,Q35,S35,E35),BPD[[Limiting Equipment Reference-No PTX]:[Summ Equipment]],8,0))),UPPER(VLOOKUP(CONCATENATE(P35,Q35,S35,E35),BPD[[Limiting Equipment Reference-No PTX]:[Summ Equipment]],8,0)))</f>
        <v>OH LINE-JAGUAR</v>
      </c>
      <c r="L35" s="8" t="s">
        <v>1267</v>
      </c>
      <c r="M35" s="506" t="s">
        <v>1267</v>
      </c>
      <c r="O35" s="11" t="str">
        <f>"BPD-T1-"&amp;B35</f>
        <v>BPD-T1-CB1</v>
      </c>
      <c r="P35" s="7" t="s">
        <v>1276</v>
      </c>
      <c r="Q35" s="7" t="s">
        <v>1355</v>
      </c>
      <c r="R35" s="386" t="s">
        <v>378</v>
      </c>
      <c r="S35" s="43">
        <v>11.22</v>
      </c>
      <c r="T35" s="8" t="s">
        <v>1266</v>
      </c>
      <c r="U35" s="8" t="s">
        <v>1266</v>
      </c>
      <c r="V35" s="484"/>
      <c r="X35" s="492" t="s">
        <v>502</v>
      </c>
      <c r="Y35" s="431" t="str">
        <f t="shared" ref="Y35:Y36" si="83">IF(X35=B35,C35,"NEW")</f>
        <v>WAIHUNA</v>
      </c>
      <c r="Z35" s="432">
        <v>350</v>
      </c>
      <c r="AA35" s="441" t="str">
        <f t="shared" si="72"/>
        <v>p</v>
      </c>
      <c r="AB35" s="134">
        <f t="shared" si="73"/>
        <v>36.928271571780044</v>
      </c>
      <c r="AC35" s="134">
        <f t="shared" si="74"/>
        <v>0.71764962994983417</v>
      </c>
      <c r="AD35" s="134">
        <f t="shared" si="75"/>
        <v>0</v>
      </c>
      <c r="AE35" s="134">
        <f t="shared" si="76"/>
        <v>0</v>
      </c>
      <c r="AF35" s="432">
        <v>400</v>
      </c>
      <c r="AG35" s="436" t="str">
        <f t="shared" si="77"/>
        <v>u</v>
      </c>
      <c r="AH35" s="134">
        <f t="shared" si="78"/>
        <v>0</v>
      </c>
      <c r="AI35" s="134">
        <f t="shared" si="79"/>
        <v>0</v>
      </c>
      <c r="AJ35" s="134">
        <f t="shared" si="80"/>
        <v>0</v>
      </c>
      <c r="AK35" s="134">
        <f t="shared" si="81"/>
        <v>0</v>
      </c>
      <c r="AL35" s="470" t="s">
        <v>1267</v>
      </c>
    </row>
    <row r="36" spans="2:52" ht="15.75" hidden="1" thickBot="1" x14ac:dyDescent="0.3">
      <c r="B36" s="7" t="s">
        <v>507</v>
      </c>
      <c r="C36" s="6" t="s">
        <v>2470</v>
      </c>
      <c r="D36" s="57">
        <f t="shared" si="67"/>
        <v>11</v>
      </c>
      <c r="E36" s="323">
        <f t="array" ref="E36">IF(U36="YES",IF(T36="YES",MIN(IF(BPD[Load Capability Reference]=CONCATENATE(P36,Q36,S36,R36),BPD[Lowest A-PTX])),MIN(IF(BPD[Load Capability Reference]=CONCATENATE(P36,Q36,S36,R36),IF(BPD[Equipment ID]&lt;&gt;O36,BPD[Lowest A-PTX])))),IF(T36="YES",MIN(IF(BPD[Load Capability Reference]=CONCATENATE(P36,Q36,S36,R36),BPD[Lowest A-No PTX])),MIN(IF(BPD[Load Capability Reference]=CONCATENATE(P36,Q36,S36,R36),IF(BPD[Equipment ID]&lt;&gt;O36,BPD[Lowest A-No PTX])))))</f>
        <v>386.92827157178004</v>
      </c>
      <c r="F36" s="57">
        <f>IFERROR(IFERROR(VLOOKUP(CONCATENATE(P36,Q36,O36,S36,"Protection"),BPD[[OC Protection Reference]:[Forward A]],23,0),VLOOKUP(O36,AEL_Protection_Data[],12,0)),"N/A")</f>
        <v>400</v>
      </c>
      <c r="G36" s="57">
        <f t="shared" si="68"/>
        <v>305</v>
      </c>
      <c r="H36" s="9">
        <f t="shared" si="69"/>
        <v>5.9272510685814552</v>
      </c>
      <c r="I36" s="57">
        <f t="shared" si="70"/>
        <v>345</v>
      </c>
      <c r="J36" s="9">
        <f t="shared" si="71"/>
        <v>6.7045954710183668</v>
      </c>
      <c r="K36" s="6" t="str">
        <f>IF(U36="Yes",UPPER(IF(ISNUMBER(SEARCH("winding",VLOOKUP(CONCATENATE(P36,Q36,S36,E36),BPD[[Limiting Equipment Reference-PTX]:[Summ Equipment]],7,0))),"Power Transformer Rating at "&amp;ROUND(E36*S36*SQRT(3)/1000,2)&amp;" MVA",VLOOKUP(CONCATENATE(P36,Q36,S36,E36),BPD[[Limiting Equipment Reference-No PTX]:[Summ Equipment]],8,0))),UPPER(VLOOKUP(CONCATENATE(P36,Q36,S36,E36),BPD[[Limiting Equipment Reference-No PTX]:[Summ Equipment]],8,0)))</f>
        <v>OH LINE-JAGUAR</v>
      </c>
      <c r="L36" s="8" t="s">
        <v>1267</v>
      </c>
      <c r="M36" s="506" t="s">
        <v>1267</v>
      </c>
      <c r="O36" s="11" t="str">
        <f t="shared" si="82"/>
        <v>BPD-T1-CB2</v>
      </c>
      <c r="P36" s="193" t="s">
        <v>1276</v>
      </c>
      <c r="Q36" s="7" t="s">
        <v>1354</v>
      </c>
      <c r="R36" s="386" t="s">
        <v>378</v>
      </c>
      <c r="S36" s="43">
        <v>11.22</v>
      </c>
      <c r="T36" s="8" t="s">
        <v>1266</v>
      </c>
      <c r="U36" s="8" t="s">
        <v>1266</v>
      </c>
      <c r="V36" s="484"/>
      <c r="X36" s="493" t="s">
        <v>507</v>
      </c>
      <c r="Y36" s="433" t="str">
        <f t="shared" si="83"/>
        <v>TAWAI</v>
      </c>
      <c r="Z36" s="434">
        <v>350</v>
      </c>
      <c r="AA36" s="442" t="str">
        <f t="shared" si="72"/>
        <v>p</v>
      </c>
      <c r="AB36" s="451">
        <f t="shared" si="73"/>
        <v>36.928271571780044</v>
      </c>
      <c r="AC36" s="451">
        <f t="shared" si="74"/>
        <v>0.71764962994983417</v>
      </c>
      <c r="AD36" s="451">
        <f t="shared" si="75"/>
        <v>0</v>
      </c>
      <c r="AE36" s="451">
        <f t="shared" si="76"/>
        <v>0</v>
      </c>
      <c r="AF36" s="434">
        <v>400</v>
      </c>
      <c r="AG36" s="437" t="str">
        <f t="shared" si="77"/>
        <v>u</v>
      </c>
      <c r="AH36" s="451">
        <f t="shared" si="78"/>
        <v>0</v>
      </c>
      <c r="AI36" s="451">
        <f t="shared" si="79"/>
        <v>0</v>
      </c>
      <c r="AJ36" s="451">
        <f t="shared" si="80"/>
        <v>0</v>
      </c>
      <c r="AK36" s="451">
        <f t="shared" si="81"/>
        <v>0</v>
      </c>
      <c r="AL36" s="471" t="s">
        <v>1267</v>
      </c>
    </row>
    <row r="37" spans="2:52" ht="27" hidden="1" thickBot="1" x14ac:dyDescent="0.3">
      <c r="B37" s="584" t="s">
        <v>2476</v>
      </c>
      <c r="C37" s="582"/>
      <c r="D37" s="582"/>
      <c r="E37" s="582"/>
      <c r="F37" s="582"/>
      <c r="G37" s="582"/>
      <c r="H37" s="582"/>
      <c r="I37" s="582"/>
      <c r="J37" s="582"/>
      <c r="K37" s="582"/>
      <c r="L37" s="582"/>
      <c r="M37" s="583"/>
      <c r="O37" s="551" t="s">
        <v>2391</v>
      </c>
      <c r="P37" s="552"/>
      <c r="Q37" s="552"/>
      <c r="R37" s="552"/>
      <c r="S37" s="552"/>
      <c r="T37" s="552"/>
      <c r="U37" s="552"/>
      <c r="V37" s="553"/>
      <c r="X37" s="592" t="str">
        <f>B37&amp;"-OLD"</f>
        <v>BELLS POND SUBSTATION (A1067-T2)-OLD</v>
      </c>
      <c r="Y37" s="593"/>
      <c r="Z37" s="593"/>
      <c r="AA37" s="593"/>
      <c r="AB37" s="593"/>
      <c r="AC37" s="593"/>
      <c r="AD37" s="593"/>
      <c r="AE37" s="593"/>
      <c r="AF37" s="593"/>
      <c r="AG37" s="593"/>
      <c r="AH37" s="593"/>
      <c r="AI37" s="593"/>
      <c r="AJ37" s="593"/>
      <c r="AK37" s="593"/>
      <c r="AL37" s="594"/>
      <c r="AM37" s="481"/>
    </row>
    <row r="38" spans="2:52" ht="15.75" hidden="1" thickBot="1" x14ac:dyDescent="0.3">
      <c r="B38" s="571" t="str">
        <f t="shared" ref="B38:L38" si="84">B6</f>
        <v>CB ID</v>
      </c>
      <c r="C38" s="545" t="str">
        <f t="shared" si="84"/>
        <v>DESIGNATION</v>
      </c>
      <c r="D38" s="382" t="str">
        <f t="shared" si="84"/>
        <v>Rated</v>
      </c>
      <c r="E38" s="572" t="str">
        <f t="shared" si="84"/>
        <v>LOAD
CAPABILITY</v>
      </c>
      <c r="F38" s="572" t="str">
        <f t="shared" si="84"/>
        <v>OC
PICKUP</v>
      </c>
      <c r="G38" s="559" t="str">
        <f t="shared" ref="G38:J40" si="85">G6</f>
        <v>SCADA ALARM</v>
      </c>
      <c r="H38" s="560"/>
      <c r="I38" s="560"/>
      <c r="J38" s="561"/>
      <c r="K38" s="574" t="str">
        <f t="shared" si="84"/>
        <v>LIMITING EQUIPMENT</v>
      </c>
      <c r="L38" s="575" t="str">
        <f t="shared" si="84"/>
        <v>RECLOSING</v>
      </c>
      <c r="M38" s="576"/>
      <c r="O38" s="554" t="str">
        <f t="shared" ref="O38:V38" si="86">O6</f>
        <v>OC Pick up
Reference ID</v>
      </c>
      <c r="P38" s="557" t="str">
        <f t="shared" si="86"/>
        <v>Supply Level</v>
      </c>
      <c r="Q38" s="566" t="str">
        <f t="shared" si="86"/>
        <v>Station/Feeder</v>
      </c>
      <c r="R38" s="567" t="str">
        <f t="shared" ref="R38" si="87">$R$6</f>
        <v>Refered
to PTX</v>
      </c>
      <c r="S38" s="569" t="str">
        <f t="shared" si="86"/>
        <v>Voltage</v>
      </c>
      <c r="T38" s="539" t="str">
        <f t="shared" si="86"/>
        <v>Include
CB</v>
      </c>
      <c r="U38" s="539" t="str">
        <f t="shared" si="86"/>
        <v>Include
PTX</v>
      </c>
      <c r="V38" s="542" t="str">
        <f t="shared" si="86"/>
        <v>Notes</v>
      </c>
      <c r="X38" s="585" t="s">
        <v>1260</v>
      </c>
      <c r="Y38" s="545" t="s">
        <v>1261</v>
      </c>
      <c r="Z38" s="559" t="s">
        <v>2749</v>
      </c>
      <c r="AA38" s="560"/>
      <c r="AB38" s="560"/>
      <c r="AC38" s="560"/>
      <c r="AD38" s="560"/>
      <c r="AE38" s="561"/>
      <c r="AF38" s="559" t="s">
        <v>1268</v>
      </c>
      <c r="AG38" s="560"/>
      <c r="AH38" s="560"/>
      <c r="AI38" s="560"/>
      <c r="AJ38" s="560"/>
      <c r="AK38" s="561"/>
      <c r="AL38" s="546" t="s">
        <v>2857</v>
      </c>
      <c r="AM38" s="466"/>
    </row>
    <row r="39" spans="2:52" ht="15.75" hidden="1" thickBot="1" x14ac:dyDescent="0.3">
      <c r="B39" s="557"/>
      <c r="C39" s="540"/>
      <c r="D39" s="362" t="str">
        <f t="shared" ref="D39:M39" si="88">D7</f>
        <v>Voltage</v>
      </c>
      <c r="E39" s="573"/>
      <c r="F39" s="573"/>
      <c r="G39" s="544" t="str">
        <f t="shared" si="85"/>
        <v>Pre-Emergency</v>
      </c>
      <c r="H39" s="544"/>
      <c r="I39" s="544" t="str">
        <f t="shared" si="85"/>
        <v>Emergency</v>
      </c>
      <c r="J39" s="544"/>
      <c r="K39" s="540"/>
      <c r="L39" s="545" t="str">
        <f t="shared" si="88"/>
        <v>AVAILABLE</v>
      </c>
      <c r="M39" s="546" t="str">
        <f t="shared" si="88"/>
        <v>UTILISED</v>
      </c>
      <c r="O39" s="555"/>
      <c r="P39" s="557"/>
      <c r="Q39" s="557"/>
      <c r="R39" s="567"/>
      <c r="S39" s="569"/>
      <c r="T39" s="540"/>
      <c r="U39" s="540"/>
      <c r="V39" s="542"/>
      <c r="X39" s="555"/>
      <c r="Y39" s="540"/>
      <c r="Z39" s="589"/>
      <c r="AA39" s="590"/>
      <c r="AB39" s="590"/>
      <c r="AC39" s="590"/>
      <c r="AD39" s="590"/>
      <c r="AE39" s="591"/>
      <c r="AF39" s="589"/>
      <c r="AG39" s="590"/>
      <c r="AH39" s="590"/>
      <c r="AI39" s="590"/>
      <c r="AJ39" s="590"/>
      <c r="AK39" s="591"/>
      <c r="AL39" s="577"/>
      <c r="AM39" s="466"/>
    </row>
    <row r="40" spans="2:52" ht="15.75" hidden="1" thickBot="1" x14ac:dyDescent="0.3">
      <c r="B40" s="558"/>
      <c r="C40" s="541"/>
      <c r="D40" s="345" t="str">
        <f t="shared" ref="D40:F40" si="89">D8</f>
        <v>(kV)</v>
      </c>
      <c r="E40" s="345" t="str">
        <f t="shared" si="89"/>
        <v>(A)</v>
      </c>
      <c r="F40" s="345" t="str">
        <f t="shared" si="89"/>
        <v>(A)</v>
      </c>
      <c r="G40" s="406" t="str">
        <f t="shared" si="85"/>
        <v>(A)</v>
      </c>
      <c r="H40" s="407" t="str">
        <f t="shared" si="85"/>
        <v>(MVA)</v>
      </c>
      <c r="I40" s="406" t="str">
        <f t="shared" si="85"/>
        <v>(A)</v>
      </c>
      <c r="J40" s="407" t="str">
        <f t="shared" si="85"/>
        <v>(MVA)</v>
      </c>
      <c r="K40" s="541"/>
      <c r="L40" s="541"/>
      <c r="M40" s="547"/>
      <c r="O40" s="556"/>
      <c r="P40" s="558"/>
      <c r="Q40" s="558"/>
      <c r="R40" s="568"/>
      <c r="S40" s="570"/>
      <c r="T40" s="541"/>
      <c r="U40" s="541"/>
      <c r="V40" s="543"/>
      <c r="X40" s="556"/>
      <c r="Y40" s="541"/>
      <c r="Z40" s="428" t="s">
        <v>26</v>
      </c>
      <c r="AA40" s="439" t="s">
        <v>2861</v>
      </c>
      <c r="AB40" s="450" t="s">
        <v>2959</v>
      </c>
      <c r="AC40" s="450" t="s">
        <v>2960</v>
      </c>
      <c r="AD40" s="450" t="s">
        <v>2957</v>
      </c>
      <c r="AE40" s="450" t="s">
        <v>2958</v>
      </c>
      <c r="AF40" s="428" t="s">
        <v>26</v>
      </c>
      <c r="AG40" s="439" t="s">
        <v>2861</v>
      </c>
      <c r="AH40" s="450" t="s">
        <v>2959</v>
      </c>
      <c r="AI40" s="450" t="s">
        <v>2960</v>
      </c>
      <c r="AJ40" s="450" t="s">
        <v>2957</v>
      </c>
      <c r="AK40" s="450" t="s">
        <v>2958</v>
      </c>
      <c r="AL40" s="547"/>
      <c r="AM40" s="466"/>
    </row>
    <row r="41" spans="2:52" hidden="1" x14ac:dyDescent="0.25">
      <c r="B41" s="38" t="s">
        <v>706</v>
      </c>
      <c r="C41" s="3" t="s">
        <v>2490</v>
      </c>
      <c r="D41" s="61">
        <f t="shared" ref="D41:D48" si="90">ROUNDDOWN(S41,0)</f>
        <v>110</v>
      </c>
      <c r="E41" s="365">
        <f t="array" ref="E41">IF(U41="YES",IF(T41="YES",MIN(IF(BPD[Load Capability Reference]=CONCATENATE(P41,Q41,S41,R41),BPD[Lowest A-PTX])),MIN(IF(BPD[Load Capability Reference]=CONCATENATE(P41,Q41,S41,R41),IF(BPD[Equipment ID]&lt;&gt;O41,BPD[Lowest A-PTX])))),IF(T41="YES",MIN(IF(BPD[Load Capability Reference]=CONCATENATE(P41,Q41,S41,R41),BPD[Lowest A-No PTX])),MIN(IF(BPD[Load Capability Reference]=CONCATENATE(P41,Q41,S41,R41),IF(BPD[Equipment ID]&lt;&gt;O41,BPD[Lowest A-No PTX])))))</f>
        <v>104.9727762162956</v>
      </c>
      <c r="F41" s="61">
        <f>IFERROR(IFERROR(VLOOKUP(CONCATENATE(P41,Q41,O41,S41,"Protection"),BPD[[OC Protection Reference]:[Forward A]],23,0),VLOOKUP(O41,AEL_Protection_Data[],12,0)),"N/A")</f>
        <v>146</v>
      </c>
      <c r="G41" s="61">
        <f t="shared" ref="G41:G48" si="91">IFERROR(FLOOR(MIN(E41:F41)*$D$3,5),"")</f>
        <v>80</v>
      </c>
      <c r="H41" s="5">
        <f t="shared" ref="H41:H48" si="92">G41*S41*SQRT(3)/1000</f>
        <v>15.242047106606121</v>
      </c>
      <c r="I41" s="61">
        <f t="shared" ref="I41:I48" si="93">IFERROR(FLOOR(MIN(E41:F41)*$D$2,5),"")</f>
        <v>90</v>
      </c>
      <c r="J41" s="5">
        <f t="shared" ref="J41:J48" si="94">I41*S41*SQRT(3)/1000</f>
        <v>17.147302994931884</v>
      </c>
      <c r="K41" s="3" t="str">
        <f>IF(U41="Yes",UPPER(IF(ISNUMBER(SEARCH("winding",VLOOKUP(CONCATENATE(P41,Q41,S41,E41),BPD[[Limiting Equipment Reference-PTX]:[Summ Equipment]],7,0))),"Power Transformer Rating at "&amp;ROUND(E41*S41*SQRT(3)/1000,2)&amp;" MVA",VLOOKUP(CONCATENATE(P41,Q41,S41,E41),BPD[[Limiting Equipment Reference-No PTX]:[Summ Equipment]],8,0))),UPPER(VLOOKUP(CONCATENATE(P41,Q41,S41,E41),BPD[[Limiting Equipment Reference-No PTX]:[Summ Equipment]],8,0)))</f>
        <v>POWER TRANSFORMER RATING AT 20 MVA</v>
      </c>
      <c r="L41" s="4" t="s">
        <v>1266</v>
      </c>
      <c r="M41" s="508" t="s">
        <v>1162</v>
      </c>
      <c r="O41" s="10" t="str">
        <f>"BPD-T2-"&amp;B41</f>
        <v>BPD-T2-CB482</v>
      </c>
      <c r="P41" s="38" t="s">
        <v>1246</v>
      </c>
      <c r="Q41" s="38" t="s">
        <v>80</v>
      </c>
      <c r="R41" s="389" t="s">
        <v>307</v>
      </c>
      <c r="S41" s="139">
        <v>110</v>
      </c>
      <c r="T41" s="4" t="s">
        <v>1266</v>
      </c>
      <c r="U41" s="4" t="s">
        <v>1267</v>
      </c>
      <c r="V41" s="486"/>
      <c r="X41" s="494" t="s">
        <v>706</v>
      </c>
      <c r="Y41" s="429" t="s">
        <v>2863</v>
      </c>
      <c r="Z41" s="430">
        <v>150</v>
      </c>
      <c r="AA41" s="440" t="str">
        <f t="shared" ref="AA41:AA48" si="95">IF(Z41&gt;E41,"q",IF(Z41&lt;E41,"p","u"))</f>
        <v>q</v>
      </c>
      <c r="AB41" s="453">
        <f t="shared" ref="AB41:AB48" si="96">IF(Z41="",0,IF(Z41-E41&lt;0,ABS(Z41-E41),0))</f>
        <v>0</v>
      </c>
      <c r="AC41" s="453">
        <f t="shared" ref="AC41:AC48" si="97">AB41*$S41*SQRT(3)/1000</f>
        <v>0</v>
      </c>
      <c r="AD41" s="453">
        <f t="shared" ref="AD41:AD48" si="98">IF(Z41="",0,IF(Z41-E41&gt;0,ABS(Z41-E41),0))</f>
        <v>45.0272237837044</v>
      </c>
      <c r="AE41" s="453">
        <f t="shared" ref="AE41:AE48" si="99">AD41*$S41*SQRT(3)/1000</f>
        <v>8.5788383248864744</v>
      </c>
      <c r="AF41" s="430">
        <v>146</v>
      </c>
      <c r="AG41" s="435" t="str">
        <f t="shared" ref="AG41:AG48" si="100">IF(AF41&gt;F41,"q",IF(AF41&lt;F41,"p","u"))</f>
        <v>u</v>
      </c>
      <c r="AH41" s="453">
        <f t="shared" ref="AH41:AH48" si="101">IF(AF41="",0,IF(AF41-F41&lt;0,ABS(AF41-F41),0))</f>
        <v>0</v>
      </c>
      <c r="AI41" s="453">
        <f t="shared" ref="AI41:AI48" si="102">AH41*$S41*SQRT(3)/1000</f>
        <v>0</v>
      </c>
      <c r="AJ41" s="453">
        <f t="shared" ref="AJ41:AJ48" si="103">IF(AF41="",0,IF(AF41-F41&gt;0,ABS(AF41-F41),0))</f>
        <v>0</v>
      </c>
      <c r="AK41" s="453">
        <f t="shared" ref="AK41:AK48" si="104">AJ41*$S41*SQRT(3)/1000</f>
        <v>0</v>
      </c>
      <c r="AL41" s="469" t="s">
        <v>1266</v>
      </c>
    </row>
    <row r="42" spans="2:52" hidden="1" x14ac:dyDescent="0.25">
      <c r="B42" s="49" t="s">
        <v>731</v>
      </c>
      <c r="C42" s="168" t="s">
        <v>2492</v>
      </c>
      <c r="D42" s="119">
        <f t="shared" si="90"/>
        <v>33</v>
      </c>
      <c r="E42" s="366">
        <f t="array" ref="E42">IF(U42="YES",IF(T42="YES",MIN(IF(BPD[Load Capability Reference]=CONCATENATE(P42,Q42,S42,R42),BPD[Lowest A-PTX])),MIN(IF(BPD[Load Capability Reference]=CONCATENATE(P42,Q42,S42,R42),IF(BPD[Equipment ID]&lt;&gt;O42,BPD[Lowest A-PTX])))),IF(T42="YES",MIN(IF(BPD[Load Capability Reference]=CONCATENATE(P42,Q42,S42,R42),BPD[Lowest A-No PTX])),MIN(IF(BPD[Load Capability Reference]=CONCATENATE(P42,Q42,S42,R42),IF(BPD[Equipment ID]&lt;&gt;O42,BPD[Lowest A-No PTX])))))</f>
        <v>582.79308811233284</v>
      </c>
      <c r="F42" s="119">
        <f>IFERROR(IFERROR(VLOOKUP(CONCATENATE(P42,Q42,O42,S42,"Protection"),BPD[[OC Protection Reference]:[Forward A]],23,0),VLOOKUP(O42,AEL_Protection_Data[],12,0)),"N/A")</f>
        <v>370</v>
      </c>
      <c r="G42" s="119">
        <f t="shared" si="91"/>
        <v>295</v>
      </c>
      <c r="H42" s="29">
        <f t="shared" si="92"/>
        <v>16.861514611683017</v>
      </c>
      <c r="I42" s="119">
        <f t="shared" si="93"/>
        <v>330</v>
      </c>
      <c r="J42" s="29">
        <f t="shared" si="94"/>
        <v>18.862033294425075</v>
      </c>
      <c r="K42" s="168" t="str">
        <f>IF(U42="Yes",UPPER(IF(ISNUMBER(SEARCH("winding",VLOOKUP(CONCATENATE(P42,Q42,S42,E42),BPD[[Limiting Equipment Reference-PTX]:[Summ Equipment]],7,0))),"Power Transformer Rating at "&amp;ROUND(E42*S42*SQRT(3)/1000,2)&amp;" MVA",VLOOKUP(CONCATENATE(P42,Q42,S42,E42),BPD[[Limiting Equipment Reference-No PTX]:[Summ Equipment]],8,0))),UPPER(VLOOKUP(CONCATENATE(P42,Q42,S42,E42),BPD[[Limiting Equipment Reference-No PTX]:[Summ Equipment]],8,0)))</f>
        <v>OH LINE-JAGUAR</v>
      </c>
      <c r="L42" s="146" t="s">
        <v>1266</v>
      </c>
      <c r="M42" s="509" t="s">
        <v>1162</v>
      </c>
      <c r="O42" s="118" t="str">
        <f t="shared" ref="O42:O48" si="105">"BPD-T2-"&amp;B42</f>
        <v>BPD-T2-CB522</v>
      </c>
      <c r="P42" s="49" t="s">
        <v>1245</v>
      </c>
      <c r="Q42" s="49" t="s">
        <v>126</v>
      </c>
      <c r="R42" s="390"/>
      <c r="S42" s="32">
        <v>33</v>
      </c>
      <c r="T42" s="146" t="s">
        <v>1266</v>
      </c>
      <c r="U42" s="146" t="s">
        <v>1266</v>
      </c>
      <c r="V42" s="487"/>
      <c r="X42" s="495" t="s">
        <v>731</v>
      </c>
      <c r="Y42" s="431" t="s">
        <v>2864</v>
      </c>
      <c r="Z42" s="432">
        <v>470</v>
      </c>
      <c r="AA42" s="441" t="str">
        <f t="shared" si="95"/>
        <v>p</v>
      </c>
      <c r="AB42" s="134">
        <f t="shared" si="96"/>
        <v>112.79308811233284</v>
      </c>
      <c r="AC42" s="134">
        <f t="shared" si="97"/>
        <v>6.4469908586540692</v>
      </c>
      <c r="AD42" s="134">
        <f t="shared" si="98"/>
        <v>0</v>
      </c>
      <c r="AE42" s="134">
        <f t="shared" si="99"/>
        <v>0</v>
      </c>
      <c r="AF42" s="432">
        <v>370</v>
      </c>
      <c r="AG42" s="436" t="str">
        <f t="shared" si="100"/>
        <v>u</v>
      </c>
      <c r="AH42" s="134">
        <f t="shared" si="101"/>
        <v>0</v>
      </c>
      <c r="AI42" s="134">
        <f t="shared" si="102"/>
        <v>0</v>
      </c>
      <c r="AJ42" s="134">
        <f t="shared" si="103"/>
        <v>0</v>
      </c>
      <c r="AK42" s="134">
        <f t="shared" si="104"/>
        <v>0</v>
      </c>
      <c r="AL42" s="470" t="s">
        <v>1266</v>
      </c>
    </row>
    <row r="43" spans="2:52" hidden="1" x14ac:dyDescent="0.25">
      <c r="B43" s="7" t="s">
        <v>588</v>
      </c>
      <c r="C43" s="6" t="s">
        <v>2466</v>
      </c>
      <c r="D43" s="57">
        <f t="shared" si="90"/>
        <v>11</v>
      </c>
      <c r="E43" s="323">
        <f t="array" ref="E43">IF(U43="YES",IF(T43="YES",MIN(IF(BPD[Load Capability Reference]=CONCATENATE(P43,Q43,S43,R43),BPD[Lowest A-PTX])),MIN(IF(BPD[Load Capability Reference]=CONCATENATE(P43,Q43,S43,R43),IF(BPD[Equipment ID]&lt;&gt;O43,BPD[Lowest A-PTX])))),IF(T43="YES",MIN(IF(BPD[Load Capability Reference]=CONCATENATE(P43,Q43,S43,R43),BPD[Lowest A-No PTX])),MIN(IF(BPD[Load Capability Reference]=CONCATENATE(P43,Q43,S43,R43),IF(BPD[Equipment ID]&lt;&gt;O43,BPD[Lowest A-No PTX])))))</f>
        <v>771.85864864923235</v>
      </c>
      <c r="F43" s="57">
        <f>IFERROR(IFERROR(VLOOKUP(CONCATENATE(P43,Q43,O43,S43,"Protection"),BPD[[OC Protection Reference]:[Forward A]],23,0),VLOOKUP(O43,AEL_Protection_Data[],12,0)),"N/A")</f>
        <v>1100</v>
      </c>
      <c r="G43" s="57">
        <f t="shared" si="91"/>
        <v>615</v>
      </c>
      <c r="H43" s="9">
        <f t="shared" si="92"/>
        <v>11.951670187467524</v>
      </c>
      <c r="I43" s="57">
        <f t="shared" si="93"/>
        <v>690</v>
      </c>
      <c r="J43" s="9">
        <f t="shared" si="94"/>
        <v>13.409190942036734</v>
      </c>
      <c r="K43" s="6" t="str">
        <f>IF(U43="Yes",UPPER(IF(ISNUMBER(SEARCH("winding",VLOOKUP(CONCATENATE(P43,Q43,S43,E43),BPD[[Limiting Equipment Reference-PTX]:[Summ Equipment]],7,0))),"Power Transformer Rating at "&amp;ROUND(E43*S43*SQRT(3)/1000,2)&amp;" MVA",VLOOKUP(CONCATENATE(P43,Q43,S43,E43),BPD[[Limiting Equipment Reference-No PTX]:[Summ Equipment]],8,0))),UPPER(VLOOKUP(CONCATENATE(P43,Q43,S43,E43),BPD[[Limiting Equipment Reference-No PTX]:[Summ Equipment]],8,0)))</f>
        <v>POWER TRANSFORMER RATING AT 15 MVA</v>
      </c>
      <c r="L43" s="8" t="s">
        <v>1266</v>
      </c>
      <c r="M43" s="506" t="s">
        <v>1162</v>
      </c>
      <c r="O43" s="11" t="str">
        <f t="shared" si="105"/>
        <v>BPD-T2-CB36</v>
      </c>
      <c r="P43" s="7" t="s">
        <v>1246</v>
      </c>
      <c r="Q43" s="7" t="s">
        <v>80</v>
      </c>
      <c r="R43" s="386" t="s">
        <v>307</v>
      </c>
      <c r="S43" s="43">
        <v>11.22</v>
      </c>
      <c r="T43" s="8" t="s">
        <v>1266</v>
      </c>
      <c r="U43" s="8" t="s">
        <v>1267</v>
      </c>
      <c r="V43" s="484"/>
      <c r="X43" s="496" t="s">
        <v>588</v>
      </c>
      <c r="Y43" s="431" t="s">
        <v>2633</v>
      </c>
      <c r="Z43" s="432">
        <v>900</v>
      </c>
      <c r="AA43" s="441" t="str">
        <f t="shared" si="95"/>
        <v>q</v>
      </c>
      <c r="AB43" s="134">
        <f t="shared" si="96"/>
        <v>0</v>
      </c>
      <c r="AC43" s="134">
        <f t="shared" si="97"/>
        <v>0</v>
      </c>
      <c r="AD43" s="134">
        <f t="shared" si="98"/>
        <v>128.14135135076765</v>
      </c>
      <c r="AE43" s="134">
        <f t="shared" si="99"/>
        <v>2.4902490548305223</v>
      </c>
      <c r="AF43" s="432">
        <v>1104</v>
      </c>
      <c r="AG43" s="436" t="str">
        <f t="shared" si="100"/>
        <v>q</v>
      </c>
      <c r="AH43" s="134">
        <f t="shared" si="101"/>
        <v>0</v>
      </c>
      <c r="AI43" s="134">
        <f t="shared" si="102"/>
        <v>0</v>
      </c>
      <c r="AJ43" s="134">
        <f t="shared" si="103"/>
        <v>4</v>
      </c>
      <c r="AK43" s="134">
        <f t="shared" si="104"/>
        <v>7.7734440243691208E-2</v>
      </c>
      <c r="AL43" s="470" t="s">
        <v>1266</v>
      </c>
    </row>
    <row r="44" spans="2:52" hidden="1" x14ac:dyDescent="0.25">
      <c r="B44" s="7" t="s">
        <v>373</v>
      </c>
      <c r="C44" s="6" t="s">
        <v>2467</v>
      </c>
      <c r="D44" s="57">
        <f t="shared" si="90"/>
        <v>11</v>
      </c>
      <c r="E44" s="323">
        <v>1250</v>
      </c>
      <c r="F44" s="57">
        <f>IFERROR(IFERROR(VLOOKUP(CONCATENATE(P44,Q44,O44,S44,"Protection"),BPD[[OC Protection Reference]:[Forward A]],23,0),VLOOKUP(O44,AEL_Protection_Data[],12,0)),"N/A")</f>
        <v>1000</v>
      </c>
      <c r="G44" s="57">
        <f t="shared" si="91"/>
        <v>800</v>
      </c>
      <c r="H44" s="9">
        <f t="shared" si="92"/>
        <v>15.546888048738241</v>
      </c>
      <c r="I44" s="57">
        <f t="shared" si="93"/>
        <v>900</v>
      </c>
      <c r="J44" s="9">
        <f t="shared" si="94"/>
        <v>17.490249054830521</v>
      </c>
      <c r="K44" s="6" t="s">
        <v>2494</v>
      </c>
      <c r="L44" s="8" t="s">
        <v>1266</v>
      </c>
      <c r="M44" s="506" t="s">
        <v>1162</v>
      </c>
      <c r="O44" s="11" t="str">
        <f t="shared" si="105"/>
        <v>BPD-T2-CB32</v>
      </c>
      <c r="P44" s="7" t="s">
        <v>1246</v>
      </c>
      <c r="Q44" s="7" t="s">
        <v>80</v>
      </c>
      <c r="R44" s="386"/>
      <c r="S44" s="43">
        <v>11.22</v>
      </c>
      <c r="T44" s="8" t="s">
        <v>1266</v>
      </c>
      <c r="U44" s="8" t="s">
        <v>1267</v>
      </c>
      <c r="V44" s="484" t="s">
        <v>2823</v>
      </c>
      <c r="X44" s="496" t="s">
        <v>373</v>
      </c>
      <c r="Y44" s="431" t="s">
        <v>2730</v>
      </c>
      <c r="Z44" s="432">
        <v>1250</v>
      </c>
      <c r="AA44" s="441" t="str">
        <f t="shared" si="95"/>
        <v>u</v>
      </c>
      <c r="AB44" s="134">
        <f t="shared" si="96"/>
        <v>0</v>
      </c>
      <c r="AC44" s="134">
        <f t="shared" si="97"/>
        <v>0</v>
      </c>
      <c r="AD44" s="134">
        <f t="shared" si="98"/>
        <v>0</v>
      </c>
      <c r="AE44" s="134">
        <f t="shared" si="99"/>
        <v>0</v>
      </c>
      <c r="AF44" s="432">
        <v>1000</v>
      </c>
      <c r="AG44" s="436" t="str">
        <f t="shared" si="100"/>
        <v>u</v>
      </c>
      <c r="AH44" s="134">
        <f t="shared" si="101"/>
        <v>0</v>
      </c>
      <c r="AI44" s="134">
        <f t="shared" si="102"/>
        <v>0</v>
      </c>
      <c r="AJ44" s="134">
        <f t="shared" si="103"/>
        <v>0</v>
      </c>
      <c r="AK44" s="134">
        <f t="shared" si="104"/>
        <v>0</v>
      </c>
      <c r="AL44" s="470" t="s">
        <v>1266</v>
      </c>
    </row>
    <row r="45" spans="2:52" hidden="1" x14ac:dyDescent="0.25">
      <c r="B45" s="7" t="s">
        <v>1596</v>
      </c>
      <c r="C45" s="6" t="s">
        <v>2468</v>
      </c>
      <c r="D45" s="57">
        <f t="shared" si="90"/>
        <v>11</v>
      </c>
      <c r="E45" s="323">
        <v>200</v>
      </c>
      <c r="F45" s="57">
        <f>IFERROR(IFERROR(VLOOKUP(CONCATENATE(P45,Q45,O45,S45,"Protection"),BPD[[OC Protection Reference]:[Forward A]],23,0),VLOOKUP(O45,AEL_Protection_Data[],12,0)),"N/A")</f>
        <v>60</v>
      </c>
      <c r="G45" s="57">
        <f t="shared" si="91"/>
        <v>45</v>
      </c>
      <c r="H45" s="9">
        <f t="shared" si="92"/>
        <v>0.87451245274152622</v>
      </c>
      <c r="I45" s="57">
        <f t="shared" si="93"/>
        <v>50</v>
      </c>
      <c r="J45" s="9">
        <f t="shared" si="94"/>
        <v>0.97168050304614006</v>
      </c>
      <c r="K45" s="6" t="s">
        <v>2493</v>
      </c>
      <c r="L45" s="8" t="s">
        <v>1266</v>
      </c>
      <c r="M45" s="506" t="s">
        <v>1162</v>
      </c>
      <c r="O45" s="11" t="str">
        <f t="shared" si="105"/>
        <v>BPD-T2-CB15</v>
      </c>
      <c r="P45" s="7" t="s">
        <v>1276</v>
      </c>
      <c r="Q45" s="7" t="s">
        <v>2474</v>
      </c>
      <c r="R45" s="386"/>
      <c r="S45" s="43">
        <v>11.22</v>
      </c>
      <c r="T45" s="8" t="s">
        <v>1266</v>
      </c>
      <c r="U45" s="8" t="s">
        <v>1266</v>
      </c>
      <c r="V45" s="484" t="s">
        <v>2823</v>
      </c>
      <c r="X45" s="496" t="s">
        <v>1596</v>
      </c>
      <c r="Y45" s="431" t="s">
        <v>2865</v>
      </c>
      <c r="Z45" s="432">
        <v>200</v>
      </c>
      <c r="AA45" s="441" t="str">
        <f t="shared" si="95"/>
        <v>u</v>
      </c>
      <c r="AB45" s="134">
        <f t="shared" si="96"/>
        <v>0</v>
      </c>
      <c r="AC45" s="134">
        <f t="shared" si="97"/>
        <v>0</v>
      </c>
      <c r="AD45" s="134">
        <f t="shared" si="98"/>
        <v>0</v>
      </c>
      <c r="AE45" s="134">
        <f t="shared" si="99"/>
        <v>0</v>
      </c>
      <c r="AF45" s="432">
        <v>30</v>
      </c>
      <c r="AG45" s="436" t="str">
        <f t="shared" si="100"/>
        <v>p</v>
      </c>
      <c r="AH45" s="134">
        <f t="shared" si="101"/>
        <v>30</v>
      </c>
      <c r="AI45" s="134">
        <f t="shared" si="102"/>
        <v>0.58300830182768415</v>
      </c>
      <c r="AJ45" s="134">
        <f t="shared" si="103"/>
        <v>0</v>
      </c>
      <c r="AK45" s="134">
        <f t="shared" si="104"/>
        <v>0</v>
      </c>
      <c r="AL45" s="470" t="s">
        <v>1266</v>
      </c>
    </row>
    <row r="46" spans="2:52" hidden="1" x14ac:dyDescent="0.25">
      <c r="B46" s="7" t="s">
        <v>607</v>
      </c>
      <c r="C46" s="6" t="s">
        <v>2471</v>
      </c>
      <c r="D46" s="57">
        <f t="shared" si="90"/>
        <v>11</v>
      </c>
      <c r="E46" s="57">
        <f t="array" ref="E46">IF(U46="YES",IF(T46="YES",MIN(IF(BPD[Load Capability Reference]=CONCATENATE(P46,Q46,S46,R46),BPD[Lowest A-PTX])),MIN(IF(BPD[Load Capability Reference]=CONCATENATE(P46,Q46,S46,R46),IF(BPD[Equipment ID]&lt;&gt;O46,BPD[Lowest A-PTX])))),IF(T46="YES",MIN(IF(BPD[Load Capability Reference]=CONCATENATE(P46,Q46,S46,R46),BPD[Lowest A-No PTX])),MIN(IF(BPD[Load Capability Reference]=CONCATENATE(P46,Q46,S46,R46),IF(BPD[Equipment ID]&lt;&gt;O46,BPD[Lowest A-No PTX])))))</f>
        <v>239.70000000000002</v>
      </c>
      <c r="F46" s="57">
        <f>IFERROR(IFERROR(VLOOKUP(CONCATENATE(P46,Q46,O46,S46,"Protection"),BPD[[OC Protection Reference]:[Forward A]],23,0),VLOOKUP(O46,AEL_Protection_Data[],12,0)),"N/A")</f>
        <v>400</v>
      </c>
      <c r="G46" s="57">
        <f t="shared" si="91"/>
        <v>190</v>
      </c>
      <c r="H46" s="9">
        <f t="shared" si="92"/>
        <v>3.6923859115753324</v>
      </c>
      <c r="I46" s="57">
        <f t="shared" si="93"/>
        <v>215</v>
      </c>
      <c r="J46" s="9">
        <f t="shared" si="94"/>
        <v>4.1782261630984028</v>
      </c>
      <c r="K46" s="6" t="str">
        <f>IF(U46="Yes",UPPER(IF(ISNUMBER(SEARCH("winding",VLOOKUP(CONCATENATE(P46,Q46,S46,E46),BPD[[Limiting Equipment Reference-PTX]:[Summ Equipment]],7,0))),"Power Transformer Rating at "&amp;ROUND(E46*S46*SQRT(3)/1000,2)&amp;" MVA",VLOOKUP(CONCATENATE(P46,Q46,S46,E46),BPD[[Limiting Equipment Reference-No PTX]:[Summ Equipment]],8,0))),UPPER(VLOOKUP(CONCATENATE(P46,Q46,S46,E46),BPD[[Limiting Equipment Reference-No PTX]:[Summ Equipment]],8,0)))</f>
        <v>CABLE - 3C 95MM2 AL XLPE CWS HDPE</v>
      </c>
      <c r="L46" s="8" t="s">
        <v>1267</v>
      </c>
      <c r="M46" s="506" t="s">
        <v>1266</v>
      </c>
      <c r="O46" s="11" t="str">
        <f t="shared" si="105"/>
        <v>BPD-T2-CB11</v>
      </c>
      <c r="P46" s="7" t="s">
        <v>1276</v>
      </c>
      <c r="Q46" s="7" t="s">
        <v>224</v>
      </c>
      <c r="R46" s="386" t="s">
        <v>307</v>
      </c>
      <c r="S46" s="43">
        <v>11.22</v>
      </c>
      <c r="T46" s="8" t="s">
        <v>1266</v>
      </c>
      <c r="U46" s="8" t="s">
        <v>1266</v>
      </c>
      <c r="V46" s="484"/>
      <c r="X46" s="496" t="s">
        <v>607</v>
      </c>
      <c r="Y46" s="431" t="s">
        <v>2471</v>
      </c>
      <c r="Z46" s="432">
        <v>350</v>
      </c>
      <c r="AA46" s="441" t="str">
        <f t="shared" si="95"/>
        <v>q</v>
      </c>
      <c r="AB46" s="134">
        <f t="shared" si="96"/>
        <v>0</v>
      </c>
      <c r="AC46" s="134">
        <f t="shared" si="97"/>
        <v>0</v>
      </c>
      <c r="AD46" s="134">
        <f t="shared" si="98"/>
        <v>110.29999999999998</v>
      </c>
      <c r="AE46" s="134">
        <f t="shared" si="99"/>
        <v>2.143527189719785</v>
      </c>
      <c r="AF46" s="432">
        <v>400</v>
      </c>
      <c r="AG46" s="436" t="str">
        <f t="shared" si="100"/>
        <v>u</v>
      </c>
      <c r="AH46" s="134">
        <f t="shared" si="101"/>
        <v>0</v>
      </c>
      <c r="AI46" s="134">
        <f t="shared" si="102"/>
        <v>0</v>
      </c>
      <c r="AJ46" s="134">
        <f t="shared" si="103"/>
        <v>0</v>
      </c>
      <c r="AK46" s="134">
        <f t="shared" si="104"/>
        <v>0</v>
      </c>
      <c r="AL46" s="470" t="s">
        <v>2860</v>
      </c>
    </row>
    <row r="47" spans="2:52" hidden="1" x14ac:dyDescent="0.25">
      <c r="B47" s="7" t="s">
        <v>610</v>
      </c>
      <c r="C47" s="6" t="s">
        <v>2472</v>
      </c>
      <c r="D47" s="57">
        <f t="shared" si="90"/>
        <v>11</v>
      </c>
      <c r="E47" s="57">
        <f t="array" ref="E47">IF(U47="YES",IF(T47="YES",MIN(IF(BPD[Load Capability Reference]=CONCATENATE(P47,Q47,S47,R47),BPD[Lowest A-PTX])),MIN(IF(BPD[Load Capability Reference]=CONCATENATE(P47,Q47,S47,R47),IF(BPD[Equipment ID]&lt;&gt;O47,BPD[Lowest A-PTX])))),IF(T47="YES",MIN(IF(BPD[Load Capability Reference]=CONCATENATE(P47,Q47,S47,R47),BPD[Lowest A-No PTX])),MIN(IF(BPD[Load Capability Reference]=CONCATENATE(P47,Q47,S47,R47),IF(BPD[Equipment ID]&lt;&gt;O47,BPD[Lowest A-No PTX])))))</f>
        <v>339.15</v>
      </c>
      <c r="F47" s="57">
        <f>IFERROR(IFERROR(VLOOKUP(CONCATENATE(P47,Q47,O47,S47,"Protection"),BPD[[OC Protection Reference]:[Forward A]],23,0),VLOOKUP(O47,AEL_Protection_Data[],12,0)),"N/A")</f>
        <v>400</v>
      </c>
      <c r="G47" s="57">
        <f t="shared" si="91"/>
        <v>270</v>
      </c>
      <c r="H47" s="9">
        <f t="shared" si="92"/>
        <v>5.2470747164491565</v>
      </c>
      <c r="I47" s="57">
        <f t="shared" si="93"/>
        <v>305</v>
      </c>
      <c r="J47" s="9">
        <f t="shared" si="94"/>
        <v>5.9272510685814552</v>
      </c>
      <c r="K47" s="6" t="str">
        <f>IF(U47="Yes",UPPER(IF(ISNUMBER(SEARCH("winding",VLOOKUP(CONCATENATE(P47,Q47,S47,E47),BPD[[Limiting Equipment Reference-PTX]:[Summ Equipment]],7,0))),"Power Transformer Rating at "&amp;ROUND(E47*S47*SQRT(3)/1000,2)&amp;" MVA",VLOOKUP(CONCATENATE(P47,Q47,S47,E47),BPD[[Limiting Equipment Reference-No PTX]:[Summ Equipment]],8,0))),UPPER(VLOOKUP(CONCATENATE(P47,Q47,S47,E47),BPD[[Limiting Equipment Reference-No PTX]:[Summ Equipment]],8,0)))</f>
        <v>CABLE-3C 300MM² AL XLPE MDPE</v>
      </c>
      <c r="L47" s="8" t="s">
        <v>1267</v>
      </c>
      <c r="M47" s="506" t="s">
        <v>1267</v>
      </c>
      <c r="O47" s="11" t="str">
        <f t="shared" si="105"/>
        <v>BPD-T2-CB12</v>
      </c>
      <c r="P47" s="7" t="s">
        <v>1276</v>
      </c>
      <c r="Q47" s="7" t="s">
        <v>91</v>
      </c>
      <c r="R47" s="386" t="s">
        <v>307</v>
      </c>
      <c r="S47" s="43">
        <v>11.22</v>
      </c>
      <c r="T47" s="8" t="s">
        <v>1266</v>
      </c>
      <c r="U47" s="8" t="s">
        <v>1266</v>
      </c>
      <c r="V47" s="484"/>
      <c r="X47" s="496" t="s">
        <v>610</v>
      </c>
      <c r="Y47" s="431" t="s">
        <v>2472</v>
      </c>
      <c r="Z47" s="432">
        <v>350</v>
      </c>
      <c r="AA47" s="443" t="str">
        <f t="shared" si="95"/>
        <v>q</v>
      </c>
      <c r="AB47" s="134">
        <f t="shared" si="96"/>
        <v>0</v>
      </c>
      <c r="AC47" s="134">
        <f t="shared" si="97"/>
        <v>0</v>
      </c>
      <c r="AD47" s="134">
        <f t="shared" si="98"/>
        <v>10.850000000000023</v>
      </c>
      <c r="AE47" s="134">
        <f t="shared" si="99"/>
        <v>0.21085466916101286</v>
      </c>
      <c r="AF47" s="432">
        <v>400</v>
      </c>
      <c r="AG47" s="436" t="str">
        <f t="shared" si="100"/>
        <v>u</v>
      </c>
      <c r="AH47" s="134">
        <f t="shared" si="101"/>
        <v>0</v>
      </c>
      <c r="AI47" s="134">
        <f t="shared" si="102"/>
        <v>0</v>
      </c>
      <c r="AJ47" s="134">
        <f t="shared" si="103"/>
        <v>0</v>
      </c>
      <c r="AK47" s="134">
        <f t="shared" si="104"/>
        <v>0</v>
      </c>
      <c r="AL47" s="470" t="s">
        <v>1267</v>
      </c>
    </row>
    <row r="48" spans="2:52" ht="15.75" hidden="1" thickBot="1" x14ac:dyDescent="0.3">
      <c r="B48" s="193" t="s">
        <v>611</v>
      </c>
      <c r="C48" s="191" t="s">
        <v>2473</v>
      </c>
      <c r="D48" s="197">
        <f t="shared" si="90"/>
        <v>11</v>
      </c>
      <c r="E48" s="197">
        <f t="array" ref="E48">IF(U48="YES",IF(T48="YES",MIN(IF(BPD[Load Capability Reference]=CONCATENATE(P48,Q48,S48,R48),BPD[Lowest A-PTX])),MIN(IF(BPD[Load Capability Reference]=CONCATENATE(P48,Q48,S48,R48),IF(BPD[Equipment ID]&lt;&gt;O48,BPD[Lowest A-PTX])))),IF(T48="YES",MIN(IF(BPD[Load Capability Reference]=CONCATENATE(P48,Q48,S48,R48),BPD[Lowest A-No PTX])),MIN(IF(BPD[Load Capability Reference]=CONCATENATE(P48,Q48,S48,R48),IF(BPD[Equipment ID]&lt;&gt;O48,BPD[Lowest A-No PTX])))))</f>
        <v>339.15</v>
      </c>
      <c r="F48" s="197">
        <f>IFERROR(IFERROR(VLOOKUP(CONCATENATE(P48,Q48,O48,S48,"Protection"),BPD[[OC Protection Reference]:[Forward A]],23,0),VLOOKUP(O48,AEL_Protection_Data[],12,0)),"N/A")</f>
        <v>400</v>
      </c>
      <c r="G48" s="197">
        <f t="shared" si="91"/>
        <v>270</v>
      </c>
      <c r="H48" s="155">
        <f t="shared" si="92"/>
        <v>5.2470747164491565</v>
      </c>
      <c r="I48" s="197">
        <f t="shared" si="93"/>
        <v>305</v>
      </c>
      <c r="J48" s="155">
        <f t="shared" si="94"/>
        <v>5.9272510685814552</v>
      </c>
      <c r="K48" s="191" t="str">
        <f>IF(U48="Yes",UPPER(IF(ISNUMBER(SEARCH("winding",VLOOKUP(CONCATENATE(P48,Q48,S48,E48),BPD[[Limiting Equipment Reference-PTX]:[Summ Equipment]],7,0))),"Power Transformer Rating at "&amp;ROUND(E48*S48*SQRT(3)/1000,2)&amp;" MVA",VLOOKUP(CONCATENATE(P48,Q48,S48,E48),BPD[[Limiting Equipment Reference-No PTX]:[Summ Equipment]],8,0))),UPPER(VLOOKUP(CONCATENATE(P48,Q48,S48,E48),BPD[[Limiting Equipment Reference-No PTX]:[Summ Equipment]],8,0)))</f>
        <v>CABLE-3C 300MM² AL XLPE MDPE</v>
      </c>
      <c r="L48" s="201" t="s">
        <v>1267</v>
      </c>
      <c r="M48" s="507" t="s">
        <v>1267</v>
      </c>
      <c r="O48" s="192" t="str">
        <f t="shared" si="105"/>
        <v>BPD-T2-CB13</v>
      </c>
      <c r="P48" s="193" t="s">
        <v>1276</v>
      </c>
      <c r="Q48" s="193" t="s">
        <v>104</v>
      </c>
      <c r="R48" s="387" t="s">
        <v>307</v>
      </c>
      <c r="S48" s="175">
        <v>11.22</v>
      </c>
      <c r="T48" s="201" t="s">
        <v>1266</v>
      </c>
      <c r="U48" s="201" t="s">
        <v>1266</v>
      </c>
      <c r="V48" s="485"/>
      <c r="X48" s="497" t="s">
        <v>611</v>
      </c>
      <c r="Y48" s="433" t="s">
        <v>2473</v>
      </c>
      <c r="Z48" s="434">
        <v>350</v>
      </c>
      <c r="AA48" s="444" t="str">
        <f t="shared" si="95"/>
        <v>q</v>
      </c>
      <c r="AB48" s="451">
        <f t="shared" si="96"/>
        <v>0</v>
      </c>
      <c r="AC48" s="451">
        <f t="shared" si="97"/>
        <v>0</v>
      </c>
      <c r="AD48" s="451">
        <f t="shared" si="98"/>
        <v>10.850000000000023</v>
      </c>
      <c r="AE48" s="451">
        <f t="shared" si="99"/>
        <v>0.21085466916101286</v>
      </c>
      <c r="AF48" s="434">
        <v>400</v>
      </c>
      <c r="AG48" s="437" t="str">
        <f t="shared" si="100"/>
        <v>u</v>
      </c>
      <c r="AH48" s="451">
        <f t="shared" si="101"/>
        <v>0</v>
      </c>
      <c r="AI48" s="451">
        <f t="shared" si="102"/>
        <v>0</v>
      </c>
      <c r="AJ48" s="451">
        <f t="shared" si="103"/>
        <v>0</v>
      </c>
      <c r="AK48" s="451">
        <f t="shared" si="104"/>
        <v>0</v>
      </c>
      <c r="AL48" s="471" t="s">
        <v>1267</v>
      </c>
    </row>
    <row r="49" spans="2:39" hidden="1" x14ac:dyDescent="0.25">
      <c r="R49" s="388"/>
      <c r="X49" s="427" t="s">
        <v>80</v>
      </c>
      <c r="AB49" s="449">
        <f>SUM(AB41:AB48,AB31:AB36)</f>
        <v>641.64963125589293</v>
      </c>
      <c r="AC49" s="449">
        <f t="shared" ref="AC49:AE49" si="106">SUM(AC41:AC48,AC31:AC36)</f>
        <v>33.889032994200427</v>
      </c>
      <c r="AD49" s="449">
        <f t="shared" si="106"/>
        <v>1047.5057254034164</v>
      </c>
      <c r="AE49" s="449">
        <f t="shared" si="106"/>
        <v>45.179128039034765</v>
      </c>
      <c r="AH49" s="449">
        <f>SUM(AH41:AH48,AH31:AH36)</f>
        <v>30</v>
      </c>
      <c r="AI49" s="449">
        <f t="shared" ref="AI49:AK49" si="107">SUM(AI41:AI48,AI31:AI36)</f>
        <v>0.58300830182768415</v>
      </c>
      <c r="AJ49" s="449">
        <f t="shared" si="107"/>
        <v>4</v>
      </c>
      <c r="AK49" s="449">
        <f t="shared" si="107"/>
        <v>7.7734440243691208E-2</v>
      </c>
    </row>
    <row r="50" spans="2:39" ht="27" hidden="1" thickBot="1" x14ac:dyDescent="0.3">
      <c r="B50" s="584" t="s">
        <v>2499</v>
      </c>
      <c r="C50" s="582"/>
      <c r="D50" s="582"/>
      <c r="E50" s="582"/>
      <c r="F50" s="582"/>
      <c r="G50" s="582"/>
      <c r="H50" s="582"/>
      <c r="I50" s="582"/>
      <c r="J50" s="582"/>
      <c r="K50" s="582"/>
      <c r="L50" s="582"/>
      <c r="M50" s="583"/>
      <c r="O50" s="551" t="s">
        <v>2391</v>
      </c>
      <c r="P50" s="552"/>
      <c r="Q50" s="552"/>
      <c r="R50" s="552"/>
      <c r="S50" s="552"/>
      <c r="T50" s="552"/>
      <c r="U50" s="552"/>
      <c r="V50" s="553"/>
      <c r="X50" s="586" t="str">
        <f>B50&amp;"-OLD"</f>
        <v>COONEY'S ROAD SUBSTATION (C1)-OLD</v>
      </c>
      <c r="Y50" s="587"/>
      <c r="Z50" s="587"/>
      <c r="AA50" s="587"/>
      <c r="AB50" s="587"/>
      <c r="AC50" s="587"/>
      <c r="AD50" s="587"/>
      <c r="AE50" s="587"/>
      <c r="AF50" s="587"/>
      <c r="AG50" s="587"/>
      <c r="AH50" s="587"/>
      <c r="AI50" s="587"/>
      <c r="AJ50" s="587"/>
      <c r="AK50" s="587"/>
      <c r="AL50" s="588"/>
      <c r="AM50" s="481"/>
    </row>
    <row r="51" spans="2:39" ht="15.75" hidden="1" thickBot="1" x14ac:dyDescent="0.3">
      <c r="B51" s="571" t="str">
        <f t="shared" ref="B51:L51" si="108">B6</f>
        <v>CB ID</v>
      </c>
      <c r="C51" s="545" t="str">
        <f t="shared" si="108"/>
        <v>DESIGNATION</v>
      </c>
      <c r="D51" s="382" t="str">
        <f t="shared" si="108"/>
        <v>Rated</v>
      </c>
      <c r="E51" s="572" t="str">
        <f t="shared" si="108"/>
        <v>LOAD
CAPABILITY</v>
      </c>
      <c r="F51" s="572" t="str">
        <f t="shared" si="108"/>
        <v>OC
PICKUP</v>
      </c>
      <c r="G51" s="559" t="str">
        <f t="shared" ref="G51:J53" si="109">G6</f>
        <v>SCADA ALARM</v>
      </c>
      <c r="H51" s="560"/>
      <c r="I51" s="560"/>
      <c r="J51" s="561"/>
      <c r="K51" s="574" t="str">
        <f t="shared" si="108"/>
        <v>LIMITING EQUIPMENT</v>
      </c>
      <c r="L51" s="575" t="str">
        <f t="shared" si="108"/>
        <v>RECLOSING</v>
      </c>
      <c r="M51" s="576"/>
      <c r="O51" s="554" t="str">
        <f t="shared" ref="O51:V51" si="110">O6</f>
        <v>OC Pick up
Reference ID</v>
      </c>
      <c r="P51" s="557" t="str">
        <f t="shared" si="110"/>
        <v>Supply Level</v>
      </c>
      <c r="Q51" s="566" t="str">
        <f t="shared" si="110"/>
        <v>Station/Feeder</v>
      </c>
      <c r="R51" s="567" t="str">
        <f t="shared" ref="R51" si="111">$R$6</f>
        <v>Refered
to PTX</v>
      </c>
      <c r="S51" s="569" t="str">
        <f t="shared" si="110"/>
        <v>Voltage</v>
      </c>
      <c r="T51" s="539" t="str">
        <f t="shared" si="110"/>
        <v>Include
CB</v>
      </c>
      <c r="U51" s="539" t="str">
        <f t="shared" si="110"/>
        <v>Include
PTX</v>
      </c>
      <c r="V51" s="542" t="str">
        <f t="shared" si="110"/>
        <v>Notes</v>
      </c>
      <c r="X51" s="585" t="s">
        <v>1260</v>
      </c>
      <c r="Y51" s="545" t="s">
        <v>1261</v>
      </c>
      <c r="Z51" s="559" t="s">
        <v>2749</v>
      </c>
      <c r="AA51" s="560"/>
      <c r="AB51" s="560"/>
      <c r="AC51" s="560"/>
      <c r="AD51" s="560"/>
      <c r="AE51" s="561"/>
      <c r="AF51" s="559" t="s">
        <v>1268</v>
      </c>
      <c r="AG51" s="560"/>
      <c r="AH51" s="560"/>
      <c r="AI51" s="560"/>
      <c r="AJ51" s="560"/>
      <c r="AK51" s="561"/>
      <c r="AL51" s="546" t="s">
        <v>2857</v>
      </c>
      <c r="AM51" s="466"/>
    </row>
    <row r="52" spans="2:39" ht="15.75" hidden="1" thickBot="1" x14ac:dyDescent="0.3">
      <c r="B52" s="557"/>
      <c r="C52" s="540"/>
      <c r="D52" s="362" t="str">
        <f t="shared" ref="D52:M52" si="112">D7</f>
        <v>Voltage</v>
      </c>
      <c r="E52" s="573"/>
      <c r="F52" s="573"/>
      <c r="G52" s="544" t="str">
        <f t="shared" si="109"/>
        <v>Pre-Emergency</v>
      </c>
      <c r="H52" s="544"/>
      <c r="I52" s="544" t="str">
        <f t="shared" si="109"/>
        <v>Emergency</v>
      </c>
      <c r="J52" s="544"/>
      <c r="K52" s="540"/>
      <c r="L52" s="545" t="str">
        <f t="shared" si="112"/>
        <v>AVAILABLE</v>
      </c>
      <c r="M52" s="546" t="str">
        <f t="shared" si="112"/>
        <v>UTILISED</v>
      </c>
      <c r="O52" s="555"/>
      <c r="P52" s="557"/>
      <c r="Q52" s="557"/>
      <c r="R52" s="567"/>
      <c r="S52" s="569"/>
      <c r="T52" s="540"/>
      <c r="U52" s="540"/>
      <c r="V52" s="542"/>
      <c r="X52" s="555"/>
      <c r="Y52" s="540"/>
      <c r="Z52" s="589"/>
      <c r="AA52" s="590"/>
      <c r="AB52" s="590"/>
      <c r="AC52" s="590"/>
      <c r="AD52" s="590"/>
      <c r="AE52" s="591"/>
      <c r="AF52" s="589"/>
      <c r="AG52" s="590"/>
      <c r="AH52" s="590"/>
      <c r="AI52" s="590"/>
      <c r="AJ52" s="590"/>
      <c r="AK52" s="591"/>
      <c r="AL52" s="577"/>
      <c r="AM52" s="466"/>
    </row>
    <row r="53" spans="2:39" ht="15.75" hidden="1" thickBot="1" x14ac:dyDescent="0.3">
      <c r="B53" s="558"/>
      <c r="C53" s="541"/>
      <c r="D53" s="345" t="str">
        <f t="shared" ref="D53:F53" si="113">D8</f>
        <v>(kV)</v>
      </c>
      <c r="E53" s="345" t="str">
        <f t="shared" si="113"/>
        <v>(A)</v>
      </c>
      <c r="F53" s="345" t="str">
        <f t="shared" si="113"/>
        <v>(A)</v>
      </c>
      <c r="G53" s="406" t="str">
        <f t="shared" si="109"/>
        <v>(A)</v>
      </c>
      <c r="H53" s="407" t="str">
        <f t="shared" si="109"/>
        <v>(MVA)</v>
      </c>
      <c r="I53" s="406" t="str">
        <f t="shared" si="109"/>
        <v>(A)</v>
      </c>
      <c r="J53" s="407" t="str">
        <f t="shared" si="109"/>
        <v>(MVA)</v>
      </c>
      <c r="K53" s="541"/>
      <c r="L53" s="541"/>
      <c r="M53" s="547"/>
      <c r="O53" s="556"/>
      <c r="P53" s="558"/>
      <c r="Q53" s="558"/>
      <c r="R53" s="568"/>
      <c r="S53" s="570"/>
      <c r="T53" s="541"/>
      <c r="U53" s="541"/>
      <c r="V53" s="543"/>
      <c r="X53" s="556"/>
      <c r="Y53" s="541"/>
      <c r="Z53" s="428" t="s">
        <v>26</v>
      </c>
      <c r="AA53" s="439" t="s">
        <v>2861</v>
      </c>
      <c r="AB53" s="450" t="s">
        <v>2959</v>
      </c>
      <c r="AC53" s="450" t="s">
        <v>2960</v>
      </c>
      <c r="AD53" s="450" t="s">
        <v>2957</v>
      </c>
      <c r="AE53" s="450" t="s">
        <v>2958</v>
      </c>
      <c r="AF53" s="428" t="s">
        <v>26</v>
      </c>
      <c r="AG53" s="439" t="s">
        <v>2861</v>
      </c>
      <c r="AH53" s="450" t="s">
        <v>2959</v>
      </c>
      <c r="AI53" s="450" t="s">
        <v>2960</v>
      </c>
      <c r="AJ53" s="450" t="s">
        <v>2957</v>
      </c>
      <c r="AK53" s="450" t="s">
        <v>2958</v>
      </c>
      <c r="AL53" s="547"/>
      <c r="AM53" s="466"/>
    </row>
    <row r="54" spans="2:39" hidden="1" x14ac:dyDescent="0.25">
      <c r="B54" s="38" t="s">
        <v>1608</v>
      </c>
      <c r="C54" s="3" t="s">
        <v>2500</v>
      </c>
      <c r="D54" s="61">
        <f t="shared" ref="D54:D64" si="114">ROUNDDOWN(S54,0)</f>
        <v>33</v>
      </c>
      <c r="E54" s="369">
        <f t="array" ref="E54">IF(U54="YES",IF(T54="YES",MIN(IF(BPD[Load Capability Reference]=CONCATENATE(P54,Q54,S54,R54),BPD[Lowest A-PTX])),MIN(IF(BPD[Load Capability Reference]=CONCATENATE(P54,Q54,S54,R54),IF(BPD[Equipment ID]&lt;&gt;O54,BPD[Lowest A-PTX])))),IF(T54="YES",MIN(IF(BPD[Load Capability Reference]=CONCATENATE(P54,Q54,S54,R54),BPD[Lowest A-No PTX])),MIN(IF(BPD[Load Capability Reference]=CONCATENATE(P54,Q54,S54,R54),IF(BPD[Equipment ID]&lt;&gt;O54,BPD[Lowest A-No PTX])))))</f>
        <v>582.79308811233284</v>
      </c>
      <c r="F54" s="61" t="str">
        <f>IFERROR(IFERROR(VLOOKUP(CONCATENATE(P54,Q54,O54,S54,"Protection"),BPD[[OC Protection Reference]:[Forward A]],23,0),VLOOKUP(O54,AEL_Protection_Data[],12,0)),"N/A")</f>
        <v>N/A</v>
      </c>
      <c r="G54" s="61">
        <f t="shared" ref="G54:G64" si="115">IFERROR(FLOOR(MIN(E54:F54)*$D$3,5),"")</f>
        <v>465</v>
      </c>
      <c r="H54" s="5">
        <f t="shared" ref="H54:H64" si="116">G54*S54*SQRT(3)/1000</f>
        <v>26.578319642144418</v>
      </c>
      <c r="I54" s="61">
        <f>IFERROR(FLOOR(MIN(E54:F54)*$D$2,5),"")</f>
        <v>520</v>
      </c>
      <c r="J54" s="5">
        <f t="shared" ref="J54:J64" si="117">I54*S54*SQRT(3)/1000</f>
        <v>29.721991857881935</v>
      </c>
      <c r="K54" s="3" t="str">
        <f>IF(U54="Yes",UPPER(IF(ISNUMBER(SEARCH("winding",VLOOKUP(CONCATENATE(P54,Q54,S54,E54),BPD[[Limiting Equipment Reference-PTX]:[Summ Equipment]],7,0))),"Power Transformer Rating at "&amp;ROUND(E54*S54*SQRT(3)/1000,2)&amp;" MVA",VLOOKUP(CONCATENATE(P54,Q54,S54,E54),BPD[[Limiting Equipment Reference-No PTX]:[Summ Equipment]],8,0))),UPPER(VLOOKUP(CONCATENATE(P54,Q54,S54,E54),BPD[[Limiting Equipment Reference-No PTX]:[Summ Equipment]],8,0)))</f>
        <v>OH LINE-JAGUAR</v>
      </c>
      <c r="L54" s="4" t="s">
        <v>1266</v>
      </c>
      <c r="M54" s="508" t="s">
        <v>1162</v>
      </c>
      <c r="O54" s="10" t="str">
        <f>"CNR-"&amp;B54</f>
        <v>CNR-CB642</v>
      </c>
      <c r="P54" s="38" t="s">
        <v>1245</v>
      </c>
      <c r="Q54" s="38" t="s">
        <v>1381</v>
      </c>
      <c r="R54" s="389"/>
      <c r="S54" s="139">
        <v>33</v>
      </c>
      <c r="T54" s="4" t="s">
        <v>1266</v>
      </c>
      <c r="U54" s="4" t="s">
        <v>1267</v>
      </c>
      <c r="V54" s="486"/>
      <c r="X54" s="494" t="s">
        <v>1608</v>
      </c>
      <c r="Y54" s="429" t="str">
        <f t="shared" ref="Y54:Y60" si="118">IF(X54=B54,C54,"NEW")</f>
        <v>T1 HV 33 KV</v>
      </c>
      <c r="Z54" s="430">
        <v>387</v>
      </c>
      <c r="AA54" s="440" t="str">
        <f t="shared" ref="AA54:AA60" si="119">IF(Z54&gt;E54,"q",IF(Z54&lt;E54,"p","u"))</f>
        <v>p</v>
      </c>
      <c r="AB54" s="453">
        <f t="shared" ref="AB54:AB64" si="120">IF(Z54="",0,IF(Z54-E54&lt;0,ABS(Z54-E54),0))</f>
        <v>195.79308811233284</v>
      </c>
      <c r="AC54" s="453">
        <f t="shared" ref="AC54:AC64" si="121">AB54*$S54*SQRT(3)/1000</f>
        <v>11.191078020585225</v>
      </c>
      <c r="AD54" s="453">
        <f t="shared" ref="AD54:AD64" si="122">IF(Z54="",0,IF(Z54-E54&gt;0,ABS(Z54-E54),0))</f>
        <v>0</v>
      </c>
      <c r="AE54" s="453">
        <f t="shared" ref="AE54:AE64" si="123">AD54*$S54*SQRT(3)/1000</f>
        <v>0</v>
      </c>
      <c r="AF54" s="430">
        <v>368</v>
      </c>
      <c r="AG54" s="435" t="str">
        <f t="shared" ref="AG54:AG58" si="124">IF(AF54&gt;F54,"q",IF(AF54&lt;F54,"p","u"))</f>
        <v>p</v>
      </c>
      <c r="AH54" s="453"/>
      <c r="AI54" s="453">
        <f t="shared" ref="AI54:AI64" si="125">AH54*$S54*SQRT(3)/1000</f>
        <v>0</v>
      </c>
      <c r="AJ54" s="453"/>
      <c r="AK54" s="453">
        <f t="shared" ref="AK54:AK64" si="126">AJ54*$S54*SQRT(3)/1000</f>
        <v>0</v>
      </c>
      <c r="AL54" s="469" t="s">
        <v>1266</v>
      </c>
    </row>
    <row r="55" spans="2:39" hidden="1" x14ac:dyDescent="0.25">
      <c r="B55" s="49" t="s">
        <v>587</v>
      </c>
      <c r="C55" s="168" t="s">
        <v>2501</v>
      </c>
      <c r="D55" s="119">
        <f t="shared" si="114"/>
        <v>11</v>
      </c>
      <c r="E55" s="370">
        <f t="array" ref="E55">IF(U55="YES",IF(T55="YES",MIN(IF(BPD[Load Capability Reference]=CONCATENATE(P55,Q55,S55,R55),BPD[Lowest A-PTX])),MIN(IF(BPD[Load Capability Reference]=CONCATENATE(P55,Q55,S55,R55),IF(BPD[Equipment ID]&lt;&gt;O55,BPD[Lowest A-PTX])))),IF(T55="YES",MIN(IF(BPD[Load Capability Reference]=CONCATENATE(P55,Q55,S55,R55),BPD[Lowest A-No PTX])),MIN(IF(BPD[Load Capability Reference]=CONCATENATE(P55,Q55,S55,R55),IF(BPD[Equipment ID]&lt;&gt;O55,BPD[Lowest A-No PTX])))))</f>
        <v>787.29582162221698</v>
      </c>
      <c r="F55" s="119">
        <f>IFERROR(IFERROR(VLOOKUP(CONCATENATE(P55,Q55,O55,S55,"Protection"),BPD[[OC Protection Reference]:[Forward A]],23,0),VLOOKUP(O55,AEL_Protection_Data[],12,0)),"N/A")</f>
        <v>1104</v>
      </c>
      <c r="G55" s="119">
        <f t="shared" si="115"/>
        <v>625</v>
      </c>
      <c r="H55" s="29">
        <f t="shared" si="116"/>
        <v>11.907849302036031</v>
      </c>
      <c r="I55" s="119">
        <f>IFERROR(FLOOR(MIN(E55:F55)*$D$2,5),"")</f>
        <v>705</v>
      </c>
      <c r="J55" s="29">
        <f t="shared" si="117"/>
        <v>13.432054012696643</v>
      </c>
      <c r="K55" s="6" t="str">
        <f>IF(U55="Yes",UPPER(IF(ISNUMBER(SEARCH("winding",VLOOKUP(CONCATENATE(P55,Q55,S55,E55),BPD[[Limiting Equipment Reference-PTX]:[Summ Equipment]],7,0))),"Power Transformer Rating at "&amp;ROUND(E55*S55*SQRT(3)/1000,2)&amp;" MVA",VLOOKUP(CONCATENATE(P55,Q55,S55,E55),BPD[[Limiting Equipment Reference-No PTX]:[Summ Equipment]],8,0))),UPPER(VLOOKUP(CONCATENATE(P55,Q55,S55,E55),BPD[[Limiting Equipment Reference-No PTX]:[Summ Equipment]],8,0)))</f>
        <v>POWER TRANSFORMER RATING AT 15 MVA</v>
      </c>
      <c r="L55" s="146" t="s">
        <v>1266</v>
      </c>
      <c r="M55" s="509" t="s">
        <v>1162</v>
      </c>
      <c r="O55" s="118" t="str">
        <f t="shared" ref="O55:O64" si="127">"CNR-"&amp;B55</f>
        <v>CNR-CB35</v>
      </c>
      <c r="P55" s="49" t="s">
        <v>1277</v>
      </c>
      <c r="Q55" s="49" t="s">
        <v>159</v>
      </c>
      <c r="R55" s="386"/>
      <c r="S55" s="43">
        <v>11</v>
      </c>
      <c r="T55" s="146" t="s">
        <v>1266</v>
      </c>
      <c r="U55" s="146" t="s">
        <v>1267</v>
      </c>
      <c r="V55" s="487"/>
      <c r="X55" s="495" t="s">
        <v>587</v>
      </c>
      <c r="Y55" s="431" t="str">
        <f t="shared" si="118"/>
        <v>T1 LV 11 KV</v>
      </c>
      <c r="Z55" s="432">
        <v>1160</v>
      </c>
      <c r="AA55" s="441" t="str">
        <f t="shared" si="119"/>
        <v>q</v>
      </c>
      <c r="AB55" s="134">
        <f t="shared" si="120"/>
        <v>0</v>
      </c>
      <c r="AC55" s="134">
        <f t="shared" si="121"/>
        <v>0</v>
      </c>
      <c r="AD55" s="134">
        <f t="shared" si="122"/>
        <v>372.70417837778302</v>
      </c>
      <c r="AE55" s="134">
        <f t="shared" si="123"/>
        <v>7.1009683045788741</v>
      </c>
      <c r="AF55" s="432">
        <v>960</v>
      </c>
      <c r="AG55" s="436" t="str">
        <f t="shared" si="124"/>
        <v>p</v>
      </c>
      <c r="AH55" s="134">
        <f t="shared" ref="AH55:AH64" si="128">IF(AF55="",0,IF(AF55-F55&lt;0,ABS(AF55-F55),0))</f>
        <v>144</v>
      </c>
      <c r="AI55" s="134">
        <f t="shared" si="125"/>
        <v>2.7435684791891011</v>
      </c>
      <c r="AJ55" s="134">
        <f t="shared" ref="AJ55:AJ64" si="129">IF(AF55="",0,IF(AF55-F55&gt;0,ABS(AF55-F55),0))</f>
        <v>0</v>
      </c>
      <c r="AK55" s="134">
        <f t="shared" si="126"/>
        <v>0</v>
      </c>
      <c r="AL55" s="470" t="s">
        <v>1266</v>
      </c>
    </row>
    <row r="56" spans="2:39" hidden="1" x14ac:dyDescent="0.25">
      <c r="B56" s="49" t="s">
        <v>588</v>
      </c>
      <c r="C56" s="168" t="s">
        <v>2502</v>
      </c>
      <c r="D56" s="119">
        <f t="shared" si="114"/>
        <v>11</v>
      </c>
      <c r="E56" s="366">
        <v>125</v>
      </c>
      <c r="F56" s="119">
        <f>IFERROR(IFERROR(VLOOKUP(CONCATENATE(P56,Q56,O56,S56,"Protection"),BPD[[OC Protection Reference]:[Forward A]],23,0),VLOOKUP(O56,AEL_Protection_Data[],12,0)),"N/A")</f>
        <v>144</v>
      </c>
      <c r="G56" s="119">
        <f t="shared" si="115"/>
        <v>100</v>
      </c>
      <c r="H56" s="29">
        <f t="shared" si="116"/>
        <v>1.9052558883257651</v>
      </c>
      <c r="I56" s="119">
        <v>85</v>
      </c>
      <c r="J56" s="29">
        <f t="shared" si="117"/>
        <v>1.6194675050769001</v>
      </c>
      <c r="K56" s="6" t="s">
        <v>2503</v>
      </c>
      <c r="L56" s="146" t="s">
        <v>1266</v>
      </c>
      <c r="M56" s="509" t="s">
        <v>1162</v>
      </c>
      <c r="O56" s="11" t="str">
        <f t="shared" si="127"/>
        <v>CNR-CB36</v>
      </c>
      <c r="P56" s="49" t="s">
        <v>1277</v>
      </c>
      <c r="Q56" s="49" t="s">
        <v>159</v>
      </c>
      <c r="R56" s="386"/>
      <c r="S56" s="43">
        <v>11</v>
      </c>
      <c r="T56" s="8" t="s">
        <v>1266</v>
      </c>
      <c r="U56" s="8" t="s">
        <v>1266</v>
      </c>
      <c r="V56" s="484" t="s">
        <v>2513</v>
      </c>
      <c r="X56" s="495" t="s">
        <v>588</v>
      </c>
      <c r="Y56" s="431" t="str">
        <f t="shared" si="118"/>
        <v>STU ALTERNATE FEED</v>
      </c>
      <c r="Z56" s="432">
        <v>125</v>
      </c>
      <c r="AA56" s="441" t="str">
        <f t="shared" si="119"/>
        <v>u</v>
      </c>
      <c r="AB56" s="134">
        <f t="shared" si="120"/>
        <v>0</v>
      </c>
      <c r="AC56" s="134">
        <f t="shared" si="121"/>
        <v>0</v>
      </c>
      <c r="AD56" s="134">
        <f t="shared" si="122"/>
        <v>0</v>
      </c>
      <c r="AE56" s="134">
        <f t="shared" si="123"/>
        <v>0</v>
      </c>
      <c r="AF56" s="432">
        <v>150</v>
      </c>
      <c r="AG56" s="436" t="str">
        <f t="shared" si="124"/>
        <v>q</v>
      </c>
      <c r="AH56" s="134">
        <f t="shared" si="128"/>
        <v>0</v>
      </c>
      <c r="AI56" s="134">
        <f t="shared" si="125"/>
        <v>0</v>
      </c>
      <c r="AJ56" s="134">
        <f t="shared" si="129"/>
        <v>6</v>
      </c>
      <c r="AK56" s="134">
        <f t="shared" si="126"/>
        <v>0.1143153532995459</v>
      </c>
      <c r="AL56" s="470" t="s">
        <v>1266</v>
      </c>
    </row>
    <row r="57" spans="2:39" hidden="1" x14ac:dyDescent="0.25">
      <c r="B57" s="49"/>
      <c r="C57" s="168"/>
      <c r="D57" s="119">
        <f t="shared" si="114"/>
        <v>11</v>
      </c>
      <c r="E57" s="366">
        <v>125</v>
      </c>
      <c r="F57" s="119">
        <f>F56</f>
        <v>144</v>
      </c>
      <c r="G57" s="119">
        <f t="shared" si="115"/>
        <v>100</v>
      </c>
      <c r="H57" s="29">
        <f t="shared" si="116"/>
        <v>1.9052558883257651</v>
      </c>
      <c r="I57" s="119">
        <v>35</v>
      </c>
      <c r="J57" s="29">
        <f t="shared" si="117"/>
        <v>0.66683956091401775</v>
      </c>
      <c r="K57" s="6" t="s">
        <v>2504</v>
      </c>
      <c r="L57" s="146" t="s">
        <v>0</v>
      </c>
      <c r="M57" s="509" t="s">
        <v>0</v>
      </c>
      <c r="O57" s="11"/>
      <c r="P57" s="49" t="s">
        <v>1277</v>
      </c>
      <c r="Q57" s="49" t="s">
        <v>159</v>
      </c>
      <c r="R57" s="386"/>
      <c r="S57" s="43">
        <v>11</v>
      </c>
      <c r="T57" s="8" t="s">
        <v>1266</v>
      </c>
      <c r="U57" s="8" t="s">
        <v>1266</v>
      </c>
      <c r="V57" s="484" t="s">
        <v>2513</v>
      </c>
      <c r="X57" s="495"/>
      <c r="Y57" s="431"/>
      <c r="Z57" s="432">
        <v>125</v>
      </c>
      <c r="AA57" s="441" t="str">
        <f t="shared" si="119"/>
        <v>u</v>
      </c>
      <c r="AB57" s="134">
        <f t="shared" si="120"/>
        <v>0</v>
      </c>
      <c r="AC57" s="134">
        <f t="shared" si="121"/>
        <v>0</v>
      </c>
      <c r="AD57" s="134">
        <f t="shared" si="122"/>
        <v>0</v>
      </c>
      <c r="AE57" s="134">
        <f t="shared" si="123"/>
        <v>0</v>
      </c>
      <c r="AF57" s="432">
        <v>150</v>
      </c>
      <c r="AG57" s="436" t="str">
        <f t="shared" si="124"/>
        <v>q</v>
      </c>
      <c r="AH57" s="134">
        <f t="shared" si="128"/>
        <v>0</v>
      </c>
      <c r="AI57" s="134">
        <f t="shared" si="125"/>
        <v>0</v>
      </c>
      <c r="AJ57" s="134">
        <f t="shared" si="129"/>
        <v>6</v>
      </c>
      <c r="AK57" s="134">
        <f t="shared" si="126"/>
        <v>0.1143153532995459</v>
      </c>
      <c r="AL57" s="470"/>
    </row>
    <row r="58" spans="2:39" hidden="1" x14ac:dyDescent="0.25">
      <c r="B58" s="49"/>
      <c r="C58" s="168"/>
      <c r="D58" s="119">
        <f t="shared" si="114"/>
        <v>11</v>
      </c>
      <c r="E58" s="366">
        <v>125</v>
      </c>
      <c r="F58" s="119">
        <f>F57</f>
        <v>144</v>
      </c>
      <c r="G58" s="119">
        <f t="shared" si="115"/>
        <v>100</v>
      </c>
      <c r="H58" s="29">
        <f t="shared" si="116"/>
        <v>1.9052558883257651</v>
      </c>
      <c r="I58" s="119">
        <v>25</v>
      </c>
      <c r="J58" s="29">
        <f t="shared" si="117"/>
        <v>0.47631397208144127</v>
      </c>
      <c r="K58" s="6" t="s">
        <v>2505</v>
      </c>
      <c r="L58" s="146" t="s">
        <v>0</v>
      </c>
      <c r="M58" s="509" t="s">
        <v>0</v>
      </c>
      <c r="O58" s="11"/>
      <c r="P58" s="49" t="s">
        <v>1277</v>
      </c>
      <c r="Q58" s="49" t="s">
        <v>159</v>
      </c>
      <c r="R58" s="386"/>
      <c r="S58" s="43">
        <v>11</v>
      </c>
      <c r="T58" s="8" t="s">
        <v>1266</v>
      </c>
      <c r="U58" s="8" t="s">
        <v>1266</v>
      </c>
      <c r="V58" s="484" t="s">
        <v>2513</v>
      </c>
      <c r="X58" s="495"/>
      <c r="Y58" s="431"/>
      <c r="Z58" s="432">
        <v>125</v>
      </c>
      <c r="AA58" s="441" t="str">
        <f t="shared" si="119"/>
        <v>u</v>
      </c>
      <c r="AB58" s="134">
        <f t="shared" si="120"/>
        <v>0</v>
      </c>
      <c r="AC58" s="134">
        <f t="shared" si="121"/>
        <v>0</v>
      </c>
      <c r="AD58" s="134">
        <f t="shared" si="122"/>
        <v>0</v>
      </c>
      <c r="AE58" s="134">
        <f t="shared" si="123"/>
        <v>0</v>
      </c>
      <c r="AF58" s="432">
        <v>150</v>
      </c>
      <c r="AG58" s="436" t="str">
        <f t="shared" si="124"/>
        <v>q</v>
      </c>
      <c r="AH58" s="134">
        <f t="shared" si="128"/>
        <v>0</v>
      </c>
      <c r="AI58" s="134">
        <f t="shared" si="125"/>
        <v>0</v>
      </c>
      <c r="AJ58" s="134">
        <f t="shared" si="129"/>
        <v>6</v>
      </c>
      <c r="AK58" s="134">
        <f t="shared" si="126"/>
        <v>0.1143153532995459</v>
      </c>
      <c r="AL58" s="470"/>
    </row>
    <row r="59" spans="2:39" hidden="1" x14ac:dyDescent="0.25">
      <c r="B59" s="49" t="s">
        <v>2464</v>
      </c>
      <c r="C59" s="168" t="s">
        <v>2506</v>
      </c>
      <c r="D59" s="119">
        <f t="shared" si="114"/>
        <v>11</v>
      </c>
      <c r="E59" s="366">
        <f t="array" ref="E59">IF(U59="YES",IF(T59="YES",MIN(IF(BPD[Load Capability Reference]=CONCATENATE(P59,Q59,S59,R59),BPD[Lowest A-PTX])),MIN(IF(BPD[Load Capability Reference]=CONCATENATE(P59,Q59,S59,R59),IF(BPD[Equipment ID]&lt;&gt;O59,BPD[Lowest A-PTX])))),IF(T59="YES",MIN(IF(BPD[Load Capability Reference]=CONCATENATE(P59,Q59,S59,R59),BPD[Lowest A-No PTX])),MIN(IF(BPD[Load Capability Reference]=CONCATENATE(P59,Q59,S59,R59),IF(BPD[Equipment ID]&lt;&gt;O59,BPD[Lowest A-No PTX])))))</f>
        <v>1104</v>
      </c>
      <c r="F59" s="119">
        <f>IFERROR(IFERROR(VLOOKUP(CONCATENATE(P59,Q59,O59,S59,"Protection"),BPD[[OC Protection Reference]:[Forward A]],23,0),VLOOKUP(O59,AEL_Protection_Data[],12,0)),"N/A")</f>
        <v>1200</v>
      </c>
      <c r="G59" s="119">
        <f t="shared" si="115"/>
        <v>880</v>
      </c>
      <c r="H59" s="29">
        <f t="shared" si="116"/>
        <v>16.766251817266731</v>
      </c>
      <c r="I59" s="119">
        <f t="shared" ref="I59:I64" si="130">IFERROR(FLOOR(MIN(E59:F59)*$D$2,5),"")</f>
        <v>990</v>
      </c>
      <c r="J59" s="29">
        <f t="shared" si="117"/>
        <v>18.862033294425075</v>
      </c>
      <c r="K59" s="6" t="str">
        <f>IF(U59="Yes",UPPER(IF(ISNUMBER(SEARCH("winding",VLOOKUP(CONCATENATE(P59,Q59,S59,E59),BPD[[Limiting Equipment Reference-PTX]:[Summ Equipment]],7,0))),"Power Transformer Rating at "&amp;ROUND(E59*S59*SQRT(3)/1000,2)&amp;" MVA",VLOOKUP(CONCATENATE(P59,Q59,S59,E59),BPD[[Limiting Equipment Reference-No PTX]:[Summ Equipment]],8,0))),UPPER(VLOOKUP(CONCATENATE(P59,Q59,S59,E59),BPD[[Limiting Equipment Reference-No PTX]:[Summ Equipment]],8,0)))</f>
        <v>CIRCUIT BREAKER-CNR-CB35-PROTECTION</v>
      </c>
      <c r="L59" s="146" t="s">
        <v>1266</v>
      </c>
      <c r="M59" s="509" t="s">
        <v>1162</v>
      </c>
      <c r="O59" s="118" t="str">
        <f t="shared" ref="O59:O60" si="131">"CNR-"&amp;B59</f>
        <v>CNR-CB31</v>
      </c>
      <c r="P59" s="49" t="s">
        <v>1277</v>
      </c>
      <c r="Q59" s="49" t="s">
        <v>159</v>
      </c>
      <c r="R59" s="386"/>
      <c r="S59" s="43">
        <v>11</v>
      </c>
      <c r="T59" s="8" t="s">
        <v>1266</v>
      </c>
      <c r="U59" s="8" t="s">
        <v>1266</v>
      </c>
      <c r="V59" s="484"/>
      <c r="X59" s="495" t="s">
        <v>2464</v>
      </c>
      <c r="Y59" s="431" t="str">
        <f t="shared" si="118"/>
        <v>BUS COUPLER BUS A</v>
      </c>
      <c r="Z59" s="432">
        <v>1250</v>
      </c>
      <c r="AA59" s="441" t="str">
        <f t="shared" si="119"/>
        <v>q</v>
      </c>
      <c r="AB59" s="134">
        <f t="shared" si="120"/>
        <v>0</v>
      </c>
      <c r="AC59" s="134">
        <f t="shared" si="121"/>
        <v>0</v>
      </c>
      <c r="AD59" s="134">
        <f t="shared" si="122"/>
        <v>146</v>
      </c>
      <c r="AE59" s="134">
        <f t="shared" si="123"/>
        <v>2.7816735969556166</v>
      </c>
      <c r="AF59" s="432"/>
      <c r="AG59" s="436"/>
      <c r="AH59" s="134">
        <f t="shared" si="128"/>
        <v>0</v>
      </c>
      <c r="AI59" s="134">
        <f t="shared" si="125"/>
        <v>0</v>
      </c>
      <c r="AJ59" s="134">
        <f t="shared" si="129"/>
        <v>0</v>
      </c>
      <c r="AK59" s="134">
        <f t="shared" si="126"/>
        <v>0</v>
      </c>
      <c r="AL59" s="470"/>
    </row>
    <row r="60" spans="2:39" hidden="1" x14ac:dyDescent="0.25">
      <c r="B60" s="7" t="s">
        <v>373</v>
      </c>
      <c r="C60" s="6" t="s">
        <v>2507</v>
      </c>
      <c r="D60" s="57">
        <f t="shared" si="114"/>
        <v>11</v>
      </c>
      <c r="E60" s="323">
        <f t="array" ref="E60">IF(U60="YES",IF(T60="YES",MIN(IF(BPD[Load Capability Reference]=CONCATENATE(P60,Q60,S60,R60),BPD[Lowest A-PTX])),MIN(IF(BPD[Load Capability Reference]=CONCATENATE(P60,Q60,S60,R60),IF(BPD[Equipment ID]&lt;&gt;O60,BPD[Lowest A-PTX])))),IF(T60="YES",MIN(IF(BPD[Load Capability Reference]=CONCATENATE(P60,Q60,S60,R60),BPD[Lowest A-No PTX])),MIN(IF(BPD[Load Capability Reference]=CONCATENATE(P60,Q60,S60,R60),IF(BPD[Equipment ID]&lt;&gt;O60,BPD[Lowest A-No PTX])))))</f>
        <v>1104</v>
      </c>
      <c r="F60" s="57">
        <f>IFERROR(IFERROR(VLOOKUP(CONCATENATE(P60,Q60,O60,S60,"Protection"),BPD[[OC Protection Reference]:[Forward A]],23,0),VLOOKUP(O60,AEL_Protection_Data[],12,0)),"N/A")</f>
        <v>1200</v>
      </c>
      <c r="G60" s="57">
        <f t="shared" si="115"/>
        <v>880</v>
      </c>
      <c r="H60" s="9">
        <f t="shared" si="116"/>
        <v>16.766251817266731</v>
      </c>
      <c r="I60" s="57">
        <f t="shared" si="130"/>
        <v>990</v>
      </c>
      <c r="J60" s="9">
        <f t="shared" si="117"/>
        <v>18.862033294425075</v>
      </c>
      <c r="K60" s="6" t="str">
        <f>IF(U60="Yes",UPPER(IF(ISNUMBER(SEARCH("winding",VLOOKUP(CONCATENATE(P60,Q60,S60,E60),BPD[[Limiting Equipment Reference-PTX]:[Summ Equipment]],7,0))),"Power Transformer Rating at "&amp;ROUND(E60*S60*SQRT(3)/1000,2)&amp;" MVA",VLOOKUP(CONCATENATE(P60,Q60,S60,E60),BPD[[Limiting Equipment Reference-No PTX]:[Summ Equipment]],8,0))),UPPER(VLOOKUP(CONCATENATE(P60,Q60,S60,E60),BPD[[Limiting Equipment Reference-No PTX]:[Summ Equipment]],8,0)))</f>
        <v>CIRCUIT BREAKER-CNR-CB35-PROTECTION</v>
      </c>
      <c r="L60" s="8" t="s">
        <v>1266</v>
      </c>
      <c r="M60" s="506" t="s">
        <v>1162</v>
      </c>
      <c r="O60" s="118" t="str">
        <f t="shared" si="131"/>
        <v>CNR-CB32</v>
      </c>
      <c r="P60" s="49" t="s">
        <v>1277</v>
      </c>
      <c r="Q60" s="49" t="s">
        <v>159</v>
      </c>
      <c r="R60" s="386"/>
      <c r="S60" s="43">
        <v>11</v>
      </c>
      <c r="T60" s="8" t="s">
        <v>1266</v>
      </c>
      <c r="U60" s="8" t="s">
        <v>1266</v>
      </c>
      <c r="V60" s="484"/>
      <c r="X60" s="496" t="s">
        <v>373</v>
      </c>
      <c r="Y60" s="431" t="str">
        <f t="shared" si="118"/>
        <v>BUS COUPLER BUS B</v>
      </c>
      <c r="Z60" s="432">
        <v>1250</v>
      </c>
      <c r="AA60" s="443" t="str">
        <f t="shared" si="119"/>
        <v>q</v>
      </c>
      <c r="AB60" s="134">
        <f t="shared" si="120"/>
        <v>0</v>
      </c>
      <c r="AC60" s="134">
        <f t="shared" si="121"/>
        <v>0</v>
      </c>
      <c r="AD60" s="134">
        <f t="shared" si="122"/>
        <v>146</v>
      </c>
      <c r="AE60" s="134">
        <f t="shared" si="123"/>
        <v>2.7816735969556166</v>
      </c>
      <c r="AF60" s="432"/>
      <c r="AG60" s="436"/>
      <c r="AH60" s="134">
        <f t="shared" si="128"/>
        <v>0</v>
      </c>
      <c r="AI60" s="134">
        <f t="shared" si="125"/>
        <v>0</v>
      </c>
      <c r="AJ60" s="134">
        <f t="shared" si="129"/>
        <v>0</v>
      </c>
      <c r="AK60" s="134">
        <f t="shared" si="126"/>
        <v>0</v>
      </c>
      <c r="AL60" s="470"/>
    </row>
    <row r="61" spans="2:39" hidden="1" x14ac:dyDescent="0.25">
      <c r="B61" s="7" t="s">
        <v>522</v>
      </c>
      <c r="C61" s="6" t="s">
        <v>2508</v>
      </c>
      <c r="D61" s="57">
        <f t="shared" si="114"/>
        <v>11</v>
      </c>
      <c r="E61" s="57">
        <f t="array" ref="E61">IF(U61="YES",IF(T61="YES",MIN(IF(BPD[Load Capability Reference]=CONCATENATE(P61,Q61,S61,R61),BPD[Lowest A-PTX])),MIN(IF(BPD[Load Capability Reference]=CONCATENATE(P61,Q61,S61,R61),IF(BPD[Equipment ID]&lt;&gt;O61,BPD[Lowest A-PTX])))),IF(T61="YES",MIN(IF(BPD[Load Capability Reference]=CONCATENATE(P61,Q61,S61,R61),BPD[Lowest A-No PTX])),MIN(IF(BPD[Load Capability Reference]=CONCATENATE(P61,Q61,S61,R61),IF(BPD[Equipment ID]&lt;&gt;O61,BPD[Lowest A-No PTX])))))</f>
        <v>378.90719999999999</v>
      </c>
      <c r="F61" s="57">
        <f>IFERROR(IFERROR(VLOOKUP(CONCATENATE(P61,Q61,O61,S61,"Protection"),BPD[[OC Protection Reference]:[Forward A]],23,0),VLOOKUP(O61,AEL_Protection_Data[],12,0)),"N/A")</f>
        <v>402</v>
      </c>
      <c r="G61" s="57">
        <f t="shared" si="115"/>
        <v>300</v>
      </c>
      <c r="H61" s="9">
        <f t="shared" si="116"/>
        <v>5.715767664977295</v>
      </c>
      <c r="I61" s="57">
        <f t="shared" si="130"/>
        <v>340</v>
      </c>
      <c r="J61" s="9">
        <f t="shared" si="117"/>
        <v>6.4778700203076003</v>
      </c>
      <c r="K61" s="6" t="str">
        <f>IF(U61="Yes",UPPER(IF(ISNUMBER(SEARCH("winding",VLOOKUP(CONCATENATE(P61,Q61,S61,E61),BPD[[Limiting Equipment Reference-PTX]:[Summ Equipment]],7,0))),"Power Transformer Rating at "&amp;ROUND(E61*S61*SQRT(3)/1000,2)&amp;" MVA",VLOOKUP(CONCATENATE(P61,Q61,S61,E61),BPD[[Limiting Equipment Reference-No PTX]:[Summ Equipment]],8,0))),UPPER(VLOOKUP(CONCATENATE(P61,Q61,S61,E61),BPD[[Limiting Equipment Reference-No PTX]:[Summ Equipment]],8,0)))</f>
        <v>CABLE-3-1C 400MM² AL XLPE CWS MDPE</v>
      </c>
      <c r="L61" s="8" t="s">
        <v>1266</v>
      </c>
      <c r="M61" s="506" t="s">
        <v>1162</v>
      </c>
      <c r="O61" s="11" t="str">
        <f t="shared" si="127"/>
        <v>CNR-CB8</v>
      </c>
      <c r="P61" s="7" t="s">
        <v>1276</v>
      </c>
      <c r="Q61" s="7" t="s">
        <v>167</v>
      </c>
      <c r="R61" s="386"/>
      <c r="S61" s="43">
        <v>11</v>
      </c>
      <c r="T61" s="8" t="s">
        <v>1266</v>
      </c>
      <c r="U61" s="8" t="s">
        <v>1266</v>
      </c>
      <c r="V61" s="484"/>
      <c r="X61" s="496" t="s">
        <v>522</v>
      </c>
      <c r="Y61" s="431" t="str">
        <f t="shared" ref="Y61:Y64" si="132">IF(X61=B61,C61,"NEW")</f>
        <v>CANNING PLANT</v>
      </c>
      <c r="Z61" s="432">
        <v>529</v>
      </c>
      <c r="AA61" s="443" t="str">
        <f t="shared" ref="AA61:AA64" si="133">IF(Z61&gt;E61,"q",IF(Z61&lt;E61,"p","u"))</f>
        <v>q</v>
      </c>
      <c r="AB61" s="134">
        <f t="shared" si="120"/>
        <v>0</v>
      </c>
      <c r="AC61" s="134">
        <f t="shared" si="121"/>
        <v>0</v>
      </c>
      <c r="AD61" s="134">
        <f t="shared" si="122"/>
        <v>150.09280000000001</v>
      </c>
      <c r="AE61" s="134">
        <f t="shared" si="123"/>
        <v>2.8596519099530142</v>
      </c>
      <c r="AF61" s="432">
        <v>402</v>
      </c>
      <c r="AG61" s="436" t="str">
        <f t="shared" ref="AG61:AG64" si="134">IF(AF61&gt;F61,"q",IF(AF61&lt;F61,"p","u"))</f>
        <v>u</v>
      </c>
      <c r="AH61" s="134">
        <f t="shared" si="128"/>
        <v>0</v>
      </c>
      <c r="AI61" s="134">
        <f t="shared" si="125"/>
        <v>0</v>
      </c>
      <c r="AJ61" s="134">
        <f t="shared" si="129"/>
        <v>0</v>
      </c>
      <c r="AK61" s="134">
        <f t="shared" si="126"/>
        <v>0</v>
      </c>
      <c r="AL61" s="470" t="s">
        <v>1266</v>
      </c>
    </row>
    <row r="62" spans="2:39" x14ac:dyDescent="0.25">
      <c r="B62" s="7" t="s">
        <v>526</v>
      </c>
      <c r="C62" s="6" t="s">
        <v>2509</v>
      </c>
      <c r="D62" s="57">
        <f t="shared" si="114"/>
        <v>11</v>
      </c>
      <c r="E62" s="57">
        <f t="array" ref="E62">IF(U62="YES",IF(T62="YES",MIN(IF(BPD[Load Capability Reference]=CONCATENATE(P62,Q62,S62,R62),BPD[Lowest A-PTX])),MIN(IF(BPD[Load Capability Reference]=CONCATENATE(P62,Q62,S62,R62),IF(BPD[Equipment ID]&lt;&gt;O62,BPD[Lowest A-PTX])))),IF(T62="YES",MIN(IF(BPD[Load Capability Reference]=CONCATENATE(P62,Q62,S62,R62),BPD[Lowest A-No PTX])),MIN(IF(BPD[Load Capability Reference]=CONCATENATE(P62,Q62,S62,R62),IF(BPD[Equipment ID]&lt;&gt;O62,BPD[Lowest A-No PTX])))))</f>
        <v>394.69499999999994</v>
      </c>
      <c r="F62" s="57">
        <f>IFERROR(IFERROR(VLOOKUP(CONCATENATE(P62,Q62,O62,S62,"Protection"),BPD[[OC Protection Reference]:[Forward A]],23,0),VLOOKUP(O62,AEL_Protection_Data[],12,0)),"N/A")</f>
        <v>402</v>
      </c>
      <c r="G62" s="57">
        <f t="shared" si="115"/>
        <v>315</v>
      </c>
      <c r="H62" s="9">
        <f t="shared" si="116"/>
        <v>6.0015560482261598</v>
      </c>
      <c r="I62" s="57">
        <f t="shared" si="130"/>
        <v>355</v>
      </c>
      <c r="J62" s="9">
        <f t="shared" si="117"/>
        <v>6.763658403556466</v>
      </c>
      <c r="K62" s="6" t="str">
        <f>IF(U62="Yes",UPPER(IF(ISNUMBER(SEARCH("winding",VLOOKUP(CONCATENATE(P62,Q62,S62,E62),BPD[[Limiting Equipment Reference-PTX]:[Summ Equipment]],7,0))),"Power Transformer Rating at "&amp;ROUND(E62*S62*SQRT(3)/1000,2)&amp;" MVA",VLOOKUP(CONCATENATE(P62,Q62,S62,E62),BPD[[Limiting Equipment Reference-No PTX]:[Summ Equipment]],8,0))),UPPER(VLOOKUP(CONCATENATE(P62,Q62,S62,E62),BPD[[Limiting Equipment Reference-No PTX]:[Summ Equipment]],8,0)))</f>
        <v>CABLE-3-1C 400MM² AL XLPE CWS MDPE</v>
      </c>
      <c r="L62" s="8" t="s">
        <v>1266</v>
      </c>
      <c r="M62" s="506" t="s">
        <v>1162</v>
      </c>
      <c r="O62" s="11" t="str">
        <f t="shared" si="127"/>
        <v>CNR-CB9</v>
      </c>
      <c r="P62" s="7" t="s">
        <v>1276</v>
      </c>
      <c r="Q62" s="7" t="s">
        <v>175</v>
      </c>
      <c r="R62" s="386"/>
      <c r="S62" s="43">
        <v>11</v>
      </c>
      <c r="T62" s="8" t="s">
        <v>1266</v>
      </c>
      <c r="U62" s="8" t="s">
        <v>1266</v>
      </c>
      <c r="V62" s="484"/>
      <c r="X62" s="496" t="s">
        <v>526</v>
      </c>
      <c r="Y62" s="431" t="str">
        <f t="shared" si="132"/>
        <v>WET PROCESS</v>
      </c>
      <c r="Z62" s="432">
        <v>529</v>
      </c>
      <c r="AA62" s="443" t="str">
        <f t="shared" si="133"/>
        <v>q</v>
      </c>
      <c r="AB62" s="134">
        <f t="shared" si="120"/>
        <v>0</v>
      </c>
      <c r="AC62" s="134">
        <f t="shared" si="121"/>
        <v>0</v>
      </c>
      <c r="AD62" s="134">
        <f t="shared" si="122"/>
        <v>134.30500000000006</v>
      </c>
      <c r="AE62" s="134">
        <f t="shared" si="123"/>
        <v>2.55885392081592</v>
      </c>
      <c r="AF62" s="432">
        <v>402</v>
      </c>
      <c r="AG62" s="436" t="str">
        <f t="shared" si="134"/>
        <v>u</v>
      </c>
      <c r="AH62" s="134">
        <f t="shared" si="128"/>
        <v>0</v>
      </c>
      <c r="AI62" s="134">
        <f t="shared" si="125"/>
        <v>0</v>
      </c>
      <c r="AJ62" s="134">
        <f t="shared" si="129"/>
        <v>0</v>
      </c>
      <c r="AK62" s="134">
        <f t="shared" si="126"/>
        <v>0</v>
      </c>
      <c r="AL62" s="470" t="s">
        <v>1266</v>
      </c>
    </row>
    <row r="63" spans="2:39" hidden="1" x14ac:dyDescent="0.25">
      <c r="B63" s="39" t="s">
        <v>607</v>
      </c>
      <c r="C63" s="14" t="s">
        <v>2914</v>
      </c>
      <c r="D63" s="128">
        <f t="shared" si="114"/>
        <v>11</v>
      </c>
      <c r="E63" s="128">
        <f t="array" ref="E63">IF(U63="YES",IF(T63="YES",MIN(IF(BPD[Load Capability Reference]=CONCATENATE(P63,Q63,S63,R63),BPD[Lowest A-PTX])),MIN(IF(BPD[Load Capability Reference]=CONCATENATE(P63,Q63,S63,R63),IF(BPD[Equipment ID]&lt;&gt;O63,BPD[Lowest A-PTX])))),IF(T63="YES",MIN(IF(BPD[Load Capability Reference]=CONCATENATE(P63,Q63,S63,R63),BPD[Lowest A-No PTX])),MIN(IF(BPD[Load Capability Reference]=CONCATENATE(P63,Q63,S63,R63),IF(BPD[Equipment ID]&lt;&gt;O63,BPD[Lowest A-No PTX])))))</f>
        <v>378.90719999999999</v>
      </c>
      <c r="F63" s="128">
        <f>IFERROR(IFERROR(VLOOKUP(CONCATENATE(P63,Q63,O63,S63,"Protection"),BPD[[OC Protection Reference]:[Forward A]],23,0),VLOOKUP(O63,AEL_Protection_Data[],12,0)),"N/A")</f>
        <v>402</v>
      </c>
      <c r="G63" s="128">
        <f t="shared" si="115"/>
        <v>300</v>
      </c>
      <c r="H63" s="16">
        <f t="shared" si="116"/>
        <v>5.715767664977295</v>
      </c>
      <c r="I63" s="128">
        <f t="shared" si="130"/>
        <v>340</v>
      </c>
      <c r="J63" s="16">
        <f t="shared" si="117"/>
        <v>6.4778700203076003</v>
      </c>
      <c r="K63" s="14" t="str">
        <f>IF(U63="Yes",UPPER(IF(ISNUMBER(SEARCH("winding",VLOOKUP(CONCATENATE(P63,Q63,S63,E63),BPD[[Limiting Equipment Reference-PTX]:[Summ Equipment]],7,0))),"Power Transformer Rating at "&amp;ROUND(E63*S63*SQRT(3)/1000,2)&amp;" MVA",VLOOKUP(CONCATENATE(P63,Q63,S63,E63),BPD[[Limiting Equipment Reference-No PTX]:[Summ Equipment]],8,0))),UPPER(VLOOKUP(CONCATENATE(P63,Q63,S63,E63),BPD[[Limiting Equipment Reference-No PTX]:[Summ Equipment]],8,0)))</f>
        <v>CABLE-3-1C 400MM² AL XLPE CWS MDPE</v>
      </c>
      <c r="L63" s="15" t="s">
        <v>1266</v>
      </c>
      <c r="M63" s="510" t="s">
        <v>1162</v>
      </c>
      <c r="O63" s="11" t="str">
        <f t="shared" si="127"/>
        <v>CNR-CB11</v>
      </c>
      <c r="P63" s="7" t="s">
        <v>1276</v>
      </c>
      <c r="Q63" s="7" t="s">
        <v>181</v>
      </c>
      <c r="R63" s="386"/>
      <c r="S63" s="43">
        <v>11</v>
      </c>
      <c r="T63" s="8" t="s">
        <v>1266</v>
      </c>
      <c r="U63" s="8" t="s">
        <v>1266</v>
      </c>
      <c r="V63" s="484"/>
      <c r="X63" s="322" t="s">
        <v>607</v>
      </c>
      <c r="Y63" s="431" t="str">
        <f t="shared" si="132"/>
        <v>BOILER_CHILLER NO. 1</v>
      </c>
      <c r="Z63" s="432">
        <v>529</v>
      </c>
      <c r="AA63" s="443" t="str">
        <f t="shared" si="133"/>
        <v>q</v>
      </c>
      <c r="AB63" s="134">
        <f t="shared" si="120"/>
        <v>0</v>
      </c>
      <c r="AC63" s="134">
        <f t="shared" si="121"/>
        <v>0</v>
      </c>
      <c r="AD63" s="134">
        <f t="shared" si="122"/>
        <v>150.09280000000001</v>
      </c>
      <c r="AE63" s="134">
        <f t="shared" si="123"/>
        <v>2.8596519099530142</v>
      </c>
      <c r="AF63" s="432">
        <v>402</v>
      </c>
      <c r="AG63" s="436" t="str">
        <f t="shared" si="134"/>
        <v>u</v>
      </c>
      <c r="AH63" s="134">
        <f t="shared" si="128"/>
        <v>0</v>
      </c>
      <c r="AI63" s="134">
        <f t="shared" si="125"/>
        <v>0</v>
      </c>
      <c r="AJ63" s="134">
        <f t="shared" si="129"/>
        <v>0</v>
      </c>
      <c r="AK63" s="134">
        <f t="shared" si="126"/>
        <v>0</v>
      </c>
      <c r="AL63" s="470" t="s">
        <v>1266</v>
      </c>
    </row>
    <row r="64" spans="2:39" ht="15.75" hidden="1" thickBot="1" x14ac:dyDescent="0.3">
      <c r="B64" s="193" t="s">
        <v>610</v>
      </c>
      <c r="C64" s="191" t="s">
        <v>2511</v>
      </c>
      <c r="D64" s="197">
        <f t="shared" si="114"/>
        <v>11</v>
      </c>
      <c r="E64" s="197">
        <f t="array" ref="E64">IF(U64="YES",IF(T64="YES",MIN(IF(BPD[Load Capability Reference]=CONCATENATE(P64,Q64,S64,R64),BPD[Lowest A-PTX])),MIN(IF(BPD[Load Capability Reference]=CONCATENATE(P64,Q64,S64,R64),IF(BPD[Equipment ID]&lt;&gt;O64,BPD[Lowest A-PTX])))),IF(T64="YES",MIN(IF(BPD[Load Capability Reference]=CONCATENATE(P64,Q64,S64,R64),BPD[Lowest A-No PTX])),MIN(IF(BPD[Load Capability Reference]=CONCATENATE(P64,Q64,S64,R64),IF(BPD[Equipment ID]&lt;&gt;O64,BPD[Lowest A-No PTX])))))</f>
        <v>394.69499999999994</v>
      </c>
      <c r="F64" s="197">
        <f>IFERROR(IFERROR(VLOOKUP(CONCATENATE(P64,Q64,O64,S64,"Protection"),BPD[[OC Protection Reference]:[Forward A]],23,0),VLOOKUP(O64,AEL_Protection_Data[],12,0)),"N/A")</f>
        <v>402</v>
      </c>
      <c r="G64" s="197">
        <f t="shared" si="115"/>
        <v>315</v>
      </c>
      <c r="H64" s="155">
        <f t="shared" si="116"/>
        <v>6.0015560482261598</v>
      </c>
      <c r="I64" s="197">
        <f t="shared" si="130"/>
        <v>355</v>
      </c>
      <c r="J64" s="155">
        <f t="shared" si="117"/>
        <v>6.763658403556466</v>
      </c>
      <c r="K64" s="191" t="str">
        <f>IF(U64="Yes",UPPER(IF(ISNUMBER(SEARCH("winding",VLOOKUP(CONCATENATE(P64,Q64,S64,E64),BPD[[Limiting Equipment Reference-PTX]:[Summ Equipment]],7,0))),"Power Transformer Rating at "&amp;ROUND(E64*S64*SQRT(3)/1000,2)&amp;" MVA",VLOOKUP(CONCATENATE(P64,Q64,S64,E64),BPD[[Limiting Equipment Reference-No PTX]:[Summ Equipment]],8,0))),UPPER(VLOOKUP(CONCATENATE(P64,Q64,S64,E64),BPD[[Limiting Equipment Reference-No PTX]:[Summ Equipment]],8,0)))</f>
        <v>CABLE-3-1C 400MM² AL XLPE CWS MDPE</v>
      </c>
      <c r="L64" s="201" t="s">
        <v>1266</v>
      </c>
      <c r="M64" s="507" t="s">
        <v>1162</v>
      </c>
      <c r="O64" s="192" t="str">
        <f t="shared" si="127"/>
        <v>CNR-CB12</v>
      </c>
      <c r="P64" s="193" t="s">
        <v>1276</v>
      </c>
      <c r="Q64" s="193" t="s">
        <v>184</v>
      </c>
      <c r="R64" s="387"/>
      <c r="S64" s="175">
        <v>11</v>
      </c>
      <c r="T64" s="201" t="s">
        <v>1266</v>
      </c>
      <c r="U64" s="201" t="s">
        <v>1266</v>
      </c>
      <c r="V64" s="485"/>
      <c r="X64" s="497" t="s">
        <v>610</v>
      </c>
      <c r="Y64" s="433" t="str">
        <f t="shared" si="132"/>
        <v>OFFICE</v>
      </c>
      <c r="Z64" s="434">
        <v>529</v>
      </c>
      <c r="AA64" s="444" t="str">
        <f t="shared" si="133"/>
        <v>q</v>
      </c>
      <c r="AB64" s="451">
        <f t="shared" si="120"/>
        <v>0</v>
      </c>
      <c r="AC64" s="451">
        <f t="shared" si="121"/>
        <v>0</v>
      </c>
      <c r="AD64" s="451">
        <f t="shared" si="122"/>
        <v>134.30500000000006</v>
      </c>
      <c r="AE64" s="451">
        <f t="shared" si="123"/>
        <v>2.55885392081592</v>
      </c>
      <c r="AF64" s="434">
        <v>402</v>
      </c>
      <c r="AG64" s="437" t="str">
        <f t="shared" si="134"/>
        <v>u</v>
      </c>
      <c r="AH64" s="451">
        <f t="shared" si="128"/>
        <v>0</v>
      </c>
      <c r="AI64" s="451">
        <f t="shared" si="125"/>
        <v>0</v>
      </c>
      <c r="AJ64" s="451">
        <f t="shared" si="129"/>
        <v>0</v>
      </c>
      <c r="AK64" s="451">
        <f t="shared" si="126"/>
        <v>0</v>
      </c>
      <c r="AL64" s="471" t="s">
        <v>1266</v>
      </c>
    </row>
    <row r="65" spans="2:39" hidden="1" x14ac:dyDescent="0.25">
      <c r="B65" s="1"/>
      <c r="R65" s="388"/>
      <c r="X65" s="427" t="s">
        <v>159</v>
      </c>
      <c r="AB65" s="449">
        <f>SUM(AB54:AB64)</f>
        <v>195.79308811233284</v>
      </c>
      <c r="AC65" s="449">
        <f t="shared" ref="AC65:AE65" si="135">SUM(AC54:AC64)</f>
        <v>11.191078020585225</v>
      </c>
      <c r="AD65" s="449">
        <f t="shared" si="135"/>
        <v>1233.4997783777833</v>
      </c>
      <c r="AE65" s="449">
        <f t="shared" si="135"/>
        <v>23.501327160027977</v>
      </c>
      <c r="AH65" s="449">
        <f>SUM(AH55:AH64)</f>
        <v>144</v>
      </c>
      <c r="AI65" s="449">
        <f t="shared" ref="AI65:AK65" si="136">SUM(AI55:AI64)</f>
        <v>2.7435684791891011</v>
      </c>
      <c r="AJ65" s="449">
        <f t="shared" si="136"/>
        <v>18</v>
      </c>
      <c r="AK65" s="449">
        <f t="shared" si="136"/>
        <v>0.34294605989863769</v>
      </c>
    </row>
    <row r="66" spans="2:39" ht="27" hidden="1" thickBot="1" x14ac:dyDescent="0.3">
      <c r="B66" s="551" t="s">
        <v>2563</v>
      </c>
      <c r="C66" s="552"/>
      <c r="D66" s="552"/>
      <c r="E66" s="552"/>
      <c r="F66" s="552"/>
      <c r="G66" s="552"/>
      <c r="H66" s="552"/>
      <c r="I66" s="552"/>
      <c r="J66" s="552"/>
      <c r="K66" s="552"/>
      <c r="L66" s="552"/>
      <c r="M66" s="553"/>
      <c r="O66" s="551" t="s">
        <v>2391</v>
      </c>
      <c r="P66" s="552"/>
      <c r="Q66" s="552"/>
      <c r="R66" s="552"/>
      <c r="S66" s="552"/>
      <c r="T66" s="552"/>
      <c r="U66" s="552"/>
      <c r="V66" s="553"/>
      <c r="X66" s="586" t="str">
        <f>B66&amp;"-OLD"</f>
        <v>STUDHOLME GXP (T5 &amp; T6)-OLD</v>
      </c>
      <c r="Y66" s="587"/>
      <c r="Z66" s="587"/>
      <c r="AA66" s="587"/>
      <c r="AB66" s="587"/>
      <c r="AC66" s="587"/>
      <c r="AD66" s="587"/>
      <c r="AE66" s="587"/>
      <c r="AF66" s="587"/>
      <c r="AG66" s="587"/>
      <c r="AH66" s="587"/>
      <c r="AI66" s="587"/>
      <c r="AJ66" s="587"/>
      <c r="AK66" s="587"/>
      <c r="AL66" s="588"/>
      <c r="AM66" s="481"/>
    </row>
    <row r="67" spans="2:39" ht="15.75" hidden="1" thickBot="1" x14ac:dyDescent="0.3">
      <c r="B67" s="571" t="str">
        <f t="shared" ref="B67:L67" si="137">B6</f>
        <v>CB ID</v>
      </c>
      <c r="C67" s="545" t="str">
        <f t="shared" si="137"/>
        <v>DESIGNATION</v>
      </c>
      <c r="D67" s="382" t="str">
        <f t="shared" si="137"/>
        <v>Rated</v>
      </c>
      <c r="E67" s="572" t="str">
        <f t="shared" si="137"/>
        <v>LOAD
CAPABILITY</v>
      </c>
      <c r="F67" s="572" t="str">
        <f t="shared" si="137"/>
        <v>OC
PICKUP</v>
      </c>
      <c r="G67" s="559" t="str">
        <f t="shared" ref="G67:J69" si="138">G6</f>
        <v>SCADA ALARM</v>
      </c>
      <c r="H67" s="560"/>
      <c r="I67" s="560"/>
      <c r="J67" s="561"/>
      <c r="K67" s="574" t="str">
        <f t="shared" si="137"/>
        <v>LIMITING EQUIPMENT</v>
      </c>
      <c r="L67" s="575" t="str">
        <f t="shared" si="137"/>
        <v>RECLOSING</v>
      </c>
      <c r="M67" s="576"/>
      <c r="O67" s="554" t="str">
        <f t="shared" ref="O67:V67" si="139">O6</f>
        <v>OC Pick up
Reference ID</v>
      </c>
      <c r="P67" s="557" t="str">
        <f t="shared" si="139"/>
        <v>Supply Level</v>
      </c>
      <c r="Q67" s="566" t="str">
        <f t="shared" si="139"/>
        <v>Station/Feeder</v>
      </c>
      <c r="R67" s="567" t="str">
        <f t="shared" ref="R67" si="140">$R$6</f>
        <v>Refered
to PTX</v>
      </c>
      <c r="S67" s="569" t="str">
        <f t="shared" si="139"/>
        <v>Voltage</v>
      </c>
      <c r="T67" s="539" t="str">
        <f t="shared" si="139"/>
        <v>Include
CB</v>
      </c>
      <c r="U67" s="539" t="str">
        <f t="shared" si="139"/>
        <v>Include
PTX</v>
      </c>
      <c r="V67" s="542" t="str">
        <f t="shared" si="139"/>
        <v>Notes</v>
      </c>
      <c r="X67" s="585" t="s">
        <v>1260</v>
      </c>
      <c r="Y67" s="545" t="s">
        <v>1261</v>
      </c>
      <c r="Z67" s="559" t="s">
        <v>2749</v>
      </c>
      <c r="AA67" s="560"/>
      <c r="AB67" s="560"/>
      <c r="AC67" s="560"/>
      <c r="AD67" s="560"/>
      <c r="AE67" s="561"/>
      <c r="AF67" s="559" t="s">
        <v>1268</v>
      </c>
      <c r="AG67" s="560"/>
      <c r="AH67" s="560"/>
      <c r="AI67" s="560"/>
      <c r="AJ67" s="560"/>
      <c r="AK67" s="561"/>
      <c r="AL67" s="546" t="s">
        <v>2857</v>
      </c>
      <c r="AM67" s="466"/>
    </row>
    <row r="68" spans="2:39" ht="15.75" hidden="1" thickBot="1" x14ac:dyDescent="0.3">
      <c r="B68" s="557"/>
      <c r="C68" s="540"/>
      <c r="D68" s="362" t="str">
        <f t="shared" ref="D68:M68" si="141">D7</f>
        <v>Voltage</v>
      </c>
      <c r="E68" s="573"/>
      <c r="F68" s="573"/>
      <c r="G68" s="544" t="str">
        <f t="shared" si="138"/>
        <v>Pre-Emergency</v>
      </c>
      <c r="H68" s="544"/>
      <c r="I68" s="544" t="str">
        <f t="shared" si="138"/>
        <v>Emergency</v>
      </c>
      <c r="J68" s="544"/>
      <c r="K68" s="540"/>
      <c r="L68" s="545" t="str">
        <f t="shared" si="141"/>
        <v>AVAILABLE</v>
      </c>
      <c r="M68" s="546" t="str">
        <f t="shared" si="141"/>
        <v>UTILISED</v>
      </c>
      <c r="O68" s="555"/>
      <c r="P68" s="557"/>
      <c r="Q68" s="557"/>
      <c r="R68" s="567"/>
      <c r="S68" s="569"/>
      <c r="T68" s="540"/>
      <c r="U68" s="540"/>
      <c r="V68" s="542"/>
      <c r="X68" s="555"/>
      <c r="Y68" s="540"/>
      <c r="Z68" s="589"/>
      <c r="AA68" s="590"/>
      <c r="AB68" s="590"/>
      <c r="AC68" s="590"/>
      <c r="AD68" s="590"/>
      <c r="AE68" s="591"/>
      <c r="AF68" s="589"/>
      <c r="AG68" s="590"/>
      <c r="AH68" s="590"/>
      <c r="AI68" s="590"/>
      <c r="AJ68" s="590"/>
      <c r="AK68" s="591"/>
      <c r="AL68" s="577"/>
      <c r="AM68" s="466"/>
    </row>
    <row r="69" spans="2:39" ht="15.75" hidden="1" thickBot="1" x14ac:dyDescent="0.3">
      <c r="B69" s="558"/>
      <c r="C69" s="541"/>
      <c r="D69" s="345" t="str">
        <f t="shared" ref="D69:F69" si="142">D8</f>
        <v>(kV)</v>
      </c>
      <c r="E69" s="345" t="str">
        <f t="shared" si="142"/>
        <v>(A)</v>
      </c>
      <c r="F69" s="345" t="str">
        <f t="shared" si="142"/>
        <v>(A)</v>
      </c>
      <c r="G69" s="406" t="str">
        <f t="shared" si="138"/>
        <v>(A)</v>
      </c>
      <c r="H69" s="407" t="str">
        <f t="shared" si="138"/>
        <v>(MVA)</v>
      </c>
      <c r="I69" s="406" t="str">
        <f t="shared" si="138"/>
        <v>(A)</v>
      </c>
      <c r="J69" s="407" t="str">
        <f t="shared" si="138"/>
        <v>(MVA)</v>
      </c>
      <c r="K69" s="541"/>
      <c r="L69" s="541"/>
      <c r="M69" s="547"/>
      <c r="O69" s="556"/>
      <c r="P69" s="558"/>
      <c r="Q69" s="558"/>
      <c r="R69" s="568"/>
      <c r="S69" s="570"/>
      <c r="T69" s="541"/>
      <c r="U69" s="541"/>
      <c r="V69" s="543"/>
      <c r="X69" s="556"/>
      <c r="Y69" s="541"/>
      <c r="Z69" s="428" t="s">
        <v>26</v>
      </c>
      <c r="AA69" s="439" t="s">
        <v>2861</v>
      </c>
      <c r="AB69" s="450" t="s">
        <v>2959</v>
      </c>
      <c r="AC69" s="450" t="s">
        <v>2960</v>
      </c>
      <c r="AD69" s="450" t="s">
        <v>2957</v>
      </c>
      <c r="AE69" s="450" t="s">
        <v>2958</v>
      </c>
      <c r="AF69" s="428" t="s">
        <v>26</v>
      </c>
      <c r="AG69" s="439" t="s">
        <v>2861</v>
      </c>
      <c r="AH69" s="450" t="s">
        <v>2959</v>
      </c>
      <c r="AI69" s="450" t="s">
        <v>2960</v>
      </c>
      <c r="AJ69" s="450" t="s">
        <v>2957</v>
      </c>
      <c r="AK69" s="450" t="s">
        <v>2958</v>
      </c>
      <c r="AL69" s="547"/>
      <c r="AM69" s="466"/>
    </row>
    <row r="70" spans="2:39" hidden="1" x14ac:dyDescent="0.25">
      <c r="B70" s="38" t="s">
        <v>502</v>
      </c>
      <c r="C70" s="3" t="s">
        <v>2564</v>
      </c>
      <c r="D70" s="61">
        <f t="shared" ref="D70:D78" si="143">ROUNDDOWN(S70,0)</f>
        <v>11</v>
      </c>
      <c r="E70" s="369">
        <f t="array" ref="E70">IF(U70="YES",IF(T70="YES",MIN(IF(STU[Load Capability Reference]=CONCATENATE(P70,Q70,S70,R70),STU[Lowest A-PTX])),MIN(IF(STU[Load Capability Reference]=CONCATENATE(P70,Q70,S70,R70),IF(STU[Equipment ID]&lt;&gt;O70,STU[Lowest A-PTX])))),IF(T70="YES",MIN(IF(STU[Load Capability Reference]=CONCATENATE(P70,Q70,S70,R70),STU[Lowest A-No PTX])),MIN(IF(STU[Load Capability Reference]=CONCATENATE(P70,Q70,S70,R70),IF(STU[Equipment ID]&lt;&gt;O70,STU[Lowest A-No PTX])))))</f>
        <v>352.93876800000004</v>
      </c>
      <c r="F70" s="61">
        <f>IFERROR(IFERROR(VLOOKUP(CONCATENATE(P70,Q70,O70,S70,"Protection"),STU[[OC Protection Reference]:[Forward A]],23,0),VLOOKUP(O70,AEL_Protection_Data[],12,0)),"N/A")</f>
        <v>360</v>
      </c>
      <c r="G70" s="61">
        <f t="shared" ref="G70:G78" si="144">IFERROR(FLOOR(MIN(E70:F70)*$D$3,5),"")</f>
        <v>280</v>
      </c>
      <c r="H70" s="5">
        <f t="shared" ref="H70:H78" si="145">G70*S70*SQRT(3)/1000</f>
        <v>5.4307413840837606</v>
      </c>
      <c r="I70" s="61">
        <f t="shared" ref="I70:I78" si="146">IFERROR(FLOOR(MIN(E70:F70)*$D$2,5),"")</f>
        <v>315</v>
      </c>
      <c r="J70" s="5">
        <f t="shared" ref="J70:J78" si="147">I70*S70*SQRT(3)/1000</f>
        <v>6.1095840570942306</v>
      </c>
      <c r="K70" s="3" t="str">
        <f>IF(U70="Yes",UPPER(IF(ISNUMBER(SEARCH("winding",VLOOKUP(CONCATENATE(P70,Q70,S70,E70),STU[[Limiting Equipment Reference-PTX]:[Summ Equipment]],7,0))),"Power Transformer Rating at "&amp;ROUND(E70*S70*SQRT(3)/1000,2)&amp;" MVA",VLOOKUP(CONCATENATE(P70,Q70,S70,E70),STU[[Limiting Equipment Reference-No PTX]:[Summ Equipment]],8,0))),UPPER(VLOOKUP(CONCATENATE(P70,Q70,S70,E70),STU[[Limiting Equipment Reference-No PTX]:[Summ Equipment]],8,0)))</f>
        <v>CABLE-3C-300MM² AL XLPE HDPE</v>
      </c>
      <c r="L70" s="4" t="s">
        <v>1267</v>
      </c>
      <c r="M70" s="508" t="s">
        <v>1266</v>
      </c>
      <c r="O70" s="10" t="str">
        <f>"STU-"&amp;B70</f>
        <v>STU-CB1</v>
      </c>
      <c r="P70" s="38" t="s">
        <v>1276</v>
      </c>
      <c r="Q70" s="38" t="s">
        <v>92</v>
      </c>
      <c r="R70" s="389"/>
      <c r="S70" s="139">
        <v>11.198</v>
      </c>
      <c r="T70" s="4" t="s">
        <v>1266</v>
      </c>
      <c r="U70" s="4" t="s">
        <v>1266</v>
      </c>
      <c r="V70" s="486"/>
      <c r="X70" s="494" t="s">
        <v>502</v>
      </c>
      <c r="Y70" s="429" t="str">
        <f t="shared" ref="Y70:Y76" si="148">IF(X70=B70,C70,"NEW")</f>
        <v>OTAIO</v>
      </c>
      <c r="Z70" s="430">
        <v>350</v>
      </c>
      <c r="AA70" s="440" t="str">
        <f t="shared" ref="AA70:AA76" si="149">IF(Z70&gt;E70,"q",IF(Z70&lt;E70,"p","u"))</f>
        <v>p</v>
      </c>
      <c r="AB70" s="453">
        <f t="shared" ref="AB70:AB78" si="150">IF(Z70="",0,IF(Z70-E70&lt;0,ABS(Z70-E70),0))</f>
        <v>2.9387680000000387</v>
      </c>
      <c r="AC70" s="453">
        <f t="shared" ref="AC70:AC78" si="151">AB70*$S70*SQRT(3)/1000</f>
        <v>5.6998889270790262E-2</v>
      </c>
      <c r="AD70" s="453">
        <f t="shared" ref="AD70:AD78" si="152">IF(Z70="",0,IF(Z70-E70&gt;0,ABS(Z70-E70),0))</f>
        <v>0</v>
      </c>
      <c r="AE70" s="453">
        <f t="shared" ref="AE70:AE78" si="153">AD70*$S70*SQRT(3)/1000</f>
        <v>0</v>
      </c>
      <c r="AF70" s="430">
        <v>360</v>
      </c>
      <c r="AG70" s="435" t="str">
        <f t="shared" ref="AG70:AG76" si="154">IF(AF70&gt;F70,"q",IF(AF70&lt;F70,"p","u"))</f>
        <v>u</v>
      </c>
      <c r="AH70" s="453">
        <f t="shared" ref="AH70:AH78" si="155">IF(AF70="",0,IF(AF70-F70&lt;0,ABS(AF70-F70),0))</f>
        <v>0</v>
      </c>
      <c r="AI70" s="453">
        <f t="shared" ref="AI70:AI78" si="156">AH70*$S70*SQRT(3)/1000</f>
        <v>0</v>
      </c>
      <c r="AJ70" s="453">
        <f t="shared" ref="AJ70:AJ78" si="157">IF(AF70="",0,IF(AF70-F70&gt;0,ABS(AF70-F70),0))</f>
        <v>0</v>
      </c>
      <c r="AK70" s="453">
        <f t="shared" ref="AK70:AK78" si="158">AJ70*$S70*SQRT(3)/1000</f>
        <v>0</v>
      </c>
      <c r="AL70" s="469" t="s">
        <v>2860</v>
      </c>
    </row>
    <row r="71" spans="2:39" hidden="1" x14ac:dyDescent="0.25">
      <c r="B71" s="49" t="s">
        <v>507</v>
      </c>
      <c r="C71" s="168" t="s">
        <v>2565</v>
      </c>
      <c r="D71" s="119">
        <f t="shared" si="143"/>
        <v>11</v>
      </c>
      <c r="E71" s="370">
        <f t="array" ref="E71">IF(U71="YES",IF(T71="YES",MIN(IF(STU[Load Capability Reference]=CONCATENATE(P71,Q71,S71,R71),STU[Lowest A-PTX])),MIN(IF(STU[Load Capability Reference]=CONCATENATE(P71,Q71,S71,R71),IF(STU[Equipment ID]&lt;&gt;O71,STU[Lowest A-PTX])))),IF(T71="YES",MIN(IF(STU[Load Capability Reference]=CONCATENATE(P71,Q71,S71,R71),STU[Lowest A-No PTX])),MIN(IF(STU[Load Capability Reference]=CONCATENATE(P71,Q71,S71,R71),IF(STU[Equipment ID]&lt;&gt;O71,STU[Lowest A-No PTX])))))</f>
        <v>352.93876800000004</v>
      </c>
      <c r="F71" s="119">
        <f>IFERROR(IFERROR(VLOOKUP(CONCATENATE(P71,Q71,O71,S71,"Protection"),STU[[OC Protection Reference]:[Forward A]],23,0),VLOOKUP(O71,AEL_Protection_Data[],12,0)),"N/A")</f>
        <v>300</v>
      </c>
      <c r="G71" s="119">
        <f t="shared" si="144"/>
        <v>240</v>
      </c>
      <c r="H71" s="29">
        <f t="shared" si="145"/>
        <v>4.6549211863575088</v>
      </c>
      <c r="I71" s="119">
        <f t="shared" si="146"/>
        <v>270</v>
      </c>
      <c r="J71" s="29">
        <f t="shared" si="147"/>
        <v>5.236786334652197</v>
      </c>
      <c r="K71" s="6" t="str">
        <f>IF(U71="Yes",UPPER(IF(ISNUMBER(SEARCH("winding",VLOOKUP(CONCATENATE(P71,Q71,S71,E71),STU[[Limiting Equipment Reference-PTX]:[Summ Equipment]],7,0))),"Power Transformer Rating at "&amp;ROUND(E71*S71*SQRT(3)/1000,2)&amp;" MVA",VLOOKUP(CONCATENATE(P71,Q71,S71,E71),STU[[Limiting Equipment Reference-No PTX]:[Summ Equipment]],8,0))),UPPER(VLOOKUP(CONCATENATE(P71,Q71,S71,E71),STU[[Limiting Equipment Reference-No PTX]:[Summ Equipment]],8,0)))</f>
        <v>CABLE-3C-300MM² AL XLPE HDPE</v>
      </c>
      <c r="L71" s="146" t="s">
        <v>1267</v>
      </c>
      <c r="M71" s="509" t="s">
        <v>1267</v>
      </c>
      <c r="O71" s="118" t="str">
        <f t="shared" ref="O71:O78" si="159">"STU-"&amp;B71</f>
        <v>STU-CB2</v>
      </c>
      <c r="P71" s="49" t="s">
        <v>1276</v>
      </c>
      <c r="Q71" s="49" t="s">
        <v>105</v>
      </c>
      <c r="R71" s="386"/>
      <c r="S71" s="43">
        <v>11.198</v>
      </c>
      <c r="T71" s="146" t="s">
        <v>1266</v>
      </c>
      <c r="U71" s="146" t="s">
        <v>1266</v>
      </c>
      <c r="V71" s="487"/>
      <c r="X71" s="495" t="s">
        <v>507</v>
      </c>
      <c r="Y71" s="431" t="str">
        <f t="shared" si="148"/>
        <v>GLENAVY</v>
      </c>
      <c r="Z71" s="432">
        <v>350</v>
      </c>
      <c r="AA71" s="441" t="str">
        <f t="shared" si="149"/>
        <v>p</v>
      </c>
      <c r="AB71" s="134">
        <f t="shared" si="150"/>
        <v>2.9387680000000387</v>
      </c>
      <c r="AC71" s="134">
        <f t="shared" si="151"/>
        <v>5.6998889270790262E-2</v>
      </c>
      <c r="AD71" s="134">
        <f t="shared" si="152"/>
        <v>0</v>
      </c>
      <c r="AE71" s="134">
        <f t="shared" si="153"/>
        <v>0</v>
      </c>
      <c r="AF71" s="432">
        <v>300</v>
      </c>
      <c r="AG71" s="436" t="str">
        <f t="shared" si="154"/>
        <v>u</v>
      </c>
      <c r="AH71" s="134">
        <f t="shared" si="155"/>
        <v>0</v>
      </c>
      <c r="AI71" s="134">
        <f t="shared" si="156"/>
        <v>0</v>
      </c>
      <c r="AJ71" s="134">
        <f t="shared" si="157"/>
        <v>0</v>
      </c>
      <c r="AK71" s="134">
        <f t="shared" si="158"/>
        <v>0</v>
      </c>
      <c r="AL71" s="470" t="s">
        <v>1267</v>
      </c>
    </row>
    <row r="72" spans="2:39" hidden="1" x14ac:dyDescent="0.25">
      <c r="B72" s="49" t="s">
        <v>511</v>
      </c>
      <c r="C72" s="168" t="s">
        <v>2569</v>
      </c>
      <c r="D72" s="119">
        <f t="shared" si="143"/>
        <v>11</v>
      </c>
      <c r="E72" s="366">
        <f t="array" ref="E72">IF(U72="YES",IF(T72="YES",MIN(IF(STU[Load Capability Reference]=CONCATENATE(P72,Q72,S72,R72),STU[Lowest A-PTX])),MIN(IF(STU[Load Capability Reference]=CONCATENATE(P72,Q72,S72,R72),IF(STU[Equipment ID]&lt;&gt;O72,STU[Lowest A-PTX])))),IF(T72="YES",MIN(IF(STU[Load Capability Reference]=CONCATENATE(P72,Q72,S72,R72),STU[Lowest A-No PTX])),MIN(IF(STU[Load Capability Reference]=CONCATENATE(P72,Q72,S72,R72),IF(STU[Equipment ID]&lt;&gt;O72,STU[Lowest A-No PTX])))))</f>
        <v>352.93876800000004</v>
      </c>
      <c r="F72" s="119">
        <f>IFERROR(IFERROR(VLOOKUP(CONCATENATE(P72,Q72,O72,S72,"Protection"),STU[[OC Protection Reference]:[Forward A]],23,0),VLOOKUP(O72,AEL_Protection_Data[],12,0)),"N/A")</f>
        <v>300</v>
      </c>
      <c r="G72" s="119">
        <f t="shared" si="144"/>
        <v>240</v>
      </c>
      <c r="H72" s="29">
        <f t="shared" si="145"/>
        <v>4.6549211863575088</v>
      </c>
      <c r="I72" s="119">
        <f t="shared" si="146"/>
        <v>270</v>
      </c>
      <c r="J72" s="29">
        <f t="shared" si="147"/>
        <v>5.236786334652197</v>
      </c>
      <c r="K72" s="6" t="str">
        <f>IF(U72="Yes",UPPER(IF(ISNUMBER(SEARCH("winding",VLOOKUP(CONCATENATE(P72,Q72,S72,E72),STU[[Limiting Equipment Reference-PTX]:[Summ Equipment]],7,0))),"Power Transformer Rating at "&amp;ROUND(E72*S72*SQRT(3)/1000,2)&amp;" MVA",VLOOKUP(CONCATENATE(P72,Q72,S72,E72),STU[[Limiting Equipment Reference-No PTX]:[Summ Equipment]],8,0))),UPPER(VLOOKUP(CONCATENATE(P72,Q72,S72,E72),STU[[Limiting Equipment Reference-No PTX]:[Summ Equipment]],8,0)))</f>
        <v>CABLE-3C-300MM² AL XLPE HDPE</v>
      </c>
      <c r="L72" s="146" t="s">
        <v>1267</v>
      </c>
      <c r="M72" s="509" t="s">
        <v>1266</v>
      </c>
      <c r="O72" s="11" t="str">
        <f t="shared" si="159"/>
        <v>STU-CB3</v>
      </c>
      <c r="P72" s="49" t="s">
        <v>1276</v>
      </c>
      <c r="Q72" s="49" t="s">
        <v>116</v>
      </c>
      <c r="R72" s="386"/>
      <c r="S72" s="43">
        <v>11.198</v>
      </c>
      <c r="T72" s="8" t="s">
        <v>1266</v>
      </c>
      <c r="U72" s="8" t="s">
        <v>1266</v>
      </c>
      <c r="V72" s="484"/>
      <c r="X72" s="496" t="s">
        <v>511</v>
      </c>
      <c r="Y72" s="431" t="str">
        <f t="shared" si="148"/>
        <v>WAIMATE</v>
      </c>
      <c r="Z72" s="432">
        <v>350</v>
      </c>
      <c r="AA72" s="441" t="str">
        <f t="shared" si="149"/>
        <v>p</v>
      </c>
      <c r="AB72" s="134">
        <f t="shared" si="150"/>
        <v>2.9387680000000387</v>
      </c>
      <c r="AC72" s="134">
        <f t="shared" si="151"/>
        <v>5.6998889270790262E-2</v>
      </c>
      <c r="AD72" s="134">
        <f t="shared" si="152"/>
        <v>0</v>
      </c>
      <c r="AE72" s="134">
        <f t="shared" si="153"/>
        <v>0</v>
      </c>
      <c r="AF72" s="432">
        <v>300</v>
      </c>
      <c r="AG72" s="436" t="str">
        <f t="shared" si="154"/>
        <v>u</v>
      </c>
      <c r="AH72" s="134">
        <f t="shared" si="155"/>
        <v>0</v>
      </c>
      <c r="AI72" s="134">
        <f t="shared" si="156"/>
        <v>0</v>
      </c>
      <c r="AJ72" s="134">
        <f t="shared" si="157"/>
        <v>0</v>
      </c>
      <c r="AK72" s="134">
        <f t="shared" si="158"/>
        <v>0</v>
      </c>
      <c r="AL72" s="470" t="s">
        <v>2860</v>
      </c>
    </row>
    <row r="73" spans="2:39" hidden="1" x14ac:dyDescent="0.25">
      <c r="B73" s="49" t="s">
        <v>498</v>
      </c>
      <c r="C73" s="168" t="s">
        <v>2566</v>
      </c>
      <c r="D73" s="119">
        <f t="shared" si="143"/>
        <v>11</v>
      </c>
      <c r="E73" s="366">
        <f t="array" ref="E73">IF(U73="YES",IF(T73="YES",MIN(IF(STU[Load Capability Reference]=CONCATENATE(P73,Q73,S73,R73),STU[Lowest A-PTX])),MIN(IF(STU[Load Capability Reference]=CONCATENATE(P73,Q73,S73,R73),IF(STU[Equipment ID]&lt;&gt;O73,STU[Lowest A-PTX])))),IF(T73="YES",MIN(IF(STU[Load Capability Reference]=CONCATENATE(P73,Q73,S73,R73),STU[Lowest A-No PTX])),MIN(IF(STU[Load Capability Reference]=CONCATENATE(P73,Q73,S73,R73),IF(STU[Equipment ID]&lt;&gt;O73,STU[Lowest A-No PTX])))))</f>
        <v>524</v>
      </c>
      <c r="F73" s="119">
        <f>IFERROR(IFERROR(VLOOKUP(CONCATENATE(P73,Q73,O73,S73,"Protection"),STU[[OC Protection Reference]:[Forward A]],23,0),VLOOKUP(O73,AEL_Protection_Data[],12,0)),"N/A")</f>
        <v>900</v>
      </c>
      <c r="G73" s="119">
        <f t="shared" si="144"/>
        <v>415</v>
      </c>
      <c r="H73" s="29">
        <f t="shared" si="145"/>
        <v>8.0491345514098587</v>
      </c>
      <c r="I73" s="119">
        <f t="shared" si="146"/>
        <v>470</v>
      </c>
      <c r="J73" s="29">
        <f t="shared" si="147"/>
        <v>9.1158873232834559</v>
      </c>
      <c r="K73" s="6" t="str">
        <f>IF(U73="Yes",UPPER(IF(ISNUMBER(SEARCH("winding",VLOOKUP(CONCATENATE(P73,Q73,S73,E73),STU[[Limiting Equipment Reference-PTX]:[Summ Equipment]],7,0))),"Power Transformer Rating at "&amp;ROUND(E73*S73*SQRT(3)/1000,2)&amp;" MVA",VLOOKUP(CONCATENATE(P73,Q73,S73,E73),STU[[Limiting Equipment Reference-No PTX]:[Summ Equipment]],8,0))),UPPER(VLOOKUP(CONCATENATE(P73,Q73,S73,E73),STU[[Limiting Equipment Reference-No PTX]:[Summ Equipment]],8,0)))</f>
        <v>POWER TRANSFORMER RATING AT 10.16 MVA</v>
      </c>
      <c r="L73" s="146" t="s">
        <v>1266</v>
      </c>
      <c r="M73" s="509" t="s">
        <v>1162</v>
      </c>
      <c r="O73" s="11" t="str">
        <f t="shared" si="159"/>
        <v>STU-CB4</v>
      </c>
      <c r="P73" s="49" t="s">
        <v>4</v>
      </c>
      <c r="Q73" s="49" t="s">
        <v>74</v>
      </c>
      <c r="R73" s="386" t="s">
        <v>761</v>
      </c>
      <c r="S73" s="43">
        <v>11.198</v>
      </c>
      <c r="T73" s="8" t="s">
        <v>1266</v>
      </c>
      <c r="U73" s="8" t="s">
        <v>1267</v>
      </c>
      <c r="V73" s="484"/>
      <c r="X73" s="496" t="s">
        <v>498</v>
      </c>
      <c r="Y73" s="431" t="str">
        <f t="shared" si="148"/>
        <v>(AEL)-T/P CB2812 INCOMER FROM T5</v>
      </c>
      <c r="Z73" s="432"/>
      <c r="AA73" s="441" t="str">
        <f t="shared" si="149"/>
        <v>p</v>
      </c>
      <c r="AB73" s="134">
        <f t="shared" si="150"/>
        <v>0</v>
      </c>
      <c r="AC73" s="134">
        <f t="shared" si="151"/>
        <v>0</v>
      </c>
      <c r="AD73" s="134">
        <f t="shared" si="152"/>
        <v>0</v>
      </c>
      <c r="AE73" s="134">
        <f t="shared" si="153"/>
        <v>0</v>
      </c>
      <c r="AF73" s="432">
        <v>900</v>
      </c>
      <c r="AG73" s="436" t="str">
        <f t="shared" si="154"/>
        <v>u</v>
      </c>
      <c r="AH73" s="134">
        <f t="shared" si="155"/>
        <v>0</v>
      </c>
      <c r="AI73" s="134">
        <f t="shared" si="156"/>
        <v>0</v>
      </c>
      <c r="AJ73" s="134">
        <f t="shared" si="157"/>
        <v>0</v>
      </c>
      <c r="AK73" s="134">
        <f t="shared" si="158"/>
        <v>0</v>
      </c>
      <c r="AL73" s="470" t="s">
        <v>1266</v>
      </c>
    </row>
    <row r="74" spans="2:39" hidden="1" x14ac:dyDescent="0.25">
      <c r="B74" s="49" t="s">
        <v>592</v>
      </c>
      <c r="C74" s="168" t="s">
        <v>2568</v>
      </c>
      <c r="D74" s="119">
        <f t="shared" si="143"/>
        <v>11</v>
      </c>
      <c r="E74" s="366">
        <f t="array" ref="E74">IF(U74="YES",IF(T74="YES",MIN(IF(STU[Load Capability Reference]=CONCATENATE(P74,Q74,S74,R74),STU[Lowest A-PTX])),MIN(IF(STU[Load Capability Reference]=CONCATENATE(P74,Q74,S74,R74),IF(STU[Equipment ID]&lt;&gt;O74,STU[Lowest A-PTX])))),IF(T74="YES",MIN(IF(STU[Load Capability Reference]=CONCATENATE(P74,Q74,S74,R74),STU[Lowest A-No PTX])),MIN(IF(STU[Load Capability Reference]=CONCATENATE(P74,Q74,S74,R74),IF(STU[Equipment ID]&lt;&gt;O74,STU[Lowest A-No PTX])))))</f>
        <v>744</v>
      </c>
      <c r="F74" s="119">
        <f>IFERROR(IFERROR(VLOOKUP(CONCATENATE(P74,Q74,O74,S74,"Protection"),STU[[OC Protection Reference]:[Forward A]],23,0),VLOOKUP(O74,AEL_Protection_Data[],12,0)),"N/A")</f>
        <v>744</v>
      </c>
      <c r="G74" s="119">
        <f t="shared" si="144"/>
        <v>595</v>
      </c>
      <c r="H74" s="29">
        <f t="shared" si="145"/>
        <v>11.540325441177991</v>
      </c>
      <c r="I74" s="119">
        <f t="shared" si="146"/>
        <v>665</v>
      </c>
      <c r="J74" s="29">
        <f t="shared" si="147"/>
        <v>12.898010787198931</v>
      </c>
      <c r="K74" s="6" t="str">
        <f>IF(U74="Yes",UPPER(IF(ISNUMBER(SEARCH("winding",VLOOKUP(CONCATENATE(P74,Q74,S74,E74),STU[[Limiting Equipment Reference-PTX]:[Summ Equipment]],7,0))),"Power Transformer Rating at "&amp;ROUND(E74*S74*SQRT(3)/1000,2)&amp;" MVA",VLOOKUP(CONCATENATE(P74,Q74,S74,E74),STU[[Limiting Equipment Reference-No PTX]:[Summ Equipment]],8,0))),UPPER(VLOOKUP(CONCATENATE(P74,Q74,S74,E74),STU[[Limiting Equipment Reference-No PTX]:[Summ Equipment]],8,0)))</f>
        <v>CIRCUIT BREAKER-STU-CB5-PROTECTION</v>
      </c>
      <c r="L74" s="146" t="s">
        <v>1266</v>
      </c>
      <c r="M74" s="509" t="s">
        <v>1162</v>
      </c>
      <c r="O74" s="11" t="str">
        <f t="shared" si="159"/>
        <v>STU-CB5</v>
      </c>
      <c r="P74" s="49" t="s">
        <v>4</v>
      </c>
      <c r="Q74" s="49" t="s">
        <v>81</v>
      </c>
      <c r="R74" s="386"/>
      <c r="S74" s="43">
        <v>11.198</v>
      </c>
      <c r="T74" s="8" t="s">
        <v>1267</v>
      </c>
      <c r="U74" s="8" t="s">
        <v>1266</v>
      </c>
      <c r="V74" s="484"/>
      <c r="X74" s="496" t="s">
        <v>592</v>
      </c>
      <c r="Y74" s="431" t="str">
        <f t="shared" si="148"/>
        <v>BUS COUPLER</v>
      </c>
      <c r="Z74" s="432"/>
      <c r="AA74" s="441" t="str">
        <f t="shared" si="149"/>
        <v>p</v>
      </c>
      <c r="AB74" s="134">
        <f t="shared" si="150"/>
        <v>0</v>
      </c>
      <c r="AC74" s="134">
        <f t="shared" si="151"/>
        <v>0</v>
      </c>
      <c r="AD74" s="134">
        <f t="shared" si="152"/>
        <v>0</v>
      </c>
      <c r="AE74" s="134">
        <f t="shared" si="153"/>
        <v>0</v>
      </c>
      <c r="AF74" s="432">
        <v>756</v>
      </c>
      <c r="AG74" s="436" t="str">
        <f t="shared" si="154"/>
        <v>q</v>
      </c>
      <c r="AH74" s="134">
        <f t="shared" si="155"/>
        <v>0</v>
      </c>
      <c r="AI74" s="134">
        <f t="shared" si="156"/>
        <v>0</v>
      </c>
      <c r="AJ74" s="134">
        <f t="shared" si="157"/>
        <v>12</v>
      </c>
      <c r="AK74" s="134">
        <f t="shared" si="158"/>
        <v>0.23274605931787545</v>
      </c>
      <c r="AL74" s="470" t="s">
        <v>1266</v>
      </c>
    </row>
    <row r="75" spans="2:39" hidden="1" x14ac:dyDescent="0.25">
      <c r="B75" s="49" t="s">
        <v>500</v>
      </c>
      <c r="C75" s="168" t="s">
        <v>2567</v>
      </c>
      <c r="D75" s="119">
        <f t="shared" si="143"/>
        <v>11</v>
      </c>
      <c r="E75" s="366">
        <f t="array" ref="E75">IF(U75="YES",IF(T75="YES",MIN(IF(STU[Load Capability Reference]=CONCATENATE(P75,Q75,S75,R75),STU[Lowest A-PTX])),MIN(IF(STU[Load Capability Reference]=CONCATENATE(P75,Q75,S75,R75),IF(STU[Equipment ID]&lt;&gt;O75,STU[Lowest A-PTX])))),IF(T75="YES",MIN(IF(STU[Load Capability Reference]=CONCATENATE(P75,Q75,S75,R75),STU[Lowest A-No PTX])),MIN(IF(STU[Load Capability Reference]=CONCATENATE(P75,Q75,S75,R75),IF(STU[Equipment ID]&lt;&gt;O75,STU[Lowest A-No PTX])))))</f>
        <v>524</v>
      </c>
      <c r="F75" s="119">
        <f>IFERROR(IFERROR(VLOOKUP(CONCATENATE(P75,Q75,O75,S75,"Protection"),STU[[OC Protection Reference]:[Forward A]],23,0),VLOOKUP(O75,AEL_Protection_Data[],12,0)),"N/A")</f>
        <v>900</v>
      </c>
      <c r="G75" s="119">
        <f t="shared" si="144"/>
        <v>415</v>
      </c>
      <c r="H75" s="29">
        <f t="shared" si="145"/>
        <v>8.0491345514098587</v>
      </c>
      <c r="I75" s="119">
        <f t="shared" si="146"/>
        <v>470</v>
      </c>
      <c r="J75" s="29">
        <f t="shared" si="147"/>
        <v>9.1158873232834559</v>
      </c>
      <c r="K75" s="6" t="str">
        <f>IF(U75="Yes",UPPER(IF(ISNUMBER(SEARCH("winding",VLOOKUP(CONCATENATE(P75,Q75,S75,E75),STU[[Limiting Equipment Reference-PTX]:[Summ Equipment]],7,0))),"Power Transformer Rating at "&amp;ROUND(E75*S75*SQRT(3)/1000,2)&amp;" MVA",VLOOKUP(CONCATENATE(P75,Q75,S75,E75),STU[[Limiting Equipment Reference-No PTX]:[Summ Equipment]],8,0))),UPPER(VLOOKUP(CONCATENATE(P75,Q75,S75,E75),STU[[Limiting Equipment Reference-No PTX]:[Summ Equipment]],8,0)))</f>
        <v>POWER TRANSFORMER RATING AT 10.16 MVA</v>
      </c>
      <c r="L75" s="146" t="s">
        <v>1266</v>
      </c>
      <c r="M75" s="509" t="s">
        <v>1162</v>
      </c>
      <c r="O75" s="118" t="str">
        <f t="shared" si="159"/>
        <v>STU-CB6</v>
      </c>
      <c r="P75" s="49" t="s">
        <v>4</v>
      </c>
      <c r="Q75" s="49" t="s">
        <v>74</v>
      </c>
      <c r="R75" s="386" t="s">
        <v>765</v>
      </c>
      <c r="S75" s="43">
        <v>11.198</v>
      </c>
      <c r="T75" s="8" t="s">
        <v>1266</v>
      </c>
      <c r="U75" s="8" t="s">
        <v>1267</v>
      </c>
      <c r="V75" s="484"/>
      <c r="X75" s="496" t="s">
        <v>500</v>
      </c>
      <c r="Y75" s="431" t="str">
        <f t="shared" si="148"/>
        <v>(AEL)-T/P CB2812 INCOMER FROM T6</v>
      </c>
      <c r="Z75" s="432"/>
      <c r="AA75" s="441" t="str">
        <f t="shared" si="149"/>
        <v>p</v>
      </c>
      <c r="AB75" s="134">
        <f t="shared" si="150"/>
        <v>0</v>
      </c>
      <c r="AC75" s="134">
        <f t="shared" si="151"/>
        <v>0</v>
      </c>
      <c r="AD75" s="134">
        <f t="shared" si="152"/>
        <v>0</v>
      </c>
      <c r="AE75" s="134">
        <f t="shared" si="153"/>
        <v>0</v>
      </c>
      <c r="AF75" s="432">
        <v>900</v>
      </c>
      <c r="AG75" s="436" t="str">
        <f t="shared" si="154"/>
        <v>u</v>
      </c>
      <c r="AH75" s="134">
        <f t="shared" si="155"/>
        <v>0</v>
      </c>
      <c r="AI75" s="134">
        <f t="shared" si="156"/>
        <v>0</v>
      </c>
      <c r="AJ75" s="134">
        <f t="shared" si="157"/>
        <v>0</v>
      </c>
      <c r="AK75" s="134">
        <f t="shared" si="158"/>
        <v>0</v>
      </c>
      <c r="AL75" s="470" t="s">
        <v>1266</v>
      </c>
    </row>
    <row r="76" spans="2:39" hidden="1" x14ac:dyDescent="0.25">
      <c r="B76" s="7" t="s">
        <v>512</v>
      </c>
      <c r="C76" s="6" t="s">
        <v>2570</v>
      </c>
      <c r="D76" s="57">
        <f t="shared" si="143"/>
        <v>11</v>
      </c>
      <c r="E76" s="323">
        <f t="array" ref="E76">IF(U76="YES",IF(T76="YES",MIN(IF(STU[Load Capability Reference]=CONCATENATE(P76,Q76,S76,R76),STU[Lowest A-PTX])),MIN(IF(STU[Load Capability Reference]=CONCATENATE(P76,Q76,S76,R76),IF(STU[Equipment ID]&lt;&gt;O76,STU[Lowest A-PTX])))),IF(T76="YES",MIN(IF(STU[Load Capability Reference]=CONCATENATE(P76,Q76,S76,R76),STU[Lowest A-No PTX])),MIN(IF(STU[Load Capability Reference]=CONCATENATE(P76,Q76,S76,R76),IF(STU[Equipment ID]&lt;&gt;O76,STU[Lowest A-No PTX])))))</f>
        <v>352.93876800000004</v>
      </c>
      <c r="F76" s="57">
        <f>IFERROR(IFERROR(VLOOKUP(CONCATENATE(P76,Q76,O76,S76,"Protection"),STU[[OC Protection Reference]:[Forward A]],23,0),VLOOKUP(O76,AEL_Protection_Data[],12,0)),"N/A")</f>
        <v>360</v>
      </c>
      <c r="G76" s="57">
        <f t="shared" si="144"/>
        <v>280</v>
      </c>
      <c r="H76" s="9">
        <f t="shared" si="145"/>
        <v>5.4307413840837606</v>
      </c>
      <c r="I76" s="57">
        <f t="shared" si="146"/>
        <v>315</v>
      </c>
      <c r="J76" s="9">
        <f t="shared" si="147"/>
        <v>6.1095840570942306</v>
      </c>
      <c r="K76" s="6" t="str">
        <f>IF(U76="Yes",UPPER(IF(ISNUMBER(SEARCH("winding",VLOOKUP(CONCATENATE(P76,Q76,S76,E76),STU[[Limiting Equipment Reference-PTX]:[Summ Equipment]],7,0))),"Power Transformer Rating at "&amp;ROUND(E76*S76*SQRT(3)/1000,2)&amp;" MVA",VLOOKUP(CONCATENATE(P76,Q76,S76,E76),STU[[Limiting Equipment Reference-No PTX]:[Summ Equipment]],8,0))),UPPER(VLOOKUP(CONCATENATE(P76,Q76,S76,E76),STU[[Limiting Equipment Reference-No PTX]:[Summ Equipment]],8,0)))</f>
        <v>CABLE-3C-300MM² AL XLPE HDPE</v>
      </c>
      <c r="L76" s="8" t="s">
        <v>1267</v>
      </c>
      <c r="M76" s="506" t="s">
        <v>1267</v>
      </c>
      <c r="O76" s="118" t="str">
        <f t="shared" si="159"/>
        <v>STU-CB7</v>
      </c>
      <c r="P76" s="49" t="s">
        <v>1276</v>
      </c>
      <c r="Q76" s="49" t="s">
        <v>127</v>
      </c>
      <c r="R76" s="386"/>
      <c r="S76" s="43">
        <v>11.198</v>
      </c>
      <c r="T76" s="8" t="s">
        <v>1266</v>
      </c>
      <c r="U76" s="8" t="s">
        <v>1266</v>
      </c>
      <c r="V76" s="484"/>
      <c r="X76" s="496" t="s">
        <v>512</v>
      </c>
      <c r="Y76" s="431" t="str">
        <f t="shared" si="148"/>
        <v>WAIHAORUNGA</v>
      </c>
      <c r="Z76" s="432">
        <v>350</v>
      </c>
      <c r="AA76" s="443" t="str">
        <f t="shared" si="149"/>
        <v>p</v>
      </c>
      <c r="AB76" s="134">
        <f t="shared" si="150"/>
        <v>2.9387680000000387</v>
      </c>
      <c r="AC76" s="134">
        <f t="shared" si="151"/>
        <v>5.6998889270790262E-2</v>
      </c>
      <c r="AD76" s="134">
        <f t="shared" si="152"/>
        <v>0</v>
      </c>
      <c r="AE76" s="134">
        <f t="shared" si="153"/>
        <v>0</v>
      </c>
      <c r="AF76" s="432">
        <v>360</v>
      </c>
      <c r="AG76" s="436" t="str">
        <f t="shared" si="154"/>
        <v>u</v>
      </c>
      <c r="AH76" s="134">
        <f t="shared" si="155"/>
        <v>0</v>
      </c>
      <c r="AI76" s="134">
        <f t="shared" si="156"/>
        <v>0</v>
      </c>
      <c r="AJ76" s="134">
        <f t="shared" si="157"/>
        <v>0</v>
      </c>
      <c r="AK76" s="134">
        <f t="shared" si="158"/>
        <v>0</v>
      </c>
      <c r="AL76" s="470" t="s">
        <v>1267</v>
      </c>
    </row>
    <row r="77" spans="2:39" hidden="1" x14ac:dyDescent="0.25">
      <c r="B77" s="7" t="s">
        <v>522</v>
      </c>
      <c r="C77" s="6" t="s">
        <v>2571</v>
      </c>
      <c r="D77" s="57">
        <f t="shared" si="143"/>
        <v>11</v>
      </c>
      <c r="E77" s="57">
        <f t="array" ref="E77">IF(U77="YES",IF(T77="YES",MIN(IF(STU[Load Capability Reference]=CONCATENATE(P77,Q77,S77,R77),STU[Lowest A-PTX])),MIN(IF(STU[Load Capability Reference]=CONCATENATE(P77,Q77,S77,R77),IF(STU[Equipment ID]&lt;&gt;O77,STU[Lowest A-PTX])))),IF(T77="YES",MIN(IF(STU[Load Capability Reference]=CONCATENATE(P77,Q77,S77,R77),STU[Lowest A-No PTX])),MIN(IF(STU[Load Capability Reference]=CONCATENATE(P77,Q77,S77,R77),IF(STU[Equipment ID]&lt;&gt;O77,STU[Lowest A-No PTX])))))</f>
        <v>247</v>
      </c>
      <c r="F77" s="57">
        <f>IFERROR(IFERROR(VLOOKUP(CONCATENATE(P77,Q77,O77,S77,"Protection"),STU[[OC Protection Reference]:[Forward A]],23,0),VLOOKUP(O77,AEL_Protection_Data[],12,0)),"N/A")</f>
        <v>360</v>
      </c>
      <c r="G77" s="57">
        <f t="shared" si="144"/>
        <v>195</v>
      </c>
      <c r="H77" s="9">
        <f t="shared" si="145"/>
        <v>3.7821234639154762</v>
      </c>
      <c r="I77" s="57">
        <f t="shared" si="146"/>
        <v>220</v>
      </c>
      <c r="J77" s="9">
        <f t="shared" si="147"/>
        <v>4.2670110874943834</v>
      </c>
      <c r="K77" s="6" t="str">
        <f>IF(U77="Yes",UPPER(IF(ISNUMBER(SEARCH("winding",VLOOKUP(CONCATENATE(P77,Q77,S77,E77),STU[[Limiting Equipment Reference-PTX]:[Summ Equipment]],7,0))),"Power Transformer Rating at "&amp;ROUND(E77*S77*SQRT(3)/1000,2)&amp;" MVA",VLOOKUP(CONCATENATE(P77,Q77,S77,E77),STU[[Limiting Equipment Reference-No PTX]:[Summ Equipment]],8,0))),UPPER(VLOOKUP(CONCATENATE(P77,Q77,S77,E77),STU[[Limiting Equipment Reference-No PTX]:[Summ Equipment]],8,0)))</f>
        <v>OH LINE-70MM² CU</v>
      </c>
      <c r="L77" s="8" t="s">
        <v>1267</v>
      </c>
      <c r="M77" s="506" t="s">
        <v>1266</v>
      </c>
      <c r="O77" s="11" t="str">
        <f t="shared" si="159"/>
        <v>STU-CB8</v>
      </c>
      <c r="P77" s="7" t="s">
        <v>1276</v>
      </c>
      <c r="Q77" s="7" t="s">
        <v>134</v>
      </c>
      <c r="R77" s="386"/>
      <c r="S77" s="43">
        <v>11.198</v>
      </c>
      <c r="T77" s="8" t="s">
        <v>1266</v>
      </c>
      <c r="U77" s="8" t="s">
        <v>1266</v>
      </c>
      <c r="V77" s="484"/>
      <c r="X77" s="496" t="s">
        <v>522</v>
      </c>
      <c r="Y77" s="431" t="str">
        <f t="shared" ref="Y77:Y78" si="160">IF(X77=B77,C77,"NEW")</f>
        <v>MT. STUDHOLME</v>
      </c>
      <c r="Z77" s="432">
        <v>350</v>
      </c>
      <c r="AA77" s="443" t="str">
        <f t="shared" ref="AA77:AA78" si="161">IF(Z77&gt;E77,"q",IF(Z77&lt;E77,"p","u"))</f>
        <v>q</v>
      </c>
      <c r="AB77" s="134">
        <f t="shared" si="150"/>
        <v>0</v>
      </c>
      <c r="AC77" s="134">
        <f t="shared" si="151"/>
        <v>0</v>
      </c>
      <c r="AD77" s="134">
        <f t="shared" si="152"/>
        <v>103</v>
      </c>
      <c r="AE77" s="134">
        <f t="shared" si="153"/>
        <v>1.9977370091450974</v>
      </c>
      <c r="AF77" s="432">
        <v>360</v>
      </c>
      <c r="AG77" s="436" t="str">
        <f t="shared" ref="AG77:AG78" si="162">IF(AF77&gt;F77,"q",IF(AF77&lt;F77,"p","u"))</f>
        <v>u</v>
      </c>
      <c r="AH77" s="134">
        <f t="shared" si="155"/>
        <v>0</v>
      </c>
      <c r="AI77" s="134">
        <f t="shared" si="156"/>
        <v>0</v>
      </c>
      <c r="AJ77" s="134">
        <f t="shared" si="157"/>
        <v>0</v>
      </c>
      <c r="AK77" s="134">
        <f t="shared" si="158"/>
        <v>0</v>
      </c>
      <c r="AL77" s="470" t="s">
        <v>2860</v>
      </c>
    </row>
    <row r="78" spans="2:39" ht="15.75" thickBot="1" x14ac:dyDescent="0.3">
      <c r="B78" s="193" t="s">
        <v>526</v>
      </c>
      <c r="C78" s="191" t="s">
        <v>2572</v>
      </c>
      <c r="D78" s="197">
        <f t="shared" si="143"/>
        <v>11</v>
      </c>
      <c r="E78" s="197">
        <f t="array" ref="E78">IF(U78="YES",IF(T78="YES",MIN(IF(STU[Load Capability Reference]=CONCATENATE(P78,Q78,S78,R78),STU[Lowest A-PTX])),MIN(IF(STU[Load Capability Reference]=CONCATENATE(P78,Q78,S78,R78),IF(STU[Equipment ID]&lt;&gt;O78,STU[Lowest A-PTX])))),IF(T78="YES",MIN(IF(STU[Load Capability Reference]=CONCATENATE(P78,Q78,S78,R78),STU[Lowest A-No PTX])),MIN(IF(STU[Load Capability Reference]=CONCATENATE(P78,Q78,S78,R78),IF(STU[Equipment ID]&lt;&gt;O78,STU[Lowest A-No PTX])))))</f>
        <v>352.93876800000004</v>
      </c>
      <c r="F78" s="197">
        <f>IFERROR(IFERROR(VLOOKUP(CONCATENATE(P78,Q78,O78,S78,"Protection"),STU[[OC Protection Reference]:[Forward A]],23,0),VLOOKUP(O78,AEL_Protection_Data[],12,0)),"N/A")</f>
        <v>300</v>
      </c>
      <c r="G78" s="197">
        <f t="shared" si="144"/>
        <v>240</v>
      </c>
      <c r="H78" s="155">
        <f t="shared" si="145"/>
        <v>4.6549211863575088</v>
      </c>
      <c r="I78" s="197">
        <f t="shared" si="146"/>
        <v>270</v>
      </c>
      <c r="J78" s="155">
        <f t="shared" si="147"/>
        <v>5.236786334652197</v>
      </c>
      <c r="K78" s="191" t="str">
        <f>IF(U78="Yes",UPPER(IF(ISNUMBER(SEARCH("winding",VLOOKUP(CONCATENATE(P78,Q78,S78,E78),STU[[Limiting Equipment Reference-PTX]:[Summ Equipment]],7,0))),"Power Transformer Rating at "&amp;ROUND(E78*S78*SQRT(3)/1000,2)&amp;" MVA",VLOOKUP(CONCATENATE(P78,Q78,S78,E78),STU[[Limiting Equipment Reference-No PTX]:[Summ Equipment]],8,0))),UPPER(VLOOKUP(CONCATENATE(P78,Q78,S78,E78),STU[[Limiting Equipment Reference-No PTX]:[Summ Equipment]],8,0)))</f>
        <v>CABLE-3C-300MM² AL XLPE HDPE</v>
      </c>
      <c r="L78" s="201" t="s">
        <v>1267</v>
      </c>
      <c r="M78" s="507" t="s">
        <v>1267</v>
      </c>
      <c r="O78" s="192" t="str">
        <f t="shared" si="159"/>
        <v>STU-CB9</v>
      </c>
      <c r="P78" s="193" t="s">
        <v>1276</v>
      </c>
      <c r="Q78" s="193" t="s">
        <v>139</v>
      </c>
      <c r="R78" s="387"/>
      <c r="S78" s="175">
        <v>11.198</v>
      </c>
      <c r="T78" s="201" t="s">
        <v>1266</v>
      </c>
      <c r="U78" s="201" t="s">
        <v>1266</v>
      </c>
      <c r="V78" s="485"/>
      <c r="X78" s="497" t="s">
        <v>526</v>
      </c>
      <c r="Y78" s="433" t="str">
        <f t="shared" si="160"/>
        <v>MORVEN</v>
      </c>
      <c r="Z78" s="434">
        <v>350</v>
      </c>
      <c r="AA78" s="444" t="str">
        <f t="shared" si="161"/>
        <v>p</v>
      </c>
      <c r="AB78" s="451">
        <f t="shared" si="150"/>
        <v>2.9387680000000387</v>
      </c>
      <c r="AC78" s="451">
        <f t="shared" si="151"/>
        <v>5.6998889270790262E-2</v>
      </c>
      <c r="AD78" s="451">
        <f t="shared" si="152"/>
        <v>0</v>
      </c>
      <c r="AE78" s="451">
        <f t="shared" si="153"/>
        <v>0</v>
      </c>
      <c r="AF78" s="434">
        <v>300</v>
      </c>
      <c r="AG78" s="437" t="str">
        <f t="shared" si="162"/>
        <v>u</v>
      </c>
      <c r="AH78" s="451">
        <f t="shared" si="155"/>
        <v>0</v>
      </c>
      <c r="AI78" s="451">
        <f t="shared" si="156"/>
        <v>0</v>
      </c>
      <c r="AJ78" s="451">
        <f t="shared" si="157"/>
        <v>0</v>
      </c>
      <c r="AK78" s="451">
        <f t="shared" si="158"/>
        <v>0</v>
      </c>
      <c r="AL78" s="471" t="s">
        <v>1267</v>
      </c>
    </row>
    <row r="79" spans="2:39" hidden="1" x14ac:dyDescent="0.25">
      <c r="R79" s="388"/>
      <c r="X79" s="427" t="s">
        <v>1148</v>
      </c>
      <c r="AB79" s="449">
        <f>SUM(AB70:AB78)</f>
        <v>14.693840000000193</v>
      </c>
      <c r="AC79" s="449">
        <f t="shared" ref="AC79:AK79" si="163">SUM(AC70:AC78)</f>
        <v>0.28499444635395133</v>
      </c>
      <c r="AD79" s="449">
        <f t="shared" si="163"/>
        <v>103</v>
      </c>
      <c r="AE79" s="449">
        <f t="shared" si="163"/>
        <v>1.9977370091450974</v>
      </c>
      <c r="AF79" s="449"/>
      <c r="AG79" s="449"/>
      <c r="AH79" s="449">
        <f t="shared" si="163"/>
        <v>0</v>
      </c>
      <c r="AI79" s="449">
        <f t="shared" si="163"/>
        <v>0</v>
      </c>
      <c r="AJ79" s="449">
        <f t="shared" si="163"/>
        <v>12</v>
      </c>
      <c r="AK79" s="449">
        <f t="shared" si="163"/>
        <v>0.23274605931787545</v>
      </c>
    </row>
    <row r="80" spans="2:39" ht="27" hidden="1" thickBot="1" x14ac:dyDescent="0.3">
      <c r="B80" s="551" t="s">
        <v>2707</v>
      </c>
      <c r="C80" s="552"/>
      <c r="D80" s="552"/>
      <c r="E80" s="552"/>
      <c r="F80" s="552"/>
      <c r="G80" s="552"/>
      <c r="H80" s="552"/>
      <c r="I80" s="552"/>
      <c r="J80" s="552"/>
      <c r="K80" s="552"/>
      <c r="L80" s="552"/>
      <c r="M80" s="553"/>
      <c r="O80" s="551" t="s">
        <v>2391</v>
      </c>
      <c r="P80" s="552"/>
      <c r="Q80" s="552"/>
      <c r="R80" s="552"/>
      <c r="S80" s="552"/>
      <c r="T80" s="552"/>
      <c r="U80" s="552"/>
      <c r="V80" s="553"/>
      <c r="X80" s="586" t="str">
        <f>B80&amp;"-OLD"</f>
        <v>TIMARU GXP (TP-TIM T3, T4 &amp; T6)-OLD</v>
      </c>
      <c r="Y80" s="587"/>
      <c r="Z80" s="587"/>
      <c r="AA80" s="587"/>
      <c r="AB80" s="587"/>
      <c r="AC80" s="587"/>
      <c r="AD80" s="587"/>
      <c r="AE80" s="587"/>
      <c r="AF80" s="587"/>
      <c r="AG80" s="587"/>
      <c r="AH80" s="587"/>
      <c r="AI80" s="587"/>
      <c r="AJ80" s="587"/>
      <c r="AK80" s="587"/>
      <c r="AL80" s="588"/>
      <c r="AM80" s="481"/>
    </row>
    <row r="81" spans="1:39" ht="15.75" hidden="1" thickBot="1" x14ac:dyDescent="0.3">
      <c r="B81" s="571" t="str">
        <f t="shared" ref="B81:F81" si="164">B6</f>
        <v>CB ID</v>
      </c>
      <c r="C81" s="545" t="str">
        <f t="shared" si="164"/>
        <v>DESIGNATION</v>
      </c>
      <c r="D81" s="382" t="str">
        <f t="shared" si="164"/>
        <v>Rated</v>
      </c>
      <c r="E81" s="572" t="str">
        <f t="shared" si="164"/>
        <v>LOAD
CAPABILITY</v>
      </c>
      <c r="F81" s="572" t="str">
        <f t="shared" si="164"/>
        <v>OC
PICKUP</v>
      </c>
      <c r="G81" s="559" t="str">
        <f t="shared" ref="G81:J83" si="165">G6</f>
        <v>SCADA ALARM</v>
      </c>
      <c r="H81" s="560"/>
      <c r="I81" s="560"/>
      <c r="J81" s="561"/>
      <c r="K81" s="574" t="str">
        <f>K6</f>
        <v>LIMITING EQUIPMENT</v>
      </c>
      <c r="L81" s="575" t="str">
        <f>L6</f>
        <v>RECLOSING</v>
      </c>
      <c r="M81" s="576"/>
      <c r="O81" s="554" t="str">
        <f t="shared" ref="O81:V81" si="166">O6</f>
        <v>OC Pick up
Reference ID</v>
      </c>
      <c r="P81" s="557" t="str">
        <f t="shared" si="166"/>
        <v>Supply Level</v>
      </c>
      <c r="Q81" s="566" t="str">
        <f t="shared" si="166"/>
        <v>Station/Feeder</v>
      </c>
      <c r="R81" s="567" t="str">
        <f t="shared" si="166"/>
        <v>Refered
to PTX</v>
      </c>
      <c r="S81" s="569" t="str">
        <f t="shared" si="166"/>
        <v>Voltage</v>
      </c>
      <c r="T81" s="539" t="str">
        <f t="shared" si="166"/>
        <v>Include
CB</v>
      </c>
      <c r="U81" s="539" t="str">
        <f t="shared" si="166"/>
        <v>Include
PTX</v>
      </c>
      <c r="V81" s="542" t="str">
        <f t="shared" si="166"/>
        <v>Notes</v>
      </c>
      <c r="X81" s="585" t="s">
        <v>1260</v>
      </c>
      <c r="Y81" s="545" t="s">
        <v>1261</v>
      </c>
      <c r="Z81" s="559" t="s">
        <v>2749</v>
      </c>
      <c r="AA81" s="560"/>
      <c r="AB81" s="560"/>
      <c r="AC81" s="560"/>
      <c r="AD81" s="560"/>
      <c r="AE81" s="561"/>
      <c r="AF81" s="559" t="s">
        <v>1268</v>
      </c>
      <c r="AG81" s="560"/>
      <c r="AH81" s="560"/>
      <c r="AI81" s="560"/>
      <c r="AJ81" s="560"/>
      <c r="AK81" s="561"/>
      <c r="AL81" s="546" t="s">
        <v>2857</v>
      </c>
      <c r="AM81" s="466"/>
    </row>
    <row r="82" spans="1:39" ht="15.75" hidden="1" thickBot="1" x14ac:dyDescent="0.3">
      <c r="B82" s="557"/>
      <c r="C82" s="540"/>
      <c r="D82" s="362" t="str">
        <f>D7</f>
        <v>Voltage</v>
      </c>
      <c r="E82" s="573"/>
      <c r="F82" s="573"/>
      <c r="G82" s="544" t="str">
        <f t="shared" si="165"/>
        <v>Pre-Emergency</v>
      </c>
      <c r="H82" s="544"/>
      <c r="I82" s="544" t="str">
        <f t="shared" si="165"/>
        <v>Emergency</v>
      </c>
      <c r="J82" s="544"/>
      <c r="K82" s="540"/>
      <c r="L82" s="545" t="str">
        <f>L7</f>
        <v>AVAILABLE</v>
      </c>
      <c r="M82" s="546" t="str">
        <f>M7</f>
        <v>UTILISED</v>
      </c>
      <c r="O82" s="555"/>
      <c r="P82" s="557"/>
      <c r="Q82" s="557"/>
      <c r="R82" s="567"/>
      <c r="S82" s="569"/>
      <c r="T82" s="540"/>
      <c r="U82" s="540"/>
      <c r="V82" s="542"/>
      <c r="X82" s="555"/>
      <c r="Y82" s="540"/>
      <c r="Z82" s="589"/>
      <c r="AA82" s="590"/>
      <c r="AB82" s="590"/>
      <c r="AC82" s="590"/>
      <c r="AD82" s="590"/>
      <c r="AE82" s="591"/>
      <c r="AF82" s="589"/>
      <c r="AG82" s="590"/>
      <c r="AH82" s="590"/>
      <c r="AI82" s="590"/>
      <c r="AJ82" s="590"/>
      <c r="AK82" s="591"/>
      <c r="AL82" s="577"/>
      <c r="AM82" s="466"/>
    </row>
    <row r="83" spans="1:39" ht="15.75" hidden="1" thickBot="1" x14ac:dyDescent="0.3">
      <c r="B83" s="558"/>
      <c r="C83" s="541"/>
      <c r="D83" s="345" t="str">
        <f>D8</f>
        <v>(kV)</v>
      </c>
      <c r="E83" s="345" t="str">
        <f>E8</f>
        <v>(A)</v>
      </c>
      <c r="F83" s="345" t="str">
        <f>F8</f>
        <v>(A)</v>
      </c>
      <c r="G83" s="406" t="str">
        <f t="shared" si="165"/>
        <v>(A)</v>
      </c>
      <c r="H83" s="407" t="str">
        <f t="shared" si="165"/>
        <v>(MVA)</v>
      </c>
      <c r="I83" s="406" t="str">
        <f t="shared" si="165"/>
        <v>(A)</v>
      </c>
      <c r="J83" s="407" t="str">
        <f t="shared" si="165"/>
        <v>(MVA)</v>
      </c>
      <c r="K83" s="541"/>
      <c r="L83" s="541"/>
      <c r="M83" s="547"/>
      <c r="O83" s="556"/>
      <c r="P83" s="558"/>
      <c r="Q83" s="558"/>
      <c r="R83" s="568"/>
      <c r="S83" s="570"/>
      <c r="T83" s="541"/>
      <c r="U83" s="541"/>
      <c r="V83" s="543"/>
      <c r="X83" s="556"/>
      <c r="Y83" s="541"/>
      <c r="Z83" s="428" t="s">
        <v>26</v>
      </c>
      <c r="AA83" s="439" t="s">
        <v>2861</v>
      </c>
      <c r="AB83" s="450" t="s">
        <v>2959</v>
      </c>
      <c r="AC83" s="450" t="s">
        <v>2960</v>
      </c>
      <c r="AD83" s="450" t="s">
        <v>2957</v>
      </c>
      <c r="AE83" s="450" t="s">
        <v>2958</v>
      </c>
      <c r="AF83" s="428" t="s">
        <v>26</v>
      </c>
      <c r="AG83" s="439" t="s">
        <v>2861</v>
      </c>
      <c r="AH83" s="450" t="s">
        <v>2959</v>
      </c>
      <c r="AI83" s="450" t="s">
        <v>2960</v>
      </c>
      <c r="AJ83" s="450" t="s">
        <v>2957</v>
      </c>
      <c r="AK83" s="450" t="s">
        <v>2958</v>
      </c>
      <c r="AL83" s="547"/>
      <c r="AM83" s="466"/>
    </row>
    <row r="84" spans="1:39" hidden="1" x14ac:dyDescent="0.25">
      <c r="B84" s="124" t="s">
        <v>802</v>
      </c>
      <c r="C84" s="168" t="s">
        <v>2878</v>
      </c>
      <c r="D84" s="61">
        <f t="shared" ref="D84:D87" si="167">ROUNDDOWN(S84,0)</f>
        <v>11</v>
      </c>
      <c r="E84" s="369">
        <f t="array" ref="E84">IF(U84="YES",IF(T84="YES",MIN(IF(TIM[Load Capability Reference]=CONCATENATE(P84,Q84,S84,R84),TIM[Lowest A-PTX])),MIN(IF(TIM[Load Capability Reference]=CONCATENATE(P84,Q84,S84,R84),IF(TIM[Equipment ID]&lt;&gt;O84,TIM[Lowest A-PTX])))),IF(T84="YES",MIN(IF(TIM[Load Capability Reference]=CONCATENATE(P84,Q84,S84,R84),TIM[Lowest A-No PTX])),MIN(IF(TIM[Load Capability Reference]=CONCATENATE(P84,Q84,S84,R84),IF(TIM[Equipment ID]&lt;&gt;O84,TIM[Lowest A-No PTX])))))</f>
        <v>276.28703999999993</v>
      </c>
      <c r="F84" s="61">
        <f>IFERROR(IFERROR(VLOOKUP(CONCATENATE(P84,Q84,O84,S84,"Protection"),TIM[[OC Protection Reference]:[Forward A]],23,0),VLOOKUP(O84,AEL_Protection_Data[],12,0)),"N/A")</f>
        <v>400</v>
      </c>
      <c r="G84" s="61">
        <f t="shared" ref="G84:G114" si="168">IFERROR(FLOOR(MIN(E84:F84)*$D$3,5),"")</f>
        <v>220</v>
      </c>
      <c r="H84" s="5">
        <f t="shared" ref="H84:H114" si="169">G84*S84*SQRT(3)/1000</f>
        <v>4.1915629543166828</v>
      </c>
      <c r="I84" s="61">
        <f t="shared" ref="I84:I114" si="170">IFERROR(FLOOR(MIN(E84:F84)*$D$2,5),"")</f>
        <v>245</v>
      </c>
      <c r="J84" s="5">
        <f t="shared" ref="J84:J99" si="171">I84*S84*SQRT(3)/1000</f>
        <v>4.6678769263981241</v>
      </c>
      <c r="K84" s="3" t="str">
        <f>IF(U84="Yes",UPPER(IF(ISNUMBER(SEARCH("winding",VLOOKUP(CONCATENATE(P84,Q84,S84,E84),TIM[[Limiting Equipment Reference-PTX]:[Summ Equipment]],7,0))),"Power Transformer Rating at "&amp;ROUND(E84*S84*SQRT(3)/1000,2)&amp;" MVA",VLOOKUP(CONCATENATE(P84,Q84,S84,E84),TIM[[Limiting Equipment Reference-No PTX]:[Summ Equipment]],8,0))),UPPER(VLOOKUP(CONCATENATE(P84,Q84,S84,E84),TIM[[Limiting Equipment Reference-No PTX]:[Summ Equipment]],8,0)))</f>
        <v>CABLE - 3C 240MM² AL PILC</v>
      </c>
      <c r="L84" s="4" t="s">
        <v>1267</v>
      </c>
      <c r="M84" s="508" t="s">
        <v>1266</v>
      </c>
      <c r="O84" s="10" t="str">
        <f>"TIM-"&amp;B84</f>
        <v>TIM-CB2662</v>
      </c>
      <c r="P84" s="38" t="s">
        <v>1276</v>
      </c>
      <c r="Q84" s="38" t="s">
        <v>1305</v>
      </c>
      <c r="R84" s="389"/>
      <c r="S84" s="139">
        <v>11</v>
      </c>
      <c r="T84" s="4" t="s">
        <v>1266</v>
      </c>
      <c r="U84" s="4" t="s">
        <v>1266</v>
      </c>
      <c r="V84" s="486"/>
      <c r="X84" s="498" t="s">
        <v>802</v>
      </c>
      <c r="Y84" s="429" t="str">
        <f t="shared" ref="Y84:Y85" si="172">IF(X84=B84,C84,"NEW")</f>
        <v>WAIPOPO</v>
      </c>
      <c r="Z84" s="430">
        <v>945</v>
      </c>
      <c r="AA84" s="440" t="str">
        <f t="shared" ref="AA84:AA91" si="173">IF(Z84&gt;E84,"q",IF(Z84&lt;E84,"p","u"))</f>
        <v>q</v>
      </c>
      <c r="AB84" s="453">
        <f t="shared" ref="AB84:AB114" si="174">IF(Z84="",0,IF(Z84-E84&lt;0,ABS(Z84-E84),0))</f>
        <v>0</v>
      </c>
      <c r="AC84" s="453">
        <f t="shared" ref="AC84:AC114" si="175">AB84*$S84*SQRT(3)/1000</f>
        <v>0</v>
      </c>
      <c r="AD84" s="453">
        <f t="shared" ref="AD84:AD114" si="176">IF(Z84="",0,IF(Z84-E84&gt;0,ABS(Z84-E84),0))</f>
        <v>668.71296000000007</v>
      </c>
      <c r="AE84" s="453">
        <f t="shared" ref="AE84:AE114" si="177">AD84*$S84*SQRT(3)/1000</f>
        <v>12.740693046397519</v>
      </c>
      <c r="AF84" s="430">
        <v>400</v>
      </c>
      <c r="AG84" s="435" t="str">
        <f t="shared" ref="AG84:AG91" si="178">IF(AF84&gt;F84,"q",IF(AF84&lt;F84,"p","u"))</f>
        <v>u</v>
      </c>
      <c r="AH84" s="453">
        <f t="shared" ref="AH84:AH114" si="179">IF(AF84="",0,IF(AF84-F84&lt;0,ABS(AF84-F84),0))</f>
        <v>0</v>
      </c>
      <c r="AI84" s="453">
        <f t="shared" ref="AI84:AI114" si="180">AH84*$S84*SQRT(3)/1000</f>
        <v>0</v>
      </c>
      <c r="AJ84" s="453">
        <f t="shared" ref="AJ84:AJ114" si="181">IF(AF84="",0,IF(AF84-F84&gt;0,ABS(AF84-F84),0))</f>
        <v>0</v>
      </c>
      <c r="AK84" s="453">
        <f t="shared" ref="AK84:AK114" si="182">AJ84*$S84*SQRT(3)/1000</f>
        <v>0</v>
      </c>
      <c r="AL84" s="469" t="s">
        <v>2860</v>
      </c>
    </row>
    <row r="85" spans="1:39" hidden="1" x14ac:dyDescent="0.25">
      <c r="A85" s="517"/>
      <c r="B85" s="124" t="s">
        <v>804</v>
      </c>
      <c r="C85" s="168" t="s">
        <v>2879</v>
      </c>
      <c r="D85" s="119">
        <f t="shared" si="167"/>
        <v>11</v>
      </c>
      <c r="E85" s="370">
        <f t="array" ref="E85">IF(U85="YES",IF(T85="YES",MIN(IF(TIM[Load Capability Reference]=CONCATENATE(P85,Q85,S85,R85),TIM[Lowest A-PTX])),MIN(IF(TIM[Load Capability Reference]=CONCATENATE(P85,Q85,S85,R85),IF(TIM[Equipment ID]&lt;&gt;O85,TIM[Lowest A-PTX])))),IF(T85="YES",MIN(IF(TIM[Load Capability Reference]=CONCATENATE(P85,Q85,S85,R85),TIM[Lowest A-No PTX])),MIN(IF(TIM[Load Capability Reference]=CONCATENATE(P85,Q85,S85,R85),IF(TIM[Equipment ID]&lt;&gt;O85,TIM[Lowest A-No PTX])))))</f>
        <v>276.28703999999993</v>
      </c>
      <c r="F85" s="119">
        <f>IFERROR(IFERROR(VLOOKUP(CONCATENATE(P85,Q85,O85,S85,"Protection"),TIM[[OC Protection Reference]:[Forward A]],23,0),VLOOKUP(O85,AEL_Protection_Data[],12,0)),"N/A")</f>
        <v>400</v>
      </c>
      <c r="G85" s="119">
        <f t="shared" si="168"/>
        <v>220</v>
      </c>
      <c r="H85" s="29">
        <f t="shared" si="169"/>
        <v>4.1915629543166828</v>
      </c>
      <c r="I85" s="119">
        <f t="shared" si="170"/>
        <v>245</v>
      </c>
      <c r="J85" s="29">
        <f t="shared" si="171"/>
        <v>4.6678769263981241</v>
      </c>
      <c r="K85" s="6" t="str">
        <f>IF(U85="Yes",UPPER(IF(ISNUMBER(SEARCH("winding",VLOOKUP(CONCATENATE(P85,Q85,S85,E85),TIM[[Limiting Equipment Reference-PTX]:[Summ Equipment]],7,0))),"Power Transformer Rating at "&amp;ROUND(E85*S85*SQRT(3)/1000,2)&amp;" MVA",VLOOKUP(CONCATENATE(P85,Q85,S85,E85),TIM[[Limiting Equipment Reference-No PTX]:[Summ Equipment]],8,0))),UPPER(VLOOKUP(CONCATENATE(P85,Q85,S85,E85),TIM[[Limiting Equipment Reference-No PTX]:[Summ Equipment]],8,0)))</f>
        <v>CABLE - 3C 240MM² AL PILC</v>
      </c>
      <c r="L85" s="146" t="s">
        <v>1267</v>
      </c>
      <c r="M85" s="509" t="s">
        <v>1266</v>
      </c>
      <c r="N85" s="517"/>
      <c r="O85" s="118" t="str">
        <f t="shared" ref="O85:O114" si="183">"TIM-"&amp;B85</f>
        <v>TIM-CB2672</v>
      </c>
      <c r="P85" s="49" t="s">
        <v>1276</v>
      </c>
      <c r="Q85" s="49" t="s">
        <v>1306</v>
      </c>
      <c r="R85" s="386"/>
      <c r="S85" s="43">
        <v>11</v>
      </c>
      <c r="T85" s="146" t="s">
        <v>1266</v>
      </c>
      <c r="U85" s="146" t="s">
        <v>1266</v>
      </c>
      <c r="V85" s="487"/>
      <c r="X85" s="498" t="s">
        <v>804</v>
      </c>
      <c r="Y85" s="431" t="str">
        <f t="shared" si="172"/>
        <v>WASHDYKE</v>
      </c>
      <c r="Z85" s="432">
        <v>945</v>
      </c>
      <c r="AA85" s="441" t="str">
        <f t="shared" si="173"/>
        <v>q</v>
      </c>
      <c r="AB85" s="134">
        <f t="shared" si="174"/>
        <v>0</v>
      </c>
      <c r="AC85" s="134">
        <f t="shared" si="175"/>
        <v>0</v>
      </c>
      <c r="AD85" s="134">
        <f t="shared" si="176"/>
        <v>668.71296000000007</v>
      </c>
      <c r="AE85" s="134">
        <f t="shared" si="177"/>
        <v>12.740693046397519</v>
      </c>
      <c r="AF85" s="432">
        <v>400</v>
      </c>
      <c r="AG85" s="436" t="str">
        <f t="shared" si="178"/>
        <v>u</v>
      </c>
      <c r="AH85" s="134">
        <f t="shared" si="179"/>
        <v>0</v>
      </c>
      <c r="AI85" s="134">
        <f t="shared" si="180"/>
        <v>0</v>
      </c>
      <c r="AJ85" s="134">
        <f t="shared" si="181"/>
        <v>0</v>
      </c>
      <c r="AK85" s="134">
        <f t="shared" si="182"/>
        <v>0</v>
      </c>
      <c r="AL85" s="470" t="s">
        <v>2860</v>
      </c>
    </row>
    <row r="86" spans="1:39" hidden="1" x14ac:dyDescent="0.25">
      <c r="B86" s="124" t="s">
        <v>806</v>
      </c>
      <c r="C86" s="168" t="s">
        <v>2915</v>
      </c>
      <c r="D86" s="119">
        <f t="shared" si="167"/>
        <v>11</v>
      </c>
      <c r="E86" s="370">
        <f t="array" ref="E86">IF(U86="YES",IF(T86="YES",MIN(IF(TIM[Load Capability Reference]=CONCATENATE(P86,Q86,S86,R86),TIM[Lowest A-PTX])),MIN(IF(TIM[Load Capability Reference]=CONCATENATE(P86,Q86,S86,R86),IF(TIM[Equipment ID]&lt;&gt;O86,TIM[Lowest A-PTX])))),IF(T86="YES",MIN(IF(TIM[Load Capability Reference]=CONCATENATE(P86,Q86,S86,R86),TIM[Lowest A-No PTX])),MIN(IF(TIM[Load Capability Reference]=CONCATENATE(P86,Q86,S86,R86),IF(TIM[Equipment ID]&lt;&gt;O86,TIM[Lowest A-No PTX])))))</f>
        <v>345</v>
      </c>
      <c r="F86" s="119">
        <f>IFERROR(IFERROR(VLOOKUP(CONCATENATE(P86,Q86,O86,S86,"Protection"),TIM[[OC Protection Reference]:[Forward A]],23,0),VLOOKUP(O86,AEL_Protection_Data[],12,0)),"N/A")</f>
        <v>400</v>
      </c>
      <c r="G86" s="119">
        <f t="shared" si="168"/>
        <v>275</v>
      </c>
      <c r="H86" s="29">
        <f t="shared" si="169"/>
        <v>5.2394536928958528</v>
      </c>
      <c r="I86" s="119">
        <f t="shared" si="170"/>
        <v>310</v>
      </c>
      <c r="J86" s="29">
        <f t="shared" si="171"/>
        <v>5.9062932538098716</v>
      </c>
      <c r="K86" s="168" t="str">
        <f>IF(U86="Yes",UPPER(IF(ISNUMBER(SEARCH("winding",VLOOKUP(CONCATENATE(P86,Q86,S86,E86),TIM[[Limiting Equipment Reference-PTX]:[Summ Equipment]],7,0))),"Power Transformer Rating at "&amp;ROUND(E86*S86*SQRT(3)/1000,2)&amp;" MVA",VLOOKUP(CONCATENATE(P86,Q86,S86,E86),TIM[[Limiting Equipment Reference-No PTX]:[Summ Equipment]],8,0))),UPPER(VLOOKUP(CONCATENATE(P86,Q86,S86,E86),TIM[[Limiting Equipment Reference-No PTX]:[Summ Equipment]],8,0)))</f>
        <v>CABLE-3X 1C 400MM2 AL XLPE HDPE</v>
      </c>
      <c r="L86" s="146" t="s">
        <v>1267</v>
      </c>
      <c r="M86" s="509" t="s">
        <v>1266</v>
      </c>
      <c r="O86" s="118" t="str">
        <f t="shared" si="183"/>
        <v>TIM-CB2682</v>
      </c>
      <c r="P86" s="49" t="s">
        <v>1276</v>
      </c>
      <c r="Q86" s="49" t="s">
        <v>1308</v>
      </c>
      <c r="R86" s="390"/>
      <c r="S86" s="32">
        <v>11</v>
      </c>
      <c r="T86" s="146" t="s">
        <v>1267</v>
      </c>
      <c r="U86" s="146" t="s">
        <v>1266</v>
      </c>
      <c r="V86" s="487"/>
      <c r="X86" s="498" t="s">
        <v>806</v>
      </c>
      <c r="Y86" s="431" t="s">
        <v>2866</v>
      </c>
      <c r="Z86" s="432">
        <v>345</v>
      </c>
      <c r="AA86" s="441" t="str">
        <f t="shared" si="173"/>
        <v>u</v>
      </c>
      <c r="AB86" s="134">
        <f t="shared" si="174"/>
        <v>0</v>
      </c>
      <c r="AC86" s="134">
        <f t="shared" si="175"/>
        <v>0</v>
      </c>
      <c r="AD86" s="134">
        <f t="shared" si="176"/>
        <v>0</v>
      </c>
      <c r="AE86" s="134">
        <f t="shared" si="177"/>
        <v>0</v>
      </c>
      <c r="AF86" s="432">
        <v>400</v>
      </c>
      <c r="AG86" s="436" t="str">
        <f t="shared" si="178"/>
        <v>u</v>
      </c>
      <c r="AH86" s="134">
        <f t="shared" si="179"/>
        <v>0</v>
      </c>
      <c r="AI86" s="134">
        <f t="shared" si="180"/>
        <v>0</v>
      </c>
      <c r="AJ86" s="134">
        <f t="shared" si="181"/>
        <v>0</v>
      </c>
      <c r="AK86" s="134">
        <f t="shared" si="182"/>
        <v>0</v>
      </c>
      <c r="AL86" s="470" t="s">
        <v>2860</v>
      </c>
    </row>
    <row r="87" spans="1:39" hidden="1" x14ac:dyDescent="0.25">
      <c r="B87" s="124" t="s">
        <v>808</v>
      </c>
      <c r="C87" s="168" t="s">
        <v>2901</v>
      </c>
      <c r="D87" s="119">
        <f t="shared" si="167"/>
        <v>11</v>
      </c>
      <c r="E87" s="370">
        <f t="array" ref="E87">IF(U87="YES",IF(T87="YES",MIN(IF(TIM[Load Capability Reference]=CONCATENATE(P87,Q87,S87,R87),TIM[Lowest A-PTX])),MIN(IF(TIM[Load Capability Reference]=CONCATENATE(P87,Q87,S87,R87),IF(TIM[Equipment ID]&lt;&gt;O87,TIM[Lowest A-PTX])))),IF(T87="YES",MIN(IF(TIM[Load Capability Reference]=CONCATENATE(P87,Q87,S87,R87),TIM[Lowest A-No PTX])),MIN(IF(TIM[Load Capability Reference]=CONCATENATE(P87,Q87,S87,R87),IF(TIM[Equipment ID]&lt;&gt;O87,TIM[Lowest A-No PTX])))))</f>
        <v>806.26499999999987</v>
      </c>
      <c r="F87" s="119">
        <f>IFERROR(IFERROR(VLOOKUP(CONCATENATE(P87,Q87,O87,S87,"Protection"),TIM[[OC Protection Reference]:[Forward A]],23,0),VLOOKUP(O87,AEL_Protection_Data[],12,0)),"N/A")</f>
        <v>1184</v>
      </c>
      <c r="G87" s="119">
        <f t="shared" si="168"/>
        <v>645</v>
      </c>
      <c r="H87" s="29">
        <f t="shared" si="169"/>
        <v>12.288900479701184</v>
      </c>
      <c r="I87" s="119">
        <f t="shared" si="170"/>
        <v>725</v>
      </c>
      <c r="J87" s="29">
        <f t="shared" si="171"/>
        <v>13.813105190361796</v>
      </c>
      <c r="K87" s="6" t="str">
        <f>IF(U87="Yes",UPPER(IF(ISNUMBER(SEARCH("winding",VLOOKUP(CONCATENATE(P87,Q87,S87,E87),TIM[[Limiting Equipment Reference-PTX]:[Summ Equipment]],7,0))),"Power Transformer Rating at "&amp;ROUND(E87*S87*SQRT(3)/1000,2)&amp;" MVA",VLOOKUP(CONCATENATE(P87,Q87,S87,E87),TIM[[Limiting Equipment Reference-No PTX]:[Summ Equipment]],8,0))),UPPER(VLOOKUP(CONCATENATE(P87,Q87,S87,E87),TIM[[Limiting Equipment Reference-No PTX]:[Summ Equipment]],8,0)))</f>
        <v>CABLE-3/1C 1200MM² AL XLPE CWS MDPE</v>
      </c>
      <c r="L87" s="146" t="s">
        <v>1267</v>
      </c>
      <c r="M87" s="509" t="s">
        <v>1266</v>
      </c>
      <c r="O87" s="118" t="str">
        <f t="shared" si="183"/>
        <v>TIM-CB2692</v>
      </c>
      <c r="P87" s="49" t="s">
        <v>1245</v>
      </c>
      <c r="Q87" s="49" t="s">
        <v>1317</v>
      </c>
      <c r="R87" s="386"/>
      <c r="S87" s="43">
        <v>11</v>
      </c>
      <c r="T87" s="146" t="s">
        <v>1266</v>
      </c>
      <c r="U87" s="146" t="s">
        <v>1266</v>
      </c>
      <c r="V87" s="487"/>
      <c r="X87" s="498" t="s">
        <v>808</v>
      </c>
      <c r="Y87" s="431" t="s">
        <v>2867</v>
      </c>
      <c r="Z87" s="432">
        <v>810</v>
      </c>
      <c r="AA87" s="441" t="str">
        <f t="shared" si="173"/>
        <v>q</v>
      </c>
      <c r="AB87" s="134">
        <f t="shared" si="174"/>
        <v>0</v>
      </c>
      <c r="AC87" s="134">
        <f t="shared" si="175"/>
        <v>0</v>
      </c>
      <c r="AD87" s="134">
        <f t="shared" si="176"/>
        <v>3.7350000000001273</v>
      </c>
      <c r="AE87" s="134">
        <f t="shared" si="177"/>
        <v>7.1161307428969756E-2</v>
      </c>
      <c r="AF87" s="432">
        <v>1184</v>
      </c>
      <c r="AG87" s="436" t="str">
        <f t="shared" si="178"/>
        <v>u</v>
      </c>
      <c r="AH87" s="134">
        <f t="shared" si="179"/>
        <v>0</v>
      </c>
      <c r="AI87" s="134">
        <f t="shared" si="180"/>
        <v>0</v>
      </c>
      <c r="AJ87" s="134">
        <f t="shared" si="181"/>
        <v>0</v>
      </c>
      <c r="AK87" s="134">
        <f t="shared" si="182"/>
        <v>0</v>
      </c>
      <c r="AL87" s="470" t="s">
        <v>2860</v>
      </c>
    </row>
    <row r="88" spans="1:39" hidden="1" x14ac:dyDescent="0.25">
      <c r="B88" s="124" t="s">
        <v>813</v>
      </c>
      <c r="C88" s="168" t="s">
        <v>2880</v>
      </c>
      <c r="D88" s="119">
        <f>ROUNDDOWN(S88,0)</f>
        <v>11</v>
      </c>
      <c r="E88" s="370">
        <f t="array" ref="E88">IF(U88="YES",IF(T88="YES",MIN(IF(TIM[Load Capability Reference]=CONCATENATE(P88,Q88,S88,R88),TIM[Lowest A-PTX])),MIN(IF(TIM[Load Capability Reference]=CONCATENATE(P88,Q88,S88,R88),IF(TIM[Equipment ID]&lt;&gt;O88,TIM[Lowest A-PTX])))),IF(T88="YES",MIN(IF(TIM[Load Capability Reference]=CONCATENATE(P88,Q88,S88,R88),TIM[Lowest A-No PTX])),MIN(IF(TIM[Load Capability Reference]=CONCATENATE(P88,Q88,S88,R88),IF(TIM[Equipment ID]&lt;&gt;O88,TIM[Lowest A-No PTX])))))</f>
        <v>188.03207500000005</v>
      </c>
      <c r="F88" s="119">
        <f>IFERROR(IFERROR(VLOOKUP(CONCATENATE(P88,Q88,O88,S88,"Protection"),TIM[[OC Protection Reference]:[Forward A]],23,0),VLOOKUP(O88,AEL_Protection_Data[],12,0)),"N/A")</f>
        <v>400</v>
      </c>
      <c r="G88" s="119">
        <f t="shared" si="168"/>
        <v>150</v>
      </c>
      <c r="H88" s="29">
        <f t="shared" si="169"/>
        <v>2.8578838324886475</v>
      </c>
      <c r="I88" s="119">
        <f t="shared" si="170"/>
        <v>165</v>
      </c>
      <c r="J88" s="29">
        <f t="shared" si="171"/>
        <v>3.1436722157375119</v>
      </c>
      <c r="K88" s="6" t="str">
        <f>IF(U88="Yes",UPPER(IF(ISNUMBER(SEARCH("winding",VLOOKUP(CONCATENATE(P88,Q88,S88,E88),TIM[[Limiting Equipment Reference-PTX]:[Summ Equipment]],7,0))),"Power Transformer Rating at "&amp;ROUND(E88*S88*SQRT(3)/1000,2)&amp;" MVA",VLOOKUP(CONCATENATE(P88,Q88,S88,E88),TIM[[Limiting Equipment Reference-No PTX]:[Summ Equipment]],8,0))),UPPER(VLOOKUP(CONCATENATE(P88,Q88,S88,E88),TIM[[Limiting Equipment Reference-No PTX]:[Summ Equipment]],8,0)))</f>
        <v>CABLE-3C 150MM² AL PILC STA</v>
      </c>
      <c r="L88" s="146" t="s">
        <v>1267</v>
      </c>
      <c r="M88" s="509" t="s">
        <v>1266</v>
      </c>
      <c r="O88" s="118" t="str">
        <f t="shared" si="183"/>
        <v>TIM-CB2702</v>
      </c>
      <c r="P88" s="49" t="s">
        <v>1276</v>
      </c>
      <c r="Q88" s="49" t="s">
        <v>117</v>
      </c>
      <c r="R88" s="386"/>
      <c r="S88" s="43">
        <v>11</v>
      </c>
      <c r="T88" s="146" t="s">
        <v>1266</v>
      </c>
      <c r="U88" s="146" t="s">
        <v>1266</v>
      </c>
      <c r="V88" s="487"/>
      <c r="X88" s="498" t="s">
        <v>813</v>
      </c>
      <c r="Y88" s="431" t="s">
        <v>1661</v>
      </c>
      <c r="Z88" s="432">
        <v>180</v>
      </c>
      <c r="AA88" s="441" t="str">
        <f t="shared" si="173"/>
        <v>p</v>
      </c>
      <c r="AB88" s="134">
        <f t="shared" si="174"/>
        <v>8.0320750000000487</v>
      </c>
      <c r="AC88" s="134">
        <f t="shared" si="175"/>
        <v>0.15303158189224259</v>
      </c>
      <c r="AD88" s="134">
        <f t="shared" si="176"/>
        <v>0</v>
      </c>
      <c r="AE88" s="134">
        <f t="shared" si="177"/>
        <v>0</v>
      </c>
      <c r="AF88" s="432">
        <v>400</v>
      </c>
      <c r="AG88" s="436" t="str">
        <f t="shared" si="178"/>
        <v>u</v>
      </c>
      <c r="AH88" s="134">
        <f t="shared" si="179"/>
        <v>0</v>
      </c>
      <c r="AI88" s="134">
        <f t="shared" si="180"/>
        <v>0</v>
      </c>
      <c r="AJ88" s="134">
        <f t="shared" si="181"/>
        <v>0</v>
      </c>
      <c r="AK88" s="134">
        <f t="shared" si="182"/>
        <v>0</v>
      </c>
      <c r="AL88" s="470" t="s">
        <v>2860</v>
      </c>
    </row>
    <row r="89" spans="1:39" hidden="1" x14ac:dyDescent="0.25">
      <c r="B89" s="124" t="s">
        <v>309</v>
      </c>
      <c r="C89" s="168" t="s">
        <v>2889</v>
      </c>
      <c r="D89" s="119">
        <f t="shared" ref="D89:D99" si="184">ROUNDDOWN(S89,0)</f>
        <v>11</v>
      </c>
      <c r="E89" s="370">
        <f t="array" ref="E89">IF(U89="YES",IF(T89="YES",MIN(IF(TIM[Load Capability Reference]=CONCATENATE(P89,Q89,S89,R89),TIM[Lowest A-PTX])),MIN(IF(TIM[Load Capability Reference]=CONCATENATE(P89,Q89,S89,R89),IF(TIM[Equipment ID]&lt;&gt;O89,TIM[Lowest A-PTX])))),IF(T89="YES",MIN(IF(TIM[Load Capability Reference]=CONCATENATE(P89,Q89,S89,R89),TIM[Lowest A-No PTX])),MIN(IF(TIM[Load Capability Reference]=CONCATENATE(P89,Q89,S89,R89),IF(TIM[Equipment ID]&lt;&gt;O89,TIM[Lowest A-No PTX])))))</f>
        <v>368.45256000000001</v>
      </c>
      <c r="F89" s="119">
        <f>IFERROR(IFERROR(VLOOKUP(CONCATENATE(P89,Q89,O89,S89,"Protection"),TIM[[OC Protection Reference]:[Forward A]],23,0),VLOOKUP(O89,AEL_Protection_Data[],12,0)),"N/A")</f>
        <v>400</v>
      </c>
      <c r="G89" s="119">
        <f t="shared" si="168"/>
        <v>290</v>
      </c>
      <c r="H89" s="29">
        <f t="shared" si="169"/>
        <v>5.5252420761447185</v>
      </c>
      <c r="I89" s="119">
        <f t="shared" si="170"/>
        <v>330</v>
      </c>
      <c r="J89" s="29">
        <f t="shared" si="171"/>
        <v>6.2873444314750238</v>
      </c>
      <c r="K89" s="6" t="str">
        <f>IF(U89="Yes",UPPER(IF(ISNUMBER(SEARCH("winding",VLOOKUP(CONCATENATE(P89,Q89,S89,E89),TIM[[Limiting Equipment Reference-PTX]:[Summ Equipment]],7,0))),"Power Transformer Rating at "&amp;ROUND(E89*S89*SQRT(3)/1000,2)&amp;" MVA",VLOOKUP(CONCATENATE(P89,Q89,S89,E89),TIM[[Limiting Equipment Reference-No PTX]:[Summ Equipment]],8,0))),UPPER(VLOOKUP(CONCATENATE(P89,Q89,S89,E89),TIM[[Limiting Equipment Reference-No PTX]:[Summ Equipment]],8,0)))</f>
        <v>CABLE-3C 300MM² AL XLPE MDPE</v>
      </c>
      <c r="L89" s="146" t="s">
        <v>1267</v>
      </c>
      <c r="M89" s="509" t="s">
        <v>1266</v>
      </c>
      <c r="O89" s="118" t="str">
        <f t="shared" si="183"/>
        <v>TIM-CB2712</v>
      </c>
      <c r="P89" s="49" t="s">
        <v>1276</v>
      </c>
      <c r="Q89" s="49" t="s">
        <v>128</v>
      </c>
      <c r="R89" s="386"/>
      <c r="S89" s="43">
        <v>11</v>
      </c>
      <c r="T89" s="146" t="s">
        <v>1266</v>
      </c>
      <c r="U89" s="146" t="s">
        <v>1266</v>
      </c>
      <c r="V89" s="487"/>
      <c r="X89" s="498" t="s">
        <v>309</v>
      </c>
      <c r="Y89" s="431" t="s">
        <v>2868</v>
      </c>
      <c r="Z89" s="432">
        <v>360</v>
      </c>
      <c r="AA89" s="441" t="str">
        <f t="shared" si="173"/>
        <v>p</v>
      </c>
      <c r="AB89" s="134">
        <f t="shared" si="174"/>
        <v>8.4525600000000054</v>
      </c>
      <c r="AC89" s="134">
        <f t="shared" si="175"/>
        <v>0.16104289711426839</v>
      </c>
      <c r="AD89" s="134">
        <f t="shared" si="176"/>
        <v>0</v>
      </c>
      <c r="AE89" s="134">
        <f t="shared" si="177"/>
        <v>0</v>
      </c>
      <c r="AF89" s="432">
        <v>400</v>
      </c>
      <c r="AG89" s="436" t="str">
        <f t="shared" si="178"/>
        <v>u</v>
      </c>
      <c r="AH89" s="134">
        <f t="shared" si="179"/>
        <v>0</v>
      </c>
      <c r="AI89" s="134">
        <f t="shared" si="180"/>
        <v>0</v>
      </c>
      <c r="AJ89" s="134">
        <f t="shared" si="181"/>
        <v>0</v>
      </c>
      <c r="AK89" s="134">
        <f t="shared" si="182"/>
        <v>0</v>
      </c>
      <c r="AL89" s="470" t="s">
        <v>2860</v>
      </c>
    </row>
    <row r="90" spans="1:39" hidden="1" x14ac:dyDescent="0.25">
      <c r="B90" s="124" t="s">
        <v>2742</v>
      </c>
      <c r="C90" s="168" t="s">
        <v>2890</v>
      </c>
      <c r="D90" s="119">
        <f>ROUNDDOWN(S90,0)</f>
        <v>11</v>
      </c>
      <c r="E90" s="370">
        <v>2500</v>
      </c>
      <c r="F90" s="119">
        <f>IFERROR(IFERROR(VLOOKUP(CONCATENATE(P90,Q90,O90,S90,"Protection"),TIM[[OC Protection Reference]:[Forward A]],23,0),VLOOKUP(O90,AEL_Protection_Data[],12,0)),"N/A")</f>
        <v>2496</v>
      </c>
      <c r="G90" s="119">
        <f>IFERROR(FLOOR(MIN(E90:F90)*$D$3,5),"")</f>
        <v>1995</v>
      </c>
      <c r="H90" s="29">
        <f>G90*S90*SQRT(3)/1000</f>
        <v>38.009854972099014</v>
      </c>
      <c r="I90" s="119">
        <f>IFERROR(FLOOR(MIN(E90:F90)*$D$2,5),"")</f>
        <v>2245</v>
      </c>
      <c r="J90" s="29">
        <f>I90*S90*SQRT(3)/1000</f>
        <v>42.772994692913421</v>
      </c>
      <c r="K90" s="6" t="s">
        <v>2710</v>
      </c>
      <c r="L90" s="146" t="s">
        <v>1267</v>
      </c>
      <c r="M90" s="509" t="s">
        <v>1266</v>
      </c>
      <c r="O90" s="118" t="str">
        <f>"TIM-"&amp;B90</f>
        <v>TIM-CB2728</v>
      </c>
      <c r="P90" s="49" t="s">
        <v>4</v>
      </c>
      <c r="Q90" s="49" t="s">
        <v>75</v>
      </c>
      <c r="R90" s="386"/>
      <c r="S90" s="43">
        <v>11</v>
      </c>
      <c r="T90" s="146" t="s">
        <v>1267</v>
      </c>
      <c r="U90" s="146" t="s">
        <v>1266</v>
      </c>
      <c r="V90" s="487" t="s">
        <v>2818</v>
      </c>
      <c r="X90" s="498" t="s">
        <v>2742</v>
      </c>
      <c r="Y90" s="431" t="s">
        <v>2869</v>
      </c>
      <c r="Z90" s="432"/>
      <c r="AA90" s="443" t="str">
        <f>IF(Z90&gt;E90,"q",IF(Z90&lt;E90,"p","u"))</f>
        <v>p</v>
      </c>
      <c r="AB90" s="134">
        <f t="shared" si="174"/>
        <v>0</v>
      </c>
      <c r="AC90" s="134">
        <f t="shared" si="175"/>
        <v>0</v>
      </c>
      <c r="AD90" s="134">
        <f t="shared" si="176"/>
        <v>0</v>
      </c>
      <c r="AE90" s="134">
        <f t="shared" si="177"/>
        <v>0</v>
      </c>
      <c r="AF90" s="432"/>
      <c r="AG90" s="436" t="str">
        <f>IF(AF90&gt;F90,"q",IF(AF90&lt;F90,"p","u"))</f>
        <v>p</v>
      </c>
      <c r="AH90" s="134">
        <f t="shared" si="179"/>
        <v>0</v>
      </c>
      <c r="AI90" s="134">
        <f t="shared" si="180"/>
        <v>0</v>
      </c>
      <c r="AJ90" s="134">
        <f t="shared" si="181"/>
        <v>0</v>
      </c>
      <c r="AK90" s="134">
        <f t="shared" si="182"/>
        <v>0</v>
      </c>
      <c r="AL90" s="470" t="s">
        <v>2860</v>
      </c>
    </row>
    <row r="91" spans="1:39" hidden="1" x14ac:dyDescent="0.25">
      <c r="B91" s="124" t="s">
        <v>313</v>
      </c>
      <c r="C91" s="168" t="s">
        <v>2891</v>
      </c>
      <c r="D91" s="119">
        <f t="shared" si="184"/>
        <v>11</v>
      </c>
      <c r="E91" s="370">
        <f t="array" ref="E91">IF(U91="YES",IF(T91="YES",MIN(IF(TIM[Load Capability Reference]=CONCATENATE(P91,Q91,S91,R91),TIM[Lowest A-PTX])),MIN(IF(TIM[Load Capability Reference]=CONCATENATE(P91,Q91,S91,R91),IF(TIM[Equipment ID]&lt;&gt;O91,TIM[Lowest A-PTX])))),IF(T91="YES",MIN(IF(TIM[Load Capability Reference]=CONCATENATE(P91,Q91,S91,R91),TIM[Lowest A-No PTX])),MIN(IF(TIM[Load Capability Reference]=CONCATENATE(P91,Q91,S91,R91),IF(TIM[Equipment ID]&lt;&gt;O91,TIM[Lowest A-No PTX])))))</f>
        <v>1120.5439999999999</v>
      </c>
      <c r="F91" s="119">
        <f>IFERROR(IFERROR(VLOOKUP(CONCATENATE(P91,Q91,O91,S91,"Protection"),TIM[[OC Protection Reference]:[Forward A]],23,0),VLOOKUP(O91,AEL_Protection_Data[],12,0)),"N/A")</f>
        <v>1068</v>
      </c>
      <c r="G91" s="119">
        <f t="shared" si="168"/>
        <v>850</v>
      </c>
      <c r="H91" s="29">
        <f t="shared" si="169"/>
        <v>16.194675050769</v>
      </c>
      <c r="I91" s="119">
        <f t="shared" si="170"/>
        <v>960</v>
      </c>
      <c r="J91" s="29">
        <f t="shared" si="171"/>
        <v>18.290456527927343</v>
      </c>
      <c r="K91" s="6" t="str">
        <f>IF(U91="Yes",UPPER(IF(ISNUMBER(SEARCH("winding",VLOOKUP(CONCATENATE(P91,Q91,S91,E91),TIM[[Limiting Equipment Reference-PTX]:[Summ Equipment]],7,0))),"Power Transformer Rating at "&amp;ROUND(E91*S91*SQRT(3)/1000,2)&amp;" MVA",VLOOKUP(CONCATENATE(P91,Q91,S91,E91),TIM[[Limiting Equipment Reference-No PTX]:[Summ Equipment]],8,0))),UPPER(VLOOKUP(CONCATENATE(P91,Q91,S91,E91),TIM[[Limiting Equipment Reference-No PTX]:[Summ Equipment]],8,0)))</f>
        <v xml:space="preserve">CABLE-2 X 3/1C 630MM² CU </v>
      </c>
      <c r="L91" s="146" t="s">
        <v>1267</v>
      </c>
      <c r="M91" s="509" t="s">
        <v>1266</v>
      </c>
      <c r="O91" s="118" t="str">
        <f t="shared" si="183"/>
        <v>TIM-CB2732</v>
      </c>
      <c r="P91" s="49" t="s">
        <v>1245</v>
      </c>
      <c r="Q91" s="49" t="s">
        <v>135</v>
      </c>
      <c r="R91" s="386"/>
      <c r="S91" s="43">
        <v>11</v>
      </c>
      <c r="T91" s="146" t="s">
        <v>1266</v>
      </c>
      <c r="U91" s="146" t="s">
        <v>1267</v>
      </c>
      <c r="V91" s="487"/>
      <c r="X91" s="498" t="s">
        <v>313</v>
      </c>
      <c r="Y91" s="431" t="s">
        <v>2870</v>
      </c>
      <c r="Z91" s="432">
        <v>1110</v>
      </c>
      <c r="AA91" s="443" t="str">
        <f t="shared" si="173"/>
        <v>p</v>
      </c>
      <c r="AB91" s="134">
        <f t="shared" si="174"/>
        <v>10.543999999999869</v>
      </c>
      <c r="AC91" s="134">
        <f t="shared" si="175"/>
        <v>0.20089018086506616</v>
      </c>
      <c r="AD91" s="134">
        <f t="shared" si="176"/>
        <v>0</v>
      </c>
      <c r="AE91" s="134">
        <f t="shared" si="177"/>
        <v>0</v>
      </c>
      <c r="AF91" s="432">
        <v>1068</v>
      </c>
      <c r="AG91" s="436" t="str">
        <f t="shared" si="178"/>
        <v>u</v>
      </c>
      <c r="AH91" s="134">
        <f t="shared" si="179"/>
        <v>0</v>
      </c>
      <c r="AI91" s="134">
        <f t="shared" si="180"/>
        <v>0</v>
      </c>
      <c r="AJ91" s="134">
        <f t="shared" si="181"/>
        <v>0</v>
      </c>
      <c r="AK91" s="134">
        <f t="shared" si="182"/>
        <v>0</v>
      </c>
      <c r="AL91" s="470" t="s">
        <v>2860</v>
      </c>
    </row>
    <row r="92" spans="1:39" hidden="1" x14ac:dyDescent="0.25">
      <c r="B92" s="123" t="s">
        <v>314</v>
      </c>
      <c r="C92" s="6" t="s">
        <v>2871</v>
      </c>
      <c r="D92" s="119">
        <f t="shared" si="184"/>
        <v>11</v>
      </c>
      <c r="E92" s="370">
        <f t="array" ref="E92">IF(U92="YES",IF(T92="YES",MIN(IF(TIM[Load Capability Reference]=CONCATENATE(P92,Q92,S92,R92),TIM[Lowest A-PTX])),MIN(IF(TIM[Load Capability Reference]=CONCATENATE(P92,Q92,S92,R92),IF(TIM[Equipment ID]&lt;&gt;O92,TIM[Lowest A-PTX])))),IF(T92="YES",MIN(IF(TIM[Load Capability Reference]=CONCATENATE(P92,Q92,S92,R92),TIM[Lowest A-No PTX])),MIN(IF(TIM[Load Capability Reference]=CONCATENATE(P92,Q92,S92,R92),IF(TIM[Equipment ID]&lt;&gt;O92,TIM[Lowest A-No PTX])))))</f>
        <v>394.49356799999993</v>
      </c>
      <c r="F92" s="119">
        <f>IFERROR(IFERROR(VLOOKUP(CONCATENATE(P92,Q92,O92,S92,"Protection"),TIM[[OC Protection Reference]:[Forward A]],23,0),VLOOKUP(O92,AEL_Protection_Data[],12,0)),"N/A")</f>
        <v>400</v>
      </c>
      <c r="G92" s="119">
        <f t="shared" si="168"/>
        <v>315</v>
      </c>
      <c r="H92" s="29">
        <f t="shared" si="169"/>
        <v>6.0015560482261598</v>
      </c>
      <c r="I92" s="119">
        <f t="shared" si="170"/>
        <v>355</v>
      </c>
      <c r="J92" s="29">
        <f t="shared" ref="J92" si="185">I92*S92*SQRT(3)/1000</f>
        <v>6.763658403556466</v>
      </c>
      <c r="K92" s="6" t="str">
        <f>IF(U92="Yes",UPPER(IF(ISNUMBER(SEARCH("winding",VLOOKUP(CONCATENATE(P92,Q92,S92,E92),TIM[[Limiting Equipment Reference-PTX]:[Summ Equipment]],7,0))),"Power Transformer Rating at "&amp;ROUND(E92*S92*SQRT(3)/1000,2)&amp;" MVA",VLOOKUP(CONCATENATE(P92,Q92,S92,E92),TIM[[Limiting Equipment Reference-No PTX]:[Summ Equipment]],8,0))),UPPER(VLOOKUP(CONCATENATE(P92,Q92,S92,E92),TIM[[Limiting Equipment Reference-No PTX]:[Summ Equipment]],8,0)))</f>
        <v>CABLE-3C 300MM² AL XLPE MDPE</v>
      </c>
      <c r="L92" s="146" t="s">
        <v>1267</v>
      </c>
      <c r="M92" s="509" t="s">
        <v>1266</v>
      </c>
      <c r="O92" s="118" t="str">
        <f t="shared" si="183"/>
        <v>TIM-CB2742</v>
      </c>
      <c r="P92" s="49" t="s">
        <v>1276</v>
      </c>
      <c r="Q92" s="49" t="s">
        <v>1309</v>
      </c>
      <c r="R92" s="386"/>
      <c r="S92" s="43">
        <v>11</v>
      </c>
      <c r="T92" s="146" t="s">
        <v>1266</v>
      </c>
      <c r="U92" s="146" t="s">
        <v>1266</v>
      </c>
      <c r="V92" s="487"/>
      <c r="X92" s="499" t="s">
        <v>314</v>
      </c>
      <c r="Y92" s="431" t="s">
        <v>2871</v>
      </c>
      <c r="Z92" s="432">
        <v>390</v>
      </c>
      <c r="AA92" s="443" t="str">
        <f t="shared" ref="AA92:AA114" si="186">IF(Z92&gt;E92,"q",IF(Z92&lt;E92,"p","u"))</f>
        <v>p</v>
      </c>
      <c r="AB92" s="134">
        <f t="shared" si="174"/>
        <v>4.4935679999999252</v>
      </c>
      <c r="AC92" s="134">
        <f t="shared" si="175"/>
        <v>8.5613968915920879E-2</v>
      </c>
      <c r="AD92" s="134">
        <f t="shared" si="176"/>
        <v>0</v>
      </c>
      <c r="AE92" s="134">
        <f t="shared" si="177"/>
        <v>0</v>
      </c>
      <c r="AF92" s="432">
        <v>400</v>
      </c>
      <c r="AG92" s="436" t="str">
        <f t="shared" ref="AG92:AG114" si="187">IF(AF92&gt;F92,"q",IF(AF92&lt;F92,"p","u"))</f>
        <v>u</v>
      </c>
      <c r="AH92" s="134">
        <f t="shared" si="179"/>
        <v>0</v>
      </c>
      <c r="AI92" s="134">
        <f t="shared" si="180"/>
        <v>0</v>
      </c>
      <c r="AJ92" s="134">
        <f t="shared" si="181"/>
        <v>0</v>
      </c>
      <c r="AK92" s="134">
        <f t="shared" si="182"/>
        <v>0</v>
      </c>
      <c r="AL92" s="470" t="s">
        <v>2860</v>
      </c>
    </row>
    <row r="93" spans="1:39" hidden="1" x14ac:dyDescent="0.25">
      <c r="B93" s="124" t="s">
        <v>2743</v>
      </c>
      <c r="C93" s="168" t="s">
        <v>2895</v>
      </c>
      <c r="D93" s="119">
        <f t="shared" si="184"/>
        <v>11</v>
      </c>
      <c r="E93" s="370">
        <f t="array" ref="E93">IF(U93="YES",IF(T93="YES",MIN(IF(TIM[Load Capability Reference]=CONCATENATE(P93,Q93,S93,R93),TIM[Lowest A-PTX])),MIN(IF(TIM[Load Capability Reference]=CONCATENATE(P93,Q93,S93,R93),IF(TIM[Equipment ID]&lt;&gt;O93,TIM[Lowest A-PTX])))),IF(T93="YES",MIN(IF(TIM[Load Capability Reference]=CONCATENATE(P93,Q93,S93,R93),TIM[Lowest A-No PTX])),MIN(IF(TIM[Load Capability Reference]=CONCATENATE(P93,Q93,S93,R93),IF(TIM[Equipment ID]&lt;&gt;O93,TIM[Lowest A-No PTX])))))</f>
        <v>2534</v>
      </c>
      <c r="F93" s="119">
        <f>IFERROR(IFERROR(VLOOKUP(CONCATENATE(P93,Q93,O93,S93,"Protection"),TIM[[OC Protection Reference]:[Forward A]],23,0),VLOOKUP(O93,AEL_Protection_Data[],12,0)),"N/A")</f>
        <v>1544</v>
      </c>
      <c r="G93" s="119">
        <f t="shared" si="168"/>
        <v>1235</v>
      </c>
      <c r="H93" s="29">
        <f t="shared" si="169"/>
        <v>23.529910220823197</v>
      </c>
      <c r="I93" s="119">
        <f t="shared" si="170"/>
        <v>1385</v>
      </c>
      <c r="J93" s="29">
        <f t="shared" si="171"/>
        <v>26.387794053311847</v>
      </c>
      <c r="K93" s="6" t="str">
        <f>IF(U93="Yes",UPPER(IF(ISNUMBER(SEARCH("winding",VLOOKUP(CONCATENATE(P93,Q93,S93,E93),TIM[[Limiting Equipment Reference-PTX]:[Summ Equipment]],7,0))),"Power Transformer Rating at "&amp;ROUND(E93*S93*SQRT(3)/1000,2)&amp;" MVA",VLOOKUP(CONCATENATE(P93,Q93,S93,E93),TIM[[Limiting Equipment Reference-No PTX]:[Summ Equipment]],8,0))),UPPER(VLOOKUP(CONCATENATE(P93,Q93,S93,E93),TIM[[Limiting Equipment Reference-No PTX]:[Summ Equipment]],8,0)))</f>
        <v>CABLE-TIM-CBL-T3-CB2752-CABLE</v>
      </c>
      <c r="L93" s="146" t="s">
        <v>1267</v>
      </c>
      <c r="M93" s="509" t="s">
        <v>1266</v>
      </c>
      <c r="O93" s="118" t="str">
        <f t="shared" si="183"/>
        <v>TIM-CB2752</v>
      </c>
      <c r="P93" s="49" t="s">
        <v>4</v>
      </c>
      <c r="Q93" s="49" t="s">
        <v>75</v>
      </c>
      <c r="R93" s="386" t="s">
        <v>2694</v>
      </c>
      <c r="S93" s="43">
        <v>11</v>
      </c>
      <c r="T93" s="146" t="s">
        <v>1266</v>
      </c>
      <c r="U93" s="146" t="s">
        <v>1266</v>
      </c>
      <c r="V93" s="487"/>
      <c r="X93" s="498" t="s">
        <v>2743</v>
      </c>
      <c r="Y93" s="431" t="s">
        <v>2869</v>
      </c>
      <c r="Z93" s="432"/>
      <c r="AA93" s="443" t="str">
        <f t="shared" si="186"/>
        <v>p</v>
      </c>
      <c r="AB93" s="134">
        <f t="shared" si="174"/>
        <v>0</v>
      </c>
      <c r="AC93" s="134">
        <f t="shared" si="175"/>
        <v>0</v>
      </c>
      <c r="AD93" s="134">
        <f t="shared" si="176"/>
        <v>0</v>
      </c>
      <c r="AE93" s="134">
        <f t="shared" si="177"/>
        <v>0</v>
      </c>
      <c r="AF93" s="432"/>
      <c r="AG93" s="436" t="str">
        <f t="shared" si="187"/>
        <v>p</v>
      </c>
      <c r="AH93" s="134">
        <f t="shared" si="179"/>
        <v>0</v>
      </c>
      <c r="AI93" s="134">
        <f t="shared" si="180"/>
        <v>0</v>
      </c>
      <c r="AJ93" s="134">
        <f t="shared" si="181"/>
        <v>0</v>
      </c>
      <c r="AK93" s="134">
        <f t="shared" si="182"/>
        <v>0</v>
      </c>
      <c r="AL93" s="470" t="s">
        <v>2860</v>
      </c>
    </row>
    <row r="94" spans="1:39" hidden="1" x14ac:dyDescent="0.25">
      <c r="B94" s="124" t="s">
        <v>830</v>
      </c>
      <c r="C94" s="168" t="s">
        <v>2881</v>
      </c>
      <c r="D94" s="119">
        <f t="shared" si="184"/>
        <v>11</v>
      </c>
      <c r="E94" s="370">
        <f t="array" ref="E94">IF(U94="YES",IF(T94="YES",MIN(IF(TIM[Load Capability Reference]=CONCATENATE(P94,Q94,S94,R94),TIM[Lowest A-PTX])),MIN(IF(TIM[Load Capability Reference]=CONCATENATE(P94,Q94,S94,R94),IF(TIM[Equipment ID]&lt;&gt;O94,TIM[Lowest A-PTX])))),IF(T94="YES",MIN(IF(TIM[Load Capability Reference]=CONCATENATE(P94,Q94,S94,R94),TIM[Lowest A-No PTX])),MIN(IF(TIM[Load Capability Reference]=CONCATENATE(P94,Q94,S94,R94),IF(TIM[Equipment ID]&lt;&gt;O94,TIM[Lowest A-No PTX])))))</f>
        <v>280.02959999999996</v>
      </c>
      <c r="F94" s="119">
        <f>IFERROR(IFERROR(VLOOKUP(CONCATENATE(P94,Q94,O94,S94,"Protection"),TIM[[OC Protection Reference]:[Forward A]],23,0),VLOOKUP(O94,AEL_Protection_Data[],12,0)),"N/A")</f>
        <v>400</v>
      </c>
      <c r="G94" s="119">
        <f t="shared" si="168"/>
        <v>220</v>
      </c>
      <c r="H94" s="29">
        <f t="shared" si="169"/>
        <v>4.1915629543166828</v>
      </c>
      <c r="I94" s="119">
        <f t="shared" si="170"/>
        <v>250</v>
      </c>
      <c r="J94" s="29">
        <f t="shared" si="171"/>
        <v>4.7631397208144124</v>
      </c>
      <c r="K94" s="6" t="str">
        <f>IF(U94="Yes",UPPER(IF(ISNUMBER(SEARCH("winding",VLOOKUP(CONCATENATE(P94,Q94,S94,E94),TIM[[Limiting Equipment Reference-PTX]:[Summ Equipment]],7,0))),"Power Transformer Rating at "&amp;ROUND(E94*S94*SQRT(3)/1000,2)&amp;" MVA",VLOOKUP(CONCATENATE(P94,Q94,S94,E94),TIM[[Limiting Equipment Reference-No PTX]:[Summ Equipment]],8,0))),UPPER(VLOOKUP(CONCATENATE(P94,Q94,S94,E94),TIM[[Limiting Equipment Reference-No PTX]:[Summ Equipment]],8,0)))</f>
        <v>CABLE-3C 240MM²  AL PILC STA</v>
      </c>
      <c r="L94" s="146" t="s">
        <v>1267</v>
      </c>
      <c r="M94" s="509" t="s">
        <v>1266</v>
      </c>
      <c r="O94" s="118" t="str">
        <f t="shared" si="183"/>
        <v>TIM-CB2762</v>
      </c>
      <c r="P94" s="49" t="s">
        <v>1276</v>
      </c>
      <c r="Q94" s="49" t="s">
        <v>143</v>
      </c>
      <c r="R94" s="386"/>
      <c r="S94" s="43">
        <v>11</v>
      </c>
      <c r="T94" s="146" t="s">
        <v>1266</v>
      </c>
      <c r="U94" s="146" t="s">
        <v>1266</v>
      </c>
      <c r="V94" s="487"/>
      <c r="X94" s="498" t="s">
        <v>830</v>
      </c>
      <c r="Y94" s="431" t="s">
        <v>1667</v>
      </c>
      <c r="Z94" s="432">
        <v>280</v>
      </c>
      <c r="AA94" s="443" t="str">
        <f t="shared" si="186"/>
        <v>p</v>
      </c>
      <c r="AB94" s="134">
        <f t="shared" si="174"/>
        <v>2.9599999999959437E-2</v>
      </c>
      <c r="AC94" s="134">
        <f t="shared" si="175"/>
        <v>5.6395574294365353E-4</v>
      </c>
      <c r="AD94" s="134">
        <f t="shared" si="176"/>
        <v>0</v>
      </c>
      <c r="AE94" s="134">
        <f t="shared" si="177"/>
        <v>0</v>
      </c>
      <c r="AF94" s="432">
        <v>400</v>
      </c>
      <c r="AG94" s="436" t="str">
        <f t="shared" si="187"/>
        <v>u</v>
      </c>
      <c r="AH94" s="134">
        <f t="shared" si="179"/>
        <v>0</v>
      </c>
      <c r="AI94" s="134">
        <f t="shared" si="180"/>
        <v>0</v>
      </c>
      <c r="AJ94" s="134">
        <f t="shared" si="181"/>
        <v>0</v>
      </c>
      <c r="AK94" s="134">
        <f t="shared" si="182"/>
        <v>0</v>
      </c>
      <c r="AL94" s="470" t="s">
        <v>2860</v>
      </c>
    </row>
    <row r="95" spans="1:39" hidden="1" x14ac:dyDescent="0.25">
      <c r="B95" s="124" t="s">
        <v>834</v>
      </c>
      <c r="C95" s="168" t="s">
        <v>2896</v>
      </c>
      <c r="D95" s="119">
        <f t="shared" si="184"/>
        <v>11</v>
      </c>
      <c r="E95" s="370">
        <f t="array" ref="E95">IF(U95="YES",IF(T95="YES",MIN(IF(TIM[Load Capability Reference]=CONCATENATE(P95,Q95,S95,R95),TIM[Lowest A-PTX])),MIN(IF(TIM[Load Capability Reference]=CONCATENATE(P95,Q95,S95,R95),IF(TIM[Equipment ID]&lt;&gt;O95,TIM[Lowest A-PTX])))),IF(T95="YES",MIN(IF(TIM[Load Capability Reference]=CONCATENATE(P95,Q95,S95,R95),TIM[Lowest A-No PTX])),MIN(IF(TIM[Load Capability Reference]=CONCATENATE(P95,Q95,S95,R95),IF(TIM[Equipment ID]&lt;&gt;O95,TIM[Lowest A-No PTX])))))</f>
        <v>412.56599999999986</v>
      </c>
      <c r="F95" s="119">
        <f>IFERROR(IFERROR(VLOOKUP(CONCATENATE(P95,Q95,O95,S95,"Protection"),TIM[[OC Protection Reference]:[Forward A]],23,0),VLOOKUP(O95,AEL_Protection_Data[],12,0)),"N/A")</f>
        <v>600</v>
      </c>
      <c r="G95" s="119">
        <f t="shared" si="168"/>
        <v>330</v>
      </c>
      <c r="H95" s="29">
        <f t="shared" si="169"/>
        <v>6.2873444314750238</v>
      </c>
      <c r="I95" s="119">
        <f t="shared" si="170"/>
        <v>370</v>
      </c>
      <c r="J95" s="29">
        <f t="shared" si="171"/>
        <v>7.0494467868053299</v>
      </c>
      <c r="K95" s="6" t="str">
        <f>IF(U95="Yes",UPPER(IF(ISNUMBER(SEARCH("winding",VLOOKUP(CONCATENATE(P95,Q95,S95,E95),TIM[[Limiting Equipment Reference-PTX]:[Summ Equipment]],7,0))),"Power Transformer Rating at "&amp;ROUND(E95*S95*SQRT(3)/1000,2)&amp;" MVA",VLOOKUP(CONCATENATE(P95,Q95,S95,E95),TIM[[Limiting Equipment Reference-No PTX]:[Summ Equipment]],8,0))),UPPER(VLOOKUP(CONCATENATE(P95,Q95,S95,E95),TIM[[Limiting Equipment Reference-No PTX]:[Summ Equipment]],8,0)))</f>
        <v>CABLE-3C 400MM² CU PILC SWA</v>
      </c>
      <c r="L95" s="146" t="s">
        <v>1267</v>
      </c>
      <c r="M95" s="509" t="s">
        <v>1266</v>
      </c>
      <c r="O95" s="118" t="str">
        <f t="shared" si="183"/>
        <v>TIM-CB2772</v>
      </c>
      <c r="P95" s="49" t="s">
        <v>1245</v>
      </c>
      <c r="Q95" s="49" t="s">
        <v>1321</v>
      </c>
      <c r="R95" s="386"/>
      <c r="S95" s="43">
        <v>11</v>
      </c>
      <c r="T95" s="146" t="s">
        <v>1266</v>
      </c>
      <c r="U95" s="146" t="s">
        <v>1266</v>
      </c>
      <c r="V95" s="487"/>
      <c r="X95" s="498" t="s">
        <v>834</v>
      </c>
      <c r="Y95" s="431" t="s">
        <v>2760</v>
      </c>
      <c r="Z95" s="432">
        <v>410</v>
      </c>
      <c r="AA95" s="443" t="str">
        <f t="shared" si="186"/>
        <v>p</v>
      </c>
      <c r="AB95" s="134">
        <f t="shared" si="174"/>
        <v>2.5659999999998604</v>
      </c>
      <c r="AC95" s="134">
        <f t="shared" si="175"/>
        <v>4.8888866094436469E-2</v>
      </c>
      <c r="AD95" s="134">
        <f t="shared" si="176"/>
        <v>0</v>
      </c>
      <c r="AE95" s="134">
        <f t="shared" si="177"/>
        <v>0</v>
      </c>
      <c r="AF95" s="432">
        <v>600</v>
      </c>
      <c r="AG95" s="436" t="str">
        <f t="shared" si="187"/>
        <v>u</v>
      </c>
      <c r="AH95" s="134">
        <f t="shared" si="179"/>
        <v>0</v>
      </c>
      <c r="AI95" s="134">
        <f t="shared" si="180"/>
        <v>0</v>
      </c>
      <c r="AJ95" s="134">
        <f t="shared" si="181"/>
        <v>0</v>
      </c>
      <c r="AK95" s="134">
        <f t="shared" si="182"/>
        <v>0</v>
      </c>
      <c r="AL95" s="470" t="s">
        <v>2860</v>
      </c>
    </row>
    <row r="96" spans="1:39" hidden="1" x14ac:dyDescent="0.25">
      <c r="B96" s="124" t="s">
        <v>2744</v>
      </c>
      <c r="C96" s="168" t="s">
        <v>2900</v>
      </c>
      <c r="D96" s="119">
        <f t="shared" si="184"/>
        <v>11</v>
      </c>
      <c r="E96" s="370">
        <v>2500</v>
      </c>
      <c r="F96" s="119">
        <f>IFERROR(IFERROR(VLOOKUP(CONCATENATE(P96,Q96,O96,S96,"Protection"),TIM[[OC Protection Reference]:[Forward A]],23,0),VLOOKUP(O96,AEL_Protection_Data[],12,0)),"N/A")</f>
        <v>2496</v>
      </c>
      <c r="G96" s="119">
        <f t="shared" si="168"/>
        <v>1995</v>
      </c>
      <c r="H96" s="29">
        <f t="shared" si="169"/>
        <v>38.009854972099014</v>
      </c>
      <c r="I96" s="119">
        <f t="shared" si="170"/>
        <v>2245</v>
      </c>
      <c r="J96" s="29">
        <f t="shared" si="171"/>
        <v>42.772994692913421</v>
      </c>
      <c r="K96" s="6" t="s">
        <v>2711</v>
      </c>
      <c r="L96" s="146" t="s">
        <v>1267</v>
      </c>
      <c r="M96" s="509" t="s">
        <v>1266</v>
      </c>
      <c r="O96" s="118" t="str">
        <f t="shared" si="183"/>
        <v>TIM-CB2788</v>
      </c>
      <c r="P96" s="49" t="s">
        <v>4</v>
      </c>
      <c r="Q96" s="49" t="s">
        <v>75</v>
      </c>
      <c r="R96" s="386"/>
      <c r="S96" s="43">
        <v>11</v>
      </c>
      <c r="T96" s="146" t="s">
        <v>1267</v>
      </c>
      <c r="U96" s="146" t="s">
        <v>1266</v>
      </c>
      <c r="V96" s="487" t="s">
        <v>2818</v>
      </c>
      <c r="X96" s="498" t="s">
        <v>2744</v>
      </c>
      <c r="Y96" s="431" t="s">
        <v>2869</v>
      </c>
      <c r="Z96" s="432"/>
      <c r="AA96" s="443" t="str">
        <f t="shared" si="186"/>
        <v>p</v>
      </c>
      <c r="AB96" s="134">
        <f t="shared" si="174"/>
        <v>0</v>
      </c>
      <c r="AC96" s="134">
        <f t="shared" si="175"/>
        <v>0</v>
      </c>
      <c r="AD96" s="134">
        <f t="shared" si="176"/>
        <v>0</v>
      </c>
      <c r="AE96" s="134">
        <f t="shared" si="177"/>
        <v>0</v>
      </c>
      <c r="AF96" s="432"/>
      <c r="AG96" s="436" t="str">
        <f t="shared" si="187"/>
        <v>p</v>
      </c>
      <c r="AH96" s="134">
        <f t="shared" si="179"/>
        <v>0</v>
      </c>
      <c r="AI96" s="134">
        <f t="shared" si="180"/>
        <v>0</v>
      </c>
      <c r="AJ96" s="134">
        <f t="shared" si="181"/>
        <v>0</v>
      </c>
      <c r="AK96" s="134">
        <f t="shared" si="182"/>
        <v>0</v>
      </c>
      <c r="AL96" s="470" t="s">
        <v>2860</v>
      </c>
    </row>
    <row r="97" spans="2:38" hidden="1" x14ac:dyDescent="0.25">
      <c r="B97" s="124" t="s">
        <v>838</v>
      </c>
      <c r="C97" s="168" t="s">
        <v>2897</v>
      </c>
      <c r="D97" s="119">
        <f t="shared" si="184"/>
        <v>11</v>
      </c>
      <c r="E97" s="370">
        <f t="array" ref="E97">IF(U97="YES",IF(T97="YES",MIN(IF(TIM[Load Capability Reference]=CONCATENATE(P97,Q97,S97,R97),TIM[Lowest A-PTX])),MIN(IF(TIM[Load Capability Reference]=CONCATENATE(P97,Q97,S97,R97),IF(TIM[Equipment ID]&lt;&gt;O97,TIM[Lowest A-PTX])))),IF(T97="YES",MIN(IF(TIM[Load Capability Reference]=CONCATENATE(P97,Q97,S97,R97),TIM[Lowest A-No PTX])),MIN(IF(TIM[Load Capability Reference]=CONCATENATE(P97,Q97,S97,R97),IF(TIM[Equipment ID]&lt;&gt;O97,TIM[Lowest A-No PTX])))))</f>
        <v>412.56599999999986</v>
      </c>
      <c r="F97" s="119">
        <f>IFERROR(IFERROR(VLOOKUP(CONCATENATE(P97,Q97,O97,S97,"Protection"),TIM[[OC Protection Reference]:[Forward A]],23,0),VLOOKUP(O97,AEL_Protection_Data[],12,0)),"N/A")</f>
        <v>600</v>
      </c>
      <c r="G97" s="119">
        <f t="shared" si="168"/>
        <v>330</v>
      </c>
      <c r="H97" s="29">
        <f t="shared" si="169"/>
        <v>6.2873444314750238</v>
      </c>
      <c r="I97" s="119">
        <f t="shared" si="170"/>
        <v>370</v>
      </c>
      <c r="J97" s="29">
        <f t="shared" si="171"/>
        <v>7.0494467868053299</v>
      </c>
      <c r="K97" s="6" t="str">
        <f>IF(U97="Yes",UPPER(IF(ISNUMBER(SEARCH("winding",VLOOKUP(CONCATENATE(P97,Q97,S97,E97),TIM[[Limiting Equipment Reference-PTX]:[Summ Equipment]],7,0))),"Power Transformer Rating at "&amp;ROUND(E97*S97*SQRT(3)/1000,2)&amp;" MVA",VLOOKUP(CONCATENATE(P97,Q97,S97,E97),TIM[[Limiting Equipment Reference-No PTX]:[Summ Equipment]],8,0))),UPPER(VLOOKUP(CONCATENATE(P97,Q97,S97,E97),TIM[[Limiting Equipment Reference-No PTX]:[Summ Equipment]],8,0)))</f>
        <v>CABLE-3C 400MM² CU PILC SWA</v>
      </c>
      <c r="L97" s="146" t="s">
        <v>1267</v>
      </c>
      <c r="M97" s="509" t="s">
        <v>1266</v>
      </c>
      <c r="O97" s="118" t="str">
        <f t="shared" si="183"/>
        <v>TIM-CB2812</v>
      </c>
      <c r="P97" s="49" t="s">
        <v>1245</v>
      </c>
      <c r="Q97" s="49" t="s">
        <v>1320</v>
      </c>
      <c r="R97" s="386"/>
      <c r="S97" s="43">
        <v>11</v>
      </c>
      <c r="T97" s="146" t="s">
        <v>1266</v>
      </c>
      <c r="U97" s="146" t="s">
        <v>1266</v>
      </c>
      <c r="V97" s="487"/>
      <c r="X97" s="498" t="s">
        <v>838</v>
      </c>
      <c r="Y97" s="431" t="s">
        <v>2761</v>
      </c>
      <c r="Z97" s="432">
        <v>410</v>
      </c>
      <c r="AA97" s="443" t="str">
        <f t="shared" si="186"/>
        <v>p</v>
      </c>
      <c r="AB97" s="134">
        <f t="shared" si="174"/>
        <v>2.5659999999998604</v>
      </c>
      <c r="AC97" s="134">
        <f t="shared" si="175"/>
        <v>4.8888866094436469E-2</v>
      </c>
      <c r="AD97" s="134">
        <f t="shared" si="176"/>
        <v>0</v>
      </c>
      <c r="AE97" s="134">
        <f t="shared" si="177"/>
        <v>0</v>
      </c>
      <c r="AF97" s="432">
        <v>600</v>
      </c>
      <c r="AG97" s="436" t="str">
        <f t="shared" si="187"/>
        <v>u</v>
      </c>
      <c r="AH97" s="134">
        <f t="shared" si="179"/>
        <v>0</v>
      </c>
      <c r="AI97" s="134">
        <f t="shared" si="180"/>
        <v>0</v>
      </c>
      <c r="AJ97" s="134">
        <f t="shared" si="181"/>
        <v>0</v>
      </c>
      <c r="AK97" s="134">
        <f t="shared" si="182"/>
        <v>0</v>
      </c>
      <c r="AL97" s="470" t="s">
        <v>2860</v>
      </c>
    </row>
    <row r="98" spans="2:38" hidden="1" x14ac:dyDescent="0.25">
      <c r="B98" s="124" t="s">
        <v>841</v>
      </c>
      <c r="C98" s="168" t="s">
        <v>2898</v>
      </c>
      <c r="D98" s="119">
        <f t="shared" si="184"/>
        <v>11</v>
      </c>
      <c r="E98" s="370">
        <f t="array" ref="E98">IF(U98="YES",IF(T98="YES",MIN(IF(TIM[Load Capability Reference]=CONCATENATE(P98,Q98,S98,R98),TIM[Lowest A-PTX])),MIN(IF(TIM[Load Capability Reference]=CONCATENATE(P98,Q98,S98,R98),IF(TIM[Equipment ID]&lt;&gt;O98,TIM[Lowest A-PTX])))),IF(T98="YES",MIN(IF(TIM[Load Capability Reference]=CONCATENATE(P98,Q98,S98,R98),TIM[Lowest A-No PTX])),MIN(IF(TIM[Load Capability Reference]=CONCATENATE(P98,Q98,S98,R98),IF(TIM[Equipment ID]&lt;&gt;O98,TIM[Lowest A-No PTX])))))</f>
        <v>412.56599999999986</v>
      </c>
      <c r="F98" s="119">
        <f>IFERROR(IFERROR(VLOOKUP(CONCATENATE(P98,Q98,O98,S98,"Protection"),TIM[[OC Protection Reference]:[Forward A]],23,0),VLOOKUP(O98,AEL_Protection_Data[],12,0)),"N/A")</f>
        <v>600</v>
      </c>
      <c r="G98" s="119">
        <f t="shared" si="168"/>
        <v>330</v>
      </c>
      <c r="H98" s="29">
        <f t="shared" si="169"/>
        <v>6.2873444314750238</v>
      </c>
      <c r="I98" s="119">
        <f t="shared" si="170"/>
        <v>370</v>
      </c>
      <c r="J98" s="29">
        <f t="shared" si="171"/>
        <v>7.0494467868053299</v>
      </c>
      <c r="K98" s="6" t="str">
        <f>IF(U98="Yes",UPPER(IF(ISNUMBER(SEARCH("winding",VLOOKUP(CONCATENATE(P98,Q98,S98,E98),TIM[[Limiting Equipment Reference-PTX]:[Summ Equipment]],7,0))),"Power Transformer Rating at "&amp;ROUND(E98*S98*SQRT(3)/1000,2)&amp;" MVA",VLOOKUP(CONCATENATE(P98,Q98,S98,E98),TIM[[Limiting Equipment Reference-No PTX]:[Summ Equipment]],8,0))),UPPER(VLOOKUP(CONCATENATE(P98,Q98,S98,E98),TIM[[Limiting Equipment Reference-No PTX]:[Summ Equipment]],8,0)))</f>
        <v>CABLE-3C 400MM² CU PILC SWA</v>
      </c>
      <c r="L98" s="146" t="s">
        <v>1267</v>
      </c>
      <c r="M98" s="509" t="s">
        <v>1266</v>
      </c>
      <c r="O98" s="118" t="str">
        <f t="shared" si="183"/>
        <v>TIM-CB2822</v>
      </c>
      <c r="P98" s="49" t="s">
        <v>1245</v>
      </c>
      <c r="Q98" s="49" t="s">
        <v>1319</v>
      </c>
      <c r="R98" s="386"/>
      <c r="S98" s="43">
        <v>11</v>
      </c>
      <c r="T98" s="146" t="s">
        <v>1266</v>
      </c>
      <c r="U98" s="146" t="s">
        <v>1266</v>
      </c>
      <c r="V98" s="487"/>
      <c r="X98" s="498" t="s">
        <v>841</v>
      </c>
      <c r="Y98" s="431" t="s">
        <v>2762</v>
      </c>
      <c r="Z98" s="432">
        <v>410</v>
      </c>
      <c r="AA98" s="443" t="str">
        <f t="shared" si="186"/>
        <v>p</v>
      </c>
      <c r="AB98" s="134">
        <f t="shared" si="174"/>
        <v>2.5659999999998604</v>
      </c>
      <c r="AC98" s="134">
        <f t="shared" si="175"/>
        <v>4.8888866094436469E-2</v>
      </c>
      <c r="AD98" s="134">
        <f t="shared" si="176"/>
        <v>0</v>
      </c>
      <c r="AE98" s="134">
        <f t="shared" si="177"/>
        <v>0</v>
      </c>
      <c r="AF98" s="432">
        <v>600</v>
      </c>
      <c r="AG98" s="436" t="str">
        <f t="shared" si="187"/>
        <v>u</v>
      </c>
      <c r="AH98" s="134">
        <f t="shared" si="179"/>
        <v>0</v>
      </c>
      <c r="AI98" s="134">
        <f t="shared" si="180"/>
        <v>0</v>
      </c>
      <c r="AJ98" s="134">
        <f t="shared" si="181"/>
        <v>0</v>
      </c>
      <c r="AK98" s="134">
        <f t="shared" si="182"/>
        <v>0</v>
      </c>
      <c r="AL98" s="470" t="s">
        <v>2860</v>
      </c>
    </row>
    <row r="99" spans="2:38" hidden="1" x14ac:dyDescent="0.25">
      <c r="B99" s="124" t="s">
        <v>844</v>
      </c>
      <c r="C99" s="168" t="s">
        <v>2882</v>
      </c>
      <c r="D99" s="119">
        <f t="shared" si="184"/>
        <v>11</v>
      </c>
      <c r="E99" s="370">
        <f t="array" ref="E99">IF(U99="YES",IF(T99="YES",MIN(IF(TIM[Load Capability Reference]=CONCATENATE(P99,Q99,S99,R99),TIM[Lowest A-PTX])),MIN(IF(TIM[Load Capability Reference]=CONCATENATE(P99,Q99,S99,R99),IF(TIM[Equipment ID]&lt;&gt;O99,TIM[Lowest A-PTX])))),IF(T99="YES",MIN(IF(TIM[Load Capability Reference]=CONCATENATE(P99,Q99,S99,R99),TIM[Lowest A-No PTX])),MIN(IF(TIM[Load Capability Reference]=CONCATENATE(P99,Q99,S99,R99),IF(TIM[Equipment ID]&lt;&gt;O99,TIM[Lowest A-No PTX])))))</f>
        <v>280.02959999999996</v>
      </c>
      <c r="F99" s="119">
        <f>IFERROR(IFERROR(VLOOKUP(CONCATENATE(P99,Q99,O99,S99,"Protection"),TIM[[OC Protection Reference]:[Forward A]],23,0),VLOOKUP(O99,AEL_Protection_Data[],12,0)),"N/A")</f>
        <v>400</v>
      </c>
      <c r="G99" s="119">
        <f t="shared" si="168"/>
        <v>220</v>
      </c>
      <c r="H99" s="29">
        <f t="shared" si="169"/>
        <v>4.1915629543166828</v>
      </c>
      <c r="I99" s="119">
        <f t="shared" si="170"/>
        <v>250</v>
      </c>
      <c r="J99" s="29">
        <f t="shared" si="171"/>
        <v>4.7631397208144124</v>
      </c>
      <c r="K99" s="6" t="str">
        <f>IF(U99="Yes",UPPER(IF(ISNUMBER(SEARCH("winding",VLOOKUP(CONCATENATE(P99,Q99,S99,E99),TIM[[Limiting Equipment Reference-PTX]:[Summ Equipment]],7,0))),"Power Transformer Rating at "&amp;ROUND(E99*S99*SQRT(3)/1000,2)&amp;" MVA",VLOOKUP(CONCATENATE(P99,Q99,S99,E99),TIM[[Limiting Equipment Reference-No PTX]:[Summ Equipment]],8,0))),UPPER(VLOOKUP(CONCATENATE(P99,Q99,S99,E99),TIM[[Limiting Equipment Reference-No PTX]:[Summ Equipment]],8,0)))</f>
        <v>CABLE-3C 240MM²  AL PILC STA</v>
      </c>
      <c r="L99" s="146" t="s">
        <v>1267</v>
      </c>
      <c r="M99" s="509" t="s">
        <v>1266</v>
      </c>
      <c r="O99" s="118" t="str">
        <f t="shared" si="183"/>
        <v>TIM-CB2832</v>
      </c>
      <c r="P99" s="49" t="s">
        <v>1276</v>
      </c>
      <c r="Q99" s="49" t="s">
        <v>146</v>
      </c>
      <c r="R99" s="386"/>
      <c r="S99" s="43">
        <v>11</v>
      </c>
      <c r="T99" s="146" t="s">
        <v>1266</v>
      </c>
      <c r="U99" s="146" t="s">
        <v>1266</v>
      </c>
      <c r="V99" s="487"/>
      <c r="X99" s="498" t="s">
        <v>844</v>
      </c>
      <c r="Y99" s="431" t="s">
        <v>2872</v>
      </c>
      <c r="Z99" s="432">
        <v>280</v>
      </c>
      <c r="AA99" s="443" t="str">
        <f t="shared" si="186"/>
        <v>p</v>
      </c>
      <c r="AB99" s="134">
        <f t="shared" si="174"/>
        <v>2.9599999999959437E-2</v>
      </c>
      <c r="AC99" s="134">
        <f t="shared" si="175"/>
        <v>5.6395574294365353E-4</v>
      </c>
      <c r="AD99" s="134">
        <f t="shared" si="176"/>
        <v>0</v>
      </c>
      <c r="AE99" s="134">
        <f t="shared" si="177"/>
        <v>0</v>
      </c>
      <c r="AF99" s="432">
        <v>400</v>
      </c>
      <c r="AG99" s="436" t="str">
        <f t="shared" si="187"/>
        <v>u</v>
      </c>
      <c r="AH99" s="134">
        <f t="shared" si="179"/>
        <v>0</v>
      </c>
      <c r="AI99" s="134">
        <f t="shared" si="180"/>
        <v>0</v>
      </c>
      <c r="AJ99" s="134">
        <f t="shared" si="181"/>
        <v>0</v>
      </c>
      <c r="AK99" s="134">
        <f t="shared" si="182"/>
        <v>0</v>
      </c>
      <c r="AL99" s="470" t="s">
        <v>2860</v>
      </c>
    </row>
    <row r="100" spans="2:38" hidden="1" x14ac:dyDescent="0.25">
      <c r="B100" s="124" t="s">
        <v>2745</v>
      </c>
      <c r="C100" s="168" t="s">
        <v>2894</v>
      </c>
      <c r="D100" s="119">
        <f t="shared" ref="D100:D114" si="188">ROUNDDOWN(S100,0)</f>
        <v>11</v>
      </c>
      <c r="E100" s="370">
        <f t="array" ref="E100">IF(U100="YES",IF(T100="YES",MIN(IF(TIM[Load Capability Reference]=CONCATENATE(P100,Q100,S100,R100),TIM[Lowest A-PTX])),MIN(IF(TIM[Load Capability Reference]=CONCATENATE(P100,Q100,S100,R100),IF(TIM[Equipment ID]&lt;&gt;O100,TIM[Lowest A-PTX])))),IF(T100="YES",MIN(IF(TIM[Load Capability Reference]=CONCATENATE(P100,Q100,S100,R100),TIM[Lowest A-No PTX])),MIN(IF(TIM[Load Capability Reference]=CONCATENATE(P100,Q100,S100,R100),IF(TIM[Equipment ID]&lt;&gt;O100,TIM[Lowest A-No PTX])))))</f>
        <v>2466.8602410829467</v>
      </c>
      <c r="F100" s="119">
        <f>IFERROR(IFERROR(VLOOKUP(CONCATENATE(P100,Q100,O100,S100,"Protection"),TIM[[OC Protection Reference]:[Forward A]],23,0),VLOOKUP(O100,AEL_Protection_Data[],12,0)),"N/A")</f>
        <v>1544</v>
      </c>
      <c r="G100" s="119">
        <f t="shared" si="168"/>
        <v>1235</v>
      </c>
      <c r="H100" s="29">
        <f t="shared" si="169"/>
        <v>23.529910220823197</v>
      </c>
      <c r="I100" s="119">
        <f t="shared" si="170"/>
        <v>1385</v>
      </c>
      <c r="J100" s="29">
        <f t="shared" ref="J100:J114" si="189">I100*S100*SQRT(3)/1000</f>
        <v>26.387794053311847</v>
      </c>
      <c r="K100" s="6" t="str">
        <f>IF(U100="Yes",UPPER(IF(ISNUMBER(SEARCH("winding",VLOOKUP(CONCATENATE(P100,Q100,S100,E100),TIM[[Limiting Equipment Reference-PTX]:[Summ Equipment]],7,0))),"Power Transformer Rating at "&amp;ROUND(E100*S100*SQRT(3)/1000,2)&amp;" MVA",VLOOKUP(CONCATENATE(P100,Q100,S100,E100),TIM[[Limiting Equipment Reference-No PTX]:[Summ Equipment]],8,0))),UPPER(VLOOKUP(CONCATENATE(P100,Q100,S100,E100),TIM[[Limiting Equipment Reference-No PTX]:[Summ Equipment]],8,0)))</f>
        <v>POWER TRANSFORMER RATING AT 47 MVA</v>
      </c>
      <c r="L100" s="146" t="s">
        <v>1267</v>
      </c>
      <c r="M100" s="509" t="s">
        <v>1266</v>
      </c>
      <c r="O100" s="118" t="str">
        <f t="shared" si="183"/>
        <v>TIM-CB2842</v>
      </c>
      <c r="P100" s="49" t="s">
        <v>4</v>
      </c>
      <c r="Q100" s="49" t="s">
        <v>75</v>
      </c>
      <c r="R100" s="386" t="s">
        <v>2695</v>
      </c>
      <c r="S100" s="43">
        <v>11</v>
      </c>
      <c r="T100" s="146" t="s">
        <v>1266</v>
      </c>
      <c r="U100" s="146" t="s">
        <v>1267</v>
      </c>
      <c r="V100" s="487"/>
      <c r="X100" s="498" t="s">
        <v>2745</v>
      </c>
      <c r="Y100" s="431" t="s">
        <v>2869</v>
      </c>
      <c r="Z100" s="432"/>
      <c r="AA100" s="443" t="str">
        <f t="shared" si="186"/>
        <v>p</v>
      </c>
      <c r="AB100" s="134">
        <f t="shared" si="174"/>
        <v>0</v>
      </c>
      <c r="AC100" s="134">
        <f t="shared" si="175"/>
        <v>0</v>
      </c>
      <c r="AD100" s="134">
        <f t="shared" si="176"/>
        <v>0</v>
      </c>
      <c r="AE100" s="134">
        <f t="shared" si="177"/>
        <v>0</v>
      </c>
      <c r="AF100" s="432"/>
      <c r="AG100" s="436" t="str">
        <f t="shared" si="187"/>
        <v>p</v>
      </c>
      <c r="AH100" s="134">
        <f t="shared" si="179"/>
        <v>0</v>
      </c>
      <c r="AI100" s="134">
        <f t="shared" si="180"/>
        <v>0</v>
      </c>
      <c r="AJ100" s="134">
        <f t="shared" si="181"/>
        <v>0</v>
      </c>
      <c r="AK100" s="134">
        <f t="shared" si="182"/>
        <v>0</v>
      </c>
      <c r="AL100" s="470" t="s">
        <v>2860</v>
      </c>
    </row>
    <row r="101" spans="2:38" hidden="1" x14ac:dyDescent="0.25">
      <c r="B101" s="124" t="s">
        <v>847</v>
      </c>
      <c r="C101" s="168" t="s">
        <v>2873</v>
      </c>
      <c r="D101" s="119">
        <f t="shared" si="188"/>
        <v>11</v>
      </c>
      <c r="E101" s="370">
        <f t="array" ref="E101">IF(U101="YES",IF(T101="YES",MIN(IF(TIM[Load Capability Reference]=CONCATENATE(P101,Q101,S101,R101),TIM[Lowest A-PTX])),MIN(IF(TIM[Load Capability Reference]=CONCATENATE(P101,Q101,S101,R101),IF(TIM[Equipment ID]&lt;&gt;O101,TIM[Lowest A-PTX])))),IF(T101="YES",MIN(IF(TIM[Load Capability Reference]=CONCATENATE(P101,Q101,S101,R101),TIM[Lowest A-No PTX])),MIN(IF(TIM[Load Capability Reference]=CONCATENATE(P101,Q101,S101,R101),IF(TIM[Equipment ID]&lt;&gt;O101,TIM[Lowest A-No PTX])))))</f>
        <v>260.40668500000004</v>
      </c>
      <c r="F101" s="119">
        <f>IFERROR(IFERROR(VLOOKUP(CONCATENATE(P101,Q101,O101,S101,"Protection"),TIM[[OC Protection Reference]:[Forward A]],23,0),VLOOKUP(O101,AEL_Protection_Data[],12,0)),"N/A")</f>
        <v>400</v>
      </c>
      <c r="G101" s="119">
        <f t="shared" si="168"/>
        <v>205</v>
      </c>
      <c r="H101" s="29">
        <f t="shared" si="169"/>
        <v>3.905774571067818</v>
      </c>
      <c r="I101" s="119">
        <f t="shared" si="170"/>
        <v>230</v>
      </c>
      <c r="J101" s="29">
        <f t="shared" si="189"/>
        <v>4.3820885431492593</v>
      </c>
      <c r="K101" s="6" t="str">
        <f>IF(U101="Yes",UPPER(IF(ISNUMBER(SEARCH("winding",VLOOKUP(CONCATENATE(P101,Q101,S101,E101),TIM[[Limiting Equipment Reference-PTX]:[Summ Equipment]],7,0))),"Power Transformer Rating at "&amp;ROUND(E101*S101*SQRT(3)/1000,2)&amp;" MVA",VLOOKUP(CONCATENATE(P101,Q101,S101,E101),TIM[[Limiting Equipment Reference-No PTX]:[Summ Equipment]],8,0))),UPPER(VLOOKUP(CONCATENATE(P101,Q101,S101,E101),TIM[[Limiting Equipment Reference-No PTX]:[Summ Equipment]],8,0)))</f>
        <v>CABLE-3C 185MM² AL XLPE HDPE</v>
      </c>
      <c r="L101" s="146" t="s">
        <v>1267</v>
      </c>
      <c r="M101" s="509" t="s">
        <v>1266</v>
      </c>
      <c r="O101" s="118" t="str">
        <f t="shared" si="183"/>
        <v>TIM-CB2852</v>
      </c>
      <c r="P101" s="49" t="s">
        <v>1276</v>
      </c>
      <c r="Q101" s="49" t="s">
        <v>1310</v>
      </c>
      <c r="R101" s="386"/>
      <c r="S101" s="43">
        <v>11</v>
      </c>
      <c r="T101" s="146" t="s">
        <v>1266</v>
      </c>
      <c r="U101" s="146" t="s">
        <v>1266</v>
      </c>
      <c r="V101" s="487"/>
      <c r="X101" s="498" t="s">
        <v>847</v>
      </c>
      <c r="Y101" s="431" t="s">
        <v>2873</v>
      </c>
      <c r="Z101" s="432">
        <v>260</v>
      </c>
      <c r="AA101" s="443" t="str">
        <f t="shared" si="186"/>
        <v>p</v>
      </c>
      <c r="AB101" s="134">
        <f t="shared" si="174"/>
        <v>0.4066850000000386</v>
      </c>
      <c r="AC101" s="134">
        <f t="shared" si="175"/>
        <v>7.7483899094383723E-3</v>
      </c>
      <c r="AD101" s="134">
        <f t="shared" si="176"/>
        <v>0</v>
      </c>
      <c r="AE101" s="134">
        <f t="shared" si="177"/>
        <v>0</v>
      </c>
      <c r="AF101" s="432">
        <v>400</v>
      </c>
      <c r="AG101" s="436" t="str">
        <f t="shared" si="187"/>
        <v>u</v>
      </c>
      <c r="AH101" s="134">
        <f t="shared" si="179"/>
        <v>0</v>
      </c>
      <c r="AI101" s="134">
        <f t="shared" si="180"/>
        <v>0</v>
      </c>
      <c r="AJ101" s="134">
        <f t="shared" si="181"/>
        <v>0</v>
      </c>
      <c r="AK101" s="134">
        <f t="shared" si="182"/>
        <v>0</v>
      </c>
      <c r="AL101" s="470" t="s">
        <v>2860</v>
      </c>
    </row>
    <row r="102" spans="2:38" hidden="1" x14ac:dyDescent="0.25">
      <c r="B102" s="124" t="s">
        <v>855</v>
      </c>
      <c r="C102" s="168" t="s">
        <v>2883</v>
      </c>
      <c r="D102" s="119">
        <f t="shared" si="188"/>
        <v>11</v>
      </c>
      <c r="E102" s="370">
        <f t="array" ref="E102">IF(U102="YES",IF(T102="YES",MIN(IF(TIM[Load Capability Reference]=CONCATENATE(P102,Q102,S102,R102),TIM[Lowest A-PTX])),MIN(IF(TIM[Load Capability Reference]=CONCATENATE(P102,Q102,S102,R102),IF(TIM[Equipment ID]&lt;&gt;O102,TIM[Lowest A-PTX])))),IF(T102="YES",MIN(IF(TIM[Load Capability Reference]=CONCATENATE(P102,Q102,S102,R102),TIM[Lowest A-No PTX])),MIN(IF(TIM[Load Capability Reference]=CONCATENATE(P102,Q102,S102,R102),IF(TIM[Equipment ID]&lt;&gt;O102,TIM[Lowest A-No PTX])))))</f>
        <v>394.49356799999993</v>
      </c>
      <c r="F102" s="119">
        <f>IFERROR(IFERROR(VLOOKUP(CONCATENATE(P102,Q102,O102,S102,"Protection"),TIM[[OC Protection Reference]:[Forward A]],23,0),VLOOKUP(O102,AEL_Protection_Data[],12,0)),"N/A")</f>
        <v>400</v>
      </c>
      <c r="G102" s="119">
        <f t="shared" si="168"/>
        <v>315</v>
      </c>
      <c r="H102" s="29">
        <f t="shared" si="169"/>
        <v>6.0015560482261598</v>
      </c>
      <c r="I102" s="119">
        <f t="shared" si="170"/>
        <v>355</v>
      </c>
      <c r="J102" s="29">
        <f t="shared" si="189"/>
        <v>6.763658403556466</v>
      </c>
      <c r="K102" s="6" t="str">
        <f>IF(U102="Yes",UPPER(IF(ISNUMBER(SEARCH("winding",VLOOKUP(CONCATENATE(P102,Q102,S102,E102),TIM[[Limiting Equipment Reference-PTX]:[Summ Equipment]],7,0))),"Power Transformer Rating at "&amp;ROUND(E102*S102*SQRT(3)/1000,2)&amp;" MVA",VLOOKUP(CONCATENATE(P102,Q102,S102,E102),TIM[[Limiting Equipment Reference-No PTX]:[Summ Equipment]],8,0))),UPPER(VLOOKUP(CONCATENATE(P102,Q102,S102,E102),TIM[[Limiting Equipment Reference-No PTX]:[Summ Equipment]],8,0)))</f>
        <v>CABLE-3C 300MM² AL XLPE HDPE</v>
      </c>
      <c r="L102" s="146" t="s">
        <v>1267</v>
      </c>
      <c r="M102" s="509" t="s">
        <v>1266</v>
      </c>
      <c r="O102" s="118" t="str">
        <f t="shared" si="183"/>
        <v>TIM-CB2862</v>
      </c>
      <c r="P102" s="49" t="s">
        <v>1276</v>
      </c>
      <c r="Q102" s="49" t="s">
        <v>151</v>
      </c>
      <c r="R102" s="386"/>
      <c r="S102" s="43">
        <v>11</v>
      </c>
      <c r="T102" s="146" t="s">
        <v>1266</v>
      </c>
      <c r="U102" s="146" t="s">
        <v>1266</v>
      </c>
      <c r="V102" s="487"/>
      <c r="X102" s="498" t="s">
        <v>855</v>
      </c>
      <c r="Y102" s="431" t="s">
        <v>2874</v>
      </c>
      <c r="Z102" s="432">
        <v>390</v>
      </c>
      <c r="AA102" s="443" t="str">
        <f t="shared" si="186"/>
        <v>p</v>
      </c>
      <c r="AB102" s="134">
        <f t="shared" si="174"/>
        <v>4.4935679999999252</v>
      </c>
      <c r="AC102" s="134">
        <f t="shared" si="175"/>
        <v>8.5613968915920879E-2</v>
      </c>
      <c r="AD102" s="134">
        <f t="shared" si="176"/>
        <v>0</v>
      </c>
      <c r="AE102" s="134">
        <f t="shared" si="177"/>
        <v>0</v>
      </c>
      <c r="AF102" s="432">
        <v>400</v>
      </c>
      <c r="AG102" s="436" t="str">
        <f t="shared" si="187"/>
        <v>u</v>
      </c>
      <c r="AH102" s="134">
        <f t="shared" si="179"/>
        <v>0</v>
      </c>
      <c r="AI102" s="134">
        <f t="shared" si="180"/>
        <v>0</v>
      </c>
      <c r="AJ102" s="134">
        <f t="shared" si="181"/>
        <v>0</v>
      </c>
      <c r="AK102" s="134">
        <f t="shared" si="182"/>
        <v>0</v>
      </c>
      <c r="AL102" s="470" t="s">
        <v>2860</v>
      </c>
    </row>
    <row r="103" spans="2:38" hidden="1" x14ac:dyDescent="0.25">
      <c r="B103" s="124" t="s">
        <v>2746</v>
      </c>
      <c r="C103" s="168" t="s">
        <v>2903</v>
      </c>
      <c r="D103" s="119">
        <f t="shared" si="188"/>
        <v>11</v>
      </c>
      <c r="E103" s="370">
        <v>2500</v>
      </c>
      <c r="F103" s="119">
        <f>IFERROR(IFERROR(VLOOKUP(CONCATENATE(P103,Q103,O103,S103,"Protection"),TIM[[OC Protection Reference]:[Forward A]],23,0),VLOOKUP(O103,AEL_Protection_Data[],12,0)),"N/A")</f>
        <v>2496</v>
      </c>
      <c r="G103" s="119">
        <f t="shared" si="168"/>
        <v>1995</v>
      </c>
      <c r="H103" s="29">
        <f t="shared" si="169"/>
        <v>38.009854972099014</v>
      </c>
      <c r="I103" s="119">
        <f t="shared" si="170"/>
        <v>2245</v>
      </c>
      <c r="J103" s="29">
        <f t="shared" si="189"/>
        <v>42.772994692913421</v>
      </c>
      <c r="K103" s="6" t="s">
        <v>2712</v>
      </c>
      <c r="L103" s="146" t="s">
        <v>1267</v>
      </c>
      <c r="M103" s="509" t="s">
        <v>1266</v>
      </c>
      <c r="O103" s="118" t="str">
        <f t="shared" si="183"/>
        <v>TIM-CB2878</v>
      </c>
      <c r="P103" s="49" t="s">
        <v>4</v>
      </c>
      <c r="Q103" s="49" t="s">
        <v>75</v>
      </c>
      <c r="R103" s="386"/>
      <c r="S103" s="43">
        <v>11</v>
      </c>
      <c r="T103" s="146" t="s">
        <v>1267</v>
      </c>
      <c r="U103" s="146" t="s">
        <v>1266</v>
      </c>
      <c r="V103" s="487" t="s">
        <v>2818</v>
      </c>
      <c r="X103" s="498" t="s">
        <v>2746</v>
      </c>
      <c r="Y103" s="431" t="s">
        <v>2869</v>
      </c>
      <c r="Z103" s="432"/>
      <c r="AA103" s="443" t="str">
        <f t="shared" si="186"/>
        <v>p</v>
      </c>
      <c r="AB103" s="134">
        <f t="shared" si="174"/>
        <v>0</v>
      </c>
      <c r="AC103" s="134">
        <f t="shared" si="175"/>
        <v>0</v>
      </c>
      <c r="AD103" s="134">
        <f t="shared" si="176"/>
        <v>0</v>
      </c>
      <c r="AE103" s="134">
        <f t="shared" si="177"/>
        <v>0</v>
      </c>
      <c r="AF103" s="432"/>
      <c r="AG103" s="436" t="str">
        <f t="shared" si="187"/>
        <v>p</v>
      </c>
      <c r="AH103" s="134">
        <f t="shared" si="179"/>
        <v>0</v>
      </c>
      <c r="AI103" s="134">
        <f t="shared" si="180"/>
        <v>0</v>
      </c>
      <c r="AJ103" s="134">
        <f t="shared" si="181"/>
        <v>0</v>
      </c>
      <c r="AK103" s="134">
        <f t="shared" si="182"/>
        <v>0</v>
      </c>
      <c r="AL103" s="470" t="s">
        <v>2860</v>
      </c>
    </row>
    <row r="104" spans="2:38" hidden="1" x14ac:dyDescent="0.25">
      <c r="B104" s="124" t="s">
        <v>859</v>
      </c>
      <c r="C104" s="168" t="s">
        <v>2899</v>
      </c>
      <c r="D104" s="119">
        <f t="shared" si="188"/>
        <v>11</v>
      </c>
      <c r="E104" s="370">
        <f t="array" ref="E104">IF(U104="YES",IF(T104="YES",MIN(IF(TIM[Load Capability Reference]=CONCATENATE(P104,Q104,S104,R104),TIM[Lowest A-PTX])),MIN(IF(TIM[Load Capability Reference]=CONCATENATE(P104,Q104,S104,R104),IF(TIM[Equipment ID]&lt;&gt;O104,TIM[Lowest A-PTX])))),IF(T104="YES",MIN(IF(TIM[Load Capability Reference]=CONCATENATE(P104,Q104,S104,R104),TIM[Lowest A-No PTX])),MIN(IF(TIM[Load Capability Reference]=CONCATENATE(P104,Q104,S104,R104),IF(TIM[Equipment ID]&lt;&gt;O104,TIM[Lowest A-No PTX])))))</f>
        <v>412.56599999999986</v>
      </c>
      <c r="F104" s="119">
        <f>IFERROR(IFERROR(VLOOKUP(CONCATENATE(P104,Q104,O104,S104,"Protection"),TIM[[OC Protection Reference]:[Forward A]],23,0),VLOOKUP(O104,AEL_Protection_Data[],12,0)),"N/A")</f>
        <v>600</v>
      </c>
      <c r="G104" s="119">
        <f t="shared" si="168"/>
        <v>330</v>
      </c>
      <c r="H104" s="29">
        <f t="shared" si="169"/>
        <v>6.2873444314750238</v>
      </c>
      <c r="I104" s="119">
        <f t="shared" si="170"/>
        <v>370</v>
      </c>
      <c r="J104" s="29">
        <f t="shared" si="189"/>
        <v>7.0494467868053299</v>
      </c>
      <c r="K104" s="6" t="str">
        <f>IF(U104="Yes",UPPER(IF(ISNUMBER(SEARCH("winding",VLOOKUP(CONCATENATE(P104,Q104,S104,E104),TIM[[Limiting Equipment Reference-PTX]:[Summ Equipment]],7,0))),"Power Transformer Rating at "&amp;ROUND(E104*S104*SQRT(3)/1000,2)&amp;" MVA",VLOOKUP(CONCATENATE(P104,Q104,S104,E104),TIM[[Limiting Equipment Reference-No PTX]:[Summ Equipment]],8,0))),UPPER(VLOOKUP(CONCATENATE(P104,Q104,S104,E104),TIM[[Limiting Equipment Reference-No PTX]:[Summ Equipment]],8,0)))</f>
        <v>CABLE-3C 400MM² CU PILC SWA</v>
      </c>
      <c r="L104" s="146" t="s">
        <v>1267</v>
      </c>
      <c r="M104" s="509" t="s">
        <v>1266</v>
      </c>
      <c r="O104" s="118" t="str">
        <f t="shared" si="183"/>
        <v>TIM-CB2912</v>
      </c>
      <c r="P104" s="49" t="s">
        <v>1245</v>
      </c>
      <c r="Q104" s="49" t="s">
        <v>1318</v>
      </c>
      <c r="R104" s="386"/>
      <c r="S104" s="43">
        <v>11</v>
      </c>
      <c r="T104" s="146" t="s">
        <v>1266</v>
      </c>
      <c r="U104" s="146" t="s">
        <v>1266</v>
      </c>
      <c r="V104" s="487"/>
      <c r="X104" s="498" t="s">
        <v>859</v>
      </c>
      <c r="Y104" s="431" t="s">
        <v>2763</v>
      </c>
      <c r="Z104" s="432">
        <v>410</v>
      </c>
      <c r="AA104" s="443" t="str">
        <f t="shared" si="186"/>
        <v>p</v>
      </c>
      <c r="AB104" s="134">
        <f t="shared" si="174"/>
        <v>2.5659999999998604</v>
      </c>
      <c r="AC104" s="134">
        <f t="shared" si="175"/>
        <v>4.8888866094436469E-2</v>
      </c>
      <c r="AD104" s="134">
        <f t="shared" si="176"/>
        <v>0</v>
      </c>
      <c r="AE104" s="134">
        <f t="shared" si="177"/>
        <v>0</v>
      </c>
      <c r="AF104" s="432">
        <v>600</v>
      </c>
      <c r="AG104" s="436" t="str">
        <f t="shared" si="187"/>
        <v>u</v>
      </c>
      <c r="AH104" s="134">
        <f t="shared" si="179"/>
        <v>0</v>
      </c>
      <c r="AI104" s="134">
        <f t="shared" si="180"/>
        <v>0</v>
      </c>
      <c r="AJ104" s="134">
        <f t="shared" si="181"/>
        <v>0</v>
      </c>
      <c r="AK104" s="134">
        <f t="shared" si="182"/>
        <v>0</v>
      </c>
      <c r="AL104" s="470" t="s">
        <v>2860</v>
      </c>
    </row>
    <row r="105" spans="2:38" hidden="1" x14ac:dyDescent="0.25">
      <c r="B105" s="124" t="s">
        <v>862</v>
      </c>
      <c r="C105" s="168" t="s">
        <v>2892</v>
      </c>
      <c r="D105" s="119">
        <f t="shared" si="188"/>
        <v>11</v>
      </c>
      <c r="E105" s="370">
        <f t="array" ref="E105">IF(U105="YES",IF(T105="YES",MIN(IF(TIM[Load Capability Reference]=CONCATENATE(P105,Q105,S105,R105),TIM[Lowest A-PTX])),MIN(IF(TIM[Load Capability Reference]=CONCATENATE(P105,Q105,S105,R105),IF(TIM[Equipment ID]&lt;&gt;O105,TIM[Lowest A-PTX])))),IF(T105="YES",MIN(IF(TIM[Load Capability Reference]=CONCATENATE(P105,Q105,S105,R105),TIM[Lowest A-No PTX])),MIN(IF(TIM[Load Capability Reference]=CONCATENATE(P105,Q105,S105,R105),IF(TIM[Equipment ID]&lt;&gt;O105,TIM[Lowest A-No PTX])))))</f>
        <v>1120.5439999999999</v>
      </c>
      <c r="F105" s="119">
        <f>IFERROR(IFERROR(VLOOKUP(CONCATENATE(P105,Q105,O105,S105,"Protection"),TIM[[OC Protection Reference]:[Forward A]],23,0),VLOOKUP(O105,AEL_Protection_Data[],12,0)),"N/A")</f>
        <v>1068</v>
      </c>
      <c r="G105" s="119">
        <f t="shared" si="168"/>
        <v>850</v>
      </c>
      <c r="H105" s="29">
        <f t="shared" si="169"/>
        <v>16.194675050769</v>
      </c>
      <c r="I105" s="119">
        <f t="shared" si="170"/>
        <v>960</v>
      </c>
      <c r="J105" s="29">
        <f t="shared" si="189"/>
        <v>18.290456527927343</v>
      </c>
      <c r="K105" s="6" t="str">
        <f>IF(U105="Yes",UPPER(IF(ISNUMBER(SEARCH("winding",VLOOKUP(CONCATENATE(P105,Q105,S105,E105),TIM[[Limiting Equipment Reference-PTX]:[Summ Equipment]],7,0))),"Power Transformer Rating at "&amp;ROUND(E105*S105*SQRT(3)/1000,2)&amp;" MVA",VLOOKUP(CONCATENATE(P105,Q105,S105,E105),TIM[[Limiting Equipment Reference-No PTX]:[Summ Equipment]],8,0))),UPPER(VLOOKUP(CONCATENATE(P105,Q105,S105,E105),TIM[[Limiting Equipment Reference-No PTX]:[Summ Equipment]],8,0)))</f>
        <v xml:space="preserve">CABLE-2 X 3/1C 630MM² CU </v>
      </c>
      <c r="L105" s="146" t="s">
        <v>1267</v>
      </c>
      <c r="M105" s="509" t="s">
        <v>1266</v>
      </c>
      <c r="O105" s="118" t="str">
        <f t="shared" si="183"/>
        <v>TIM-CB2922</v>
      </c>
      <c r="P105" s="49" t="s">
        <v>1245</v>
      </c>
      <c r="Q105" s="49" t="s">
        <v>153</v>
      </c>
      <c r="R105" s="386"/>
      <c r="S105" s="43">
        <v>11</v>
      </c>
      <c r="T105" s="146" t="s">
        <v>1266</v>
      </c>
      <c r="U105" s="146" t="s">
        <v>1267</v>
      </c>
      <c r="V105" s="487"/>
      <c r="X105" s="498" t="s">
        <v>862</v>
      </c>
      <c r="Y105" s="431" t="s">
        <v>2875</v>
      </c>
      <c r="Z105" s="432">
        <v>990</v>
      </c>
      <c r="AA105" s="443" t="str">
        <f t="shared" si="186"/>
        <v>p</v>
      </c>
      <c r="AB105" s="134">
        <f t="shared" si="174"/>
        <v>130.54399999999987</v>
      </c>
      <c r="AC105" s="134">
        <f t="shared" si="175"/>
        <v>2.4871972468559838</v>
      </c>
      <c r="AD105" s="134">
        <f t="shared" si="176"/>
        <v>0</v>
      </c>
      <c r="AE105" s="134">
        <f t="shared" si="177"/>
        <v>0</v>
      </c>
      <c r="AF105" s="432">
        <v>1068</v>
      </c>
      <c r="AG105" s="436" t="str">
        <f t="shared" si="187"/>
        <v>u</v>
      </c>
      <c r="AH105" s="134">
        <f t="shared" si="179"/>
        <v>0</v>
      </c>
      <c r="AI105" s="134">
        <f t="shared" si="180"/>
        <v>0</v>
      </c>
      <c r="AJ105" s="134">
        <f t="shared" si="181"/>
        <v>0</v>
      </c>
      <c r="AK105" s="134">
        <f t="shared" si="182"/>
        <v>0</v>
      </c>
      <c r="AL105" s="470" t="s">
        <v>2860</v>
      </c>
    </row>
    <row r="106" spans="2:38" hidden="1" x14ac:dyDescent="0.25">
      <c r="B106" s="124" t="s">
        <v>2747</v>
      </c>
      <c r="C106" s="168" t="s">
        <v>2893</v>
      </c>
      <c r="D106" s="119">
        <f t="shared" si="188"/>
        <v>11</v>
      </c>
      <c r="E106" s="370">
        <f t="array" ref="E106">IF(U106="YES",IF(T106="YES",MIN(IF(TIM[Load Capability Reference]=CONCATENATE(P106,Q106,S106,R106),TIM[Lowest A-PTX])),MIN(IF(TIM[Load Capability Reference]=CONCATENATE(P106,Q106,S106,R106),IF(TIM[Equipment ID]&lt;&gt;O106,TIM[Lowest A-PTX])))),IF(T106="YES",MIN(IF(TIM[Load Capability Reference]=CONCATENATE(P106,Q106,S106,R106),TIM[Lowest A-No PTX])),MIN(IF(TIM[Load Capability Reference]=CONCATENATE(P106,Q106,S106,R106),IF(TIM[Equipment ID]&lt;&gt;O106,TIM[Lowest A-No PTX])))))</f>
        <v>2534</v>
      </c>
      <c r="F106" s="119">
        <f>IFERROR(IFERROR(VLOOKUP(CONCATENATE(P106,Q106,O106,S106,"Protection"),TIM[[OC Protection Reference]:[Forward A]],23,0),VLOOKUP(O106,AEL_Protection_Data[],12,0)),"N/A")</f>
        <v>1544</v>
      </c>
      <c r="G106" s="119">
        <f t="shared" si="168"/>
        <v>1235</v>
      </c>
      <c r="H106" s="29">
        <f t="shared" si="169"/>
        <v>23.529910220823197</v>
      </c>
      <c r="I106" s="119">
        <f t="shared" si="170"/>
        <v>1385</v>
      </c>
      <c r="J106" s="29">
        <f t="shared" si="189"/>
        <v>26.387794053311847</v>
      </c>
      <c r="K106" s="6" t="str">
        <f>IF(U106="Yes",UPPER(IF(ISNUMBER(SEARCH("winding",VLOOKUP(CONCATENATE(P106,Q106,S106,E106),TIM[[Limiting Equipment Reference-PTX]:[Summ Equipment]],7,0))),"Power Transformer Rating at "&amp;ROUND(E106*S106*SQRT(3)/1000,2)&amp;" MVA",VLOOKUP(CONCATENATE(P106,Q106,S106,E106),TIM[[Limiting Equipment Reference-No PTX]:[Summ Equipment]],8,0))),UPPER(VLOOKUP(CONCATENATE(P106,Q106,S106,E106),TIM[[Limiting Equipment Reference-No PTX]:[Summ Equipment]],8,0)))</f>
        <v>CABLE-TIM-CBL-T3-CB2752-CABLE</v>
      </c>
      <c r="L106" s="146" t="s">
        <v>1267</v>
      </c>
      <c r="M106" s="509" t="s">
        <v>1266</v>
      </c>
      <c r="O106" s="118" t="str">
        <f t="shared" si="183"/>
        <v>TIM-CB2932</v>
      </c>
      <c r="P106" s="49" t="s">
        <v>4</v>
      </c>
      <c r="Q106" s="49" t="s">
        <v>75</v>
      </c>
      <c r="R106" s="386" t="s">
        <v>765</v>
      </c>
      <c r="S106" s="43">
        <v>11</v>
      </c>
      <c r="T106" s="146" t="s">
        <v>1266</v>
      </c>
      <c r="U106" s="146" t="s">
        <v>1266</v>
      </c>
      <c r="V106" s="487"/>
      <c r="X106" s="498" t="s">
        <v>2747</v>
      </c>
      <c r="Y106" s="431" t="s">
        <v>2869</v>
      </c>
      <c r="Z106" s="432"/>
      <c r="AA106" s="443" t="str">
        <f t="shared" si="186"/>
        <v>p</v>
      </c>
      <c r="AB106" s="134">
        <f t="shared" si="174"/>
        <v>0</v>
      </c>
      <c r="AC106" s="134">
        <f t="shared" si="175"/>
        <v>0</v>
      </c>
      <c r="AD106" s="134">
        <f t="shared" si="176"/>
        <v>0</v>
      </c>
      <c r="AE106" s="134">
        <f t="shared" si="177"/>
        <v>0</v>
      </c>
      <c r="AF106" s="432"/>
      <c r="AG106" s="436" t="str">
        <f t="shared" si="187"/>
        <v>p</v>
      </c>
      <c r="AH106" s="134">
        <f t="shared" si="179"/>
        <v>0</v>
      </c>
      <c r="AI106" s="134">
        <f t="shared" si="180"/>
        <v>0</v>
      </c>
      <c r="AJ106" s="134">
        <f t="shared" si="181"/>
        <v>0</v>
      </c>
      <c r="AK106" s="134">
        <f t="shared" si="182"/>
        <v>0</v>
      </c>
      <c r="AL106" s="470" t="s">
        <v>2860</v>
      </c>
    </row>
    <row r="107" spans="2:38" hidden="1" x14ac:dyDescent="0.25">
      <c r="B107" s="124" t="s">
        <v>865</v>
      </c>
      <c r="C107" s="168" t="s">
        <v>2884</v>
      </c>
      <c r="D107" s="119">
        <f t="shared" si="188"/>
        <v>11</v>
      </c>
      <c r="E107" s="370">
        <f t="array" ref="E107">IF(U107="YES",IF(T107="YES",MIN(IF(TIM[Load Capability Reference]=CONCATENATE(P107,Q107,S107,R107),TIM[Lowest A-PTX])),MIN(IF(TIM[Load Capability Reference]=CONCATENATE(P107,Q107,S107,R107),IF(TIM[Equipment ID]&lt;&gt;O107,TIM[Lowest A-PTX])))),IF(T107="YES",MIN(IF(TIM[Load Capability Reference]=CONCATENATE(P107,Q107,S107,R107),TIM[Lowest A-No PTX])),MIN(IF(TIM[Load Capability Reference]=CONCATENATE(P107,Q107,S107,R107),IF(TIM[Equipment ID]&lt;&gt;O107,TIM[Lowest A-No PTX])))))</f>
        <v>280.80745999999999</v>
      </c>
      <c r="F107" s="119">
        <f>IFERROR(IFERROR(VLOOKUP(CONCATENATE(P107,Q107,O107,S107,"Protection"),TIM[[OC Protection Reference]:[Forward A]],23,0),VLOOKUP(O107,AEL_Protection_Data[],12,0)),"N/A")</f>
        <v>400</v>
      </c>
      <c r="G107" s="119">
        <f t="shared" si="168"/>
        <v>220</v>
      </c>
      <c r="H107" s="29">
        <f t="shared" si="169"/>
        <v>4.1915629543166828</v>
      </c>
      <c r="I107" s="119">
        <f t="shared" si="170"/>
        <v>250</v>
      </c>
      <c r="J107" s="29">
        <f t="shared" si="189"/>
        <v>4.7631397208144124</v>
      </c>
      <c r="K107" s="6" t="str">
        <f>IF(U107="Yes",UPPER(IF(ISNUMBER(SEARCH("winding",VLOOKUP(CONCATENATE(P107,Q107,S107,E107),TIM[[Limiting Equipment Reference-PTX]:[Summ Equipment]],7,0))),"Power Transformer Rating at "&amp;ROUND(E107*S107*SQRT(3)/1000,2)&amp;" MVA",VLOOKUP(CONCATENATE(P107,Q107,S107,E107),TIM[[Limiting Equipment Reference-No PTX]:[Summ Equipment]],8,0))),UPPER(VLOOKUP(CONCATENATE(P107,Q107,S107,E107),TIM[[Limiting Equipment Reference-No PTX]:[Summ Equipment]],8,0)))</f>
        <v>CABLE-3C 0.4IN² AL PILC SWA</v>
      </c>
      <c r="L107" s="146" t="s">
        <v>1267</v>
      </c>
      <c r="M107" s="509" t="s">
        <v>1266</v>
      </c>
      <c r="O107" s="118" t="str">
        <f t="shared" si="183"/>
        <v>TIM-CB2942</v>
      </c>
      <c r="P107" s="49" t="s">
        <v>1276</v>
      </c>
      <c r="Q107" s="49" t="s">
        <v>155</v>
      </c>
      <c r="R107" s="386"/>
      <c r="S107" s="43">
        <v>11</v>
      </c>
      <c r="T107" s="146" t="s">
        <v>1266</v>
      </c>
      <c r="U107" s="146" t="s">
        <v>1266</v>
      </c>
      <c r="V107" s="487"/>
      <c r="X107" s="498" t="s">
        <v>865</v>
      </c>
      <c r="Y107" s="431" t="s">
        <v>1675</v>
      </c>
      <c r="Z107" s="432">
        <v>280</v>
      </c>
      <c r="AA107" s="443" t="str">
        <f t="shared" si="186"/>
        <v>p</v>
      </c>
      <c r="AB107" s="134">
        <f t="shared" si="174"/>
        <v>0.80745999999999185</v>
      </c>
      <c r="AC107" s="134">
        <f t="shared" si="175"/>
        <v>1.5384179195875067E-2</v>
      </c>
      <c r="AD107" s="134">
        <f t="shared" si="176"/>
        <v>0</v>
      </c>
      <c r="AE107" s="134">
        <f t="shared" si="177"/>
        <v>0</v>
      </c>
      <c r="AF107" s="432">
        <v>400</v>
      </c>
      <c r="AG107" s="436" t="str">
        <f t="shared" si="187"/>
        <v>u</v>
      </c>
      <c r="AH107" s="134">
        <f t="shared" si="179"/>
        <v>0</v>
      </c>
      <c r="AI107" s="134">
        <f t="shared" si="180"/>
        <v>0</v>
      </c>
      <c r="AJ107" s="134">
        <f t="shared" si="181"/>
        <v>0</v>
      </c>
      <c r="AK107" s="134">
        <f t="shared" si="182"/>
        <v>0</v>
      </c>
      <c r="AL107" s="470" t="s">
        <v>2860</v>
      </c>
    </row>
    <row r="108" spans="2:38" hidden="1" x14ac:dyDescent="0.25">
      <c r="B108" s="124" t="s">
        <v>869</v>
      </c>
      <c r="C108" s="168" t="s">
        <v>2885</v>
      </c>
      <c r="D108" s="119">
        <f t="shared" si="188"/>
        <v>11</v>
      </c>
      <c r="E108" s="370">
        <f t="array" ref="E108">IF(U108="YES",IF(T108="YES",MIN(IF(TIM[Load Capability Reference]=CONCATENATE(P108,Q108,S108,R108),TIM[Lowest A-PTX])),MIN(IF(TIM[Load Capability Reference]=CONCATENATE(P108,Q108,S108,R108),IF(TIM[Equipment ID]&lt;&gt;O108,TIM[Lowest A-PTX])))),IF(T108="YES",MIN(IF(TIM[Load Capability Reference]=CONCATENATE(P108,Q108,S108,R108),TIM[Lowest A-No PTX])),MIN(IF(TIM[Load Capability Reference]=CONCATENATE(P108,Q108,S108,R108),IF(TIM[Equipment ID]&lt;&gt;O108,TIM[Lowest A-No PTX])))))</f>
        <v>280.02959999999996</v>
      </c>
      <c r="F108" s="119">
        <f>IFERROR(IFERROR(VLOOKUP(CONCATENATE(P108,Q108,O108,S108,"Protection"),TIM[[OC Protection Reference]:[Forward A]],23,0),VLOOKUP(O108,AEL_Protection_Data[],12,0)),"N/A")</f>
        <v>400</v>
      </c>
      <c r="G108" s="119">
        <f t="shared" si="168"/>
        <v>220</v>
      </c>
      <c r="H108" s="29">
        <f t="shared" si="169"/>
        <v>4.1915629543166828</v>
      </c>
      <c r="I108" s="119">
        <f t="shared" si="170"/>
        <v>250</v>
      </c>
      <c r="J108" s="29">
        <f t="shared" si="189"/>
        <v>4.7631397208144124</v>
      </c>
      <c r="K108" s="6" t="str">
        <f>IF(U108="Yes",UPPER(IF(ISNUMBER(SEARCH("winding",VLOOKUP(CONCATENATE(P108,Q108,S108,E108),TIM[[Limiting Equipment Reference-PTX]:[Summ Equipment]],7,0))),"Power Transformer Rating at "&amp;ROUND(E108*S108*SQRT(3)/1000,2)&amp;" MVA",VLOOKUP(CONCATENATE(P108,Q108,S108,E108),TIM[[Limiting Equipment Reference-No PTX]:[Summ Equipment]],8,0))),UPPER(VLOOKUP(CONCATENATE(P108,Q108,S108,E108),TIM[[Limiting Equipment Reference-No PTX]:[Summ Equipment]],8,0)))</f>
        <v>CABLE-3C 240MM² AL PILC STA</v>
      </c>
      <c r="L108" s="146" t="s">
        <v>1267</v>
      </c>
      <c r="M108" s="509" t="s">
        <v>1266</v>
      </c>
      <c r="O108" s="118" t="str">
        <f t="shared" si="183"/>
        <v>TIM-CB2952</v>
      </c>
      <c r="P108" s="49" t="s">
        <v>1276</v>
      </c>
      <c r="Q108" s="49" t="s">
        <v>156</v>
      </c>
      <c r="R108" s="386"/>
      <c r="S108" s="43">
        <v>11</v>
      </c>
      <c r="T108" s="146" t="s">
        <v>1266</v>
      </c>
      <c r="U108" s="146" t="s">
        <v>1266</v>
      </c>
      <c r="V108" s="487"/>
      <c r="X108" s="498" t="s">
        <v>869</v>
      </c>
      <c r="Y108" s="431" t="s">
        <v>1677</v>
      </c>
      <c r="Z108" s="432">
        <v>280</v>
      </c>
      <c r="AA108" s="443" t="str">
        <f t="shared" si="186"/>
        <v>p</v>
      </c>
      <c r="AB108" s="134">
        <f t="shared" si="174"/>
        <v>2.9599999999959437E-2</v>
      </c>
      <c r="AC108" s="134">
        <f t="shared" si="175"/>
        <v>5.6395574294365353E-4</v>
      </c>
      <c r="AD108" s="134">
        <f t="shared" si="176"/>
        <v>0</v>
      </c>
      <c r="AE108" s="134">
        <f t="shared" si="177"/>
        <v>0</v>
      </c>
      <c r="AF108" s="432">
        <v>400</v>
      </c>
      <c r="AG108" s="436" t="str">
        <f t="shared" si="187"/>
        <v>u</v>
      </c>
      <c r="AH108" s="134">
        <f t="shared" si="179"/>
        <v>0</v>
      </c>
      <c r="AI108" s="134">
        <f t="shared" si="180"/>
        <v>0</v>
      </c>
      <c r="AJ108" s="134">
        <f t="shared" si="181"/>
        <v>0</v>
      </c>
      <c r="AK108" s="134">
        <f t="shared" si="182"/>
        <v>0</v>
      </c>
      <c r="AL108" s="470" t="s">
        <v>2860</v>
      </c>
    </row>
    <row r="109" spans="2:38" hidden="1" x14ac:dyDescent="0.25">
      <c r="B109" s="124" t="s">
        <v>2748</v>
      </c>
      <c r="C109" s="168" t="s">
        <v>2904</v>
      </c>
      <c r="D109" s="119">
        <f t="shared" si="188"/>
        <v>11</v>
      </c>
      <c r="E109" s="370">
        <v>2500</v>
      </c>
      <c r="F109" s="119">
        <f>IFERROR(IFERROR(VLOOKUP(CONCATENATE(P109,Q109,O109,S109,"Protection"),TIM[[OC Protection Reference]:[Forward A]],23,0),VLOOKUP(O109,AEL_Protection_Data[],12,0)),"N/A")</f>
        <v>2496</v>
      </c>
      <c r="G109" s="119">
        <f t="shared" si="168"/>
        <v>1995</v>
      </c>
      <c r="H109" s="29">
        <f t="shared" si="169"/>
        <v>38.009854972099014</v>
      </c>
      <c r="I109" s="119">
        <f t="shared" si="170"/>
        <v>2245</v>
      </c>
      <c r="J109" s="29">
        <f t="shared" si="189"/>
        <v>42.772994692913421</v>
      </c>
      <c r="K109" s="6" t="s">
        <v>2713</v>
      </c>
      <c r="L109" s="146" t="s">
        <v>1267</v>
      </c>
      <c r="M109" s="509" t="s">
        <v>1266</v>
      </c>
      <c r="O109" s="118" t="str">
        <f t="shared" si="183"/>
        <v>TIM-CB2968</v>
      </c>
      <c r="P109" s="49" t="s">
        <v>4</v>
      </c>
      <c r="Q109" s="49" t="s">
        <v>75</v>
      </c>
      <c r="R109" s="386"/>
      <c r="S109" s="43">
        <v>11</v>
      </c>
      <c r="T109" s="146" t="s">
        <v>1267</v>
      </c>
      <c r="U109" s="146" t="s">
        <v>1266</v>
      </c>
      <c r="V109" s="487" t="s">
        <v>2818</v>
      </c>
      <c r="X109" s="498" t="s">
        <v>2748</v>
      </c>
      <c r="Y109" s="431" t="s">
        <v>2869</v>
      </c>
      <c r="Z109" s="432"/>
      <c r="AA109" s="443" t="str">
        <f t="shared" si="186"/>
        <v>p</v>
      </c>
      <c r="AB109" s="134">
        <f t="shared" si="174"/>
        <v>0</v>
      </c>
      <c r="AC109" s="134">
        <f t="shared" si="175"/>
        <v>0</v>
      </c>
      <c r="AD109" s="134">
        <f t="shared" si="176"/>
        <v>0</v>
      </c>
      <c r="AE109" s="134">
        <f t="shared" si="177"/>
        <v>0</v>
      </c>
      <c r="AF109" s="432"/>
      <c r="AG109" s="436" t="str">
        <f t="shared" si="187"/>
        <v>p</v>
      </c>
      <c r="AH109" s="134">
        <f t="shared" si="179"/>
        <v>0</v>
      </c>
      <c r="AI109" s="134">
        <f t="shared" si="180"/>
        <v>0</v>
      </c>
      <c r="AJ109" s="134">
        <f t="shared" si="181"/>
        <v>0</v>
      </c>
      <c r="AK109" s="134">
        <f t="shared" si="182"/>
        <v>0</v>
      </c>
      <c r="AL109" s="470" t="s">
        <v>2860</v>
      </c>
    </row>
    <row r="110" spans="2:38" hidden="1" x14ac:dyDescent="0.25">
      <c r="B110" s="124" t="s">
        <v>873</v>
      </c>
      <c r="C110" s="168" t="s">
        <v>2886</v>
      </c>
      <c r="D110" s="119">
        <f t="shared" si="188"/>
        <v>11</v>
      </c>
      <c r="E110" s="370">
        <f t="array" ref="E110">IF(U110="YES",IF(T110="YES",MIN(IF(TIM[Load Capability Reference]=CONCATENATE(P110,Q110,S110,R110),TIM[Lowest A-PTX])),MIN(IF(TIM[Load Capability Reference]=CONCATENATE(P110,Q110,S110,R110),IF(TIM[Equipment ID]&lt;&gt;O110,TIM[Lowest A-PTX])))),IF(T110="YES",MIN(IF(TIM[Load Capability Reference]=CONCATENATE(P110,Q110,S110,R110),TIM[Lowest A-No PTX])),MIN(IF(TIM[Load Capability Reference]=CONCATENATE(P110,Q110,S110,R110),IF(TIM[Equipment ID]&lt;&gt;O110,TIM[Lowest A-No PTX])))))</f>
        <v>280.80745999999999</v>
      </c>
      <c r="F110" s="119">
        <f>IFERROR(IFERROR(VLOOKUP(CONCATENATE(P110,Q110,O110,S110,"Protection"),TIM[[OC Protection Reference]:[Forward A]],23,0),VLOOKUP(O110,AEL_Protection_Data[],12,0)),"N/A")</f>
        <v>400</v>
      </c>
      <c r="G110" s="119">
        <f t="shared" si="168"/>
        <v>220</v>
      </c>
      <c r="H110" s="29">
        <f t="shared" si="169"/>
        <v>4.1915629543166828</v>
      </c>
      <c r="I110" s="119">
        <f t="shared" si="170"/>
        <v>250</v>
      </c>
      <c r="J110" s="29">
        <f t="shared" si="189"/>
        <v>4.7631397208144124</v>
      </c>
      <c r="K110" s="6" t="str">
        <f>IF(U110="Yes",UPPER(IF(ISNUMBER(SEARCH("winding",VLOOKUP(CONCATENATE(P110,Q110,S110,E110),TIM[[Limiting Equipment Reference-PTX]:[Summ Equipment]],7,0))),"Power Transformer Rating at "&amp;ROUND(E110*S110*SQRT(3)/1000,2)&amp;" MVA",VLOOKUP(CONCATENATE(P110,Q110,S110,E110),TIM[[Limiting Equipment Reference-No PTX]:[Summ Equipment]],8,0))),UPPER(VLOOKUP(CONCATENATE(P110,Q110,S110,E110),TIM[[Limiting Equipment Reference-No PTX]:[Summ Equipment]],8,0)))</f>
        <v>CABLE-3C 0.4IN² AL PILC SWA</v>
      </c>
      <c r="L110" s="146" t="s">
        <v>1267</v>
      </c>
      <c r="M110" s="509" t="s">
        <v>1266</v>
      </c>
      <c r="O110" s="118" t="str">
        <f t="shared" si="183"/>
        <v>TIM-CB2972</v>
      </c>
      <c r="P110" s="49" t="s">
        <v>1276</v>
      </c>
      <c r="Q110" s="49" t="s">
        <v>157</v>
      </c>
      <c r="R110" s="386"/>
      <c r="S110" s="43">
        <v>11</v>
      </c>
      <c r="T110" s="146" t="s">
        <v>1266</v>
      </c>
      <c r="U110" s="146" t="s">
        <v>1266</v>
      </c>
      <c r="V110" s="487"/>
      <c r="X110" s="498" t="s">
        <v>873</v>
      </c>
      <c r="Y110" s="431" t="s">
        <v>1679</v>
      </c>
      <c r="Z110" s="432">
        <v>280</v>
      </c>
      <c r="AA110" s="443" t="str">
        <f t="shared" si="186"/>
        <v>p</v>
      </c>
      <c r="AB110" s="134">
        <f t="shared" si="174"/>
        <v>0.80745999999999185</v>
      </c>
      <c r="AC110" s="134">
        <f t="shared" si="175"/>
        <v>1.5384179195875067E-2</v>
      </c>
      <c r="AD110" s="134">
        <f t="shared" si="176"/>
        <v>0</v>
      </c>
      <c r="AE110" s="134">
        <f t="shared" si="177"/>
        <v>0</v>
      </c>
      <c r="AF110" s="432">
        <v>400</v>
      </c>
      <c r="AG110" s="436" t="str">
        <f t="shared" si="187"/>
        <v>u</v>
      </c>
      <c r="AH110" s="134">
        <f t="shared" si="179"/>
        <v>0</v>
      </c>
      <c r="AI110" s="134">
        <f t="shared" si="180"/>
        <v>0</v>
      </c>
      <c r="AJ110" s="134">
        <f t="shared" si="181"/>
        <v>0</v>
      </c>
      <c r="AK110" s="134">
        <f t="shared" si="182"/>
        <v>0</v>
      </c>
      <c r="AL110" s="470" t="s">
        <v>2860</v>
      </c>
    </row>
    <row r="111" spans="2:38" hidden="1" x14ac:dyDescent="0.25">
      <c r="B111" s="124" t="s">
        <v>876</v>
      </c>
      <c r="C111" s="168" t="s">
        <v>2902</v>
      </c>
      <c r="D111" s="119">
        <f t="shared" si="188"/>
        <v>11</v>
      </c>
      <c r="E111" s="370">
        <f t="array" ref="E111">IF(U111="YES",IF(T111="YES",MIN(IF(TIM[Load Capability Reference]=CONCATENATE(P111,Q111,S111,R111),TIM[Lowest A-PTX])),MIN(IF(TIM[Load Capability Reference]=CONCATENATE(P111,Q111,S111,R111),IF(TIM[Equipment ID]&lt;&gt;O111,TIM[Lowest A-PTX])))),IF(T111="YES",MIN(IF(TIM[Load Capability Reference]=CONCATENATE(P111,Q111,S111,R111),TIM[Lowest A-No PTX])),MIN(IF(TIM[Load Capability Reference]=CONCATENATE(P111,Q111,S111,R111),IF(TIM[Equipment ID]&lt;&gt;O111,TIM[Lowest A-No PTX])))))</f>
        <v>806.26499999999987</v>
      </c>
      <c r="F111" s="119">
        <f>IFERROR(IFERROR(VLOOKUP(CONCATENATE(P111,Q111,O111,S111,"Protection"),TIM[[OC Protection Reference]:[Forward A]],23,0),VLOOKUP(O111,AEL_Protection_Data[],12,0)),"N/A")</f>
        <v>1184</v>
      </c>
      <c r="G111" s="119">
        <f t="shared" si="168"/>
        <v>645</v>
      </c>
      <c r="H111" s="29">
        <f t="shared" si="169"/>
        <v>12.288900479701184</v>
      </c>
      <c r="I111" s="119">
        <f t="shared" si="170"/>
        <v>725</v>
      </c>
      <c r="J111" s="29">
        <f t="shared" si="189"/>
        <v>13.813105190361796</v>
      </c>
      <c r="K111" s="6" t="str">
        <f>IF(U111="Yes",UPPER(IF(ISNUMBER(SEARCH("winding",VLOOKUP(CONCATENATE(P111,Q111,S111,E111),TIM[[Limiting Equipment Reference-PTX]:[Summ Equipment]],7,0))),"Power Transformer Rating at "&amp;ROUND(E111*S111*SQRT(3)/1000,2)&amp;" MVA",VLOOKUP(CONCATENATE(P111,Q111,S111,E111),TIM[[Limiting Equipment Reference-No PTX]:[Summ Equipment]],8,0))),UPPER(VLOOKUP(CONCATENATE(P111,Q111,S111,E111),TIM[[Limiting Equipment Reference-No PTX]:[Summ Equipment]],8,0)))</f>
        <v>CABLE-3/1C 1200MM² AL XLPE CWS MDPE</v>
      </c>
      <c r="L111" s="146" t="s">
        <v>1267</v>
      </c>
      <c r="M111" s="509" t="s">
        <v>1266</v>
      </c>
      <c r="O111" s="118" t="str">
        <f t="shared" si="183"/>
        <v>TIM-CB2982</v>
      </c>
      <c r="P111" s="49" t="s">
        <v>1245</v>
      </c>
      <c r="Q111" s="49" t="s">
        <v>1324</v>
      </c>
      <c r="R111" s="386"/>
      <c r="S111" s="43">
        <v>11</v>
      </c>
      <c r="T111" s="146" t="s">
        <v>1266</v>
      </c>
      <c r="U111" s="146" t="s">
        <v>1266</v>
      </c>
      <c r="V111" s="487"/>
      <c r="X111" s="498" t="s">
        <v>876</v>
      </c>
      <c r="Y111" s="431" t="s">
        <v>2876</v>
      </c>
      <c r="Z111" s="432">
        <v>810</v>
      </c>
      <c r="AA111" s="443" t="str">
        <f t="shared" si="186"/>
        <v>q</v>
      </c>
      <c r="AB111" s="134">
        <f t="shared" si="174"/>
        <v>0</v>
      </c>
      <c r="AC111" s="134">
        <f t="shared" si="175"/>
        <v>0</v>
      </c>
      <c r="AD111" s="134">
        <f t="shared" si="176"/>
        <v>3.7350000000001273</v>
      </c>
      <c r="AE111" s="134">
        <f t="shared" si="177"/>
        <v>7.1161307428969756E-2</v>
      </c>
      <c r="AF111" s="432">
        <v>1184</v>
      </c>
      <c r="AG111" s="436" t="str">
        <f t="shared" si="187"/>
        <v>u</v>
      </c>
      <c r="AH111" s="134">
        <f t="shared" si="179"/>
        <v>0</v>
      </c>
      <c r="AI111" s="134">
        <f t="shared" si="180"/>
        <v>0</v>
      </c>
      <c r="AJ111" s="134">
        <f t="shared" si="181"/>
        <v>0</v>
      </c>
      <c r="AK111" s="134">
        <f t="shared" si="182"/>
        <v>0</v>
      </c>
      <c r="AL111" s="470" t="s">
        <v>2860</v>
      </c>
    </row>
    <row r="112" spans="2:38" hidden="1" x14ac:dyDescent="0.25">
      <c r="B112" s="124" t="s">
        <v>880</v>
      </c>
      <c r="C112" s="168" t="s">
        <v>2916</v>
      </c>
      <c r="D112" s="119">
        <f t="shared" si="188"/>
        <v>11</v>
      </c>
      <c r="E112" s="370">
        <f t="array" ref="E112">IF(U112="YES",IF(T112="YES",MIN(IF(TIM[Load Capability Reference]=CONCATENATE(P112,Q112,S112,R112),TIM[Lowest A-PTX])),MIN(IF(TIM[Load Capability Reference]=CONCATENATE(P112,Q112,S112,R112),IF(TIM[Equipment ID]&lt;&gt;O112,TIM[Lowest A-PTX])))),IF(T112="YES",MIN(IF(TIM[Load Capability Reference]=CONCATENATE(P112,Q112,S112,R112),TIM[Lowest A-No PTX])),MIN(IF(TIM[Load Capability Reference]=CONCATENATE(P112,Q112,S112,R112),IF(TIM[Equipment ID]&lt;&gt;O112,TIM[Lowest A-No PTX])))))</f>
        <v>345</v>
      </c>
      <c r="F112" s="119">
        <f>IFERROR(IFERROR(VLOOKUP(CONCATENATE(P112,Q112,O112,S112,"Protection"),TIM[[OC Protection Reference]:[Forward A]],23,0),VLOOKUP(O112,AEL_Protection_Data[],12,0)),"N/A")</f>
        <v>400</v>
      </c>
      <c r="G112" s="119">
        <f t="shared" si="168"/>
        <v>275</v>
      </c>
      <c r="H112" s="29">
        <f t="shared" si="169"/>
        <v>5.2394536928958528</v>
      </c>
      <c r="I112" s="119">
        <f t="shared" si="170"/>
        <v>310</v>
      </c>
      <c r="J112" s="29">
        <f t="shared" si="189"/>
        <v>5.9062932538098716</v>
      </c>
      <c r="K112" s="6" t="str">
        <f>IF(U112="Yes",UPPER(IF(ISNUMBER(SEARCH("winding",VLOOKUP(CONCATENATE(P112,Q112,S112,E112),TIM[[Limiting Equipment Reference-PTX]:[Summ Equipment]],7,0))),"Power Transformer Rating at "&amp;ROUND(E112*S112*SQRT(3)/1000,2)&amp;" MVA",VLOOKUP(CONCATENATE(P112,Q112,S112,E112),TIM[[Limiting Equipment Reference-No PTX]:[Summ Equipment]],8,0))),UPPER(VLOOKUP(CONCATENATE(P112,Q112,S112,E112),TIM[[Limiting Equipment Reference-No PTX]:[Summ Equipment]],8,0)))</f>
        <v>CABLE-TIM-CB2992</v>
      </c>
      <c r="L112" s="146" t="s">
        <v>1267</v>
      </c>
      <c r="M112" s="509" t="s">
        <v>1266</v>
      </c>
      <c r="O112" s="118" t="str">
        <f t="shared" si="183"/>
        <v>TIM-CB2992</v>
      </c>
      <c r="P112" s="49" t="s">
        <v>1276</v>
      </c>
      <c r="Q112" s="49" t="s">
        <v>1311</v>
      </c>
      <c r="R112" s="386"/>
      <c r="S112" s="43">
        <v>11</v>
      </c>
      <c r="T112" s="146" t="s">
        <v>1267</v>
      </c>
      <c r="U112" s="146" t="s">
        <v>1266</v>
      </c>
      <c r="V112" s="487"/>
      <c r="X112" s="498" t="s">
        <v>880</v>
      </c>
      <c r="Y112" s="431" t="s">
        <v>2877</v>
      </c>
      <c r="Z112" s="432">
        <v>345</v>
      </c>
      <c r="AA112" s="443" t="str">
        <f t="shared" si="186"/>
        <v>u</v>
      </c>
      <c r="AB112" s="134">
        <f t="shared" si="174"/>
        <v>0</v>
      </c>
      <c r="AC112" s="134">
        <f t="shared" si="175"/>
        <v>0</v>
      </c>
      <c r="AD112" s="134">
        <f t="shared" si="176"/>
        <v>0</v>
      </c>
      <c r="AE112" s="134">
        <f t="shared" si="177"/>
        <v>0</v>
      </c>
      <c r="AF112" s="432">
        <v>400</v>
      </c>
      <c r="AG112" s="436" t="str">
        <f t="shared" si="187"/>
        <v>u</v>
      </c>
      <c r="AH112" s="134">
        <f t="shared" si="179"/>
        <v>0</v>
      </c>
      <c r="AI112" s="134">
        <f t="shared" si="180"/>
        <v>0</v>
      </c>
      <c r="AJ112" s="134">
        <f t="shared" si="181"/>
        <v>0</v>
      </c>
      <c r="AK112" s="134">
        <f t="shared" si="182"/>
        <v>0</v>
      </c>
      <c r="AL112" s="470" t="s">
        <v>2860</v>
      </c>
    </row>
    <row r="113" spans="1:39" hidden="1" x14ac:dyDescent="0.25">
      <c r="B113" s="124" t="s">
        <v>882</v>
      </c>
      <c r="C113" s="168" t="s">
        <v>2887</v>
      </c>
      <c r="D113" s="119">
        <f t="shared" si="188"/>
        <v>11</v>
      </c>
      <c r="E113" s="370">
        <f t="array" ref="E113">IF(U113="YES",IF(T113="YES",MIN(IF(TIM[Load Capability Reference]=CONCATENATE(P113,Q113,S113,R113),TIM[Lowest A-PTX])),MIN(IF(TIM[Load Capability Reference]=CONCATENATE(P113,Q113,S113,R113),IF(TIM[Equipment ID]&lt;&gt;O113,TIM[Lowest A-PTX])))),IF(T113="YES",MIN(IF(TIM[Load Capability Reference]=CONCATENATE(P113,Q113,S113,R113),TIM[Lowest A-No PTX])),MIN(IF(TIM[Load Capability Reference]=CONCATENATE(P113,Q113,S113,R113),IF(TIM[Equipment ID]&lt;&gt;O113,TIM[Lowest A-No PTX])))))</f>
        <v>236.00332799999998</v>
      </c>
      <c r="F113" s="119">
        <f>IFERROR(IFERROR(VLOOKUP(CONCATENATE(P113,Q113,O113,S113,"Protection"),TIM[[OC Protection Reference]:[Forward A]],23,0),VLOOKUP(O113,AEL_Protection_Data[],12,0)),"N/A")</f>
        <v>400</v>
      </c>
      <c r="G113" s="119">
        <f t="shared" si="168"/>
        <v>185</v>
      </c>
      <c r="H113" s="29">
        <f t="shared" si="169"/>
        <v>3.5247233934026649</v>
      </c>
      <c r="I113" s="119">
        <f t="shared" si="170"/>
        <v>210</v>
      </c>
      <c r="J113" s="29">
        <f t="shared" si="189"/>
        <v>4.0010373654841063</v>
      </c>
      <c r="K113" s="6" t="str">
        <f>IF(U113="Yes",UPPER(IF(ISNUMBER(SEARCH("winding",VLOOKUP(CONCATENATE(P113,Q113,S113,E113),TIM[[Limiting Equipment Reference-PTX]:[Summ Equipment]],7,0))),"Power Transformer Rating at "&amp;ROUND(E113*S113*SQRT(3)/1000,2)&amp;" MVA",VLOOKUP(CONCATENATE(P113,Q113,S113,E113),TIM[[Limiting Equipment Reference-No PTX]:[Summ Equipment]],8,0))),UPPER(VLOOKUP(CONCATENATE(P113,Q113,S113,E113),TIM[[Limiting Equipment Reference-No PTX]:[Summ Equipment]],8,0)))</f>
        <v>CABLE - 3C 240MM² AL PILC</v>
      </c>
      <c r="L113" s="146" t="s">
        <v>1267</v>
      </c>
      <c r="M113" s="509" t="s">
        <v>1266</v>
      </c>
      <c r="O113" s="118" t="str">
        <f t="shared" si="183"/>
        <v>TIM-CB3002</v>
      </c>
      <c r="P113" s="49" t="s">
        <v>1276</v>
      </c>
      <c r="Q113" s="49" t="s">
        <v>1307</v>
      </c>
      <c r="R113" s="386"/>
      <c r="S113" s="43">
        <v>11</v>
      </c>
      <c r="T113" s="146" t="s">
        <v>1266</v>
      </c>
      <c r="U113" s="146" t="s">
        <v>1266</v>
      </c>
      <c r="V113" s="487"/>
      <c r="X113" s="498" t="s">
        <v>882</v>
      </c>
      <c r="Y113" s="431" t="s">
        <v>1114</v>
      </c>
      <c r="Z113" s="432">
        <v>945</v>
      </c>
      <c r="AA113" s="443" t="str">
        <f t="shared" si="186"/>
        <v>q</v>
      </c>
      <c r="AB113" s="134">
        <f t="shared" si="174"/>
        <v>0</v>
      </c>
      <c r="AC113" s="134">
        <f t="shared" si="175"/>
        <v>0</v>
      </c>
      <c r="AD113" s="134">
        <f t="shared" si="176"/>
        <v>708.99667199999999</v>
      </c>
      <c r="AE113" s="134">
        <f t="shared" si="177"/>
        <v>13.508200841313711</v>
      </c>
      <c r="AF113" s="432">
        <v>400</v>
      </c>
      <c r="AG113" s="436" t="str">
        <f t="shared" si="187"/>
        <v>u</v>
      </c>
      <c r="AH113" s="134">
        <f t="shared" si="179"/>
        <v>0</v>
      </c>
      <c r="AI113" s="134">
        <f t="shared" si="180"/>
        <v>0</v>
      </c>
      <c r="AJ113" s="134">
        <f t="shared" si="181"/>
        <v>0</v>
      </c>
      <c r="AK113" s="134">
        <f t="shared" si="182"/>
        <v>0</v>
      </c>
      <c r="AL113" s="470" t="s">
        <v>2860</v>
      </c>
    </row>
    <row r="114" spans="1:39" ht="15.75" hidden="1" thickBot="1" x14ac:dyDescent="0.3">
      <c r="B114" s="401" t="s">
        <v>884</v>
      </c>
      <c r="C114" s="375" t="s">
        <v>2888</v>
      </c>
      <c r="D114" s="377">
        <f t="shared" si="188"/>
        <v>11</v>
      </c>
      <c r="E114" s="384">
        <f t="array" ref="E114">IF(U114="YES",IF(T114="YES",MIN(IF(TIM[Load Capability Reference]=CONCATENATE(P114,Q114,S114,R114),TIM[Lowest A-PTX])),MIN(IF(TIM[Load Capability Reference]=CONCATENATE(P114,Q114,S114,R114),IF(TIM[Equipment ID]&lt;&gt;O114,TIM[Lowest A-PTX])))),IF(T114="YES",MIN(IF(TIM[Load Capability Reference]=CONCATENATE(P114,Q114,S114,R114),TIM[Lowest A-No PTX])),MIN(IF(TIM[Load Capability Reference]=CONCATENATE(P114,Q114,S114,R114),IF(TIM[Equipment ID]&lt;&gt;O114,TIM[Lowest A-No PTX])))))</f>
        <v>197.4144</v>
      </c>
      <c r="F114" s="377">
        <f>IFERROR(IFERROR(VLOOKUP(CONCATENATE(P114,Q114,O114,S114,"Protection"),TIM[[OC Protection Reference]:[Forward A]],23,0),VLOOKUP(O114,AEL_Protection_Data[],12,0)),"N/A")</f>
        <v>400</v>
      </c>
      <c r="G114" s="377">
        <f t="shared" si="168"/>
        <v>155</v>
      </c>
      <c r="H114" s="185">
        <f t="shared" si="169"/>
        <v>2.9531466269049358</v>
      </c>
      <c r="I114" s="377">
        <f t="shared" si="170"/>
        <v>175</v>
      </c>
      <c r="J114" s="185">
        <f t="shared" si="189"/>
        <v>3.3341978045700884</v>
      </c>
      <c r="K114" s="191" t="str">
        <f>IF(U114="Yes",UPPER(IF(ISNUMBER(SEARCH("winding",VLOOKUP(CONCATENATE(P114,Q114,S114,E114),TIM[[Limiting Equipment Reference-PTX]:[Summ Equipment]],7,0))),"Power Transformer Rating at "&amp;ROUND(E114*S114*SQRT(3)/1000,2)&amp;" MVA",VLOOKUP(CONCATENATE(P114,Q114,S114,E114),TIM[[Limiting Equipment Reference-No PTX]:[Summ Equipment]],8,0))),UPPER(VLOOKUP(CONCATENATE(P114,Q114,S114,E114),TIM[[Limiting Equipment Reference-No PTX]:[Summ Equipment]],8,0)))</f>
        <v>CABLE - 3C 150MM² AL PILC STA</v>
      </c>
      <c r="L114" s="379" t="s">
        <v>1267</v>
      </c>
      <c r="M114" s="511" t="s">
        <v>1266</v>
      </c>
      <c r="O114" s="514" t="str">
        <f t="shared" si="183"/>
        <v>TIM-CB3012</v>
      </c>
      <c r="P114" s="374" t="s">
        <v>1276</v>
      </c>
      <c r="Q114" s="374" t="s">
        <v>1312</v>
      </c>
      <c r="R114" s="387"/>
      <c r="S114" s="175">
        <v>11</v>
      </c>
      <c r="T114" s="379" t="s">
        <v>1266</v>
      </c>
      <c r="U114" s="379" t="s">
        <v>1266</v>
      </c>
      <c r="V114" s="488"/>
      <c r="X114" s="500" t="s">
        <v>884</v>
      </c>
      <c r="Y114" s="433" t="s">
        <v>1116</v>
      </c>
      <c r="Z114" s="434">
        <v>945</v>
      </c>
      <c r="AA114" s="444" t="str">
        <f t="shared" si="186"/>
        <v>q</v>
      </c>
      <c r="AB114" s="451">
        <f t="shared" si="174"/>
        <v>0</v>
      </c>
      <c r="AC114" s="451">
        <f t="shared" si="175"/>
        <v>0</v>
      </c>
      <c r="AD114" s="451">
        <f t="shared" si="176"/>
        <v>747.5856</v>
      </c>
      <c r="AE114" s="451">
        <f t="shared" si="177"/>
        <v>14.243418664275499</v>
      </c>
      <c r="AF114" s="434">
        <v>400</v>
      </c>
      <c r="AG114" s="437" t="str">
        <f t="shared" si="187"/>
        <v>u</v>
      </c>
      <c r="AH114" s="451">
        <f t="shared" si="179"/>
        <v>0</v>
      </c>
      <c r="AI114" s="451">
        <f t="shared" si="180"/>
        <v>0</v>
      </c>
      <c r="AJ114" s="451">
        <f t="shared" si="181"/>
        <v>0</v>
      </c>
      <c r="AK114" s="451">
        <f t="shared" si="182"/>
        <v>0</v>
      </c>
      <c r="AL114" s="471" t="s">
        <v>2860</v>
      </c>
    </row>
    <row r="115" spans="1:39" hidden="1" x14ac:dyDescent="0.25">
      <c r="X115" s="427" t="s">
        <v>82</v>
      </c>
      <c r="AB115" s="449">
        <f>SUM(AB84:AB114)</f>
        <v>178.93417599999898</v>
      </c>
      <c r="AC115" s="449">
        <f t="shared" ref="AC115:AE115" si="190">SUM(AC84:AC114)</f>
        <v>3.409153924467168</v>
      </c>
      <c r="AD115" s="449">
        <f t="shared" si="190"/>
        <v>2801.478192</v>
      </c>
      <c r="AE115" s="449">
        <f t="shared" si="190"/>
        <v>53.375328213242184</v>
      </c>
      <c r="AH115" s="449">
        <f>SUM(AH84:AH114)</f>
        <v>0</v>
      </c>
      <c r="AI115" s="449">
        <f t="shared" ref="AI115:AK115" si="191">SUM(AI84:AI114)</f>
        <v>0</v>
      </c>
      <c r="AJ115" s="449">
        <f t="shared" si="191"/>
        <v>0</v>
      </c>
      <c r="AK115" s="449">
        <f t="shared" si="191"/>
        <v>0</v>
      </c>
    </row>
    <row r="116" spans="1:39" ht="27" hidden="1" thickBot="1" x14ac:dyDescent="0.3">
      <c r="B116" s="551" t="s">
        <v>2755</v>
      </c>
      <c r="C116" s="552"/>
      <c r="D116" s="552"/>
      <c r="E116" s="552"/>
      <c r="F116" s="552"/>
      <c r="G116" s="552"/>
      <c r="H116" s="552"/>
      <c r="I116" s="552"/>
      <c r="J116" s="552"/>
      <c r="K116" s="552"/>
      <c r="L116" s="552"/>
      <c r="M116" s="553"/>
      <c r="O116" s="551" t="s">
        <v>2391</v>
      </c>
      <c r="P116" s="552"/>
      <c r="Q116" s="552"/>
      <c r="R116" s="552"/>
      <c r="S116" s="552"/>
      <c r="T116" s="552"/>
      <c r="U116" s="552"/>
      <c r="V116" s="553"/>
      <c r="X116" s="586" t="str">
        <f>B116&amp;"-OLD"</f>
        <v>GRASMERE STREET SWITCHING STATION (TE901)-OLD</v>
      </c>
      <c r="Y116" s="587"/>
      <c r="Z116" s="587"/>
      <c r="AA116" s="587"/>
      <c r="AB116" s="587"/>
      <c r="AC116" s="587"/>
      <c r="AD116" s="587"/>
      <c r="AE116" s="587"/>
      <c r="AF116" s="587"/>
      <c r="AG116" s="587"/>
      <c r="AH116" s="587"/>
      <c r="AI116" s="587"/>
      <c r="AJ116" s="587"/>
      <c r="AK116" s="587"/>
      <c r="AL116" s="588"/>
      <c r="AM116" s="481"/>
    </row>
    <row r="117" spans="1:39" ht="15.75" hidden="1" thickBot="1" x14ac:dyDescent="0.3">
      <c r="B117" s="571" t="str">
        <f t="shared" ref="B117:G117" si="192">B6</f>
        <v>CB ID</v>
      </c>
      <c r="C117" s="545" t="str">
        <f t="shared" si="192"/>
        <v>DESIGNATION</v>
      </c>
      <c r="D117" s="382" t="str">
        <f t="shared" si="192"/>
        <v>Rated</v>
      </c>
      <c r="E117" s="572" t="str">
        <f t="shared" si="192"/>
        <v>LOAD
CAPABILITY</v>
      </c>
      <c r="F117" s="572" t="str">
        <f t="shared" si="192"/>
        <v>OC
PICKUP</v>
      </c>
      <c r="G117" s="559" t="str">
        <f t="shared" si="192"/>
        <v>SCADA ALARM</v>
      </c>
      <c r="H117" s="560"/>
      <c r="I117" s="560"/>
      <c r="J117" s="561"/>
      <c r="K117" s="574" t="str">
        <f>K6</f>
        <v>LIMITING EQUIPMENT</v>
      </c>
      <c r="L117" s="575" t="str">
        <f>L6</f>
        <v>RECLOSING</v>
      </c>
      <c r="M117" s="576"/>
      <c r="O117" s="554" t="str">
        <f t="shared" ref="O117:V117" si="193">O6</f>
        <v>OC Pick up
Reference ID</v>
      </c>
      <c r="P117" s="557" t="str">
        <f t="shared" si="193"/>
        <v>Supply Level</v>
      </c>
      <c r="Q117" s="566" t="str">
        <f t="shared" si="193"/>
        <v>Station/Feeder</v>
      </c>
      <c r="R117" s="567" t="str">
        <f t="shared" si="193"/>
        <v>Refered
to PTX</v>
      </c>
      <c r="S117" s="569" t="str">
        <f t="shared" si="193"/>
        <v>Voltage</v>
      </c>
      <c r="T117" s="539" t="str">
        <f t="shared" si="193"/>
        <v>Include
CB</v>
      </c>
      <c r="U117" s="539" t="str">
        <f t="shared" si="193"/>
        <v>Include
PTX</v>
      </c>
      <c r="V117" s="542" t="str">
        <f t="shared" si="193"/>
        <v>Notes</v>
      </c>
      <c r="X117" s="585" t="s">
        <v>1260</v>
      </c>
      <c r="Y117" s="545" t="s">
        <v>1261</v>
      </c>
      <c r="Z117" s="559" t="s">
        <v>2749</v>
      </c>
      <c r="AA117" s="560"/>
      <c r="AB117" s="560"/>
      <c r="AC117" s="560"/>
      <c r="AD117" s="560"/>
      <c r="AE117" s="561"/>
      <c r="AF117" s="559" t="s">
        <v>1268</v>
      </c>
      <c r="AG117" s="560"/>
      <c r="AH117" s="560"/>
      <c r="AI117" s="560"/>
      <c r="AJ117" s="560"/>
      <c r="AK117" s="561"/>
      <c r="AL117" s="546" t="s">
        <v>2857</v>
      </c>
      <c r="AM117" s="466"/>
    </row>
    <row r="118" spans="1:39" ht="15.75" hidden="1" thickBot="1" x14ac:dyDescent="0.3">
      <c r="B118" s="557"/>
      <c r="C118" s="540"/>
      <c r="D118" s="362" t="str">
        <f>D7</f>
        <v>Voltage</v>
      </c>
      <c r="E118" s="573"/>
      <c r="F118" s="573"/>
      <c r="G118" s="544" t="str">
        <f>G7</f>
        <v>Pre-Emergency</v>
      </c>
      <c r="H118" s="544"/>
      <c r="I118" s="544" t="str">
        <f>I7</f>
        <v>Emergency</v>
      </c>
      <c r="J118" s="544"/>
      <c r="K118" s="540"/>
      <c r="L118" s="545" t="str">
        <f>L7</f>
        <v>AVAILABLE</v>
      </c>
      <c r="M118" s="546" t="str">
        <f>M7</f>
        <v>UTILISED</v>
      </c>
      <c r="O118" s="555"/>
      <c r="P118" s="557"/>
      <c r="Q118" s="557"/>
      <c r="R118" s="567"/>
      <c r="S118" s="569"/>
      <c r="T118" s="540"/>
      <c r="U118" s="540"/>
      <c r="V118" s="542"/>
      <c r="X118" s="555"/>
      <c r="Y118" s="540"/>
      <c r="Z118" s="589"/>
      <c r="AA118" s="590"/>
      <c r="AB118" s="590"/>
      <c r="AC118" s="590"/>
      <c r="AD118" s="590"/>
      <c r="AE118" s="591"/>
      <c r="AF118" s="589"/>
      <c r="AG118" s="590"/>
      <c r="AH118" s="590"/>
      <c r="AI118" s="590"/>
      <c r="AJ118" s="590"/>
      <c r="AK118" s="591"/>
      <c r="AL118" s="577"/>
      <c r="AM118" s="466"/>
    </row>
    <row r="119" spans="1:39" ht="15.75" hidden="1" thickBot="1" x14ac:dyDescent="0.3">
      <c r="B119" s="558"/>
      <c r="C119" s="541"/>
      <c r="D119" s="345" t="str">
        <f>D8</f>
        <v>(kV)</v>
      </c>
      <c r="E119" s="345" t="str">
        <f>E8</f>
        <v>(A)</v>
      </c>
      <c r="F119" s="345" t="str">
        <f>F8</f>
        <v>(A)</v>
      </c>
      <c r="G119" s="406" t="str">
        <f>G8</f>
        <v>(A)</v>
      </c>
      <c r="H119" s="407" t="str">
        <f>H8</f>
        <v>(MVA)</v>
      </c>
      <c r="I119" s="406" t="str">
        <f>I8</f>
        <v>(A)</v>
      </c>
      <c r="J119" s="407" t="str">
        <f>J8</f>
        <v>(MVA)</v>
      </c>
      <c r="K119" s="541"/>
      <c r="L119" s="541"/>
      <c r="M119" s="547"/>
      <c r="O119" s="556"/>
      <c r="P119" s="558"/>
      <c r="Q119" s="558"/>
      <c r="R119" s="568"/>
      <c r="S119" s="570"/>
      <c r="T119" s="541"/>
      <c r="U119" s="541"/>
      <c r="V119" s="543"/>
      <c r="X119" s="556"/>
      <c r="Y119" s="541"/>
      <c r="Z119" s="428" t="s">
        <v>26</v>
      </c>
      <c r="AA119" s="439" t="s">
        <v>2861</v>
      </c>
      <c r="AB119" s="450" t="s">
        <v>2959</v>
      </c>
      <c r="AC119" s="450" t="s">
        <v>2960</v>
      </c>
      <c r="AD119" s="450" t="s">
        <v>2957</v>
      </c>
      <c r="AE119" s="450" t="s">
        <v>2958</v>
      </c>
      <c r="AF119" s="428" t="s">
        <v>26</v>
      </c>
      <c r="AG119" s="439" t="s">
        <v>2861</v>
      </c>
      <c r="AH119" s="450" t="s">
        <v>2959</v>
      </c>
      <c r="AI119" s="450" t="s">
        <v>2960</v>
      </c>
      <c r="AJ119" s="450" t="s">
        <v>2957</v>
      </c>
      <c r="AK119" s="450" t="s">
        <v>2958</v>
      </c>
      <c r="AL119" s="547"/>
      <c r="AM119" s="466"/>
    </row>
    <row r="120" spans="1:39" hidden="1" x14ac:dyDescent="0.25">
      <c r="B120" s="204" t="s">
        <v>507</v>
      </c>
      <c r="C120" s="3" t="s">
        <v>2756</v>
      </c>
      <c r="D120" s="61">
        <f t="shared" ref="D120:D134" si="194">ROUNDDOWN(S120,0)</f>
        <v>11</v>
      </c>
      <c r="E120" s="369">
        <f t="array" ref="E120">IF(U120="YES",IF(T120="YES",MIN(IF(TIM[Load Capability Reference]=CONCATENATE(P120,Q120,S120,R120),TIM[Lowest A-PTX])),MIN(IF(TIM[Load Capability Reference]=CONCATENATE(P120,Q120,S120,R120),IF(TIM[Equipment ID]&lt;&gt;O120,TIM[Lowest A-PTX])))),IF(T120="YES",MIN(IF(TIM[Load Capability Reference]=CONCATENATE(P120,Q120,S120,R120),TIM[Lowest A-No PTX])),MIN(IF(TIM[Load Capability Reference]=CONCATENATE(P120,Q120,S120,R120),IF(TIM[Equipment ID]&lt;&gt;O120,TIM[Lowest A-No PTX])))))</f>
        <v>160.5975</v>
      </c>
      <c r="F120" s="61">
        <f>IFERROR(IFERROR(VLOOKUP(CONCATENATE(P120,Q120,O120,S120,"Protection"),TIM[[OC Protection Reference]:[Forward A]],23,0),VLOOKUP(O120,AEL_Protection_Data[],12,0)),"N/A")</f>
        <v>304</v>
      </c>
      <c r="G120" s="61">
        <f t="shared" ref="G120:G136" si="195">IFERROR(FLOOR(MIN(E120:F120)*$D$3,5),"")</f>
        <v>125</v>
      </c>
      <c r="H120" s="5">
        <f t="shared" ref="H120:H136" si="196">G120*S120*SQRT(3)/1000</f>
        <v>2.3815698604072062</v>
      </c>
      <c r="I120" s="61">
        <f t="shared" ref="I120:I136" si="197">IFERROR(FLOOR(MIN(E120:F120)*$D$2,5),"")</f>
        <v>140</v>
      </c>
      <c r="J120" s="5">
        <f t="shared" ref="J120:J136" si="198">I120*S120*SQRT(3)/1000</f>
        <v>2.667358243656071</v>
      </c>
      <c r="K120" s="3" t="str">
        <f>IF(U120="Yes",UPPER(IF(ISNUMBER(SEARCH("winding",VLOOKUP(CONCATENATE(P120,Q120,S120,E120),TIM[[Limiting Equipment Reference-PTX]:[Summ Equipment]],7,0))),"Power Transformer Rating at "&amp;ROUND(E120*S120*SQRT(3)/1000,2)&amp;" MVA",VLOOKUP(CONCATENATE(P120,Q120,S120,E120),TIM[[Limiting Equipment Reference-No PTX]:[Summ Equipment]],8,0))),UPPER(VLOOKUP(CONCATENATE(P120,Q120,S120,E120),TIM[[Limiting Equipment Reference-No PTX]:[Summ Equipment]],8,0)))</f>
        <v>CABLE-3C 0.15IN² CU PILC STAS</v>
      </c>
      <c r="L120" s="4" t="s">
        <v>1267</v>
      </c>
      <c r="M120" s="508" t="s">
        <v>1266</v>
      </c>
      <c r="O120" s="10" t="str">
        <f>"GRM-"&amp;B120</f>
        <v>GRM-CB2</v>
      </c>
      <c r="P120" s="38" t="s">
        <v>1276</v>
      </c>
      <c r="Q120" s="38" t="s">
        <v>176</v>
      </c>
      <c r="R120" s="389"/>
      <c r="S120" s="139">
        <v>11</v>
      </c>
      <c r="T120" s="4" t="s">
        <v>1266</v>
      </c>
      <c r="U120" s="4" t="s">
        <v>1266</v>
      </c>
      <c r="V120" s="486"/>
      <c r="X120" s="501" t="s">
        <v>507</v>
      </c>
      <c r="Y120" s="429" t="s">
        <v>2756</v>
      </c>
      <c r="Z120" s="430">
        <v>152</v>
      </c>
      <c r="AA120" s="440" t="str">
        <f t="shared" ref="AA120:AA135" si="199">IF(Z120&gt;E120,"q",IF(Z120&lt;E120,"p","u"))</f>
        <v>p</v>
      </c>
      <c r="AB120" s="453">
        <f t="shared" ref="AB120:AB139" si="200">IF(Z120="",0,IF(Z120-E120&lt;0,ABS(Z120-E120),0))</f>
        <v>8.5974999999999966</v>
      </c>
      <c r="AC120" s="453">
        <f t="shared" ref="AC120:AC139" si="201">AB120*$S120*SQRT(3)/1000</f>
        <v>0.16380437499880757</v>
      </c>
      <c r="AD120" s="453">
        <f t="shared" ref="AD120:AD139" si="202">IF(Z120="",0,IF(Z120-E120&gt;0,ABS(Z120-E120),0))</f>
        <v>0</v>
      </c>
      <c r="AE120" s="453">
        <f t="shared" ref="AE120:AE139" si="203">AD120*$S120*SQRT(3)/1000</f>
        <v>0</v>
      </c>
      <c r="AF120" s="430">
        <v>300</v>
      </c>
      <c r="AG120" s="435" t="str">
        <f t="shared" ref="AG120:AG135" si="204">IF(AF120&gt;F120,"q",IF(AF120&lt;F120,"p","u"))</f>
        <v>p</v>
      </c>
      <c r="AH120" s="453">
        <f t="shared" ref="AH120:AH139" si="205">IF(AF120="",0,IF(AF120-F120&lt;0,ABS(AF120-F120),0))</f>
        <v>4</v>
      </c>
      <c r="AI120" s="453">
        <f t="shared" ref="AI120:AI139" si="206">AH120*$S120*SQRT(3)/1000</f>
        <v>7.6210235533030593E-2</v>
      </c>
      <c r="AJ120" s="453">
        <f t="shared" ref="AJ120:AJ139" si="207">IF(AF120="",0,IF(AF120-F120&gt;0,ABS(AF120-F120),0))</f>
        <v>0</v>
      </c>
      <c r="AK120" s="453">
        <f t="shared" ref="AK120:AK139" si="208">AJ120*$S120*SQRT(3)/1000</f>
        <v>0</v>
      </c>
      <c r="AL120" s="469" t="s">
        <v>1266</v>
      </c>
    </row>
    <row r="121" spans="1:39" hidden="1" x14ac:dyDescent="0.25">
      <c r="A121" s="517"/>
      <c r="B121" s="124" t="s">
        <v>511</v>
      </c>
      <c r="C121" s="168" t="s">
        <v>2764</v>
      </c>
      <c r="D121" s="119">
        <f t="shared" si="194"/>
        <v>11</v>
      </c>
      <c r="E121" s="370">
        <f t="array" ref="E121">IF(U121="YES",IF(T121="YES",MIN(IF(TIM[Load Capability Reference]=CONCATENATE(P121,Q121,S121,R121),TIM[Lowest A-PTX])),MIN(IF(TIM[Load Capability Reference]=CONCATENATE(P121,Q121,S121,R121),IF(TIM[Equipment ID]&lt;&gt;O121,TIM[Lowest A-PTX])))),IF(T121="YES",MIN(IF(TIM[Load Capability Reference]=CONCATENATE(P121,Q121,S121,R121),TIM[Lowest A-No PTX])),MIN(IF(TIM[Load Capability Reference]=CONCATENATE(P121,Q121,S121,R121),IF(TIM[Equipment ID]&lt;&gt;O121,TIM[Lowest A-No PTX])))))</f>
        <v>412.56599999999986</v>
      </c>
      <c r="F121" s="119">
        <f>IFERROR(IFERROR(VLOOKUP(CONCATENATE(P121,Q121,O121,S121,"Protection"),TIM[[OC Protection Reference]:[Forward A]],23,0),VLOOKUP(O121,AEL_Protection_Data[],12,0)),"N/A")</f>
        <v>600</v>
      </c>
      <c r="G121" s="119">
        <f t="shared" si="195"/>
        <v>330</v>
      </c>
      <c r="H121" s="29">
        <f t="shared" si="196"/>
        <v>6.2873444314750238</v>
      </c>
      <c r="I121" s="119">
        <f t="shared" si="197"/>
        <v>370</v>
      </c>
      <c r="J121" s="29">
        <f t="shared" si="198"/>
        <v>7.0494467868053299</v>
      </c>
      <c r="K121" s="6" t="str">
        <f>IF(U121="Yes",UPPER(IF(ISNUMBER(SEARCH("winding",VLOOKUP(CONCATENATE(P121,Q121,S121,E121),TIM[[Limiting Equipment Reference-PTX]:[Summ Equipment]],7,0))),"Power Transformer Rating at "&amp;ROUND(E121*S121*SQRT(3)/1000,2)&amp;" MVA",VLOOKUP(CONCATENATE(P121,Q121,S121,E121),TIM[[Limiting Equipment Reference-No PTX]:[Summ Equipment]],8,0))),UPPER(VLOOKUP(CONCATENATE(P121,Q121,S121,E121),TIM[[Limiting Equipment Reference-No PTX]:[Summ Equipment]],8,0)))</f>
        <v>CABLE-3C 400MM² CU PILC SWA</v>
      </c>
      <c r="L121" s="146" t="s">
        <v>1267</v>
      </c>
      <c r="M121" s="509" t="s">
        <v>1266</v>
      </c>
      <c r="N121" s="517"/>
      <c r="O121" s="118" t="str">
        <f t="shared" ref="O121:O137" si="209">"GRM-"&amp;B121</f>
        <v>GRM-CB3</v>
      </c>
      <c r="P121" s="49" t="s">
        <v>1245</v>
      </c>
      <c r="Q121" s="49" t="s">
        <v>1318</v>
      </c>
      <c r="R121" s="386"/>
      <c r="S121" s="43">
        <v>11</v>
      </c>
      <c r="T121" s="146" t="s">
        <v>1266</v>
      </c>
      <c r="U121" s="146" t="s">
        <v>1266</v>
      </c>
      <c r="V121" s="487"/>
      <c r="X121" s="498" t="s">
        <v>511</v>
      </c>
      <c r="Y121" s="431" t="s">
        <v>2906</v>
      </c>
      <c r="Z121" s="432">
        <v>550</v>
      </c>
      <c r="AA121" s="441" t="str">
        <f t="shared" si="199"/>
        <v>q</v>
      </c>
      <c r="AB121" s="134">
        <f t="shared" si="200"/>
        <v>0</v>
      </c>
      <c r="AC121" s="134">
        <f t="shared" si="201"/>
        <v>0</v>
      </c>
      <c r="AD121" s="134">
        <f t="shared" si="202"/>
        <v>137.43400000000014</v>
      </c>
      <c r="AE121" s="134">
        <f t="shared" si="203"/>
        <v>2.6184693775616341</v>
      </c>
      <c r="AF121" s="432">
        <v>600</v>
      </c>
      <c r="AG121" s="436" t="str">
        <f t="shared" si="204"/>
        <v>u</v>
      </c>
      <c r="AH121" s="134">
        <f t="shared" si="205"/>
        <v>0</v>
      </c>
      <c r="AI121" s="134">
        <f t="shared" si="206"/>
        <v>0</v>
      </c>
      <c r="AJ121" s="134">
        <f t="shared" si="207"/>
        <v>0</v>
      </c>
      <c r="AK121" s="134">
        <f t="shared" si="208"/>
        <v>0</v>
      </c>
      <c r="AL121" s="470" t="s">
        <v>1266</v>
      </c>
    </row>
    <row r="122" spans="1:39" hidden="1" x14ac:dyDescent="0.25">
      <c r="B122" s="124" t="s">
        <v>498</v>
      </c>
      <c r="C122" s="168" t="s">
        <v>2765</v>
      </c>
      <c r="D122" s="119">
        <f t="shared" si="194"/>
        <v>11</v>
      </c>
      <c r="E122" s="370">
        <f t="array" ref="E122">IF(U122="YES",IF(T122="YES",MIN(IF(TIM[Load Capability Reference]=CONCATENATE(P122,Q122,S122,R122),TIM[Lowest A-PTX])),MIN(IF(TIM[Load Capability Reference]=CONCATENATE(P122,Q122,S122,R122),IF(TIM[Equipment ID]&lt;&gt;O122,TIM[Lowest A-PTX])))),IF(T122="YES",MIN(IF(TIM[Load Capability Reference]=CONCATENATE(P122,Q122,S122,R122),TIM[Lowest A-No PTX])),MIN(IF(TIM[Load Capability Reference]=CONCATENATE(P122,Q122,S122,R122),IF(TIM[Equipment ID]&lt;&gt;O122,TIM[Lowest A-No PTX])))))</f>
        <v>297.464</v>
      </c>
      <c r="F122" s="119">
        <f>IFERROR(IFERROR(VLOOKUP(CONCATENATE(P122,Q122,O122,S122,"Protection"),TIM[[OC Protection Reference]:[Forward A]],23,0),VLOOKUP(O122,AEL_Protection_Data[],12,0)),"N/A")</f>
        <v>400</v>
      </c>
      <c r="G122" s="119">
        <f t="shared" si="195"/>
        <v>235</v>
      </c>
      <c r="H122" s="29">
        <f t="shared" si="196"/>
        <v>4.4773513375655476</v>
      </c>
      <c r="I122" s="119">
        <f t="shared" si="197"/>
        <v>265</v>
      </c>
      <c r="J122" s="29">
        <f t="shared" si="198"/>
        <v>5.0489281040632772</v>
      </c>
      <c r="K122" s="168" t="str">
        <f>IF(U122="Yes",UPPER(IF(ISNUMBER(SEARCH("winding",VLOOKUP(CONCATENATE(P122,Q122,S122,E122),TIM[[Limiting Equipment Reference-PTX]:[Summ Equipment]],7,0))),"Power Transformer Rating at "&amp;ROUND(E122*S122*SQRT(3)/1000,2)&amp;" MVA",VLOOKUP(CONCATENATE(P122,Q122,S122,E122),TIM[[Limiting Equipment Reference-No PTX]:[Summ Equipment]],8,0))),UPPER(VLOOKUP(CONCATENATE(P122,Q122,S122,E122),TIM[[Limiting Equipment Reference-No PTX]:[Summ Equipment]],8,0)))</f>
        <v xml:space="preserve">CABLE-3C 0.3IN² CU PILC SWA </v>
      </c>
      <c r="L122" s="146" t="s">
        <v>1267</v>
      </c>
      <c r="M122" s="509" t="s">
        <v>1266</v>
      </c>
      <c r="O122" s="118" t="str">
        <f t="shared" si="209"/>
        <v>GRM-CB4</v>
      </c>
      <c r="P122" s="49" t="s">
        <v>1245</v>
      </c>
      <c r="Q122" s="49" t="s">
        <v>1328</v>
      </c>
      <c r="R122" s="390"/>
      <c r="S122" s="32">
        <v>11</v>
      </c>
      <c r="T122" s="146" t="s">
        <v>1266</v>
      </c>
      <c r="U122" s="146" t="s">
        <v>1266</v>
      </c>
      <c r="V122" s="487"/>
      <c r="X122" s="498" t="s">
        <v>498</v>
      </c>
      <c r="Y122" s="431" t="s">
        <v>2765</v>
      </c>
      <c r="Z122" s="432">
        <v>300</v>
      </c>
      <c r="AA122" s="441" t="str">
        <f t="shared" si="199"/>
        <v>q</v>
      </c>
      <c r="AB122" s="134">
        <f t="shared" si="200"/>
        <v>0</v>
      </c>
      <c r="AC122" s="134">
        <f t="shared" si="201"/>
        <v>0</v>
      </c>
      <c r="AD122" s="134">
        <f t="shared" si="202"/>
        <v>2.5360000000000014</v>
      </c>
      <c r="AE122" s="134">
        <f t="shared" si="203"/>
        <v>4.8317289327941423E-2</v>
      </c>
      <c r="AF122" s="432">
        <v>400</v>
      </c>
      <c r="AG122" s="436" t="str">
        <f t="shared" si="204"/>
        <v>u</v>
      </c>
      <c r="AH122" s="134">
        <f t="shared" si="205"/>
        <v>0</v>
      </c>
      <c r="AI122" s="134">
        <f t="shared" si="206"/>
        <v>0</v>
      </c>
      <c r="AJ122" s="134">
        <f t="shared" si="207"/>
        <v>0</v>
      </c>
      <c r="AK122" s="134">
        <f t="shared" si="208"/>
        <v>0</v>
      </c>
      <c r="AL122" s="470" t="s">
        <v>1266</v>
      </c>
    </row>
    <row r="123" spans="1:39" hidden="1" x14ac:dyDescent="0.25">
      <c r="B123" s="124" t="s">
        <v>592</v>
      </c>
      <c r="C123" s="168" t="s">
        <v>2757</v>
      </c>
      <c r="D123" s="119">
        <f t="shared" si="194"/>
        <v>11</v>
      </c>
      <c r="E123" s="370">
        <f t="array" ref="E123">IF(U123="YES",IF(T123="YES",MIN(IF(TIM[Load Capability Reference]=CONCATENATE(P123,Q123,S123,R123),TIM[Lowest A-PTX])),MIN(IF(TIM[Load Capability Reference]=CONCATENATE(P123,Q123,S123,R123),IF(TIM[Equipment ID]&lt;&gt;O123,TIM[Lowest A-PTX])))),IF(T123="YES",MIN(IF(TIM[Load Capability Reference]=CONCATENATE(P123,Q123,S123,R123),TIM[Lowest A-No PTX])),MIN(IF(TIM[Load Capability Reference]=CONCATENATE(P123,Q123,S123,R123),IF(TIM[Equipment ID]&lt;&gt;O123,TIM[Lowest A-No PTX])))))</f>
        <v>233.41499999999996</v>
      </c>
      <c r="F123" s="119">
        <f>IFERROR(IFERROR(VLOOKUP(CONCATENATE(P123,Q123,O123,S123,"Protection"),TIM[[OC Protection Reference]:[Forward A]],23,0),VLOOKUP(O123,AEL_Protection_Data[],12,0)),"N/A")</f>
        <v>304</v>
      </c>
      <c r="G123" s="119">
        <f t="shared" si="195"/>
        <v>185</v>
      </c>
      <c r="H123" s="29">
        <f t="shared" si="196"/>
        <v>3.5247233934026649</v>
      </c>
      <c r="I123" s="119">
        <f t="shared" si="197"/>
        <v>210</v>
      </c>
      <c r="J123" s="29">
        <f t="shared" si="198"/>
        <v>4.0010373654841063</v>
      </c>
      <c r="K123" s="6" t="str">
        <f>IF(U123="Yes",UPPER(IF(ISNUMBER(SEARCH("winding",VLOOKUP(CONCATENATE(P123,Q123,S123,E123),TIM[[Limiting Equipment Reference-PTX]:[Summ Equipment]],7,0))),"Power Transformer Rating at "&amp;ROUND(E123*S123*SQRT(3)/1000,2)&amp;" MVA",VLOOKUP(CONCATENATE(P123,Q123,S123,E123),TIM[[Limiting Equipment Reference-No PTX]:[Summ Equipment]],8,0))),UPPER(VLOOKUP(CONCATENATE(P123,Q123,S123,E123),TIM[[Limiting Equipment Reference-No PTX]:[Summ Equipment]],8,0)))</f>
        <v>CABLE-3C 300MM² AL PILC SWAS</v>
      </c>
      <c r="L123" s="146" t="s">
        <v>1267</v>
      </c>
      <c r="M123" s="509" t="s">
        <v>1266</v>
      </c>
      <c r="O123" s="118" t="str">
        <f t="shared" si="209"/>
        <v>GRM-CB5</v>
      </c>
      <c r="P123" s="49" t="s">
        <v>1276</v>
      </c>
      <c r="Q123" s="49" t="s">
        <v>182</v>
      </c>
      <c r="R123" s="386"/>
      <c r="S123" s="43">
        <v>11</v>
      </c>
      <c r="T123" s="146" t="s">
        <v>1266</v>
      </c>
      <c r="U123" s="146" t="s">
        <v>1266</v>
      </c>
      <c r="V123" s="487"/>
      <c r="X123" s="498" t="s">
        <v>592</v>
      </c>
      <c r="Y123" s="431" t="s">
        <v>2757</v>
      </c>
      <c r="Z123" s="432">
        <v>224</v>
      </c>
      <c r="AA123" s="441" t="str">
        <f t="shared" si="199"/>
        <v>p</v>
      </c>
      <c r="AB123" s="134">
        <f t="shared" si="200"/>
        <v>9.4149999999999636</v>
      </c>
      <c r="AC123" s="134">
        <f t="shared" si="201"/>
        <v>0.17937984188587006</v>
      </c>
      <c r="AD123" s="134">
        <f t="shared" si="202"/>
        <v>0</v>
      </c>
      <c r="AE123" s="134">
        <f t="shared" si="203"/>
        <v>0</v>
      </c>
      <c r="AF123" s="432">
        <v>300</v>
      </c>
      <c r="AG123" s="436" t="str">
        <f t="shared" si="204"/>
        <v>p</v>
      </c>
      <c r="AH123" s="134">
        <f t="shared" si="205"/>
        <v>4</v>
      </c>
      <c r="AI123" s="134">
        <f t="shared" si="206"/>
        <v>7.6210235533030593E-2</v>
      </c>
      <c r="AJ123" s="134">
        <f t="shared" si="207"/>
        <v>0</v>
      </c>
      <c r="AK123" s="134">
        <f t="shared" si="208"/>
        <v>0</v>
      </c>
      <c r="AL123" s="470" t="s">
        <v>1266</v>
      </c>
    </row>
    <row r="124" spans="1:39" hidden="1" x14ac:dyDescent="0.25">
      <c r="B124" s="124" t="s">
        <v>500</v>
      </c>
      <c r="C124" s="168" t="s">
        <v>2758</v>
      </c>
      <c r="D124" s="119">
        <f t="shared" si="194"/>
        <v>11</v>
      </c>
      <c r="E124" s="370">
        <f t="array" ref="E124">IF(U124="YES",IF(T124="YES",MIN(IF(TIM[Load Capability Reference]=CONCATENATE(P124,Q124,S124,R124),TIM[Lowest A-PTX])),MIN(IF(TIM[Load Capability Reference]=CONCATENATE(P124,Q124,S124,R124),IF(TIM[Equipment ID]&lt;&gt;O124,TIM[Lowest A-PTX])))),IF(T124="YES",MIN(IF(TIM[Load Capability Reference]=CONCATENATE(P124,Q124,S124,R124),TIM[Lowest A-No PTX])),MIN(IF(TIM[Load Capability Reference]=CONCATENATE(P124,Q124,S124,R124),IF(TIM[Equipment ID]&lt;&gt;O124,TIM[Lowest A-No PTX])))))</f>
        <v>228</v>
      </c>
      <c r="F124" s="119">
        <f>IFERROR(IFERROR(VLOOKUP(CONCATENATE(P124,Q124,O124,S124,"Protection"),TIM[[OC Protection Reference]:[Forward A]],23,0),VLOOKUP(O124,AEL_Protection_Data[],12,0)),"N/A")</f>
        <v>304</v>
      </c>
      <c r="G124" s="119">
        <f t="shared" si="195"/>
        <v>180</v>
      </c>
      <c r="H124" s="29">
        <f t="shared" si="196"/>
        <v>3.4294605989863767</v>
      </c>
      <c r="I124" s="119">
        <f t="shared" si="197"/>
        <v>205</v>
      </c>
      <c r="J124" s="29">
        <f t="shared" si="198"/>
        <v>3.905774571067818</v>
      </c>
      <c r="K124" s="6" t="str">
        <f>IF(U124="Yes",UPPER(IF(ISNUMBER(SEARCH("winding",VLOOKUP(CONCATENATE(P124,Q124,S124,E124),TIM[[Limiting Equipment Reference-PTX]:[Summ Equipment]],7,0))),"Power Transformer Rating at "&amp;ROUND(E124*S124*SQRT(3)/1000,2)&amp;" MVA",VLOOKUP(CONCATENATE(P124,Q124,S124,E124),TIM[[Limiting Equipment Reference-No PTX]:[Summ Equipment]],8,0))),UPPER(VLOOKUP(CONCATENATE(P124,Q124,S124,E124),TIM[[Limiting Equipment Reference-No PTX]:[Summ Equipment]],8,0)))</f>
        <v>CABLE-3C 185MM² AL PILC SWAS</v>
      </c>
      <c r="L124" s="146" t="s">
        <v>1267</v>
      </c>
      <c r="M124" s="509" t="s">
        <v>1266</v>
      </c>
      <c r="O124" s="118" t="str">
        <f t="shared" si="209"/>
        <v>GRM-CB6</v>
      </c>
      <c r="P124" s="49" t="s">
        <v>1276</v>
      </c>
      <c r="Q124" s="49" t="s">
        <v>185</v>
      </c>
      <c r="R124" s="386"/>
      <c r="S124" s="43">
        <v>11</v>
      </c>
      <c r="T124" s="146" t="s">
        <v>1266</v>
      </c>
      <c r="U124" s="146" t="s">
        <v>1266</v>
      </c>
      <c r="V124" s="487"/>
      <c r="X124" s="498" t="s">
        <v>500</v>
      </c>
      <c r="Y124" s="431" t="s">
        <v>2758</v>
      </c>
      <c r="Z124" s="432">
        <v>224</v>
      </c>
      <c r="AA124" s="441" t="str">
        <f t="shared" si="199"/>
        <v>p</v>
      </c>
      <c r="AB124" s="134">
        <f t="shared" si="200"/>
        <v>4</v>
      </c>
      <c r="AC124" s="134">
        <f t="shared" si="201"/>
        <v>7.6210235533030593E-2</v>
      </c>
      <c r="AD124" s="134">
        <f t="shared" si="202"/>
        <v>0</v>
      </c>
      <c r="AE124" s="134">
        <f t="shared" si="203"/>
        <v>0</v>
      </c>
      <c r="AF124" s="432">
        <v>300</v>
      </c>
      <c r="AG124" s="436" t="str">
        <f t="shared" si="204"/>
        <v>p</v>
      </c>
      <c r="AH124" s="134">
        <f t="shared" si="205"/>
        <v>4</v>
      </c>
      <c r="AI124" s="134">
        <f t="shared" si="206"/>
        <v>7.6210235533030593E-2</v>
      </c>
      <c r="AJ124" s="134">
        <f t="shared" si="207"/>
        <v>0</v>
      </c>
      <c r="AK124" s="134">
        <f t="shared" si="208"/>
        <v>0</v>
      </c>
      <c r="AL124" s="470" t="s">
        <v>1266</v>
      </c>
    </row>
    <row r="125" spans="1:39" hidden="1" x14ac:dyDescent="0.25">
      <c r="B125" s="124" t="s">
        <v>512</v>
      </c>
      <c r="C125" s="168" t="s">
        <v>2759</v>
      </c>
      <c r="D125" s="119">
        <f t="shared" si="194"/>
        <v>11</v>
      </c>
      <c r="E125" s="370">
        <f t="array" ref="E125">IF(U125="YES",IF(T125="YES",MIN(IF(TIM[Load Capability Reference]=CONCATENATE(P125,Q125,S125,R125),TIM[Lowest A-PTX])),MIN(IF(TIM[Load Capability Reference]=CONCATENATE(P125,Q125,S125,R125),IF(TIM[Equipment ID]&lt;&gt;O125,TIM[Lowest A-PTX])))),IF(T125="YES",MIN(IF(TIM[Load Capability Reference]=CONCATENATE(P125,Q125,S125,R125),TIM[Lowest A-No PTX])),MIN(IF(TIM[Load Capability Reference]=CONCATENATE(P125,Q125,S125,R125),IF(TIM[Equipment ID]&lt;&gt;O125,TIM[Lowest A-No PTX])))))</f>
        <v>235.904</v>
      </c>
      <c r="F125" s="119">
        <f>IFERROR(IFERROR(VLOOKUP(CONCATENATE(P125,Q125,O125,S125,"Protection"),TIM[[OC Protection Reference]:[Forward A]],23,0),VLOOKUP(O125,AEL_Protection_Data[],12,0)),"N/A")</f>
        <v>304</v>
      </c>
      <c r="G125" s="119">
        <f t="shared" si="195"/>
        <v>185</v>
      </c>
      <c r="H125" s="29">
        <f t="shared" si="196"/>
        <v>3.5247233934026649</v>
      </c>
      <c r="I125" s="119">
        <f t="shared" si="197"/>
        <v>210</v>
      </c>
      <c r="J125" s="29">
        <f t="shared" si="198"/>
        <v>4.0010373654841063</v>
      </c>
      <c r="K125" s="6" t="str">
        <f>IF(U125="Yes",UPPER(IF(ISNUMBER(SEARCH("winding",VLOOKUP(CONCATENATE(P125,Q125,S125,E125),TIM[[Limiting Equipment Reference-PTX]:[Summ Equipment]],7,0))),"Power Transformer Rating at "&amp;ROUND(E125*S125*SQRT(3)/1000,2)&amp;" MVA",VLOOKUP(CONCATENATE(P125,Q125,S125,E125),TIM[[Limiting Equipment Reference-No PTX]:[Summ Equipment]],8,0))),UPPER(VLOOKUP(CONCATENATE(P125,Q125,S125,E125),TIM[[Limiting Equipment Reference-No PTX]:[Summ Equipment]],8,0)))</f>
        <v>CABLE-3C 185MM² AL XLPE HDPE</v>
      </c>
      <c r="L125" s="146" t="s">
        <v>1267</v>
      </c>
      <c r="M125" s="509" t="s">
        <v>1266</v>
      </c>
      <c r="O125" s="118" t="str">
        <f t="shared" si="209"/>
        <v>GRM-CB7</v>
      </c>
      <c r="P125" s="49" t="s">
        <v>1276</v>
      </c>
      <c r="Q125" s="49" t="s">
        <v>187</v>
      </c>
      <c r="R125" s="386"/>
      <c r="S125" s="43">
        <v>11</v>
      </c>
      <c r="T125" s="146" t="s">
        <v>1266</v>
      </c>
      <c r="U125" s="146" t="s">
        <v>1266</v>
      </c>
      <c r="V125" s="487"/>
      <c r="X125" s="498" t="s">
        <v>512</v>
      </c>
      <c r="Y125" s="431" t="s">
        <v>2759</v>
      </c>
      <c r="Z125" s="432">
        <v>196</v>
      </c>
      <c r="AA125" s="441" t="str">
        <f t="shared" si="199"/>
        <v>p</v>
      </c>
      <c r="AB125" s="134">
        <f t="shared" si="200"/>
        <v>39.903999999999996</v>
      </c>
      <c r="AC125" s="134">
        <f t="shared" si="201"/>
        <v>0.76027330967751316</v>
      </c>
      <c r="AD125" s="134">
        <f t="shared" si="202"/>
        <v>0</v>
      </c>
      <c r="AE125" s="134">
        <f t="shared" si="203"/>
        <v>0</v>
      </c>
      <c r="AF125" s="432">
        <v>300</v>
      </c>
      <c r="AG125" s="436" t="str">
        <f t="shared" si="204"/>
        <v>p</v>
      </c>
      <c r="AH125" s="134">
        <f t="shared" si="205"/>
        <v>4</v>
      </c>
      <c r="AI125" s="134">
        <f t="shared" si="206"/>
        <v>7.6210235533030593E-2</v>
      </c>
      <c r="AJ125" s="134">
        <f t="shared" si="207"/>
        <v>0</v>
      </c>
      <c r="AK125" s="134">
        <f t="shared" si="208"/>
        <v>0</v>
      </c>
      <c r="AL125" s="470" t="s">
        <v>1266</v>
      </c>
    </row>
    <row r="126" spans="1:39" hidden="1" x14ac:dyDescent="0.25">
      <c r="B126" s="124" t="s">
        <v>522</v>
      </c>
      <c r="C126" s="168" t="s">
        <v>2766</v>
      </c>
      <c r="D126" s="119">
        <f t="shared" si="194"/>
        <v>11</v>
      </c>
      <c r="E126" s="370">
        <f t="array" ref="E126">IF(U126="YES",IF(T126="YES",MIN(IF(TIM[Load Capability Reference]=CONCATENATE(P126,Q126,S126,R126),TIM[Lowest A-PTX])),MIN(IF(TIM[Load Capability Reference]=CONCATENATE(P126,Q126,S126,R126),IF(TIM[Equipment ID]&lt;&gt;O126,TIM[Lowest A-PTX])))),IF(T126="YES",MIN(IF(TIM[Load Capability Reference]=CONCATENATE(P126,Q126,S126,R126),TIM[Lowest A-No PTX])),MIN(IF(TIM[Load Capability Reference]=CONCATENATE(P126,Q126,S126,R126),IF(TIM[Equipment ID]&lt;&gt;O126,TIM[Lowest A-No PTX])))))</f>
        <v>412.56599999999986</v>
      </c>
      <c r="F126" s="119">
        <f>IFERROR(IFERROR(VLOOKUP(CONCATENATE(P126,Q126,O126,S126,"Protection"),TIM[[OC Protection Reference]:[Forward A]],23,0),VLOOKUP(O126,AEL_Protection_Data[],12,0)),"N/A")</f>
        <v>600</v>
      </c>
      <c r="G126" s="119">
        <f t="shared" ref="G126:G130" si="210">IFERROR(FLOOR(MIN(E126:F126)*$D$3,5),"")</f>
        <v>330</v>
      </c>
      <c r="H126" s="29">
        <f t="shared" ref="H126:H130" si="211">G126*S126*SQRT(3)/1000</f>
        <v>6.2873444314750238</v>
      </c>
      <c r="I126" s="119">
        <f t="shared" ref="I126:I130" si="212">IFERROR(FLOOR(MIN(E126:F126)*$D$2,5),"")</f>
        <v>370</v>
      </c>
      <c r="J126" s="29">
        <f t="shared" ref="J126:J130" si="213">I126*S126*SQRT(3)/1000</f>
        <v>7.0494467868053299</v>
      </c>
      <c r="K126" s="6" t="str">
        <f>IF(U126="Yes",UPPER(IF(ISNUMBER(SEARCH("winding",VLOOKUP(CONCATENATE(P126,Q126,S126,E126),TIM[[Limiting Equipment Reference-PTX]:[Summ Equipment]],7,0))),"Power Transformer Rating at "&amp;ROUND(E126*S126*SQRT(3)/1000,2)&amp;" MVA",VLOOKUP(CONCATENATE(P126,Q126,S126,E126),TIM[[Limiting Equipment Reference-No PTX]:[Summ Equipment]],8,0))),UPPER(VLOOKUP(CONCATENATE(P126,Q126,S126,E126),TIM[[Limiting Equipment Reference-No PTX]:[Summ Equipment]],8,0)))</f>
        <v>CABLE-3C 400MM² CU PILC SWA</v>
      </c>
      <c r="L126" s="146" t="s">
        <v>1267</v>
      </c>
      <c r="M126" s="509" t="s">
        <v>1266</v>
      </c>
      <c r="O126" s="118" t="str">
        <f t="shared" si="209"/>
        <v>GRM-CB8</v>
      </c>
      <c r="P126" s="49" t="s">
        <v>1245</v>
      </c>
      <c r="Q126" s="49" t="s">
        <v>1319</v>
      </c>
      <c r="R126" s="386"/>
      <c r="S126" s="43">
        <v>11</v>
      </c>
      <c r="T126" s="146" t="s">
        <v>1266</v>
      </c>
      <c r="U126" s="146" t="s">
        <v>1266</v>
      </c>
      <c r="V126" s="487"/>
      <c r="X126" s="498" t="s">
        <v>522</v>
      </c>
      <c r="Y126" s="431" t="s">
        <v>2905</v>
      </c>
      <c r="Z126" s="432">
        <v>550</v>
      </c>
      <c r="AA126" s="443" t="str">
        <f t="shared" si="199"/>
        <v>q</v>
      </c>
      <c r="AB126" s="134">
        <f t="shared" si="200"/>
        <v>0</v>
      </c>
      <c r="AC126" s="134">
        <f t="shared" si="201"/>
        <v>0</v>
      </c>
      <c r="AD126" s="134">
        <f t="shared" si="202"/>
        <v>137.43400000000014</v>
      </c>
      <c r="AE126" s="134">
        <f t="shared" si="203"/>
        <v>2.6184693775616341</v>
      </c>
      <c r="AF126" s="432">
        <v>600</v>
      </c>
      <c r="AG126" s="436" t="str">
        <f t="shared" si="204"/>
        <v>u</v>
      </c>
      <c r="AH126" s="134">
        <f t="shared" si="205"/>
        <v>0</v>
      </c>
      <c r="AI126" s="134">
        <f t="shared" si="206"/>
        <v>0</v>
      </c>
      <c r="AJ126" s="134">
        <f t="shared" si="207"/>
        <v>0</v>
      </c>
      <c r="AK126" s="134">
        <f t="shared" si="208"/>
        <v>0</v>
      </c>
      <c r="AL126" s="470" t="s">
        <v>1266</v>
      </c>
    </row>
    <row r="127" spans="1:39" x14ac:dyDescent="0.25">
      <c r="B127" s="124" t="s">
        <v>526</v>
      </c>
      <c r="C127" s="168" t="s">
        <v>2767</v>
      </c>
      <c r="D127" s="119">
        <f t="shared" si="194"/>
        <v>11</v>
      </c>
      <c r="E127" s="370">
        <v>115</v>
      </c>
      <c r="F127" s="119">
        <f>IFERROR(IFERROR(VLOOKUP(CONCATENATE(P127,Q127,O127,S127,"Protection"),TIM[[OC Protection Reference]:[Forward A]],23,0),VLOOKUP(O127,AEL_Protection_Data[],12,0)),"N/A")</f>
        <v>400</v>
      </c>
      <c r="G127" s="119">
        <f t="shared" si="210"/>
        <v>90</v>
      </c>
      <c r="H127" s="29">
        <f t="shared" si="211"/>
        <v>1.7147302994931883</v>
      </c>
      <c r="I127" s="119">
        <f t="shared" si="212"/>
        <v>100</v>
      </c>
      <c r="J127" s="29">
        <f t="shared" si="213"/>
        <v>1.9052558883257651</v>
      </c>
      <c r="K127" s="6" t="s">
        <v>2992</v>
      </c>
      <c r="L127" s="146" t="s">
        <v>1267</v>
      </c>
      <c r="M127" s="509" t="s">
        <v>1266</v>
      </c>
      <c r="O127" s="118" t="str">
        <f t="shared" si="209"/>
        <v>GRM-CB9</v>
      </c>
      <c r="P127" s="49" t="s">
        <v>1245</v>
      </c>
      <c r="Q127" s="49" t="s">
        <v>1330</v>
      </c>
      <c r="R127" s="386"/>
      <c r="S127" s="43">
        <v>11</v>
      </c>
      <c r="T127" s="146" t="s">
        <v>1266</v>
      </c>
      <c r="U127" s="146" t="s">
        <v>1266</v>
      </c>
      <c r="V127" s="487"/>
      <c r="X127" s="498" t="s">
        <v>526</v>
      </c>
      <c r="Y127" s="431" t="s">
        <v>2767</v>
      </c>
      <c r="Z127" s="432">
        <v>300</v>
      </c>
      <c r="AA127" s="443" t="str">
        <f t="shared" si="199"/>
        <v>q</v>
      </c>
      <c r="AB127" s="134">
        <f t="shared" si="200"/>
        <v>0</v>
      </c>
      <c r="AC127" s="134">
        <f t="shared" si="201"/>
        <v>0</v>
      </c>
      <c r="AD127" s="134">
        <f t="shared" si="202"/>
        <v>185</v>
      </c>
      <c r="AE127" s="134">
        <f t="shared" si="203"/>
        <v>3.5247233934026649</v>
      </c>
      <c r="AF127" s="432">
        <v>400</v>
      </c>
      <c r="AG127" s="436" t="str">
        <f t="shared" si="204"/>
        <v>u</v>
      </c>
      <c r="AH127" s="134">
        <f t="shared" si="205"/>
        <v>0</v>
      </c>
      <c r="AI127" s="134">
        <f t="shared" si="206"/>
        <v>0</v>
      </c>
      <c r="AJ127" s="134">
        <f t="shared" si="207"/>
        <v>0</v>
      </c>
      <c r="AK127" s="134">
        <f t="shared" si="208"/>
        <v>0</v>
      </c>
      <c r="AL127" s="470" t="s">
        <v>1266</v>
      </c>
    </row>
    <row r="128" spans="1:39" hidden="1" x14ac:dyDescent="0.25">
      <c r="B128" s="123" t="s">
        <v>1763</v>
      </c>
      <c r="C128" s="6" t="s">
        <v>2768</v>
      </c>
      <c r="D128" s="119">
        <f t="shared" si="194"/>
        <v>11</v>
      </c>
      <c r="E128" s="370">
        <f t="array" ref="E128">IF(U128="YES",IF(T128="YES",MIN(IF(TIM[Load Capability Reference]=CONCATENATE(P128,Q128,S128,R128),TIM[Lowest A-PTX])),MIN(IF(TIM[Load Capability Reference]=CONCATENATE(P128,Q128,S128,R128),IF(TIM[Equipment ID]&lt;&gt;O128,TIM[Lowest A-PTX])))),IF(T128="YES",MIN(IF(TIM[Load Capability Reference]=CONCATENATE(P128,Q128,S128,R128),TIM[Lowest A-No PTX])),MIN(IF(TIM[Load Capability Reference]=CONCATENATE(P128,Q128,S128,R128),IF(TIM[Equipment ID]&lt;&gt;O128,TIM[Lowest A-No PTX])))))</f>
        <v>201.4</v>
      </c>
      <c r="F128" s="119">
        <f>IFERROR(IFERROR(VLOOKUP(CONCATENATE(P128,Q128,O128,S128,"Protection"),TIM[[OC Protection Reference]:[Forward A]],23,0),VLOOKUP(O128,AEL_Protection_Data[],12,0)),"N/A")</f>
        <v>304</v>
      </c>
      <c r="G128" s="119">
        <f t="shared" si="210"/>
        <v>160</v>
      </c>
      <c r="H128" s="29">
        <f t="shared" si="211"/>
        <v>3.0484094213212236</v>
      </c>
      <c r="I128" s="119">
        <f t="shared" si="212"/>
        <v>180</v>
      </c>
      <c r="J128" s="29">
        <f t="shared" si="213"/>
        <v>3.4294605989863767</v>
      </c>
      <c r="K128" s="6" t="str">
        <f>IF(U128="Yes",UPPER(IF(ISNUMBER(SEARCH("winding",VLOOKUP(CONCATENATE(P128,Q128,S128,E128),TIM[[Limiting Equipment Reference-PTX]:[Summ Equipment]],7,0))),"Power Transformer Rating at "&amp;ROUND(E128*S128*SQRT(3)/1000,2)&amp;" MVA",VLOOKUP(CONCATENATE(P128,Q128,S128,E128),TIM[[Limiting Equipment Reference-No PTX]:[Summ Equipment]],8,0))),UPPER(VLOOKUP(CONCATENATE(P128,Q128,S128,E128),TIM[[Limiting Equipment Reference-No PTX]:[Summ Equipment]],8,0)))</f>
        <v>CABLE-3C 0.25IN² AL PILC STAS</v>
      </c>
      <c r="L128" s="146" t="s">
        <v>1267</v>
      </c>
      <c r="M128" s="509" t="s">
        <v>1266</v>
      </c>
      <c r="O128" s="118" t="str">
        <f t="shared" si="209"/>
        <v>GRM-CB10</v>
      </c>
      <c r="P128" s="49" t="s">
        <v>1276</v>
      </c>
      <c r="Q128" s="49" t="s">
        <v>189</v>
      </c>
      <c r="R128" s="386"/>
      <c r="S128" s="43">
        <v>11</v>
      </c>
      <c r="T128" s="146" t="s">
        <v>1266</v>
      </c>
      <c r="U128" s="146" t="s">
        <v>1266</v>
      </c>
      <c r="V128" s="487"/>
      <c r="X128" s="499" t="s">
        <v>1763</v>
      </c>
      <c r="Y128" s="431" t="s">
        <v>2768</v>
      </c>
      <c r="Z128" s="432">
        <v>196</v>
      </c>
      <c r="AA128" s="443" t="str">
        <f t="shared" si="199"/>
        <v>p</v>
      </c>
      <c r="AB128" s="134">
        <f t="shared" si="200"/>
        <v>5.4000000000000057</v>
      </c>
      <c r="AC128" s="134">
        <f t="shared" si="201"/>
        <v>0.10288381796959142</v>
      </c>
      <c r="AD128" s="134">
        <f t="shared" si="202"/>
        <v>0</v>
      </c>
      <c r="AE128" s="134">
        <f t="shared" si="203"/>
        <v>0</v>
      </c>
      <c r="AF128" s="432">
        <v>300</v>
      </c>
      <c r="AG128" s="436" t="str">
        <f t="shared" si="204"/>
        <v>p</v>
      </c>
      <c r="AH128" s="134">
        <f t="shared" si="205"/>
        <v>4</v>
      </c>
      <c r="AI128" s="134">
        <f t="shared" si="206"/>
        <v>7.6210235533030593E-2</v>
      </c>
      <c r="AJ128" s="134">
        <f t="shared" si="207"/>
        <v>0</v>
      </c>
      <c r="AK128" s="134">
        <f t="shared" si="208"/>
        <v>0</v>
      </c>
      <c r="AL128" s="470" t="s">
        <v>1266</v>
      </c>
    </row>
    <row r="129" spans="2:39" hidden="1" x14ac:dyDescent="0.25">
      <c r="B129" s="124" t="s">
        <v>610</v>
      </c>
      <c r="C129" s="168" t="s">
        <v>2769</v>
      </c>
      <c r="D129" s="119">
        <f t="shared" si="194"/>
        <v>11</v>
      </c>
      <c r="E129" s="370">
        <f t="array" ref="E129">IF(U129="YES",IF(T129="YES",MIN(IF(TIM[Load Capability Reference]=CONCATENATE(P129,Q129,S129,R129),TIM[Lowest A-PTX])),MIN(IF(TIM[Load Capability Reference]=CONCATENATE(P129,Q129,S129,R129),IF(TIM[Equipment ID]&lt;&gt;O129,TIM[Lowest A-PTX])))),IF(T129="YES",MIN(IF(TIM[Load Capability Reference]=CONCATENATE(P129,Q129,S129,R129),TIM[Lowest A-No PTX])),MIN(IF(TIM[Load Capability Reference]=CONCATENATE(P129,Q129,S129,R129),IF(TIM[Equipment ID]&lt;&gt;O129,TIM[Lowest A-No PTX])))))</f>
        <v>176.10662999999997</v>
      </c>
      <c r="F129" s="119">
        <f>IFERROR(IFERROR(VLOOKUP(CONCATENATE(P129,Q129,O129,S129,"Protection"),TIM[[OC Protection Reference]:[Forward A]],23,0),VLOOKUP(O129,AEL_Protection_Data[],12,0)),"N/A")</f>
        <v>304</v>
      </c>
      <c r="G129" s="119">
        <f t="shared" si="210"/>
        <v>140</v>
      </c>
      <c r="H129" s="29">
        <f t="shared" si="211"/>
        <v>2.667358243656071</v>
      </c>
      <c r="I129" s="119">
        <f t="shared" si="212"/>
        <v>155</v>
      </c>
      <c r="J129" s="29">
        <f t="shared" si="213"/>
        <v>2.9531466269049358</v>
      </c>
      <c r="K129" s="6" t="str">
        <f>IF(U129="Yes",UPPER(IF(ISNUMBER(SEARCH("winding",VLOOKUP(CONCATENATE(P129,Q129,S129,E129),TIM[[Limiting Equipment Reference-PTX]:[Summ Equipment]],7,0))),"Power Transformer Rating at "&amp;ROUND(E129*S129*SQRT(3)/1000,2)&amp;" MVA",VLOOKUP(CONCATENATE(P129,Q129,S129,E129),TIM[[Limiting Equipment Reference-No PTX]:[Summ Equipment]],8,0))),UPPER(VLOOKUP(CONCATENATE(P129,Q129,S129,E129),TIM[[Limiting Equipment Reference-No PTX]:[Summ Equipment]],8,0)))</f>
        <v>CABLE-3C 300MM² AL PILC</v>
      </c>
      <c r="L129" s="146" t="s">
        <v>1267</v>
      </c>
      <c r="M129" s="509" t="s">
        <v>1266</v>
      </c>
      <c r="O129" s="118" t="str">
        <f t="shared" si="209"/>
        <v>GRM-CB12</v>
      </c>
      <c r="P129" s="49" t="s">
        <v>1276</v>
      </c>
      <c r="Q129" s="49" t="s">
        <v>191</v>
      </c>
      <c r="R129" s="386"/>
      <c r="S129" s="43">
        <v>11</v>
      </c>
      <c r="T129" s="146" t="s">
        <v>1266</v>
      </c>
      <c r="U129" s="146" t="s">
        <v>1266</v>
      </c>
      <c r="V129" s="487"/>
      <c r="X129" s="498" t="s">
        <v>610</v>
      </c>
      <c r="Y129" s="431" t="s">
        <v>2769</v>
      </c>
      <c r="Z129" s="432">
        <v>152</v>
      </c>
      <c r="AA129" s="443" t="str">
        <f t="shared" si="199"/>
        <v>p</v>
      </c>
      <c r="AB129" s="134">
        <f t="shared" si="200"/>
        <v>24.106629999999967</v>
      </c>
      <c r="AC129" s="134">
        <f t="shared" si="201"/>
        <v>0.45929298755190467</v>
      </c>
      <c r="AD129" s="134">
        <f t="shared" si="202"/>
        <v>0</v>
      </c>
      <c r="AE129" s="134">
        <f t="shared" si="203"/>
        <v>0</v>
      </c>
      <c r="AF129" s="432">
        <v>300</v>
      </c>
      <c r="AG129" s="436" t="str">
        <f t="shared" si="204"/>
        <v>p</v>
      </c>
      <c r="AH129" s="134">
        <f t="shared" si="205"/>
        <v>4</v>
      </c>
      <c r="AI129" s="134">
        <f t="shared" si="206"/>
        <v>7.6210235533030593E-2</v>
      </c>
      <c r="AJ129" s="134">
        <f t="shared" si="207"/>
        <v>0</v>
      </c>
      <c r="AK129" s="134">
        <f t="shared" si="208"/>
        <v>0</v>
      </c>
      <c r="AL129" s="470" t="s">
        <v>1266</v>
      </c>
    </row>
    <row r="130" spans="2:39" hidden="1" x14ac:dyDescent="0.25">
      <c r="B130" s="124" t="s">
        <v>611</v>
      </c>
      <c r="C130" s="168" t="s">
        <v>2770</v>
      </c>
      <c r="D130" s="119">
        <f t="shared" si="194"/>
        <v>11</v>
      </c>
      <c r="E130" s="370">
        <f t="array" ref="E130">IF(U130="YES",IF(T130="YES",MIN(IF(TIM[Load Capability Reference]=CONCATENATE(P130,Q130,S130,R130),TIM[Lowest A-PTX])),MIN(IF(TIM[Load Capability Reference]=CONCATENATE(P130,Q130,S130,R130),IF(TIM[Equipment ID]&lt;&gt;O130,TIM[Lowest A-PTX])))),IF(T130="YES",MIN(IF(TIM[Load Capability Reference]=CONCATENATE(P130,Q130,S130,R130),TIM[Lowest A-No PTX])),MIN(IF(TIM[Load Capability Reference]=CONCATENATE(P130,Q130,S130,R130),IF(TIM[Equipment ID]&lt;&gt;O130,TIM[Lowest A-No PTX])))))</f>
        <v>297.464</v>
      </c>
      <c r="F130" s="119">
        <f>IFERROR(IFERROR(VLOOKUP(CONCATENATE(P130,Q130,O130,S130,"Protection"),TIM[[OC Protection Reference]:[Forward A]],23,0),VLOOKUP(O130,AEL_Protection_Data[],12,0)),"N/A")</f>
        <v>400</v>
      </c>
      <c r="G130" s="119">
        <f t="shared" si="210"/>
        <v>235</v>
      </c>
      <c r="H130" s="29">
        <f t="shared" si="211"/>
        <v>4.4773513375655476</v>
      </c>
      <c r="I130" s="119">
        <f t="shared" si="212"/>
        <v>265</v>
      </c>
      <c r="J130" s="29">
        <f t="shared" si="213"/>
        <v>5.0489281040632772</v>
      </c>
      <c r="K130" s="6" t="str">
        <f>IF(U130="Yes",UPPER(IF(ISNUMBER(SEARCH("winding",VLOOKUP(CONCATENATE(P130,Q130,S130,E130),TIM[[Limiting Equipment Reference-PTX]:[Summ Equipment]],7,0))),"Power Transformer Rating at "&amp;ROUND(E130*S130*SQRT(3)/1000,2)&amp;" MVA",VLOOKUP(CONCATENATE(P130,Q130,S130,E130),TIM[[Limiting Equipment Reference-No PTX]:[Summ Equipment]],8,0))),UPPER(VLOOKUP(CONCATENATE(P130,Q130,S130,E130),TIM[[Limiting Equipment Reference-No PTX]:[Summ Equipment]],8,0)))</f>
        <v>CABLE-3C 0.3IN² CU PILC STAS</v>
      </c>
      <c r="L130" s="146" t="s">
        <v>1267</v>
      </c>
      <c r="M130" s="509" t="s">
        <v>1266</v>
      </c>
      <c r="O130" s="118" t="str">
        <f t="shared" si="209"/>
        <v>GRM-CB13</v>
      </c>
      <c r="P130" s="49" t="s">
        <v>1245</v>
      </c>
      <c r="Q130" s="49" t="s">
        <v>1329</v>
      </c>
      <c r="R130" s="386"/>
      <c r="S130" s="43">
        <v>11</v>
      </c>
      <c r="T130" s="146" t="s">
        <v>1266</v>
      </c>
      <c r="U130" s="146" t="s">
        <v>1266</v>
      </c>
      <c r="V130" s="487"/>
      <c r="X130" s="498" t="s">
        <v>611</v>
      </c>
      <c r="Y130" s="431" t="s">
        <v>2770</v>
      </c>
      <c r="Z130" s="432">
        <v>300</v>
      </c>
      <c r="AA130" s="443" t="str">
        <f t="shared" si="199"/>
        <v>q</v>
      </c>
      <c r="AB130" s="134">
        <f t="shared" si="200"/>
        <v>0</v>
      </c>
      <c r="AC130" s="134">
        <f t="shared" si="201"/>
        <v>0</v>
      </c>
      <c r="AD130" s="134">
        <f t="shared" si="202"/>
        <v>2.5360000000000014</v>
      </c>
      <c r="AE130" s="134">
        <f t="shared" si="203"/>
        <v>4.8317289327941423E-2</v>
      </c>
      <c r="AF130" s="432">
        <v>400</v>
      </c>
      <c r="AG130" s="436" t="str">
        <f t="shared" si="204"/>
        <v>u</v>
      </c>
      <c r="AH130" s="134">
        <f t="shared" si="205"/>
        <v>0</v>
      </c>
      <c r="AI130" s="134">
        <f t="shared" si="206"/>
        <v>0</v>
      </c>
      <c r="AJ130" s="134">
        <f t="shared" si="207"/>
        <v>0</v>
      </c>
      <c r="AK130" s="134">
        <f t="shared" si="208"/>
        <v>0</v>
      </c>
      <c r="AL130" s="470" t="s">
        <v>1266</v>
      </c>
    </row>
    <row r="131" spans="2:39" hidden="1" x14ac:dyDescent="0.25">
      <c r="B131" s="124" t="s">
        <v>1594</v>
      </c>
      <c r="C131" s="168" t="s">
        <v>2771</v>
      </c>
      <c r="D131" s="119">
        <f t="shared" si="194"/>
        <v>11</v>
      </c>
      <c r="E131" s="370">
        <f t="array" ref="E131">IF(U131="YES",IF(T131="YES",MIN(IF(TIM[Load Capability Reference]=CONCATENATE(P131,Q131,S131,R131),TIM[Lowest A-PTX])),MIN(IF(TIM[Load Capability Reference]=CONCATENATE(P131,Q131,S131,R131),IF(TIM[Equipment ID]&lt;&gt;O131,TIM[Lowest A-PTX])))),IF(T131="YES",MIN(IF(TIM[Load Capability Reference]=CONCATENATE(P131,Q131,S131,R131),TIM[Lowest A-No PTX])),MIN(IF(TIM[Load Capability Reference]=CONCATENATE(P131,Q131,S131,R131),IF(TIM[Equipment ID]&lt;&gt;O131,TIM[Lowest A-No PTX])))))</f>
        <v>412.56599999999986</v>
      </c>
      <c r="F131" s="119">
        <f>IFERROR(IFERROR(VLOOKUP(CONCATENATE(P131,Q131,O131,S131,"Protection"),TIM[[OC Protection Reference]:[Forward A]],23,0),VLOOKUP(O131,AEL_Protection_Data[],12,0)),"N/A")</f>
        <v>600</v>
      </c>
      <c r="G131" s="119">
        <f t="shared" si="195"/>
        <v>330</v>
      </c>
      <c r="H131" s="29">
        <f t="shared" si="196"/>
        <v>6.2873444314750238</v>
      </c>
      <c r="I131" s="119">
        <f t="shared" si="197"/>
        <v>370</v>
      </c>
      <c r="J131" s="29">
        <f t="shared" si="198"/>
        <v>7.0494467868053299</v>
      </c>
      <c r="K131" s="6" t="str">
        <f>IF(U131="Yes",UPPER(IF(ISNUMBER(SEARCH("winding",VLOOKUP(CONCATENATE(P131,Q131,S131,E131),TIM[[Limiting Equipment Reference-PTX]:[Summ Equipment]],7,0))),"Power Transformer Rating at "&amp;ROUND(E131*S131*SQRT(3)/1000,2)&amp;" MVA",VLOOKUP(CONCATENATE(P131,Q131,S131,E131),TIM[[Limiting Equipment Reference-No PTX]:[Summ Equipment]],8,0))),UPPER(VLOOKUP(CONCATENATE(P131,Q131,S131,E131),TIM[[Limiting Equipment Reference-No PTX]:[Summ Equipment]],8,0)))</f>
        <v>CABLE-3C 400MM² CU PILC SWA</v>
      </c>
      <c r="L131" s="146" t="s">
        <v>1267</v>
      </c>
      <c r="M131" s="509" t="s">
        <v>1266</v>
      </c>
      <c r="O131" s="118" t="str">
        <f t="shared" si="209"/>
        <v>GRM-CB14</v>
      </c>
      <c r="P131" s="49" t="s">
        <v>1245</v>
      </c>
      <c r="Q131" s="49" t="s">
        <v>1320</v>
      </c>
      <c r="R131" s="386"/>
      <c r="S131" s="43">
        <v>11</v>
      </c>
      <c r="T131" s="146" t="s">
        <v>1266</v>
      </c>
      <c r="U131" s="146" t="s">
        <v>1266</v>
      </c>
      <c r="V131" s="487"/>
      <c r="X131" s="498" t="s">
        <v>1594</v>
      </c>
      <c r="Y131" s="431" t="s">
        <v>2907</v>
      </c>
      <c r="Z131" s="432">
        <v>550</v>
      </c>
      <c r="AA131" s="443" t="str">
        <f t="shared" si="199"/>
        <v>q</v>
      </c>
      <c r="AB131" s="134">
        <f t="shared" si="200"/>
        <v>0</v>
      </c>
      <c r="AC131" s="134">
        <f t="shared" si="201"/>
        <v>0</v>
      </c>
      <c r="AD131" s="134">
        <f t="shared" si="202"/>
        <v>137.43400000000014</v>
      </c>
      <c r="AE131" s="134">
        <f t="shared" si="203"/>
        <v>2.6184693775616341</v>
      </c>
      <c r="AF131" s="432">
        <v>600</v>
      </c>
      <c r="AG131" s="436" t="str">
        <f t="shared" si="204"/>
        <v>u</v>
      </c>
      <c r="AH131" s="134">
        <f t="shared" si="205"/>
        <v>0</v>
      </c>
      <c r="AI131" s="134">
        <f t="shared" si="206"/>
        <v>0</v>
      </c>
      <c r="AJ131" s="134">
        <f t="shared" si="207"/>
        <v>0</v>
      </c>
      <c r="AK131" s="134">
        <f t="shared" si="208"/>
        <v>0</v>
      </c>
      <c r="AL131" s="470" t="s">
        <v>1266</v>
      </c>
    </row>
    <row r="132" spans="2:39" hidden="1" x14ac:dyDescent="0.25">
      <c r="B132" s="124" t="s">
        <v>1596</v>
      </c>
      <c r="C132" s="168" t="s">
        <v>2772</v>
      </c>
      <c r="D132" s="119">
        <f t="shared" si="194"/>
        <v>11</v>
      </c>
      <c r="E132" s="370">
        <f t="array" ref="E132">IF(U132="YES",IF(T132="YES",MIN(IF(TIM[Load Capability Reference]=CONCATENATE(P132,Q132,S132,R132),TIM[Lowest A-PTX])),MIN(IF(TIM[Load Capability Reference]=CONCATENATE(P132,Q132,S132,R132),IF(TIM[Equipment ID]&lt;&gt;O132,TIM[Lowest A-PTX])))),IF(T132="YES",MIN(IF(TIM[Load Capability Reference]=CONCATENATE(P132,Q132,S132,R132),TIM[Lowest A-No PTX])),MIN(IF(TIM[Load Capability Reference]=CONCATENATE(P132,Q132,S132,R132),IF(TIM[Equipment ID]&lt;&gt;O132,TIM[Lowest A-No PTX])))))</f>
        <v>172.61936999999995</v>
      </c>
      <c r="F132" s="119">
        <f>IFERROR(IFERROR(VLOOKUP(CONCATENATE(P132,Q132,O132,S132,"Protection"),TIM[[OC Protection Reference]:[Forward A]],23,0),VLOOKUP(O132,AEL_Protection_Data[],12,0)),"N/A")</f>
        <v>304</v>
      </c>
      <c r="G132" s="119">
        <f t="shared" si="195"/>
        <v>135</v>
      </c>
      <c r="H132" s="29">
        <f t="shared" si="196"/>
        <v>2.5720954492397827</v>
      </c>
      <c r="I132" s="119">
        <f t="shared" si="197"/>
        <v>155</v>
      </c>
      <c r="J132" s="29">
        <f t="shared" si="198"/>
        <v>2.9531466269049358</v>
      </c>
      <c r="K132" s="6" t="str">
        <f>IF(U132="Yes",UPPER(IF(ISNUMBER(SEARCH("winding",VLOOKUP(CONCATENATE(P132,Q132,S132,E132),TIM[[Limiting Equipment Reference-PTX]:[Summ Equipment]],7,0))),"Power Transformer Rating at "&amp;ROUND(E132*S132*SQRT(3)/1000,2)&amp;" MVA",VLOOKUP(CONCATENATE(P132,Q132,S132,E132),TIM[[Limiting Equipment Reference-No PTX]:[Summ Equipment]],8,0))),UPPER(VLOOKUP(CONCATENATE(P132,Q132,S132,E132),TIM[[Limiting Equipment Reference-No PTX]:[Summ Equipment]],8,0)))</f>
        <v>CABLE-3C 300MM² AL PILC SWA</v>
      </c>
      <c r="L132" s="146" t="s">
        <v>1267</v>
      </c>
      <c r="M132" s="509" t="s">
        <v>1266</v>
      </c>
      <c r="O132" s="118" t="str">
        <f t="shared" si="209"/>
        <v>GRM-CB15</v>
      </c>
      <c r="P132" s="49" t="s">
        <v>1276</v>
      </c>
      <c r="Q132" s="49" t="s">
        <v>193</v>
      </c>
      <c r="R132" s="386"/>
      <c r="S132" s="43">
        <v>11</v>
      </c>
      <c r="T132" s="146" t="s">
        <v>1266</v>
      </c>
      <c r="U132" s="146" t="s">
        <v>1266</v>
      </c>
      <c r="V132" s="487"/>
      <c r="X132" s="498" t="s">
        <v>1596</v>
      </c>
      <c r="Y132" s="431" t="s">
        <v>2772</v>
      </c>
      <c r="Z132" s="432">
        <v>165</v>
      </c>
      <c r="AA132" s="443" t="str">
        <f t="shared" si="199"/>
        <v>p</v>
      </c>
      <c r="AB132" s="134">
        <f t="shared" si="200"/>
        <v>7.6193699999999467</v>
      </c>
      <c r="AC132" s="134">
        <f t="shared" si="201"/>
        <v>0.14516849557832584</v>
      </c>
      <c r="AD132" s="134">
        <f t="shared" si="202"/>
        <v>0</v>
      </c>
      <c r="AE132" s="134">
        <f t="shared" si="203"/>
        <v>0</v>
      </c>
      <c r="AF132" s="432">
        <v>300</v>
      </c>
      <c r="AG132" s="436" t="str">
        <f t="shared" si="204"/>
        <v>p</v>
      </c>
      <c r="AH132" s="134">
        <f t="shared" si="205"/>
        <v>4</v>
      </c>
      <c r="AI132" s="134">
        <f t="shared" si="206"/>
        <v>7.6210235533030593E-2</v>
      </c>
      <c r="AJ132" s="134">
        <f t="shared" si="207"/>
        <v>0</v>
      </c>
      <c r="AK132" s="134">
        <f t="shared" si="208"/>
        <v>0</v>
      </c>
      <c r="AL132" s="470" t="s">
        <v>1266</v>
      </c>
    </row>
    <row r="133" spans="2:39" hidden="1" x14ac:dyDescent="0.25">
      <c r="B133" s="124" t="s">
        <v>1768</v>
      </c>
      <c r="C133" s="168" t="s">
        <v>2773</v>
      </c>
      <c r="D133" s="119">
        <f t="shared" si="194"/>
        <v>11</v>
      </c>
      <c r="E133" s="370">
        <f t="array" ref="E133">IF(U133="YES",IF(T133="YES",MIN(IF(TIM[Load Capability Reference]=CONCATENATE(P133,Q133,S133,R133),TIM[Lowest A-PTX])),MIN(IF(TIM[Load Capability Reference]=CONCATENATE(P133,Q133,S133,R133),IF(TIM[Equipment ID]&lt;&gt;O133,TIM[Lowest A-PTX])))),IF(T133="YES",MIN(IF(TIM[Load Capability Reference]=CONCATENATE(P133,Q133,S133,R133),TIM[Lowest A-No PTX])),MIN(IF(TIM[Load Capability Reference]=CONCATENATE(P133,Q133,S133,R133),IF(TIM[Equipment ID]&lt;&gt;O133,TIM[Lowest A-No PTX])))))</f>
        <v>167.96</v>
      </c>
      <c r="F133" s="119">
        <f>IFERROR(IFERROR(VLOOKUP(CONCATENATE(P133,Q133,O133,S133,"Protection"),TIM[[OC Protection Reference]:[Forward A]],23,0),VLOOKUP(O133,AEL_Protection_Data[],12,0)),"N/A")</f>
        <v>304</v>
      </c>
      <c r="G133" s="119">
        <f t="shared" si="195"/>
        <v>130</v>
      </c>
      <c r="H133" s="29">
        <f t="shared" si="196"/>
        <v>2.4768326548234945</v>
      </c>
      <c r="I133" s="119">
        <f t="shared" si="197"/>
        <v>150</v>
      </c>
      <c r="J133" s="29">
        <f t="shared" si="198"/>
        <v>2.8578838324886475</v>
      </c>
      <c r="K133" s="6" t="str">
        <f>IF(U133="Yes",UPPER(IF(ISNUMBER(SEARCH("winding",VLOOKUP(CONCATENATE(P133,Q133,S133,E133),TIM[[Limiting Equipment Reference-PTX]:[Summ Equipment]],7,0))),"Power Transformer Rating at "&amp;ROUND(E133*S133*SQRT(3)/1000,2)&amp;" MVA",VLOOKUP(CONCATENATE(P133,Q133,S133,E133),TIM[[Limiting Equipment Reference-No PTX]:[Summ Equipment]],8,0))),UPPER(VLOOKUP(CONCATENATE(P133,Q133,S133,E133),TIM[[Limiting Equipment Reference-No PTX]:[Summ Equipment]],8,0)))</f>
        <v>CABLE-3C 0.15IN² CU PILC STAS</v>
      </c>
      <c r="L133" s="146" t="s">
        <v>1267</v>
      </c>
      <c r="M133" s="509" t="s">
        <v>1266</v>
      </c>
      <c r="O133" s="118" t="str">
        <f t="shared" si="209"/>
        <v>GRM-CB16</v>
      </c>
      <c r="P133" s="49" t="s">
        <v>1276</v>
      </c>
      <c r="Q133" s="49" t="s">
        <v>195</v>
      </c>
      <c r="R133" s="386"/>
      <c r="S133" s="43">
        <v>11</v>
      </c>
      <c r="T133" s="146" t="s">
        <v>1266</v>
      </c>
      <c r="U133" s="146" t="s">
        <v>1266</v>
      </c>
      <c r="V133" s="487"/>
      <c r="X133" s="498" t="s">
        <v>1768</v>
      </c>
      <c r="Y133" s="431" t="s">
        <v>2773</v>
      </c>
      <c r="Z133" s="432">
        <v>170</v>
      </c>
      <c r="AA133" s="443" t="str">
        <f t="shared" si="199"/>
        <v>q</v>
      </c>
      <c r="AB133" s="134">
        <f t="shared" si="200"/>
        <v>0</v>
      </c>
      <c r="AC133" s="134">
        <f t="shared" si="201"/>
        <v>0</v>
      </c>
      <c r="AD133" s="134">
        <f t="shared" si="202"/>
        <v>2.039999999999992</v>
      </c>
      <c r="AE133" s="134">
        <f t="shared" si="203"/>
        <v>3.8867220121845458E-2</v>
      </c>
      <c r="AF133" s="432">
        <v>200</v>
      </c>
      <c r="AG133" s="436" t="str">
        <f t="shared" si="204"/>
        <v>p</v>
      </c>
      <c r="AH133" s="134">
        <f t="shared" si="205"/>
        <v>104</v>
      </c>
      <c r="AI133" s="134">
        <f t="shared" si="206"/>
        <v>1.9814661238587956</v>
      </c>
      <c r="AJ133" s="134">
        <f t="shared" si="207"/>
        <v>0</v>
      </c>
      <c r="AK133" s="134">
        <f t="shared" si="208"/>
        <v>0</v>
      </c>
      <c r="AL133" s="470" t="s">
        <v>1266</v>
      </c>
    </row>
    <row r="134" spans="2:39" hidden="1" x14ac:dyDescent="0.25">
      <c r="B134" s="124" t="s">
        <v>1770</v>
      </c>
      <c r="C134" s="168" t="s">
        <v>2774</v>
      </c>
      <c r="D134" s="119">
        <f t="shared" si="194"/>
        <v>11</v>
      </c>
      <c r="E134" s="370">
        <f t="array" ref="E134">IF(U134="YES",IF(T134="YES",MIN(IF(TIM[Load Capability Reference]=CONCATENATE(P134,Q134,S134,R134),TIM[Lowest A-PTX])),MIN(IF(TIM[Load Capability Reference]=CONCATENATE(P134,Q134,S134,R134),IF(TIM[Equipment ID]&lt;&gt;O134,TIM[Lowest A-PTX])))),IF(T134="YES",MIN(IF(TIM[Load Capability Reference]=CONCATENATE(P134,Q134,S134,R134),TIM[Lowest A-No PTX])),MIN(IF(TIM[Load Capability Reference]=CONCATENATE(P134,Q134,S134,R134),IF(TIM[Equipment ID]&lt;&gt;O134,TIM[Lowest A-No PTX])))))</f>
        <v>232.56</v>
      </c>
      <c r="F134" s="119">
        <f>IFERROR(IFERROR(VLOOKUP(CONCATENATE(P134,Q134,O134,S134,"Protection"),TIM[[OC Protection Reference]:[Forward A]],23,0),VLOOKUP(O134,AEL_Protection_Data[],12,0)),"N/A")</f>
        <v>304</v>
      </c>
      <c r="G134" s="119">
        <f t="shared" si="195"/>
        <v>185</v>
      </c>
      <c r="H134" s="29">
        <f t="shared" si="196"/>
        <v>3.5247233934026649</v>
      </c>
      <c r="I134" s="119">
        <f t="shared" si="197"/>
        <v>205</v>
      </c>
      <c r="J134" s="29">
        <f t="shared" si="198"/>
        <v>3.905774571067818</v>
      </c>
      <c r="K134" s="6" t="str">
        <f>IF(U134="Yes",UPPER(IF(ISNUMBER(SEARCH("winding",VLOOKUP(CONCATENATE(P134,Q134,S134,E134),TIM[[Limiting Equipment Reference-PTX]:[Summ Equipment]],7,0))),"Power Transformer Rating at "&amp;ROUND(E134*S134*SQRT(3)/1000,2)&amp;" MVA",VLOOKUP(CONCATENATE(P134,Q134,S134,E134),TIM[[Limiting Equipment Reference-No PTX]:[Summ Equipment]],8,0))),UPPER(VLOOKUP(CONCATENATE(P134,Q134,S134,E134),TIM[[Limiting Equipment Reference-No PTX]:[Summ Equipment]],8,0)))</f>
        <v>CABLE-3C 0.4IN² AL PILC SWA</v>
      </c>
      <c r="L134" s="146" t="s">
        <v>1267</v>
      </c>
      <c r="M134" s="509" t="s">
        <v>1266</v>
      </c>
      <c r="O134" s="118" t="str">
        <f t="shared" si="209"/>
        <v>GRM-CB17</v>
      </c>
      <c r="P134" s="49" t="s">
        <v>1276</v>
      </c>
      <c r="Q134" s="49" t="s">
        <v>197</v>
      </c>
      <c r="R134" s="386"/>
      <c r="S134" s="43">
        <v>11</v>
      </c>
      <c r="T134" s="146" t="s">
        <v>1266</v>
      </c>
      <c r="U134" s="146" t="s">
        <v>1266</v>
      </c>
      <c r="V134" s="487"/>
      <c r="X134" s="498" t="s">
        <v>1770</v>
      </c>
      <c r="Y134" s="431" t="s">
        <v>2774</v>
      </c>
      <c r="Z134" s="432">
        <v>224</v>
      </c>
      <c r="AA134" s="443" t="str">
        <f t="shared" si="199"/>
        <v>p</v>
      </c>
      <c r="AB134" s="134">
        <f t="shared" si="200"/>
        <v>8.5600000000000023</v>
      </c>
      <c r="AC134" s="134">
        <f t="shared" si="201"/>
        <v>0.16308990404068552</v>
      </c>
      <c r="AD134" s="134">
        <f t="shared" si="202"/>
        <v>0</v>
      </c>
      <c r="AE134" s="134">
        <f t="shared" si="203"/>
        <v>0</v>
      </c>
      <c r="AF134" s="432">
        <v>300</v>
      </c>
      <c r="AG134" s="436" t="str">
        <f t="shared" si="204"/>
        <v>p</v>
      </c>
      <c r="AH134" s="134">
        <f t="shared" si="205"/>
        <v>4</v>
      </c>
      <c r="AI134" s="134">
        <f t="shared" si="206"/>
        <v>7.6210235533030593E-2</v>
      </c>
      <c r="AJ134" s="134">
        <f t="shared" si="207"/>
        <v>0</v>
      </c>
      <c r="AK134" s="134">
        <f t="shared" si="208"/>
        <v>0</v>
      </c>
      <c r="AL134" s="470" t="s">
        <v>1266</v>
      </c>
    </row>
    <row r="135" spans="2:39" hidden="1" x14ac:dyDescent="0.25">
      <c r="B135" s="124" t="s">
        <v>1772</v>
      </c>
      <c r="C135" s="168" t="s">
        <v>2775</v>
      </c>
      <c r="D135" s="119">
        <f t="shared" ref="D135:D137" si="214">ROUNDDOWN(S135,0)</f>
        <v>11</v>
      </c>
      <c r="E135" s="370">
        <f t="array" ref="E135">IF(U135="YES",IF(T135="YES",MIN(IF(TIM[Load Capability Reference]=CONCATENATE(P135,Q135,S135,R135),TIM[Lowest A-PTX])),MIN(IF(TIM[Load Capability Reference]=CONCATENATE(P135,Q135,S135,R135),IF(TIM[Equipment ID]&lt;&gt;O135,TIM[Lowest A-PTX])))),IF(T135="YES",MIN(IF(TIM[Load Capability Reference]=CONCATENATE(P135,Q135,S135,R135),TIM[Lowest A-No PTX])),MIN(IF(TIM[Load Capability Reference]=CONCATENATE(P135,Q135,S135,R135),IF(TIM[Equipment ID]&lt;&gt;O135,TIM[Lowest A-No PTX])))))</f>
        <v>297.464</v>
      </c>
      <c r="F135" s="119">
        <f>IFERROR(IFERROR(VLOOKUP(CONCATENATE(P135,Q135,O135,S135,"Protection"),TIM[[OC Protection Reference]:[Forward A]],23,0),VLOOKUP(O135,AEL_Protection_Data[],12,0)),"N/A")</f>
        <v>400</v>
      </c>
      <c r="G135" s="119">
        <f t="shared" si="195"/>
        <v>235</v>
      </c>
      <c r="H135" s="29">
        <f t="shared" si="196"/>
        <v>4.4773513375655476</v>
      </c>
      <c r="I135" s="119">
        <f t="shared" si="197"/>
        <v>265</v>
      </c>
      <c r="J135" s="29">
        <f t="shared" si="198"/>
        <v>5.0489281040632772</v>
      </c>
      <c r="K135" s="6" t="str">
        <f>IF(U135="Yes",UPPER(IF(ISNUMBER(SEARCH("winding",VLOOKUP(CONCATENATE(P135,Q135,S135,E135),TIM[[Limiting Equipment Reference-PTX]:[Summ Equipment]],7,0))),"Power Transformer Rating at "&amp;ROUND(E135*S135*SQRT(3)/1000,2)&amp;" MVA",VLOOKUP(CONCATENATE(P135,Q135,S135,E135),TIM[[Limiting Equipment Reference-No PTX]:[Summ Equipment]],8,0))),UPPER(VLOOKUP(CONCATENATE(P135,Q135,S135,E135),TIM[[Limiting Equipment Reference-No PTX]:[Summ Equipment]],8,0)))</f>
        <v>CABLE-3C 0.3IN² CU PILC SWAS</v>
      </c>
      <c r="L135" s="146" t="s">
        <v>1267</v>
      </c>
      <c r="M135" s="509" t="s">
        <v>1266</v>
      </c>
      <c r="O135" s="118" t="str">
        <f t="shared" si="209"/>
        <v>GRM-CB18</v>
      </c>
      <c r="P135" s="49" t="s">
        <v>1245</v>
      </c>
      <c r="Q135" s="49" t="s">
        <v>1331</v>
      </c>
      <c r="R135" s="386"/>
      <c r="S135" s="43">
        <v>11</v>
      </c>
      <c r="T135" s="146" t="s">
        <v>1266</v>
      </c>
      <c r="U135" s="146" t="s">
        <v>1266</v>
      </c>
      <c r="V135" s="487"/>
      <c r="X135" s="498" t="s">
        <v>1772</v>
      </c>
      <c r="Y135" s="431" t="s">
        <v>2775</v>
      </c>
      <c r="Z135" s="432">
        <v>300</v>
      </c>
      <c r="AA135" s="443" t="str">
        <f t="shared" si="199"/>
        <v>q</v>
      </c>
      <c r="AB135" s="134">
        <f t="shared" si="200"/>
        <v>0</v>
      </c>
      <c r="AC135" s="134">
        <f t="shared" si="201"/>
        <v>0</v>
      </c>
      <c r="AD135" s="134">
        <f t="shared" si="202"/>
        <v>2.5360000000000014</v>
      </c>
      <c r="AE135" s="134">
        <f t="shared" si="203"/>
        <v>4.8317289327941423E-2</v>
      </c>
      <c r="AF135" s="432">
        <v>400</v>
      </c>
      <c r="AG135" s="436" t="str">
        <f t="shared" si="204"/>
        <v>u</v>
      </c>
      <c r="AH135" s="134">
        <f t="shared" si="205"/>
        <v>0</v>
      </c>
      <c r="AI135" s="134">
        <f t="shared" si="206"/>
        <v>0</v>
      </c>
      <c r="AJ135" s="134">
        <f t="shared" si="207"/>
        <v>0</v>
      </c>
      <c r="AK135" s="134">
        <f t="shared" si="208"/>
        <v>0</v>
      </c>
      <c r="AL135" s="470" t="s">
        <v>1266</v>
      </c>
    </row>
    <row r="136" spans="2:39" hidden="1" x14ac:dyDescent="0.25">
      <c r="B136" s="124" t="s">
        <v>1774</v>
      </c>
      <c r="C136" s="168" t="s">
        <v>2776</v>
      </c>
      <c r="D136" s="119">
        <f t="shared" si="214"/>
        <v>11</v>
      </c>
      <c r="E136" s="370">
        <f t="array" ref="E136">IF(U136="YES",IF(T136="YES",MIN(IF(TIM[Load Capability Reference]=CONCATENATE(P136,Q136,S136,R136),TIM[Lowest A-PTX])),MIN(IF(TIM[Load Capability Reference]=CONCATENATE(P136,Q136,S136,R136),IF(TIM[Equipment ID]&lt;&gt;O136,TIM[Lowest A-PTX])))),IF(T136="YES",MIN(IF(TIM[Load Capability Reference]=CONCATENATE(P136,Q136,S136,R136),TIM[Lowest A-No PTX])),MIN(IF(TIM[Load Capability Reference]=CONCATENATE(P136,Q136,S136,R136),IF(TIM[Equipment ID]&lt;&gt;O136,TIM[Lowest A-No PTX])))))</f>
        <v>412.56599999999986</v>
      </c>
      <c r="F136" s="119">
        <f>IFERROR(IFERROR(VLOOKUP(CONCATENATE(P136,Q136,O136,S136,"Protection"),TIM[[OC Protection Reference]:[Forward A]],23,0),VLOOKUP(O136,AEL_Protection_Data[],12,0)),"N/A")</f>
        <v>600</v>
      </c>
      <c r="G136" s="119">
        <f t="shared" si="195"/>
        <v>330</v>
      </c>
      <c r="H136" s="29">
        <f t="shared" si="196"/>
        <v>6.2873444314750238</v>
      </c>
      <c r="I136" s="119">
        <f t="shared" si="197"/>
        <v>370</v>
      </c>
      <c r="J136" s="29">
        <f t="shared" si="198"/>
        <v>7.0494467868053299</v>
      </c>
      <c r="K136" s="6" t="str">
        <f>IF(U136="Yes",UPPER(IF(ISNUMBER(SEARCH("winding",VLOOKUP(CONCATENATE(P136,Q136,S136,E136),TIM[[Limiting Equipment Reference-PTX]:[Summ Equipment]],7,0))),"Power Transformer Rating at "&amp;ROUND(E136*S136*SQRT(3)/1000,2)&amp;" MVA",VLOOKUP(CONCATENATE(P136,Q136,S136,E136),TIM[[Limiting Equipment Reference-No PTX]:[Summ Equipment]],8,0))),UPPER(VLOOKUP(CONCATENATE(P136,Q136,S136,E136),TIM[[Limiting Equipment Reference-No PTX]:[Summ Equipment]],8,0)))</f>
        <v>CABLE-3C 400MM² CU PILC SWA</v>
      </c>
      <c r="L136" s="146" t="s">
        <v>1267</v>
      </c>
      <c r="M136" s="509" t="s">
        <v>1266</v>
      </c>
      <c r="O136" s="118" t="str">
        <f t="shared" si="209"/>
        <v>GRM-CB19</v>
      </c>
      <c r="P136" s="49" t="s">
        <v>1245</v>
      </c>
      <c r="Q136" s="49" t="s">
        <v>1321</v>
      </c>
      <c r="R136" s="386"/>
      <c r="S136" s="43">
        <v>11</v>
      </c>
      <c r="T136" s="146" t="s">
        <v>1266</v>
      </c>
      <c r="U136" s="146" t="s">
        <v>1266</v>
      </c>
      <c r="V136" s="487"/>
      <c r="X136" s="498" t="s">
        <v>1774</v>
      </c>
      <c r="Y136" s="431" t="s">
        <v>2908</v>
      </c>
      <c r="Z136" s="432">
        <v>550</v>
      </c>
      <c r="AA136" s="443" t="str">
        <f t="shared" ref="AA136:AA139" si="215">IF(Z136&gt;E136,"q",IF(Z136&lt;E136,"p","u"))</f>
        <v>q</v>
      </c>
      <c r="AB136" s="134">
        <f t="shared" si="200"/>
        <v>0</v>
      </c>
      <c r="AC136" s="134">
        <f t="shared" si="201"/>
        <v>0</v>
      </c>
      <c r="AD136" s="134">
        <f t="shared" si="202"/>
        <v>137.43400000000014</v>
      </c>
      <c r="AE136" s="134">
        <f t="shared" si="203"/>
        <v>2.6184693775616341</v>
      </c>
      <c r="AF136" s="432">
        <v>600</v>
      </c>
      <c r="AG136" s="436" t="str">
        <f t="shared" ref="AG136:AG139" si="216">IF(AF136&gt;F136,"q",IF(AF136&lt;F136,"p","u"))</f>
        <v>u</v>
      </c>
      <c r="AH136" s="134">
        <f t="shared" si="205"/>
        <v>0</v>
      </c>
      <c r="AI136" s="134">
        <f t="shared" si="206"/>
        <v>0</v>
      </c>
      <c r="AJ136" s="134">
        <f t="shared" si="207"/>
        <v>0</v>
      </c>
      <c r="AK136" s="134">
        <f t="shared" si="208"/>
        <v>0</v>
      </c>
      <c r="AL136" s="470" t="s">
        <v>1266</v>
      </c>
    </row>
    <row r="137" spans="2:39" hidden="1" x14ac:dyDescent="0.25">
      <c r="B137" s="413" t="s">
        <v>1775</v>
      </c>
      <c r="C137" s="149" t="s">
        <v>2777</v>
      </c>
      <c r="D137" s="414">
        <f t="shared" si="214"/>
        <v>11</v>
      </c>
      <c r="E137" s="415">
        <f t="array" ref="E137">IF(U137="YES",IF(T137="YES",MIN(IF(TIM[Load Capability Reference]=CONCATENATE(P137,Q137,S137,R137),TIM[Lowest A-PTX])),MIN(IF(TIM[Load Capability Reference]=CONCATENATE(P137,Q137,S137,R137),IF(TIM[Equipment ID]&lt;&gt;O137,TIM[Lowest A-PTX])))),IF(T137="YES",MIN(IF(TIM[Load Capability Reference]=CONCATENATE(P137,Q137,S137,R137),TIM[Lowest A-No PTX])),MIN(IF(TIM[Load Capability Reference]=CONCATENATE(P137,Q137,S137,R137),IF(TIM[Equipment ID]&lt;&gt;O137,TIM[Lowest A-No PTX])))))</f>
        <v>202.77885599999999</v>
      </c>
      <c r="F137" s="414">
        <f>IFERROR(IFERROR(VLOOKUP(CONCATENATE(P137,Q137,O137,S137,"Protection"),TIM[[OC Protection Reference]:[Forward A]],23,0),VLOOKUP(O137,AEL_Protection_Data[],12,0)),"N/A")</f>
        <v>304</v>
      </c>
      <c r="G137" s="414">
        <f t="shared" ref="G137" si="217">IFERROR(FLOOR(MIN(E137:F137)*$D$3,5),"")</f>
        <v>160</v>
      </c>
      <c r="H137" s="126">
        <f t="shared" ref="H137" si="218">G137*S137*SQRT(3)/1000</f>
        <v>3.0484094213212236</v>
      </c>
      <c r="I137" s="414">
        <f t="shared" ref="I137" si="219">IFERROR(FLOOR(MIN(E137:F137)*$D$2,5),"")</f>
        <v>180</v>
      </c>
      <c r="J137" s="126">
        <f t="shared" ref="J137" si="220">I137*S137*SQRT(3)/1000</f>
        <v>3.4294605989863767</v>
      </c>
      <c r="K137" s="14" t="str">
        <f>IF(U137="Yes",UPPER(IF(ISNUMBER(SEARCH("winding",VLOOKUP(CONCATENATE(P137,Q137,S137,E137),TIM[[Limiting Equipment Reference-PTX]:[Summ Equipment]],7,0))),"Power Transformer Rating at "&amp;ROUND(E137*S137*SQRT(3)/1000,2)&amp;" MVA",VLOOKUP(CONCATENATE(P137,Q137,S137,E137),TIM[[Limiting Equipment Reference-No PTX]:[Summ Equipment]],8,0))),UPPER(VLOOKUP(CONCATENATE(P137,Q137,S137,E137),TIM[[Limiting Equipment Reference-No PTX]:[Summ Equipment]],8,0)))</f>
        <v>CABLE-3C 0.4IN² AL PILC DSTA</v>
      </c>
      <c r="L137" s="151" t="s">
        <v>1267</v>
      </c>
      <c r="M137" s="512" t="s">
        <v>1266</v>
      </c>
      <c r="O137" s="120" t="str">
        <f t="shared" si="209"/>
        <v>GRM-CB20</v>
      </c>
      <c r="P137" s="156" t="s">
        <v>1276</v>
      </c>
      <c r="Q137" s="156" t="s">
        <v>199</v>
      </c>
      <c r="R137" s="416"/>
      <c r="S137" s="138">
        <v>11</v>
      </c>
      <c r="T137" s="151" t="s">
        <v>1266</v>
      </c>
      <c r="U137" s="151" t="s">
        <v>1266</v>
      </c>
      <c r="V137" s="489"/>
      <c r="X137" s="125" t="s">
        <v>1775</v>
      </c>
      <c r="Y137" s="431" t="s">
        <v>2777</v>
      </c>
      <c r="Z137" s="432">
        <v>196</v>
      </c>
      <c r="AA137" s="443" t="str">
        <f t="shared" si="215"/>
        <v>p</v>
      </c>
      <c r="AB137" s="134">
        <f t="shared" si="200"/>
        <v>6.7788559999999904</v>
      </c>
      <c r="AC137" s="134">
        <f t="shared" si="201"/>
        <v>0.12915455310112423</v>
      </c>
      <c r="AD137" s="134">
        <f t="shared" si="202"/>
        <v>0</v>
      </c>
      <c r="AE137" s="134">
        <f t="shared" si="203"/>
        <v>0</v>
      </c>
      <c r="AF137" s="432">
        <v>300</v>
      </c>
      <c r="AG137" s="436" t="str">
        <f t="shared" si="216"/>
        <v>p</v>
      </c>
      <c r="AH137" s="134">
        <f t="shared" si="205"/>
        <v>4</v>
      </c>
      <c r="AI137" s="134">
        <f t="shared" si="206"/>
        <v>7.6210235533030593E-2</v>
      </c>
      <c r="AJ137" s="134">
        <f t="shared" si="207"/>
        <v>0</v>
      </c>
      <c r="AK137" s="134">
        <f t="shared" si="208"/>
        <v>0</v>
      </c>
      <c r="AL137" s="470" t="s">
        <v>1266</v>
      </c>
    </row>
    <row r="138" spans="2:39" hidden="1" x14ac:dyDescent="0.25">
      <c r="B138" s="123" t="s">
        <v>2464</v>
      </c>
      <c r="C138" s="6" t="s">
        <v>2506</v>
      </c>
      <c r="D138" s="57">
        <f>ROUNDDOWN(S138,0)</f>
        <v>11</v>
      </c>
      <c r="E138" s="417">
        <v>3000</v>
      </c>
      <c r="F138" s="57" t="str">
        <f>IFERROR(IFERROR(VLOOKUP(CONCATENATE(P138,Q138,O138,S138,"Protection"),TIM[[OC Protection Reference]:[Forward A]],23,0),VLOOKUP(O138,AEL_Protection_Data[],12,0)),"N/A")</f>
        <v>N/A</v>
      </c>
      <c r="G138" s="57">
        <f>IFERROR(FLOOR(MIN(E138:F138)*$D$3,5),"")</f>
        <v>2400</v>
      </c>
      <c r="H138" s="9">
        <f>G138*S138*SQRT(3)/1000</f>
        <v>45.72614131981836</v>
      </c>
      <c r="I138" s="57">
        <f>IFERROR(FLOOR(MIN(E138:F138)*$D$2,5),"")</f>
        <v>2700</v>
      </c>
      <c r="J138" s="9">
        <f>I138*S138*SQRT(3)/1000</f>
        <v>51.441908984795653</v>
      </c>
      <c r="K138" s="6" t="s">
        <v>2780</v>
      </c>
      <c r="L138" s="8" t="s">
        <v>1267</v>
      </c>
      <c r="M138" s="506" t="s">
        <v>1266</v>
      </c>
      <c r="O138" s="11" t="str">
        <f>"GRM-"&amp;B138</f>
        <v>GRM-CB31</v>
      </c>
      <c r="P138" s="7" t="s">
        <v>1276</v>
      </c>
      <c r="Q138" s="7" t="s">
        <v>176</v>
      </c>
      <c r="R138" s="386"/>
      <c r="S138" s="43">
        <v>11</v>
      </c>
      <c r="T138" s="8" t="s">
        <v>1266</v>
      </c>
      <c r="U138" s="8" t="s">
        <v>1266</v>
      </c>
      <c r="V138" s="484" t="s">
        <v>2819</v>
      </c>
      <c r="X138" s="499" t="s">
        <v>2464</v>
      </c>
      <c r="Y138" s="431" t="s">
        <v>2506</v>
      </c>
      <c r="Z138" s="432">
        <v>3000</v>
      </c>
      <c r="AA138" s="443" t="str">
        <f t="shared" si="215"/>
        <v>u</v>
      </c>
      <c r="AB138" s="134">
        <f t="shared" si="200"/>
        <v>0</v>
      </c>
      <c r="AC138" s="134">
        <f t="shared" si="201"/>
        <v>0</v>
      </c>
      <c r="AD138" s="134">
        <f t="shared" si="202"/>
        <v>0</v>
      </c>
      <c r="AE138" s="134">
        <f t="shared" si="203"/>
        <v>0</v>
      </c>
      <c r="AF138" s="432"/>
      <c r="AG138" s="436" t="str">
        <f t="shared" si="216"/>
        <v>p</v>
      </c>
      <c r="AH138" s="134">
        <f t="shared" si="205"/>
        <v>0</v>
      </c>
      <c r="AI138" s="134">
        <f t="shared" si="206"/>
        <v>0</v>
      </c>
      <c r="AJ138" s="134">
        <f t="shared" si="207"/>
        <v>0</v>
      </c>
      <c r="AK138" s="134">
        <f t="shared" si="208"/>
        <v>0</v>
      </c>
      <c r="AL138" s="470" t="s">
        <v>1266</v>
      </c>
    </row>
    <row r="139" spans="2:39" ht="15.75" hidden="1" thickBot="1" x14ac:dyDescent="0.3">
      <c r="B139" s="205" t="s">
        <v>373</v>
      </c>
      <c r="C139" s="191" t="s">
        <v>2507</v>
      </c>
      <c r="D139" s="197">
        <f>ROUNDDOWN(S139,0)</f>
        <v>11</v>
      </c>
      <c r="E139" s="418">
        <v>3000</v>
      </c>
      <c r="F139" s="197" t="str">
        <f>IFERROR(IFERROR(VLOOKUP(CONCATENATE(P139,Q139,O139,S139,"Protection"),TIM[[OC Protection Reference]:[Forward A]],23,0),VLOOKUP(O139,AEL_Protection_Data[],12,0)),"N/A")</f>
        <v>N/A</v>
      </c>
      <c r="G139" s="197">
        <f>IFERROR(FLOOR(MIN(E139:F139)*$D$3,5),"")</f>
        <v>2400</v>
      </c>
      <c r="H139" s="155">
        <f>G139*S139*SQRT(3)/1000</f>
        <v>45.72614131981836</v>
      </c>
      <c r="I139" s="197">
        <f>IFERROR(FLOOR(MIN(E139:F139)*$D$2,5),"")</f>
        <v>2700</v>
      </c>
      <c r="J139" s="155">
        <f>I139*S139*SQRT(3)/1000</f>
        <v>51.441908984795653</v>
      </c>
      <c r="K139" s="191" t="s">
        <v>2781</v>
      </c>
      <c r="L139" s="201" t="s">
        <v>1267</v>
      </c>
      <c r="M139" s="507" t="s">
        <v>1266</v>
      </c>
      <c r="O139" s="192" t="str">
        <f>"GRM-"&amp;B139</f>
        <v>GRM-CB32</v>
      </c>
      <c r="P139" s="193" t="s">
        <v>1276</v>
      </c>
      <c r="Q139" s="193" t="s">
        <v>176</v>
      </c>
      <c r="R139" s="387"/>
      <c r="S139" s="175">
        <v>11</v>
      </c>
      <c r="T139" s="201" t="s">
        <v>1266</v>
      </c>
      <c r="U139" s="201" t="s">
        <v>1266</v>
      </c>
      <c r="V139" s="485" t="s">
        <v>2819</v>
      </c>
      <c r="X139" s="502" t="s">
        <v>373</v>
      </c>
      <c r="Y139" s="433" t="s">
        <v>2507</v>
      </c>
      <c r="Z139" s="434">
        <v>3000</v>
      </c>
      <c r="AA139" s="444" t="str">
        <f t="shared" si="215"/>
        <v>u</v>
      </c>
      <c r="AB139" s="451">
        <f t="shared" si="200"/>
        <v>0</v>
      </c>
      <c r="AC139" s="451">
        <f t="shared" si="201"/>
        <v>0</v>
      </c>
      <c r="AD139" s="451">
        <f t="shared" si="202"/>
        <v>0</v>
      </c>
      <c r="AE139" s="451">
        <f t="shared" si="203"/>
        <v>0</v>
      </c>
      <c r="AF139" s="434"/>
      <c r="AG139" s="437" t="str">
        <f t="shared" si="216"/>
        <v>p</v>
      </c>
      <c r="AH139" s="451">
        <f t="shared" si="205"/>
        <v>0</v>
      </c>
      <c r="AI139" s="451">
        <f t="shared" si="206"/>
        <v>0</v>
      </c>
      <c r="AJ139" s="451">
        <f t="shared" si="207"/>
        <v>0</v>
      </c>
      <c r="AK139" s="451">
        <f t="shared" si="208"/>
        <v>0</v>
      </c>
      <c r="AL139" s="471" t="s">
        <v>1266</v>
      </c>
    </row>
    <row r="140" spans="2:39" hidden="1" x14ac:dyDescent="0.25">
      <c r="X140" s="427" t="s">
        <v>161</v>
      </c>
      <c r="AB140" s="449">
        <f>SUM(AB120:AB139)</f>
        <v>114.38135599999987</v>
      </c>
      <c r="AC140" s="449">
        <f t="shared" ref="AC140:AK140" si="221">SUM(AC120:AC139)</f>
        <v>2.1792575203368534</v>
      </c>
      <c r="AD140" s="449">
        <f t="shared" si="221"/>
        <v>744.3840000000007</v>
      </c>
      <c r="AE140" s="449">
        <f t="shared" si="221"/>
        <v>14.182419991754873</v>
      </c>
      <c r="AF140" s="449"/>
      <c r="AG140" s="449"/>
      <c r="AH140" s="449">
        <f t="shared" si="221"/>
        <v>140</v>
      </c>
      <c r="AI140" s="449">
        <f t="shared" si="221"/>
        <v>2.6673582436560705</v>
      </c>
      <c r="AJ140" s="449">
        <f t="shared" si="221"/>
        <v>0</v>
      </c>
      <c r="AK140" s="449">
        <f t="shared" si="221"/>
        <v>0</v>
      </c>
    </row>
    <row r="141" spans="2:39" ht="27" hidden="1" thickBot="1" x14ac:dyDescent="0.3">
      <c r="B141" s="551" t="s">
        <v>2778</v>
      </c>
      <c r="C141" s="552"/>
      <c r="D141" s="552"/>
      <c r="E141" s="552"/>
      <c r="F141" s="552"/>
      <c r="G141" s="552"/>
      <c r="H141" s="552"/>
      <c r="I141" s="552"/>
      <c r="J141" s="552"/>
      <c r="K141" s="552"/>
      <c r="L141" s="552"/>
      <c r="M141" s="553"/>
      <c r="O141" s="551" t="s">
        <v>2391</v>
      </c>
      <c r="P141" s="552"/>
      <c r="Q141" s="552"/>
      <c r="R141" s="552"/>
      <c r="S141" s="552"/>
      <c r="T141" s="552"/>
      <c r="U141" s="552"/>
      <c r="V141" s="553"/>
      <c r="X141" s="586" t="str">
        <f>B141&amp;"-OLD"</f>
        <v>HUNT STREET SWITCHING STATION (TE903)-OLD</v>
      </c>
      <c r="Y141" s="587"/>
      <c r="Z141" s="587"/>
      <c r="AA141" s="587"/>
      <c r="AB141" s="587"/>
      <c r="AC141" s="587"/>
      <c r="AD141" s="587"/>
      <c r="AE141" s="587"/>
      <c r="AF141" s="587"/>
      <c r="AG141" s="587"/>
      <c r="AH141" s="587"/>
      <c r="AI141" s="587"/>
      <c r="AJ141" s="587"/>
      <c r="AK141" s="587"/>
      <c r="AL141" s="588"/>
      <c r="AM141" s="481"/>
    </row>
    <row r="142" spans="2:39" ht="15.75" hidden="1" thickBot="1" x14ac:dyDescent="0.3">
      <c r="B142" s="571" t="str">
        <f t="shared" ref="B142:G142" si="222">B6</f>
        <v>CB ID</v>
      </c>
      <c r="C142" s="545" t="str">
        <f t="shared" si="222"/>
        <v>DESIGNATION</v>
      </c>
      <c r="D142" s="382" t="str">
        <f t="shared" si="222"/>
        <v>Rated</v>
      </c>
      <c r="E142" s="572" t="str">
        <f t="shared" si="222"/>
        <v>LOAD
CAPABILITY</v>
      </c>
      <c r="F142" s="572" t="str">
        <f t="shared" si="222"/>
        <v>OC
PICKUP</v>
      </c>
      <c r="G142" s="559" t="str">
        <f t="shared" si="222"/>
        <v>SCADA ALARM</v>
      </c>
      <c r="H142" s="560"/>
      <c r="I142" s="560"/>
      <c r="J142" s="561"/>
      <c r="K142" s="574" t="str">
        <f>K6</f>
        <v>LIMITING EQUIPMENT</v>
      </c>
      <c r="L142" s="575" t="str">
        <f>L6</f>
        <v>RECLOSING</v>
      </c>
      <c r="M142" s="576"/>
      <c r="O142" s="554" t="str">
        <f t="shared" ref="O142:V142" si="223">O6</f>
        <v>OC Pick up
Reference ID</v>
      </c>
      <c r="P142" s="557" t="str">
        <f t="shared" si="223"/>
        <v>Supply Level</v>
      </c>
      <c r="Q142" s="566" t="str">
        <f t="shared" si="223"/>
        <v>Station/Feeder</v>
      </c>
      <c r="R142" s="567" t="str">
        <f t="shared" si="223"/>
        <v>Refered
to PTX</v>
      </c>
      <c r="S142" s="569" t="str">
        <f t="shared" si="223"/>
        <v>Voltage</v>
      </c>
      <c r="T142" s="539" t="str">
        <f t="shared" si="223"/>
        <v>Include
CB</v>
      </c>
      <c r="U142" s="539" t="str">
        <f t="shared" si="223"/>
        <v>Include
PTX</v>
      </c>
      <c r="V142" s="542" t="str">
        <f t="shared" si="223"/>
        <v>Notes</v>
      </c>
      <c r="X142" s="585" t="s">
        <v>1260</v>
      </c>
      <c r="Y142" s="545" t="s">
        <v>1261</v>
      </c>
      <c r="Z142" s="559" t="s">
        <v>2749</v>
      </c>
      <c r="AA142" s="560"/>
      <c r="AB142" s="560"/>
      <c r="AC142" s="560"/>
      <c r="AD142" s="560"/>
      <c r="AE142" s="561"/>
      <c r="AF142" s="559" t="s">
        <v>1268</v>
      </c>
      <c r="AG142" s="560"/>
      <c r="AH142" s="560"/>
      <c r="AI142" s="560"/>
      <c r="AJ142" s="560"/>
      <c r="AK142" s="561"/>
      <c r="AL142" s="546" t="s">
        <v>2857</v>
      </c>
      <c r="AM142" s="466"/>
    </row>
    <row r="143" spans="2:39" ht="15.75" hidden="1" thickBot="1" x14ac:dyDescent="0.3">
      <c r="B143" s="557"/>
      <c r="C143" s="540"/>
      <c r="D143" s="362" t="str">
        <f>D7</f>
        <v>Voltage</v>
      </c>
      <c r="E143" s="573"/>
      <c r="F143" s="573"/>
      <c r="G143" s="544" t="str">
        <f>G7</f>
        <v>Pre-Emergency</v>
      </c>
      <c r="H143" s="544"/>
      <c r="I143" s="544" t="str">
        <f>I7</f>
        <v>Emergency</v>
      </c>
      <c r="J143" s="544"/>
      <c r="K143" s="540"/>
      <c r="L143" s="545" t="str">
        <f>L7</f>
        <v>AVAILABLE</v>
      </c>
      <c r="M143" s="546" t="str">
        <f>M7</f>
        <v>UTILISED</v>
      </c>
      <c r="O143" s="555"/>
      <c r="P143" s="557"/>
      <c r="Q143" s="557"/>
      <c r="R143" s="567"/>
      <c r="S143" s="569"/>
      <c r="T143" s="540"/>
      <c r="U143" s="540"/>
      <c r="V143" s="542"/>
      <c r="X143" s="555"/>
      <c r="Y143" s="540"/>
      <c r="Z143" s="589"/>
      <c r="AA143" s="590"/>
      <c r="AB143" s="590"/>
      <c r="AC143" s="590"/>
      <c r="AD143" s="590"/>
      <c r="AE143" s="591"/>
      <c r="AF143" s="589"/>
      <c r="AG143" s="590"/>
      <c r="AH143" s="590"/>
      <c r="AI143" s="590"/>
      <c r="AJ143" s="590"/>
      <c r="AK143" s="591"/>
      <c r="AL143" s="577"/>
      <c r="AM143" s="466"/>
    </row>
    <row r="144" spans="2:39" ht="15.75" hidden="1" thickBot="1" x14ac:dyDescent="0.3">
      <c r="B144" s="558"/>
      <c r="C144" s="541"/>
      <c r="D144" s="345" t="str">
        <f>D8</f>
        <v>(kV)</v>
      </c>
      <c r="E144" s="345" t="str">
        <f>E8</f>
        <v>(A)</v>
      </c>
      <c r="F144" s="345" t="str">
        <f>F8</f>
        <v>(A)</v>
      </c>
      <c r="G144" s="406" t="str">
        <f>G8</f>
        <v>(A)</v>
      </c>
      <c r="H144" s="407" t="str">
        <f>H8</f>
        <v>(MVA)</v>
      </c>
      <c r="I144" s="406" t="str">
        <f>I8</f>
        <v>(A)</v>
      </c>
      <c r="J144" s="407" t="str">
        <f>J8</f>
        <v>(MVA)</v>
      </c>
      <c r="K144" s="541"/>
      <c r="L144" s="541"/>
      <c r="M144" s="547"/>
      <c r="O144" s="556"/>
      <c r="P144" s="558"/>
      <c r="Q144" s="558"/>
      <c r="R144" s="568"/>
      <c r="S144" s="570"/>
      <c r="T144" s="541"/>
      <c r="U144" s="541"/>
      <c r="V144" s="543"/>
      <c r="X144" s="556"/>
      <c r="Y144" s="541"/>
      <c r="Z144" s="428" t="s">
        <v>26</v>
      </c>
      <c r="AA144" s="439" t="s">
        <v>2861</v>
      </c>
      <c r="AB144" s="450" t="s">
        <v>2959</v>
      </c>
      <c r="AC144" s="450" t="s">
        <v>2960</v>
      </c>
      <c r="AD144" s="450" t="s">
        <v>2957</v>
      </c>
      <c r="AE144" s="450" t="s">
        <v>2958</v>
      </c>
      <c r="AF144" s="428" t="s">
        <v>26</v>
      </c>
      <c r="AG144" s="439" t="s">
        <v>2861</v>
      </c>
      <c r="AH144" s="450" t="s">
        <v>2959</v>
      </c>
      <c r="AI144" s="450" t="s">
        <v>2960</v>
      </c>
      <c r="AJ144" s="450" t="s">
        <v>2957</v>
      </c>
      <c r="AK144" s="450" t="s">
        <v>2958</v>
      </c>
      <c r="AL144" s="547"/>
      <c r="AM144" s="466"/>
    </row>
    <row r="145" spans="1:38" hidden="1" x14ac:dyDescent="0.25">
      <c r="B145" s="204" t="s">
        <v>502</v>
      </c>
      <c r="C145" s="3" t="s">
        <v>2782</v>
      </c>
      <c r="D145" s="61">
        <f t="shared" ref="D145:D161" si="224">ROUNDDOWN(S145,0)</f>
        <v>11</v>
      </c>
      <c r="E145" s="369">
        <f t="array" ref="E145">IF(U145="YES",IF(T145="YES",MIN(IF(TIM[Load Capability Reference]=CONCATENATE(P145,Q145,S145,R145),TIM[Lowest A-PTX])),MIN(IF(TIM[Load Capability Reference]=CONCATENATE(P145,Q145,S145,R145),IF(TIM[Equipment ID]&lt;&gt;O145,TIM[Lowest A-PTX])))),IF(T145="YES",MIN(IF(TIM[Load Capability Reference]=CONCATENATE(P145,Q145,S145,R145),TIM[Lowest A-No PTX])),MIN(IF(TIM[Load Capability Reference]=CONCATENATE(P145,Q145,S145,R145),IF(TIM[Equipment ID]&lt;&gt;O145,TIM[Lowest A-No PTX])))))</f>
        <v>224.43749999999994</v>
      </c>
      <c r="F145" s="61">
        <f>IFERROR(IFERROR(VLOOKUP(CONCATENATE(P145,Q145,O145,S145,"Protection"),TIM[[OC Protection Reference]:[Forward A]],23,0),VLOOKUP(O145,AEL_Protection_Data[],12,0)),"N/A")</f>
        <v>200</v>
      </c>
      <c r="G145" s="61">
        <f t="shared" ref="G145:G161" si="225">IFERROR(FLOOR(MIN(E145:F145)*$D$3,5),"")</f>
        <v>160</v>
      </c>
      <c r="H145" s="5">
        <f t="shared" ref="H145:H161" si="226">G145*S145*SQRT(3)/1000</f>
        <v>3.0484094213212236</v>
      </c>
      <c r="I145" s="61">
        <f t="shared" ref="I145:I161" si="227">IFERROR(FLOOR(MIN(E145:F145)*$D$2,5),"")</f>
        <v>180</v>
      </c>
      <c r="J145" s="5">
        <f t="shared" ref="J145:J161" si="228">I145*S145*SQRT(3)/1000</f>
        <v>3.4294605989863767</v>
      </c>
      <c r="K145" s="3" t="str">
        <f>IF(U145="Yes",UPPER(IF(ISNUMBER(SEARCH("winding",VLOOKUP(CONCATENATE(P145,Q145,S145,E145),TIM[[Limiting Equipment Reference-PTX]:[Summ Equipment]],7,0))),"Power Transformer Rating at "&amp;ROUND(E145*S145*SQRT(3)/1000,2)&amp;" MVA",VLOOKUP(CONCATENATE(P145,Q145,S145,E145),TIM[[Limiting Equipment Reference-No PTX]:[Summ Equipment]],8,0))),UPPER(VLOOKUP(CONCATENATE(P145,Q145,S145,E145),TIM[[Limiting Equipment Reference-No PTX]:[Summ Equipment]],8,0)))</f>
        <v>CABLE-3C 185MM² AL PILC SWAS</v>
      </c>
      <c r="L145" s="4" t="s">
        <v>1267</v>
      </c>
      <c r="M145" s="508" t="s">
        <v>1266</v>
      </c>
      <c r="O145" s="10" t="str">
        <f>"HNT-"&amp;B145</f>
        <v>HNT-CB1</v>
      </c>
      <c r="P145" s="38" t="s">
        <v>1276</v>
      </c>
      <c r="Q145" s="38" t="s">
        <v>207</v>
      </c>
      <c r="R145" s="389"/>
      <c r="S145" s="139">
        <v>11</v>
      </c>
      <c r="T145" s="4" t="s">
        <v>1266</v>
      </c>
      <c r="U145" s="4" t="s">
        <v>1266</v>
      </c>
      <c r="V145" s="486"/>
      <c r="X145" s="501" t="s">
        <v>502</v>
      </c>
      <c r="Y145" s="429" t="str">
        <f t="shared" ref="Y145:Y147" si="229">IF(X145=B145,C145,"NEW")</f>
        <v>HARPER STREET</v>
      </c>
      <c r="Z145" s="430">
        <v>220</v>
      </c>
      <c r="AA145" s="440" t="str">
        <f t="shared" ref="AA145:AA147" si="230">IF(Z145&gt;E145,"q",IF(Z145&lt;E145,"p","u"))</f>
        <v>p</v>
      </c>
      <c r="AB145" s="453">
        <f t="shared" ref="AB145:AB161" si="231">IF(Z145="",0,IF(Z145-E145&lt;0,ABS(Z145-E145),0))</f>
        <v>4.4374999999999432</v>
      </c>
      <c r="AC145" s="453">
        <f t="shared" ref="AC145:AC161" si="232">AB145*$S145*SQRT(3)/1000</f>
        <v>8.4545730044454731E-2</v>
      </c>
      <c r="AD145" s="453">
        <f t="shared" ref="AD145:AD161" si="233">IF(Z145="",0,IF(Z145-E145&gt;0,ABS(Z145-E145),0))</f>
        <v>0</v>
      </c>
      <c r="AE145" s="453">
        <f t="shared" ref="AE145:AE161" si="234">AD145*$S145*SQRT(3)/1000</f>
        <v>0</v>
      </c>
      <c r="AF145" s="430">
        <v>200</v>
      </c>
      <c r="AG145" s="435" t="str">
        <f t="shared" ref="AG145:AG147" si="235">IF(AF145&gt;F145,"q",IF(AF145&lt;F145,"p","u"))</f>
        <v>u</v>
      </c>
      <c r="AH145" s="453">
        <f t="shared" ref="AH145:AH161" si="236">IF(AF145="",0,IF(AF145-F145&lt;0,ABS(AF145-F145),0))</f>
        <v>0</v>
      </c>
      <c r="AI145" s="453">
        <f t="shared" ref="AI145:AI161" si="237">AH145*$S145*SQRT(3)/1000</f>
        <v>0</v>
      </c>
      <c r="AJ145" s="453">
        <f t="shared" ref="AJ145:AJ161" si="238">IF(AF145="",0,IF(AF145-F145&gt;0,ABS(AF145-F145),0))</f>
        <v>0</v>
      </c>
      <c r="AK145" s="453">
        <f t="shared" ref="AK145:AK161" si="239">AJ145*$S145*SQRT(3)/1000</f>
        <v>0</v>
      </c>
      <c r="AL145" s="469" t="s">
        <v>1266</v>
      </c>
    </row>
    <row r="146" spans="1:38" hidden="1" x14ac:dyDescent="0.25">
      <c r="A146" s="517"/>
      <c r="B146" s="124" t="s">
        <v>507</v>
      </c>
      <c r="C146" s="168" t="s">
        <v>2783</v>
      </c>
      <c r="D146" s="119">
        <f t="shared" si="224"/>
        <v>11</v>
      </c>
      <c r="E146" s="370">
        <f t="array" ref="E146">IF(U146="YES",IF(T146="YES",MIN(IF(TIM[Load Capability Reference]=CONCATENATE(P146,Q146,S146,R146),TIM[Lowest A-PTX])),MIN(IF(TIM[Load Capability Reference]=CONCATENATE(P146,Q146,S146,R146),IF(TIM[Equipment ID]&lt;&gt;O146,TIM[Lowest A-PTX])))),IF(T146="YES",MIN(IF(TIM[Load Capability Reference]=CONCATENATE(P146,Q146,S146,R146),TIM[Lowest A-No PTX])),MIN(IF(TIM[Load Capability Reference]=CONCATENATE(P146,Q146,S146,R146),IF(TIM[Equipment ID]&lt;&gt;O146,TIM[Lowest A-No PTX])))))</f>
        <v>110.40609606570446</v>
      </c>
      <c r="F146" s="119">
        <f>IFERROR(IFERROR(VLOOKUP(CONCATENATE(P146,Q146,O146,S146,"Protection"),TIM[[OC Protection Reference]:[Forward A]],23,0),VLOOKUP(O146,AEL_Protection_Data[],12,0)),"N/A")</f>
        <v>200</v>
      </c>
      <c r="G146" s="119">
        <f t="shared" si="225"/>
        <v>85</v>
      </c>
      <c r="H146" s="29">
        <f t="shared" si="226"/>
        <v>1.6194675050769001</v>
      </c>
      <c r="I146" s="119">
        <f t="shared" si="227"/>
        <v>95</v>
      </c>
      <c r="J146" s="29">
        <f t="shared" si="228"/>
        <v>1.8099930939094766</v>
      </c>
      <c r="K146" s="6" t="str">
        <f>IF(U146="Yes",UPPER(IF(ISNUMBER(SEARCH("winding",VLOOKUP(CONCATENATE(P146,Q146,S146,E146),TIM[[Limiting Equipment Reference-PTX]:[Summ Equipment]],7,0))),"Power Transformer Rating at "&amp;ROUND(E146*S146*SQRT(3)/1000,2)&amp;" MVA",VLOOKUP(CONCATENATE(P146,Q146,S146,E146),TIM[[Limiting Equipment Reference-No PTX]:[Summ Equipment]],8,0))),UPPER(VLOOKUP(CONCATENATE(P146,Q146,S146,E146),TIM[[Limiting Equipment Reference-No PTX]:[Summ Equipment]],8,0)))</f>
        <v>OH LINE-GOPHER</v>
      </c>
      <c r="L146" s="146" t="s">
        <v>1267</v>
      </c>
      <c r="M146" s="509" t="s">
        <v>1266</v>
      </c>
      <c r="N146" s="517"/>
      <c r="O146" s="118" t="str">
        <f t="shared" ref="O146:O161" si="240">"HNT-"&amp;B146</f>
        <v>HNT-CB2</v>
      </c>
      <c r="P146" s="49" t="s">
        <v>1276</v>
      </c>
      <c r="Q146" s="49" t="s">
        <v>210</v>
      </c>
      <c r="R146" s="386"/>
      <c r="S146" s="43">
        <v>11</v>
      </c>
      <c r="T146" s="146" t="s">
        <v>1266</v>
      </c>
      <c r="U146" s="146" t="s">
        <v>1266</v>
      </c>
      <c r="V146" s="487"/>
      <c r="X146" s="498" t="s">
        <v>507</v>
      </c>
      <c r="Y146" s="431" t="str">
        <f t="shared" si="229"/>
        <v>WILSON STREET</v>
      </c>
      <c r="Z146" s="432">
        <v>104</v>
      </c>
      <c r="AA146" s="441" t="str">
        <f t="shared" si="230"/>
        <v>p</v>
      </c>
      <c r="AB146" s="134">
        <f t="shared" si="231"/>
        <v>6.4060960657044603</v>
      </c>
      <c r="AC146" s="134">
        <f t="shared" si="232"/>
        <v>0.12205252250363939</v>
      </c>
      <c r="AD146" s="134">
        <f t="shared" si="233"/>
        <v>0</v>
      </c>
      <c r="AE146" s="134">
        <f t="shared" si="234"/>
        <v>0</v>
      </c>
      <c r="AF146" s="432">
        <v>200</v>
      </c>
      <c r="AG146" s="436" t="str">
        <f t="shared" si="235"/>
        <v>u</v>
      </c>
      <c r="AH146" s="134">
        <f t="shared" si="236"/>
        <v>0</v>
      </c>
      <c r="AI146" s="134">
        <f t="shared" si="237"/>
        <v>0</v>
      </c>
      <c r="AJ146" s="134">
        <f t="shared" si="238"/>
        <v>0</v>
      </c>
      <c r="AK146" s="134">
        <f t="shared" si="239"/>
        <v>0</v>
      </c>
      <c r="AL146" s="470" t="s">
        <v>1266</v>
      </c>
    </row>
    <row r="147" spans="1:38" hidden="1" x14ac:dyDescent="0.25">
      <c r="B147" s="124" t="s">
        <v>511</v>
      </c>
      <c r="C147" s="168" t="s">
        <v>2784</v>
      </c>
      <c r="D147" s="119">
        <f t="shared" si="224"/>
        <v>11</v>
      </c>
      <c r="E147" s="370">
        <f t="array" ref="E147">IF(U147="YES",IF(T147="YES",MIN(IF(TIM[Load Capability Reference]=CONCATENATE(P147,Q147,S147,R147),TIM[Lowest A-PTX])),MIN(IF(TIM[Load Capability Reference]=CONCATENATE(P147,Q147,S147,R147),IF(TIM[Equipment ID]&lt;&gt;O147,TIM[Lowest A-PTX])))),IF(T147="YES",MIN(IF(TIM[Load Capability Reference]=CONCATENATE(P147,Q147,S147,R147),TIM[Lowest A-No PTX])),MIN(IF(TIM[Load Capability Reference]=CONCATENATE(P147,Q147,S147,R147),IF(TIM[Equipment ID]&lt;&gt;O147,TIM[Lowest A-No PTX])))))</f>
        <v>297.464</v>
      </c>
      <c r="F147" s="119">
        <f>IFERROR(IFERROR(VLOOKUP(CONCATENATE(P147,Q147,O147,S147,"Protection"),TIM[[OC Protection Reference]:[Forward A]],23,0),VLOOKUP(O147,AEL_Protection_Data[],12,0)),"N/A")</f>
        <v>400</v>
      </c>
      <c r="G147" s="119">
        <f t="shared" si="225"/>
        <v>235</v>
      </c>
      <c r="H147" s="29">
        <f t="shared" si="226"/>
        <v>4.4773513375655476</v>
      </c>
      <c r="I147" s="119">
        <f t="shared" si="227"/>
        <v>265</v>
      </c>
      <c r="J147" s="29">
        <f t="shared" si="228"/>
        <v>5.0489281040632772</v>
      </c>
      <c r="K147" s="168" t="str">
        <f>IF(U147="Yes",UPPER(IF(ISNUMBER(SEARCH("winding",VLOOKUP(CONCATENATE(P147,Q147,S147,E147),TIM[[Limiting Equipment Reference-PTX]:[Summ Equipment]],7,0))),"Power Transformer Rating at "&amp;ROUND(E147*S147*SQRT(3)/1000,2)&amp;" MVA",VLOOKUP(CONCATENATE(P147,Q147,S147,E147),TIM[[Limiting Equipment Reference-No PTX]:[Summ Equipment]],8,0))),UPPER(VLOOKUP(CONCATENATE(P147,Q147,S147,E147),TIM[[Limiting Equipment Reference-No PTX]:[Summ Equipment]],8,0)))</f>
        <v xml:space="preserve">CABLE-3C 0.3IN² CU PILC SWA </v>
      </c>
      <c r="L147" s="146" t="s">
        <v>1267</v>
      </c>
      <c r="M147" s="509" t="s">
        <v>1266</v>
      </c>
      <c r="O147" s="118" t="str">
        <f t="shared" si="240"/>
        <v>HNT-CB3</v>
      </c>
      <c r="P147" s="49" t="s">
        <v>1245</v>
      </c>
      <c r="Q147" s="49" t="s">
        <v>1412</v>
      </c>
      <c r="R147" s="390"/>
      <c r="S147" s="32">
        <v>11</v>
      </c>
      <c r="T147" s="146" t="s">
        <v>1266</v>
      </c>
      <c r="U147" s="146" t="s">
        <v>1266</v>
      </c>
      <c r="V147" s="487"/>
      <c r="X147" s="498" t="s">
        <v>511</v>
      </c>
      <c r="Y147" s="431" t="str">
        <f t="shared" si="229"/>
        <v>GRM - HNT A &amp; VT3</v>
      </c>
      <c r="Z147" s="432">
        <v>300</v>
      </c>
      <c r="AA147" s="441" t="str">
        <f t="shared" si="230"/>
        <v>q</v>
      </c>
      <c r="AB147" s="134">
        <f t="shared" si="231"/>
        <v>0</v>
      </c>
      <c r="AC147" s="134">
        <f t="shared" si="232"/>
        <v>0</v>
      </c>
      <c r="AD147" s="134">
        <f t="shared" si="233"/>
        <v>2.5360000000000014</v>
      </c>
      <c r="AE147" s="134">
        <f t="shared" si="234"/>
        <v>4.8317289327941423E-2</v>
      </c>
      <c r="AF147" s="432">
        <v>400</v>
      </c>
      <c r="AG147" s="436" t="str">
        <f t="shared" si="235"/>
        <v>u</v>
      </c>
      <c r="AH147" s="134">
        <f t="shared" si="236"/>
        <v>0</v>
      </c>
      <c r="AI147" s="134">
        <f t="shared" si="237"/>
        <v>0</v>
      </c>
      <c r="AJ147" s="134">
        <f t="shared" si="238"/>
        <v>0</v>
      </c>
      <c r="AK147" s="134">
        <f t="shared" si="239"/>
        <v>0</v>
      </c>
      <c r="AL147" s="470" t="s">
        <v>1266</v>
      </c>
    </row>
    <row r="148" spans="1:38" hidden="1" x14ac:dyDescent="0.25">
      <c r="B148" s="124" t="s">
        <v>498</v>
      </c>
      <c r="C148" s="168" t="s">
        <v>2785</v>
      </c>
      <c r="D148" s="119">
        <f t="shared" si="224"/>
        <v>11</v>
      </c>
      <c r="E148" s="370">
        <f t="array" ref="E148">IF(U148="YES",IF(T148="YES",MIN(IF(TIM[Load Capability Reference]=CONCATENATE(P148,Q148,S148,R148),TIM[Lowest A-PTX])),MIN(IF(TIM[Load Capability Reference]=CONCATENATE(P148,Q148,S148,R148),IF(TIM[Equipment ID]&lt;&gt;O148,TIM[Lowest A-PTX])))),IF(T148="YES",MIN(IF(TIM[Load Capability Reference]=CONCATENATE(P148,Q148,S148,R148),TIM[Lowest A-No PTX])),MIN(IF(TIM[Load Capability Reference]=CONCATENATE(P148,Q148,S148,R148),IF(TIM[Equipment ID]&lt;&gt;O148,TIM[Lowest A-No PTX])))))</f>
        <v>209.304</v>
      </c>
      <c r="F148" s="119">
        <f>IFERROR(IFERROR(VLOOKUP(CONCATENATE(P148,Q148,O148,S148,"Protection"),TIM[[OC Protection Reference]:[Forward A]],23,0),VLOOKUP(O148,AEL_Protection_Data[],12,0)),"N/A")</f>
        <v>200</v>
      </c>
      <c r="G148" s="119">
        <f t="shared" si="225"/>
        <v>160</v>
      </c>
      <c r="H148" s="29">
        <f t="shared" si="226"/>
        <v>3.0484094213212236</v>
      </c>
      <c r="I148" s="119">
        <f t="shared" si="227"/>
        <v>180</v>
      </c>
      <c r="J148" s="29">
        <f t="shared" si="228"/>
        <v>3.4294605989863767</v>
      </c>
      <c r="K148" s="6" t="str">
        <f>IF(U148="Yes",UPPER(IF(ISNUMBER(SEARCH("winding",VLOOKUP(CONCATENATE(P148,Q148,S148,E148),TIM[[Limiting Equipment Reference-PTX]:[Summ Equipment]],7,0))),"Power Transformer Rating at "&amp;ROUND(E148*S148*SQRT(3)/1000,2)&amp;" MVA",VLOOKUP(CONCATENATE(P148,Q148,S148,E148),TIM[[Limiting Equipment Reference-No PTX]:[Summ Equipment]],8,0))),UPPER(VLOOKUP(CONCATENATE(P148,Q148,S148,E148),TIM[[Limiting Equipment Reference-No PTX]:[Summ Equipment]],8,0)))</f>
        <v>CABLE-3C 0.25IN² AL PILC DSTA</v>
      </c>
      <c r="L148" s="146" t="s">
        <v>1267</v>
      </c>
      <c r="M148" s="509" t="s">
        <v>1266</v>
      </c>
      <c r="O148" s="118" t="str">
        <f t="shared" si="240"/>
        <v>HNT-CB4</v>
      </c>
      <c r="P148" s="49" t="s">
        <v>1276</v>
      </c>
      <c r="Q148" s="49" t="s">
        <v>213</v>
      </c>
      <c r="R148" s="386"/>
      <c r="S148" s="43">
        <v>11</v>
      </c>
      <c r="T148" s="146" t="s">
        <v>1266</v>
      </c>
      <c r="U148" s="146" t="s">
        <v>1266</v>
      </c>
      <c r="V148" s="487"/>
      <c r="X148" s="498" t="s">
        <v>498</v>
      </c>
      <c r="Y148" s="431" t="str">
        <f t="shared" ref="Y148:Y161" si="241">IF(X148=B148,C148,"NEW")</f>
        <v>BAKER STREET</v>
      </c>
      <c r="Z148" s="432">
        <v>200</v>
      </c>
      <c r="AA148" s="441" t="str">
        <f t="shared" ref="AA148:AA161" si="242">IF(Z148&gt;E148,"q",IF(Z148&lt;E148,"p","u"))</f>
        <v>p</v>
      </c>
      <c r="AB148" s="134">
        <f t="shared" si="231"/>
        <v>9.304000000000002</v>
      </c>
      <c r="AC148" s="134">
        <f t="shared" si="232"/>
        <v>0.17726500784982921</v>
      </c>
      <c r="AD148" s="134">
        <f t="shared" si="233"/>
        <v>0</v>
      </c>
      <c r="AE148" s="134">
        <f t="shared" si="234"/>
        <v>0</v>
      </c>
      <c r="AF148" s="432">
        <v>200</v>
      </c>
      <c r="AG148" s="436" t="str">
        <f t="shared" ref="AG148:AG161" si="243">IF(AF148&gt;F148,"q",IF(AF148&lt;F148,"p","u"))</f>
        <v>u</v>
      </c>
      <c r="AH148" s="134">
        <f t="shared" si="236"/>
        <v>0</v>
      </c>
      <c r="AI148" s="134">
        <f t="shared" si="237"/>
        <v>0</v>
      </c>
      <c r="AJ148" s="134">
        <f t="shared" si="238"/>
        <v>0</v>
      </c>
      <c r="AK148" s="134">
        <f t="shared" si="239"/>
        <v>0</v>
      </c>
      <c r="AL148" s="470" t="s">
        <v>1266</v>
      </c>
    </row>
    <row r="149" spans="1:38" hidden="1" x14ac:dyDescent="0.25">
      <c r="B149" s="124" t="s">
        <v>592</v>
      </c>
      <c r="C149" s="168" t="s">
        <v>2786</v>
      </c>
      <c r="D149" s="119">
        <f t="shared" si="224"/>
        <v>11</v>
      </c>
      <c r="E149" s="370">
        <f t="array" ref="E149">IF(U149="YES",IF(T149="YES",MIN(IF(TIM[Load Capability Reference]=CONCATENATE(P149,Q149,S149,R149),TIM[Lowest A-PTX])),MIN(IF(TIM[Load Capability Reference]=CONCATENATE(P149,Q149,S149,R149),IF(TIM[Equipment ID]&lt;&gt;O149,TIM[Lowest A-PTX])))),IF(T149="YES",MIN(IF(TIM[Load Capability Reference]=CONCATENATE(P149,Q149,S149,R149),TIM[Lowest A-No PTX])),MIN(IF(TIM[Load Capability Reference]=CONCATENATE(P149,Q149,S149,R149),IF(TIM[Equipment ID]&lt;&gt;O149,TIM[Lowest A-No PTX])))))</f>
        <v>181.51174999999998</v>
      </c>
      <c r="F149" s="119">
        <f>IFERROR(IFERROR(VLOOKUP(CONCATENATE(P149,Q149,O149,S149,"Protection"),TIM[[OC Protection Reference]:[Forward A]],23,0),VLOOKUP(O149,AEL_Protection_Data[],12,0)),"N/A")</f>
        <v>200</v>
      </c>
      <c r="G149" s="119">
        <f t="shared" si="225"/>
        <v>145</v>
      </c>
      <c r="H149" s="29">
        <f t="shared" si="226"/>
        <v>2.7626210380723593</v>
      </c>
      <c r="I149" s="119">
        <f t="shared" si="227"/>
        <v>160</v>
      </c>
      <c r="J149" s="29">
        <f t="shared" si="228"/>
        <v>3.0484094213212236</v>
      </c>
      <c r="K149" s="6" t="str">
        <f>IF(U149="Yes",UPPER(IF(ISNUMBER(SEARCH("winding",VLOOKUP(CONCATENATE(P149,Q149,S149,E149),TIM[[Limiting Equipment Reference-PTX]:[Summ Equipment]],7,0))),"Power Transformer Rating at "&amp;ROUND(E149*S149*SQRT(3)/1000,2)&amp;" MVA",VLOOKUP(CONCATENATE(P149,Q149,S149,E149),TIM[[Limiting Equipment Reference-No PTX]:[Summ Equipment]],8,0))),UPPER(VLOOKUP(CONCATENATE(P149,Q149,S149,E149),TIM[[Limiting Equipment Reference-No PTX]:[Summ Equipment]],8,0)))</f>
        <v>CABLE-3C 0.25IN² AL PILC SWA</v>
      </c>
      <c r="L149" s="146" t="s">
        <v>1267</v>
      </c>
      <c r="M149" s="509" t="s">
        <v>1266</v>
      </c>
      <c r="O149" s="118" t="str">
        <f t="shared" si="240"/>
        <v>HNT-CB5</v>
      </c>
      <c r="P149" s="49" t="s">
        <v>1276</v>
      </c>
      <c r="Q149" s="49" t="s">
        <v>216</v>
      </c>
      <c r="R149" s="386"/>
      <c r="S149" s="43">
        <v>11</v>
      </c>
      <c r="T149" s="146" t="s">
        <v>1266</v>
      </c>
      <c r="U149" s="146" t="s">
        <v>1266</v>
      </c>
      <c r="V149" s="487"/>
      <c r="X149" s="498" t="s">
        <v>592</v>
      </c>
      <c r="Y149" s="431" t="str">
        <f t="shared" si="241"/>
        <v>LE CREN STREET</v>
      </c>
      <c r="Z149" s="432">
        <v>175</v>
      </c>
      <c r="AA149" s="441" t="str">
        <f t="shared" si="242"/>
        <v>p</v>
      </c>
      <c r="AB149" s="134">
        <f t="shared" si="231"/>
        <v>6.5117499999999779</v>
      </c>
      <c r="AC149" s="134">
        <f t="shared" si="232"/>
        <v>0.12406550030805258</v>
      </c>
      <c r="AD149" s="134">
        <f t="shared" si="233"/>
        <v>0</v>
      </c>
      <c r="AE149" s="134">
        <f t="shared" si="234"/>
        <v>0</v>
      </c>
      <c r="AF149" s="432">
        <v>200</v>
      </c>
      <c r="AG149" s="436" t="str">
        <f t="shared" si="243"/>
        <v>u</v>
      </c>
      <c r="AH149" s="134">
        <f t="shared" si="236"/>
        <v>0</v>
      </c>
      <c r="AI149" s="134">
        <f t="shared" si="237"/>
        <v>0</v>
      </c>
      <c r="AJ149" s="134">
        <f t="shared" si="238"/>
        <v>0</v>
      </c>
      <c r="AK149" s="134">
        <f t="shared" si="239"/>
        <v>0</v>
      </c>
      <c r="AL149" s="470" t="s">
        <v>1266</v>
      </c>
    </row>
    <row r="150" spans="1:38" hidden="1" x14ac:dyDescent="0.25">
      <c r="B150" s="124" t="s">
        <v>500</v>
      </c>
      <c r="C150" s="168" t="s">
        <v>2787</v>
      </c>
      <c r="D150" s="119">
        <f t="shared" si="224"/>
        <v>11</v>
      </c>
      <c r="E150" s="370">
        <f t="array" ref="E150">IF(U150="YES",IF(T150="YES",MIN(IF(TIM[Load Capability Reference]=CONCATENATE(P150,Q150,S150,R150),TIM[Lowest A-PTX])),MIN(IF(TIM[Load Capability Reference]=CONCATENATE(P150,Q150,S150,R150),IF(TIM[Equipment ID]&lt;&gt;O150,TIM[Lowest A-PTX])))),IF(T150="YES",MIN(IF(TIM[Load Capability Reference]=CONCATENATE(P150,Q150,S150,R150),TIM[Lowest A-No PTX])),MIN(IF(TIM[Load Capability Reference]=CONCATENATE(P150,Q150,S150,R150),IF(TIM[Equipment ID]&lt;&gt;O150,TIM[Lowest A-No PTX])))))</f>
        <v>291.76874999999995</v>
      </c>
      <c r="F150" s="119">
        <f>IFERROR(IFERROR(VLOOKUP(CONCATENATE(P150,Q150,O150,S150,"Protection"),TIM[[OC Protection Reference]:[Forward A]],23,0),VLOOKUP(O150,AEL_Protection_Data[],12,0)),"N/A")</f>
        <v>400</v>
      </c>
      <c r="G150" s="119">
        <f t="shared" si="225"/>
        <v>230</v>
      </c>
      <c r="H150" s="29">
        <f t="shared" si="226"/>
        <v>4.3820885431492593</v>
      </c>
      <c r="I150" s="119">
        <f t="shared" si="227"/>
        <v>260</v>
      </c>
      <c r="J150" s="29">
        <f t="shared" si="228"/>
        <v>4.9536653096469889</v>
      </c>
      <c r="K150" s="6" t="str">
        <f>IF(U150="Yes",UPPER(IF(ISNUMBER(SEARCH("winding",VLOOKUP(CONCATENATE(P150,Q150,S150,E150),TIM[[Limiting Equipment Reference-PTX]:[Summ Equipment]],7,0))),"Power Transformer Rating at "&amp;ROUND(E150*S150*SQRT(3)/1000,2)&amp;" MVA",VLOOKUP(CONCATENATE(P150,Q150,S150,E150),TIM[[Limiting Equipment Reference-No PTX]:[Summ Equipment]],8,0))),UPPER(VLOOKUP(CONCATENATE(P150,Q150,S150,E150),TIM[[Limiting Equipment Reference-No PTX]:[Summ Equipment]],8,0)))</f>
        <v>CABLE-3C 0.3IN² CU PILC SWAS</v>
      </c>
      <c r="L150" s="146" t="s">
        <v>1267</v>
      </c>
      <c r="M150" s="509" t="s">
        <v>1266</v>
      </c>
      <c r="O150" s="118" t="str">
        <f t="shared" si="240"/>
        <v>HNT-CB6</v>
      </c>
      <c r="P150" s="49" t="s">
        <v>1245</v>
      </c>
      <c r="Q150" s="49" t="s">
        <v>1332</v>
      </c>
      <c r="R150" s="386"/>
      <c r="S150" s="43">
        <v>11</v>
      </c>
      <c r="T150" s="146" t="s">
        <v>1266</v>
      </c>
      <c r="U150" s="146" t="s">
        <v>1266</v>
      </c>
      <c r="V150" s="487"/>
      <c r="X150" s="498" t="s">
        <v>500</v>
      </c>
      <c r="Y150" s="431" t="str">
        <f t="shared" si="241"/>
        <v>HNT - NST A &amp; VT6</v>
      </c>
      <c r="Z150" s="432">
        <v>300</v>
      </c>
      <c r="AA150" s="441" t="str">
        <f t="shared" si="242"/>
        <v>q</v>
      </c>
      <c r="AB150" s="134">
        <f t="shared" si="231"/>
        <v>0</v>
      </c>
      <c r="AC150" s="134">
        <f t="shared" si="232"/>
        <v>0</v>
      </c>
      <c r="AD150" s="134">
        <f t="shared" si="233"/>
        <v>8.2312500000000455</v>
      </c>
      <c r="AE150" s="134">
        <f t="shared" si="234"/>
        <v>0.1568263753078154</v>
      </c>
      <c r="AF150" s="432">
        <v>400</v>
      </c>
      <c r="AG150" s="436" t="str">
        <f t="shared" si="243"/>
        <v>u</v>
      </c>
      <c r="AH150" s="134">
        <f t="shared" si="236"/>
        <v>0</v>
      </c>
      <c r="AI150" s="134">
        <f t="shared" si="237"/>
        <v>0</v>
      </c>
      <c r="AJ150" s="134">
        <f t="shared" si="238"/>
        <v>0</v>
      </c>
      <c r="AK150" s="134">
        <f t="shared" si="239"/>
        <v>0</v>
      </c>
      <c r="AL150" s="470" t="s">
        <v>1266</v>
      </c>
    </row>
    <row r="151" spans="1:38" hidden="1" x14ac:dyDescent="0.25">
      <c r="B151" s="124" t="s">
        <v>512</v>
      </c>
      <c r="C151" s="168" t="s">
        <v>2788</v>
      </c>
      <c r="D151" s="119">
        <f t="shared" si="224"/>
        <v>11</v>
      </c>
      <c r="E151" s="370">
        <f t="array" ref="E151">IF(U151="YES",IF(T151="YES",MIN(IF(TIM[Load Capability Reference]=CONCATENATE(P151,Q151,S151,R151),TIM[Lowest A-PTX])),MIN(IF(TIM[Load Capability Reference]=CONCATENATE(P151,Q151,S151,R151),IF(TIM[Equipment ID]&lt;&gt;O151,TIM[Lowest A-PTX])))),IF(T151="YES",MIN(IF(TIM[Load Capability Reference]=CONCATENATE(P151,Q151,S151,R151),TIM[Lowest A-No PTX])),MIN(IF(TIM[Load Capability Reference]=CONCATENATE(P151,Q151,S151,R151),IF(TIM[Equipment ID]&lt;&gt;O151,TIM[Lowest A-No PTX])))))</f>
        <v>160.47399999999999</v>
      </c>
      <c r="F151" s="119">
        <f>IFERROR(IFERROR(VLOOKUP(CONCATENATE(P151,Q151,O151,S151,"Protection"),TIM[[OC Protection Reference]:[Forward A]],23,0),VLOOKUP(O151,AEL_Protection_Data[],12,0)),"N/A")</f>
        <v>200</v>
      </c>
      <c r="G151" s="119">
        <f t="shared" si="225"/>
        <v>125</v>
      </c>
      <c r="H151" s="29">
        <f t="shared" si="226"/>
        <v>2.3815698604072062</v>
      </c>
      <c r="I151" s="119">
        <f t="shared" si="227"/>
        <v>140</v>
      </c>
      <c r="J151" s="29">
        <f t="shared" si="228"/>
        <v>2.667358243656071</v>
      </c>
      <c r="K151" s="6" t="str">
        <f>IF(U151="Yes",UPPER(IF(ISNUMBER(SEARCH("winding",VLOOKUP(CONCATENATE(P151,Q151,S151,E151),TIM[[Limiting Equipment Reference-PTX]:[Summ Equipment]],7,0))),"Power Transformer Rating at "&amp;ROUND(E151*S151*SQRT(3)/1000,2)&amp;" MVA",VLOOKUP(CONCATENATE(P151,Q151,S151,E151),TIM[[Limiting Equipment Reference-No PTX]:[Summ Equipment]],8,0))),UPPER(VLOOKUP(CONCATENATE(P151,Q151,S151,E151),TIM[[Limiting Equipment Reference-No PTX]:[Summ Equipment]],8,0)))</f>
        <v>CABLE-3C 0.15IN² AL PILC STAS</v>
      </c>
      <c r="L151" s="146" t="s">
        <v>1267</v>
      </c>
      <c r="M151" s="509" t="s">
        <v>1266</v>
      </c>
      <c r="O151" s="118" t="str">
        <f t="shared" si="240"/>
        <v>HNT-CB7</v>
      </c>
      <c r="P151" s="49" t="s">
        <v>1276</v>
      </c>
      <c r="Q151" s="49" t="s">
        <v>218</v>
      </c>
      <c r="R151" s="386"/>
      <c r="S151" s="43">
        <v>11</v>
      </c>
      <c r="T151" s="146" t="s">
        <v>1266</v>
      </c>
      <c r="U151" s="146" t="s">
        <v>1266</v>
      </c>
      <c r="V151" s="487"/>
      <c r="X151" s="498" t="s">
        <v>512</v>
      </c>
      <c r="Y151" s="431" t="str">
        <f t="shared" si="241"/>
        <v>CHURCH STREET -SOUTH SIDE</v>
      </c>
      <c r="Z151" s="432">
        <v>170</v>
      </c>
      <c r="AA151" s="441" t="str">
        <f t="shared" si="242"/>
        <v>q</v>
      </c>
      <c r="AB151" s="134">
        <f t="shared" si="231"/>
        <v>0</v>
      </c>
      <c r="AC151" s="134">
        <f t="shared" si="232"/>
        <v>0</v>
      </c>
      <c r="AD151" s="134">
        <f t="shared" si="233"/>
        <v>9.5260000000000105</v>
      </c>
      <c r="AE151" s="134">
        <f t="shared" si="234"/>
        <v>0.18149467592191257</v>
      </c>
      <c r="AF151" s="432">
        <v>200</v>
      </c>
      <c r="AG151" s="436" t="str">
        <f t="shared" si="243"/>
        <v>u</v>
      </c>
      <c r="AH151" s="134">
        <f t="shared" si="236"/>
        <v>0</v>
      </c>
      <c r="AI151" s="134">
        <f t="shared" si="237"/>
        <v>0</v>
      </c>
      <c r="AJ151" s="134">
        <f t="shared" si="238"/>
        <v>0</v>
      </c>
      <c r="AK151" s="134">
        <f t="shared" si="239"/>
        <v>0</v>
      </c>
      <c r="AL151" s="470" t="s">
        <v>1266</v>
      </c>
    </row>
    <row r="152" spans="1:38" hidden="1" x14ac:dyDescent="0.25">
      <c r="B152" s="124" t="s">
        <v>522</v>
      </c>
      <c r="C152" s="168" t="s">
        <v>2789</v>
      </c>
      <c r="D152" s="119">
        <f t="shared" si="224"/>
        <v>11</v>
      </c>
      <c r="E152" s="370" t="s">
        <v>1162</v>
      </c>
      <c r="F152" s="119">
        <f>IFERROR(IFERROR(VLOOKUP(CONCATENATE(P152,Q152,O152,S152,"Protection"),TIM[[OC Protection Reference]:[Forward A]],23,0),VLOOKUP(O152,AEL_Protection_Data[],12,0)),"N/A")</f>
        <v>200</v>
      </c>
      <c r="G152" s="119">
        <f t="shared" si="225"/>
        <v>160</v>
      </c>
      <c r="H152" s="29">
        <f t="shared" si="226"/>
        <v>3.0484094213212236</v>
      </c>
      <c r="I152" s="119">
        <f t="shared" si="227"/>
        <v>180</v>
      </c>
      <c r="J152" s="29">
        <f t="shared" si="228"/>
        <v>3.4294605989863767</v>
      </c>
      <c r="K152" s="6" t="s">
        <v>2829</v>
      </c>
      <c r="L152" s="146" t="s">
        <v>1267</v>
      </c>
      <c r="M152" s="509" t="s">
        <v>1266</v>
      </c>
      <c r="O152" s="118" t="str">
        <f t="shared" si="240"/>
        <v>HNT-CB8</v>
      </c>
      <c r="P152" s="49" t="s">
        <v>1276</v>
      </c>
      <c r="Q152" s="49" t="s">
        <v>1414</v>
      </c>
      <c r="R152" s="386"/>
      <c r="S152" s="43">
        <v>11</v>
      </c>
      <c r="T152" s="146" t="s">
        <v>1266</v>
      </c>
      <c r="U152" s="146" t="s">
        <v>1266</v>
      </c>
      <c r="V152" s="487"/>
      <c r="X152" s="498" t="s">
        <v>522</v>
      </c>
      <c r="Y152" s="431" t="str">
        <f t="shared" si="241"/>
        <v>SPARE (TEST CUBICLE ONLY)</v>
      </c>
      <c r="Z152" s="432"/>
      <c r="AA152" s="441" t="str">
        <f t="shared" si="242"/>
        <v>p</v>
      </c>
      <c r="AB152" s="134">
        <f t="shared" si="231"/>
        <v>0</v>
      </c>
      <c r="AC152" s="134">
        <f t="shared" si="232"/>
        <v>0</v>
      </c>
      <c r="AD152" s="134">
        <f t="shared" si="233"/>
        <v>0</v>
      </c>
      <c r="AE152" s="134">
        <f t="shared" si="234"/>
        <v>0</v>
      </c>
      <c r="AF152" s="432"/>
      <c r="AG152" s="436" t="str">
        <f t="shared" si="243"/>
        <v>p</v>
      </c>
      <c r="AH152" s="134">
        <f t="shared" si="236"/>
        <v>0</v>
      </c>
      <c r="AI152" s="134">
        <f t="shared" si="237"/>
        <v>0</v>
      </c>
      <c r="AJ152" s="134">
        <f t="shared" si="238"/>
        <v>0</v>
      </c>
      <c r="AK152" s="134">
        <f t="shared" si="239"/>
        <v>0</v>
      </c>
      <c r="AL152" s="470" t="s">
        <v>1266</v>
      </c>
    </row>
    <row r="153" spans="1:38" x14ac:dyDescent="0.25">
      <c r="B153" s="123" t="s">
        <v>526</v>
      </c>
      <c r="C153" s="6" t="s">
        <v>2568</v>
      </c>
      <c r="D153" s="119">
        <f t="shared" si="224"/>
        <v>11</v>
      </c>
      <c r="E153" s="370">
        <v>3000</v>
      </c>
      <c r="F153" s="119" t="str">
        <f>IFERROR(IFERROR(VLOOKUP(CONCATENATE(P153,Q153,O153,S153,"Protection"),TIM[[OC Protection Reference]:[Forward A]],23,0),VLOOKUP(O153,AEL_Protection_Data[],12,0)),"N/A")</f>
        <v>N/A</v>
      </c>
      <c r="G153" s="119">
        <f t="shared" ref="G153:G154" si="244">IFERROR(FLOOR(MIN(E153:F153)*$D$3,5),"")</f>
        <v>2400</v>
      </c>
      <c r="H153" s="29">
        <f t="shared" ref="H153:H154" si="245">G153*S153*SQRT(3)/1000</f>
        <v>45.72614131981836</v>
      </c>
      <c r="I153" s="119">
        <f t="shared" ref="I153:I154" si="246">IFERROR(FLOOR(MIN(E153:F153)*$D$2,5),"")</f>
        <v>2700</v>
      </c>
      <c r="J153" s="29">
        <f t="shared" ref="J153:J154" si="247">I153*S153*SQRT(3)/1000</f>
        <v>51.441908984795653</v>
      </c>
      <c r="K153" s="6" t="s">
        <v>2779</v>
      </c>
      <c r="L153" s="146" t="s">
        <v>1267</v>
      </c>
      <c r="M153" s="509" t="s">
        <v>1266</v>
      </c>
      <c r="O153" s="118" t="str">
        <f t="shared" si="240"/>
        <v>HNT-CB9</v>
      </c>
      <c r="P153" s="49" t="s">
        <v>1276</v>
      </c>
      <c r="Q153" s="49" t="s">
        <v>1415</v>
      </c>
      <c r="R153" s="386"/>
      <c r="S153" s="43">
        <v>11</v>
      </c>
      <c r="T153" s="146" t="s">
        <v>1266</v>
      </c>
      <c r="U153" s="146" t="s">
        <v>1266</v>
      </c>
      <c r="V153" s="487" t="s">
        <v>2821</v>
      </c>
      <c r="X153" s="499" t="s">
        <v>526</v>
      </c>
      <c r="Y153" s="431" t="str">
        <f t="shared" si="241"/>
        <v>BUS COUPLER</v>
      </c>
      <c r="Z153" s="432"/>
      <c r="AA153" s="441" t="str">
        <f t="shared" si="242"/>
        <v>p</v>
      </c>
      <c r="AB153" s="134">
        <f t="shared" si="231"/>
        <v>0</v>
      </c>
      <c r="AC153" s="134">
        <f t="shared" si="232"/>
        <v>0</v>
      </c>
      <c r="AD153" s="134">
        <f t="shared" si="233"/>
        <v>0</v>
      </c>
      <c r="AE153" s="134">
        <f t="shared" si="234"/>
        <v>0</v>
      </c>
      <c r="AF153" s="432"/>
      <c r="AG153" s="436" t="str">
        <f t="shared" si="243"/>
        <v>p</v>
      </c>
      <c r="AH153" s="134">
        <f t="shared" si="236"/>
        <v>0</v>
      </c>
      <c r="AI153" s="134">
        <f t="shared" si="237"/>
        <v>0</v>
      </c>
      <c r="AJ153" s="134">
        <f t="shared" si="238"/>
        <v>0</v>
      </c>
      <c r="AK153" s="134">
        <f t="shared" si="239"/>
        <v>0</v>
      </c>
      <c r="AL153" s="470" t="s">
        <v>1266</v>
      </c>
    </row>
    <row r="154" spans="1:38" hidden="1" x14ac:dyDescent="0.25">
      <c r="B154" s="124" t="s">
        <v>1763</v>
      </c>
      <c r="C154" s="168" t="s">
        <v>2790</v>
      </c>
      <c r="D154" s="119">
        <f t="shared" si="224"/>
        <v>11</v>
      </c>
      <c r="E154" s="370">
        <f t="array" ref="E154">IF(U154="YES",IF(T154="YES",MIN(IF(TIM[Load Capability Reference]=CONCATENATE(P154,Q154,S154,R154),TIM[Lowest A-PTX])),MIN(IF(TIM[Load Capability Reference]=CONCATENATE(P154,Q154,S154,R154),IF(TIM[Equipment ID]&lt;&gt;O154,TIM[Lowest A-PTX])))),IF(T154="YES",MIN(IF(TIM[Load Capability Reference]=CONCATENATE(P154,Q154,S154,R154),TIM[Lowest A-No PTX])),MIN(IF(TIM[Load Capability Reference]=CONCATENATE(P154,Q154,S154,R154),IF(TIM[Equipment ID]&lt;&gt;O154,TIM[Lowest A-No PTX])))))</f>
        <v>209.47499999999997</v>
      </c>
      <c r="F154" s="119">
        <f>IFERROR(IFERROR(VLOOKUP(CONCATENATE(P154,Q154,O154,S154,"Protection"),TIM[[OC Protection Reference]:[Forward A]],23,0),VLOOKUP(O154,AEL_Protection_Data[],12,0)),"N/A")</f>
        <v>200</v>
      </c>
      <c r="G154" s="119">
        <f t="shared" si="244"/>
        <v>160</v>
      </c>
      <c r="H154" s="29">
        <f t="shared" si="245"/>
        <v>3.0484094213212236</v>
      </c>
      <c r="I154" s="119">
        <f t="shared" si="246"/>
        <v>180</v>
      </c>
      <c r="J154" s="29">
        <f t="shared" si="247"/>
        <v>3.4294605989863767</v>
      </c>
      <c r="K154" s="6" t="str">
        <f>IF(U154="Yes",UPPER(IF(ISNUMBER(SEARCH("winding",VLOOKUP(CONCATENATE(P154,Q154,S154,E154),TIM[[Limiting Equipment Reference-PTX]:[Summ Equipment]],7,0))),"Power Transformer Rating at "&amp;ROUND(E154*S154*SQRT(3)/1000,2)&amp;" MVA",VLOOKUP(CONCATENATE(P154,Q154,S154,E154),TIM[[Limiting Equipment Reference-No PTX]:[Summ Equipment]],8,0))),UPPER(VLOOKUP(CONCATENATE(P154,Q154,S154,E154),TIM[[Limiting Equipment Reference-No PTX]:[Summ Equipment]],8,0)))</f>
        <v>CABLE-3C 185MM² AL PILC SWAS</v>
      </c>
      <c r="L154" s="146" t="s">
        <v>1267</v>
      </c>
      <c r="M154" s="509" t="s">
        <v>1266</v>
      </c>
      <c r="O154" s="118" t="str">
        <f t="shared" si="240"/>
        <v>HNT-CB10</v>
      </c>
      <c r="P154" s="49" t="s">
        <v>1276</v>
      </c>
      <c r="Q154" s="49" t="s">
        <v>219</v>
      </c>
      <c r="R154" s="386"/>
      <c r="S154" s="43">
        <v>11</v>
      </c>
      <c r="T154" s="146" t="s">
        <v>1266</v>
      </c>
      <c r="U154" s="146" t="s">
        <v>1266</v>
      </c>
      <c r="V154" s="487"/>
      <c r="X154" s="498" t="s">
        <v>1763</v>
      </c>
      <c r="Y154" s="431" t="str">
        <f t="shared" si="241"/>
        <v>GIBSON STREET</v>
      </c>
      <c r="Z154" s="432">
        <v>200</v>
      </c>
      <c r="AA154" s="441" t="str">
        <f t="shared" si="242"/>
        <v>p</v>
      </c>
      <c r="AB154" s="134">
        <f t="shared" si="231"/>
        <v>9.4749999999999659</v>
      </c>
      <c r="AC154" s="134">
        <f t="shared" si="232"/>
        <v>0.18052299541886557</v>
      </c>
      <c r="AD154" s="134">
        <f t="shared" si="233"/>
        <v>0</v>
      </c>
      <c r="AE154" s="134">
        <f t="shared" si="234"/>
        <v>0</v>
      </c>
      <c r="AF154" s="432">
        <v>200</v>
      </c>
      <c r="AG154" s="436" t="str">
        <f t="shared" si="243"/>
        <v>u</v>
      </c>
      <c r="AH154" s="134">
        <f t="shared" si="236"/>
        <v>0</v>
      </c>
      <c r="AI154" s="134">
        <f t="shared" si="237"/>
        <v>0</v>
      </c>
      <c r="AJ154" s="134">
        <f t="shared" si="238"/>
        <v>0</v>
      </c>
      <c r="AK154" s="134">
        <f t="shared" si="239"/>
        <v>0</v>
      </c>
      <c r="AL154" s="470" t="s">
        <v>1266</v>
      </c>
    </row>
    <row r="155" spans="1:38" hidden="1" x14ac:dyDescent="0.25">
      <c r="B155" s="124" t="s">
        <v>607</v>
      </c>
      <c r="C155" s="168" t="s">
        <v>2791</v>
      </c>
      <c r="D155" s="119">
        <f t="shared" si="224"/>
        <v>11</v>
      </c>
      <c r="E155" s="370">
        <f t="array" ref="E155">IF(U155="YES",IF(T155="YES",MIN(IF(TIM[Load Capability Reference]=CONCATENATE(P155,Q155,S155,R155),TIM[Lowest A-PTX])),MIN(IF(TIM[Load Capability Reference]=CONCATENATE(P155,Q155,S155,R155),IF(TIM[Equipment ID]&lt;&gt;O155,TIM[Lowest A-PTX])))),IF(T155="YES",MIN(IF(TIM[Load Capability Reference]=CONCATENATE(P155,Q155,S155,R155),TIM[Lowest A-No PTX])),MIN(IF(TIM[Load Capability Reference]=CONCATENATE(P155,Q155,S155,R155),IF(TIM[Equipment ID]&lt;&gt;O155,TIM[Lowest A-No PTX])))))</f>
        <v>165.59373600000001</v>
      </c>
      <c r="F155" s="119">
        <f>IFERROR(IFERROR(VLOOKUP(CONCATENATE(P155,Q155,O155,S155,"Protection"),TIM[[OC Protection Reference]:[Forward A]],23,0),VLOOKUP(O155,AEL_Protection_Data[],12,0)),"N/A")</f>
        <v>200</v>
      </c>
      <c r="G155" s="119">
        <f t="shared" ref="G155" si="248">IFERROR(FLOOR(MIN(E155:F155)*$D$3,5),"")</f>
        <v>130</v>
      </c>
      <c r="H155" s="29">
        <f t="shared" ref="H155" si="249">G155*S155*SQRT(3)/1000</f>
        <v>2.4768326548234945</v>
      </c>
      <c r="I155" s="119">
        <f t="shared" ref="I155" si="250">IFERROR(FLOOR(MIN(E155:F155)*$D$2,5),"")</f>
        <v>145</v>
      </c>
      <c r="J155" s="29">
        <f t="shared" ref="J155" si="251">I155*S155*SQRT(3)/1000</f>
        <v>2.7626210380723593</v>
      </c>
      <c r="K155" s="6" t="str">
        <f>IF(U155="Yes",UPPER(IF(ISNUMBER(SEARCH("winding",VLOOKUP(CONCATENATE(P155,Q155,S155,E155),TIM[[Limiting Equipment Reference-PTX]:[Summ Equipment]],7,0))),"Power Transformer Rating at "&amp;ROUND(E155*S155*SQRT(3)/1000,2)&amp;" MVA",VLOOKUP(CONCATENATE(P155,Q155,S155,E155),TIM[[Limiting Equipment Reference-No PTX]:[Summ Equipment]],8,0))),UPPER(VLOOKUP(CONCATENATE(P155,Q155,S155,E155),TIM[[Limiting Equipment Reference-No PTX]:[Summ Equipment]],8,0)))</f>
        <v>CABLE-3C 185MM² AL PILC SWAS</v>
      </c>
      <c r="L155" s="146" t="s">
        <v>1267</v>
      </c>
      <c r="M155" s="509" t="s">
        <v>1266</v>
      </c>
      <c r="O155" s="118" t="str">
        <f t="shared" si="240"/>
        <v>HNT-CB11</v>
      </c>
      <c r="P155" s="49" t="s">
        <v>1276</v>
      </c>
      <c r="Q155" s="49" t="s">
        <v>220</v>
      </c>
      <c r="R155" s="386"/>
      <c r="S155" s="43">
        <v>11</v>
      </c>
      <c r="T155" s="146" t="s">
        <v>1266</v>
      </c>
      <c r="U155" s="146" t="s">
        <v>1266</v>
      </c>
      <c r="V155" s="487"/>
      <c r="X155" s="498" t="s">
        <v>607</v>
      </c>
      <c r="Y155" s="431" t="str">
        <f t="shared" si="241"/>
        <v>RHODES STREET</v>
      </c>
      <c r="Z155" s="432">
        <v>165</v>
      </c>
      <c r="AA155" s="441" t="str">
        <f t="shared" si="242"/>
        <v>p</v>
      </c>
      <c r="AB155" s="134">
        <f t="shared" si="231"/>
        <v>0.59373600000000692</v>
      </c>
      <c r="AC155" s="134">
        <f t="shared" si="232"/>
        <v>1.1312190101109997E-2</v>
      </c>
      <c r="AD155" s="134">
        <f t="shared" si="233"/>
        <v>0</v>
      </c>
      <c r="AE155" s="134">
        <f t="shared" si="234"/>
        <v>0</v>
      </c>
      <c r="AF155" s="432">
        <v>200</v>
      </c>
      <c r="AG155" s="436" t="str">
        <f t="shared" si="243"/>
        <v>u</v>
      </c>
      <c r="AH155" s="134">
        <f t="shared" si="236"/>
        <v>0</v>
      </c>
      <c r="AI155" s="134">
        <f t="shared" si="237"/>
        <v>0</v>
      </c>
      <c r="AJ155" s="134">
        <f t="shared" si="238"/>
        <v>0</v>
      </c>
      <c r="AK155" s="134">
        <f t="shared" si="239"/>
        <v>0</v>
      </c>
      <c r="AL155" s="470" t="s">
        <v>1266</v>
      </c>
    </row>
    <row r="156" spans="1:38" hidden="1" x14ac:dyDescent="0.25">
      <c r="B156" s="124" t="s">
        <v>610</v>
      </c>
      <c r="C156" s="168" t="s">
        <v>2792</v>
      </c>
      <c r="D156" s="119">
        <f t="shared" si="224"/>
        <v>11</v>
      </c>
      <c r="E156" s="370">
        <f t="array" ref="E156">IF(U156="YES",IF(T156="YES",MIN(IF(TIM[Load Capability Reference]=CONCATENATE(P156,Q156,S156,R156),TIM[Lowest A-PTX])),MIN(IF(TIM[Load Capability Reference]=CONCATENATE(P156,Q156,S156,R156),IF(TIM[Equipment ID]&lt;&gt;O156,TIM[Lowest A-PTX])))),IF(T156="YES",MIN(IF(TIM[Load Capability Reference]=CONCATENATE(P156,Q156,S156,R156),TIM[Lowest A-No PTX])),MIN(IF(TIM[Load Capability Reference]=CONCATENATE(P156,Q156,S156,R156),IF(TIM[Equipment ID]&lt;&gt;O156,TIM[Lowest A-No PTX])))))</f>
        <v>297.464</v>
      </c>
      <c r="F156" s="119">
        <f>IFERROR(IFERROR(VLOOKUP(CONCATENATE(P156,Q156,O156,S156,"Protection"),TIM[[OC Protection Reference]:[Forward A]],23,0),VLOOKUP(O156,AEL_Protection_Data[],12,0)),"N/A")</f>
        <v>400</v>
      </c>
      <c r="G156" s="119">
        <f t="shared" si="225"/>
        <v>235</v>
      </c>
      <c r="H156" s="29">
        <f t="shared" si="226"/>
        <v>4.4773513375655476</v>
      </c>
      <c r="I156" s="119">
        <f t="shared" si="227"/>
        <v>265</v>
      </c>
      <c r="J156" s="29">
        <f t="shared" si="228"/>
        <v>5.0489281040632772</v>
      </c>
      <c r="K156" s="6" t="str">
        <f>IF(U156="Yes",UPPER(IF(ISNUMBER(SEARCH("winding",VLOOKUP(CONCATENATE(P156,Q156,S156,E156),TIM[[Limiting Equipment Reference-PTX]:[Summ Equipment]],7,0))),"Power Transformer Rating at "&amp;ROUND(E156*S156*SQRT(3)/1000,2)&amp;" MVA",VLOOKUP(CONCATENATE(P156,Q156,S156,E156),TIM[[Limiting Equipment Reference-No PTX]:[Summ Equipment]],8,0))),UPPER(VLOOKUP(CONCATENATE(P156,Q156,S156,E156),TIM[[Limiting Equipment Reference-No PTX]:[Summ Equipment]],8,0)))</f>
        <v>CABLE-3C 0.3IN² CU PILC STAS</v>
      </c>
      <c r="L156" s="146" t="s">
        <v>1267</v>
      </c>
      <c r="M156" s="509" t="s">
        <v>1266</v>
      </c>
      <c r="O156" s="118" t="str">
        <f t="shared" si="240"/>
        <v>HNT-CB12</v>
      </c>
      <c r="P156" s="49" t="s">
        <v>1245</v>
      </c>
      <c r="Q156" s="49" t="s">
        <v>1413</v>
      </c>
      <c r="R156" s="386"/>
      <c r="S156" s="43">
        <v>11</v>
      </c>
      <c r="T156" s="146" t="s">
        <v>1266</v>
      </c>
      <c r="U156" s="146" t="s">
        <v>1266</v>
      </c>
      <c r="V156" s="487"/>
      <c r="X156" s="498" t="s">
        <v>610</v>
      </c>
      <c r="Y156" s="431" t="str">
        <f t="shared" si="241"/>
        <v>GRM - HNT B &amp; VT12</v>
      </c>
      <c r="Z156" s="432">
        <v>300</v>
      </c>
      <c r="AA156" s="441" t="str">
        <f t="shared" si="242"/>
        <v>q</v>
      </c>
      <c r="AB156" s="134">
        <f t="shared" si="231"/>
        <v>0</v>
      </c>
      <c r="AC156" s="134">
        <f t="shared" si="232"/>
        <v>0</v>
      </c>
      <c r="AD156" s="134">
        <f t="shared" si="233"/>
        <v>2.5360000000000014</v>
      </c>
      <c r="AE156" s="134">
        <f t="shared" si="234"/>
        <v>4.8317289327941423E-2</v>
      </c>
      <c r="AF156" s="432">
        <v>400</v>
      </c>
      <c r="AG156" s="436" t="str">
        <f t="shared" si="243"/>
        <v>u</v>
      </c>
      <c r="AH156" s="134">
        <f t="shared" si="236"/>
        <v>0</v>
      </c>
      <c r="AI156" s="134">
        <f t="shared" si="237"/>
        <v>0</v>
      </c>
      <c r="AJ156" s="134">
        <f t="shared" si="238"/>
        <v>0</v>
      </c>
      <c r="AK156" s="134">
        <f t="shared" si="239"/>
        <v>0</v>
      </c>
      <c r="AL156" s="470" t="s">
        <v>1266</v>
      </c>
    </row>
    <row r="157" spans="1:38" hidden="1" x14ac:dyDescent="0.25">
      <c r="B157" s="124" t="s">
        <v>611</v>
      </c>
      <c r="C157" s="168" t="s">
        <v>2793</v>
      </c>
      <c r="D157" s="119">
        <f t="shared" si="224"/>
        <v>11</v>
      </c>
      <c r="E157" s="370">
        <f t="array" ref="E157">IF(U157="YES",IF(T157="YES",MIN(IF(TIM[Load Capability Reference]=CONCATENATE(P157,Q157,S157,R157),TIM[Lowest A-PTX])),MIN(IF(TIM[Load Capability Reference]=CONCATENATE(P157,Q157,S157,R157),IF(TIM[Equipment ID]&lt;&gt;O157,TIM[Lowest A-PTX])))),IF(T157="YES",MIN(IF(TIM[Load Capability Reference]=CONCATENATE(P157,Q157,S157,R157),TIM[Lowest A-No PTX])),MIN(IF(TIM[Load Capability Reference]=CONCATENATE(P157,Q157,S157,R157),IF(TIM[Equipment ID]&lt;&gt;O157,TIM[Lowest A-No PTX])))))</f>
        <v>203.49</v>
      </c>
      <c r="F157" s="119">
        <f>IFERROR(IFERROR(VLOOKUP(CONCATENATE(P157,Q157,O157,S157,"Protection"),TIM[[OC Protection Reference]:[Forward A]],23,0),VLOOKUP(O157,AEL_Protection_Data[],12,0)),"N/A")</f>
        <v>200</v>
      </c>
      <c r="G157" s="119">
        <f t="shared" si="225"/>
        <v>160</v>
      </c>
      <c r="H157" s="29">
        <f t="shared" si="226"/>
        <v>3.0484094213212236</v>
      </c>
      <c r="I157" s="119">
        <f t="shared" si="227"/>
        <v>180</v>
      </c>
      <c r="J157" s="29">
        <f t="shared" si="228"/>
        <v>3.4294605989863767</v>
      </c>
      <c r="K157" s="6" t="str">
        <f>IF(U157="Yes",UPPER(IF(ISNUMBER(SEARCH("winding",VLOOKUP(CONCATENATE(P157,Q157,S157,E157),TIM[[Limiting Equipment Reference-PTX]:[Summ Equipment]],7,0))),"Power Transformer Rating at "&amp;ROUND(E157*S157*SQRT(3)/1000,2)&amp;" MVA",VLOOKUP(CONCATENATE(P157,Q157,S157,E157),TIM[[Limiting Equipment Reference-No PTX]:[Summ Equipment]],8,0))),UPPER(VLOOKUP(CONCATENATE(P157,Q157,S157,E157),TIM[[Limiting Equipment Reference-No PTX]:[Summ Equipment]],8,0)))</f>
        <v>CABLE-3C 185MM² AL PILC SWAS</v>
      </c>
      <c r="L157" s="146" t="s">
        <v>1267</v>
      </c>
      <c r="M157" s="509" t="s">
        <v>1266</v>
      </c>
      <c r="O157" s="118" t="str">
        <f t="shared" si="240"/>
        <v>HNT-CB13</v>
      </c>
      <c r="P157" s="49" t="s">
        <v>1276</v>
      </c>
      <c r="Q157" s="49" t="s">
        <v>221</v>
      </c>
      <c r="R157" s="386"/>
      <c r="S157" s="43">
        <v>11</v>
      </c>
      <c r="T157" s="146" t="s">
        <v>1266</v>
      </c>
      <c r="U157" s="146" t="s">
        <v>1266</v>
      </c>
      <c r="V157" s="487"/>
      <c r="X157" s="498" t="s">
        <v>611</v>
      </c>
      <c r="Y157" s="431" t="str">
        <f t="shared" si="241"/>
        <v>CLIFTON TCE</v>
      </c>
      <c r="Z157" s="432">
        <v>200</v>
      </c>
      <c r="AA157" s="441" t="str">
        <f t="shared" si="242"/>
        <v>p</v>
      </c>
      <c r="AB157" s="134">
        <f t="shared" si="231"/>
        <v>3.4900000000000091</v>
      </c>
      <c r="AC157" s="134">
        <f t="shared" si="232"/>
        <v>6.6493430502569367E-2</v>
      </c>
      <c r="AD157" s="134">
        <f t="shared" si="233"/>
        <v>0</v>
      </c>
      <c r="AE157" s="134">
        <f t="shared" si="234"/>
        <v>0</v>
      </c>
      <c r="AF157" s="432">
        <v>200</v>
      </c>
      <c r="AG157" s="436" t="str">
        <f t="shared" si="243"/>
        <v>u</v>
      </c>
      <c r="AH157" s="134">
        <f t="shared" si="236"/>
        <v>0</v>
      </c>
      <c r="AI157" s="134">
        <f t="shared" si="237"/>
        <v>0</v>
      </c>
      <c r="AJ157" s="134">
        <f t="shared" si="238"/>
        <v>0</v>
      </c>
      <c r="AK157" s="134">
        <f t="shared" si="239"/>
        <v>0</v>
      </c>
      <c r="AL157" s="470" t="s">
        <v>1266</v>
      </c>
    </row>
    <row r="158" spans="1:38" hidden="1" x14ac:dyDescent="0.25">
      <c r="B158" s="124" t="s">
        <v>1594</v>
      </c>
      <c r="C158" s="168" t="s">
        <v>2794</v>
      </c>
      <c r="D158" s="119">
        <f t="shared" si="224"/>
        <v>11</v>
      </c>
      <c r="E158" s="370">
        <f t="array" ref="E158">IF(U158="YES",IF(T158="YES",MIN(IF(TIM[Load Capability Reference]=CONCATENATE(P158,Q158,S158,R158),TIM[Lowest A-PTX])),MIN(IF(TIM[Load Capability Reference]=CONCATENATE(P158,Q158,S158,R158),IF(TIM[Equipment ID]&lt;&gt;O158,TIM[Lowest A-PTX])))),IF(T158="YES",MIN(IF(TIM[Load Capability Reference]=CONCATENATE(P158,Q158,S158,R158),TIM[Lowest A-No PTX])),MIN(IF(TIM[Load Capability Reference]=CONCATENATE(P158,Q158,S158,R158),IF(TIM[Equipment ID]&lt;&gt;O158,TIM[Lowest A-No PTX])))))</f>
        <v>157.41405</v>
      </c>
      <c r="F158" s="119">
        <f>IFERROR(IFERROR(VLOOKUP(CONCATENATE(P158,Q158,O158,S158,"Protection"),TIM[[OC Protection Reference]:[Forward A]],23,0),VLOOKUP(O158,AEL_Protection_Data[],12,0)),"N/A")</f>
        <v>200</v>
      </c>
      <c r="G158" s="119">
        <f t="shared" si="225"/>
        <v>125</v>
      </c>
      <c r="H158" s="29">
        <f t="shared" si="226"/>
        <v>2.3815698604072062</v>
      </c>
      <c r="I158" s="119">
        <f t="shared" si="227"/>
        <v>140</v>
      </c>
      <c r="J158" s="29">
        <f t="shared" si="228"/>
        <v>2.667358243656071</v>
      </c>
      <c r="K158" s="6" t="str">
        <f>IF(U158="Yes",UPPER(IF(ISNUMBER(SEARCH("winding",VLOOKUP(CONCATENATE(P158,Q158,S158,E158),TIM[[Limiting Equipment Reference-PTX]:[Summ Equipment]],7,0))),"Power Transformer Rating at "&amp;ROUND(E158*S158*SQRT(3)/1000,2)&amp;" MVA",VLOOKUP(CONCATENATE(P158,Q158,S158,E158),TIM[[Limiting Equipment Reference-No PTX]:[Summ Equipment]],8,0))),UPPER(VLOOKUP(CONCATENATE(P158,Q158,S158,E158),TIM[[Limiting Equipment Reference-No PTX]:[Summ Equipment]],8,0)))</f>
        <v>CABLE-3C 95MM² AL PILC SWAS</v>
      </c>
      <c r="L158" s="146" t="s">
        <v>1267</v>
      </c>
      <c r="M158" s="509" t="s">
        <v>1266</v>
      </c>
      <c r="O158" s="118" t="str">
        <f t="shared" si="240"/>
        <v>HNT-CB14</v>
      </c>
      <c r="P158" s="49" t="s">
        <v>1276</v>
      </c>
      <c r="Q158" s="49" t="s">
        <v>222</v>
      </c>
      <c r="R158" s="386"/>
      <c r="S158" s="43">
        <v>11</v>
      </c>
      <c r="T158" s="146" t="s">
        <v>1266</v>
      </c>
      <c r="U158" s="146" t="s">
        <v>1266</v>
      </c>
      <c r="V158" s="487"/>
      <c r="X158" s="498" t="s">
        <v>1594</v>
      </c>
      <c r="Y158" s="431" t="str">
        <f t="shared" si="241"/>
        <v>CHURCH STREET -NORTH SIDE</v>
      </c>
      <c r="Z158" s="432">
        <v>152</v>
      </c>
      <c r="AA158" s="441" t="str">
        <f t="shared" si="242"/>
        <v>p</v>
      </c>
      <c r="AB158" s="134">
        <f t="shared" si="231"/>
        <v>5.4140500000000031</v>
      </c>
      <c r="AC158" s="134">
        <f t="shared" si="232"/>
        <v>0.10315150642190113</v>
      </c>
      <c r="AD158" s="134">
        <f t="shared" si="233"/>
        <v>0</v>
      </c>
      <c r="AE158" s="134">
        <f t="shared" si="234"/>
        <v>0</v>
      </c>
      <c r="AF158" s="432">
        <v>200</v>
      </c>
      <c r="AG158" s="436" t="str">
        <f t="shared" si="243"/>
        <v>u</v>
      </c>
      <c r="AH158" s="134">
        <f t="shared" si="236"/>
        <v>0</v>
      </c>
      <c r="AI158" s="134">
        <f t="shared" si="237"/>
        <v>0</v>
      </c>
      <c r="AJ158" s="134">
        <f t="shared" si="238"/>
        <v>0</v>
      </c>
      <c r="AK158" s="134">
        <f t="shared" si="239"/>
        <v>0</v>
      </c>
      <c r="AL158" s="470" t="s">
        <v>1266</v>
      </c>
    </row>
    <row r="159" spans="1:38" hidden="1" x14ac:dyDescent="0.25">
      <c r="B159" s="124" t="s">
        <v>1596</v>
      </c>
      <c r="C159" s="168" t="s">
        <v>2795</v>
      </c>
      <c r="D159" s="119">
        <f t="shared" si="224"/>
        <v>11</v>
      </c>
      <c r="E159" s="370">
        <f t="array" ref="E159">IF(U159="YES",IF(T159="YES",MIN(IF(TIM[Load Capability Reference]=CONCATENATE(P159,Q159,S159,R159),TIM[Lowest A-PTX])),MIN(IF(TIM[Load Capability Reference]=CONCATENATE(P159,Q159,S159,R159),IF(TIM[Equipment ID]&lt;&gt;O159,TIM[Lowest A-PTX])))),IF(T159="YES",MIN(IF(TIM[Load Capability Reference]=CONCATENATE(P159,Q159,S159,R159),TIM[Lowest A-No PTX])),MIN(IF(TIM[Load Capability Reference]=CONCATENATE(P159,Q159,S159,R159),IF(TIM[Equipment ID]&lt;&gt;O159,TIM[Lowest A-No PTX])))))</f>
        <v>291.76874999999995</v>
      </c>
      <c r="F159" s="119">
        <f>IFERROR(IFERROR(VLOOKUP(CONCATENATE(P159,Q159,O159,S159,"Protection"),TIM[[OC Protection Reference]:[Forward A]],23,0),VLOOKUP(O159,AEL_Protection_Data[],12,0)),"N/A")</f>
        <v>400</v>
      </c>
      <c r="G159" s="119">
        <f t="shared" si="225"/>
        <v>230</v>
      </c>
      <c r="H159" s="29">
        <f t="shared" si="226"/>
        <v>4.3820885431492593</v>
      </c>
      <c r="I159" s="119">
        <f t="shared" si="227"/>
        <v>260</v>
      </c>
      <c r="J159" s="29">
        <f t="shared" si="228"/>
        <v>4.9536653096469889</v>
      </c>
      <c r="K159" s="6" t="str">
        <f>IF(U159="Yes",UPPER(IF(ISNUMBER(SEARCH("winding",VLOOKUP(CONCATENATE(P159,Q159,S159,E159),TIM[[Limiting Equipment Reference-PTX]:[Summ Equipment]],7,0))),"Power Transformer Rating at "&amp;ROUND(E159*S159*SQRT(3)/1000,2)&amp;" MVA",VLOOKUP(CONCATENATE(P159,Q159,S159,E159),TIM[[Limiting Equipment Reference-No PTX]:[Summ Equipment]],8,0))),UPPER(VLOOKUP(CONCATENATE(P159,Q159,S159,E159),TIM[[Limiting Equipment Reference-No PTX]:[Summ Equipment]],8,0)))</f>
        <v>CABLE-3C 0.3IN² CU PILC SWAS</v>
      </c>
      <c r="L159" s="146" t="s">
        <v>1267</v>
      </c>
      <c r="M159" s="509" t="s">
        <v>1266</v>
      </c>
      <c r="O159" s="118" t="str">
        <f t="shared" si="240"/>
        <v>HNT-CB15</v>
      </c>
      <c r="P159" s="49" t="s">
        <v>1245</v>
      </c>
      <c r="Q159" s="49" t="s">
        <v>1333</v>
      </c>
      <c r="R159" s="386"/>
      <c r="S159" s="43">
        <v>11</v>
      </c>
      <c r="T159" s="146" t="s">
        <v>1266</v>
      </c>
      <c r="U159" s="146" t="s">
        <v>1266</v>
      </c>
      <c r="V159" s="487"/>
      <c r="X159" s="498" t="s">
        <v>1596</v>
      </c>
      <c r="Y159" s="431" t="str">
        <f t="shared" si="241"/>
        <v>HNT - NST B &amp; VT15</v>
      </c>
      <c r="Z159" s="432">
        <v>300</v>
      </c>
      <c r="AA159" s="441" t="str">
        <f t="shared" si="242"/>
        <v>q</v>
      </c>
      <c r="AB159" s="134">
        <f t="shared" si="231"/>
        <v>0</v>
      </c>
      <c r="AC159" s="134">
        <f t="shared" si="232"/>
        <v>0</v>
      </c>
      <c r="AD159" s="134">
        <f t="shared" si="233"/>
        <v>8.2312500000000455</v>
      </c>
      <c r="AE159" s="134">
        <f t="shared" si="234"/>
        <v>0.1568263753078154</v>
      </c>
      <c r="AF159" s="432">
        <v>400</v>
      </c>
      <c r="AG159" s="436" t="str">
        <f t="shared" si="243"/>
        <v>u</v>
      </c>
      <c r="AH159" s="134">
        <f t="shared" si="236"/>
        <v>0</v>
      </c>
      <c r="AI159" s="134">
        <f t="shared" si="237"/>
        <v>0</v>
      </c>
      <c r="AJ159" s="134">
        <f t="shared" si="238"/>
        <v>0</v>
      </c>
      <c r="AK159" s="134">
        <f t="shared" si="239"/>
        <v>0</v>
      </c>
      <c r="AL159" s="470" t="s">
        <v>1266</v>
      </c>
    </row>
    <row r="160" spans="1:38" hidden="1" x14ac:dyDescent="0.25">
      <c r="B160" s="124" t="s">
        <v>1768</v>
      </c>
      <c r="C160" s="168" t="s">
        <v>2796</v>
      </c>
      <c r="D160" s="119">
        <f t="shared" si="224"/>
        <v>11</v>
      </c>
      <c r="E160" s="370">
        <f t="array" ref="E160">IF(U160="YES",IF(T160="YES",MIN(IF(TIM[Load Capability Reference]=CONCATENATE(P160,Q160,S160,R160),TIM[Lowest A-PTX])),MIN(IF(TIM[Load Capability Reference]=CONCATENATE(P160,Q160,S160,R160),IF(TIM[Equipment ID]&lt;&gt;O160,TIM[Lowest A-PTX])))),IF(T160="YES",MIN(IF(TIM[Load Capability Reference]=CONCATENATE(P160,Q160,S160,R160),TIM[Lowest A-No PTX])),MIN(IF(TIM[Load Capability Reference]=CONCATENATE(P160,Q160,S160,R160),IF(TIM[Equipment ID]&lt;&gt;O160,TIM[Lowest A-No PTX])))))</f>
        <v>224.43749999999994</v>
      </c>
      <c r="F160" s="119">
        <f>IFERROR(IFERROR(VLOOKUP(CONCATENATE(P160,Q160,O160,S160,"Protection"),TIM[[OC Protection Reference]:[Forward A]],23,0),VLOOKUP(O160,AEL_Protection_Data[],12,0)),"N/A")</f>
        <v>200</v>
      </c>
      <c r="G160" s="119">
        <f t="shared" si="225"/>
        <v>160</v>
      </c>
      <c r="H160" s="29">
        <f t="shared" si="226"/>
        <v>3.0484094213212236</v>
      </c>
      <c r="I160" s="119">
        <f t="shared" si="227"/>
        <v>180</v>
      </c>
      <c r="J160" s="29">
        <f t="shared" si="228"/>
        <v>3.4294605989863767</v>
      </c>
      <c r="K160" s="6" t="str">
        <f>IF(U160="Yes",UPPER(IF(ISNUMBER(SEARCH("winding",VLOOKUP(CONCATENATE(P160,Q160,S160,E160),TIM[[Limiting Equipment Reference-PTX]:[Summ Equipment]],7,0))),"Power Transformer Rating at "&amp;ROUND(E160*S160*SQRT(3)/1000,2)&amp;" MVA",VLOOKUP(CONCATENATE(P160,Q160,S160,E160),TIM[[Limiting Equipment Reference-No PTX]:[Summ Equipment]],8,0))),UPPER(VLOOKUP(CONCATENATE(P160,Q160,S160,E160),TIM[[Limiting Equipment Reference-No PTX]:[Summ Equipment]],8,0)))</f>
        <v>CABLE-3C 185MM² AL PILC SWAS</v>
      </c>
      <c r="L160" s="146" t="s">
        <v>1267</v>
      </c>
      <c r="M160" s="509" t="s">
        <v>1266</v>
      </c>
      <c r="O160" s="118" t="str">
        <f t="shared" si="240"/>
        <v>HNT-CB16</v>
      </c>
      <c r="P160" s="49" t="s">
        <v>1276</v>
      </c>
      <c r="Q160" s="49" t="s">
        <v>223</v>
      </c>
      <c r="R160" s="386"/>
      <c r="S160" s="43">
        <v>11</v>
      </c>
      <c r="T160" s="146" t="s">
        <v>1266</v>
      </c>
      <c r="U160" s="146" t="s">
        <v>1266</v>
      </c>
      <c r="V160" s="487"/>
      <c r="X160" s="498" t="s">
        <v>1768</v>
      </c>
      <c r="Y160" s="431" t="str">
        <f t="shared" si="241"/>
        <v>ARTHUR STREET</v>
      </c>
      <c r="Z160" s="432">
        <v>220</v>
      </c>
      <c r="AA160" s="441" t="str">
        <f t="shared" si="242"/>
        <v>p</v>
      </c>
      <c r="AB160" s="134">
        <f t="shared" si="231"/>
        <v>4.4374999999999432</v>
      </c>
      <c r="AC160" s="134">
        <f t="shared" si="232"/>
        <v>8.4545730044454731E-2</v>
      </c>
      <c r="AD160" s="134">
        <f t="shared" si="233"/>
        <v>0</v>
      </c>
      <c r="AE160" s="134">
        <f t="shared" si="234"/>
        <v>0</v>
      </c>
      <c r="AF160" s="432">
        <v>200</v>
      </c>
      <c r="AG160" s="436" t="str">
        <f t="shared" si="243"/>
        <v>u</v>
      </c>
      <c r="AH160" s="134">
        <f t="shared" si="236"/>
        <v>0</v>
      </c>
      <c r="AI160" s="134">
        <f t="shared" si="237"/>
        <v>0</v>
      </c>
      <c r="AJ160" s="134">
        <f t="shared" si="238"/>
        <v>0</v>
      </c>
      <c r="AK160" s="134">
        <f t="shared" si="239"/>
        <v>0</v>
      </c>
      <c r="AL160" s="470" t="s">
        <v>1266</v>
      </c>
    </row>
    <row r="161" spans="1:39" ht="15.75" hidden="1" thickBot="1" x14ac:dyDescent="0.3">
      <c r="B161" s="401" t="s">
        <v>1770</v>
      </c>
      <c r="C161" s="375" t="s">
        <v>963</v>
      </c>
      <c r="D161" s="377">
        <f t="shared" si="224"/>
        <v>11</v>
      </c>
      <c r="E161" s="384" t="s">
        <v>1162</v>
      </c>
      <c r="F161" s="377">
        <f>IFERROR(IFERROR(VLOOKUP(CONCATENATE(P161,Q161,O161,S161,"Protection"),TIM[[OC Protection Reference]:[Forward A]],23,0),VLOOKUP(O161,AEL_Protection_Data[],12,0)),"N/A")</f>
        <v>200</v>
      </c>
      <c r="G161" s="377">
        <f t="shared" si="225"/>
        <v>160</v>
      </c>
      <c r="H161" s="185">
        <f t="shared" si="226"/>
        <v>3.0484094213212236</v>
      </c>
      <c r="I161" s="377">
        <f t="shared" si="227"/>
        <v>180</v>
      </c>
      <c r="J161" s="185">
        <f t="shared" si="228"/>
        <v>3.4294605989863767</v>
      </c>
      <c r="K161" s="191" t="s">
        <v>2829</v>
      </c>
      <c r="L161" s="379" t="s">
        <v>1267</v>
      </c>
      <c r="M161" s="511" t="s">
        <v>1266</v>
      </c>
      <c r="O161" s="514" t="str">
        <f t="shared" si="240"/>
        <v>HNT-CB17</v>
      </c>
      <c r="P161" s="374" t="s">
        <v>1276</v>
      </c>
      <c r="Q161" s="374" t="s">
        <v>2096</v>
      </c>
      <c r="R161" s="387"/>
      <c r="S161" s="175">
        <v>11</v>
      </c>
      <c r="T161" s="379" t="s">
        <v>1266</v>
      </c>
      <c r="U161" s="379" t="s">
        <v>1266</v>
      </c>
      <c r="V161" s="488"/>
      <c r="X161" s="500" t="s">
        <v>1770</v>
      </c>
      <c r="Y161" s="433" t="str">
        <f t="shared" si="241"/>
        <v>SPARE</v>
      </c>
      <c r="Z161" s="434"/>
      <c r="AA161" s="442" t="str">
        <f t="shared" si="242"/>
        <v>p</v>
      </c>
      <c r="AB161" s="451">
        <f t="shared" si="231"/>
        <v>0</v>
      </c>
      <c r="AC161" s="451">
        <f t="shared" si="232"/>
        <v>0</v>
      </c>
      <c r="AD161" s="451">
        <f t="shared" si="233"/>
        <v>0</v>
      </c>
      <c r="AE161" s="451">
        <f t="shared" si="234"/>
        <v>0</v>
      </c>
      <c r="AF161" s="434"/>
      <c r="AG161" s="437" t="str">
        <f t="shared" si="243"/>
        <v>p</v>
      </c>
      <c r="AH161" s="451">
        <f t="shared" si="236"/>
        <v>0</v>
      </c>
      <c r="AI161" s="451">
        <f t="shared" si="237"/>
        <v>0</v>
      </c>
      <c r="AJ161" s="451">
        <f t="shared" si="238"/>
        <v>0</v>
      </c>
      <c r="AK161" s="451">
        <f t="shared" si="239"/>
        <v>0</v>
      </c>
      <c r="AL161" s="471" t="s">
        <v>1266</v>
      </c>
    </row>
    <row r="162" spans="1:39" hidden="1" x14ac:dyDescent="0.25">
      <c r="X162" s="427" t="s">
        <v>204</v>
      </c>
      <c r="AB162" s="449">
        <f>SUM(AB145:AB161)</f>
        <v>50.069632065704312</v>
      </c>
      <c r="AC162" s="449">
        <f t="shared" ref="AC162:AK162" si="252">SUM(AC145:AC161)</f>
        <v>0.95395461319487684</v>
      </c>
      <c r="AD162" s="449">
        <f t="shared" si="252"/>
        <v>31.060500000000104</v>
      </c>
      <c r="AE162" s="449">
        <f t="shared" si="252"/>
        <v>0.59178200519342627</v>
      </c>
      <c r="AF162" s="449"/>
      <c r="AG162" s="449"/>
      <c r="AH162" s="449">
        <f t="shared" si="252"/>
        <v>0</v>
      </c>
      <c r="AI162" s="449">
        <f t="shared" si="252"/>
        <v>0</v>
      </c>
      <c r="AJ162" s="449">
        <f t="shared" si="252"/>
        <v>0</v>
      </c>
      <c r="AK162" s="449">
        <f t="shared" si="252"/>
        <v>0</v>
      </c>
    </row>
    <row r="163" spans="1:39" ht="27" hidden="1" thickBot="1" x14ac:dyDescent="0.3">
      <c r="B163" s="551" t="s">
        <v>2820</v>
      </c>
      <c r="C163" s="552"/>
      <c r="D163" s="552"/>
      <c r="E163" s="552"/>
      <c r="F163" s="552"/>
      <c r="G163" s="552"/>
      <c r="H163" s="552"/>
      <c r="I163" s="552"/>
      <c r="J163" s="552"/>
      <c r="K163" s="552"/>
      <c r="L163" s="552"/>
      <c r="M163" s="553"/>
      <c r="O163" s="551" t="s">
        <v>2391</v>
      </c>
      <c r="P163" s="552"/>
      <c r="Q163" s="552"/>
      <c r="R163" s="552"/>
      <c r="S163" s="552"/>
      <c r="T163" s="552"/>
      <c r="U163" s="552"/>
      <c r="V163" s="553"/>
      <c r="X163" s="586" t="str">
        <f>B163&amp;"-OLD"</f>
        <v>NORTH STREET SWITCHING STATION (TE902)-OLD</v>
      </c>
      <c r="Y163" s="587"/>
      <c r="Z163" s="587"/>
      <c r="AA163" s="587"/>
      <c r="AB163" s="587"/>
      <c r="AC163" s="587"/>
      <c r="AD163" s="587"/>
      <c r="AE163" s="587"/>
      <c r="AF163" s="587"/>
      <c r="AG163" s="587"/>
      <c r="AH163" s="587"/>
      <c r="AI163" s="587"/>
      <c r="AJ163" s="587"/>
      <c r="AK163" s="587"/>
      <c r="AL163" s="588"/>
      <c r="AM163" s="481"/>
    </row>
    <row r="164" spans="1:39" ht="15.75" hidden="1" thickBot="1" x14ac:dyDescent="0.3">
      <c r="B164" s="571" t="str">
        <f t="shared" ref="B164:G164" si="253">B6</f>
        <v>CB ID</v>
      </c>
      <c r="C164" s="545" t="str">
        <f t="shared" si="253"/>
        <v>DESIGNATION</v>
      </c>
      <c r="D164" s="382" t="str">
        <f t="shared" si="253"/>
        <v>Rated</v>
      </c>
      <c r="E164" s="572" t="str">
        <f t="shared" si="253"/>
        <v>LOAD
CAPABILITY</v>
      </c>
      <c r="F164" s="572" t="str">
        <f t="shared" si="253"/>
        <v>OC
PICKUP</v>
      </c>
      <c r="G164" s="559" t="str">
        <f t="shared" si="253"/>
        <v>SCADA ALARM</v>
      </c>
      <c r="H164" s="560"/>
      <c r="I164" s="560"/>
      <c r="J164" s="561"/>
      <c r="K164" s="574" t="str">
        <f>K6</f>
        <v>LIMITING EQUIPMENT</v>
      </c>
      <c r="L164" s="575" t="str">
        <f>L6</f>
        <v>RECLOSING</v>
      </c>
      <c r="M164" s="576"/>
      <c r="O164" s="554" t="str">
        <f t="shared" ref="O164:V164" si="254">O6</f>
        <v>OC Pick up
Reference ID</v>
      </c>
      <c r="P164" s="557" t="str">
        <f t="shared" si="254"/>
        <v>Supply Level</v>
      </c>
      <c r="Q164" s="566" t="str">
        <f t="shared" si="254"/>
        <v>Station/Feeder</v>
      </c>
      <c r="R164" s="567" t="str">
        <f t="shared" si="254"/>
        <v>Refered
to PTX</v>
      </c>
      <c r="S164" s="569" t="str">
        <f t="shared" si="254"/>
        <v>Voltage</v>
      </c>
      <c r="T164" s="539" t="str">
        <f t="shared" si="254"/>
        <v>Include
CB</v>
      </c>
      <c r="U164" s="539" t="str">
        <f t="shared" si="254"/>
        <v>Include
PTX</v>
      </c>
      <c r="V164" s="542" t="str">
        <f t="shared" si="254"/>
        <v>Notes</v>
      </c>
      <c r="X164" s="585" t="s">
        <v>1260</v>
      </c>
      <c r="Y164" s="545" t="s">
        <v>1261</v>
      </c>
      <c r="Z164" s="559" t="s">
        <v>2749</v>
      </c>
      <c r="AA164" s="560"/>
      <c r="AB164" s="560"/>
      <c r="AC164" s="560"/>
      <c r="AD164" s="560"/>
      <c r="AE164" s="561"/>
      <c r="AF164" s="559" t="s">
        <v>1268</v>
      </c>
      <c r="AG164" s="560"/>
      <c r="AH164" s="560"/>
      <c r="AI164" s="560"/>
      <c r="AJ164" s="560"/>
      <c r="AK164" s="561"/>
      <c r="AL164" s="546" t="s">
        <v>2857</v>
      </c>
      <c r="AM164" s="466"/>
    </row>
    <row r="165" spans="1:39" ht="15.75" hidden="1" thickBot="1" x14ac:dyDescent="0.3">
      <c r="B165" s="557"/>
      <c r="C165" s="540"/>
      <c r="D165" s="362" t="str">
        <f>D7</f>
        <v>Voltage</v>
      </c>
      <c r="E165" s="573"/>
      <c r="F165" s="573"/>
      <c r="G165" s="544" t="str">
        <f>G7</f>
        <v>Pre-Emergency</v>
      </c>
      <c r="H165" s="544"/>
      <c r="I165" s="544" t="str">
        <f>I7</f>
        <v>Emergency</v>
      </c>
      <c r="J165" s="544"/>
      <c r="K165" s="540"/>
      <c r="L165" s="545" t="str">
        <f>L7</f>
        <v>AVAILABLE</v>
      </c>
      <c r="M165" s="546" t="str">
        <f>M7</f>
        <v>UTILISED</v>
      </c>
      <c r="O165" s="555"/>
      <c r="P165" s="557"/>
      <c r="Q165" s="557"/>
      <c r="R165" s="567"/>
      <c r="S165" s="569"/>
      <c r="T165" s="540"/>
      <c r="U165" s="540"/>
      <c r="V165" s="542"/>
      <c r="X165" s="555"/>
      <c r="Y165" s="540"/>
      <c r="Z165" s="589"/>
      <c r="AA165" s="590"/>
      <c r="AB165" s="590"/>
      <c r="AC165" s="590"/>
      <c r="AD165" s="590"/>
      <c r="AE165" s="591"/>
      <c r="AF165" s="589"/>
      <c r="AG165" s="590"/>
      <c r="AH165" s="590"/>
      <c r="AI165" s="590"/>
      <c r="AJ165" s="590"/>
      <c r="AK165" s="591"/>
      <c r="AL165" s="577"/>
      <c r="AM165" s="466"/>
    </row>
    <row r="166" spans="1:39" ht="15.75" hidden="1" thickBot="1" x14ac:dyDescent="0.3">
      <c r="B166" s="558"/>
      <c r="C166" s="541"/>
      <c r="D166" s="345" t="str">
        <f>D8</f>
        <v>(kV)</v>
      </c>
      <c r="E166" s="345" t="str">
        <f>E8</f>
        <v>(A)</v>
      </c>
      <c r="F166" s="345" t="str">
        <f>F8</f>
        <v>(A)</v>
      </c>
      <c r="G166" s="406" t="str">
        <f>G8</f>
        <v>(A)</v>
      </c>
      <c r="H166" s="407" t="str">
        <f>H8</f>
        <v>(MVA)</v>
      </c>
      <c r="I166" s="406" t="str">
        <f>I8</f>
        <v>(A)</v>
      </c>
      <c r="J166" s="407" t="str">
        <f>J8</f>
        <v>(MVA)</v>
      </c>
      <c r="K166" s="541"/>
      <c r="L166" s="541"/>
      <c r="M166" s="547"/>
      <c r="O166" s="556"/>
      <c r="P166" s="558"/>
      <c r="Q166" s="558"/>
      <c r="R166" s="568"/>
      <c r="S166" s="570"/>
      <c r="T166" s="541"/>
      <c r="U166" s="541"/>
      <c r="V166" s="543"/>
      <c r="X166" s="556"/>
      <c r="Y166" s="541"/>
      <c r="Z166" s="428" t="s">
        <v>26</v>
      </c>
      <c r="AA166" s="439" t="s">
        <v>2861</v>
      </c>
      <c r="AB166" s="450" t="s">
        <v>2959</v>
      </c>
      <c r="AC166" s="450" t="s">
        <v>2960</v>
      </c>
      <c r="AD166" s="450" t="s">
        <v>2957</v>
      </c>
      <c r="AE166" s="450" t="s">
        <v>2958</v>
      </c>
      <c r="AF166" s="428" t="s">
        <v>26</v>
      </c>
      <c r="AG166" s="439" t="s">
        <v>2861</v>
      </c>
      <c r="AH166" s="450" t="s">
        <v>2959</v>
      </c>
      <c r="AI166" s="450" t="s">
        <v>2960</v>
      </c>
      <c r="AJ166" s="450" t="s">
        <v>2957</v>
      </c>
      <c r="AK166" s="450" t="s">
        <v>2958</v>
      </c>
      <c r="AL166" s="547"/>
      <c r="AM166" s="466"/>
    </row>
    <row r="167" spans="1:39" hidden="1" x14ac:dyDescent="0.25">
      <c r="B167" s="204" t="s">
        <v>511</v>
      </c>
      <c r="C167" s="3" t="s">
        <v>2799</v>
      </c>
      <c r="D167" s="61">
        <f t="shared" ref="D167:D186" si="255">ROUNDDOWN(S167,0)</f>
        <v>11</v>
      </c>
      <c r="E167" s="369">
        <f t="array" ref="E167">IF(U167="YES",IF(T167="YES",MIN(IF(TIM[Load Capability Reference]=CONCATENATE(P167,Q167,S167,R167),TIM[Lowest A-PTX])),MIN(IF(TIM[Load Capability Reference]=CONCATENATE(P167,Q167,S167,R167),IF(TIM[Equipment ID]&lt;&gt;O167,TIM[Lowest A-PTX])))),IF(T167="YES",MIN(IF(TIM[Load Capability Reference]=CONCATENATE(P167,Q167,S167,R167),TIM[Lowest A-No PTX])),MIN(IF(TIM[Load Capability Reference]=CONCATENATE(P167,Q167,S167,R167),IF(TIM[Equipment ID]&lt;&gt;O167,TIM[Lowest A-No PTX])))))</f>
        <v>273.32640000000004</v>
      </c>
      <c r="F167" s="61">
        <f>IFERROR(IFERROR(VLOOKUP(CONCATENATE(P167,Q167,O167,S167,"Protection"),TIM[[OC Protection Reference]:[Forward A]],23,0),VLOOKUP(O167,AEL_Protection_Data[],12,0)),"N/A")</f>
        <v>304</v>
      </c>
      <c r="G167" s="61">
        <f t="shared" ref="G167:G186" si="256">IFERROR(FLOOR(MIN(E167:F167)*$D$3,5),"")</f>
        <v>215</v>
      </c>
      <c r="H167" s="5">
        <f t="shared" ref="H167:H186" si="257">G167*S167*SQRT(3)/1000</f>
        <v>4.0963001599003945</v>
      </c>
      <c r="I167" s="61">
        <f t="shared" ref="I167:I186" si="258">IFERROR(FLOOR(MIN(E167:F167)*$D$2,5),"")</f>
        <v>245</v>
      </c>
      <c r="J167" s="5">
        <f t="shared" ref="J167:J186" si="259">I167*S167*SQRT(3)/1000</f>
        <v>4.6678769263981241</v>
      </c>
      <c r="K167" s="3" t="str">
        <f>IF(U167="Yes",UPPER(IF(ISNUMBER(SEARCH("winding",VLOOKUP(CONCATENATE(P167,Q167,S167,E167),TIM[[Limiting Equipment Reference-PTX]:[Summ Equipment]],7,0))),"Power Transformer Rating at "&amp;ROUND(E167*S167*SQRT(3)/1000,2)&amp;" MVA",VLOOKUP(CONCATENATE(P167,Q167,S167,E167),TIM[[Limiting Equipment Reference-No PTX]:[Summ Equipment]],8,0))),UPPER(VLOOKUP(CONCATENATE(P167,Q167,S167,E167),TIM[[Limiting Equipment Reference-No PTX]:[Summ Equipment]],8,0)))</f>
        <v>CABLE-3/1C 300MM² AL CWS</v>
      </c>
      <c r="L167" s="4" t="s">
        <v>1267</v>
      </c>
      <c r="M167" s="508" t="s">
        <v>1266</v>
      </c>
      <c r="O167" s="10" t="str">
        <f>"NST-"&amp;B167</f>
        <v>NST-CB3</v>
      </c>
      <c r="P167" s="38" t="s">
        <v>1276</v>
      </c>
      <c r="Q167" s="38" t="s">
        <v>171</v>
      </c>
      <c r="R167" s="389"/>
      <c r="S167" s="139">
        <v>11</v>
      </c>
      <c r="T167" s="4" t="s">
        <v>1266</v>
      </c>
      <c r="U167" s="4" t="s">
        <v>1266</v>
      </c>
      <c r="V167" s="486"/>
      <c r="X167" s="501" t="s">
        <v>511</v>
      </c>
      <c r="Y167" s="429" t="s">
        <v>2909</v>
      </c>
      <c r="Z167" s="430">
        <v>270</v>
      </c>
      <c r="AA167" s="440" t="str">
        <f t="shared" ref="AA167:AA169" si="260">IF(Z167&gt;E167,"q",IF(Z167&lt;E167,"p","u"))</f>
        <v>p</v>
      </c>
      <c r="AB167" s="453">
        <f t="shared" ref="AB167:AB186" si="261">IF(Z167="",0,IF(Z167-E167&lt;0,ABS(Z167-E167),0))</f>
        <v>3.3264000000000351</v>
      </c>
      <c r="AC167" s="453">
        <f t="shared" ref="AC167:AC186" si="262">AB167*$S167*SQRT(3)/1000</f>
        <v>6.3376431869268918E-2</v>
      </c>
      <c r="AD167" s="453">
        <f t="shared" ref="AD167:AD186" si="263">IF(Z167="",0,IF(Z167-E167&gt;0,ABS(Z167-E167),0))</f>
        <v>0</v>
      </c>
      <c r="AE167" s="453">
        <f t="shared" ref="AE167:AE186" si="264">AD167*$S167*SQRT(3)/1000</f>
        <v>0</v>
      </c>
      <c r="AF167" s="430">
        <v>304</v>
      </c>
      <c r="AG167" s="435" t="str">
        <f t="shared" ref="AG167:AG169" si="265">IF(AF167&gt;F167,"q",IF(AF167&lt;F167,"p","u"))</f>
        <v>u</v>
      </c>
      <c r="AH167" s="453">
        <f t="shared" ref="AH167:AH186" si="266">IF(AF167="",0,IF(AF167-F167&lt;0,ABS(AF167-F167),0))</f>
        <v>0</v>
      </c>
      <c r="AI167" s="453">
        <f t="shared" ref="AI167:AI186" si="267">AH167*$S167*SQRT(3)/1000</f>
        <v>0</v>
      </c>
      <c r="AJ167" s="453">
        <f t="shared" ref="AJ167:AJ186" si="268">IF(AF167="",0,IF(AF167-F167&gt;0,ABS(AF167-F167),0))</f>
        <v>0</v>
      </c>
      <c r="AK167" s="453">
        <f t="shared" ref="AK167:AK186" si="269">AJ167*$S167*SQRT(3)/1000</f>
        <v>0</v>
      </c>
      <c r="AL167" s="469" t="s">
        <v>1266</v>
      </c>
    </row>
    <row r="168" spans="1:39" hidden="1" x14ac:dyDescent="0.25">
      <c r="A168" s="517"/>
      <c r="B168" s="124" t="s">
        <v>498</v>
      </c>
      <c r="C168" s="168" t="s">
        <v>2800</v>
      </c>
      <c r="D168" s="119">
        <f t="shared" si="255"/>
        <v>11</v>
      </c>
      <c r="E168" s="370">
        <f t="array" ref="E168">IF(U168="YES",IF(T168="YES",MIN(IF(TIM[Load Capability Reference]=CONCATENATE(P168,Q168,S168,R168),TIM[Lowest A-PTX])),MIN(IF(TIM[Load Capability Reference]=CONCATENATE(P168,Q168,S168,R168),IF(TIM[Equipment ID]&lt;&gt;O168,TIM[Lowest A-PTX])))),IF(T168="YES",MIN(IF(TIM[Load Capability Reference]=CONCATENATE(P168,Q168,S168,R168),TIM[Lowest A-No PTX])),MIN(IF(TIM[Load Capability Reference]=CONCATENATE(P168,Q168,S168,R168),IF(TIM[Equipment ID]&lt;&gt;O168,TIM[Lowest A-No PTX])))))</f>
        <v>228.48</v>
      </c>
      <c r="F168" s="119">
        <f>IFERROR(IFERROR(VLOOKUP(CONCATENATE(P168,Q168,O168,S168,"Protection"),TIM[[OC Protection Reference]:[Forward A]],23,0),VLOOKUP(O168,AEL_Protection_Data[],12,0)),"N/A")</f>
        <v>304</v>
      </c>
      <c r="G168" s="119">
        <f t="shared" si="256"/>
        <v>180</v>
      </c>
      <c r="H168" s="29">
        <f t="shared" si="257"/>
        <v>3.4294605989863767</v>
      </c>
      <c r="I168" s="119">
        <f t="shared" si="258"/>
        <v>205</v>
      </c>
      <c r="J168" s="29">
        <f t="shared" si="259"/>
        <v>3.905774571067818</v>
      </c>
      <c r="K168" s="6" t="str">
        <f>IF(U168="Yes",UPPER(IF(ISNUMBER(SEARCH("winding",VLOOKUP(CONCATENATE(P168,Q168,S168,E168),TIM[[Limiting Equipment Reference-PTX]:[Summ Equipment]],7,0))),"Power Transformer Rating at "&amp;ROUND(E168*S168*SQRT(3)/1000,2)&amp;" MVA",VLOOKUP(CONCATENATE(P168,Q168,S168,E168),TIM[[Limiting Equipment Reference-No PTX]:[Summ Equipment]],8,0))),UPPER(VLOOKUP(CONCATENATE(P168,Q168,S168,E168),TIM[[Limiting Equipment Reference-No PTX]:[Summ Equipment]],8,0)))</f>
        <v>CABLE-3C 185MM²  AL PILC SWAS</v>
      </c>
      <c r="L168" s="146" t="s">
        <v>1267</v>
      </c>
      <c r="M168" s="509" t="s">
        <v>1266</v>
      </c>
      <c r="N168" s="517"/>
      <c r="O168" s="118" t="str">
        <f t="shared" ref="O168:O186" si="270">"NST-"&amp;B168</f>
        <v>NST-CB4</v>
      </c>
      <c r="P168" s="49" t="s">
        <v>1276</v>
      </c>
      <c r="Q168" s="49" t="s">
        <v>177</v>
      </c>
      <c r="R168" s="386"/>
      <c r="S168" s="43">
        <v>11</v>
      </c>
      <c r="T168" s="146" t="s">
        <v>1266</v>
      </c>
      <c r="U168" s="146" t="s">
        <v>1266</v>
      </c>
      <c r="V168" s="487"/>
      <c r="X168" s="498" t="s">
        <v>498</v>
      </c>
      <c r="Y168" s="431" t="s">
        <v>2800</v>
      </c>
      <c r="Z168" s="432">
        <v>220</v>
      </c>
      <c r="AA168" s="441" t="str">
        <f t="shared" si="260"/>
        <v>p</v>
      </c>
      <c r="AB168" s="134">
        <f t="shared" si="261"/>
        <v>8.4799999999999898</v>
      </c>
      <c r="AC168" s="134">
        <f t="shared" si="262"/>
        <v>0.16156569933002468</v>
      </c>
      <c r="AD168" s="134">
        <f t="shared" si="263"/>
        <v>0</v>
      </c>
      <c r="AE168" s="134">
        <f t="shared" si="264"/>
        <v>0</v>
      </c>
      <c r="AF168" s="432">
        <v>304</v>
      </c>
      <c r="AG168" s="436" t="str">
        <f t="shared" si="265"/>
        <v>u</v>
      </c>
      <c r="AH168" s="134">
        <f t="shared" si="266"/>
        <v>0</v>
      </c>
      <c r="AI168" s="134">
        <f t="shared" si="267"/>
        <v>0</v>
      </c>
      <c r="AJ168" s="134">
        <f t="shared" si="268"/>
        <v>0</v>
      </c>
      <c r="AK168" s="134">
        <f t="shared" si="269"/>
        <v>0</v>
      </c>
      <c r="AL168" s="470" t="s">
        <v>1266</v>
      </c>
    </row>
    <row r="169" spans="1:39" hidden="1" x14ac:dyDescent="0.25">
      <c r="B169" s="124" t="s">
        <v>592</v>
      </c>
      <c r="C169" s="168" t="s">
        <v>2801</v>
      </c>
      <c r="D169" s="119">
        <f t="shared" si="255"/>
        <v>11</v>
      </c>
      <c r="E169" s="370">
        <f t="array" ref="E169">IF(U169="YES",IF(T169="YES",MIN(IF(TIM[Load Capability Reference]=CONCATENATE(P169,Q169,S169,R169),TIM[Lowest A-PTX])),MIN(IF(TIM[Load Capability Reference]=CONCATENATE(P169,Q169,S169,R169),IF(TIM[Equipment ID]&lt;&gt;O169,TIM[Lowest A-PTX])))),IF(T169="YES",MIN(IF(TIM[Load Capability Reference]=CONCATENATE(P169,Q169,S169,R169),TIM[Lowest A-No PTX])),MIN(IF(TIM[Load Capability Reference]=CONCATENATE(P169,Q169,S169,R169),IF(TIM[Equipment ID]&lt;&gt;O169,TIM[Lowest A-No PTX])))))</f>
        <v>201.91919999999993</v>
      </c>
      <c r="F169" s="119">
        <f>IFERROR(IFERROR(VLOOKUP(CONCATENATE(P169,Q169,O169,S169,"Protection"),TIM[[OC Protection Reference]:[Forward A]],23,0),VLOOKUP(O169,AEL_Protection_Data[],12,0)),"N/A")</f>
        <v>304</v>
      </c>
      <c r="G169" s="119">
        <f t="shared" si="256"/>
        <v>160</v>
      </c>
      <c r="H169" s="29">
        <f t="shared" si="257"/>
        <v>3.0484094213212236</v>
      </c>
      <c r="I169" s="119">
        <f t="shared" si="258"/>
        <v>180</v>
      </c>
      <c r="J169" s="29">
        <f t="shared" si="259"/>
        <v>3.4294605989863767</v>
      </c>
      <c r="K169" s="168" t="str">
        <f>IF(U169="Yes",UPPER(IF(ISNUMBER(SEARCH("winding",VLOOKUP(CONCATENATE(P169,Q169,S169,E169),TIM[[Limiting Equipment Reference-PTX]:[Summ Equipment]],7,0))),"Power Transformer Rating at "&amp;ROUND(E169*S169*SQRT(3)/1000,2)&amp;" MVA",VLOOKUP(CONCATENATE(P169,Q169,S169,E169),TIM[[Limiting Equipment Reference-No PTX]:[Summ Equipment]],8,0))),UPPER(VLOOKUP(CONCATENATE(P169,Q169,S169,E169),TIM[[Limiting Equipment Reference-No PTX]:[Summ Equipment]],8,0)))</f>
        <v>CABLE-3C 185MM²  AL PILC SWAS</v>
      </c>
      <c r="L169" s="146" t="s">
        <v>1267</v>
      </c>
      <c r="M169" s="509" t="s">
        <v>1266</v>
      </c>
      <c r="O169" s="118" t="str">
        <f t="shared" si="270"/>
        <v>NST-CB5</v>
      </c>
      <c r="P169" s="49" t="s">
        <v>1276</v>
      </c>
      <c r="Q169" s="49" t="s">
        <v>183</v>
      </c>
      <c r="R169" s="390"/>
      <c r="S169" s="32">
        <v>11</v>
      </c>
      <c r="T169" s="146" t="s">
        <v>1266</v>
      </c>
      <c r="U169" s="146" t="s">
        <v>1266</v>
      </c>
      <c r="V169" s="487"/>
      <c r="X169" s="498" t="s">
        <v>592</v>
      </c>
      <c r="Y169" s="431" t="s">
        <v>2801</v>
      </c>
      <c r="Z169" s="432">
        <v>200</v>
      </c>
      <c r="AA169" s="441" t="str">
        <f t="shared" si="260"/>
        <v>p</v>
      </c>
      <c r="AB169" s="134">
        <f t="shared" si="261"/>
        <v>1.9191999999999325</v>
      </c>
      <c r="AC169" s="134">
        <f t="shared" si="262"/>
        <v>3.6565671008746796E-2</v>
      </c>
      <c r="AD169" s="134">
        <f t="shared" si="263"/>
        <v>0</v>
      </c>
      <c r="AE169" s="134">
        <f t="shared" si="264"/>
        <v>0</v>
      </c>
      <c r="AF169" s="432">
        <v>304</v>
      </c>
      <c r="AG169" s="436" t="str">
        <f t="shared" si="265"/>
        <v>u</v>
      </c>
      <c r="AH169" s="134">
        <f t="shared" si="266"/>
        <v>0</v>
      </c>
      <c r="AI169" s="134">
        <f t="shared" si="267"/>
        <v>0</v>
      </c>
      <c r="AJ169" s="134">
        <f t="shared" si="268"/>
        <v>0</v>
      </c>
      <c r="AK169" s="134">
        <f t="shared" si="269"/>
        <v>0</v>
      </c>
      <c r="AL169" s="470" t="s">
        <v>1266</v>
      </c>
    </row>
    <row r="170" spans="1:39" hidden="1" x14ac:dyDescent="0.25">
      <c r="B170" s="124" t="s">
        <v>500</v>
      </c>
      <c r="C170" s="168" t="s">
        <v>2767</v>
      </c>
      <c r="D170" s="119">
        <f t="shared" si="255"/>
        <v>11</v>
      </c>
      <c r="E170" s="370">
        <f t="array" ref="E170">IF(U170="YES",IF(T170="YES",MIN(IF(TIM[Load Capability Reference]=CONCATENATE(P170,Q170,S170,R170),TIM[Lowest A-PTX])),MIN(IF(TIM[Load Capability Reference]=CONCATENATE(P170,Q170,S170,R170),IF(TIM[Equipment ID]&lt;&gt;O170,TIM[Lowest A-PTX])))),IF(T170="YES",MIN(IF(TIM[Load Capability Reference]=CONCATENATE(P170,Q170,S170,R170),TIM[Lowest A-No PTX])),MIN(IF(TIM[Load Capability Reference]=CONCATENATE(P170,Q170,S170,R170),IF(TIM[Equipment ID]&lt;&gt;O170,TIM[Lowest A-No PTX])))))</f>
        <v>297.464</v>
      </c>
      <c r="F170" s="119">
        <f>IFERROR(IFERROR(VLOOKUP(CONCATENATE(P170,Q170,O170,S170,"Protection"),TIM[[OC Protection Reference]:[Forward A]],23,0),VLOOKUP(O170,AEL_Protection_Data[],12,0)),"N/A")</f>
        <v>400</v>
      </c>
      <c r="G170" s="119">
        <f t="shared" si="256"/>
        <v>235</v>
      </c>
      <c r="H170" s="29">
        <f t="shared" si="257"/>
        <v>4.4773513375655476</v>
      </c>
      <c r="I170" s="119">
        <f t="shared" si="258"/>
        <v>265</v>
      </c>
      <c r="J170" s="29">
        <f t="shared" si="259"/>
        <v>5.0489281040632772</v>
      </c>
      <c r="K170" s="6" t="str">
        <f>IF(U170="Yes",UPPER(IF(ISNUMBER(SEARCH("winding",VLOOKUP(CONCATENATE(P170,Q170,S170,E170),TIM[[Limiting Equipment Reference-PTX]:[Summ Equipment]],7,0))),"Power Transformer Rating at "&amp;ROUND(E170*S170*SQRT(3)/1000,2)&amp;" MVA",VLOOKUP(CONCATENATE(P170,Q170,S170,E170),TIM[[Limiting Equipment Reference-No PTX]:[Summ Equipment]],8,0))),UPPER(VLOOKUP(CONCATENATE(P170,Q170,S170,E170),TIM[[Limiting Equipment Reference-No PTX]:[Summ Equipment]],8,0)))</f>
        <v>CABLE-3C 0.3IN² CU PILC STAS</v>
      </c>
      <c r="L170" s="146" t="s">
        <v>1267</v>
      </c>
      <c r="M170" s="509" t="s">
        <v>1266</v>
      </c>
      <c r="O170" s="118" t="str">
        <f t="shared" si="270"/>
        <v>NST-CB6</v>
      </c>
      <c r="P170" s="49" t="s">
        <v>1245</v>
      </c>
      <c r="Q170" s="49" t="s">
        <v>1330</v>
      </c>
      <c r="R170" s="386"/>
      <c r="S170" s="43">
        <v>11</v>
      </c>
      <c r="T170" s="146" t="s">
        <v>1266</v>
      </c>
      <c r="U170" s="146" t="s">
        <v>1266</v>
      </c>
      <c r="V170" s="487"/>
      <c r="X170" s="498" t="s">
        <v>500</v>
      </c>
      <c r="Y170" s="431" t="s">
        <v>2767</v>
      </c>
      <c r="Z170" s="432">
        <v>300</v>
      </c>
      <c r="AA170" s="441" t="str">
        <f t="shared" ref="AA170:AA186" si="271">IF(Z170&gt;E170,"q",IF(Z170&lt;E170,"p","u"))</f>
        <v>q</v>
      </c>
      <c r="AB170" s="134">
        <f t="shared" si="261"/>
        <v>0</v>
      </c>
      <c r="AC170" s="134">
        <f t="shared" si="262"/>
        <v>0</v>
      </c>
      <c r="AD170" s="134">
        <f t="shared" si="263"/>
        <v>2.5360000000000014</v>
      </c>
      <c r="AE170" s="134">
        <f t="shared" si="264"/>
        <v>4.8317289327941423E-2</v>
      </c>
      <c r="AF170" s="432">
        <v>400</v>
      </c>
      <c r="AG170" s="436" t="str">
        <f t="shared" ref="AG170:AG186" si="272">IF(AF170&gt;F170,"q",IF(AF170&lt;F170,"p","u"))</f>
        <v>u</v>
      </c>
      <c r="AH170" s="134">
        <f t="shared" si="266"/>
        <v>0</v>
      </c>
      <c r="AI170" s="134">
        <f t="shared" si="267"/>
        <v>0</v>
      </c>
      <c r="AJ170" s="134">
        <f t="shared" si="268"/>
        <v>0</v>
      </c>
      <c r="AK170" s="134">
        <f t="shared" si="269"/>
        <v>0</v>
      </c>
      <c r="AL170" s="470" t="s">
        <v>1266</v>
      </c>
    </row>
    <row r="171" spans="1:39" hidden="1" x14ac:dyDescent="0.25">
      <c r="B171" s="124" t="s">
        <v>512</v>
      </c>
      <c r="C171" s="168" t="s">
        <v>2802</v>
      </c>
      <c r="D171" s="119">
        <f t="shared" si="255"/>
        <v>11</v>
      </c>
      <c r="E171" s="370">
        <f t="array" ref="E171">IF(U171="YES",IF(T171="YES",MIN(IF(TIM[Load Capability Reference]=CONCATENATE(P171,Q171,S171,R171),TIM[Lowest A-PTX])),MIN(IF(TIM[Load Capability Reference]=CONCATENATE(P171,Q171,S171,R171),IF(TIM[Equipment ID]&lt;&gt;O171,TIM[Lowest A-PTX])))),IF(T171="YES",MIN(IF(TIM[Load Capability Reference]=CONCATENATE(P171,Q171,S171,R171),TIM[Lowest A-No PTX])),MIN(IF(TIM[Load Capability Reference]=CONCATENATE(P171,Q171,S171,R171),IF(TIM[Equipment ID]&lt;&gt;O171,TIM[Lowest A-No PTX])))))</f>
        <v>291.76874999999995</v>
      </c>
      <c r="F171" s="119">
        <f>IFERROR(IFERROR(VLOOKUP(CONCATENATE(P171,Q171,O171,S171,"Protection"),TIM[[OC Protection Reference]:[Forward A]],23,0),VLOOKUP(O171,AEL_Protection_Data[],12,0)),"N/A")</f>
        <v>400</v>
      </c>
      <c r="G171" s="119">
        <f t="shared" si="256"/>
        <v>230</v>
      </c>
      <c r="H171" s="29">
        <f t="shared" si="257"/>
        <v>4.3820885431492593</v>
      </c>
      <c r="I171" s="119">
        <f t="shared" si="258"/>
        <v>260</v>
      </c>
      <c r="J171" s="29">
        <f t="shared" si="259"/>
        <v>4.9536653096469889</v>
      </c>
      <c r="K171" s="6" t="str">
        <f>IF(U171="Yes",UPPER(IF(ISNUMBER(SEARCH("winding",VLOOKUP(CONCATENATE(P171,Q171,S171,E171),TIM[[Limiting Equipment Reference-PTX]:[Summ Equipment]],7,0))),"Power Transformer Rating at "&amp;ROUND(E171*S171*SQRT(3)/1000,2)&amp;" MVA",VLOOKUP(CONCATENATE(P171,Q171,S171,E171),TIM[[Limiting Equipment Reference-No PTX]:[Summ Equipment]],8,0))),UPPER(VLOOKUP(CONCATENATE(P171,Q171,S171,E171),TIM[[Limiting Equipment Reference-No PTX]:[Summ Equipment]],8,0)))</f>
        <v>CABLE-3C 0.3IN² CU PILC SWAS</v>
      </c>
      <c r="L171" s="146" t="s">
        <v>1267</v>
      </c>
      <c r="M171" s="509" t="s">
        <v>1266</v>
      </c>
      <c r="O171" s="118" t="str">
        <f t="shared" si="270"/>
        <v>NST-CB7</v>
      </c>
      <c r="P171" s="49" t="s">
        <v>1245</v>
      </c>
      <c r="Q171" s="49" t="s">
        <v>1332</v>
      </c>
      <c r="R171" s="386"/>
      <c r="S171" s="43">
        <v>11</v>
      </c>
      <c r="T171" s="146" t="s">
        <v>1266</v>
      </c>
      <c r="U171" s="146" t="s">
        <v>1266</v>
      </c>
      <c r="V171" s="487"/>
      <c r="X171" s="498" t="s">
        <v>512</v>
      </c>
      <c r="Y171" s="431" t="s">
        <v>2802</v>
      </c>
      <c r="Z171" s="432">
        <v>300</v>
      </c>
      <c r="AA171" s="441" t="str">
        <f t="shared" si="271"/>
        <v>q</v>
      </c>
      <c r="AB171" s="134">
        <f t="shared" si="261"/>
        <v>0</v>
      </c>
      <c r="AC171" s="134">
        <f t="shared" si="262"/>
        <v>0</v>
      </c>
      <c r="AD171" s="134">
        <f t="shared" si="263"/>
        <v>8.2312500000000455</v>
      </c>
      <c r="AE171" s="134">
        <f t="shared" si="264"/>
        <v>0.1568263753078154</v>
      </c>
      <c r="AF171" s="432">
        <v>400</v>
      </c>
      <c r="AG171" s="436" t="str">
        <f t="shared" si="272"/>
        <v>u</v>
      </c>
      <c r="AH171" s="134">
        <f t="shared" si="266"/>
        <v>0</v>
      </c>
      <c r="AI171" s="134">
        <f t="shared" si="267"/>
        <v>0</v>
      </c>
      <c r="AJ171" s="134">
        <f t="shared" si="268"/>
        <v>0</v>
      </c>
      <c r="AK171" s="134">
        <f t="shared" si="269"/>
        <v>0</v>
      </c>
      <c r="AL171" s="470" t="s">
        <v>1266</v>
      </c>
    </row>
    <row r="172" spans="1:39" hidden="1" x14ac:dyDescent="0.25">
      <c r="B172" s="124" t="s">
        <v>522</v>
      </c>
      <c r="C172" s="168" t="s">
        <v>2803</v>
      </c>
      <c r="D172" s="119">
        <f t="shared" si="255"/>
        <v>11</v>
      </c>
      <c r="E172" s="370">
        <f t="array" ref="E172">IF(U172="YES",IF(T172="YES",MIN(IF(TIM[Load Capability Reference]=CONCATENATE(P172,Q172,S172,R172),TIM[Lowest A-PTX])),MIN(IF(TIM[Load Capability Reference]=CONCATENATE(P172,Q172,S172,R172),IF(TIM[Equipment ID]&lt;&gt;O172,TIM[Lowest A-PTX])))),IF(T172="YES",MIN(IF(TIM[Load Capability Reference]=CONCATENATE(P172,Q172,S172,R172),TIM[Lowest A-No PTX])),MIN(IF(TIM[Load Capability Reference]=CONCATENATE(P172,Q172,S172,R172),IF(TIM[Equipment ID]&lt;&gt;O172,TIM[Lowest A-No PTX])))))</f>
        <v>172.52143999999998</v>
      </c>
      <c r="F172" s="119">
        <f>IFERROR(IFERROR(VLOOKUP(CONCATENATE(P172,Q172,O172,S172,"Protection"),TIM[[OC Protection Reference]:[Forward A]],23,0),VLOOKUP(O172,AEL_Protection_Data[],12,0)),"N/A")</f>
        <v>200</v>
      </c>
      <c r="G172" s="119">
        <f t="shared" si="256"/>
        <v>135</v>
      </c>
      <c r="H172" s="29">
        <f t="shared" si="257"/>
        <v>2.5720954492397827</v>
      </c>
      <c r="I172" s="119">
        <f t="shared" si="258"/>
        <v>155</v>
      </c>
      <c r="J172" s="29">
        <f t="shared" si="259"/>
        <v>2.9531466269049358</v>
      </c>
      <c r="K172" s="6" t="str">
        <f>IF(U172="Yes",UPPER(IF(ISNUMBER(SEARCH("winding",VLOOKUP(CONCATENATE(P172,Q172,S172,E172),TIM[[Limiting Equipment Reference-PTX]:[Summ Equipment]],7,0))),"Power Transformer Rating at "&amp;ROUND(E172*S172*SQRT(3)/1000,2)&amp;" MVA",VLOOKUP(CONCATENATE(P172,Q172,S172,E172),TIM[[Limiting Equipment Reference-No PTX]:[Summ Equipment]],8,0))),UPPER(VLOOKUP(CONCATENATE(P172,Q172,S172,E172),TIM[[Limiting Equipment Reference-No PTX]:[Summ Equipment]],8,0)))</f>
        <v>CABLE-3C 0.15IN² CU PILC STA</v>
      </c>
      <c r="L172" s="146" t="s">
        <v>1267</v>
      </c>
      <c r="M172" s="509" t="s">
        <v>1266</v>
      </c>
      <c r="O172" s="118" t="str">
        <f t="shared" si="270"/>
        <v>NST-CB8</v>
      </c>
      <c r="P172" s="49" t="s">
        <v>1276</v>
      </c>
      <c r="Q172" s="49" t="s">
        <v>186</v>
      </c>
      <c r="R172" s="386"/>
      <c r="S172" s="43">
        <v>11</v>
      </c>
      <c r="T172" s="146" t="s">
        <v>1266</v>
      </c>
      <c r="U172" s="146" t="s">
        <v>1266</v>
      </c>
      <c r="V172" s="487"/>
      <c r="X172" s="498" t="s">
        <v>522</v>
      </c>
      <c r="Y172" s="431" t="s">
        <v>2803</v>
      </c>
      <c r="Z172" s="432">
        <v>170</v>
      </c>
      <c r="AA172" s="441" t="str">
        <f t="shared" si="271"/>
        <v>p</v>
      </c>
      <c r="AB172" s="134">
        <f t="shared" si="261"/>
        <v>2.5214399999999841</v>
      </c>
      <c r="AC172" s="134">
        <f t="shared" si="262"/>
        <v>4.8039884070600863E-2</v>
      </c>
      <c r="AD172" s="134">
        <f t="shared" si="263"/>
        <v>0</v>
      </c>
      <c r="AE172" s="134">
        <f t="shared" si="264"/>
        <v>0</v>
      </c>
      <c r="AF172" s="432">
        <v>200</v>
      </c>
      <c r="AG172" s="436" t="str">
        <f t="shared" si="272"/>
        <v>u</v>
      </c>
      <c r="AH172" s="134">
        <f t="shared" si="266"/>
        <v>0</v>
      </c>
      <c r="AI172" s="134">
        <f t="shared" si="267"/>
        <v>0</v>
      </c>
      <c r="AJ172" s="134">
        <f t="shared" si="268"/>
        <v>0</v>
      </c>
      <c r="AK172" s="134">
        <f t="shared" si="269"/>
        <v>0</v>
      </c>
      <c r="AL172" s="470" t="s">
        <v>1266</v>
      </c>
    </row>
    <row r="173" spans="1:39" x14ac:dyDescent="0.25">
      <c r="B173" s="124" t="s">
        <v>526</v>
      </c>
      <c r="C173" s="168" t="s">
        <v>2804</v>
      </c>
      <c r="D173" s="119">
        <f t="shared" si="255"/>
        <v>11</v>
      </c>
      <c r="E173" s="370">
        <f t="array" ref="E173">IF(U173="YES",IF(T173="YES",MIN(IF(TIM[Load Capability Reference]=CONCATENATE(P173,Q173,S173,R173),TIM[Lowest A-PTX])),MIN(IF(TIM[Load Capability Reference]=CONCATENATE(P173,Q173,S173,R173),IF(TIM[Equipment ID]&lt;&gt;O173,TIM[Lowest A-PTX])))),IF(T173="YES",MIN(IF(TIM[Load Capability Reference]=CONCATENATE(P173,Q173,S173,R173),TIM[Lowest A-No PTX])),MIN(IF(TIM[Load Capability Reference]=CONCATENATE(P173,Q173,S173,R173),IF(TIM[Equipment ID]&lt;&gt;O173,TIM[Lowest A-No PTX])))))</f>
        <v>273.32639999999998</v>
      </c>
      <c r="F173" s="119">
        <f>IFERROR(IFERROR(VLOOKUP(CONCATENATE(P173,Q173,O173,S173,"Protection"),TIM[[OC Protection Reference]:[Forward A]],23,0),VLOOKUP(O173,AEL_Protection_Data[],12,0)),"N/A")</f>
        <v>304</v>
      </c>
      <c r="G173" s="119">
        <f t="shared" si="256"/>
        <v>215</v>
      </c>
      <c r="H173" s="29">
        <f t="shared" si="257"/>
        <v>4.0963001599003945</v>
      </c>
      <c r="I173" s="119">
        <f t="shared" si="258"/>
        <v>245</v>
      </c>
      <c r="J173" s="29">
        <f t="shared" si="259"/>
        <v>4.6678769263981241</v>
      </c>
      <c r="K173" s="6" t="str">
        <f>IF(U173="Yes",UPPER(IF(ISNUMBER(SEARCH("winding",VLOOKUP(CONCATENATE(P173,Q173,S173,E173),TIM[[Limiting Equipment Reference-PTX]:[Summ Equipment]],7,0))),"Power Transformer Rating at "&amp;ROUND(E173*S173*SQRT(3)/1000,2)&amp;" MVA",VLOOKUP(CONCATENATE(P173,Q173,S173,E173),TIM[[Limiting Equipment Reference-No PTX]:[Summ Equipment]],8,0))),UPPER(VLOOKUP(CONCATENATE(P173,Q173,S173,E173),TIM[[Limiting Equipment Reference-No PTX]:[Summ Equipment]],8,0)))</f>
        <v>CABLE-3C 300MM² AL XLPE MDPE</v>
      </c>
      <c r="L173" s="146" t="s">
        <v>1267</v>
      </c>
      <c r="M173" s="509" t="s">
        <v>1266</v>
      </c>
      <c r="O173" s="118" t="str">
        <f t="shared" si="270"/>
        <v>NST-CB9</v>
      </c>
      <c r="P173" s="49" t="s">
        <v>1276</v>
      </c>
      <c r="Q173" s="49" t="s">
        <v>188</v>
      </c>
      <c r="R173" s="386"/>
      <c r="S173" s="43">
        <v>11</v>
      </c>
      <c r="T173" s="146" t="s">
        <v>1266</v>
      </c>
      <c r="U173" s="146" t="s">
        <v>1266</v>
      </c>
      <c r="V173" s="487"/>
      <c r="X173" s="498" t="s">
        <v>526</v>
      </c>
      <c r="Y173" s="431" t="s">
        <v>2910</v>
      </c>
      <c r="Z173" s="432">
        <v>270</v>
      </c>
      <c r="AA173" s="441" t="str">
        <f t="shared" si="271"/>
        <v>p</v>
      </c>
      <c r="AB173" s="134">
        <f t="shared" si="261"/>
        <v>3.3263999999999783</v>
      </c>
      <c r="AC173" s="134">
        <f t="shared" si="262"/>
        <v>6.3376431869267835E-2</v>
      </c>
      <c r="AD173" s="134">
        <f t="shared" si="263"/>
        <v>0</v>
      </c>
      <c r="AE173" s="134">
        <f t="shared" si="264"/>
        <v>0</v>
      </c>
      <c r="AF173" s="432">
        <v>304</v>
      </c>
      <c r="AG173" s="436" t="str">
        <f t="shared" si="272"/>
        <v>u</v>
      </c>
      <c r="AH173" s="134">
        <f t="shared" si="266"/>
        <v>0</v>
      </c>
      <c r="AI173" s="134">
        <f t="shared" si="267"/>
        <v>0</v>
      </c>
      <c r="AJ173" s="134">
        <f t="shared" si="268"/>
        <v>0</v>
      </c>
      <c r="AK173" s="134">
        <f t="shared" si="269"/>
        <v>0</v>
      </c>
      <c r="AL173" s="470" t="s">
        <v>1266</v>
      </c>
    </row>
    <row r="174" spans="1:39" hidden="1" x14ac:dyDescent="0.25">
      <c r="B174" s="124" t="s">
        <v>1763</v>
      </c>
      <c r="C174" s="168" t="s">
        <v>2805</v>
      </c>
      <c r="D174" s="119">
        <f t="shared" si="255"/>
        <v>11</v>
      </c>
      <c r="E174" s="370">
        <f t="array" ref="E174">IF(U174="YES",IF(T174="YES",MIN(IF(TIM[Load Capability Reference]=CONCATENATE(P174,Q174,S174,R174),TIM[Lowest A-PTX])),MIN(IF(TIM[Load Capability Reference]=CONCATENATE(P174,Q174,S174,R174),IF(TIM[Equipment ID]&lt;&gt;O174,TIM[Lowest A-PTX])))),IF(T174="YES",MIN(IF(TIM[Load Capability Reference]=CONCATENATE(P174,Q174,S174,R174),TIM[Lowest A-No PTX])),MIN(IF(TIM[Load Capability Reference]=CONCATENATE(P174,Q174,S174,R174),IF(TIM[Equipment ID]&lt;&gt;O174,TIM[Lowest A-No PTX])))))</f>
        <v>199.76387199999999</v>
      </c>
      <c r="F174" s="119">
        <f>IFERROR(IFERROR(VLOOKUP(CONCATENATE(P174,Q174,O174,S174,"Protection"),TIM[[OC Protection Reference]:[Forward A]],23,0),VLOOKUP(O174,AEL_Protection_Data[],12,0)),"N/A")</f>
        <v>304</v>
      </c>
      <c r="G174" s="119">
        <f t="shared" si="256"/>
        <v>155</v>
      </c>
      <c r="H174" s="29">
        <f t="shared" si="257"/>
        <v>2.9531466269049358</v>
      </c>
      <c r="I174" s="119">
        <f t="shared" si="258"/>
        <v>175</v>
      </c>
      <c r="J174" s="29">
        <f t="shared" si="259"/>
        <v>3.3341978045700884</v>
      </c>
      <c r="K174" s="6" t="str">
        <f>IF(U174="Yes",UPPER(IF(ISNUMBER(SEARCH("winding",VLOOKUP(CONCATENATE(P174,Q174,S174,E174),TIM[[Limiting Equipment Reference-PTX]:[Summ Equipment]],7,0))),"Power Transformer Rating at "&amp;ROUND(E174*S174*SQRT(3)/1000,2)&amp;" MVA",VLOOKUP(CONCATENATE(P174,Q174,S174,E174),TIM[[Limiting Equipment Reference-No PTX]:[Summ Equipment]],8,0))),UPPER(VLOOKUP(CONCATENATE(P174,Q174,S174,E174),TIM[[Limiting Equipment Reference-No PTX]:[Summ Equipment]],8,0)))</f>
        <v>CABLE-3C 185MM²  AL PILC SWAS</v>
      </c>
      <c r="L174" s="146" t="s">
        <v>1267</v>
      </c>
      <c r="M174" s="509" t="s">
        <v>1266</v>
      </c>
      <c r="O174" s="118" t="str">
        <f t="shared" si="270"/>
        <v>NST-CB10</v>
      </c>
      <c r="P174" s="49" t="s">
        <v>1276</v>
      </c>
      <c r="Q174" s="49" t="s">
        <v>190</v>
      </c>
      <c r="R174" s="386"/>
      <c r="S174" s="43">
        <v>11</v>
      </c>
      <c r="T174" s="146" t="s">
        <v>1266</v>
      </c>
      <c r="U174" s="146" t="s">
        <v>1266</v>
      </c>
      <c r="V174" s="487"/>
      <c r="X174" s="498" t="s">
        <v>1763</v>
      </c>
      <c r="Y174" s="431" t="s">
        <v>2805</v>
      </c>
      <c r="Z174" s="432">
        <v>200</v>
      </c>
      <c r="AA174" s="441" t="str">
        <f t="shared" si="271"/>
        <v>q</v>
      </c>
      <c r="AB174" s="134">
        <f t="shared" si="261"/>
        <v>0</v>
      </c>
      <c r="AC174" s="134">
        <f t="shared" si="262"/>
        <v>0</v>
      </c>
      <c r="AD174" s="134">
        <f t="shared" si="263"/>
        <v>0.23612800000000789</v>
      </c>
      <c r="AE174" s="134">
        <f t="shared" si="264"/>
        <v>4.4988426239860125E-3</v>
      </c>
      <c r="AF174" s="432">
        <v>304</v>
      </c>
      <c r="AG174" s="436" t="str">
        <f t="shared" si="272"/>
        <v>u</v>
      </c>
      <c r="AH174" s="134">
        <f t="shared" si="266"/>
        <v>0</v>
      </c>
      <c r="AI174" s="134">
        <f t="shared" si="267"/>
        <v>0</v>
      </c>
      <c r="AJ174" s="134">
        <f t="shared" si="268"/>
        <v>0</v>
      </c>
      <c r="AK174" s="134">
        <f t="shared" si="269"/>
        <v>0</v>
      </c>
      <c r="AL174" s="470" t="s">
        <v>1266</v>
      </c>
    </row>
    <row r="175" spans="1:39" hidden="1" x14ac:dyDescent="0.25">
      <c r="B175" s="123" t="s">
        <v>607</v>
      </c>
      <c r="C175" s="6" t="s">
        <v>2806</v>
      </c>
      <c r="D175" s="119">
        <f t="shared" si="255"/>
        <v>11</v>
      </c>
      <c r="E175" s="370">
        <f t="array" ref="E175">IF(U175="YES",IF(T175="YES",MIN(IF(TIM[Load Capability Reference]=CONCATENATE(P175,Q175,S175,R175),TIM[Lowest A-PTX])),MIN(IF(TIM[Load Capability Reference]=CONCATENATE(P175,Q175,S175,R175),IF(TIM[Equipment ID]&lt;&gt;O175,TIM[Lowest A-PTX])))),IF(T175="YES",MIN(IF(TIM[Load Capability Reference]=CONCATENATE(P175,Q175,S175,R175),TIM[Lowest A-No PTX])),MIN(IF(TIM[Load Capability Reference]=CONCATENATE(P175,Q175,S175,R175),IF(TIM[Equipment ID]&lt;&gt;O175,TIM[Lowest A-No PTX])))))</f>
        <v>206.86959999999993</v>
      </c>
      <c r="F175" s="119">
        <f>IFERROR(IFERROR(VLOOKUP(CONCATENATE(P175,Q175,O175,S175,"Protection"),TIM[[OC Protection Reference]:[Forward A]],23,0),VLOOKUP(O175,AEL_Protection_Data[],12,0)),"N/A")</f>
        <v>304</v>
      </c>
      <c r="G175" s="119">
        <f t="shared" si="256"/>
        <v>165</v>
      </c>
      <c r="H175" s="29">
        <f t="shared" si="257"/>
        <v>3.1436722157375119</v>
      </c>
      <c r="I175" s="119">
        <f t="shared" si="258"/>
        <v>185</v>
      </c>
      <c r="J175" s="29">
        <f t="shared" si="259"/>
        <v>3.5247233934026649</v>
      </c>
      <c r="K175" s="6" t="str">
        <f>IF(U175="Yes",UPPER(IF(ISNUMBER(SEARCH("winding",VLOOKUP(CONCATENATE(P175,Q175,S175,E175),TIM[[Limiting Equipment Reference-PTX]:[Summ Equipment]],7,0))),"Power Transformer Rating at "&amp;ROUND(E175*S175*SQRT(3)/1000,2)&amp;" MVA",VLOOKUP(CONCATENATE(P175,Q175,S175,E175),TIM[[Limiting Equipment Reference-No PTX]:[Summ Equipment]],8,0))),UPPER(VLOOKUP(CONCATENATE(P175,Q175,S175,E175),TIM[[Limiting Equipment Reference-No PTX]:[Summ Equipment]],8,0)))</f>
        <v>CABLE-3C 0.25IN² AL PILC STAS</v>
      </c>
      <c r="L175" s="146" t="s">
        <v>1267</v>
      </c>
      <c r="M175" s="509" t="s">
        <v>1266</v>
      </c>
      <c r="O175" s="118" t="str">
        <f t="shared" si="270"/>
        <v>NST-CB11</v>
      </c>
      <c r="P175" s="49" t="s">
        <v>1276</v>
      </c>
      <c r="Q175" s="49" t="s">
        <v>192</v>
      </c>
      <c r="R175" s="386"/>
      <c r="S175" s="43">
        <v>11</v>
      </c>
      <c r="T175" s="146" t="s">
        <v>1266</v>
      </c>
      <c r="U175" s="146" t="s">
        <v>1266</v>
      </c>
      <c r="V175" s="487"/>
      <c r="X175" s="499" t="s">
        <v>607</v>
      </c>
      <c r="Y175" s="431" t="s">
        <v>2806</v>
      </c>
      <c r="Z175" s="432">
        <v>200</v>
      </c>
      <c r="AA175" s="441" t="str">
        <f t="shared" si="271"/>
        <v>p</v>
      </c>
      <c r="AB175" s="134">
        <f t="shared" si="261"/>
        <v>6.8695999999999344</v>
      </c>
      <c r="AC175" s="134">
        <f t="shared" si="262"/>
        <v>0.13088345850442551</v>
      </c>
      <c r="AD175" s="134">
        <f t="shared" si="263"/>
        <v>0</v>
      </c>
      <c r="AE175" s="134">
        <f t="shared" si="264"/>
        <v>0</v>
      </c>
      <c r="AF175" s="432">
        <v>304</v>
      </c>
      <c r="AG175" s="436" t="str">
        <f t="shared" si="272"/>
        <v>u</v>
      </c>
      <c r="AH175" s="134">
        <f t="shared" si="266"/>
        <v>0</v>
      </c>
      <c r="AI175" s="134">
        <f t="shared" si="267"/>
        <v>0</v>
      </c>
      <c r="AJ175" s="134">
        <f t="shared" si="268"/>
        <v>0</v>
      </c>
      <c r="AK175" s="134">
        <f t="shared" si="269"/>
        <v>0</v>
      </c>
      <c r="AL175" s="470" t="s">
        <v>1266</v>
      </c>
    </row>
    <row r="176" spans="1:39" hidden="1" x14ac:dyDescent="0.25">
      <c r="B176" s="124" t="s">
        <v>610</v>
      </c>
      <c r="C176" s="168" t="s">
        <v>2807</v>
      </c>
      <c r="D176" s="119">
        <f t="shared" si="255"/>
        <v>11</v>
      </c>
      <c r="E176" s="370">
        <f t="array" ref="E176">IF(U176="YES",IF(T176="YES",MIN(IF(TIM[Load Capability Reference]=CONCATENATE(P176,Q176,S176,R176),TIM[Lowest A-PTX])),MIN(IF(TIM[Load Capability Reference]=CONCATENATE(P176,Q176,S176,R176),IF(TIM[Equipment ID]&lt;&gt;O176,TIM[Lowest A-PTX])))),IF(T176="YES",MIN(IF(TIM[Load Capability Reference]=CONCATENATE(P176,Q176,S176,R176),TIM[Lowest A-No PTX])),MIN(IF(TIM[Load Capability Reference]=CONCATENATE(P176,Q176,S176,R176),IF(TIM[Equipment ID]&lt;&gt;O176,TIM[Lowest A-No PTX])))))</f>
        <v>206.86959999999993</v>
      </c>
      <c r="F176" s="119">
        <f>IFERROR(IFERROR(VLOOKUP(CONCATENATE(P176,Q176,O176,S176,"Protection"),TIM[[OC Protection Reference]:[Forward A]],23,0),VLOOKUP(O176,AEL_Protection_Data[],12,0)),"N/A")</f>
        <v>304</v>
      </c>
      <c r="G176" s="119">
        <f t="shared" ref="G176:G184" si="273">IFERROR(FLOOR(MIN(E176:F176)*$D$3,5),"")</f>
        <v>165</v>
      </c>
      <c r="H176" s="29">
        <f t="shared" ref="H176:H184" si="274">G176*S176*SQRT(3)/1000</f>
        <v>3.1436722157375119</v>
      </c>
      <c r="I176" s="119">
        <f t="shared" ref="I176:I184" si="275">IFERROR(FLOOR(MIN(E176:F176)*$D$2,5),"")</f>
        <v>185</v>
      </c>
      <c r="J176" s="29">
        <f t="shared" ref="J176:J184" si="276">I176*S176*SQRT(3)/1000</f>
        <v>3.5247233934026649</v>
      </c>
      <c r="K176" s="6" t="str">
        <f>IF(U176="Yes",UPPER(IF(ISNUMBER(SEARCH("winding",VLOOKUP(CONCATENATE(P176,Q176,S176,E176),TIM[[Limiting Equipment Reference-PTX]:[Summ Equipment]],7,0))),"Power Transformer Rating at "&amp;ROUND(E176*S176*SQRT(3)/1000,2)&amp;" MVA",VLOOKUP(CONCATENATE(P176,Q176,S176,E176),TIM[[Limiting Equipment Reference-No PTX]:[Summ Equipment]],8,0))),UPPER(VLOOKUP(CONCATENATE(P176,Q176,S176,E176),TIM[[Limiting Equipment Reference-No PTX]:[Summ Equipment]],8,0)))</f>
        <v>CABLE-3C 0.25IN² AL PILC SWA</v>
      </c>
      <c r="L176" s="146" t="s">
        <v>1267</v>
      </c>
      <c r="M176" s="509" t="s">
        <v>1266</v>
      </c>
      <c r="O176" s="118" t="str">
        <f t="shared" si="270"/>
        <v>NST-CB12</v>
      </c>
      <c r="P176" s="49" t="s">
        <v>1276</v>
      </c>
      <c r="Q176" s="49" t="s">
        <v>194</v>
      </c>
      <c r="R176" s="386"/>
      <c r="S176" s="43">
        <v>11</v>
      </c>
      <c r="T176" s="146" t="s">
        <v>1266</v>
      </c>
      <c r="U176" s="146" t="s">
        <v>1266</v>
      </c>
      <c r="V176" s="487"/>
      <c r="X176" s="498" t="s">
        <v>610</v>
      </c>
      <c r="Y176" s="431" t="s">
        <v>2807</v>
      </c>
      <c r="Z176" s="432">
        <v>200</v>
      </c>
      <c r="AA176" s="441" t="str">
        <f t="shared" si="271"/>
        <v>p</v>
      </c>
      <c r="AB176" s="134">
        <f t="shared" si="261"/>
        <v>6.8695999999999344</v>
      </c>
      <c r="AC176" s="134">
        <f t="shared" si="262"/>
        <v>0.13088345850442551</v>
      </c>
      <c r="AD176" s="134">
        <f t="shared" si="263"/>
        <v>0</v>
      </c>
      <c r="AE176" s="134">
        <f t="shared" si="264"/>
        <v>0</v>
      </c>
      <c r="AF176" s="432">
        <v>304</v>
      </c>
      <c r="AG176" s="436" t="str">
        <f t="shared" si="272"/>
        <v>u</v>
      </c>
      <c r="AH176" s="134">
        <f t="shared" si="266"/>
        <v>0</v>
      </c>
      <c r="AI176" s="134">
        <f t="shared" si="267"/>
        <v>0</v>
      </c>
      <c r="AJ176" s="134">
        <f t="shared" si="268"/>
        <v>0</v>
      </c>
      <c r="AK176" s="134">
        <f t="shared" si="269"/>
        <v>0</v>
      </c>
      <c r="AL176" s="470" t="s">
        <v>1266</v>
      </c>
    </row>
    <row r="177" spans="1:39" hidden="1" x14ac:dyDescent="0.25">
      <c r="B177" s="124" t="s">
        <v>611</v>
      </c>
      <c r="C177" s="168" t="s">
        <v>2808</v>
      </c>
      <c r="D177" s="119">
        <f t="shared" si="255"/>
        <v>11</v>
      </c>
      <c r="E177" s="370">
        <f t="array" ref="E177">IF(U177="YES",IF(T177="YES",MIN(IF(TIM[Load Capability Reference]=CONCATENATE(P177,Q177,S177,R177),TIM[Lowest A-PTX])),MIN(IF(TIM[Load Capability Reference]=CONCATENATE(P177,Q177,S177,R177),IF(TIM[Equipment ID]&lt;&gt;O177,TIM[Lowest A-PTX])))),IF(T177="YES",MIN(IF(TIM[Load Capability Reference]=CONCATENATE(P177,Q177,S177,R177),TIM[Lowest A-No PTX])),MIN(IF(TIM[Load Capability Reference]=CONCATENATE(P177,Q177,S177,R177),IF(TIM[Equipment ID]&lt;&gt;O177,TIM[Lowest A-No PTX])))))</f>
        <v>273.32639999999998</v>
      </c>
      <c r="F177" s="119">
        <f>IFERROR(IFERROR(VLOOKUP(CONCATENATE(P177,Q177,O177,S177,"Protection"),TIM[[OC Protection Reference]:[Forward A]],23,0),VLOOKUP(O177,AEL_Protection_Data[],12,0)),"N/A")</f>
        <v>304</v>
      </c>
      <c r="G177" s="119">
        <f t="shared" si="273"/>
        <v>215</v>
      </c>
      <c r="H177" s="29">
        <f t="shared" si="274"/>
        <v>4.0963001599003945</v>
      </c>
      <c r="I177" s="119">
        <f t="shared" si="275"/>
        <v>245</v>
      </c>
      <c r="J177" s="29">
        <f t="shared" si="276"/>
        <v>4.6678769263981241</v>
      </c>
      <c r="K177" s="6" t="str">
        <f>IF(U177="Yes",UPPER(IF(ISNUMBER(SEARCH("winding",VLOOKUP(CONCATENATE(P177,Q177,S177,E177),TIM[[Limiting Equipment Reference-PTX]:[Summ Equipment]],7,0))),"Power Transformer Rating at "&amp;ROUND(E177*S177*SQRT(3)/1000,2)&amp;" MVA",VLOOKUP(CONCATENATE(P177,Q177,S177,E177),TIM[[Limiting Equipment Reference-No PTX]:[Summ Equipment]],8,0))),UPPER(VLOOKUP(CONCATENATE(P177,Q177,S177,E177),TIM[[Limiting Equipment Reference-No PTX]:[Summ Equipment]],8,0)))</f>
        <v>CABLE-3C 300MM² AL XLPE MDPE</v>
      </c>
      <c r="L177" s="146" t="s">
        <v>1267</v>
      </c>
      <c r="M177" s="509" t="s">
        <v>1266</v>
      </c>
      <c r="O177" s="118" t="str">
        <f t="shared" si="270"/>
        <v>NST-CB13</v>
      </c>
      <c r="P177" s="49" t="s">
        <v>1276</v>
      </c>
      <c r="Q177" s="49" t="s">
        <v>196</v>
      </c>
      <c r="R177" s="386"/>
      <c r="S177" s="43">
        <v>11</v>
      </c>
      <c r="T177" s="146" t="s">
        <v>1266</v>
      </c>
      <c r="U177" s="146" t="s">
        <v>1266</v>
      </c>
      <c r="V177" s="487"/>
      <c r="X177" s="498" t="s">
        <v>611</v>
      </c>
      <c r="Y177" s="431" t="s">
        <v>2911</v>
      </c>
      <c r="Z177" s="432">
        <v>270</v>
      </c>
      <c r="AA177" s="441" t="str">
        <f t="shared" si="271"/>
        <v>p</v>
      </c>
      <c r="AB177" s="134">
        <f t="shared" si="261"/>
        <v>3.3263999999999783</v>
      </c>
      <c r="AC177" s="134">
        <f t="shared" si="262"/>
        <v>6.3376431869267835E-2</v>
      </c>
      <c r="AD177" s="134">
        <f t="shared" si="263"/>
        <v>0</v>
      </c>
      <c r="AE177" s="134">
        <f t="shared" si="264"/>
        <v>0</v>
      </c>
      <c r="AF177" s="432">
        <v>304</v>
      </c>
      <c r="AG177" s="436" t="str">
        <f t="shared" si="272"/>
        <v>u</v>
      </c>
      <c r="AH177" s="134">
        <f t="shared" si="266"/>
        <v>0</v>
      </c>
      <c r="AI177" s="134">
        <f t="shared" si="267"/>
        <v>0</v>
      </c>
      <c r="AJ177" s="134">
        <f t="shared" si="268"/>
        <v>0</v>
      </c>
      <c r="AK177" s="134">
        <f t="shared" si="269"/>
        <v>0</v>
      </c>
      <c r="AL177" s="470" t="s">
        <v>1266</v>
      </c>
    </row>
    <row r="178" spans="1:39" hidden="1" x14ac:dyDescent="0.25">
      <c r="B178" s="124" t="s">
        <v>1594</v>
      </c>
      <c r="C178" s="168" t="s">
        <v>2809</v>
      </c>
      <c r="D178" s="119">
        <f t="shared" si="255"/>
        <v>11</v>
      </c>
      <c r="E178" s="370">
        <f t="array" ref="E178">IF(U178="YES",IF(T178="YES",MIN(IF(TIM[Load Capability Reference]=CONCATENATE(P178,Q178,S178,R178),TIM[Lowest A-PTX])),MIN(IF(TIM[Load Capability Reference]=CONCATENATE(P178,Q178,S178,R178),IF(TIM[Equipment ID]&lt;&gt;O178,TIM[Lowest A-PTX])))),IF(T178="YES",MIN(IF(TIM[Load Capability Reference]=CONCATENATE(P178,Q178,S178,R178),TIM[Lowest A-No PTX])),MIN(IF(TIM[Load Capability Reference]=CONCATENATE(P178,Q178,S178,R178),IF(TIM[Equipment ID]&lt;&gt;O178,TIM[Lowest A-No PTX])))))</f>
        <v>291.76874999999995</v>
      </c>
      <c r="F178" s="119">
        <f>IFERROR(IFERROR(VLOOKUP(CONCATENATE(P178,Q178,O178,S178,"Protection"),TIM[[OC Protection Reference]:[Forward A]],23,0),VLOOKUP(O178,AEL_Protection_Data[],12,0)),"N/A")</f>
        <v>400</v>
      </c>
      <c r="G178" s="119">
        <f t="shared" si="273"/>
        <v>230</v>
      </c>
      <c r="H178" s="29">
        <f t="shared" si="274"/>
        <v>4.3820885431492593</v>
      </c>
      <c r="I178" s="119">
        <f t="shared" si="275"/>
        <v>260</v>
      </c>
      <c r="J178" s="29">
        <f t="shared" si="276"/>
        <v>4.9536653096469889</v>
      </c>
      <c r="K178" s="6" t="str">
        <f>IF(U178="Yes",UPPER(IF(ISNUMBER(SEARCH("winding",VLOOKUP(CONCATENATE(P178,Q178,S178,E178),TIM[[Limiting Equipment Reference-PTX]:[Summ Equipment]],7,0))),"Power Transformer Rating at "&amp;ROUND(E178*S178*SQRT(3)/1000,2)&amp;" MVA",VLOOKUP(CONCATENATE(P178,Q178,S178,E178),TIM[[Limiting Equipment Reference-No PTX]:[Summ Equipment]],8,0))),UPPER(VLOOKUP(CONCATENATE(P178,Q178,S178,E178),TIM[[Limiting Equipment Reference-No PTX]:[Summ Equipment]],8,0)))</f>
        <v>CABLE-3C 0.3IN² CU PILC SWAS</v>
      </c>
      <c r="L178" s="146" t="s">
        <v>1267</v>
      </c>
      <c r="M178" s="509" t="s">
        <v>1266</v>
      </c>
      <c r="O178" s="118" t="str">
        <f t="shared" si="270"/>
        <v>NST-CB14</v>
      </c>
      <c r="P178" s="49" t="s">
        <v>1245</v>
      </c>
      <c r="Q178" s="49" t="s">
        <v>1333</v>
      </c>
      <c r="R178" s="386"/>
      <c r="S178" s="43">
        <v>11</v>
      </c>
      <c r="T178" s="146" t="s">
        <v>1266</v>
      </c>
      <c r="U178" s="146" t="s">
        <v>1266</v>
      </c>
      <c r="V178" s="487"/>
      <c r="X178" s="498" t="s">
        <v>1594</v>
      </c>
      <c r="Y178" s="431" t="s">
        <v>2809</v>
      </c>
      <c r="Z178" s="432">
        <v>300</v>
      </c>
      <c r="AA178" s="441" t="str">
        <f t="shared" si="271"/>
        <v>q</v>
      </c>
      <c r="AB178" s="134">
        <f t="shared" si="261"/>
        <v>0</v>
      </c>
      <c r="AC178" s="134">
        <f t="shared" si="262"/>
        <v>0</v>
      </c>
      <c r="AD178" s="134">
        <f t="shared" si="263"/>
        <v>8.2312500000000455</v>
      </c>
      <c r="AE178" s="134">
        <f t="shared" si="264"/>
        <v>0.1568263753078154</v>
      </c>
      <c r="AF178" s="432">
        <v>400</v>
      </c>
      <c r="AG178" s="436" t="str">
        <f t="shared" si="272"/>
        <v>u</v>
      </c>
      <c r="AH178" s="134">
        <f t="shared" si="266"/>
        <v>0</v>
      </c>
      <c r="AI178" s="134">
        <f t="shared" si="267"/>
        <v>0</v>
      </c>
      <c r="AJ178" s="134">
        <f t="shared" si="268"/>
        <v>0</v>
      </c>
      <c r="AK178" s="134">
        <f t="shared" si="269"/>
        <v>0</v>
      </c>
      <c r="AL178" s="470" t="s">
        <v>1266</v>
      </c>
    </row>
    <row r="179" spans="1:39" hidden="1" x14ac:dyDescent="0.25">
      <c r="B179" s="124" t="s">
        <v>1596</v>
      </c>
      <c r="C179" s="168" t="s">
        <v>2775</v>
      </c>
      <c r="D179" s="119">
        <f t="shared" si="255"/>
        <v>11</v>
      </c>
      <c r="E179" s="370">
        <f t="array" ref="E179">IF(U179="YES",IF(T179="YES",MIN(IF(TIM[Load Capability Reference]=CONCATENATE(P179,Q179,S179,R179),TIM[Lowest A-PTX])),MIN(IF(TIM[Load Capability Reference]=CONCATENATE(P179,Q179,S179,R179),IF(TIM[Equipment ID]&lt;&gt;O179,TIM[Lowest A-PTX])))),IF(T179="YES",MIN(IF(TIM[Load Capability Reference]=CONCATENATE(P179,Q179,S179,R179),TIM[Lowest A-No PTX])),MIN(IF(TIM[Load Capability Reference]=CONCATENATE(P179,Q179,S179,R179),IF(TIM[Equipment ID]&lt;&gt;O179,TIM[Lowest A-No PTX])))))</f>
        <v>297.464</v>
      </c>
      <c r="F179" s="119">
        <f>IFERROR(IFERROR(VLOOKUP(CONCATENATE(P179,Q179,O179,S179,"Protection"),TIM[[OC Protection Reference]:[Forward A]],23,0),VLOOKUP(O179,AEL_Protection_Data[],12,0)),"N/A")</f>
        <v>400</v>
      </c>
      <c r="G179" s="119">
        <f t="shared" si="273"/>
        <v>235</v>
      </c>
      <c r="H179" s="29">
        <f t="shared" si="274"/>
        <v>4.4773513375655476</v>
      </c>
      <c r="I179" s="119">
        <f t="shared" si="275"/>
        <v>265</v>
      </c>
      <c r="J179" s="29">
        <f t="shared" si="276"/>
        <v>5.0489281040632772</v>
      </c>
      <c r="K179" s="6" t="str">
        <f>IF(U179="Yes",UPPER(IF(ISNUMBER(SEARCH("winding",VLOOKUP(CONCATENATE(P179,Q179,S179,E179),TIM[[Limiting Equipment Reference-PTX]:[Summ Equipment]],7,0))),"Power Transformer Rating at "&amp;ROUND(E179*S179*SQRT(3)/1000,2)&amp;" MVA",VLOOKUP(CONCATENATE(P179,Q179,S179,E179),TIM[[Limiting Equipment Reference-No PTX]:[Summ Equipment]],8,0))),UPPER(VLOOKUP(CONCATENATE(P179,Q179,S179,E179),TIM[[Limiting Equipment Reference-No PTX]:[Summ Equipment]],8,0)))</f>
        <v>CABLE-3C 0.3IN² CU PILC SWAS</v>
      </c>
      <c r="L179" s="146" t="s">
        <v>1267</v>
      </c>
      <c r="M179" s="509" t="s">
        <v>1266</v>
      </c>
      <c r="O179" s="118" t="str">
        <f t="shared" si="270"/>
        <v>NST-CB15</v>
      </c>
      <c r="P179" s="49" t="s">
        <v>1245</v>
      </c>
      <c r="Q179" s="49" t="s">
        <v>1331</v>
      </c>
      <c r="R179" s="386"/>
      <c r="S179" s="43">
        <v>11</v>
      </c>
      <c r="T179" s="146" t="s">
        <v>1266</v>
      </c>
      <c r="U179" s="146" t="s">
        <v>1266</v>
      </c>
      <c r="V179" s="487"/>
      <c r="X179" s="498" t="s">
        <v>1596</v>
      </c>
      <c r="Y179" s="431" t="s">
        <v>2775</v>
      </c>
      <c r="Z179" s="432">
        <v>300</v>
      </c>
      <c r="AA179" s="441" t="str">
        <f t="shared" si="271"/>
        <v>q</v>
      </c>
      <c r="AB179" s="134">
        <f t="shared" si="261"/>
        <v>0</v>
      </c>
      <c r="AC179" s="134">
        <f t="shared" si="262"/>
        <v>0</v>
      </c>
      <c r="AD179" s="134">
        <f t="shared" si="263"/>
        <v>2.5360000000000014</v>
      </c>
      <c r="AE179" s="134">
        <f t="shared" si="264"/>
        <v>4.8317289327941423E-2</v>
      </c>
      <c r="AF179" s="432">
        <v>400</v>
      </c>
      <c r="AG179" s="436" t="str">
        <f t="shared" si="272"/>
        <v>u</v>
      </c>
      <c r="AH179" s="134">
        <f t="shared" si="266"/>
        <v>0</v>
      </c>
      <c r="AI179" s="134">
        <f t="shared" si="267"/>
        <v>0</v>
      </c>
      <c r="AJ179" s="134">
        <f t="shared" si="268"/>
        <v>0</v>
      </c>
      <c r="AK179" s="134">
        <f t="shared" si="269"/>
        <v>0</v>
      </c>
      <c r="AL179" s="470" t="s">
        <v>1266</v>
      </c>
    </row>
    <row r="180" spans="1:39" hidden="1" x14ac:dyDescent="0.25">
      <c r="B180" s="124" t="s">
        <v>1768</v>
      </c>
      <c r="C180" s="168" t="s">
        <v>2810</v>
      </c>
      <c r="D180" s="119">
        <f t="shared" si="255"/>
        <v>11</v>
      </c>
      <c r="E180" s="370">
        <f t="array" ref="E180">IF(U180="YES",IF(T180="YES",MIN(IF(TIM[Load Capability Reference]=CONCATENATE(P180,Q180,S180,R180),TIM[Lowest A-PTX])),MIN(IF(TIM[Load Capability Reference]=CONCATENATE(P180,Q180,S180,R180),IF(TIM[Equipment ID]&lt;&gt;O180,TIM[Lowest A-PTX])))),IF(T180="YES",MIN(IF(TIM[Load Capability Reference]=CONCATENATE(P180,Q180,S180,R180),TIM[Lowest A-No PTX])),MIN(IF(TIM[Load Capability Reference]=CONCATENATE(P180,Q180,S180,R180),IF(TIM[Equipment ID]&lt;&gt;O180,TIM[Lowest A-No PTX])))))</f>
        <v>209.91599999999994</v>
      </c>
      <c r="F180" s="119">
        <f>IFERROR(IFERROR(VLOOKUP(CONCATENATE(P180,Q180,O180,S180,"Protection"),TIM[[OC Protection Reference]:[Forward A]],23,0),VLOOKUP(O180,AEL_Protection_Data[],12,0)),"N/A")</f>
        <v>304</v>
      </c>
      <c r="G180" s="119">
        <f t="shared" si="273"/>
        <v>165</v>
      </c>
      <c r="H180" s="29">
        <f t="shared" si="274"/>
        <v>3.1436722157375119</v>
      </c>
      <c r="I180" s="119">
        <f t="shared" si="275"/>
        <v>185</v>
      </c>
      <c r="J180" s="29">
        <f t="shared" si="276"/>
        <v>3.5247233934026649</v>
      </c>
      <c r="K180" s="6" t="str">
        <f>IF(U180="Yes",UPPER(IF(ISNUMBER(SEARCH("winding",VLOOKUP(CONCATENATE(P180,Q180,S180,E180),TIM[[Limiting Equipment Reference-PTX]:[Summ Equipment]],7,0))),"Power Transformer Rating at "&amp;ROUND(E180*S180*SQRT(3)/1000,2)&amp;" MVA",VLOOKUP(CONCATENATE(P180,Q180,S180,E180),TIM[[Limiting Equipment Reference-No PTX]:[Summ Equipment]],8,0))),UPPER(VLOOKUP(CONCATENATE(P180,Q180,S180,E180),TIM[[Limiting Equipment Reference-No PTX]:[Summ Equipment]],8,0)))</f>
        <v>CABLE-3C 185MM² AL PILC SWAS</v>
      </c>
      <c r="L180" s="146" t="s">
        <v>1267</v>
      </c>
      <c r="M180" s="509" t="s">
        <v>1266</v>
      </c>
      <c r="O180" s="118" t="str">
        <f t="shared" si="270"/>
        <v>NST-CB16</v>
      </c>
      <c r="P180" s="49" t="s">
        <v>1276</v>
      </c>
      <c r="Q180" s="49" t="s">
        <v>198</v>
      </c>
      <c r="R180" s="386"/>
      <c r="S180" s="43">
        <v>11</v>
      </c>
      <c r="T180" s="146" t="s">
        <v>1266</v>
      </c>
      <c r="U180" s="146" t="s">
        <v>1266</v>
      </c>
      <c r="V180" s="487"/>
      <c r="X180" s="498" t="s">
        <v>1768</v>
      </c>
      <c r="Y180" s="431" t="s">
        <v>2810</v>
      </c>
      <c r="Z180" s="432">
        <v>200</v>
      </c>
      <c r="AA180" s="441" t="str">
        <f t="shared" si="271"/>
        <v>p</v>
      </c>
      <c r="AB180" s="134">
        <f t="shared" si="261"/>
        <v>9.91599999999994</v>
      </c>
      <c r="AC180" s="134">
        <f t="shared" si="262"/>
        <v>0.18892517388638172</v>
      </c>
      <c r="AD180" s="134">
        <f t="shared" si="263"/>
        <v>0</v>
      </c>
      <c r="AE180" s="134">
        <f t="shared" si="264"/>
        <v>0</v>
      </c>
      <c r="AF180" s="432">
        <v>304</v>
      </c>
      <c r="AG180" s="436" t="str">
        <f t="shared" si="272"/>
        <v>u</v>
      </c>
      <c r="AH180" s="134">
        <f t="shared" si="266"/>
        <v>0</v>
      </c>
      <c r="AI180" s="134">
        <f t="shared" si="267"/>
        <v>0</v>
      </c>
      <c r="AJ180" s="134">
        <f t="shared" si="268"/>
        <v>0</v>
      </c>
      <c r="AK180" s="134">
        <f t="shared" si="269"/>
        <v>0</v>
      </c>
      <c r="AL180" s="470" t="s">
        <v>1266</v>
      </c>
    </row>
    <row r="181" spans="1:39" hidden="1" x14ac:dyDescent="0.25">
      <c r="B181" s="124" t="s">
        <v>1770</v>
      </c>
      <c r="C181" s="168" t="s">
        <v>2811</v>
      </c>
      <c r="D181" s="119">
        <f t="shared" si="255"/>
        <v>11</v>
      </c>
      <c r="E181" s="370">
        <f t="array" ref="E181">IF(U181="YES",IF(T181="YES",MIN(IF(TIM[Load Capability Reference]=CONCATENATE(P181,Q181,S181,R181),TIM[Lowest A-PTX])),MIN(IF(TIM[Load Capability Reference]=CONCATENATE(P181,Q181,S181,R181),IF(TIM[Equipment ID]&lt;&gt;O181,TIM[Lowest A-PTX])))),IF(T181="YES",MIN(IF(TIM[Load Capability Reference]=CONCATENATE(P181,Q181,S181,R181),TIM[Lowest A-No PTX])),MIN(IF(TIM[Load Capability Reference]=CONCATENATE(P181,Q181,S181,R181),IF(TIM[Equipment ID]&lt;&gt;O181,TIM[Lowest A-No PTX])))))</f>
        <v>135.83135999999999</v>
      </c>
      <c r="F181" s="119">
        <f>IFERROR(IFERROR(VLOOKUP(CONCATENATE(P181,Q181,O181,S181,"Protection"),TIM[[OC Protection Reference]:[Forward A]],23,0),VLOOKUP(O181,AEL_Protection_Data[],12,0)),"N/A")</f>
        <v>200</v>
      </c>
      <c r="G181" s="119">
        <f t="shared" si="273"/>
        <v>105</v>
      </c>
      <c r="H181" s="29">
        <f t="shared" si="274"/>
        <v>2.0005186827420531</v>
      </c>
      <c r="I181" s="119">
        <f t="shared" si="275"/>
        <v>120</v>
      </c>
      <c r="J181" s="29">
        <f t="shared" si="276"/>
        <v>2.2863070659909179</v>
      </c>
      <c r="K181" s="6" t="str">
        <f>IF(U181="Yes",UPPER(IF(ISNUMBER(SEARCH("winding",VLOOKUP(CONCATENATE(P181,Q181,S181,E181),TIM[[Limiting Equipment Reference-PTX]:[Summ Equipment]],7,0))),"Power Transformer Rating at "&amp;ROUND(E181*S181*SQRT(3)/1000,2)&amp;" MVA",VLOOKUP(CONCATENATE(P181,Q181,S181,E181),TIM[[Limiting Equipment Reference-No PTX]:[Summ Equipment]],8,0))),UPPER(VLOOKUP(CONCATENATE(P181,Q181,S181,E181),TIM[[Limiting Equipment Reference-No PTX]:[Summ Equipment]],8,0)))</f>
        <v>CABLE-3C 0.075IN² CU PILC STAS</v>
      </c>
      <c r="L181" s="146" t="s">
        <v>1267</v>
      </c>
      <c r="M181" s="509" t="s">
        <v>1266</v>
      </c>
      <c r="O181" s="118" t="str">
        <f t="shared" si="270"/>
        <v>NST-CB17</v>
      </c>
      <c r="P181" s="49" t="s">
        <v>1276</v>
      </c>
      <c r="Q181" s="49" t="s">
        <v>200</v>
      </c>
      <c r="R181" s="386"/>
      <c r="S181" s="43">
        <v>11</v>
      </c>
      <c r="T181" s="146" t="s">
        <v>1266</v>
      </c>
      <c r="U181" s="146" t="s">
        <v>1266</v>
      </c>
      <c r="V181" s="487"/>
      <c r="X181" s="498" t="s">
        <v>1770</v>
      </c>
      <c r="Y181" s="431" t="s">
        <v>2811</v>
      </c>
      <c r="Z181" s="432">
        <v>130</v>
      </c>
      <c r="AA181" s="441" t="str">
        <f t="shared" si="271"/>
        <v>p</v>
      </c>
      <c r="AB181" s="134">
        <f t="shared" si="261"/>
        <v>5.8313599999999894</v>
      </c>
      <c r="AC181" s="134">
        <f t="shared" si="262"/>
        <v>0.11110232976947312</v>
      </c>
      <c r="AD181" s="134">
        <f t="shared" si="263"/>
        <v>0</v>
      </c>
      <c r="AE181" s="134">
        <f t="shared" si="264"/>
        <v>0</v>
      </c>
      <c r="AF181" s="432">
        <v>200</v>
      </c>
      <c r="AG181" s="436" t="str">
        <f t="shared" si="272"/>
        <v>u</v>
      </c>
      <c r="AH181" s="134">
        <f t="shared" si="266"/>
        <v>0</v>
      </c>
      <c r="AI181" s="134">
        <f t="shared" si="267"/>
        <v>0</v>
      </c>
      <c r="AJ181" s="134">
        <f t="shared" si="268"/>
        <v>0</v>
      </c>
      <c r="AK181" s="134">
        <f t="shared" si="269"/>
        <v>0</v>
      </c>
      <c r="AL181" s="470" t="s">
        <v>1266</v>
      </c>
    </row>
    <row r="182" spans="1:39" hidden="1" x14ac:dyDescent="0.25">
      <c r="B182" s="124" t="s">
        <v>1772</v>
      </c>
      <c r="C182" s="168" t="s">
        <v>2812</v>
      </c>
      <c r="D182" s="119">
        <f t="shared" si="255"/>
        <v>11</v>
      </c>
      <c r="E182" s="370">
        <f t="array" ref="E182">IF(U182="YES",IF(T182="YES",MIN(IF(TIM[Load Capability Reference]=CONCATENATE(P182,Q182,S182,R182),TIM[Lowest A-PTX])),MIN(IF(TIM[Load Capability Reference]=CONCATENATE(P182,Q182,S182,R182),IF(TIM[Equipment ID]&lt;&gt;O182,TIM[Lowest A-PTX])))),IF(T182="YES",MIN(IF(TIM[Load Capability Reference]=CONCATENATE(P182,Q182,S182,R182),TIM[Lowest A-No PTX])),MIN(IF(TIM[Load Capability Reference]=CONCATENATE(P182,Q182,S182,R182),IF(TIM[Equipment ID]&lt;&gt;O182,TIM[Lowest A-No PTX])))))</f>
        <v>273.32640000000004</v>
      </c>
      <c r="F182" s="119">
        <f>IFERROR(IFERROR(VLOOKUP(CONCATENATE(P182,Q182,O182,S182,"Protection"),TIM[[OC Protection Reference]:[Forward A]],23,0),VLOOKUP(O182,AEL_Protection_Data[],12,0)),"N/A")</f>
        <v>304</v>
      </c>
      <c r="G182" s="119">
        <f t="shared" si="273"/>
        <v>215</v>
      </c>
      <c r="H182" s="29">
        <f t="shared" si="274"/>
        <v>4.0963001599003945</v>
      </c>
      <c r="I182" s="119">
        <f t="shared" si="275"/>
        <v>245</v>
      </c>
      <c r="J182" s="29">
        <f t="shared" si="276"/>
        <v>4.6678769263981241</v>
      </c>
      <c r="K182" s="6" t="str">
        <f>IF(U182="Yes",UPPER(IF(ISNUMBER(SEARCH("winding",VLOOKUP(CONCATENATE(P182,Q182,S182,E182),TIM[[Limiting Equipment Reference-PTX]:[Summ Equipment]],7,0))),"Power Transformer Rating at "&amp;ROUND(E182*S182*SQRT(3)/1000,2)&amp;" MVA",VLOOKUP(CONCATENATE(P182,Q182,S182,E182),TIM[[Limiting Equipment Reference-No PTX]:[Summ Equipment]],8,0))),UPPER(VLOOKUP(CONCATENATE(P182,Q182,S182,E182),TIM[[Limiting Equipment Reference-No PTX]:[Summ Equipment]],8,0)))</f>
        <v>CABLE-3C 300MM² AL XLPE CWS MDPE</v>
      </c>
      <c r="L182" s="146" t="s">
        <v>1267</v>
      </c>
      <c r="M182" s="509" t="s">
        <v>1266</v>
      </c>
      <c r="O182" s="118" t="str">
        <f t="shared" si="270"/>
        <v>NST-CB18</v>
      </c>
      <c r="P182" s="49" t="s">
        <v>1276</v>
      </c>
      <c r="Q182" s="49" t="s">
        <v>201</v>
      </c>
      <c r="R182" s="386"/>
      <c r="S182" s="43">
        <v>11</v>
      </c>
      <c r="T182" s="146" t="s">
        <v>1266</v>
      </c>
      <c r="U182" s="146" t="s">
        <v>1266</v>
      </c>
      <c r="V182" s="487"/>
      <c r="X182" s="498" t="s">
        <v>1772</v>
      </c>
      <c r="Y182" s="431" t="s">
        <v>2912</v>
      </c>
      <c r="Z182" s="432">
        <v>270</v>
      </c>
      <c r="AA182" s="441" t="str">
        <f t="shared" si="271"/>
        <v>p</v>
      </c>
      <c r="AB182" s="134">
        <f t="shared" si="261"/>
        <v>3.3264000000000351</v>
      </c>
      <c r="AC182" s="134">
        <f t="shared" si="262"/>
        <v>6.3376431869268918E-2</v>
      </c>
      <c r="AD182" s="134">
        <f t="shared" si="263"/>
        <v>0</v>
      </c>
      <c r="AE182" s="134">
        <f t="shared" si="264"/>
        <v>0</v>
      </c>
      <c r="AF182" s="432">
        <v>304</v>
      </c>
      <c r="AG182" s="436" t="str">
        <f t="shared" si="272"/>
        <v>u</v>
      </c>
      <c r="AH182" s="134">
        <f t="shared" si="266"/>
        <v>0</v>
      </c>
      <c r="AI182" s="134">
        <f t="shared" si="267"/>
        <v>0</v>
      </c>
      <c r="AJ182" s="134">
        <f t="shared" si="268"/>
        <v>0</v>
      </c>
      <c r="AK182" s="134">
        <f t="shared" si="269"/>
        <v>0</v>
      </c>
      <c r="AL182" s="470" t="s">
        <v>1266</v>
      </c>
    </row>
    <row r="183" spans="1:39" hidden="1" x14ac:dyDescent="0.25">
      <c r="B183" s="124" t="s">
        <v>2464</v>
      </c>
      <c r="C183" s="168" t="s">
        <v>2506</v>
      </c>
      <c r="D183" s="119">
        <f t="shared" si="255"/>
        <v>11</v>
      </c>
      <c r="E183" s="370">
        <v>2500</v>
      </c>
      <c r="F183" s="119">
        <v>1200</v>
      </c>
      <c r="G183" s="119">
        <f t="shared" si="273"/>
        <v>960</v>
      </c>
      <c r="H183" s="29">
        <f t="shared" si="274"/>
        <v>18.290456527927343</v>
      </c>
      <c r="I183" s="119">
        <f t="shared" si="275"/>
        <v>1080</v>
      </c>
      <c r="J183" s="29">
        <f t="shared" si="276"/>
        <v>20.576763593918262</v>
      </c>
      <c r="K183" s="6" t="s">
        <v>2797</v>
      </c>
      <c r="L183" s="146" t="s">
        <v>1267</v>
      </c>
      <c r="M183" s="509" t="s">
        <v>1266</v>
      </c>
      <c r="O183" s="118" t="str">
        <f t="shared" si="270"/>
        <v>NST-CB31</v>
      </c>
      <c r="P183" s="49" t="s">
        <v>1276</v>
      </c>
      <c r="Q183" s="49"/>
      <c r="R183" s="386"/>
      <c r="S183" s="43">
        <v>11</v>
      </c>
      <c r="T183" s="146" t="s">
        <v>1266</v>
      </c>
      <c r="U183" s="146" t="s">
        <v>1266</v>
      </c>
      <c r="V183" s="487" t="s">
        <v>2822</v>
      </c>
      <c r="X183" s="498" t="s">
        <v>2464</v>
      </c>
      <c r="Y183" s="431" t="s">
        <v>2506</v>
      </c>
      <c r="Z183" s="432">
        <v>2500</v>
      </c>
      <c r="AA183" s="441" t="str">
        <f t="shared" si="271"/>
        <v>u</v>
      </c>
      <c r="AB183" s="134">
        <f t="shared" si="261"/>
        <v>0</v>
      </c>
      <c r="AC183" s="134">
        <f t="shared" si="262"/>
        <v>0</v>
      </c>
      <c r="AD183" s="134">
        <f t="shared" si="263"/>
        <v>0</v>
      </c>
      <c r="AE183" s="134">
        <f t="shared" si="264"/>
        <v>0</v>
      </c>
      <c r="AF183" s="432">
        <v>1200</v>
      </c>
      <c r="AG183" s="436" t="str">
        <f t="shared" si="272"/>
        <v>u</v>
      </c>
      <c r="AH183" s="134">
        <f t="shared" si="266"/>
        <v>0</v>
      </c>
      <c r="AI183" s="134">
        <f t="shared" si="267"/>
        <v>0</v>
      </c>
      <c r="AJ183" s="134">
        <f t="shared" si="268"/>
        <v>0</v>
      </c>
      <c r="AK183" s="134">
        <f t="shared" si="269"/>
        <v>0</v>
      </c>
      <c r="AL183" s="470" t="s">
        <v>1266</v>
      </c>
    </row>
    <row r="184" spans="1:39" hidden="1" x14ac:dyDescent="0.25">
      <c r="B184" s="124" t="s">
        <v>373</v>
      </c>
      <c r="C184" s="168" t="s">
        <v>2507</v>
      </c>
      <c r="D184" s="119">
        <f t="shared" si="255"/>
        <v>11</v>
      </c>
      <c r="E184" s="370">
        <v>2500</v>
      </c>
      <c r="F184" s="119">
        <v>1200</v>
      </c>
      <c r="G184" s="119">
        <f t="shared" si="273"/>
        <v>960</v>
      </c>
      <c r="H184" s="29">
        <f t="shared" si="274"/>
        <v>18.290456527927343</v>
      </c>
      <c r="I184" s="119">
        <f t="shared" si="275"/>
        <v>1080</v>
      </c>
      <c r="J184" s="29">
        <f t="shared" si="276"/>
        <v>20.576763593918262</v>
      </c>
      <c r="K184" s="6" t="s">
        <v>2798</v>
      </c>
      <c r="L184" s="146" t="s">
        <v>1267</v>
      </c>
      <c r="M184" s="509" t="s">
        <v>1266</v>
      </c>
      <c r="O184" s="118" t="str">
        <f t="shared" si="270"/>
        <v>NST-CB32</v>
      </c>
      <c r="P184" s="49" t="s">
        <v>1276</v>
      </c>
      <c r="Q184" s="49"/>
      <c r="R184" s="386"/>
      <c r="S184" s="43">
        <v>11</v>
      </c>
      <c r="T184" s="146" t="s">
        <v>1266</v>
      </c>
      <c r="U184" s="146" t="s">
        <v>1266</v>
      </c>
      <c r="V184" s="487" t="s">
        <v>2822</v>
      </c>
      <c r="X184" s="498" t="s">
        <v>373</v>
      </c>
      <c r="Y184" s="431" t="s">
        <v>2507</v>
      </c>
      <c r="Z184" s="432">
        <v>2500</v>
      </c>
      <c r="AA184" s="441" t="str">
        <f t="shared" si="271"/>
        <v>u</v>
      </c>
      <c r="AB184" s="134">
        <f t="shared" si="261"/>
        <v>0</v>
      </c>
      <c r="AC184" s="134">
        <f t="shared" si="262"/>
        <v>0</v>
      </c>
      <c r="AD184" s="134">
        <f t="shared" si="263"/>
        <v>0</v>
      </c>
      <c r="AE184" s="134">
        <f t="shared" si="264"/>
        <v>0</v>
      </c>
      <c r="AF184" s="432">
        <v>1200</v>
      </c>
      <c r="AG184" s="436" t="str">
        <f t="shared" si="272"/>
        <v>u</v>
      </c>
      <c r="AH184" s="134">
        <f t="shared" si="266"/>
        <v>0</v>
      </c>
      <c r="AI184" s="134">
        <f t="shared" si="267"/>
        <v>0</v>
      </c>
      <c r="AJ184" s="134">
        <f t="shared" si="268"/>
        <v>0</v>
      </c>
      <c r="AK184" s="134">
        <f t="shared" si="269"/>
        <v>0</v>
      </c>
      <c r="AL184" s="470" t="s">
        <v>1266</v>
      </c>
    </row>
    <row r="185" spans="1:39" hidden="1" x14ac:dyDescent="0.25">
      <c r="B185" s="124" t="s">
        <v>587</v>
      </c>
      <c r="C185" s="168" t="s">
        <v>2917</v>
      </c>
      <c r="D185" s="119">
        <f t="shared" si="255"/>
        <v>11</v>
      </c>
      <c r="E185" s="370">
        <f t="array" ref="E185">IF(U185="YES",IF(T185="YES",MIN(IF(TIM[Load Capability Reference]=CONCATENATE(P185,Q185,S185,R185),TIM[Lowest A-PTX])),MIN(IF(TIM[Load Capability Reference]=CONCATENATE(P185,Q185,S185,R185),IF(TIM[Equipment ID]&lt;&gt;O185,TIM[Lowest A-PTX])))),IF(T185="YES",MIN(IF(TIM[Load Capability Reference]=CONCATENATE(P185,Q185,S185,R185),TIM[Lowest A-No PTX])),MIN(IF(TIM[Load Capability Reference]=CONCATENATE(P185,Q185,S185,R185),IF(TIM[Equipment ID]&lt;&gt;O185,TIM[Lowest A-No PTX])))))</f>
        <v>806.26499999999987</v>
      </c>
      <c r="F185" s="119">
        <f>IFERROR(IFERROR(VLOOKUP(CONCATENATE(P185,Q185,O185,S185,"Protection"),TIM[[OC Protection Reference]:[Forward A]],23,0),VLOOKUP(O185,AEL_Protection_Data[],12,0)),"N/A")</f>
        <v>1188</v>
      </c>
      <c r="G185" s="119">
        <f t="shared" si="256"/>
        <v>645</v>
      </c>
      <c r="H185" s="29">
        <f t="shared" si="257"/>
        <v>12.288900479701184</v>
      </c>
      <c r="I185" s="119">
        <f t="shared" si="258"/>
        <v>725</v>
      </c>
      <c r="J185" s="29">
        <f t="shared" si="259"/>
        <v>13.813105190361796</v>
      </c>
      <c r="K185" s="6" t="str">
        <f>IF(U185="Yes",UPPER(IF(ISNUMBER(SEARCH("winding",VLOOKUP(CONCATENATE(P185,Q185,S185,E185),TIM[[Limiting Equipment Reference-PTX]:[Summ Equipment]],7,0))),"Power Transformer Rating at "&amp;ROUND(E185*S185*SQRT(3)/1000,2)&amp;" MVA",VLOOKUP(CONCATENATE(P185,Q185,S185,E185),TIM[[Limiting Equipment Reference-No PTX]:[Summ Equipment]],8,0))),UPPER(VLOOKUP(CONCATENATE(P185,Q185,S185,E185),TIM[[Limiting Equipment Reference-No PTX]:[Summ Equipment]],8,0)))</f>
        <v>CABLE-3/1C 1200MM² AL XLPE CWS MDPE</v>
      </c>
      <c r="L185" s="146" t="s">
        <v>1267</v>
      </c>
      <c r="M185" s="509" t="s">
        <v>1266</v>
      </c>
      <c r="O185" s="118" t="str">
        <f t="shared" si="270"/>
        <v>NST-CB35</v>
      </c>
      <c r="P185" s="49" t="s">
        <v>1245</v>
      </c>
      <c r="Q185" s="49" t="s">
        <v>1317</v>
      </c>
      <c r="R185" s="386"/>
      <c r="S185" s="43">
        <v>11</v>
      </c>
      <c r="T185" s="146" t="s">
        <v>1266</v>
      </c>
      <c r="U185" s="146" t="s">
        <v>1266</v>
      </c>
      <c r="V185" s="487"/>
      <c r="X185" s="498" t="s">
        <v>587</v>
      </c>
      <c r="Y185" s="431" t="s">
        <v>2913</v>
      </c>
      <c r="Z185" s="432">
        <v>1025</v>
      </c>
      <c r="AA185" s="441" t="str">
        <f t="shared" si="271"/>
        <v>q</v>
      </c>
      <c r="AB185" s="134">
        <f t="shared" si="261"/>
        <v>0</v>
      </c>
      <c r="AC185" s="134">
        <f t="shared" si="262"/>
        <v>0</v>
      </c>
      <c r="AD185" s="134">
        <f t="shared" si="263"/>
        <v>218.73500000000013</v>
      </c>
      <c r="AE185" s="134">
        <f t="shared" si="264"/>
        <v>4.1674614673293648</v>
      </c>
      <c r="AF185" s="432">
        <v>1000</v>
      </c>
      <c r="AG185" s="436" t="str">
        <f t="shared" si="272"/>
        <v>p</v>
      </c>
      <c r="AH185" s="134">
        <f t="shared" si="266"/>
        <v>188</v>
      </c>
      <c r="AI185" s="134">
        <f t="shared" si="267"/>
        <v>3.5818810700524382</v>
      </c>
      <c r="AJ185" s="134">
        <f t="shared" si="268"/>
        <v>0</v>
      </c>
      <c r="AK185" s="134">
        <f t="shared" si="269"/>
        <v>0</v>
      </c>
      <c r="AL185" s="470" t="s">
        <v>1266</v>
      </c>
    </row>
    <row r="186" spans="1:39" ht="15.75" hidden="1" thickBot="1" x14ac:dyDescent="0.3">
      <c r="B186" s="401" t="s">
        <v>588</v>
      </c>
      <c r="C186" s="375" t="s">
        <v>2918</v>
      </c>
      <c r="D186" s="377">
        <f t="shared" si="255"/>
        <v>11</v>
      </c>
      <c r="E186" s="384">
        <f t="array" ref="E186">IF(U186="YES",IF(T186="YES",MIN(IF(TIM[Load Capability Reference]=CONCATENATE(P186,Q186,S186,R186),TIM[Lowest A-PTX])),MIN(IF(TIM[Load Capability Reference]=CONCATENATE(P186,Q186,S186,R186),IF(TIM[Equipment ID]&lt;&gt;O186,TIM[Lowest A-PTX])))),IF(T186="YES",MIN(IF(TIM[Load Capability Reference]=CONCATENATE(P186,Q186,S186,R186),TIM[Lowest A-No PTX])),MIN(IF(TIM[Load Capability Reference]=CONCATENATE(P186,Q186,S186,R186),IF(TIM[Equipment ID]&lt;&gt;O186,TIM[Lowest A-No PTX])))))</f>
        <v>806.26499999999987</v>
      </c>
      <c r="F186" s="377">
        <f>IFERROR(IFERROR(VLOOKUP(CONCATENATE(P186,Q186,O186,S186,"Protection"),TIM[[OC Protection Reference]:[Forward A]],23,0),VLOOKUP(O186,AEL_Protection_Data[],12,0)),"N/A")</f>
        <v>1188</v>
      </c>
      <c r="G186" s="377">
        <f t="shared" si="256"/>
        <v>645</v>
      </c>
      <c r="H186" s="185">
        <f t="shared" si="257"/>
        <v>12.288900479701184</v>
      </c>
      <c r="I186" s="377">
        <f t="shared" si="258"/>
        <v>725</v>
      </c>
      <c r="J186" s="185">
        <f t="shared" si="259"/>
        <v>13.813105190361796</v>
      </c>
      <c r="K186" s="191" t="str">
        <f>IF(U186="Yes",UPPER(IF(ISNUMBER(SEARCH("winding",VLOOKUP(CONCATENATE(P186,Q186,S186,E186),TIM[[Limiting Equipment Reference-PTX]:[Summ Equipment]],7,0))),"Power Transformer Rating at "&amp;ROUND(E186*S186*SQRT(3)/1000,2)&amp;" MVA",VLOOKUP(CONCATENATE(P186,Q186,S186,E186),TIM[[Limiting Equipment Reference-No PTX]:[Summ Equipment]],8,0))),UPPER(VLOOKUP(CONCATENATE(P186,Q186,S186,E186),TIM[[Limiting Equipment Reference-No PTX]:[Summ Equipment]],8,0)))</f>
        <v>CABLE-3/1C 1200MM² AL XLPE CWS MDPE</v>
      </c>
      <c r="L186" s="379" t="s">
        <v>1267</v>
      </c>
      <c r="M186" s="511" t="s">
        <v>1266</v>
      </c>
      <c r="O186" s="514" t="str">
        <f t="shared" si="270"/>
        <v>NST-CB36</v>
      </c>
      <c r="P186" s="374" t="s">
        <v>1245</v>
      </c>
      <c r="Q186" s="374" t="s">
        <v>1324</v>
      </c>
      <c r="R186" s="387"/>
      <c r="S186" s="175">
        <v>11</v>
      </c>
      <c r="T186" s="146" t="s">
        <v>1266</v>
      </c>
      <c r="U186" s="379" t="s">
        <v>1266</v>
      </c>
      <c r="V186" s="488"/>
      <c r="X186" s="500" t="s">
        <v>588</v>
      </c>
      <c r="Y186" s="433" t="s">
        <v>2919</v>
      </c>
      <c r="Z186" s="434">
        <v>1025</v>
      </c>
      <c r="AA186" s="442" t="str">
        <f t="shared" si="271"/>
        <v>q</v>
      </c>
      <c r="AB186" s="451">
        <f t="shared" si="261"/>
        <v>0</v>
      </c>
      <c r="AC186" s="451">
        <f t="shared" si="262"/>
        <v>0</v>
      </c>
      <c r="AD186" s="451">
        <f t="shared" si="263"/>
        <v>218.73500000000013</v>
      </c>
      <c r="AE186" s="451">
        <f t="shared" si="264"/>
        <v>4.1674614673293648</v>
      </c>
      <c r="AF186" s="434">
        <v>1000</v>
      </c>
      <c r="AG186" s="437" t="str">
        <f t="shared" si="272"/>
        <v>p</v>
      </c>
      <c r="AH186" s="451">
        <f t="shared" si="266"/>
        <v>188</v>
      </c>
      <c r="AI186" s="451">
        <f t="shared" si="267"/>
        <v>3.5818810700524382</v>
      </c>
      <c r="AJ186" s="451">
        <f t="shared" si="268"/>
        <v>0</v>
      </c>
      <c r="AK186" s="451">
        <f t="shared" si="269"/>
        <v>0</v>
      </c>
      <c r="AL186" s="471" t="s">
        <v>1266</v>
      </c>
    </row>
    <row r="187" spans="1:39" hidden="1" x14ac:dyDescent="0.25">
      <c r="X187" s="427" t="s">
        <v>162</v>
      </c>
      <c r="AB187" s="449">
        <f>SUM(AB167:AB186)</f>
        <v>55.712799999999731</v>
      </c>
      <c r="AC187" s="449">
        <f t="shared" ref="AC187:AK187" si="277">SUM(AC167:AC186)</f>
        <v>1.0614714025511518</v>
      </c>
      <c r="AD187" s="449">
        <f t="shared" si="277"/>
        <v>459.24062800000036</v>
      </c>
      <c r="AE187" s="449">
        <f t="shared" si="277"/>
        <v>8.7497091065542296</v>
      </c>
      <c r="AF187" s="449"/>
      <c r="AG187" s="449"/>
      <c r="AH187" s="449">
        <f t="shared" si="277"/>
        <v>376</v>
      </c>
      <c r="AI187" s="449">
        <f t="shared" si="277"/>
        <v>7.1637621401048763</v>
      </c>
      <c r="AJ187" s="449">
        <f t="shared" si="277"/>
        <v>0</v>
      </c>
      <c r="AK187" s="449">
        <f t="shared" si="277"/>
        <v>0</v>
      </c>
    </row>
    <row r="188" spans="1:39" ht="27" hidden="1" thickBot="1" x14ac:dyDescent="0.3">
      <c r="B188" s="551" t="s">
        <v>2715</v>
      </c>
      <c r="C188" s="552"/>
      <c r="D188" s="552"/>
      <c r="E188" s="552"/>
      <c r="F188" s="552"/>
      <c r="G188" s="552"/>
      <c r="H188" s="552"/>
      <c r="I188" s="552"/>
      <c r="J188" s="552"/>
      <c r="K188" s="552"/>
      <c r="L188" s="552"/>
      <c r="M188" s="553"/>
      <c r="O188" s="551" t="s">
        <v>2391</v>
      </c>
      <c r="P188" s="552"/>
      <c r="Q188" s="552"/>
      <c r="R188" s="552"/>
      <c r="S188" s="552"/>
      <c r="T188" s="552"/>
      <c r="U188" s="552"/>
      <c r="V188" s="553"/>
      <c r="X188" s="586" t="str">
        <f>B188&amp;"-OLD"</f>
        <v>ALPINE TIMARU (B774)-OLD</v>
      </c>
      <c r="Y188" s="587"/>
      <c r="Z188" s="587"/>
      <c r="AA188" s="587"/>
      <c r="AB188" s="587"/>
      <c r="AC188" s="587"/>
      <c r="AD188" s="587"/>
      <c r="AE188" s="587"/>
      <c r="AF188" s="587"/>
      <c r="AG188" s="587"/>
      <c r="AH188" s="587"/>
      <c r="AI188" s="587"/>
      <c r="AJ188" s="587"/>
      <c r="AK188" s="587"/>
      <c r="AL188" s="588"/>
      <c r="AM188" s="481"/>
    </row>
    <row r="189" spans="1:39" ht="15.75" hidden="1" thickBot="1" x14ac:dyDescent="0.3">
      <c r="A189" s="466"/>
      <c r="B189" s="571" t="str">
        <f t="shared" ref="B189:G189" si="278">B6</f>
        <v>CB ID</v>
      </c>
      <c r="C189" s="545" t="str">
        <f t="shared" si="278"/>
        <v>DESIGNATION</v>
      </c>
      <c r="D189" s="382" t="str">
        <f t="shared" si="278"/>
        <v>Rated</v>
      </c>
      <c r="E189" s="572" t="str">
        <f t="shared" si="278"/>
        <v>LOAD
CAPABILITY</v>
      </c>
      <c r="F189" s="572" t="str">
        <f t="shared" si="278"/>
        <v>OC
PICKUP</v>
      </c>
      <c r="G189" s="559" t="str">
        <f t="shared" si="278"/>
        <v>SCADA ALARM</v>
      </c>
      <c r="H189" s="560"/>
      <c r="I189" s="560"/>
      <c r="J189" s="561"/>
      <c r="K189" s="574" t="str">
        <f>K6</f>
        <v>LIMITING EQUIPMENT</v>
      </c>
      <c r="L189" s="575" t="str">
        <f>L6</f>
        <v>RECLOSING</v>
      </c>
      <c r="M189" s="576"/>
      <c r="N189" s="466"/>
      <c r="O189" s="554" t="str">
        <f t="shared" ref="O189:V189" si="279">O6</f>
        <v>OC Pick up
Reference ID</v>
      </c>
      <c r="P189" s="557" t="str">
        <f t="shared" si="279"/>
        <v>Supply Level</v>
      </c>
      <c r="Q189" s="566" t="str">
        <f t="shared" si="279"/>
        <v>Station/Feeder</v>
      </c>
      <c r="R189" s="567" t="str">
        <f t="shared" si="279"/>
        <v>Refered
to PTX</v>
      </c>
      <c r="S189" s="569" t="str">
        <f t="shared" si="279"/>
        <v>Voltage</v>
      </c>
      <c r="T189" s="539" t="str">
        <f t="shared" si="279"/>
        <v>Include
CB</v>
      </c>
      <c r="U189" s="539" t="str">
        <f t="shared" si="279"/>
        <v>Include
PTX</v>
      </c>
      <c r="V189" s="542" t="str">
        <f t="shared" si="279"/>
        <v>Notes</v>
      </c>
      <c r="X189" s="585" t="s">
        <v>1260</v>
      </c>
      <c r="Y189" s="545" t="s">
        <v>1261</v>
      </c>
      <c r="Z189" s="559" t="s">
        <v>2749</v>
      </c>
      <c r="AA189" s="560"/>
      <c r="AB189" s="560"/>
      <c r="AC189" s="560"/>
      <c r="AD189" s="560"/>
      <c r="AE189" s="561"/>
      <c r="AF189" s="559" t="s">
        <v>1268</v>
      </c>
      <c r="AG189" s="560"/>
      <c r="AH189" s="560"/>
      <c r="AI189" s="560"/>
      <c r="AJ189" s="560"/>
      <c r="AK189" s="561"/>
      <c r="AL189" s="546" t="s">
        <v>2857</v>
      </c>
      <c r="AM189" s="466"/>
    </row>
    <row r="190" spans="1:39" ht="15.75" hidden="1" thickBot="1" x14ac:dyDescent="0.3">
      <c r="A190" s="466"/>
      <c r="B190" s="557"/>
      <c r="C190" s="540"/>
      <c r="D190" s="362" t="str">
        <f>D7</f>
        <v>Voltage</v>
      </c>
      <c r="E190" s="573"/>
      <c r="F190" s="573"/>
      <c r="G190" s="544" t="str">
        <f>G7</f>
        <v>Pre-Emergency</v>
      </c>
      <c r="H190" s="544"/>
      <c r="I190" s="544" t="str">
        <f>I7</f>
        <v>Emergency</v>
      </c>
      <c r="J190" s="544"/>
      <c r="K190" s="540"/>
      <c r="L190" s="545" t="str">
        <f>L7</f>
        <v>AVAILABLE</v>
      </c>
      <c r="M190" s="546" t="str">
        <f>M7</f>
        <v>UTILISED</v>
      </c>
      <c r="N190" s="466"/>
      <c r="O190" s="555"/>
      <c r="P190" s="557"/>
      <c r="Q190" s="557"/>
      <c r="R190" s="567"/>
      <c r="S190" s="569"/>
      <c r="T190" s="540"/>
      <c r="U190" s="540"/>
      <c r="V190" s="542"/>
      <c r="X190" s="555"/>
      <c r="Y190" s="540"/>
      <c r="Z190" s="589"/>
      <c r="AA190" s="590"/>
      <c r="AB190" s="590"/>
      <c r="AC190" s="590"/>
      <c r="AD190" s="590"/>
      <c r="AE190" s="591"/>
      <c r="AF190" s="589"/>
      <c r="AG190" s="590"/>
      <c r="AH190" s="590"/>
      <c r="AI190" s="590"/>
      <c r="AJ190" s="590"/>
      <c r="AK190" s="591"/>
      <c r="AL190" s="577"/>
      <c r="AM190" s="466"/>
    </row>
    <row r="191" spans="1:39" ht="15.75" hidden="1" thickBot="1" x14ac:dyDescent="0.3">
      <c r="A191" s="466"/>
      <c r="B191" s="558"/>
      <c r="C191" s="541"/>
      <c r="D191" s="345" t="str">
        <f>D8</f>
        <v>(kV)</v>
      </c>
      <c r="E191" s="345" t="str">
        <f>E8</f>
        <v>(A)</v>
      </c>
      <c r="F191" s="345" t="str">
        <f>F8</f>
        <v>(A)</v>
      </c>
      <c r="G191" s="406" t="str">
        <f>G8</f>
        <v>(A)</v>
      </c>
      <c r="H191" s="407" t="str">
        <f>H8</f>
        <v>(MVA)</v>
      </c>
      <c r="I191" s="406" t="str">
        <f>I8</f>
        <v>(A)</v>
      </c>
      <c r="J191" s="407" t="str">
        <f>J8</f>
        <v>(MVA)</v>
      </c>
      <c r="K191" s="541"/>
      <c r="L191" s="541"/>
      <c r="M191" s="547"/>
      <c r="N191" s="466"/>
      <c r="O191" s="556"/>
      <c r="P191" s="558"/>
      <c r="Q191" s="558"/>
      <c r="R191" s="568"/>
      <c r="S191" s="570"/>
      <c r="T191" s="541"/>
      <c r="U191" s="541"/>
      <c r="V191" s="543"/>
      <c r="X191" s="556"/>
      <c r="Y191" s="541"/>
      <c r="Z191" s="428" t="s">
        <v>26</v>
      </c>
      <c r="AA191" s="439" t="s">
        <v>2861</v>
      </c>
      <c r="AB191" s="450" t="s">
        <v>2959</v>
      </c>
      <c r="AC191" s="450" t="s">
        <v>2960</v>
      </c>
      <c r="AD191" s="450" t="s">
        <v>2957</v>
      </c>
      <c r="AE191" s="450" t="s">
        <v>2958</v>
      </c>
      <c r="AF191" s="428" t="s">
        <v>26</v>
      </c>
      <c r="AG191" s="439" t="s">
        <v>2861</v>
      </c>
      <c r="AH191" s="450" t="s">
        <v>2959</v>
      </c>
      <c r="AI191" s="450" t="s">
        <v>2960</v>
      </c>
      <c r="AJ191" s="450" t="s">
        <v>2957</v>
      </c>
      <c r="AK191" s="450" t="s">
        <v>2958</v>
      </c>
      <c r="AL191" s="547"/>
      <c r="AM191" s="466"/>
    </row>
    <row r="192" spans="1:39" hidden="1" x14ac:dyDescent="0.25">
      <c r="B192" s="204" t="s">
        <v>313</v>
      </c>
      <c r="C192" s="3" t="s">
        <v>2641</v>
      </c>
      <c r="D192" s="61">
        <f t="shared" ref="D192:D193" si="280">ROUNDDOWN(S192,0)</f>
        <v>11</v>
      </c>
      <c r="E192" s="369">
        <f t="array" ref="E192">IF(U192="YES",IF(T192="YES",MIN(IF(TIM[Load Capability Reference]=CONCATENATE(P192,Q192,S192,R192),TIM[Lowest A-PTX])),MIN(IF(TIM[Load Capability Reference]=CONCATENATE(P192,Q192,S192,R192),IF(TIM[Equipment ID]&lt;&gt;O192,TIM[Lowest A-PTX])))),IF(T192="YES",MIN(IF(TIM[Load Capability Reference]=CONCATENATE(P192,Q192,S192,R192),TIM[Lowest A-No PTX])),MIN(IF(TIM[Load Capability Reference]=CONCATENATE(P192,Q192,S192,R192),IF(TIM[Equipment ID]&lt;&gt;O192,TIM[Lowest A-No PTX])))))</f>
        <v>1120.5439999999999</v>
      </c>
      <c r="F192" s="61">
        <f>IFERROR(IFERROR(VLOOKUP(CONCATENATE(P192,Q192,O192,S192,"Protection"),TIM[[OC Protection Reference]:[Forward A]],23,0),VLOOKUP(O192,AEL_Protection_Data[],12,0)),"N/A")</f>
        <v>1068</v>
      </c>
      <c r="G192" s="61">
        <f t="shared" ref="G192:G198" si="281">IFERROR(FLOOR(MIN(E192:F192)*$D$3,5),"")</f>
        <v>850</v>
      </c>
      <c r="H192" s="5">
        <f t="shared" ref="H192:H198" si="282">G192*S192*SQRT(3)/1000</f>
        <v>16.194675050769</v>
      </c>
      <c r="I192" s="61">
        <f>IFERROR(FLOOR(MIN(E192:F192)*$D$2,5),"")</f>
        <v>960</v>
      </c>
      <c r="J192" s="5">
        <f t="shared" ref="J192:J193" si="283">I192*S192*SQRT(3)/1000</f>
        <v>18.290456527927343</v>
      </c>
      <c r="K192" s="3" t="str">
        <f>IF(U192="Yes",UPPER(IF(ISNUMBER(SEARCH("winding",VLOOKUP(CONCATENATE(P192,Q192,S192,E192),TIM[[Limiting Equipment Reference-PTX]:[Summ Equipment]],7,0))),"Power Transformer Rating at "&amp;ROUND(E192*S192*SQRT(3)/1000,2)&amp;" MVA",VLOOKUP(CONCATENATE(P192,Q192,S192,E192),TIM[[Limiting Equipment Reference-No PTX]:[Summ Equipment]],8,0))),UPPER(VLOOKUP(CONCATENATE(P192,Q192,S192,E192),TIM[[Limiting Equipment Reference-No PTX]:[Summ Equipment]],8,0)))</f>
        <v xml:space="preserve">CABLE-2 X 3/1C 630MM² CU </v>
      </c>
      <c r="L192" s="4" t="s">
        <v>1266</v>
      </c>
      <c r="M192" s="508" t="s">
        <v>1162</v>
      </c>
      <c r="O192" s="10" t="str">
        <f>"TIM-"&amp;B192</f>
        <v>TIM-CB2732</v>
      </c>
      <c r="P192" s="38" t="s">
        <v>1245</v>
      </c>
      <c r="Q192" s="38" t="s">
        <v>135</v>
      </c>
      <c r="R192" s="389"/>
      <c r="S192" s="139">
        <v>11</v>
      </c>
      <c r="T192" s="4" t="s">
        <v>1266</v>
      </c>
      <c r="U192" s="4" t="s">
        <v>1267</v>
      </c>
      <c r="V192" s="486"/>
      <c r="X192" s="501" t="s">
        <v>313</v>
      </c>
      <c r="Y192" s="429" t="str">
        <f t="shared" ref="Y192:Y194" si="284">IF(X192=B192,C192,"NEW")</f>
        <v>11 KV INCOMER NO. 1</v>
      </c>
      <c r="Z192" s="430"/>
      <c r="AA192" s="440" t="str">
        <f t="shared" ref="AA192:AA194" si="285">IF(Z192&gt;E192,"q",IF(Z192&lt;E192,"p","u"))</f>
        <v>p</v>
      </c>
      <c r="AB192" s="453">
        <f t="shared" ref="AB192:AB198" si="286">IF(Z192="",0,IF(Z192-E192&lt;0,ABS(Z192-E192),0))</f>
        <v>0</v>
      </c>
      <c r="AC192" s="453">
        <f t="shared" ref="AC192:AC198" si="287">AB192*$S192*SQRT(3)/1000</f>
        <v>0</v>
      </c>
      <c r="AD192" s="453">
        <f t="shared" ref="AD192:AD198" si="288">IF(Z192="",0,IF(Z192-E192&gt;0,ABS(Z192-E192),0))</f>
        <v>0</v>
      </c>
      <c r="AE192" s="453">
        <f t="shared" ref="AE192:AE198" si="289">AD192*$S192*SQRT(3)/1000</f>
        <v>0</v>
      </c>
      <c r="AF192" s="430"/>
      <c r="AG192" s="435" t="str">
        <f t="shared" ref="AG192:AG194" si="290">IF(AF192&gt;F192,"q",IF(AF192&lt;F192,"p","u"))</f>
        <v>p</v>
      </c>
      <c r="AH192" s="453">
        <f t="shared" ref="AH192:AH198" si="291">IF(AF192="",0,IF(AF192-F192&lt;0,ABS(AF192-F192),0))</f>
        <v>0</v>
      </c>
      <c r="AI192" s="453">
        <f t="shared" ref="AI192:AI198" si="292">AH192*$S192*SQRT(3)/1000</f>
        <v>0</v>
      </c>
      <c r="AJ192" s="453">
        <f t="shared" ref="AJ192:AJ198" si="293">IF(AF192="",0,IF(AF192-F192&gt;0,ABS(AF192-F192),0))</f>
        <v>0</v>
      </c>
      <c r="AK192" s="453">
        <f t="shared" ref="AK192:AK198" si="294">AJ192*$S192*SQRT(3)/1000</f>
        <v>0</v>
      </c>
      <c r="AL192" s="469"/>
    </row>
    <row r="193" spans="1:39" hidden="1" x14ac:dyDescent="0.25">
      <c r="A193" s="517"/>
      <c r="B193" s="124" t="s">
        <v>862</v>
      </c>
      <c r="C193" s="149" t="s">
        <v>2642</v>
      </c>
      <c r="D193" s="119">
        <f t="shared" si="280"/>
        <v>11</v>
      </c>
      <c r="E193" s="370">
        <f t="array" ref="E193">IF(U193="YES",IF(T193="YES",MIN(IF(TIM[Load Capability Reference]=CONCATENATE(P193,Q193,S193,R193),TIM[Lowest A-PTX])),MIN(IF(TIM[Load Capability Reference]=CONCATENATE(P193,Q193,S193,R193),IF(TIM[Equipment ID]&lt;&gt;O193,TIM[Lowest A-PTX])))),IF(T193="YES",MIN(IF(TIM[Load Capability Reference]=CONCATENATE(P193,Q193,S193,R193),TIM[Lowest A-No PTX])),MIN(IF(TIM[Load Capability Reference]=CONCATENATE(P193,Q193,S193,R193),IF(TIM[Equipment ID]&lt;&gt;O193,TIM[Lowest A-No PTX])))))</f>
        <v>1120.5439999999999</v>
      </c>
      <c r="F193" s="119">
        <f>IFERROR(IFERROR(VLOOKUP(CONCATENATE(P193,Q193,O193,S193,"Protection"),TIM[[OC Protection Reference]:[Forward A]],23,0),VLOOKUP(O193,AEL_Protection_Data[],12,0)),"N/A")</f>
        <v>1068</v>
      </c>
      <c r="G193" s="119">
        <f t="shared" si="281"/>
        <v>850</v>
      </c>
      <c r="H193" s="29">
        <f t="shared" si="282"/>
        <v>16.194675050769</v>
      </c>
      <c r="I193" s="119">
        <f>IFERROR(FLOOR(MIN(E193:F193)*$D$2,5),"")</f>
        <v>960</v>
      </c>
      <c r="J193" s="29">
        <f t="shared" si="283"/>
        <v>18.290456527927343</v>
      </c>
      <c r="K193" s="6" t="str">
        <f>IF(U193="Yes",UPPER(IF(ISNUMBER(SEARCH("winding",VLOOKUP(CONCATENATE(P193,Q193,S193,E193),TIM[[Limiting Equipment Reference-PTX]:[Summ Equipment]],7,0))),"Power Transformer Rating at "&amp;ROUND(E193*S193*SQRT(3)/1000,2)&amp;" MVA",VLOOKUP(CONCATENATE(P193,Q193,S193,E193),TIM[[Limiting Equipment Reference-No PTX]:[Summ Equipment]],8,0))),UPPER(VLOOKUP(CONCATENATE(P193,Q193,S193,E193),TIM[[Limiting Equipment Reference-No PTX]:[Summ Equipment]],8,0)))</f>
        <v xml:space="preserve">CABLE-2 X 3/1C 630MM² CU </v>
      </c>
      <c r="L193" s="146" t="s">
        <v>1266</v>
      </c>
      <c r="M193" s="509" t="s">
        <v>1162</v>
      </c>
      <c r="N193" s="517"/>
      <c r="O193" s="118" t="str">
        <f>"TIM-"&amp;B193</f>
        <v>TIM-CB2922</v>
      </c>
      <c r="P193" s="49" t="s">
        <v>1245</v>
      </c>
      <c r="Q193" s="49" t="s">
        <v>153</v>
      </c>
      <c r="R193" s="386"/>
      <c r="S193" s="43">
        <v>11</v>
      </c>
      <c r="T193" s="146" t="s">
        <v>1266</v>
      </c>
      <c r="U193" s="146" t="s">
        <v>1267</v>
      </c>
      <c r="V193" s="487"/>
      <c r="X193" s="498" t="s">
        <v>862</v>
      </c>
      <c r="Y193" s="431" t="str">
        <f t="shared" si="284"/>
        <v>11 KV INCOMER NO. 2</v>
      </c>
      <c r="Z193" s="432"/>
      <c r="AA193" s="441" t="str">
        <f t="shared" si="285"/>
        <v>p</v>
      </c>
      <c r="AB193" s="134">
        <f t="shared" si="286"/>
        <v>0</v>
      </c>
      <c r="AC193" s="134">
        <f t="shared" si="287"/>
        <v>0</v>
      </c>
      <c r="AD193" s="134">
        <f t="shared" si="288"/>
        <v>0</v>
      </c>
      <c r="AE193" s="134">
        <f t="shared" si="289"/>
        <v>0</v>
      </c>
      <c r="AF193" s="432"/>
      <c r="AG193" s="436" t="str">
        <f t="shared" si="290"/>
        <v>p</v>
      </c>
      <c r="AH193" s="134">
        <f t="shared" si="291"/>
        <v>0</v>
      </c>
      <c r="AI193" s="134">
        <f t="shared" si="292"/>
        <v>0</v>
      </c>
      <c r="AJ193" s="134">
        <f t="shared" si="293"/>
        <v>0</v>
      </c>
      <c r="AK193" s="134">
        <f t="shared" si="294"/>
        <v>0</v>
      </c>
      <c r="AL193" s="470"/>
    </row>
    <row r="194" spans="1:39" hidden="1" x14ac:dyDescent="0.25">
      <c r="B194" s="124" t="s">
        <v>1031</v>
      </c>
      <c r="C194" s="6" t="s">
        <v>2639</v>
      </c>
      <c r="D194" s="119">
        <f t="shared" ref="D194:D195" si="295">ROUNDDOWN(S194,0)</f>
        <v>33</v>
      </c>
      <c r="E194" s="370">
        <f t="array" ref="E194">IF(U194="YES",IF(T194="YES",MIN(IF(TIM[Load Capability Reference]=CONCATENATE(P194,Q194,S194,R194),TIM[Lowest A-PTX])),MIN(IF(TIM[Load Capability Reference]=CONCATENATE(P194,Q194,S194,R194),IF(TIM[Equipment ID]&lt;&gt;O194,TIM[Lowest A-PTX])))),IF(T194="YES",MIN(IF(TIM[Load Capability Reference]=CONCATENATE(P194,Q194,S194,R194),TIM[Lowest A-No PTX])),MIN(IF(TIM[Load Capability Reference]=CONCATENATE(P194,Q194,S194,R194),IF(TIM[Equipment ID]&lt;&gt;O194,TIM[Lowest A-No PTX])))))</f>
        <v>437.38656756789834</v>
      </c>
      <c r="F194" s="119" t="str">
        <f>IFERROR(IFERROR(VLOOKUP(CONCATENATE(P194,Q194,O194,S194,"Protection"),TIM[[OC Protection Reference]:[Forward A]],23,0),VLOOKUP(O194,AEL_Protection_Data[],12,0)),"N/A")</f>
        <v>N/A</v>
      </c>
      <c r="G194" s="119" t="s">
        <v>1162</v>
      </c>
      <c r="H194" s="29" t="s">
        <v>1162</v>
      </c>
      <c r="I194" s="119" t="s">
        <v>1162</v>
      </c>
      <c r="J194" s="29" t="s">
        <v>1162</v>
      </c>
      <c r="K194" s="168" t="str">
        <f>IF(U194="Yes",UPPER(IF(ISNUMBER(SEARCH("winding",VLOOKUP(CONCATENATE(P194,Q194,S194,E194),TIM[[Limiting Equipment Reference-PTX]:[Summ Equipment]],7,0))),"Power Transformer Rating at "&amp;ROUND(E194*S194*SQRT(3)/1000,2)&amp;" MVA",VLOOKUP(CONCATENATE(P194,Q194,S194,E194),TIM[[Limiting Equipment Reference-No PTX]:[Summ Equipment]],8,0))),UPPER(VLOOKUP(CONCATENATE(P194,Q194,S194,E194),TIM[[Limiting Equipment Reference-No PTX]:[Summ Equipment]],8,0)))</f>
        <v>POWER TRANSFORMER RATING AT 25 MVA</v>
      </c>
      <c r="L194" s="146" t="s">
        <v>1266</v>
      </c>
      <c r="M194" s="509" t="s">
        <v>1162</v>
      </c>
      <c r="O194" s="118" t="str">
        <f>"TIM-"&amp;B194</f>
        <v>TIM-L406</v>
      </c>
      <c r="P194" s="49" t="s">
        <v>1246</v>
      </c>
      <c r="Q194" s="49" t="s">
        <v>160</v>
      </c>
      <c r="R194" s="390"/>
      <c r="S194" s="32">
        <v>33</v>
      </c>
      <c r="T194" s="146" t="s">
        <v>1266</v>
      </c>
      <c r="U194" s="146" t="s">
        <v>1267</v>
      </c>
      <c r="V194" s="487" t="s">
        <v>2824</v>
      </c>
      <c r="X194" s="498" t="s">
        <v>1031</v>
      </c>
      <c r="Y194" s="431" t="str">
        <f t="shared" si="284"/>
        <v>33 KV INCOMER NO. 1</v>
      </c>
      <c r="Z194" s="432"/>
      <c r="AA194" s="441" t="str">
        <f t="shared" si="285"/>
        <v>p</v>
      </c>
      <c r="AB194" s="134">
        <f t="shared" si="286"/>
        <v>0</v>
      </c>
      <c r="AC194" s="134">
        <f t="shared" si="287"/>
        <v>0</v>
      </c>
      <c r="AD194" s="134">
        <f t="shared" si="288"/>
        <v>0</v>
      </c>
      <c r="AE194" s="134">
        <f t="shared" si="289"/>
        <v>0</v>
      </c>
      <c r="AF194" s="432"/>
      <c r="AG194" s="436" t="str">
        <f t="shared" si="290"/>
        <v>p</v>
      </c>
      <c r="AH194" s="134">
        <f t="shared" si="291"/>
        <v>0</v>
      </c>
      <c r="AI194" s="134">
        <f t="shared" si="292"/>
        <v>0</v>
      </c>
      <c r="AJ194" s="134">
        <f t="shared" si="293"/>
        <v>0</v>
      </c>
      <c r="AK194" s="134">
        <f t="shared" si="294"/>
        <v>0</v>
      </c>
      <c r="AL194" s="470"/>
    </row>
    <row r="195" spans="1:39" hidden="1" x14ac:dyDescent="0.25">
      <c r="B195" s="124" t="s">
        <v>1029</v>
      </c>
      <c r="C195" s="168" t="s">
        <v>2640</v>
      </c>
      <c r="D195" s="119">
        <f t="shared" si="295"/>
        <v>33</v>
      </c>
      <c r="E195" s="370">
        <f t="array" ref="E195">IF(U195="YES",IF(T195="YES",MIN(IF(TIM[Load Capability Reference]=CONCATENATE(P195,Q195,S195,R195),TIM[Lowest A-PTX])),MIN(IF(TIM[Load Capability Reference]=CONCATENATE(P195,Q195,S195,R195),IF(TIM[Equipment ID]&lt;&gt;O195,TIM[Lowest A-PTX])))),IF(T195="YES",MIN(IF(TIM[Load Capability Reference]=CONCATENATE(P195,Q195,S195,R195),TIM[Lowest A-No PTX])),MIN(IF(TIM[Load Capability Reference]=CONCATENATE(P195,Q195,S195,R195),IF(TIM[Equipment ID]&lt;&gt;O195,TIM[Lowest A-No PTX])))))</f>
        <v>437.38656756789834</v>
      </c>
      <c r="F195" s="57" t="str">
        <f>IFERROR(IFERROR(VLOOKUP(CONCATENATE(P195,Q195,O195,S195,"Protection"),TIM[[OC Protection Reference]:[Forward A]],23,0),VLOOKUP(O195,AEL_Protection_Data[],12,0)),"N/A")</f>
        <v>N/A</v>
      </c>
      <c r="G195" s="57" t="s">
        <v>1162</v>
      </c>
      <c r="H195" s="9" t="s">
        <v>1162</v>
      </c>
      <c r="I195" s="57" t="s">
        <v>1162</v>
      </c>
      <c r="J195" s="29" t="s">
        <v>1162</v>
      </c>
      <c r="K195" s="6" t="str">
        <f>IF(U195="Yes",UPPER(IF(ISNUMBER(SEARCH("winding",VLOOKUP(CONCATENATE(P195,Q195,S195,E195),TIM[[Limiting Equipment Reference-PTX]:[Summ Equipment]],7,0))),"Power Transformer Rating at "&amp;ROUND(E195*S195*SQRT(3)/1000,2)&amp;" MVA",VLOOKUP(CONCATENATE(P195,Q195,S195,E195),TIM[[Limiting Equipment Reference-No PTX]:[Summ Equipment]],8,0))),UPPER(VLOOKUP(CONCATENATE(P195,Q195,S195,E195),TIM[[Limiting Equipment Reference-No PTX]:[Summ Equipment]],8,0)))</f>
        <v>POWER TRANSFORMER RATING AT 25 MVA</v>
      </c>
      <c r="L195" s="146" t="s">
        <v>1266</v>
      </c>
      <c r="M195" s="509" t="s">
        <v>1162</v>
      </c>
      <c r="O195" s="118" t="str">
        <f t="shared" ref="O195:O198" si="296">"TIM-"&amp;B195</f>
        <v>TIM-L405</v>
      </c>
      <c r="P195" s="49" t="s">
        <v>1246</v>
      </c>
      <c r="Q195" s="49" t="s">
        <v>165</v>
      </c>
      <c r="R195" s="386"/>
      <c r="S195" s="43">
        <v>33</v>
      </c>
      <c r="T195" s="146" t="s">
        <v>1266</v>
      </c>
      <c r="U195" s="146" t="s">
        <v>1267</v>
      </c>
      <c r="V195" s="487" t="s">
        <v>2824</v>
      </c>
      <c r="X195" s="498" t="s">
        <v>1029</v>
      </c>
      <c r="Y195" s="431" t="str">
        <f t="shared" ref="Y195:Y198" si="297">IF(X195=B195,C195,"NEW")</f>
        <v>33 KV INCOMER NO. 2</v>
      </c>
      <c r="Z195" s="432"/>
      <c r="AA195" s="441" t="str">
        <f t="shared" ref="AA195:AA198" si="298">IF(Z195&gt;E195,"q",IF(Z195&lt;E195,"p","u"))</f>
        <v>p</v>
      </c>
      <c r="AB195" s="134">
        <f t="shared" si="286"/>
        <v>0</v>
      </c>
      <c r="AC195" s="134">
        <f t="shared" si="287"/>
        <v>0</v>
      </c>
      <c r="AD195" s="134">
        <f t="shared" si="288"/>
        <v>0</v>
      </c>
      <c r="AE195" s="134">
        <f t="shared" si="289"/>
        <v>0</v>
      </c>
      <c r="AF195" s="432"/>
      <c r="AG195" s="436" t="str">
        <f t="shared" ref="AG195:AG198" si="299">IF(AF195&gt;F195,"q",IF(AF195&lt;F195,"p","u"))</f>
        <v>p</v>
      </c>
      <c r="AH195" s="134">
        <f t="shared" si="291"/>
        <v>0</v>
      </c>
      <c r="AI195" s="134">
        <f t="shared" si="292"/>
        <v>0</v>
      </c>
      <c r="AJ195" s="134">
        <f t="shared" si="293"/>
        <v>0</v>
      </c>
      <c r="AK195" s="134">
        <f t="shared" si="294"/>
        <v>0</v>
      </c>
      <c r="AL195" s="470"/>
    </row>
    <row r="196" spans="1:39" hidden="1" x14ac:dyDescent="0.25">
      <c r="B196" s="124" t="s">
        <v>2716</v>
      </c>
      <c r="C196" s="168" t="s">
        <v>2719</v>
      </c>
      <c r="D196" s="119">
        <f>ROUNDDOWN(S196,0)</f>
        <v>33</v>
      </c>
      <c r="E196" s="370">
        <f t="array" ref="E196">IF(U196="YES",IF(T196="YES",MIN(IF(TIM[Load Capability Reference]=CONCATENATE(P196,Q196,S196,R196),TIM[Lowest A-PTX])),MIN(IF(TIM[Load Capability Reference]=CONCATENATE(P196,Q196,S196,R196),IF(TIM[Equipment ID]&lt;&gt;O196,TIM[Lowest A-PTX])))),IF(T196="YES",MIN(IF(TIM[Load Capability Reference]=CONCATENATE(P196,Q196,S196,R196),TIM[Lowest A-No PTX])),MIN(IF(TIM[Load Capability Reference]=CONCATENATE(P196,Q196,S196,R196),IF(TIM[Equipment ID]&lt;&gt;O196,TIM[Lowest A-No PTX])))))</f>
        <v>171.44909600000003</v>
      </c>
      <c r="F196" s="119">
        <v>240</v>
      </c>
      <c r="G196" s="119">
        <f t="shared" si="281"/>
        <v>135</v>
      </c>
      <c r="H196" s="29">
        <f t="shared" si="282"/>
        <v>7.7162863477193477</v>
      </c>
      <c r="I196" s="119">
        <f>IFERROR(FLOOR(MIN(E196:F196)*$D$2,5),"")</f>
        <v>150</v>
      </c>
      <c r="J196" s="29">
        <f t="shared" ref="J196:J198" si="300">I196*S196*SQRT(3)/1000</f>
        <v>8.5736514974659421</v>
      </c>
      <c r="K196" s="6" t="str">
        <f>IF(U196="Yes",UPPER(IF(ISNUMBER(SEARCH("winding",VLOOKUP(CONCATENATE(P196,Q196,S196,E196),TIM[[Limiting Equipment Reference-PTX]:[Summ Equipment]],7,0))),"Power Transformer Rating at "&amp;ROUND(E196*S196*SQRT(3)/1000,2)&amp;" MVA",VLOOKUP(CONCATENATE(P196,Q196,S196,E196),TIM[[Limiting Equipment Reference-No PTX]:[Summ Equipment]],8,0))),UPPER(VLOOKUP(CONCATENATE(P196,Q196,S196,E196),TIM[[Limiting Equipment Reference-No PTX]:[Summ Equipment]],8,0)))</f>
        <v>CABLE-3/1C 95MM² AL XLPE PVC SCREENED</v>
      </c>
      <c r="L196" s="146" t="s">
        <v>1266</v>
      </c>
      <c r="M196" s="509" t="s">
        <v>1162</v>
      </c>
      <c r="O196" s="118" t="str">
        <f t="shared" si="296"/>
        <v>TIM-L269</v>
      </c>
      <c r="P196" s="49" t="s">
        <v>1245</v>
      </c>
      <c r="Q196" s="49" t="s">
        <v>169</v>
      </c>
      <c r="R196" s="386"/>
      <c r="S196" s="43">
        <v>33</v>
      </c>
      <c r="T196" s="146" t="s">
        <v>1266</v>
      </c>
      <c r="U196" s="146" t="s">
        <v>1266</v>
      </c>
      <c r="V196" s="487" t="s">
        <v>2825</v>
      </c>
      <c r="X196" s="498" t="s">
        <v>2716</v>
      </c>
      <c r="Y196" s="431" t="str">
        <f t="shared" si="297"/>
        <v>SUBTRANSMISSION TO PLP</v>
      </c>
      <c r="Z196" s="432"/>
      <c r="AA196" s="441" t="str">
        <f t="shared" si="298"/>
        <v>p</v>
      </c>
      <c r="AB196" s="134">
        <f t="shared" si="286"/>
        <v>0</v>
      </c>
      <c r="AC196" s="134">
        <f t="shared" si="287"/>
        <v>0</v>
      </c>
      <c r="AD196" s="134">
        <f t="shared" si="288"/>
        <v>0</v>
      </c>
      <c r="AE196" s="134">
        <f t="shared" si="289"/>
        <v>0</v>
      </c>
      <c r="AF196" s="432"/>
      <c r="AG196" s="436" t="str">
        <f t="shared" si="299"/>
        <v>p</v>
      </c>
      <c r="AH196" s="134">
        <f t="shared" si="291"/>
        <v>0</v>
      </c>
      <c r="AI196" s="134">
        <f t="shared" si="292"/>
        <v>0</v>
      </c>
      <c r="AJ196" s="134">
        <f t="shared" si="293"/>
        <v>0</v>
      </c>
      <c r="AK196" s="134">
        <f t="shared" si="294"/>
        <v>0</v>
      </c>
      <c r="AL196" s="470"/>
    </row>
    <row r="197" spans="1:39" hidden="1" x14ac:dyDescent="0.25">
      <c r="B197" s="124" t="s">
        <v>2717</v>
      </c>
      <c r="C197" s="168" t="s">
        <v>2720</v>
      </c>
      <c r="D197" s="119">
        <f t="shared" ref="D197:D198" si="301">ROUNDDOWN(S197,0)</f>
        <v>33</v>
      </c>
      <c r="E197" s="370">
        <f t="array" ref="E197">IF(U197="YES",IF(T197="YES",MIN(IF(TIM[Load Capability Reference]=CONCATENATE(P197,Q197,S197,R197),TIM[Lowest A-PTX])),MIN(IF(TIM[Load Capability Reference]=CONCATENATE(P197,Q197,S197,R197),IF(TIM[Equipment ID]&lt;&gt;O197,TIM[Lowest A-PTX])))),IF(T197="YES",MIN(IF(TIM[Load Capability Reference]=CONCATENATE(P197,Q197,S197,R197),TIM[Lowest A-No PTX])),MIN(IF(TIM[Load Capability Reference]=CONCATENATE(P197,Q197,S197,R197),IF(TIM[Equipment ID]&lt;&gt;O197,TIM[Lowest A-No PTX])))))</f>
        <v>196.60000000000002</v>
      </c>
      <c r="F197" s="119">
        <v>240</v>
      </c>
      <c r="G197" s="119">
        <f t="shared" si="281"/>
        <v>155</v>
      </c>
      <c r="H197" s="29">
        <f t="shared" si="282"/>
        <v>8.859439880714806</v>
      </c>
      <c r="I197" s="119">
        <f>IFERROR(FLOOR(MIN(E197:F197)*$D$2,5),"")</f>
        <v>175</v>
      </c>
      <c r="J197" s="29">
        <f t="shared" si="300"/>
        <v>10.002593413710265</v>
      </c>
      <c r="K197" s="6" t="str">
        <f>IF(U197="Yes",UPPER(IF(ISNUMBER(SEARCH("winding",VLOOKUP(CONCATENATE(P197,Q197,S197,E197),TIM[[Limiting Equipment Reference-PTX]:[Summ Equipment]],7,0))),"Power Transformer Rating at "&amp;ROUND(E197*S197*SQRT(3)/1000,2)&amp;" MVA",VLOOKUP(CONCATENATE(P197,Q197,S197,E197),TIM[[Limiting Equipment Reference-No PTX]:[Summ Equipment]],8,0))),UPPER(VLOOKUP(CONCATENATE(P197,Q197,S197,E197),TIM[[Limiting Equipment Reference-No PTX]:[Summ Equipment]],8,0)))</f>
        <v>OH LINE-QUAIL</v>
      </c>
      <c r="L197" s="146" t="s">
        <v>1266</v>
      </c>
      <c r="M197" s="509" t="s">
        <v>1162</v>
      </c>
      <c r="O197" s="118" t="str">
        <f t="shared" si="296"/>
        <v>TIM-L413</v>
      </c>
      <c r="P197" s="49" t="s">
        <v>1245</v>
      </c>
      <c r="Q197" s="49" t="s">
        <v>168</v>
      </c>
      <c r="R197" s="386" t="s">
        <v>378</v>
      </c>
      <c r="S197" s="43">
        <v>33</v>
      </c>
      <c r="T197" s="146" t="s">
        <v>1266</v>
      </c>
      <c r="U197" s="146" t="s">
        <v>1266</v>
      </c>
      <c r="V197" s="487" t="s">
        <v>2825</v>
      </c>
      <c r="X197" s="498" t="s">
        <v>2717</v>
      </c>
      <c r="Y197" s="431" t="str">
        <f t="shared" si="297"/>
        <v>SUBTRANSMISSION TO PAR NO. 1</v>
      </c>
      <c r="Z197" s="432"/>
      <c r="AA197" s="441" t="str">
        <f t="shared" si="298"/>
        <v>p</v>
      </c>
      <c r="AB197" s="134">
        <f t="shared" si="286"/>
        <v>0</v>
      </c>
      <c r="AC197" s="134">
        <f t="shared" si="287"/>
        <v>0</v>
      </c>
      <c r="AD197" s="134">
        <f t="shared" si="288"/>
        <v>0</v>
      </c>
      <c r="AE197" s="134">
        <f t="shared" si="289"/>
        <v>0</v>
      </c>
      <c r="AF197" s="432"/>
      <c r="AG197" s="436" t="str">
        <f t="shared" si="299"/>
        <v>p</v>
      </c>
      <c r="AH197" s="134">
        <f t="shared" si="291"/>
        <v>0</v>
      </c>
      <c r="AI197" s="134">
        <f t="shared" si="292"/>
        <v>0</v>
      </c>
      <c r="AJ197" s="134">
        <f t="shared" si="293"/>
        <v>0</v>
      </c>
      <c r="AK197" s="134">
        <f t="shared" si="294"/>
        <v>0</v>
      </c>
      <c r="AL197" s="470"/>
    </row>
    <row r="198" spans="1:39" ht="15.75" hidden="1" thickBot="1" x14ac:dyDescent="0.3">
      <c r="B198" s="401" t="s">
        <v>2718</v>
      </c>
      <c r="C198" s="375" t="s">
        <v>2721</v>
      </c>
      <c r="D198" s="377">
        <f t="shared" si="301"/>
        <v>33</v>
      </c>
      <c r="E198" s="384">
        <f t="array" ref="E198">IF(U198="YES",IF(T198="YES",MIN(IF(TIM[Load Capability Reference]=CONCATENATE(P198,Q198,S198,R198),TIM[Lowest A-PTX])),MIN(IF(TIM[Load Capability Reference]=CONCATENATE(P198,Q198,S198,R198),IF(TIM[Equipment ID]&lt;&gt;O198,TIM[Lowest A-PTX])))),IF(T198="YES",MIN(IF(TIM[Load Capability Reference]=CONCATENATE(P198,Q198,S198,R198),TIM[Lowest A-No PTX])),MIN(IF(TIM[Load Capability Reference]=CONCATENATE(P198,Q198,S198,R198),IF(TIM[Equipment ID]&lt;&gt;O198,TIM[Lowest A-No PTX])))))</f>
        <v>188.62660722014468</v>
      </c>
      <c r="F198" s="377">
        <v>240</v>
      </c>
      <c r="G198" s="377">
        <f t="shared" si="281"/>
        <v>150</v>
      </c>
      <c r="H198" s="185">
        <f t="shared" si="282"/>
        <v>8.5736514974659421</v>
      </c>
      <c r="I198" s="377">
        <f>IFERROR(FLOOR(MIN(E198:F198)*$D$2,5),"")</f>
        <v>165</v>
      </c>
      <c r="J198" s="185">
        <f t="shared" si="300"/>
        <v>9.4310166472125374</v>
      </c>
      <c r="K198" s="191" t="str">
        <f>IF(U198="Yes",UPPER(IF(ISNUMBER(SEARCH("winding",VLOOKUP(CONCATENATE(P198,Q198,S198,E198),TIM[[Limiting Equipment Reference-PTX]:[Summ Equipment]],7,0))),"Power Transformer Rating at "&amp;ROUND(E198*S198*SQRT(3)/1000,2)&amp;" MVA",VLOOKUP(CONCATENATE(P198,Q198,S198,E198),TIM[[Limiting Equipment Reference-No PTX]:[Summ Equipment]],8,0))),UPPER(VLOOKUP(CONCATENATE(P198,Q198,S198,E198),TIM[[Limiting Equipment Reference-No PTX]:[Summ Equipment]],8,0)))</f>
        <v>OH LINE-MINK</v>
      </c>
      <c r="L198" s="379" t="s">
        <v>1266</v>
      </c>
      <c r="M198" s="511" t="s">
        <v>1162</v>
      </c>
      <c r="O198" s="514" t="str">
        <f t="shared" si="296"/>
        <v>TIM-L418</v>
      </c>
      <c r="P198" s="374" t="s">
        <v>1245</v>
      </c>
      <c r="Q198" s="374" t="s">
        <v>168</v>
      </c>
      <c r="R198" s="387" t="s">
        <v>307</v>
      </c>
      <c r="S198" s="175">
        <v>33</v>
      </c>
      <c r="T198" s="379" t="s">
        <v>1266</v>
      </c>
      <c r="U198" s="379" t="s">
        <v>1266</v>
      </c>
      <c r="V198" s="488" t="s">
        <v>2825</v>
      </c>
      <c r="X198" s="500" t="s">
        <v>2718</v>
      </c>
      <c r="Y198" s="433" t="str">
        <f t="shared" si="297"/>
        <v>SUBTRANSMISSION TO PAR NO. 2</v>
      </c>
      <c r="Z198" s="434"/>
      <c r="AA198" s="442" t="str">
        <f t="shared" si="298"/>
        <v>p</v>
      </c>
      <c r="AB198" s="451">
        <f t="shared" si="286"/>
        <v>0</v>
      </c>
      <c r="AC198" s="451">
        <f t="shared" si="287"/>
        <v>0</v>
      </c>
      <c r="AD198" s="451">
        <f t="shared" si="288"/>
        <v>0</v>
      </c>
      <c r="AE198" s="451">
        <f t="shared" si="289"/>
        <v>0</v>
      </c>
      <c r="AF198" s="434"/>
      <c r="AG198" s="437" t="str">
        <f t="shared" si="299"/>
        <v>p</v>
      </c>
      <c r="AH198" s="451">
        <f t="shared" si="291"/>
        <v>0</v>
      </c>
      <c r="AI198" s="451">
        <f t="shared" si="292"/>
        <v>0</v>
      </c>
      <c r="AJ198" s="451">
        <f t="shared" si="293"/>
        <v>0</v>
      </c>
      <c r="AK198" s="451">
        <f t="shared" si="294"/>
        <v>0</v>
      </c>
      <c r="AL198" s="471"/>
    </row>
    <row r="199" spans="1:39" hidden="1" x14ac:dyDescent="0.25">
      <c r="X199" s="427" t="s">
        <v>160</v>
      </c>
      <c r="AB199" s="449">
        <f>SUM(AB192:AB198)</f>
        <v>0</v>
      </c>
      <c r="AC199" s="449">
        <f t="shared" ref="AC199:AE199" si="302">SUM(AC192:AC198)</f>
        <v>0</v>
      </c>
      <c r="AD199" s="449">
        <f t="shared" si="302"/>
        <v>0</v>
      </c>
      <c r="AE199" s="449">
        <f t="shared" si="302"/>
        <v>0</v>
      </c>
      <c r="AH199" s="449">
        <f>SUM(AH192:AH198)</f>
        <v>0</v>
      </c>
      <c r="AI199" s="449">
        <f t="shared" ref="AI199:AK199" si="303">SUM(AI192:AI198)</f>
        <v>0</v>
      </c>
      <c r="AJ199" s="449">
        <f t="shared" si="303"/>
        <v>0</v>
      </c>
      <c r="AK199" s="449">
        <f t="shared" si="303"/>
        <v>0</v>
      </c>
    </row>
    <row r="200" spans="1:39" ht="27" hidden="1" thickBot="1" x14ac:dyDescent="0.3">
      <c r="B200" s="551" t="s">
        <v>2722</v>
      </c>
      <c r="C200" s="552"/>
      <c r="D200" s="552"/>
      <c r="E200" s="552"/>
      <c r="F200" s="552"/>
      <c r="G200" s="552"/>
      <c r="H200" s="552"/>
      <c r="I200" s="552"/>
      <c r="J200" s="552"/>
      <c r="K200" s="552"/>
      <c r="L200" s="552"/>
      <c r="M200" s="553"/>
      <c r="O200" s="551" t="s">
        <v>2391</v>
      </c>
      <c r="P200" s="552"/>
      <c r="Q200" s="552"/>
      <c r="R200" s="552"/>
      <c r="S200" s="552"/>
      <c r="T200" s="552"/>
      <c r="U200" s="552"/>
      <c r="V200" s="553"/>
      <c r="X200" s="586" t="str">
        <f>B200&amp;"-OLD"</f>
        <v>PAREORA (B712)-OLD</v>
      </c>
      <c r="Y200" s="587"/>
      <c r="Z200" s="587"/>
      <c r="AA200" s="587"/>
      <c r="AB200" s="587"/>
      <c r="AC200" s="587"/>
      <c r="AD200" s="587"/>
      <c r="AE200" s="587"/>
      <c r="AF200" s="587"/>
      <c r="AG200" s="587"/>
      <c r="AH200" s="587"/>
      <c r="AI200" s="587"/>
      <c r="AJ200" s="587"/>
      <c r="AK200" s="587"/>
      <c r="AL200" s="588"/>
      <c r="AM200" s="481"/>
    </row>
    <row r="201" spans="1:39" ht="15.75" hidden="1" thickBot="1" x14ac:dyDescent="0.3">
      <c r="B201" s="571" t="str">
        <f t="shared" ref="B201:G201" si="304">B6</f>
        <v>CB ID</v>
      </c>
      <c r="C201" s="545" t="str">
        <f t="shared" si="304"/>
        <v>DESIGNATION</v>
      </c>
      <c r="D201" s="382" t="str">
        <f t="shared" si="304"/>
        <v>Rated</v>
      </c>
      <c r="E201" s="572" t="str">
        <f t="shared" si="304"/>
        <v>LOAD
CAPABILITY</v>
      </c>
      <c r="F201" s="572" t="str">
        <f t="shared" si="304"/>
        <v>OC
PICKUP</v>
      </c>
      <c r="G201" s="559" t="str">
        <f t="shared" si="304"/>
        <v>SCADA ALARM</v>
      </c>
      <c r="H201" s="560"/>
      <c r="I201" s="560"/>
      <c r="J201" s="561"/>
      <c r="K201" s="574" t="str">
        <f>K6</f>
        <v>LIMITING EQUIPMENT</v>
      </c>
      <c r="L201" s="575" t="str">
        <f>L6</f>
        <v>RECLOSING</v>
      </c>
      <c r="M201" s="576"/>
      <c r="O201" s="554" t="str">
        <f t="shared" ref="O201:V201" si="305">O6</f>
        <v>OC Pick up
Reference ID</v>
      </c>
      <c r="P201" s="557" t="str">
        <f t="shared" si="305"/>
        <v>Supply Level</v>
      </c>
      <c r="Q201" s="566" t="str">
        <f t="shared" si="305"/>
        <v>Station/Feeder</v>
      </c>
      <c r="R201" s="567" t="str">
        <f t="shared" si="305"/>
        <v>Refered
to PTX</v>
      </c>
      <c r="S201" s="569" t="str">
        <f t="shared" si="305"/>
        <v>Voltage</v>
      </c>
      <c r="T201" s="539" t="str">
        <f t="shared" si="305"/>
        <v>Include
CB</v>
      </c>
      <c r="U201" s="539" t="str">
        <f t="shared" si="305"/>
        <v>Include
PTX</v>
      </c>
      <c r="V201" s="542" t="str">
        <f t="shared" si="305"/>
        <v>Notes</v>
      </c>
      <c r="X201" s="585" t="s">
        <v>1260</v>
      </c>
      <c r="Y201" s="545" t="s">
        <v>1261</v>
      </c>
      <c r="Z201" s="559" t="s">
        <v>2749</v>
      </c>
      <c r="AA201" s="560"/>
      <c r="AB201" s="560"/>
      <c r="AC201" s="560"/>
      <c r="AD201" s="560"/>
      <c r="AE201" s="561"/>
      <c r="AF201" s="559" t="s">
        <v>1268</v>
      </c>
      <c r="AG201" s="560"/>
      <c r="AH201" s="560"/>
      <c r="AI201" s="560"/>
      <c r="AJ201" s="560"/>
      <c r="AK201" s="561"/>
      <c r="AL201" s="546" t="s">
        <v>2857</v>
      </c>
      <c r="AM201" s="466"/>
    </row>
    <row r="202" spans="1:39" ht="15.75" hidden="1" thickBot="1" x14ac:dyDescent="0.3">
      <c r="B202" s="557"/>
      <c r="C202" s="540"/>
      <c r="D202" s="362" t="str">
        <f>D7</f>
        <v>Voltage</v>
      </c>
      <c r="E202" s="573"/>
      <c r="F202" s="573"/>
      <c r="G202" s="544" t="str">
        <f>G7</f>
        <v>Pre-Emergency</v>
      </c>
      <c r="H202" s="544"/>
      <c r="I202" s="544" t="str">
        <f>I7</f>
        <v>Emergency</v>
      </c>
      <c r="J202" s="544"/>
      <c r="K202" s="540"/>
      <c r="L202" s="545" t="str">
        <f>L7</f>
        <v>AVAILABLE</v>
      </c>
      <c r="M202" s="546" t="str">
        <f>M7</f>
        <v>UTILISED</v>
      </c>
      <c r="O202" s="555"/>
      <c r="P202" s="557"/>
      <c r="Q202" s="557"/>
      <c r="R202" s="567"/>
      <c r="S202" s="569"/>
      <c r="T202" s="540"/>
      <c r="U202" s="540"/>
      <c r="V202" s="542"/>
      <c r="X202" s="555"/>
      <c r="Y202" s="540"/>
      <c r="Z202" s="589"/>
      <c r="AA202" s="590"/>
      <c r="AB202" s="590"/>
      <c r="AC202" s="590"/>
      <c r="AD202" s="590"/>
      <c r="AE202" s="591"/>
      <c r="AF202" s="589"/>
      <c r="AG202" s="590"/>
      <c r="AH202" s="590"/>
      <c r="AI202" s="590"/>
      <c r="AJ202" s="590"/>
      <c r="AK202" s="591"/>
      <c r="AL202" s="577"/>
      <c r="AM202" s="466"/>
    </row>
    <row r="203" spans="1:39" ht="15.75" hidden="1" thickBot="1" x14ac:dyDescent="0.3">
      <c r="B203" s="558"/>
      <c r="C203" s="541"/>
      <c r="D203" s="345" t="str">
        <f>D8</f>
        <v>(kV)</v>
      </c>
      <c r="E203" s="345" t="str">
        <f>E8</f>
        <v>(A)</v>
      </c>
      <c r="F203" s="345" t="str">
        <f>F8</f>
        <v>(A)</v>
      </c>
      <c r="G203" s="406" t="str">
        <f>G8</f>
        <v>(A)</v>
      </c>
      <c r="H203" s="407" t="str">
        <f>H8</f>
        <v>(MVA)</v>
      </c>
      <c r="I203" s="406" t="str">
        <f>I8</f>
        <v>(A)</v>
      </c>
      <c r="J203" s="407" t="str">
        <f>J8</f>
        <v>(MVA)</v>
      </c>
      <c r="K203" s="541"/>
      <c r="L203" s="541"/>
      <c r="M203" s="547"/>
      <c r="O203" s="556"/>
      <c r="P203" s="558"/>
      <c r="Q203" s="558"/>
      <c r="R203" s="568"/>
      <c r="S203" s="570"/>
      <c r="T203" s="541"/>
      <c r="U203" s="541"/>
      <c r="V203" s="543"/>
      <c r="X203" s="556"/>
      <c r="Y203" s="541"/>
      <c r="Z203" s="428" t="s">
        <v>26</v>
      </c>
      <c r="AA203" s="439" t="s">
        <v>2861</v>
      </c>
      <c r="AB203" s="450" t="s">
        <v>2959</v>
      </c>
      <c r="AC203" s="450" t="s">
        <v>2960</v>
      </c>
      <c r="AD203" s="450" t="s">
        <v>2957</v>
      </c>
      <c r="AE203" s="450" t="s">
        <v>2958</v>
      </c>
      <c r="AF203" s="428" t="s">
        <v>26</v>
      </c>
      <c r="AG203" s="439" t="s">
        <v>2861</v>
      </c>
      <c r="AH203" s="450" t="s">
        <v>2959</v>
      </c>
      <c r="AI203" s="450" t="s">
        <v>2960</v>
      </c>
      <c r="AJ203" s="450" t="s">
        <v>2957</v>
      </c>
      <c r="AK203" s="450" t="s">
        <v>2958</v>
      </c>
      <c r="AL203" s="547"/>
      <c r="AM203" s="466"/>
    </row>
    <row r="204" spans="1:39" hidden="1" x14ac:dyDescent="0.25">
      <c r="B204" s="204" t="s">
        <v>2830</v>
      </c>
      <c r="C204" s="3" t="s">
        <v>2726</v>
      </c>
      <c r="D204" s="61">
        <f t="shared" ref="D204:D207" si="306">ROUNDDOWN(S204,0)</f>
        <v>33</v>
      </c>
      <c r="E204" s="369">
        <f t="array" ref="E204">IF(U204="YES",IF(T204="YES",MIN(IF(TIM[Load Capability Reference]=CONCATENATE(P204,Q204,S204,R204),TIM[Lowest A-PTX])),MIN(IF(TIM[Load Capability Reference]=CONCATENATE(P204,Q204,S204,R204),IF(TIM[Equipment ID]&lt;&gt;O204,TIM[Lowest A-PTX])))),IF(T204="YES",MIN(IF(TIM[Load Capability Reference]=CONCATENATE(P204,Q204,S204,R204),TIM[Lowest A-No PTX])),MIN(IF(TIM[Load Capability Reference]=CONCATENATE(P204,Q204,S204,R204),IF(TIM[Equipment ID]&lt;&gt;O204,TIM[Lowest A-No PTX])))))</f>
        <v>196.60000000000002</v>
      </c>
      <c r="F204" s="61">
        <f>IFERROR(IFERROR(VLOOKUP(CONCATENATE(P204,Q204,O204,S204,"Protection"),TIM[[OC Protection Reference]:[Forward A]],23,0),VLOOKUP(O204,AEL_Protection_Data[],12,0)),"N/A")</f>
        <v>320</v>
      </c>
      <c r="G204" s="61">
        <f t="shared" ref="G204:G217" si="307">IFERROR(FLOOR(MIN(E204:F204)*$D$3,5),"")</f>
        <v>155</v>
      </c>
      <c r="H204" s="5">
        <f t="shared" ref="H204:H217" si="308">G204*S204*SQRT(3)/1000</f>
        <v>8.859439880714806</v>
      </c>
      <c r="I204" s="61">
        <f t="shared" ref="I204:I217" si="309">IFERROR(FLOOR(MIN(E204:F204)*$D$2,5),"")</f>
        <v>175</v>
      </c>
      <c r="J204" s="5">
        <f t="shared" ref="J204" si="310">I204*S204*SQRT(3)/1000</f>
        <v>10.002593413710265</v>
      </c>
      <c r="K204" s="3" t="str">
        <f>IF(U204="Yes",UPPER(IF(ISNUMBER(SEARCH("winding",VLOOKUP(CONCATENATE(P204,Q204,S204,E204),TIM[[Limiting Equipment Reference-PTX]:[Summ Equipment]],7,0))),"Power Transformer Rating at "&amp;ROUND(E204*S204*SQRT(3)/1000,2)&amp;" MVA",VLOOKUP(CONCATENATE(P204,Q204,S204,E204),TIM[[Limiting Equipment Reference-No PTX]:[Summ Equipment]],8,0))),UPPER(VLOOKUP(CONCATENATE(P204,Q204,S204,E204),TIM[[Limiting Equipment Reference-No PTX]:[Summ Equipment]],8,0)))</f>
        <v>OH LINE-QUAIL</v>
      </c>
      <c r="L204" s="4" t="s">
        <v>1266</v>
      </c>
      <c r="M204" s="508" t="s">
        <v>1162</v>
      </c>
      <c r="O204" s="10" t="str">
        <f t="shared" ref="O204:O211" si="311">"PAR-"&amp;B204</f>
        <v>PAR-CB2332</v>
      </c>
      <c r="P204" s="38" t="s">
        <v>1245</v>
      </c>
      <c r="Q204" s="38" t="s">
        <v>168</v>
      </c>
      <c r="R204" s="389" t="s">
        <v>378</v>
      </c>
      <c r="S204" s="139">
        <v>33</v>
      </c>
      <c r="T204" s="4" t="s">
        <v>1266</v>
      </c>
      <c r="U204" s="4" t="s">
        <v>1266</v>
      </c>
      <c r="V204" s="486"/>
      <c r="X204" s="501" t="s">
        <v>2830</v>
      </c>
      <c r="Y204" s="429" t="s">
        <v>2920</v>
      </c>
      <c r="Z204" s="430">
        <v>400</v>
      </c>
      <c r="AA204" s="440" t="str">
        <f t="shared" ref="AA204:AA206" si="312">IF(Z204&gt;E204,"q",IF(Z204&lt;E204,"p","u"))</f>
        <v>q</v>
      </c>
      <c r="AB204" s="453">
        <f t="shared" ref="AB204:AB217" si="313">IF(Z204="",0,IF(Z204-E204&lt;0,ABS(Z204-E204),0))</f>
        <v>0</v>
      </c>
      <c r="AC204" s="453">
        <f t="shared" ref="AC204:AC217" si="314">AB204*$S204*SQRT(3)/1000</f>
        <v>0</v>
      </c>
      <c r="AD204" s="453">
        <f t="shared" ref="AD204:AD217" si="315">IF(Z204="",0,IF(Z204-E204&gt;0,ABS(Z204-E204),0))</f>
        <v>203.39999999999998</v>
      </c>
      <c r="AE204" s="453">
        <f t="shared" ref="AE204:AE217" si="316">AD204*$S204*SQRT(3)/1000</f>
        <v>11.625871430563816</v>
      </c>
      <c r="AF204" s="430">
        <v>320</v>
      </c>
      <c r="AG204" s="435" t="str">
        <f t="shared" ref="AG204:AG206" si="317">IF(AF204&gt;F204,"q",IF(AF204&lt;F204,"p","u"))</f>
        <v>u</v>
      </c>
      <c r="AH204" s="453">
        <f t="shared" ref="AH204:AH217" si="318">IF(AF204="",0,IF(AF204-F204&lt;0,ABS(AF204-F204),0))</f>
        <v>0</v>
      </c>
      <c r="AI204" s="453">
        <f t="shared" ref="AI204:AI217" si="319">AH204*$S204*SQRT(3)/1000</f>
        <v>0</v>
      </c>
      <c r="AJ204" s="453">
        <f t="shared" ref="AJ204:AJ217" si="320">IF(AF204="",0,IF(AF204-F204&gt;0,ABS(AF204-F204),0))</f>
        <v>0</v>
      </c>
      <c r="AK204" s="453">
        <f t="shared" ref="AK204:AK217" si="321">AJ204*$S204*SQRT(3)/1000</f>
        <v>0</v>
      </c>
      <c r="AL204" s="469" t="s">
        <v>1266</v>
      </c>
    </row>
    <row r="205" spans="1:39" hidden="1" x14ac:dyDescent="0.25">
      <c r="A205" s="517"/>
      <c r="B205" s="124" t="s">
        <v>2831</v>
      </c>
      <c r="C205" s="168" t="s">
        <v>2639</v>
      </c>
      <c r="D205" s="119">
        <f t="shared" si="306"/>
        <v>33</v>
      </c>
      <c r="E205" s="370">
        <f t="array" ref="E205">IF(U205="YES",IF(T205="YES",MIN(IF(TIM[Load Capability Reference]=CONCATENATE(P205,Q205,S205,R205),TIM[Lowest A-PTX])),MIN(IF(TIM[Load Capability Reference]=CONCATENATE(P205,Q205,S205,R205),IF(TIM[Equipment ID]&lt;&gt;O205,TIM[Lowest A-PTX])))),IF(T205="YES",MIN(IF(TIM[Load Capability Reference]=CONCATENATE(P205,Q205,S205,R205),TIM[Lowest A-No PTX])),MIN(IF(TIM[Load Capability Reference]=CONCATENATE(P205,Q205,S205,R205),IF(TIM[Equipment ID]&lt;&gt;O205,TIM[Lowest A-No PTX])))))</f>
        <v>491.79</v>
      </c>
      <c r="F205" s="119">
        <f>IFERROR(IFERROR(VLOOKUP(CONCATENATE(P205,Q205,O205,S205,"Protection"),TIM[[OC Protection Reference]:[Forward A]],23,0),VLOOKUP(O205,AEL_Protection_Data[],12,0)),"N/A")</f>
        <v>320</v>
      </c>
      <c r="G205" s="119">
        <f t="shared" si="307"/>
        <v>255</v>
      </c>
      <c r="H205" s="29">
        <f t="shared" si="308"/>
        <v>14.575207545692102</v>
      </c>
      <c r="I205" s="119">
        <f t="shared" si="309"/>
        <v>285</v>
      </c>
      <c r="J205" s="29">
        <f t="shared" ref="J205:J217" si="322">I205*S205*SQRT(3)/1000</f>
        <v>16.289937845185289</v>
      </c>
      <c r="K205" s="6" t="str">
        <f>IF(U205="Yes",UPPER(IF(ISNUMBER(SEARCH("winding",VLOOKUP(CONCATENATE(P205,Q205,S205,E205),TIM[[Limiting Equipment Reference-PTX]:[Summ Equipment]],7,0))),"Power Transformer Rating at "&amp;ROUND(E205*S205*SQRT(3)/1000,2)&amp;" MVA",VLOOKUP(CONCATENATE(P205,Q205,S205,E205),TIM[[Limiting Equipment Reference-No PTX]:[Summ Equipment]],8,0))),UPPER(VLOOKUP(CONCATENATE(P205,Q205,S205,E205),TIM[[Limiting Equipment Reference-No PTX]:[Summ Equipment]],8,0)))</f>
        <v>CABLE-3/1C 400MM² AL XLPE HDPE SCREENED</v>
      </c>
      <c r="L205" s="146" t="s">
        <v>1266</v>
      </c>
      <c r="M205" s="509" t="s">
        <v>1162</v>
      </c>
      <c r="N205" s="517"/>
      <c r="O205" s="118" t="str">
        <f t="shared" si="311"/>
        <v>PAR-CB2342</v>
      </c>
      <c r="P205" s="49" t="s">
        <v>1246</v>
      </c>
      <c r="Q205" s="49" t="s">
        <v>202</v>
      </c>
      <c r="R205" s="386" t="s">
        <v>378</v>
      </c>
      <c r="S205" s="43">
        <v>33</v>
      </c>
      <c r="T205" s="146" t="s">
        <v>1266</v>
      </c>
      <c r="U205" s="146" t="s">
        <v>1266</v>
      </c>
      <c r="V205" s="487"/>
      <c r="X205" s="498" t="s">
        <v>2831</v>
      </c>
      <c r="Y205" s="431" t="s">
        <v>2921</v>
      </c>
      <c r="Z205" s="432">
        <v>400</v>
      </c>
      <c r="AA205" s="441" t="str">
        <f t="shared" si="312"/>
        <v>p</v>
      </c>
      <c r="AB205" s="134">
        <f t="shared" si="313"/>
        <v>91.79000000000002</v>
      </c>
      <c r="AC205" s="134">
        <f t="shared" si="314"/>
        <v>5.2465031396826598</v>
      </c>
      <c r="AD205" s="134">
        <f t="shared" si="315"/>
        <v>0</v>
      </c>
      <c r="AE205" s="134">
        <f t="shared" si="316"/>
        <v>0</v>
      </c>
      <c r="AF205" s="432">
        <v>320</v>
      </c>
      <c r="AG205" s="436" t="str">
        <f t="shared" si="317"/>
        <v>u</v>
      </c>
      <c r="AH205" s="134">
        <f t="shared" si="318"/>
        <v>0</v>
      </c>
      <c r="AI205" s="134">
        <f t="shared" si="319"/>
        <v>0</v>
      </c>
      <c r="AJ205" s="134">
        <f t="shared" si="320"/>
        <v>0</v>
      </c>
      <c r="AK205" s="134">
        <f t="shared" si="321"/>
        <v>0</v>
      </c>
      <c r="AL205" s="470" t="s">
        <v>1266</v>
      </c>
    </row>
    <row r="206" spans="1:39" hidden="1" x14ac:dyDescent="0.25">
      <c r="B206" s="124" t="s">
        <v>2832</v>
      </c>
      <c r="C206" s="168" t="s">
        <v>2727</v>
      </c>
      <c r="D206" s="119">
        <f t="shared" si="306"/>
        <v>33</v>
      </c>
      <c r="E206" s="370">
        <v>400</v>
      </c>
      <c r="F206" s="119">
        <f>IFERROR(IFERROR(VLOOKUP(CONCATENATE(P206,Q206,O206,S206,"Protection"),TIM[[OC Protection Reference]:[Forward A]],23,0),VLOOKUP(O206,AEL_Protection_Data[],12,0)),"N/A")</f>
        <v>320</v>
      </c>
      <c r="G206" s="119">
        <f t="shared" si="307"/>
        <v>255</v>
      </c>
      <c r="H206" s="29">
        <f t="shared" si="308"/>
        <v>14.575207545692102</v>
      </c>
      <c r="I206" s="119">
        <f t="shared" si="309"/>
        <v>285</v>
      </c>
      <c r="J206" s="29">
        <f t="shared" si="322"/>
        <v>16.289937845185289</v>
      </c>
      <c r="K206" s="6" t="s">
        <v>2723</v>
      </c>
      <c r="L206" s="146" t="s">
        <v>1266</v>
      </c>
      <c r="M206" s="509" t="s">
        <v>1162</v>
      </c>
      <c r="O206" s="118" t="str">
        <f t="shared" si="311"/>
        <v>PAR-CB2358</v>
      </c>
      <c r="P206" s="49" t="s">
        <v>1246</v>
      </c>
      <c r="Q206" s="49" t="s">
        <v>202</v>
      </c>
      <c r="R206" s="390"/>
      <c r="S206" s="32">
        <v>33</v>
      </c>
      <c r="T206" s="146" t="s">
        <v>1266</v>
      </c>
      <c r="U206" s="146" t="s">
        <v>1266</v>
      </c>
      <c r="V206" s="487" t="s">
        <v>2823</v>
      </c>
      <c r="X206" s="498" t="s">
        <v>2832</v>
      </c>
      <c r="Y206" s="431" t="s">
        <v>2922</v>
      </c>
      <c r="Z206" s="432">
        <v>400</v>
      </c>
      <c r="AA206" s="441" t="str">
        <f t="shared" si="312"/>
        <v>u</v>
      </c>
      <c r="AB206" s="134">
        <f t="shared" si="313"/>
        <v>0</v>
      </c>
      <c r="AC206" s="134">
        <f t="shared" si="314"/>
        <v>0</v>
      </c>
      <c r="AD206" s="134">
        <f t="shared" si="315"/>
        <v>0</v>
      </c>
      <c r="AE206" s="134">
        <f t="shared" si="316"/>
        <v>0</v>
      </c>
      <c r="AF206" s="432">
        <v>320</v>
      </c>
      <c r="AG206" s="436" t="str">
        <f t="shared" si="317"/>
        <v>u</v>
      </c>
      <c r="AH206" s="134">
        <f t="shared" si="318"/>
        <v>0</v>
      </c>
      <c r="AI206" s="134">
        <f t="shared" si="319"/>
        <v>0</v>
      </c>
      <c r="AJ206" s="134">
        <f t="shared" si="320"/>
        <v>0</v>
      </c>
      <c r="AK206" s="134">
        <f t="shared" si="321"/>
        <v>0</v>
      </c>
      <c r="AL206" s="470" t="s">
        <v>1266</v>
      </c>
    </row>
    <row r="207" spans="1:39" hidden="1" x14ac:dyDescent="0.25">
      <c r="B207" s="124" t="s">
        <v>2833</v>
      </c>
      <c r="C207" s="168" t="s">
        <v>2728</v>
      </c>
      <c r="D207" s="119">
        <f t="shared" si="306"/>
        <v>33</v>
      </c>
      <c r="E207" s="370">
        <v>400</v>
      </c>
      <c r="F207" s="119">
        <f>IFERROR(IFERROR(VLOOKUP(CONCATENATE(P207,Q207,O207,S207,"Protection"),TIM[[OC Protection Reference]:[Forward A]],23,0),VLOOKUP(O207,AEL_Protection_Data[],12,0)),"N/A")</f>
        <v>320</v>
      </c>
      <c r="G207" s="119">
        <f t="shared" si="307"/>
        <v>255</v>
      </c>
      <c r="H207" s="29">
        <f t="shared" si="308"/>
        <v>14.575207545692102</v>
      </c>
      <c r="I207" s="119">
        <f t="shared" si="309"/>
        <v>285</v>
      </c>
      <c r="J207" s="29">
        <f t="shared" si="322"/>
        <v>16.289937845185289</v>
      </c>
      <c r="K207" s="6" t="s">
        <v>2724</v>
      </c>
      <c r="L207" s="146" t="s">
        <v>1266</v>
      </c>
      <c r="M207" s="509" t="s">
        <v>1162</v>
      </c>
      <c r="O207" s="118" t="str">
        <f t="shared" si="311"/>
        <v>PAR-CB2368</v>
      </c>
      <c r="P207" s="49" t="s">
        <v>1246</v>
      </c>
      <c r="Q207" s="49" t="s">
        <v>202</v>
      </c>
      <c r="R207" s="386"/>
      <c r="S207" s="43">
        <v>33</v>
      </c>
      <c r="T207" s="146" t="s">
        <v>1266</v>
      </c>
      <c r="U207" s="146" t="s">
        <v>1266</v>
      </c>
      <c r="V207" s="487" t="s">
        <v>2823</v>
      </c>
      <c r="X207" s="498" t="s">
        <v>2833</v>
      </c>
      <c r="Y207" s="431" t="s">
        <v>2923</v>
      </c>
      <c r="Z207" s="432">
        <v>400</v>
      </c>
      <c r="AA207" s="441" t="str">
        <f t="shared" ref="AA207:AA217" si="323">IF(Z207&gt;E207,"q",IF(Z207&lt;E207,"p","u"))</f>
        <v>u</v>
      </c>
      <c r="AB207" s="134">
        <f t="shared" si="313"/>
        <v>0</v>
      </c>
      <c r="AC207" s="134">
        <f t="shared" si="314"/>
        <v>0</v>
      </c>
      <c r="AD207" s="134">
        <f t="shared" si="315"/>
        <v>0</v>
      </c>
      <c r="AE207" s="134">
        <f t="shared" si="316"/>
        <v>0</v>
      </c>
      <c r="AF207" s="432">
        <v>320</v>
      </c>
      <c r="AG207" s="436" t="str">
        <f t="shared" ref="AG207:AG217" si="324">IF(AF207&gt;F207,"q",IF(AF207&lt;F207,"p","u"))</f>
        <v>u</v>
      </c>
      <c r="AH207" s="134">
        <f t="shared" si="318"/>
        <v>0</v>
      </c>
      <c r="AI207" s="134">
        <f t="shared" si="319"/>
        <v>0</v>
      </c>
      <c r="AJ207" s="134">
        <f t="shared" si="320"/>
        <v>0</v>
      </c>
      <c r="AK207" s="134">
        <f t="shared" si="321"/>
        <v>0</v>
      </c>
      <c r="AL207" s="470" t="s">
        <v>1266</v>
      </c>
    </row>
    <row r="208" spans="1:39" hidden="1" x14ac:dyDescent="0.25">
      <c r="B208" s="124" t="s">
        <v>2834</v>
      </c>
      <c r="C208" s="168" t="s">
        <v>2640</v>
      </c>
      <c r="D208" s="119">
        <f>ROUNDDOWN(S208,0)</f>
        <v>33</v>
      </c>
      <c r="E208" s="370">
        <f t="array" ref="E208">IF(U208="YES",IF(T208="YES",MIN(IF(TIM[Load Capability Reference]=CONCATENATE(P208,Q208,S208,R208),TIM[Lowest A-PTX])),MIN(IF(TIM[Load Capability Reference]=CONCATENATE(P208,Q208,S208,R208),IF(TIM[Equipment ID]&lt;&gt;O208,TIM[Lowest A-PTX])))),IF(T208="YES",MIN(IF(TIM[Load Capability Reference]=CONCATENATE(P208,Q208,S208,R208),TIM[Lowest A-No PTX])),MIN(IF(TIM[Load Capability Reference]=CONCATENATE(P208,Q208,S208,R208),IF(TIM[Equipment ID]&lt;&gt;O208,TIM[Lowest A-No PTX])))))</f>
        <v>491.79</v>
      </c>
      <c r="F208" s="119">
        <f>IFERROR(IFERROR(VLOOKUP(CONCATENATE(P208,Q208,O208,S208,"Protection"),TIM[[OC Protection Reference]:[Forward A]],23,0),VLOOKUP(O208,AEL_Protection_Data[],12,0)),"N/A")</f>
        <v>320</v>
      </c>
      <c r="G208" s="119">
        <f t="shared" si="307"/>
        <v>255</v>
      </c>
      <c r="H208" s="29">
        <f t="shared" si="308"/>
        <v>14.575207545692102</v>
      </c>
      <c r="I208" s="119">
        <f t="shared" si="309"/>
        <v>285</v>
      </c>
      <c r="J208" s="29">
        <f t="shared" si="322"/>
        <v>16.289937845185289</v>
      </c>
      <c r="K208" s="6" t="str">
        <f>IF(U208="Yes",UPPER(IF(ISNUMBER(SEARCH("winding",VLOOKUP(CONCATENATE(P208,Q208,S208,E208),TIM[[Limiting Equipment Reference-PTX]:[Summ Equipment]],7,0))),"Power Transformer Rating at "&amp;ROUND(E208*S208*SQRT(3)/1000,2)&amp;" MVA",VLOOKUP(CONCATENATE(P208,Q208,S208,E208),TIM[[Limiting Equipment Reference-No PTX]:[Summ Equipment]],8,0))),UPPER(VLOOKUP(CONCATENATE(P208,Q208,S208,E208),TIM[[Limiting Equipment Reference-No PTX]:[Summ Equipment]],8,0)))</f>
        <v>CABLE-3/1C 400MM² AL XLPE HDPE SCREENED</v>
      </c>
      <c r="L208" s="146" t="s">
        <v>1266</v>
      </c>
      <c r="M208" s="509" t="s">
        <v>1162</v>
      </c>
      <c r="O208" s="118" t="str">
        <f t="shared" si="311"/>
        <v>PAR-CB2372</v>
      </c>
      <c r="P208" s="49" t="s">
        <v>1246</v>
      </c>
      <c r="Q208" s="49" t="s">
        <v>202</v>
      </c>
      <c r="R208" s="386" t="s">
        <v>307</v>
      </c>
      <c r="S208" s="43">
        <v>33</v>
      </c>
      <c r="T208" s="146" t="s">
        <v>1266</v>
      </c>
      <c r="U208" s="146" t="s">
        <v>1266</v>
      </c>
      <c r="V208" s="487"/>
      <c r="X208" s="498" t="s">
        <v>2834</v>
      </c>
      <c r="Y208" s="431" t="s">
        <v>2924</v>
      </c>
      <c r="Z208" s="432">
        <v>400</v>
      </c>
      <c r="AA208" s="441" t="str">
        <f t="shared" si="323"/>
        <v>p</v>
      </c>
      <c r="AB208" s="134">
        <f t="shared" si="313"/>
        <v>91.79000000000002</v>
      </c>
      <c r="AC208" s="134">
        <f t="shared" si="314"/>
        <v>5.2465031396826598</v>
      </c>
      <c r="AD208" s="134">
        <f t="shared" si="315"/>
        <v>0</v>
      </c>
      <c r="AE208" s="134">
        <f t="shared" si="316"/>
        <v>0</v>
      </c>
      <c r="AF208" s="432">
        <v>320</v>
      </c>
      <c r="AG208" s="436" t="str">
        <f t="shared" si="324"/>
        <v>u</v>
      </c>
      <c r="AH208" s="134">
        <f t="shared" si="318"/>
        <v>0</v>
      </c>
      <c r="AI208" s="134">
        <f t="shared" si="319"/>
        <v>0</v>
      </c>
      <c r="AJ208" s="134">
        <f t="shared" si="320"/>
        <v>0</v>
      </c>
      <c r="AK208" s="134">
        <f t="shared" si="321"/>
        <v>0</v>
      </c>
      <c r="AL208" s="470" t="s">
        <v>1266</v>
      </c>
    </row>
    <row r="209" spans="1:39" hidden="1" x14ac:dyDescent="0.25">
      <c r="B209" s="124" t="s">
        <v>2835</v>
      </c>
      <c r="C209" s="168" t="s">
        <v>2729</v>
      </c>
      <c r="D209" s="119">
        <f t="shared" ref="D209:D217" si="325">ROUNDDOWN(S209,0)</f>
        <v>33</v>
      </c>
      <c r="E209" s="370">
        <f t="array" ref="E209">IF(U209="YES",IF(T209="YES",MIN(IF(TIM[Load Capability Reference]=CONCATENATE(P209,Q209,S209,R209),TIM[Lowest A-PTX])),MIN(IF(TIM[Load Capability Reference]=CONCATENATE(P209,Q209,S209,R209),IF(TIM[Equipment ID]&lt;&gt;O209,TIM[Lowest A-PTX])))),IF(T209="YES",MIN(IF(TIM[Load Capability Reference]=CONCATENATE(P209,Q209,S209,R209),TIM[Lowest A-No PTX])),MIN(IF(TIM[Load Capability Reference]=CONCATENATE(P209,Q209,S209,R209),IF(TIM[Equipment ID]&lt;&gt;O209,TIM[Lowest A-No PTX])))))</f>
        <v>188.62660722014468</v>
      </c>
      <c r="F209" s="119">
        <f>IFERROR(IFERROR(VLOOKUP(CONCATENATE(P209,Q209,O209,S209,"Protection"),TIM[[OC Protection Reference]:[Forward A]],23,0),VLOOKUP(O209,AEL_Protection_Data[],12,0)),"N/A")</f>
        <v>320</v>
      </c>
      <c r="G209" s="119">
        <f t="shared" si="307"/>
        <v>150</v>
      </c>
      <c r="H209" s="29">
        <f t="shared" si="308"/>
        <v>8.5736514974659421</v>
      </c>
      <c r="I209" s="119">
        <f t="shared" si="309"/>
        <v>165</v>
      </c>
      <c r="J209" s="29">
        <f t="shared" si="322"/>
        <v>9.4310166472125374</v>
      </c>
      <c r="K209" s="6" t="str">
        <f>IF(U209="Yes",UPPER(IF(ISNUMBER(SEARCH("winding",VLOOKUP(CONCATENATE(P209,Q209,S209,E209),TIM[[Limiting Equipment Reference-PTX]:[Summ Equipment]],7,0))),"Power Transformer Rating at "&amp;ROUND(E209*S209*SQRT(3)/1000,2)&amp;" MVA",VLOOKUP(CONCATENATE(P209,Q209,S209,E209),TIM[[Limiting Equipment Reference-No PTX]:[Summ Equipment]],8,0))),UPPER(VLOOKUP(CONCATENATE(P209,Q209,S209,E209),TIM[[Limiting Equipment Reference-No PTX]:[Summ Equipment]],8,0)))</f>
        <v>OH LINE-MINK</v>
      </c>
      <c r="L209" s="146" t="s">
        <v>1266</v>
      </c>
      <c r="M209" s="509" t="s">
        <v>1162</v>
      </c>
      <c r="O209" s="118" t="str">
        <f t="shared" si="311"/>
        <v>PAR-CB2382</v>
      </c>
      <c r="P209" s="49" t="s">
        <v>1245</v>
      </c>
      <c r="Q209" s="49" t="s">
        <v>168</v>
      </c>
      <c r="R209" s="386" t="s">
        <v>307</v>
      </c>
      <c r="S209" s="43">
        <v>33</v>
      </c>
      <c r="T209" s="146" t="s">
        <v>1266</v>
      </c>
      <c r="U209" s="146" t="s">
        <v>1266</v>
      </c>
      <c r="V209" s="487"/>
      <c r="X209" s="498" t="s">
        <v>2835</v>
      </c>
      <c r="Y209" s="431" t="s">
        <v>2925</v>
      </c>
      <c r="Z209" s="432">
        <v>400</v>
      </c>
      <c r="AA209" s="441" t="str">
        <f t="shared" si="323"/>
        <v>q</v>
      </c>
      <c r="AB209" s="134">
        <f t="shared" si="313"/>
        <v>0</v>
      </c>
      <c r="AC209" s="134">
        <f t="shared" si="314"/>
        <v>0</v>
      </c>
      <c r="AD209" s="134">
        <f t="shared" si="315"/>
        <v>211.37339277985532</v>
      </c>
      <c r="AE209" s="134">
        <f t="shared" si="316"/>
        <v>12.081612036876422</v>
      </c>
      <c r="AF209" s="432">
        <v>320</v>
      </c>
      <c r="AG209" s="436" t="str">
        <f t="shared" si="324"/>
        <v>u</v>
      </c>
      <c r="AH209" s="134">
        <f t="shared" si="318"/>
        <v>0</v>
      </c>
      <c r="AI209" s="134">
        <f t="shared" si="319"/>
        <v>0</v>
      </c>
      <c r="AJ209" s="134">
        <f t="shared" si="320"/>
        <v>0</v>
      </c>
      <c r="AK209" s="134">
        <f t="shared" si="321"/>
        <v>0</v>
      </c>
      <c r="AL209" s="470" t="s">
        <v>1266</v>
      </c>
    </row>
    <row r="210" spans="1:39" hidden="1" x14ac:dyDescent="0.25">
      <c r="B210" s="124" t="s">
        <v>2464</v>
      </c>
      <c r="C210" s="168" t="s">
        <v>2730</v>
      </c>
      <c r="D210" s="119">
        <f t="shared" si="325"/>
        <v>11</v>
      </c>
      <c r="E210" s="370">
        <v>1250</v>
      </c>
      <c r="F210" s="119">
        <f>IFERROR(IFERROR(VLOOKUP(CONCATENATE(P210,Q210,O210,S210,"Protection"),TIM[[OC Protection Reference]:[Forward A]],23,0),VLOOKUP(O210,AEL_Protection_Data[],12,0)),"N/A")</f>
        <v>520</v>
      </c>
      <c r="G210" s="119">
        <f t="shared" si="307"/>
        <v>415</v>
      </c>
      <c r="H210" s="29">
        <f t="shared" si="308"/>
        <v>8.0649481752829626</v>
      </c>
      <c r="I210" s="119">
        <f t="shared" si="309"/>
        <v>465</v>
      </c>
      <c r="J210" s="29">
        <f t="shared" si="322"/>
        <v>9.0366286783291034</v>
      </c>
      <c r="K210" s="6" t="s">
        <v>2725</v>
      </c>
      <c r="L210" s="146" t="s">
        <v>1266</v>
      </c>
      <c r="M210" s="509" t="s">
        <v>1162</v>
      </c>
      <c r="O210" s="118" t="str">
        <f t="shared" si="311"/>
        <v>PAR-CB31</v>
      </c>
      <c r="P210" s="49" t="s">
        <v>1246</v>
      </c>
      <c r="Q210" s="49" t="s">
        <v>202</v>
      </c>
      <c r="R210" s="386"/>
      <c r="S210" s="43">
        <v>11.22</v>
      </c>
      <c r="T210" s="146" t="s">
        <v>1266</v>
      </c>
      <c r="U210" s="146" t="s">
        <v>1266</v>
      </c>
      <c r="V210" s="487" t="s">
        <v>2823</v>
      </c>
      <c r="X210" s="498" t="s">
        <v>2464</v>
      </c>
      <c r="Y210" s="431" t="s">
        <v>2730</v>
      </c>
      <c r="Z210" s="432">
        <v>1250</v>
      </c>
      <c r="AA210" s="441" t="str">
        <f t="shared" si="323"/>
        <v>u</v>
      </c>
      <c r="AB210" s="134">
        <f t="shared" si="313"/>
        <v>0</v>
      </c>
      <c r="AC210" s="134">
        <f t="shared" si="314"/>
        <v>0</v>
      </c>
      <c r="AD210" s="134">
        <f t="shared" si="315"/>
        <v>0</v>
      </c>
      <c r="AE210" s="134">
        <f t="shared" si="316"/>
        <v>0</v>
      </c>
      <c r="AF210" s="432">
        <v>520</v>
      </c>
      <c r="AG210" s="436" t="str">
        <f t="shared" si="324"/>
        <v>u</v>
      </c>
      <c r="AH210" s="134">
        <f t="shared" si="318"/>
        <v>0</v>
      </c>
      <c r="AI210" s="134">
        <f t="shared" si="319"/>
        <v>0</v>
      </c>
      <c r="AJ210" s="134">
        <f t="shared" si="320"/>
        <v>0</v>
      </c>
      <c r="AK210" s="134">
        <f t="shared" si="321"/>
        <v>0</v>
      </c>
      <c r="AL210" s="470" t="s">
        <v>1266</v>
      </c>
    </row>
    <row r="211" spans="1:39" hidden="1" x14ac:dyDescent="0.25">
      <c r="B211" s="124" t="s">
        <v>587</v>
      </c>
      <c r="C211" s="168" t="s">
        <v>2641</v>
      </c>
      <c r="D211" s="119">
        <f t="shared" si="325"/>
        <v>11</v>
      </c>
      <c r="E211" s="370">
        <f t="array" ref="E211">IF(U211="YES",IF(T211="YES",MIN(IF(TIM[Load Capability Reference]=CONCATENATE(P211,Q211,S211,R211),TIM[Lowest A-PTX])),MIN(IF(TIM[Load Capability Reference]=CONCATENATE(P211,Q211,S211,R211),IF(TIM[Equipment ID]&lt;&gt;O211,TIM[Lowest A-PTX])))),IF(T211="YES",MIN(IF(TIM[Load Capability Reference]=CONCATENATE(P211,Q211,S211,R211),TIM[Lowest A-No PTX])),MIN(IF(TIM[Load Capability Reference]=CONCATENATE(P211,Q211,S211,R211),IF(TIM[Equipment ID]&lt;&gt;O211,TIM[Lowest A-No PTX])))))</f>
        <v>771.85864864923235</v>
      </c>
      <c r="F211" s="119">
        <f>IFERROR(IFERROR(VLOOKUP(CONCATENATE(P211,Q211,O211,S211,"Protection"),TIM[[OC Protection Reference]:[Forward A]],23,0),VLOOKUP(O211,AEL_Protection_Data[],12,0)),"N/A")</f>
        <v>950</v>
      </c>
      <c r="G211" s="119">
        <f t="shared" si="307"/>
        <v>615</v>
      </c>
      <c r="H211" s="29">
        <f t="shared" si="308"/>
        <v>11.951670187467524</v>
      </c>
      <c r="I211" s="119">
        <f t="shared" si="309"/>
        <v>690</v>
      </c>
      <c r="J211" s="29">
        <f t="shared" si="322"/>
        <v>13.409190942036734</v>
      </c>
      <c r="K211" s="6" t="str">
        <f>IF(U211="Yes",UPPER(IF(ISNUMBER(SEARCH("winding",VLOOKUP(CONCATENATE(P211,Q211,S211,E211),TIM[[Limiting Equipment Reference-PTX]:[Summ Equipment]],7,0))),"Power Transformer Rating at "&amp;ROUND(E211*S211*SQRT(3)/1000,2)&amp;" MVA",VLOOKUP(CONCATENATE(P211,Q211,S211,E211),TIM[[Limiting Equipment Reference-No PTX]:[Summ Equipment]],8,0))),UPPER(VLOOKUP(CONCATENATE(P211,Q211,S211,E211),TIM[[Limiting Equipment Reference-No PTX]:[Summ Equipment]],8,0)))</f>
        <v>POWER TRANSFORMER RATING AT 15 MVA</v>
      </c>
      <c r="L211" s="146" t="s">
        <v>1266</v>
      </c>
      <c r="M211" s="509" t="s">
        <v>1162</v>
      </c>
      <c r="O211" s="118" t="str">
        <f t="shared" si="311"/>
        <v>PAR-CB35</v>
      </c>
      <c r="P211" s="49" t="s">
        <v>1246</v>
      </c>
      <c r="Q211" s="49" t="s">
        <v>202</v>
      </c>
      <c r="R211" s="386" t="s">
        <v>378</v>
      </c>
      <c r="S211" s="43">
        <v>11.22</v>
      </c>
      <c r="T211" s="146" t="s">
        <v>1266</v>
      </c>
      <c r="U211" s="146" t="s">
        <v>1267</v>
      </c>
      <c r="V211" s="487"/>
      <c r="X211" s="498" t="s">
        <v>587</v>
      </c>
      <c r="Y211" s="431" t="s">
        <v>2641</v>
      </c>
      <c r="Z211" s="432">
        <v>800</v>
      </c>
      <c r="AA211" s="441" t="str">
        <f t="shared" si="323"/>
        <v>q</v>
      </c>
      <c r="AB211" s="134">
        <f t="shared" si="313"/>
        <v>0</v>
      </c>
      <c r="AC211" s="134">
        <f t="shared" si="314"/>
        <v>0</v>
      </c>
      <c r="AD211" s="134">
        <f t="shared" si="315"/>
        <v>28.14135135076765</v>
      </c>
      <c r="AE211" s="134">
        <f t="shared" si="316"/>
        <v>0.54688804873824171</v>
      </c>
      <c r="AF211" s="432">
        <v>950</v>
      </c>
      <c r="AG211" s="436" t="str">
        <f t="shared" si="324"/>
        <v>u</v>
      </c>
      <c r="AH211" s="134">
        <f t="shared" si="318"/>
        <v>0</v>
      </c>
      <c r="AI211" s="134">
        <f t="shared" si="319"/>
        <v>0</v>
      </c>
      <c r="AJ211" s="134">
        <f t="shared" si="320"/>
        <v>0</v>
      </c>
      <c r="AK211" s="134">
        <f t="shared" si="321"/>
        <v>0</v>
      </c>
      <c r="AL211" s="470" t="s">
        <v>1266</v>
      </c>
    </row>
    <row r="212" spans="1:39" hidden="1" x14ac:dyDescent="0.25">
      <c r="B212" s="123" t="s">
        <v>588</v>
      </c>
      <c r="C212" s="6" t="s">
        <v>2642</v>
      </c>
      <c r="D212" s="119">
        <f t="shared" si="325"/>
        <v>11</v>
      </c>
      <c r="E212" s="370">
        <f t="array" ref="E212">IF(U212="YES",IF(T212="YES",MIN(IF(TIM[Load Capability Reference]=CONCATENATE(P212,Q212,S212,R212),TIM[Lowest A-PTX])),MIN(IF(TIM[Load Capability Reference]=CONCATENATE(P212,Q212,S212,R212),IF(TIM[Equipment ID]&lt;&gt;O212,TIM[Lowest A-PTX])))),IF(T212="YES",MIN(IF(TIM[Load Capability Reference]=CONCATENATE(P212,Q212,S212,R212),TIM[Lowest A-No PTX])),MIN(IF(TIM[Load Capability Reference]=CONCATENATE(P212,Q212,S212,R212),IF(TIM[Equipment ID]&lt;&gt;O212,TIM[Lowest A-No PTX])))))</f>
        <v>771.85864864923235</v>
      </c>
      <c r="F212" s="119">
        <f>IFERROR(IFERROR(VLOOKUP(CONCATENATE(P212,Q212,O212,S212,"Protection"),TIM[[OC Protection Reference]:[Forward A]],23,0),VLOOKUP(O212,AEL_Protection_Data[],12,0)),"N/A")</f>
        <v>950</v>
      </c>
      <c r="G212" s="119">
        <f t="shared" si="307"/>
        <v>615</v>
      </c>
      <c r="H212" s="29">
        <f t="shared" si="308"/>
        <v>11.951670187467524</v>
      </c>
      <c r="I212" s="119">
        <f t="shared" si="309"/>
        <v>690</v>
      </c>
      <c r="J212" s="29">
        <f t="shared" si="322"/>
        <v>13.409190942036734</v>
      </c>
      <c r="K212" s="6" t="str">
        <f>IF(U212="Yes",UPPER(IF(ISNUMBER(SEARCH("winding",VLOOKUP(CONCATENATE(P212,Q212,S212,E212),TIM[[Limiting Equipment Reference-PTX]:[Summ Equipment]],7,0))),"Power Transformer Rating at "&amp;ROUND(E212*S212*SQRT(3)/1000,2)&amp;" MVA",VLOOKUP(CONCATENATE(P212,Q212,S212,E212),TIM[[Limiting Equipment Reference-No PTX]:[Summ Equipment]],8,0))),UPPER(VLOOKUP(CONCATENATE(P212,Q212,S212,E212),TIM[[Limiting Equipment Reference-No PTX]:[Summ Equipment]],8,0)))</f>
        <v>POWER TRANSFORMER RATING AT 15 MVA</v>
      </c>
      <c r="L212" s="146" t="s">
        <v>1266</v>
      </c>
      <c r="M212" s="509" t="s">
        <v>1162</v>
      </c>
      <c r="O212" s="118" t="str">
        <f t="shared" ref="O212:O217" si="326">"PAR-"&amp;B212</f>
        <v>PAR-CB36</v>
      </c>
      <c r="P212" s="49" t="s">
        <v>1246</v>
      </c>
      <c r="Q212" s="49" t="s">
        <v>202</v>
      </c>
      <c r="R212" s="386" t="s">
        <v>307</v>
      </c>
      <c r="S212" s="43">
        <v>11.22</v>
      </c>
      <c r="T212" s="146" t="s">
        <v>1266</v>
      </c>
      <c r="U212" s="146" t="s">
        <v>1267</v>
      </c>
      <c r="V212" s="487"/>
      <c r="X212" s="499" t="s">
        <v>588</v>
      </c>
      <c r="Y212" s="431" t="s">
        <v>2642</v>
      </c>
      <c r="Z212" s="432">
        <v>800</v>
      </c>
      <c r="AA212" s="441" t="str">
        <f t="shared" si="323"/>
        <v>q</v>
      </c>
      <c r="AB212" s="134">
        <f t="shared" si="313"/>
        <v>0</v>
      </c>
      <c r="AC212" s="134">
        <f t="shared" si="314"/>
        <v>0</v>
      </c>
      <c r="AD212" s="134">
        <f t="shared" si="315"/>
        <v>28.14135135076765</v>
      </c>
      <c r="AE212" s="134">
        <f t="shared" si="316"/>
        <v>0.54688804873824171</v>
      </c>
      <c r="AF212" s="432">
        <v>950</v>
      </c>
      <c r="AG212" s="436" t="str">
        <f t="shared" si="324"/>
        <v>u</v>
      </c>
      <c r="AH212" s="134">
        <f t="shared" si="318"/>
        <v>0</v>
      </c>
      <c r="AI212" s="134">
        <f t="shared" si="319"/>
        <v>0</v>
      </c>
      <c r="AJ212" s="134">
        <f t="shared" si="320"/>
        <v>0</v>
      </c>
      <c r="AK212" s="134">
        <f t="shared" si="321"/>
        <v>0</v>
      </c>
      <c r="AL212" s="470" t="s">
        <v>1266</v>
      </c>
    </row>
    <row r="213" spans="1:39" hidden="1" x14ac:dyDescent="0.25">
      <c r="B213" s="124" t="s">
        <v>511</v>
      </c>
      <c r="C213" s="168" t="s">
        <v>2731</v>
      </c>
      <c r="D213" s="119">
        <f t="shared" si="325"/>
        <v>11</v>
      </c>
      <c r="E213" s="370">
        <f t="array" ref="E213">IF(U213="YES",IF(T213="YES",MIN(IF(TIM[Load Capability Reference]=CONCATENATE(P213,Q213,S213,R213),TIM[Lowest A-PTX])),MIN(IF(TIM[Load Capability Reference]=CONCATENATE(P213,Q213,S213,R213),IF(TIM[Equipment ID]&lt;&gt;O213,TIM[Lowest A-PTX])))),IF(T213="YES",MIN(IF(TIM[Load Capability Reference]=CONCATENATE(P213,Q213,S213,R213),TIM[Lowest A-No PTX])),MIN(IF(TIM[Load Capability Reference]=CONCATENATE(P213,Q213,S213,R213),IF(TIM[Equipment ID]&lt;&gt;O213,TIM[Lowest A-No PTX])))))</f>
        <v>301.53000000000003</v>
      </c>
      <c r="F213" s="119">
        <f>IFERROR(IFERROR(VLOOKUP(CONCATENATE(P213,Q213,O213,S213,"Protection"),TIM[[OC Protection Reference]:[Forward A]],23,0),VLOOKUP(O213,AEL_Protection_Data[],12,0)),"N/A")</f>
        <v>300</v>
      </c>
      <c r="G213" s="119">
        <f t="shared" si="307"/>
        <v>240</v>
      </c>
      <c r="H213" s="29">
        <f t="shared" si="308"/>
        <v>4.6640664146214732</v>
      </c>
      <c r="I213" s="119">
        <f t="shared" si="309"/>
        <v>270</v>
      </c>
      <c r="J213" s="29">
        <f t="shared" si="322"/>
        <v>5.2470747164491565</v>
      </c>
      <c r="K213" s="6" t="str">
        <f>IF(U213="Yes",UPPER(IF(ISNUMBER(SEARCH("winding",VLOOKUP(CONCATENATE(P213,Q213,S213,E213),TIM[[Limiting Equipment Reference-PTX]:[Summ Equipment]],7,0))),"Power Transformer Rating at "&amp;ROUND(E213*S213*SQRT(3)/1000,2)&amp;" MVA",VLOOKUP(CONCATENATE(P213,Q213,S213,E213),TIM[[Limiting Equipment Reference-No PTX]:[Summ Equipment]],8,0))),UPPER(VLOOKUP(CONCATENATE(P213,Q213,S213,E213),TIM[[Limiting Equipment Reference-No PTX]:[Summ Equipment]],8,0)))</f>
        <v>CABLE-3C 240MM²  AL PILC DSTA</v>
      </c>
      <c r="L213" s="146" t="s">
        <v>1267</v>
      </c>
      <c r="M213" s="509" t="s">
        <v>1266</v>
      </c>
      <c r="O213" s="118" t="str">
        <f t="shared" si="326"/>
        <v>PAR-CB3</v>
      </c>
      <c r="P213" s="49" t="s">
        <v>1276</v>
      </c>
      <c r="Q213" s="49" t="s">
        <v>2853</v>
      </c>
      <c r="R213" s="386"/>
      <c r="S213" s="43">
        <v>11.22</v>
      </c>
      <c r="T213" s="146" t="s">
        <v>1266</v>
      </c>
      <c r="U213" s="146" t="s">
        <v>1266</v>
      </c>
      <c r="V213" s="487"/>
      <c r="X213" s="498" t="s">
        <v>511</v>
      </c>
      <c r="Y213" s="431" t="s">
        <v>2731</v>
      </c>
      <c r="Z213" s="432">
        <v>300</v>
      </c>
      <c r="AA213" s="441" t="str">
        <f t="shared" si="323"/>
        <v>p</v>
      </c>
      <c r="AB213" s="134">
        <f t="shared" si="313"/>
        <v>1.5300000000000296</v>
      </c>
      <c r="AC213" s="134">
        <f t="shared" si="314"/>
        <v>2.9733423393212464E-2</v>
      </c>
      <c r="AD213" s="134">
        <f t="shared" si="315"/>
        <v>0</v>
      </c>
      <c r="AE213" s="134">
        <f t="shared" si="316"/>
        <v>0</v>
      </c>
      <c r="AF213" s="432">
        <v>300</v>
      </c>
      <c r="AG213" s="436" t="str">
        <f t="shared" si="324"/>
        <v>u</v>
      </c>
      <c r="AH213" s="134">
        <f t="shared" si="318"/>
        <v>0</v>
      </c>
      <c r="AI213" s="134">
        <f t="shared" si="319"/>
        <v>0</v>
      </c>
      <c r="AJ213" s="134">
        <f t="shared" si="320"/>
        <v>0</v>
      </c>
      <c r="AK213" s="134">
        <f t="shared" si="321"/>
        <v>0</v>
      </c>
      <c r="AL213" s="470" t="s">
        <v>1266</v>
      </c>
    </row>
    <row r="214" spans="1:39" hidden="1" x14ac:dyDescent="0.25">
      <c r="B214" s="124" t="s">
        <v>498</v>
      </c>
      <c r="C214" s="168" t="s">
        <v>2732</v>
      </c>
      <c r="D214" s="119">
        <f t="shared" si="325"/>
        <v>11</v>
      </c>
      <c r="E214" s="370">
        <f t="array" ref="E214">IF(U214="YES",IF(T214="YES",MIN(IF(TIM[Load Capability Reference]=CONCATENATE(P214,Q214,S214,R214),TIM[Lowest A-PTX])),MIN(IF(TIM[Load Capability Reference]=CONCATENATE(P214,Q214,S214,R214),IF(TIM[Equipment ID]&lt;&gt;O214,TIM[Lowest A-PTX])))),IF(T214="YES",MIN(IF(TIM[Load Capability Reference]=CONCATENATE(P214,Q214,S214,R214),TIM[Lowest A-No PTX])),MIN(IF(TIM[Load Capability Reference]=CONCATENATE(P214,Q214,S214,R214),IF(TIM[Equipment ID]&lt;&gt;O214,TIM[Lowest A-No PTX])))))</f>
        <v>256.85852310343915</v>
      </c>
      <c r="F214" s="119">
        <f>IFERROR(IFERROR(VLOOKUP(CONCATENATE(P214,Q214,O214,S214,"Protection"),TIM[[OC Protection Reference]:[Forward A]],23,0),VLOOKUP(O214,AEL_Protection_Data[],12,0)),"N/A")</f>
        <v>252</v>
      </c>
      <c r="G214" s="119">
        <f t="shared" si="307"/>
        <v>200</v>
      </c>
      <c r="H214" s="29">
        <f t="shared" si="308"/>
        <v>3.8867220121845603</v>
      </c>
      <c r="I214" s="119">
        <f t="shared" si="309"/>
        <v>225</v>
      </c>
      <c r="J214" s="29">
        <f t="shared" si="322"/>
        <v>4.3725622637076302</v>
      </c>
      <c r="K214" s="6" t="str">
        <f>IF(U214="Yes",UPPER(IF(ISNUMBER(SEARCH("winding",VLOOKUP(CONCATENATE(P214,Q214,S214,E214),TIM[[Limiting Equipment Reference-PTX]:[Summ Equipment]],7,0))),"Power Transformer Rating at "&amp;ROUND(E214*S214*SQRT(3)/1000,2)&amp;" MVA",VLOOKUP(CONCATENATE(P214,Q214,S214,E214),TIM[[Limiting Equipment Reference-No PTX]:[Summ Equipment]],8,0))),UPPER(VLOOKUP(CONCATENATE(P214,Q214,S214,E214),TIM[[Limiting Equipment Reference-No PTX]:[Summ Equipment]],8,0)))</f>
        <v>OH LINE-DOG</v>
      </c>
      <c r="L214" s="146" t="s">
        <v>1267</v>
      </c>
      <c r="M214" s="509" t="s">
        <v>1267</v>
      </c>
      <c r="O214" s="118" t="str">
        <f t="shared" si="326"/>
        <v>PAR-CB4</v>
      </c>
      <c r="P214" s="49" t="s">
        <v>1276</v>
      </c>
      <c r="Q214" s="49" t="s">
        <v>208</v>
      </c>
      <c r="R214" s="386"/>
      <c r="S214" s="43">
        <v>11.22</v>
      </c>
      <c r="T214" s="146" t="s">
        <v>1266</v>
      </c>
      <c r="U214" s="146" t="s">
        <v>1266</v>
      </c>
      <c r="V214" s="487"/>
      <c r="X214" s="498" t="s">
        <v>498</v>
      </c>
      <c r="Y214" s="431" t="s">
        <v>2732</v>
      </c>
      <c r="Z214" s="432">
        <v>300</v>
      </c>
      <c r="AA214" s="441" t="str">
        <f t="shared" si="323"/>
        <v>q</v>
      </c>
      <c r="AB214" s="134">
        <f t="shared" si="313"/>
        <v>0</v>
      </c>
      <c r="AC214" s="134">
        <f t="shared" si="314"/>
        <v>0</v>
      </c>
      <c r="AD214" s="134">
        <f t="shared" si="315"/>
        <v>43.141476896560846</v>
      </c>
      <c r="AE214" s="134">
        <f t="shared" si="316"/>
        <v>0.83839463946007353</v>
      </c>
      <c r="AF214" s="432">
        <v>300</v>
      </c>
      <c r="AG214" s="436" t="str">
        <f t="shared" si="324"/>
        <v>q</v>
      </c>
      <c r="AH214" s="134">
        <f t="shared" si="318"/>
        <v>0</v>
      </c>
      <c r="AI214" s="134">
        <f t="shared" si="319"/>
        <v>0</v>
      </c>
      <c r="AJ214" s="134">
        <f t="shared" si="320"/>
        <v>48</v>
      </c>
      <c r="AK214" s="134">
        <f t="shared" si="321"/>
        <v>0.93281328292429466</v>
      </c>
      <c r="AL214" s="470" t="s">
        <v>1267</v>
      </c>
    </row>
    <row r="215" spans="1:39" hidden="1" x14ac:dyDescent="0.25">
      <c r="B215" s="124" t="s">
        <v>592</v>
      </c>
      <c r="C215" s="168" t="s">
        <v>2733</v>
      </c>
      <c r="D215" s="119">
        <f t="shared" si="325"/>
        <v>11</v>
      </c>
      <c r="E215" s="370">
        <f t="array" ref="E215">IF(U215="YES",IF(T215="YES",MIN(IF(TIM[Load Capability Reference]=CONCATENATE(P215,Q215,S215,R215),TIM[Lowest A-PTX])),MIN(IF(TIM[Load Capability Reference]=CONCATENATE(P215,Q215,S215,R215),IF(TIM[Equipment ID]&lt;&gt;O215,TIM[Lowest A-PTX])))),IF(T215="YES",MIN(IF(TIM[Load Capability Reference]=CONCATENATE(P215,Q215,S215,R215),TIM[Lowest A-No PTX])),MIN(IF(TIM[Load Capability Reference]=CONCATENATE(P215,Q215,S215,R215),IF(TIM[Equipment ID]&lt;&gt;O215,TIM[Lowest A-No PTX])))))</f>
        <v>301.53000000000003</v>
      </c>
      <c r="F215" s="119">
        <f>IFERROR(IFERROR(VLOOKUP(CONCATENATE(P215,Q215,O215,S215,"Protection"),TIM[[OC Protection Reference]:[Forward A]],23,0),VLOOKUP(O215,AEL_Protection_Data[],12,0)),"N/A")</f>
        <v>300</v>
      </c>
      <c r="G215" s="119">
        <f t="shared" si="307"/>
        <v>240</v>
      </c>
      <c r="H215" s="29">
        <f t="shared" si="308"/>
        <v>4.6640664146214732</v>
      </c>
      <c r="I215" s="119">
        <f t="shared" si="309"/>
        <v>270</v>
      </c>
      <c r="J215" s="29">
        <f t="shared" si="322"/>
        <v>5.2470747164491565</v>
      </c>
      <c r="K215" s="6" t="str">
        <f>IF(U215="Yes",UPPER(IF(ISNUMBER(SEARCH("winding",VLOOKUP(CONCATENATE(P215,Q215,S215,E215),TIM[[Limiting Equipment Reference-PTX]:[Summ Equipment]],7,0))),"Power Transformer Rating at "&amp;ROUND(E215*S215*SQRT(3)/1000,2)&amp;" MVA",VLOOKUP(CONCATENATE(P215,Q215,S215,E215),TIM[[Limiting Equipment Reference-No PTX]:[Summ Equipment]],8,0))),UPPER(VLOOKUP(CONCATENATE(P215,Q215,S215,E215),TIM[[Limiting Equipment Reference-No PTX]:[Summ Equipment]],8,0)))</f>
        <v>CABLE-3C 240MM²  AL PILC DSTA</v>
      </c>
      <c r="L215" s="146" t="s">
        <v>1267</v>
      </c>
      <c r="M215" s="509" t="s">
        <v>1266</v>
      </c>
      <c r="O215" s="118" t="str">
        <f t="shared" si="326"/>
        <v>PAR-CB5</v>
      </c>
      <c r="P215" s="49" t="s">
        <v>1276</v>
      </c>
      <c r="Q215" s="49" t="s">
        <v>2854</v>
      </c>
      <c r="R215" s="386"/>
      <c r="S215" s="43">
        <v>11.22</v>
      </c>
      <c r="T215" s="146" t="s">
        <v>1266</v>
      </c>
      <c r="U215" s="146" t="s">
        <v>1266</v>
      </c>
      <c r="V215" s="487"/>
      <c r="X215" s="498" t="s">
        <v>592</v>
      </c>
      <c r="Y215" s="431" t="s">
        <v>2733</v>
      </c>
      <c r="Z215" s="432">
        <v>300</v>
      </c>
      <c r="AA215" s="441" t="str">
        <f t="shared" si="323"/>
        <v>p</v>
      </c>
      <c r="AB215" s="134">
        <f t="shared" si="313"/>
        <v>1.5300000000000296</v>
      </c>
      <c r="AC215" s="134">
        <f t="shared" si="314"/>
        <v>2.9733423393212464E-2</v>
      </c>
      <c r="AD215" s="134">
        <f t="shared" si="315"/>
        <v>0</v>
      </c>
      <c r="AE215" s="134">
        <f t="shared" si="316"/>
        <v>0</v>
      </c>
      <c r="AF215" s="432">
        <v>300</v>
      </c>
      <c r="AG215" s="436" t="str">
        <f t="shared" si="324"/>
        <v>u</v>
      </c>
      <c r="AH215" s="134">
        <f t="shared" si="318"/>
        <v>0</v>
      </c>
      <c r="AI215" s="134">
        <f t="shared" si="319"/>
        <v>0</v>
      </c>
      <c r="AJ215" s="134">
        <f t="shared" si="320"/>
        <v>0</v>
      </c>
      <c r="AK215" s="134">
        <f t="shared" si="321"/>
        <v>0</v>
      </c>
      <c r="AL215" s="470" t="s">
        <v>1266</v>
      </c>
    </row>
    <row r="216" spans="1:39" hidden="1" x14ac:dyDescent="0.25">
      <c r="B216" s="124" t="s">
        <v>500</v>
      </c>
      <c r="C216" s="168" t="s">
        <v>2734</v>
      </c>
      <c r="D216" s="119">
        <f t="shared" si="325"/>
        <v>11</v>
      </c>
      <c r="E216" s="370">
        <f t="array" ref="E216">IF(U216="YES",IF(T216="YES",MIN(IF(TIM[Load Capability Reference]=CONCATENATE(P216,Q216,S216,R216),TIM[Lowest A-PTX])),MIN(IF(TIM[Load Capability Reference]=CONCATENATE(P216,Q216,S216,R216),IF(TIM[Equipment ID]&lt;&gt;O216,TIM[Lowest A-PTX])))),IF(T216="YES",MIN(IF(TIM[Load Capability Reference]=CONCATENATE(P216,Q216,S216,R216),TIM[Lowest A-No PTX])),MIN(IF(TIM[Load Capability Reference]=CONCATENATE(P216,Q216,S216,R216),IF(TIM[Equipment ID]&lt;&gt;O216,TIM[Lowest A-No PTX])))))</f>
        <v>204.03986000083358</v>
      </c>
      <c r="F216" s="119">
        <f>IFERROR(IFERROR(VLOOKUP(CONCATENATE(P216,Q216,O216,S216,"Protection"),TIM[[OC Protection Reference]:[Forward A]],23,0),VLOOKUP(O216,AEL_Protection_Data[],12,0)),"N/A")</f>
        <v>252</v>
      </c>
      <c r="G216" s="119">
        <f t="shared" si="307"/>
        <v>160</v>
      </c>
      <c r="H216" s="29">
        <f t="shared" si="308"/>
        <v>3.1093776097476482</v>
      </c>
      <c r="I216" s="119">
        <f t="shared" si="309"/>
        <v>180</v>
      </c>
      <c r="J216" s="29">
        <f t="shared" si="322"/>
        <v>3.4980498109661049</v>
      </c>
      <c r="K216" s="6" t="str">
        <f>IF(U216="Yes",UPPER(IF(ISNUMBER(SEARCH("winding",VLOOKUP(CONCATENATE(P216,Q216,S216,E216),TIM[[Limiting Equipment Reference-PTX]:[Summ Equipment]],7,0))),"Power Transformer Rating at "&amp;ROUND(E216*S216*SQRT(3)/1000,2)&amp;" MVA",VLOOKUP(CONCATENATE(P216,Q216,S216,E216),TIM[[Limiting Equipment Reference-No PTX]:[Summ Equipment]],8,0))),UPPER(VLOOKUP(CONCATENATE(P216,Q216,S216,E216),TIM[[Limiting Equipment Reference-No PTX]:[Summ Equipment]],8,0)))</f>
        <v>OH LINE-RANGO</v>
      </c>
      <c r="L216" s="146" t="s">
        <v>1267</v>
      </c>
      <c r="M216" s="509" t="s">
        <v>1267</v>
      </c>
      <c r="O216" s="118" t="str">
        <f t="shared" si="326"/>
        <v>PAR-CB6</v>
      </c>
      <c r="P216" s="49" t="s">
        <v>1276</v>
      </c>
      <c r="Q216" s="49" t="s">
        <v>214</v>
      </c>
      <c r="R216" s="386"/>
      <c r="S216" s="43">
        <v>11.22</v>
      </c>
      <c r="T216" s="146" t="s">
        <v>1266</v>
      </c>
      <c r="U216" s="146" t="s">
        <v>1266</v>
      </c>
      <c r="V216" s="487"/>
      <c r="X216" s="498" t="s">
        <v>500</v>
      </c>
      <c r="Y216" s="431" t="s">
        <v>2734</v>
      </c>
      <c r="Z216" s="432">
        <v>300</v>
      </c>
      <c r="AA216" s="441" t="str">
        <f t="shared" si="323"/>
        <v>q</v>
      </c>
      <c r="AB216" s="134">
        <f t="shared" si="313"/>
        <v>0</v>
      </c>
      <c r="AC216" s="134">
        <f t="shared" si="314"/>
        <v>0</v>
      </c>
      <c r="AD216" s="134">
        <f t="shared" si="315"/>
        <v>95.960139999166415</v>
      </c>
      <c r="AE216" s="134">
        <f t="shared" si="316"/>
        <v>1.8648519421353613</v>
      </c>
      <c r="AF216" s="432">
        <v>350</v>
      </c>
      <c r="AG216" s="436" t="str">
        <f t="shared" si="324"/>
        <v>q</v>
      </c>
      <c r="AH216" s="134">
        <f t="shared" si="318"/>
        <v>0</v>
      </c>
      <c r="AI216" s="134">
        <f t="shared" si="319"/>
        <v>0</v>
      </c>
      <c r="AJ216" s="134">
        <f t="shared" si="320"/>
        <v>98</v>
      </c>
      <c r="AK216" s="134">
        <f t="shared" si="321"/>
        <v>1.9044937859704347</v>
      </c>
      <c r="AL216" s="470" t="s">
        <v>1267</v>
      </c>
    </row>
    <row r="217" spans="1:39" ht="15.75" hidden="1" thickBot="1" x14ac:dyDescent="0.3">
      <c r="B217" s="401" t="s">
        <v>512</v>
      </c>
      <c r="C217" s="375" t="s">
        <v>2735</v>
      </c>
      <c r="D217" s="377">
        <f t="shared" si="325"/>
        <v>11</v>
      </c>
      <c r="E217" s="384">
        <f t="array" ref="E217">IF(U217="YES",IF(T217="YES",MIN(IF(TIM[Load Capability Reference]=CONCATENATE(P217,Q217,S217,R217),TIM[Lowest A-PTX])),MIN(IF(TIM[Load Capability Reference]=CONCATENATE(P217,Q217,S217,R217),IF(TIM[Equipment ID]&lt;&gt;O217,TIM[Lowest A-PTX])))),IF(T217="YES",MIN(IF(TIM[Load Capability Reference]=CONCATENATE(P217,Q217,S217,R217),TIM[Lowest A-No PTX])),MIN(IF(TIM[Load Capability Reference]=CONCATENATE(P217,Q217,S217,R217),IF(TIM[Equipment ID]&lt;&gt;O217,TIM[Lowest A-No PTX])))))</f>
        <v>188.62660722014468</v>
      </c>
      <c r="F217" s="377">
        <f>IFERROR(IFERROR(VLOOKUP(CONCATENATE(P217,Q217,O217,S217,"Protection"),TIM[[OC Protection Reference]:[Forward A]],23,0),VLOOKUP(O217,AEL_Protection_Data[],12,0)),"N/A")</f>
        <v>252</v>
      </c>
      <c r="G217" s="377">
        <f t="shared" si="307"/>
        <v>150</v>
      </c>
      <c r="H217" s="185">
        <f t="shared" si="308"/>
        <v>2.9150415091384203</v>
      </c>
      <c r="I217" s="377">
        <f t="shared" si="309"/>
        <v>165</v>
      </c>
      <c r="J217" s="185">
        <f t="shared" si="322"/>
        <v>3.2065456600522624</v>
      </c>
      <c r="K217" s="191" t="str">
        <f>IF(U217="Yes",UPPER(IF(ISNUMBER(SEARCH("winding",VLOOKUP(CONCATENATE(P217,Q217,S217,E217),TIM[[Limiting Equipment Reference-PTX]:[Summ Equipment]],7,0))),"Power Transformer Rating at "&amp;ROUND(E217*S217*SQRT(3)/1000,2)&amp;" MVA",VLOOKUP(CONCATENATE(P217,Q217,S217,E217),TIM[[Limiting Equipment Reference-No PTX]:[Summ Equipment]],8,0))),UPPER(VLOOKUP(CONCATENATE(P217,Q217,S217,E217),TIM[[Limiting Equipment Reference-No PTX]:[Summ Equipment]],8,0)))</f>
        <v>OH LINE-MINK</v>
      </c>
      <c r="L217" s="379" t="s">
        <v>1267</v>
      </c>
      <c r="M217" s="511" t="s">
        <v>1267</v>
      </c>
      <c r="O217" s="514" t="str">
        <f t="shared" si="326"/>
        <v>PAR-CB7</v>
      </c>
      <c r="P217" s="374" t="s">
        <v>1276</v>
      </c>
      <c r="Q217" s="374" t="s">
        <v>217</v>
      </c>
      <c r="R217" s="387"/>
      <c r="S217" s="175">
        <v>11.22</v>
      </c>
      <c r="T217" s="379" t="s">
        <v>1266</v>
      </c>
      <c r="U217" s="379" t="s">
        <v>1266</v>
      </c>
      <c r="V217" s="488"/>
      <c r="X217" s="500" t="s">
        <v>512</v>
      </c>
      <c r="Y217" s="433" t="s">
        <v>2735</v>
      </c>
      <c r="Z217" s="434">
        <v>300</v>
      </c>
      <c r="AA217" s="442" t="str">
        <f t="shared" si="323"/>
        <v>q</v>
      </c>
      <c r="AB217" s="451">
        <f t="shared" si="313"/>
        <v>0</v>
      </c>
      <c r="AC217" s="451">
        <f t="shared" si="314"/>
        <v>0</v>
      </c>
      <c r="AD217" s="451">
        <f t="shared" si="315"/>
        <v>111.37339277985532</v>
      </c>
      <c r="AE217" s="451">
        <f t="shared" si="316"/>
        <v>2.1643870864457035</v>
      </c>
      <c r="AF217" s="434">
        <v>350</v>
      </c>
      <c r="AG217" s="437" t="str">
        <f t="shared" si="324"/>
        <v>q</v>
      </c>
      <c r="AH217" s="451">
        <f t="shared" si="318"/>
        <v>0</v>
      </c>
      <c r="AI217" s="451">
        <f t="shared" si="319"/>
        <v>0</v>
      </c>
      <c r="AJ217" s="451">
        <f t="shared" si="320"/>
        <v>98</v>
      </c>
      <c r="AK217" s="451">
        <f t="shared" si="321"/>
        <v>1.9044937859704347</v>
      </c>
      <c r="AL217" s="471" t="s">
        <v>1267</v>
      </c>
    </row>
    <row r="218" spans="1:39" hidden="1" x14ac:dyDescent="0.25">
      <c r="X218" s="427" t="s">
        <v>202</v>
      </c>
      <c r="AB218" s="449">
        <f>SUM(AB204:AB217)</f>
        <v>186.6400000000001</v>
      </c>
      <c r="AC218" s="449">
        <f t="shared" ref="AC218:AE218" si="327">SUM(AC204:AC217)</f>
        <v>10.552473126151744</v>
      </c>
      <c r="AD218" s="449">
        <f t="shared" si="327"/>
        <v>721.53110515697313</v>
      </c>
      <c r="AE218" s="449">
        <f t="shared" si="327"/>
        <v>29.66889323295786</v>
      </c>
      <c r="AH218" s="449">
        <f>SUM(AH204:AH217)</f>
        <v>0</v>
      </c>
      <c r="AI218" s="449">
        <f t="shared" ref="AI218:AK218" si="328">SUM(AI204:AI217)</f>
        <v>0</v>
      </c>
      <c r="AJ218" s="449">
        <f t="shared" si="328"/>
        <v>244</v>
      </c>
      <c r="AK218" s="449">
        <f t="shared" si="328"/>
        <v>4.741800854865164</v>
      </c>
    </row>
    <row r="219" spans="1:39" ht="27" hidden="1" thickBot="1" x14ac:dyDescent="0.3">
      <c r="B219" s="551" t="s">
        <v>2736</v>
      </c>
      <c r="C219" s="552"/>
      <c r="D219" s="552"/>
      <c r="E219" s="552"/>
      <c r="F219" s="552"/>
      <c r="G219" s="552"/>
      <c r="H219" s="552"/>
      <c r="I219" s="552"/>
      <c r="J219" s="552"/>
      <c r="K219" s="552"/>
      <c r="L219" s="552"/>
      <c r="M219" s="553"/>
      <c r="O219" s="551" t="s">
        <v>2391</v>
      </c>
      <c r="P219" s="552"/>
      <c r="Q219" s="552"/>
      <c r="R219" s="552"/>
      <c r="S219" s="552"/>
      <c r="T219" s="552"/>
      <c r="U219" s="552"/>
      <c r="V219" s="553"/>
      <c r="X219" s="586" t="str">
        <f>B219&amp;"-OLD"</f>
        <v>PLEASANT POINT (B1212)-OLD</v>
      </c>
      <c r="Y219" s="587"/>
      <c r="Z219" s="587"/>
      <c r="AA219" s="587"/>
      <c r="AB219" s="587"/>
      <c r="AC219" s="587"/>
      <c r="AD219" s="587"/>
      <c r="AE219" s="587"/>
      <c r="AF219" s="587"/>
      <c r="AG219" s="587"/>
      <c r="AH219" s="587"/>
      <c r="AI219" s="587"/>
      <c r="AJ219" s="587"/>
      <c r="AK219" s="587"/>
      <c r="AL219" s="588"/>
      <c r="AM219" s="481"/>
    </row>
    <row r="220" spans="1:39" ht="15.75" hidden="1" thickBot="1" x14ac:dyDescent="0.3">
      <c r="B220" s="571" t="str">
        <f t="shared" ref="B220:G220" si="329">B6</f>
        <v>CB ID</v>
      </c>
      <c r="C220" s="545" t="str">
        <f t="shared" si="329"/>
        <v>DESIGNATION</v>
      </c>
      <c r="D220" s="382" t="str">
        <f t="shared" si="329"/>
        <v>Rated</v>
      </c>
      <c r="E220" s="572" t="str">
        <f t="shared" si="329"/>
        <v>LOAD
CAPABILITY</v>
      </c>
      <c r="F220" s="572" t="str">
        <f t="shared" si="329"/>
        <v>OC
PICKUP</v>
      </c>
      <c r="G220" s="559" t="str">
        <f t="shared" si="329"/>
        <v>SCADA ALARM</v>
      </c>
      <c r="H220" s="560"/>
      <c r="I220" s="560"/>
      <c r="J220" s="561"/>
      <c r="K220" s="574" t="str">
        <f>K6</f>
        <v>LIMITING EQUIPMENT</v>
      </c>
      <c r="L220" s="575" t="str">
        <f>L6</f>
        <v>RECLOSING</v>
      </c>
      <c r="M220" s="576"/>
      <c r="O220" s="554" t="str">
        <f t="shared" ref="O220:V220" si="330">O6</f>
        <v>OC Pick up
Reference ID</v>
      </c>
      <c r="P220" s="557" t="str">
        <f t="shared" si="330"/>
        <v>Supply Level</v>
      </c>
      <c r="Q220" s="566" t="str">
        <f t="shared" si="330"/>
        <v>Station/Feeder</v>
      </c>
      <c r="R220" s="567" t="str">
        <f t="shared" si="330"/>
        <v>Refered
to PTX</v>
      </c>
      <c r="S220" s="569" t="str">
        <f t="shared" si="330"/>
        <v>Voltage</v>
      </c>
      <c r="T220" s="539" t="str">
        <f t="shared" si="330"/>
        <v>Include
CB</v>
      </c>
      <c r="U220" s="539" t="str">
        <f t="shared" si="330"/>
        <v>Include
PTX</v>
      </c>
      <c r="V220" s="542" t="str">
        <f t="shared" si="330"/>
        <v>Notes</v>
      </c>
      <c r="X220" s="585" t="s">
        <v>1260</v>
      </c>
      <c r="Y220" s="545" t="s">
        <v>1261</v>
      </c>
      <c r="Z220" s="559" t="s">
        <v>2749</v>
      </c>
      <c r="AA220" s="560"/>
      <c r="AB220" s="560"/>
      <c r="AC220" s="560"/>
      <c r="AD220" s="560"/>
      <c r="AE220" s="561"/>
      <c r="AF220" s="559" t="s">
        <v>1268</v>
      </c>
      <c r="AG220" s="560"/>
      <c r="AH220" s="560"/>
      <c r="AI220" s="560"/>
      <c r="AJ220" s="560"/>
      <c r="AK220" s="561"/>
      <c r="AL220" s="546" t="s">
        <v>2857</v>
      </c>
      <c r="AM220" s="466"/>
    </row>
    <row r="221" spans="1:39" ht="15.75" hidden="1" thickBot="1" x14ac:dyDescent="0.3">
      <c r="B221" s="557"/>
      <c r="C221" s="540"/>
      <c r="D221" s="362" t="str">
        <f>D7</f>
        <v>Voltage</v>
      </c>
      <c r="E221" s="573"/>
      <c r="F221" s="573"/>
      <c r="G221" s="544" t="str">
        <f>G7</f>
        <v>Pre-Emergency</v>
      </c>
      <c r="H221" s="544"/>
      <c r="I221" s="544" t="str">
        <f>I7</f>
        <v>Emergency</v>
      </c>
      <c r="J221" s="544"/>
      <c r="K221" s="540"/>
      <c r="L221" s="545" t="str">
        <f>L7</f>
        <v>AVAILABLE</v>
      </c>
      <c r="M221" s="546" t="str">
        <f>M7</f>
        <v>UTILISED</v>
      </c>
      <c r="O221" s="555"/>
      <c r="P221" s="557"/>
      <c r="Q221" s="557"/>
      <c r="R221" s="567"/>
      <c r="S221" s="569"/>
      <c r="T221" s="540"/>
      <c r="U221" s="540"/>
      <c r="V221" s="542"/>
      <c r="X221" s="555"/>
      <c r="Y221" s="540"/>
      <c r="Z221" s="589"/>
      <c r="AA221" s="590"/>
      <c r="AB221" s="590"/>
      <c r="AC221" s="590"/>
      <c r="AD221" s="590"/>
      <c r="AE221" s="591"/>
      <c r="AF221" s="589"/>
      <c r="AG221" s="590"/>
      <c r="AH221" s="590"/>
      <c r="AI221" s="590"/>
      <c r="AJ221" s="590"/>
      <c r="AK221" s="591"/>
      <c r="AL221" s="577"/>
      <c r="AM221" s="466"/>
    </row>
    <row r="222" spans="1:39" ht="15.75" hidden="1" thickBot="1" x14ac:dyDescent="0.3">
      <c r="B222" s="558"/>
      <c r="C222" s="541"/>
      <c r="D222" s="345" t="str">
        <f>D8</f>
        <v>(kV)</v>
      </c>
      <c r="E222" s="345" t="str">
        <f>E8</f>
        <v>(A)</v>
      </c>
      <c r="F222" s="345" t="str">
        <f>F8</f>
        <v>(A)</v>
      </c>
      <c r="G222" s="406" t="str">
        <f>G8</f>
        <v>(A)</v>
      </c>
      <c r="H222" s="407" t="str">
        <f>H8</f>
        <v>(MVA)</v>
      </c>
      <c r="I222" s="406" t="str">
        <f>I8</f>
        <v>(A)</v>
      </c>
      <c r="J222" s="407" t="str">
        <f>J8</f>
        <v>(MVA)</v>
      </c>
      <c r="K222" s="541"/>
      <c r="L222" s="541"/>
      <c r="M222" s="547"/>
      <c r="O222" s="556"/>
      <c r="P222" s="558"/>
      <c r="Q222" s="558"/>
      <c r="R222" s="568"/>
      <c r="S222" s="570"/>
      <c r="T222" s="541"/>
      <c r="U222" s="541"/>
      <c r="V222" s="543"/>
      <c r="X222" s="556"/>
      <c r="Y222" s="541"/>
      <c r="Z222" s="428" t="s">
        <v>26</v>
      </c>
      <c r="AA222" s="439" t="s">
        <v>2861</v>
      </c>
      <c r="AB222" s="450" t="s">
        <v>2959</v>
      </c>
      <c r="AC222" s="450" t="s">
        <v>2960</v>
      </c>
      <c r="AD222" s="450" t="s">
        <v>2957</v>
      </c>
      <c r="AE222" s="450" t="s">
        <v>2958</v>
      </c>
      <c r="AF222" s="428" t="s">
        <v>26</v>
      </c>
      <c r="AG222" s="439" t="s">
        <v>2861</v>
      </c>
      <c r="AH222" s="450" t="s">
        <v>2959</v>
      </c>
      <c r="AI222" s="450" t="s">
        <v>2960</v>
      </c>
      <c r="AJ222" s="450" t="s">
        <v>2957</v>
      </c>
      <c r="AK222" s="450" t="s">
        <v>2958</v>
      </c>
      <c r="AL222" s="547"/>
      <c r="AM222" s="466"/>
    </row>
    <row r="223" spans="1:39" hidden="1" x14ac:dyDescent="0.25">
      <c r="B223" s="204" t="s">
        <v>1091</v>
      </c>
      <c r="C223" s="3" t="s">
        <v>2737</v>
      </c>
      <c r="D223" s="61">
        <f t="shared" ref="D223:D226" si="331">ROUNDDOWN(S223,0)</f>
        <v>33</v>
      </c>
      <c r="E223" s="369">
        <f t="array" ref="E223">IF(U223="YES",IF(T223="YES",MIN(IF(TIM[Load Capability Reference]=CONCATENATE(P223,Q223,S223,R223),TIM[Lowest A-PTX])),MIN(IF(TIM[Load Capability Reference]=CONCATENATE(P223,Q223,S223,R223),IF(TIM[Equipment ID]&lt;&gt;O223,TIM[Lowest A-PTX])))),IF(T223="YES",MIN(IF(TIM[Load Capability Reference]=CONCATENATE(P223,Q223,S223,R223),TIM[Lowest A-No PTX])),MIN(IF(TIM[Load Capability Reference]=CONCATENATE(P223,Q223,S223,R223),IF(TIM[Equipment ID]&lt;&gt;O223,TIM[Lowest A-No PTX])))))</f>
        <v>171.44909600000003</v>
      </c>
      <c r="F223" s="61">
        <f>IFERROR(IFERROR(VLOOKUP(CONCATENATE(P223,Q223,O223,S223,"Protection"),TIM[[OC Protection Reference]:[Forward A]],23,0),VLOOKUP(O223,AEL_Protection_Data[],12,0)),"N/A")</f>
        <v>134</v>
      </c>
      <c r="G223" s="61">
        <f t="shared" ref="G223:G228" si="332">IFERROR(FLOOR(MIN(E223:F223)*$D$3,5),"")</f>
        <v>105</v>
      </c>
      <c r="H223" s="5">
        <f t="shared" ref="H223:H228" si="333">G223*S223*SQRT(3)/1000</f>
        <v>6.0015560482261598</v>
      </c>
      <c r="I223" s="61">
        <f t="shared" ref="I223:I228" si="334">IFERROR(FLOOR(MIN(E223:F223)*$D$2,5),"")</f>
        <v>120</v>
      </c>
      <c r="J223" s="5">
        <f t="shared" ref="J223:J228" si="335">I223*S223*SQRT(3)/1000</f>
        <v>6.8589211979727533</v>
      </c>
      <c r="K223" s="3" t="str">
        <f>IF(U223="Yes",UPPER(IF(ISNUMBER(SEARCH("winding",VLOOKUP(CONCATENATE(P223,Q223,S223,E223),TIM[[Limiting Equipment Reference-PTX]:[Summ Equipment]],7,0))),"Power Transformer Rating at "&amp;ROUND(E223*S223*SQRT(3)/1000,2)&amp;" MVA",VLOOKUP(CONCATENATE(P223,Q223,S223,E223),TIM[[Limiting Equipment Reference-No PTX]:[Summ Equipment]],8,0))),UPPER(VLOOKUP(CONCATENATE(P223,Q223,S223,E223),TIM[[Limiting Equipment Reference-No PTX]:[Summ Equipment]],8,0)))</f>
        <v>CABLE-3/1C 95MM² AL XLPE PVC SCREENED</v>
      </c>
      <c r="L223" s="4" t="s">
        <v>1266</v>
      </c>
      <c r="M223" s="508" t="s">
        <v>1162</v>
      </c>
      <c r="O223" s="10" t="str">
        <f>"PLP-"&amp;B223</f>
        <v>PLP-L250</v>
      </c>
      <c r="P223" s="38" t="s">
        <v>1245</v>
      </c>
      <c r="Q223" s="38" t="s">
        <v>169</v>
      </c>
      <c r="R223" s="389"/>
      <c r="S223" s="139">
        <v>33</v>
      </c>
      <c r="T223" s="4" t="s">
        <v>1266</v>
      </c>
      <c r="U223" s="4" t="s">
        <v>1266</v>
      </c>
      <c r="V223" s="486"/>
      <c r="X223" s="501" t="s">
        <v>1091</v>
      </c>
      <c r="Y223" s="429" t="s">
        <v>2926</v>
      </c>
      <c r="Z223" s="430">
        <v>115</v>
      </c>
      <c r="AA223" s="440" t="str">
        <f t="shared" ref="AA223:AA225" si="336">IF(Z223&gt;E223,"q",IF(Z223&lt;E223,"p","u"))</f>
        <v>p</v>
      </c>
      <c r="AB223" s="453">
        <f t="shared" ref="AB223:AB228" si="337">IF(Z223="",0,IF(Z223-E223&lt;0,ABS(Z223-E223),0))</f>
        <v>56.449096000000026</v>
      </c>
      <c r="AC223" s="453">
        <f t="shared" ref="AC223:AC228" si="338">AB223*$S223*SQRT(3)/1000</f>
        <v>3.2264991763399928</v>
      </c>
      <c r="AD223" s="453">
        <f t="shared" ref="AD223:AD228" si="339">IF(Z223="",0,IF(Z223-E223&gt;0,ABS(Z223-E223),0))</f>
        <v>0</v>
      </c>
      <c r="AE223" s="453">
        <f t="shared" ref="AE223:AE228" si="340">AD223*$S223*SQRT(3)/1000</f>
        <v>0</v>
      </c>
      <c r="AF223" s="430">
        <v>186</v>
      </c>
      <c r="AG223" s="435" t="str">
        <f t="shared" ref="AG223:AG225" si="341">IF(AF223&gt;F223,"q",IF(AF223&lt;F223,"p","u"))</f>
        <v>q</v>
      </c>
      <c r="AH223" s="453">
        <f t="shared" ref="AH223:AH228" si="342">IF(AF223="",0,IF(AF223-F223&lt;0,ABS(AF223-F223),0))</f>
        <v>0</v>
      </c>
      <c r="AI223" s="453">
        <f t="shared" ref="AI223:AI228" si="343">AH223*$S223*SQRT(3)/1000</f>
        <v>0</v>
      </c>
      <c r="AJ223" s="453">
        <f t="shared" ref="AJ223:AJ228" si="344">IF(AF223="",0,IF(AF223-F223&gt;0,ABS(AF223-F223),0))</f>
        <v>52</v>
      </c>
      <c r="AK223" s="453">
        <f t="shared" ref="AK223:AK228" si="345">AJ223*$S223*SQRT(3)/1000</f>
        <v>2.9721991857881931</v>
      </c>
      <c r="AL223" s="469" t="s">
        <v>1266</v>
      </c>
    </row>
    <row r="224" spans="1:39" hidden="1" x14ac:dyDescent="0.25">
      <c r="A224" s="517"/>
      <c r="B224" s="124" t="s">
        <v>502</v>
      </c>
      <c r="C224" s="168" t="s">
        <v>2738</v>
      </c>
      <c r="D224" s="119">
        <f t="shared" si="331"/>
        <v>11</v>
      </c>
      <c r="E224" s="370">
        <f t="array" ref="E224">IF(U224="YES",IF(T224="YES",MIN(IF(TIM[Load Capability Reference]=CONCATENATE(P224,Q224,S224,R224),TIM[Lowest A-PTX])),MIN(IF(TIM[Load Capability Reference]=CONCATENATE(P224,Q224,S224,R224),IF(TIM[Equipment ID]&lt;&gt;O224,TIM[Lowest A-PTX])))),IF(T224="YES",MIN(IF(TIM[Load Capability Reference]=CONCATENATE(P224,Q224,S224,R224),TIM[Lowest A-No PTX])),MIN(IF(TIM[Load Capability Reference]=CONCATENATE(P224,Q224,S224,R224),IF(TIM[Equipment ID]&lt;&gt;O224,TIM[Lowest A-No PTX])))))</f>
        <v>148.00000000000003</v>
      </c>
      <c r="F224" s="119">
        <f>IFERROR(IFERROR(VLOOKUP(CONCATENATE(P224,Q224,O224,S224,"Protection"),TIM[[OC Protection Reference]:[Forward A]],23,0),VLOOKUP(O224,AEL_Protection_Data[],12,0)),"N/A")</f>
        <v>252</v>
      </c>
      <c r="G224" s="119">
        <f t="shared" si="332"/>
        <v>115</v>
      </c>
      <c r="H224" s="29">
        <f t="shared" si="333"/>
        <v>2.2348651570061224</v>
      </c>
      <c r="I224" s="119">
        <f t="shared" si="334"/>
        <v>130</v>
      </c>
      <c r="J224" s="29">
        <f t="shared" si="335"/>
        <v>2.5263693079199645</v>
      </c>
      <c r="K224" s="6" t="str">
        <f>IF(U224="Yes",UPPER(IF(ISNUMBER(SEARCH("winding",VLOOKUP(CONCATENATE(P224,Q224,S224,E224),TIM[[Limiting Equipment Reference-PTX]:[Summ Equipment]],7,0))),"Power Transformer Rating at "&amp;ROUND(E224*S224*SQRT(3)/1000,2)&amp;" MVA",VLOOKUP(CONCATENATE(P224,Q224,S224,E224),TIM[[Limiting Equipment Reference-No PTX]:[Summ Equipment]],8,0))),UPPER(VLOOKUP(CONCATENATE(P224,Q224,S224,E224),TIM[[Limiting Equipment Reference-No PTX]:[Summ Equipment]],8,0)))</f>
        <v>OH LINE-FERRET</v>
      </c>
      <c r="L224" s="146" t="s">
        <v>1267</v>
      </c>
      <c r="M224" s="509" t="s">
        <v>1267</v>
      </c>
      <c r="N224" s="517"/>
      <c r="O224" s="118" t="str">
        <f t="shared" ref="O224:O228" si="346">"PLP-"&amp;B224</f>
        <v>PLP-CB1</v>
      </c>
      <c r="P224" s="49" t="s">
        <v>1276</v>
      </c>
      <c r="Q224" s="49" t="s">
        <v>206</v>
      </c>
      <c r="R224" s="386"/>
      <c r="S224" s="43">
        <v>11.22</v>
      </c>
      <c r="T224" s="146" t="s">
        <v>1266</v>
      </c>
      <c r="U224" s="146" t="s">
        <v>1266</v>
      </c>
      <c r="V224" s="487"/>
      <c r="X224" s="498" t="s">
        <v>502</v>
      </c>
      <c r="Y224" s="431" t="s">
        <v>2738</v>
      </c>
      <c r="Z224" s="432">
        <v>180</v>
      </c>
      <c r="AA224" s="441" t="str">
        <f t="shared" si="336"/>
        <v>q</v>
      </c>
      <c r="AB224" s="134">
        <f t="shared" si="337"/>
        <v>0</v>
      </c>
      <c r="AC224" s="134">
        <f t="shared" si="338"/>
        <v>0</v>
      </c>
      <c r="AD224" s="134">
        <f t="shared" si="339"/>
        <v>31.999999999999972</v>
      </c>
      <c r="AE224" s="134">
        <f t="shared" si="340"/>
        <v>0.62187552194952911</v>
      </c>
      <c r="AF224" s="432">
        <v>200</v>
      </c>
      <c r="AG224" s="436" t="str">
        <f t="shared" si="341"/>
        <v>p</v>
      </c>
      <c r="AH224" s="134">
        <f t="shared" si="342"/>
        <v>52</v>
      </c>
      <c r="AI224" s="134">
        <f t="shared" si="343"/>
        <v>1.0105477231679858</v>
      </c>
      <c r="AJ224" s="134">
        <f t="shared" si="344"/>
        <v>0</v>
      </c>
      <c r="AK224" s="134">
        <f t="shared" si="345"/>
        <v>0</v>
      </c>
      <c r="AL224" s="470" t="s">
        <v>1267</v>
      </c>
    </row>
    <row r="225" spans="2:39" hidden="1" x14ac:dyDescent="0.25">
      <c r="B225" s="124" t="s">
        <v>507</v>
      </c>
      <c r="C225" s="168" t="s">
        <v>2739</v>
      </c>
      <c r="D225" s="119">
        <f t="shared" si="331"/>
        <v>11</v>
      </c>
      <c r="E225" s="370">
        <f t="array" ref="E225">IF(U225="YES",IF(T225="YES",MIN(IF(TIM[Load Capability Reference]=CONCATENATE(P225,Q225,S225,R225),TIM[Lowest A-PTX])),MIN(IF(TIM[Load Capability Reference]=CONCATENATE(P225,Q225,S225,R225),IF(TIM[Equipment ID]&lt;&gt;O225,TIM[Lowest A-PTX])))),IF(T225="YES",MIN(IF(TIM[Load Capability Reference]=CONCATENATE(P225,Q225,S225,R225),TIM[Lowest A-No PTX])),MIN(IF(TIM[Load Capability Reference]=CONCATENATE(P225,Q225,S225,R225),IF(TIM[Equipment ID]&lt;&gt;O225,TIM[Lowest A-No PTX])))))</f>
        <v>200.00908125000001</v>
      </c>
      <c r="F225" s="119">
        <f>IFERROR(IFERROR(VLOOKUP(CONCATENATE(P225,Q225,O225,S225,"Protection"),TIM[[OC Protection Reference]:[Forward A]],23,0),VLOOKUP(O225,AEL_Protection_Data[],12,0)),"N/A")</f>
        <v>252</v>
      </c>
      <c r="G225" s="119">
        <f t="shared" si="332"/>
        <v>160</v>
      </c>
      <c r="H225" s="29">
        <f t="shared" si="333"/>
        <v>3.1093776097476482</v>
      </c>
      <c r="I225" s="119">
        <f t="shared" si="334"/>
        <v>180</v>
      </c>
      <c r="J225" s="29">
        <f t="shared" ref="J225:J227" si="347">I225*S225*SQRT(3)/1000</f>
        <v>3.4980498109661049</v>
      </c>
      <c r="K225" s="6" t="str">
        <f>IF(U225="Yes",UPPER(IF(ISNUMBER(SEARCH("winding",VLOOKUP(CONCATENATE(P225,Q225,S225,E225),TIM[[Limiting Equipment Reference-PTX]:[Summ Equipment]],7,0))),"Power Transformer Rating at "&amp;ROUND(E225*S225*SQRT(3)/1000,2)&amp;" MVA",VLOOKUP(CONCATENATE(P225,Q225,S225,E225),TIM[[Limiting Equipment Reference-No PTX]:[Summ Equipment]],8,0))),UPPER(VLOOKUP(CONCATENATE(P225,Q225,S225,E225),TIM[[Limiting Equipment Reference-No PTX]:[Summ Equipment]],8,0)))</f>
        <v>CABLE-3C 150MM² AL PILC STA</v>
      </c>
      <c r="L225" s="146" t="s">
        <v>1267</v>
      </c>
      <c r="M225" s="509" t="s">
        <v>1267</v>
      </c>
      <c r="O225" s="118" t="str">
        <f t="shared" si="346"/>
        <v>PLP-CB2</v>
      </c>
      <c r="P225" s="49" t="s">
        <v>1276</v>
      </c>
      <c r="Q225" s="49" t="s">
        <v>209</v>
      </c>
      <c r="R225" s="390"/>
      <c r="S225" s="32">
        <v>11.22</v>
      </c>
      <c r="T225" s="146" t="s">
        <v>1266</v>
      </c>
      <c r="U225" s="146" t="s">
        <v>1266</v>
      </c>
      <c r="V225" s="487"/>
      <c r="X225" s="498" t="s">
        <v>507</v>
      </c>
      <c r="Y225" s="431" t="s">
        <v>2739</v>
      </c>
      <c r="Z225" s="432">
        <v>196</v>
      </c>
      <c r="AA225" s="441" t="str">
        <f t="shared" si="336"/>
        <v>p</v>
      </c>
      <c r="AB225" s="134">
        <f t="shared" si="337"/>
        <v>4.0090812500000084</v>
      </c>
      <c r="AC225" s="134">
        <f t="shared" si="338"/>
        <v>7.7910921715057133E-2</v>
      </c>
      <c r="AD225" s="134">
        <f t="shared" si="339"/>
        <v>0</v>
      </c>
      <c r="AE225" s="134">
        <f t="shared" si="340"/>
        <v>0</v>
      </c>
      <c r="AF225" s="432">
        <v>200</v>
      </c>
      <c r="AG225" s="436" t="str">
        <f t="shared" si="341"/>
        <v>p</v>
      </c>
      <c r="AH225" s="134">
        <f t="shared" si="342"/>
        <v>52</v>
      </c>
      <c r="AI225" s="134">
        <f t="shared" si="343"/>
        <v>1.0105477231679858</v>
      </c>
      <c r="AJ225" s="134">
        <f t="shared" si="344"/>
        <v>0</v>
      </c>
      <c r="AK225" s="134">
        <f t="shared" si="345"/>
        <v>0</v>
      </c>
      <c r="AL225" s="470" t="s">
        <v>1267</v>
      </c>
    </row>
    <row r="226" spans="2:39" hidden="1" x14ac:dyDescent="0.25">
      <c r="B226" s="124" t="s">
        <v>511</v>
      </c>
      <c r="C226" s="168" t="s">
        <v>2633</v>
      </c>
      <c r="D226" s="119">
        <f t="shared" si="331"/>
        <v>11</v>
      </c>
      <c r="E226" s="370">
        <f t="array" ref="E226">IF(U226="YES",IF(T226="YES",MIN(IF(TIM[Load Capability Reference]=CONCATENATE(P226,Q226,S226,R226),TIM[Lowest A-PTX])),MIN(IF(TIM[Load Capability Reference]=CONCATENATE(P226,Q226,S226,R226),IF(TIM[Equipment ID]&lt;&gt;O226,TIM[Lowest A-PTX])))),IF(T226="YES",MIN(IF(TIM[Load Capability Reference]=CONCATENATE(P226,Q226,S226,R226),TIM[Lowest A-No PTX])),MIN(IF(TIM[Load Capability Reference]=CONCATENATE(P226,Q226,S226,R226),IF(TIM[Equipment ID]&lt;&gt;O226,TIM[Lowest A-No PTX])))))</f>
        <v>321.60777027051347</v>
      </c>
      <c r="F226" s="119">
        <f>IFERROR(IFERROR(VLOOKUP(CONCATENATE(P226,Q226,O226,S226,"Protection"),TIM[[OC Protection Reference]:[Forward A]],23,0),VLOOKUP(O226,AEL_Protection_Data[],12,0)),"N/A")</f>
        <v>348</v>
      </c>
      <c r="G226" s="119">
        <f t="shared" si="332"/>
        <v>255</v>
      </c>
      <c r="H226" s="29">
        <f t="shared" si="333"/>
        <v>4.9555705655353153</v>
      </c>
      <c r="I226" s="119">
        <f t="shared" si="334"/>
        <v>285</v>
      </c>
      <c r="J226" s="29">
        <f t="shared" si="347"/>
        <v>5.5385788673629994</v>
      </c>
      <c r="K226" s="6" t="str">
        <f>IF(U226="Yes",UPPER(IF(ISNUMBER(SEARCH("winding",VLOOKUP(CONCATENATE(P226,Q226,S226,E226),TIM[[Limiting Equipment Reference-PTX]:[Summ Equipment]],7,0))),"Power Transformer Rating at "&amp;ROUND(E226*S226*SQRT(3)/1000,2)&amp;" MVA",VLOOKUP(CONCATENATE(P226,Q226,S226,E226),TIM[[Limiting Equipment Reference-No PTX]:[Summ Equipment]],8,0))),UPPER(VLOOKUP(CONCATENATE(P226,Q226,S226,E226),TIM[[Limiting Equipment Reference-No PTX]:[Summ Equipment]],8,0)))</f>
        <v>POWER TRANSFORMER RATING AT 6.25 MVA</v>
      </c>
      <c r="L226" s="146" t="s">
        <v>1266</v>
      </c>
      <c r="M226" s="509" t="s">
        <v>1162</v>
      </c>
      <c r="O226" s="118" t="str">
        <f t="shared" si="346"/>
        <v>PLP-CB3</v>
      </c>
      <c r="P226" s="49" t="s">
        <v>1246</v>
      </c>
      <c r="Q226" s="49" t="s">
        <v>203</v>
      </c>
      <c r="R226" s="386"/>
      <c r="S226" s="43">
        <v>11.22</v>
      </c>
      <c r="T226" s="146" t="s">
        <v>1266</v>
      </c>
      <c r="U226" s="146" t="s">
        <v>1267</v>
      </c>
      <c r="V226" s="487"/>
      <c r="X226" s="498" t="s">
        <v>511</v>
      </c>
      <c r="Y226" s="431" t="s">
        <v>2633</v>
      </c>
      <c r="Z226" s="432">
        <v>345</v>
      </c>
      <c r="AA226" s="441" t="str">
        <f t="shared" ref="AA226:AA228" si="348">IF(Z226&gt;E226,"q",IF(Z226&lt;E226,"p","u"))</f>
        <v>q</v>
      </c>
      <c r="AB226" s="134">
        <f t="shared" si="337"/>
        <v>0</v>
      </c>
      <c r="AC226" s="134">
        <f t="shared" si="338"/>
        <v>0</v>
      </c>
      <c r="AD226" s="134">
        <f t="shared" si="339"/>
        <v>23.39222972948653</v>
      </c>
      <c r="AE226" s="134">
        <f t="shared" si="340"/>
        <v>0.45459547101836689</v>
      </c>
      <c r="AF226" s="432">
        <v>558</v>
      </c>
      <c r="AG226" s="436" t="str">
        <f t="shared" ref="AG226:AG228" si="349">IF(AF226&gt;F226,"q",IF(AF226&lt;F226,"p","u"))</f>
        <v>q</v>
      </c>
      <c r="AH226" s="134">
        <f t="shared" si="342"/>
        <v>0</v>
      </c>
      <c r="AI226" s="134">
        <f t="shared" si="343"/>
        <v>0</v>
      </c>
      <c r="AJ226" s="134">
        <f t="shared" si="344"/>
        <v>210</v>
      </c>
      <c r="AK226" s="134">
        <f t="shared" si="345"/>
        <v>4.081058112793789</v>
      </c>
      <c r="AL226" s="470" t="s">
        <v>1266</v>
      </c>
    </row>
    <row r="227" spans="2:39" hidden="1" x14ac:dyDescent="0.25">
      <c r="B227" s="124" t="s">
        <v>498</v>
      </c>
      <c r="C227" s="168" t="s">
        <v>2740</v>
      </c>
      <c r="D227" s="119">
        <f>ROUNDDOWN(S227,0)</f>
        <v>11</v>
      </c>
      <c r="E227" s="370">
        <f t="array" ref="E227">IF(U227="YES",IF(T227="YES",MIN(IF(TIM[Load Capability Reference]=CONCATENATE(P227,Q227,S227,R227),TIM[Lowest A-PTX])),MIN(IF(TIM[Load Capability Reference]=CONCATENATE(P227,Q227,S227,R227),IF(TIM[Equipment ID]&lt;&gt;O227,TIM[Lowest A-PTX])))),IF(T227="YES",MIN(IF(TIM[Load Capability Reference]=CONCATENATE(P227,Q227,S227,R227),TIM[Lowest A-No PTX])),MIN(IF(TIM[Load Capability Reference]=CONCATENATE(P227,Q227,S227,R227),IF(TIM[Equipment ID]&lt;&gt;O227,TIM[Lowest A-No PTX])))))</f>
        <v>189</v>
      </c>
      <c r="F227" s="119">
        <f>IFERROR(IFERROR(VLOOKUP(CONCATENATE(P227,Q227,O227,S227,"Protection"),TIM[[OC Protection Reference]:[Forward A]],23,0),VLOOKUP(O227,AEL_Protection_Data[],12,0)),"N/A")</f>
        <v>252</v>
      </c>
      <c r="G227" s="119">
        <f t="shared" si="332"/>
        <v>150</v>
      </c>
      <c r="H227" s="29">
        <f t="shared" si="333"/>
        <v>2.9150415091384203</v>
      </c>
      <c r="I227" s="119">
        <f t="shared" si="334"/>
        <v>170</v>
      </c>
      <c r="J227" s="29">
        <f t="shared" si="347"/>
        <v>3.3037137103568766</v>
      </c>
      <c r="K227" s="6" t="str">
        <f>IF(U227="Yes",UPPER(IF(ISNUMBER(SEARCH("winding",VLOOKUP(CONCATENATE(P227,Q227,S227,E227),TIM[[Limiting Equipment Reference-PTX]:[Summ Equipment]],7,0))),"Power Transformer Rating at "&amp;ROUND(E227*S227*SQRT(3)/1000,2)&amp;" MVA",VLOOKUP(CONCATENATE(P227,Q227,S227,E227),TIM[[Limiting Equipment Reference-No PTX]:[Summ Equipment]],8,0))),UPPER(VLOOKUP(CONCATENATE(P227,Q227,S227,E227),TIM[[Limiting Equipment Reference-No PTX]:[Summ Equipment]],8,0)))</f>
        <v xml:space="preserve">OH LINE-MINK </v>
      </c>
      <c r="L227" s="146" t="s">
        <v>1267</v>
      </c>
      <c r="M227" s="509" t="s">
        <v>1267</v>
      </c>
      <c r="O227" s="118" t="str">
        <f t="shared" si="346"/>
        <v>PLP-CB4</v>
      </c>
      <c r="P227" s="49" t="s">
        <v>1276</v>
      </c>
      <c r="Q227" s="49" t="s">
        <v>212</v>
      </c>
      <c r="R227" s="386"/>
      <c r="S227" s="43">
        <v>11.22</v>
      </c>
      <c r="T227" s="146" t="s">
        <v>1266</v>
      </c>
      <c r="U227" s="146" t="s">
        <v>1266</v>
      </c>
      <c r="V227" s="487"/>
      <c r="X227" s="498" t="s">
        <v>498</v>
      </c>
      <c r="Y227" s="431" t="s">
        <v>2740</v>
      </c>
      <c r="Z227" s="432">
        <v>196</v>
      </c>
      <c r="AA227" s="441" t="str">
        <f t="shared" si="348"/>
        <v>q</v>
      </c>
      <c r="AB227" s="134">
        <f t="shared" si="337"/>
        <v>0</v>
      </c>
      <c r="AC227" s="134">
        <f t="shared" si="338"/>
        <v>0</v>
      </c>
      <c r="AD227" s="134">
        <f t="shared" si="339"/>
        <v>7</v>
      </c>
      <c r="AE227" s="134">
        <f t="shared" si="340"/>
        <v>0.13603527042645963</v>
      </c>
      <c r="AF227" s="432">
        <v>200</v>
      </c>
      <c r="AG227" s="436" t="str">
        <f t="shared" si="349"/>
        <v>p</v>
      </c>
      <c r="AH227" s="134">
        <f t="shared" si="342"/>
        <v>52</v>
      </c>
      <c r="AI227" s="134">
        <f t="shared" si="343"/>
        <v>1.0105477231679858</v>
      </c>
      <c r="AJ227" s="134">
        <f t="shared" si="344"/>
        <v>0</v>
      </c>
      <c r="AK227" s="134">
        <f t="shared" si="345"/>
        <v>0</v>
      </c>
      <c r="AL227" s="470" t="s">
        <v>1267</v>
      </c>
    </row>
    <row r="228" spans="2:39" ht="15.75" hidden="1" thickBot="1" x14ac:dyDescent="0.3">
      <c r="B228" s="401" t="s">
        <v>592</v>
      </c>
      <c r="C228" s="375" t="s">
        <v>2741</v>
      </c>
      <c r="D228" s="377">
        <f t="shared" ref="D228" si="350">ROUNDDOWN(S228,0)</f>
        <v>11</v>
      </c>
      <c r="E228" s="384">
        <f t="array" ref="E228">IF(U228="YES",IF(T228="YES",MIN(IF(TIM[Load Capability Reference]=CONCATENATE(P228,Q228,S228,R228),TIM[Lowest A-PTX])),MIN(IF(TIM[Load Capability Reference]=CONCATENATE(P228,Q228,S228,R228),IF(TIM[Equipment ID]&lt;&gt;O228,TIM[Lowest A-PTX])))),IF(T228="YES",MIN(IF(TIM[Load Capability Reference]=CONCATENATE(P228,Q228,S228,R228),TIM[Lowest A-No PTX])),MIN(IF(TIM[Load Capability Reference]=CONCATENATE(P228,Q228,S228,R228),IF(TIM[Equipment ID]&lt;&gt;O228,TIM[Lowest A-No PTX])))))</f>
        <v>131</v>
      </c>
      <c r="F228" s="377">
        <f>IFERROR(IFERROR(VLOOKUP(CONCATENATE(P228,Q228,O228,S228,"Protection"),TIM[[OC Protection Reference]:[Forward A]],23,0),VLOOKUP(O228,AEL_Protection_Data[],12,0)),"N/A")</f>
        <v>252</v>
      </c>
      <c r="G228" s="377">
        <f t="shared" si="332"/>
        <v>100</v>
      </c>
      <c r="H228" s="185">
        <f t="shared" si="333"/>
        <v>1.9433610060922801</v>
      </c>
      <c r="I228" s="377">
        <f t="shared" si="334"/>
        <v>115</v>
      </c>
      <c r="J228" s="185">
        <f t="shared" si="335"/>
        <v>2.2348651570061224</v>
      </c>
      <c r="K228" s="191" t="str">
        <f>IF(U228="Yes",UPPER(IF(ISNUMBER(SEARCH("winding",VLOOKUP(CONCATENATE(P228,Q228,S228,E228),TIM[[Limiting Equipment Reference-PTX]:[Summ Equipment]],7,0))),"Power Transformer Rating at "&amp;ROUND(E228*S228*SQRT(3)/1000,2)&amp;" MVA",VLOOKUP(CONCATENATE(P228,Q228,S228,E228),TIM[[Limiting Equipment Reference-No PTX]:[Summ Equipment]],8,0))),UPPER(VLOOKUP(CONCATENATE(P228,Q228,S228,E228),TIM[[Limiting Equipment Reference-No PTX]:[Summ Equipment]],8,0)))</f>
        <v xml:space="preserve">OH LINE-7/14 CU </v>
      </c>
      <c r="L228" s="379" t="s">
        <v>1267</v>
      </c>
      <c r="M228" s="511" t="s">
        <v>1266</v>
      </c>
      <c r="O228" s="514" t="str">
        <f t="shared" si="346"/>
        <v>PLP-CB5</v>
      </c>
      <c r="P228" s="374" t="s">
        <v>1276</v>
      </c>
      <c r="Q228" s="374" t="s">
        <v>215</v>
      </c>
      <c r="R228" s="387"/>
      <c r="S228" s="175">
        <v>11.22</v>
      </c>
      <c r="T228" s="379" t="s">
        <v>1266</v>
      </c>
      <c r="U228" s="379" t="s">
        <v>1266</v>
      </c>
      <c r="V228" s="488"/>
      <c r="X228" s="500" t="s">
        <v>592</v>
      </c>
      <c r="Y228" s="433" t="s">
        <v>2741</v>
      </c>
      <c r="Z228" s="434">
        <v>196</v>
      </c>
      <c r="AA228" s="442" t="str">
        <f t="shared" si="348"/>
        <v>q</v>
      </c>
      <c r="AB228" s="451">
        <f t="shared" si="337"/>
        <v>0</v>
      </c>
      <c r="AC228" s="451">
        <f t="shared" si="338"/>
        <v>0</v>
      </c>
      <c r="AD228" s="451">
        <f t="shared" si="339"/>
        <v>65</v>
      </c>
      <c r="AE228" s="451">
        <f t="shared" si="340"/>
        <v>1.2631846539599823</v>
      </c>
      <c r="AF228" s="434">
        <v>200</v>
      </c>
      <c r="AG228" s="437" t="str">
        <f t="shared" si="349"/>
        <v>p</v>
      </c>
      <c r="AH228" s="451">
        <f t="shared" si="342"/>
        <v>52</v>
      </c>
      <c r="AI228" s="451">
        <f t="shared" si="343"/>
        <v>1.0105477231679858</v>
      </c>
      <c r="AJ228" s="451">
        <f t="shared" si="344"/>
        <v>0</v>
      </c>
      <c r="AK228" s="451">
        <f t="shared" si="345"/>
        <v>0</v>
      </c>
      <c r="AL228" s="471" t="s">
        <v>2860</v>
      </c>
    </row>
    <row r="229" spans="2:39" hidden="1" x14ac:dyDescent="0.25">
      <c r="X229" s="427" t="s">
        <v>203</v>
      </c>
      <c r="AB229" s="449">
        <f>SUM(AB223:AB228)</f>
        <v>60.458177250000034</v>
      </c>
      <c r="AC229" s="449">
        <f t="shared" ref="AC229:AE229" si="351">SUM(AC223:AC228)</f>
        <v>3.3044100980550501</v>
      </c>
      <c r="AD229" s="449">
        <f t="shared" si="351"/>
        <v>127.3922297294865</v>
      </c>
      <c r="AE229" s="449">
        <f t="shared" si="351"/>
        <v>2.4756909173543376</v>
      </c>
      <c r="AH229" s="449">
        <f>SUM(AH223:AH228)</f>
        <v>208</v>
      </c>
      <c r="AI229" s="449">
        <f t="shared" ref="AI229:AK229" si="352">SUM(AI223:AI228)</f>
        <v>4.0421908926719432</v>
      </c>
      <c r="AJ229" s="449">
        <f t="shared" si="352"/>
        <v>262</v>
      </c>
      <c r="AK229" s="449">
        <f t="shared" si="352"/>
        <v>7.0532572985819826</v>
      </c>
    </row>
    <row r="230" spans="2:39" ht="27" hidden="1" thickBot="1" x14ac:dyDescent="0.3">
      <c r="B230" s="584" t="s">
        <v>2549</v>
      </c>
      <c r="C230" s="582"/>
      <c r="D230" s="582"/>
      <c r="E230" s="582"/>
      <c r="F230" s="582"/>
      <c r="G230" s="582"/>
      <c r="H230" s="582"/>
      <c r="I230" s="582"/>
      <c r="J230" s="582"/>
      <c r="K230" s="582"/>
      <c r="L230" s="582"/>
      <c r="M230" s="583"/>
      <c r="O230" s="551" t="s">
        <v>2391</v>
      </c>
      <c r="P230" s="552"/>
      <c r="Q230" s="552"/>
      <c r="R230" s="552"/>
      <c r="S230" s="552"/>
      <c r="T230" s="552"/>
      <c r="U230" s="552"/>
      <c r="V230" s="553"/>
      <c r="X230" s="586" t="str">
        <f>B230&amp;"-OLD"</f>
        <v>TEKAPO SUBSTATION (E197)-OLD</v>
      </c>
      <c r="Y230" s="587"/>
      <c r="Z230" s="587"/>
      <c r="AA230" s="587"/>
      <c r="AB230" s="587"/>
      <c r="AC230" s="587"/>
      <c r="AD230" s="587"/>
      <c r="AE230" s="587"/>
      <c r="AF230" s="587"/>
      <c r="AG230" s="587"/>
      <c r="AH230" s="587"/>
      <c r="AI230" s="587"/>
      <c r="AJ230" s="587"/>
      <c r="AK230" s="587"/>
      <c r="AL230" s="588"/>
      <c r="AM230" s="481"/>
    </row>
    <row r="231" spans="2:39" ht="15.75" hidden="1" thickBot="1" x14ac:dyDescent="0.3">
      <c r="B231" s="571" t="str">
        <f t="shared" ref="B231:G231" si="353">B6</f>
        <v>CB ID</v>
      </c>
      <c r="C231" s="545" t="str">
        <f t="shared" si="353"/>
        <v>DESIGNATION</v>
      </c>
      <c r="D231" s="382" t="str">
        <f t="shared" si="353"/>
        <v>Rated</v>
      </c>
      <c r="E231" s="572" t="str">
        <f t="shared" si="353"/>
        <v>LOAD
CAPABILITY</v>
      </c>
      <c r="F231" s="572" t="str">
        <f t="shared" si="353"/>
        <v>OC
PICKUP</v>
      </c>
      <c r="G231" s="559" t="str">
        <f t="shared" si="353"/>
        <v>SCADA ALARM</v>
      </c>
      <c r="H231" s="560"/>
      <c r="I231" s="560"/>
      <c r="J231" s="561"/>
      <c r="K231" s="574" t="str">
        <f>K6</f>
        <v>LIMITING EQUIPMENT</v>
      </c>
      <c r="L231" s="575" t="str">
        <f>L6</f>
        <v>RECLOSING</v>
      </c>
      <c r="M231" s="576"/>
      <c r="O231" s="554" t="str">
        <f>O6</f>
        <v>OC Pick up
Reference ID</v>
      </c>
      <c r="P231" s="557" t="str">
        <f>P6</f>
        <v>Supply Level</v>
      </c>
      <c r="Q231" s="566" t="str">
        <f>Q6</f>
        <v>Station/Feeder</v>
      </c>
      <c r="R231" s="567" t="str">
        <f t="shared" ref="R231" si="354">$R$6</f>
        <v>Refered
to PTX</v>
      </c>
      <c r="S231" s="569" t="str">
        <f>S6</f>
        <v>Voltage</v>
      </c>
      <c r="T231" s="539" t="str">
        <f>T6</f>
        <v>Include
CB</v>
      </c>
      <c r="U231" s="539" t="str">
        <f>U6</f>
        <v>Include
PTX</v>
      </c>
      <c r="V231" s="542" t="str">
        <f>V6</f>
        <v>Notes</v>
      </c>
      <c r="X231" s="585" t="s">
        <v>1260</v>
      </c>
      <c r="Y231" s="545" t="s">
        <v>1261</v>
      </c>
      <c r="Z231" s="559" t="s">
        <v>2749</v>
      </c>
      <c r="AA231" s="560"/>
      <c r="AB231" s="560"/>
      <c r="AC231" s="560"/>
      <c r="AD231" s="560"/>
      <c r="AE231" s="561"/>
      <c r="AF231" s="559" t="s">
        <v>1268</v>
      </c>
      <c r="AG231" s="560"/>
      <c r="AH231" s="560"/>
      <c r="AI231" s="560"/>
      <c r="AJ231" s="560"/>
      <c r="AK231" s="561"/>
      <c r="AL231" s="546" t="s">
        <v>2857</v>
      </c>
      <c r="AM231" s="466"/>
    </row>
    <row r="232" spans="2:39" ht="15.75" hidden="1" thickBot="1" x14ac:dyDescent="0.3">
      <c r="B232" s="557"/>
      <c r="C232" s="540"/>
      <c r="D232" s="362" t="str">
        <f>D7</f>
        <v>Voltage</v>
      </c>
      <c r="E232" s="573"/>
      <c r="F232" s="573"/>
      <c r="G232" s="544" t="str">
        <f>G7</f>
        <v>Pre-Emergency</v>
      </c>
      <c r="H232" s="544"/>
      <c r="I232" s="544" t="str">
        <f>I7</f>
        <v>Emergency</v>
      </c>
      <c r="J232" s="544"/>
      <c r="K232" s="540"/>
      <c r="L232" s="545" t="str">
        <f>L7</f>
        <v>AVAILABLE</v>
      </c>
      <c r="M232" s="546" t="str">
        <f>M7</f>
        <v>UTILISED</v>
      </c>
      <c r="O232" s="555"/>
      <c r="P232" s="557"/>
      <c r="Q232" s="557"/>
      <c r="R232" s="567"/>
      <c r="S232" s="569"/>
      <c r="T232" s="540"/>
      <c r="U232" s="540"/>
      <c r="V232" s="542"/>
      <c r="X232" s="555"/>
      <c r="Y232" s="540"/>
      <c r="Z232" s="589"/>
      <c r="AA232" s="590"/>
      <c r="AB232" s="590"/>
      <c r="AC232" s="590"/>
      <c r="AD232" s="590"/>
      <c r="AE232" s="591"/>
      <c r="AF232" s="589"/>
      <c r="AG232" s="590"/>
      <c r="AH232" s="590"/>
      <c r="AI232" s="590"/>
      <c r="AJ232" s="590"/>
      <c r="AK232" s="591"/>
      <c r="AL232" s="577"/>
      <c r="AM232" s="466"/>
    </row>
    <row r="233" spans="2:39" ht="15.75" hidden="1" thickBot="1" x14ac:dyDescent="0.3">
      <c r="B233" s="558"/>
      <c r="C233" s="541"/>
      <c r="D233" s="345" t="str">
        <f>D8</f>
        <v>(kV)</v>
      </c>
      <c r="E233" s="345" t="str">
        <f>E8</f>
        <v>(A)</v>
      </c>
      <c r="F233" s="345" t="str">
        <f>F8</f>
        <v>(A)</v>
      </c>
      <c r="G233" s="406" t="str">
        <f>G8</f>
        <v>(A)</v>
      </c>
      <c r="H233" s="407" t="str">
        <f>H8</f>
        <v>(MVA)</v>
      </c>
      <c r="I233" s="406" t="str">
        <f>I8</f>
        <v>(A)</v>
      </c>
      <c r="J233" s="407" t="str">
        <f>J8</f>
        <v>(MVA)</v>
      </c>
      <c r="K233" s="541"/>
      <c r="L233" s="541"/>
      <c r="M233" s="547"/>
      <c r="O233" s="556"/>
      <c r="P233" s="558"/>
      <c r="Q233" s="558"/>
      <c r="R233" s="568"/>
      <c r="S233" s="570"/>
      <c r="T233" s="541"/>
      <c r="U233" s="541"/>
      <c r="V233" s="543"/>
      <c r="X233" s="556"/>
      <c r="Y233" s="541"/>
      <c r="Z233" s="428" t="s">
        <v>26</v>
      </c>
      <c r="AA233" s="439" t="s">
        <v>2861</v>
      </c>
      <c r="AB233" s="450" t="s">
        <v>2959</v>
      </c>
      <c r="AC233" s="450" t="s">
        <v>2960</v>
      </c>
      <c r="AD233" s="450" t="s">
        <v>2957</v>
      </c>
      <c r="AE233" s="450" t="s">
        <v>2958</v>
      </c>
      <c r="AF233" s="428" t="s">
        <v>26</v>
      </c>
      <c r="AG233" s="439" t="s">
        <v>2861</v>
      </c>
      <c r="AH233" s="450" t="s">
        <v>2959</v>
      </c>
      <c r="AI233" s="450" t="s">
        <v>2960</v>
      </c>
      <c r="AJ233" s="450" t="s">
        <v>2957</v>
      </c>
      <c r="AK233" s="450" t="s">
        <v>2958</v>
      </c>
      <c r="AL233" s="547"/>
      <c r="AM233" s="466"/>
    </row>
    <row r="234" spans="2:39" hidden="1" x14ac:dyDescent="0.25">
      <c r="B234" s="38" t="s">
        <v>2550</v>
      </c>
      <c r="C234" s="3" t="s">
        <v>2403</v>
      </c>
      <c r="D234" s="61">
        <f t="shared" ref="D234:D241" si="355">ROUNDDOWN(S234,0)</f>
        <v>33</v>
      </c>
      <c r="E234" s="369">
        <f t="array" ref="E234">IF(U234="YES",IF(T234="YES",MIN(IF(TKA[Load Capability Reference]=CONCATENATE(P234,Q234,S234,R234),TKA[Lowest A-PTX])),MIN(IF(TKA[Load Capability Reference]=CONCATENATE(P234,Q234,S234,R234),IF(TKA[Equipment ID]&lt;&gt;O234,TKA[Lowest A-PTX])))),IF(T234="YES",MIN(IF(TKA[Load Capability Reference]=CONCATENATE(P234,Q234,S234,R234),TKA[Lowest A-No PTX])),MIN(IF(TKA[Load Capability Reference]=CONCATENATE(P234,Q234,S234,R234),IF(TKA[Equipment ID]&lt;&gt;O234,TKA[Lowest A-No PTX])))))</f>
        <v>242</v>
      </c>
      <c r="F234" s="61">
        <f>IFERROR(IFERROR(VLOOKUP(CONCATENATE(P234,Q234,O234,S234,"Protection"),TKA[[OC Protection Reference]:[Forward A]],23,0),VLOOKUP(O234,AEL_Protection_Data[],12,0)),"N/A")</f>
        <v>183</v>
      </c>
      <c r="G234" s="61">
        <f t="shared" ref="G234:G241" si="356">IFERROR(FLOOR(MIN(E234:F234)*$D$3,5),"")</f>
        <v>145</v>
      </c>
      <c r="H234" s="5">
        <f t="shared" ref="H234:H241" si="357">G234*S234*SQRT(3)/1000</f>
        <v>8.2878631142170782</v>
      </c>
      <c r="I234" s="61">
        <f t="shared" ref="I234:I241" si="358">IFERROR(FLOOR(MIN(E234:F234)*$D$2,5),"")</f>
        <v>160</v>
      </c>
      <c r="J234" s="5">
        <f t="shared" ref="J234:J241" si="359">I234*S234*SQRT(3)/1000</f>
        <v>9.1452282639636717</v>
      </c>
      <c r="K234" s="3" t="str">
        <f>IF(U234="Yes",UPPER(IF(ISNUMBER(SEARCH("winding",VLOOKUP(CONCATENATE(P234,Q234,S234,E234),TKA[[Limiting Equipment Reference-PTX]:[Summ Equipment]],7,0))),"Power Transformer Rating at "&amp;ROUND(E234*S234*SQRT(3)/1000,2)&amp;" MVA",VLOOKUP(CONCATENATE(P234,Q234,S234,E234),TKA[[Limiting Equipment Reference-No PTX]:[Summ Equipment]],8,0))),UPPER(VLOOKUP(CONCATENATE(P234,Q234,S234,E234),TKA[[Limiting Equipment Reference-No PTX]:[Summ Equipment]],8,0)))</f>
        <v>OH LINE-19/14 CU</v>
      </c>
      <c r="L234" s="372" t="s">
        <v>1266</v>
      </c>
      <c r="M234" s="508" t="s">
        <v>1162</v>
      </c>
      <c r="O234" s="10" t="str">
        <f>"TKA-"&amp;B234</f>
        <v>TKA-CB1042</v>
      </c>
      <c r="P234" s="38" t="s">
        <v>1245</v>
      </c>
      <c r="Q234" s="38" t="s">
        <v>95</v>
      </c>
      <c r="R234" s="389"/>
      <c r="S234" s="139">
        <v>33</v>
      </c>
      <c r="T234" s="4" t="s">
        <v>1266</v>
      </c>
      <c r="U234" s="4" t="s">
        <v>1266</v>
      </c>
      <c r="V234" s="486"/>
      <c r="X234" s="494" t="s">
        <v>2550</v>
      </c>
      <c r="Y234" s="429" t="s">
        <v>2869</v>
      </c>
      <c r="Z234" s="430"/>
      <c r="AA234" s="440" t="str">
        <f t="shared" ref="AA234:AA236" si="360">IF(Z234&gt;E234,"q",IF(Z234&lt;E234,"p","u"))</f>
        <v>p</v>
      </c>
      <c r="AB234" s="453">
        <f t="shared" ref="AB234:AB241" si="361">IF(Z234="",0,IF(Z234-E234&lt;0,ABS(Z234-E234),0))</f>
        <v>0</v>
      </c>
      <c r="AC234" s="453">
        <f t="shared" ref="AC234:AC241" si="362">AB234*$S234*SQRT(3)/1000</f>
        <v>0</v>
      </c>
      <c r="AD234" s="453">
        <f t="shared" ref="AD234:AD241" si="363">IF(Z234="",0,IF(Z234-E234&gt;0,ABS(Z234-E234),0))</f>
        <v>0</v>
      </c>
      <c r="AE234" s="453">
        <f t="shared" ref="AE234:AE241" si="364">AD234*$S234*SQRT(3)/1000</f>
        <v>0</v>
      </c>
      <c r="AF234" s="430"/>
      <c r="AG234" s="435" t="str">
        <f t="shared" ref="AG234:AG236" si="365">IF(AF234&gt;F234,"q",IF(AF234&lt;F234,"p","u"))</f>
        <v>p</v>
      </c>
      <c r="AH234" s="453">
        <f t="shared" ref="AH234:AH241" si="366">IF(AF234="",0,IF(AF234-F234&lt;0,ABS(AF234-F234),0))</f>
        <v>0</v>
      </c>
      <c r="AI234" s="453">
        <f t="shared" ref="AI234:AI241" si="367">AH234*$S234*SQRT(3)/1000</f>
        <v>0</v>
      </c>
      <c r="AJ234" s="453">
        <f t="shared" ref="AJ234:AJ241" si="368">IF(AF234="",0,IF(AF234-F234&gt;0,ABS(AF234-F234),0))</f>
        <v>0</v>
      </c>
      <c r="AK234" s="453">
        <f t="shared" ref="AK234:AK241" si="369">AJ234*$S234*SQRT(3)/1000</f>
        <v>0</v>
      </c>
      <c r="AL234" s="469"/>
    </row>
    <row r="235" spans="2:39" hidden="1" x14ac:dyDescent="0.25">
      <c r="B235" s="49" t="s">
        <v>1417</v>
      </c>
      <c r="C235" s="168" t="s">
        <v>2551</v>
      </c>
      <c r="D235" s="119">
        <f t="shared" si="355"/>
        <v>33</v>
      </c>
      <c r="E235" s="370">
        <f t="array" ref="E235">IF(U235="YES",IF(T235="YES",MIN(IF(TKA[Load Capability Reference]=CONCATENATE(P235,Q235,S235,R235),TKA[Lowest A-PTX])),MIN(IF(TKA[Load Capability Reference]=CONCATENATE(P235,Q235,S235,R235),IF(TKA[Equipment ID]&lt;&gt;O235,TKA[Lowest A-PTX])))),IF(T235="YES",MIN(IF(TKA[Load Capability Reference]=CONCATENATE(P235,Q235,S235,R235),TKA[Lowest A-No PTX])),MIN(IF(TKA[Load Capability Reference]=CONCATENATE(P235,Q235,S235,R235),IF(TKA[Equipment ID]&lt;&gt;O235,TKA[Lowest A-No PTX])))))</f>
        <v>247.00000000000003</v>
      </c>
      <c r="F235" s="119">
        <f>IFERROR(IFERROR(VLOOKUP(CONCATENATE(P235,Q235,O235,S235,"Protection"),TKA[[OC Protection Reference]:[Forward A]],23,0),VLOOKUP(O235,AEL_Protection_Data[],12,0)),"N/A")</f>
        <v>150</v>
      </c>
      <c r="G235" s="119">
        <f t="shared" si="356"/>
        <v>120</v>
      </c>
      <c r="H235" s="29">
        <f t="shared" si="357"/>
        <v>6.8589211979727533</v>
      </c>
      <c r="I235" s="119">
        <f t="shared" si="358"/>
        <v>135</v>
      </c>
      <c r="J235" s="29">
        <f t="shared" si="359"/>
        <v>7.7162863477193477</v>
      </c>
      <c r="K235" s="168" t="str">
        <f>IF(U235="Yes",UPPER(IF(ISNUMBER(SEARCH("winding",VLOOKUP(CONCATENATE(P235,Q235,S235,E235),TKA[[Limiting Equipment Reference-PTX]:[Summ Equipment]],7,0))),"Power Transformer Rating at "&amp;ROUND(E235*S235*SQRT(3)/1000,2)&amp;" MVA",VLOOKUP(CONCATENATE(P235,Q235,S235,E235),TKA[[Limiting Equipment Reference-No PTX]:[Summ Equipment]],8,0))),UPPER(VLOOKUP(CONCATENATE(P235,Q235,S235,E235),TKA[[Limiting Equipment Reference-No PTX]:[Summ Equipment]],8,0)))</f>
        <v>OH LINE - 3-70MM2 CU</v>
      </c>
      <c r="L235" s="373" t="s">
        <v>1267</v>
      </c>
      <c r="M235" s="509" t="s">
        <v>1267</v>
      </c>
      <c r="O235" s="118" t="str">
        <f>"TKA_M11-"&amp;B235</f>
        <v>TKA_M11-M346</v>
      </c>
      <c r="P235" s="49" t="s">
        <v>1245</v>
      </c>
      <c r="Q235" s="49" t="s">
        <v>84</v>
      </c>
      <c r="R235" s="386"/>
      <c r="S235" s="43">
        <v>33</v>
      </c>
      <c r="T235" s="146" t="s">
        <v>1266</v>
      </c>
      <c r="U235" s="146" t="s">
        <v>1266</v>
      </c>
      <c r="V235" s="487"/>
      <c r="X235" s="495" t="s">
        <v>1417</v>
      </c>
      <c r="Y235" s="431" t="s">
        <v>2551</v>
      </c>
      <c r="Z235" s="432">
        <v>270</v>
      </c>
      <c r="AA235" s="441" t="str">
        <f t="shared" si="360"/>
        <v>q</v>
      </c>
      <c r="AB235" s="134">
        <f t="shared" si="361"/>
        <v>0</v>
      </c>
      <c r="AC235" s="134">
        <f t="shared" si="362"/>
        <v>0</v>
      </c>
      <c r="AD235" s="134">
        <f t="shared" si="363"/>
        <v>22.999999999999972</v>
      </c>
      <c r="AE235" s="134">
        <f t="shared" si="364"/>
        <v>1.3146265629447762</v>
      </c>
      <c r="AF235" s="432">
        <v>150</v>
      </c>
      <c r="AG235" s="436" t="str">
        <f t="shared" si="365"/>
        <v>u</v>
      </c>
      <c r="AH235" s="134">
        <f t="shared" si="366"/>
        <v>0</v>
      </c>
      <c r="AI235" s="134">
        <f t="shared" si="367"/>
        <v>0</v>
      </c>
      <c r="AJ235" s="134">
        <f t="shared" si="368"/>
        <v>0</v>
      </c>
      <c r="AK235" s="134">
        <f t="shared" si="369"/>
        <v>0</v>
      </c>
      <c r="AL235" s="470" t="s">
        <v>1267</v>
      </c>
    </row>
    <row r="236" spans="2:39" hidden="1" x14ac:dyDescent="0.25">
      <c r="B236" s="49" t="s">
        <v>390</v>
      </c>
      <c r="C236" s="168" t="s">
        <v>2604</v>
      </c>
      <c r="D236" s="119">
        <f t="shared" si="355"/>
        <v>33</v>
      </c>
      <c r="E236" s="370">
        <f t="array" ref="E236">IF(U236="YES",IF(T236="YES",MIN(IF(TKA[Load Capability Reference]=CONCATENATE(P236,Q236,S236,R236),TKA[Lowest A-PTX])),MIN(IF(TKA[Load Capability Reference]=CONCATENATE(P236,Q236,S236,R236),IF(TKA[Equipment ID]&lt;&gt;O236,TKA[Lowest A-PTX])))),IF(T236="YES",MIN(IF(TKA[Load Capability Reference]=CONCATENATE(P236,Q236,S236,R236),TKA[Lowest A-No PTX])),MIN(IF(TKA[Load Capability Reference]=CONCATENATE(P236,Q236,S236,R236),IF(TKA[Equipment ID]&lt;&gt;O236,TKA[Lowest A-No PTX])))))</f>
        <v>183</v>
      </c>
      <c r="F236" s="119">
        <f>IFERROR(IFERROR(VLOOKUP(CONCATENATE(P236,Q236,O236,S236,"Protection"),TKA[[OC Protection Reference]:[Forward A]],23,0),VLOOKUP(O236,AEL_Protection_Data[],12,0)),"N/A")</f>
        <v>150</v>
      </c>
      <c r="G236" s="119">
        <f t="shared" si="356"/>
        <v>120</v>
      </c>
      <c r="H236" s="29">
        <f t="shared" si="357"/>
        <v>6.8589211979727533</v>
      </c>
      <c r="I236" s="119">
        <f t="shared" si="358"/>
        <v>135</v>
      </c>
      <c r="J236" s="29">
        <f t="shared" si="359"/>
        <v>7.7162863477193477</v>
      </c>
      <c r="K236" s="168" t="str">
        <f>IF(U236="Yes",UPPER(IF(ISNUMBER(SEARCH("winding",VLOOKUP(CONCATENATE(P236,Q236,S236,E236),TKA[[Limiting Equipment Reference-PTX]:[Summ Equipment]],7,0))),"Power Transformer Rating at "&amp;ROUND(E236*S236*SQRT(3)/1000,2)&amp;" MVA",VLOOKUP(CONCATENATE(P236,Q236,S236,E236),TKA[[Limiting Equipment Reference-No PTX]:[Summ Equipment]],8,0))),UPPER(VLOOKUP(CONCATENATE(P236,Q236,S236,E236),TKA[[Limiting Equipment Reference-No PTX]:[Summ Equipment]],8,0)))</f>
        <v>CIRCUIT BREAKER-TKA-CB1042-PROTECTION</v>
      </c>
      <c r="L236" s="373" t="s">
        <v>1266</v>
      </c>
      <c r="M236" s="509" t="s">
        <v>1162</v>
      </c>
      <c r="O236" s="118" t="str">
        <f>"TEK-"&amp;B236</f>
        <v>TEK-M167</v>
      </c>
      <c r="P236" s="49" t="s">
        <v>1245</v>
      </c>
      <c r="Q236" s="49" t="s">
        <v>95</v>
      </c>
      <c r="R236" s="386"/>
      <c r="S236" s="43">
        <v>33</v>
      </c>
      <c r="T236" s="146" t="s">
        <v>1266</v>
      </c>
      <c r="U236" s="146" t="s">
        <v>1267</v>
      </c>
      <c r="V236" s="487"/>
      <c r="X236" s="495" t="s">
        <v>390</v>
      </c>
      <c r="Y236" s="431" t="s">
        <v>2869</v>
      </c>
      <c r="Z236" s="432"/>
      <c r="AA236" s="441" t="str">
        <f t="shared" si="360"/>
        <v>p</v>
      </c>
      <c r="AB236" s="134">
        <f t="shared" si="361"/>
        <v>0</v>
      </c>
      <c r="AC236" s="134">
        <f t="shared" si="362"/>
        <v>0</v>
      </c>
      <c r="AD236" s="134">
        <f t="shared" si="363"/>
        <v>0</v>
      </c>
      <c r="AE236" s="134">
        <f t="shared" si="364"/>
        <v>0</v>
      </c>
      <c r="AF236" s="432"/>
      <c r="AG236" s="436" t="str">
        <f t="shared" si="365"/>
        <v>p</v>
      </c>
      <c r="AH236" s="134">
        <f t="shared" si="366"/>
        <v>0</v>
      </c>
      <c r="AI236" s="134">
        <f t="shared" si="367"/>
        <v>0</v>
      </c>
      <c r="AJ236" s="134">
        <f t="shared" si="368"/>
        <v>0</v>
      </c>
      <c r="AK236" s="134">
        <f t="shared" si="369"/>
        <v>0</v>
      </c>
      <c r="AL236" s="470"/>
    </row>
    <row r="237" spans="2:39" hidden="1" x14ac:dyDescent="0.25">
      <c r="B237" s="49" t="s">
        <v>395</v>
      </c>
      <c r="C237" s="168" t="s">
        <v>2605</v>
      </c>
      <c r="D237" s="119">
        <f t="shared" si="355"/>
        <v>11</v>
      </c>
      <c r="E237" s="370">
        <f t="array" ref="E237">IF(U237="YES",IF(T237="YES",MIN(IF(TKA[Load Capability Reference]=CONCATENATE(P237,Q237,S237,R237),TKA[Lowest A-PTX])),MIN(IF(TKA[Load Capability Reference]=CONCATENATE(P237,Q237,S237,R237),IF(TKA[Equipment ID]&lt;&gt;O237,TKA[Lowest A-PTX])))),IF(T237="YES",MIN(IF(TKA[Load Capability Reference]=CONCATENATE(P237,Q237,S237,R237),TKA[Lowest A-No PTX])),MIN(IF(TKA[Load Capability Reference]=CONCATENATE(P237,Q237,S237,R237),IF(TKA[Equipment ID]&lt;&gt;O237,TKA[Lowest A-No PTX])))))</f>
        <v>328.03992567592377</v>
      </c>
      <c r="F237" s="119">
        <f>IFERROR(IFERROR(VLOOKUP(CONCATENATE(P237,Q237,O237,S237,"Protection"),TKA[[OC Protection Reference]:[Forward A]],23,0),VLOOKUP(O237,AEL_Protection_Data[],12,0)),"N/A")</f>
        <v>400</v>
      </c>
      <c r="G237" s="119">
        <f t="shared" si="356"/>
        <v>260</v>
      </c>
      <c r="H237" s="29">
        <f t="shared" si="357"/>
        <v>4.9536653096469889</v>
      </c>
      <c r="I237" s="119">
        <f t="shared" si="358"/>
        <v>295</v>
      </c>
      <c r="J237" s="29">
        <f t="shared" si="359"/>
        <v>5.6205048705610059</v>
      </c>
      <c r="K237" s="168" t="str">
        <f>IF(U237="Yes",UPPER(IF(ISNUMBER(SEARCH("winding",VLOOKUP(CONCATENATE(P237,Q237,S237,E237),TKA[[Limiting Equipment Reference-PTX]:[Summ Equipment]],7,0))),"Power Transformer Rating at "&amp;ROUND(E237*S237*SQRT(3)/1000,2)&amp;" MVA",VLOOKUP(CONCATENATE(P237,Q237,S237,E237),TKA[[Limiting Equipment Reference-No PTX]:[Summ Equipment]],8,0))),UPPER(VLOOKUP(CONCATENATE(P237,Q237,S237,E237),TKA[[Limiting Equipment Reference-No PTX]:[Summ Equipment]],8,0)))</f>
        <v>POWER TRANSFORMER RATING AT 6.25 MVA</v>
      </c>
      <c r="L237" s="373" t="s">
        <v>1266</v>
      </c>
      <c r="M237" s="509" t="s">
        <v>1162</v>
      </c>
      <c r="O237" s="118" t="str">
        <f>"TEK-"&amp;B237</f>
        <v>TEK-M202</v>
      </c>
      <c r="P237" s="49" t="s">
        <v>1246</v>
      </c>
      <c r="Q237" s="49" t="s">
        <v>83</v>
      </c>
      <c r="R237" s="386"/>
      <c r="S237" s="43">
        <v>11</v>
      </c>
      <c r="T237" s="146" t="s">
        <v>1266</v>
      </c>
      <c r="U237" s="146" t="s">
        <v>1267</v>
      </c>
      <c r="V237" s="487"/>
      <c r="X237" s="495" t="s">
        <v>395</v>
      </c>
      <c r="Y237" s="431" t="s">
        <v>2869</v>
      </c>
      <c r="Z237" s="432"/>
      <c r="AA237" s="441" t="str">
        <f t="shared" ref="AA237:AA241" si="370">IF(Z237&gt;E237,"q",IF(Z237&lt;E237,"p","u"))</f>
        <v>p</v>
      </c>
      <c r="AB237" s="134">
        <f t="shared" si="361"/>
        <v>0</v>
      </c>
      <c r="AC237" s="134">
        <f t="shared" si="362"/>
        <v>0</v>
      </c>
      <c r="AD237" s="134">
        <f t="shared" si="363"/>
        <v>0</v>
      </c>
      <c r="AE237" s="134">
        <f t="shared" si="364"/>
        <v>0</v>
      </c>
      <c r="AF237" s="432"/>
      <c r="AG237" s="436" t="str">
        <f t="shared" ref="AG237:AG241" si="371">IF(AF237&gt;F237,"q",IF(AF237&lt;F237,"p","u"))</f>
        <v>p</v>
      </c>
      <c r="AH237" s="134">
        <f t="shared" si="366"/>
        <v>0</v>
      </c>
      <c r="AI237" s="134">
        <f t="shared" si="367"/>
        <v>0</v>
      </c>
      <c r="AJ237" s="134">
        <f t="shared" si="368"/>
        <v>0</v>
      </c>
      <c r="AK237" s="134">
        <f t="shared" si="369"/>
        <v>0</v>
      </c>
      <c r="AL237" s="470"/>
    </row>
    <row r="238" spans="2:39" hidden="1" x14ac:dyDescent="0.25">
      <c r="B238" s="49" t="s">
        <v>417</v>
      </c>
      <c r="C238" s="168" t="s">
        <v>2552</v>
      </c>
      <c r="D238" s="119">
        <f t="shared" si="355"/>
        <v>11</v>
      </c>
      <c r="E238" s="366">
        <f t="array" ref="E238">IF(U238="YES",IF(T238="YES",MIN(IF(TKA[Load Capability Reference]=CONCATENATE(P238,Q238,S238,R238),TKA[Lowest A-PTX])),MIN(IF(TKA[Load Capability Reference]=CONCATENATE(P238,Q238,S238,R238),IF(TKA[Equipment ID]&lt;&gt;O238,TKA[Lowest A-PTX])))),IF(T238="YES",MIN(IF(TKA[Load Capability Reference]=CONCATENATE(P238,Q238,S238,R238),TKA[Lowest A-No PTX])),MIN(IF(TKA[Load Capability Reference]=CONCATENATE(P238,Q238,S238,R238),IF(TKA[Equipment ID]&lt;&gt;O238,TKA[Lowest A-No PTX])))))</f>
        <v>186.61829999999998</v>
      </c>
      <c r="F238" s="119">
        <f>IFERROR(IFERROR(VLOOKUP(CONCATENATE(P238,Q238,O238,S238,"Protection"),TKA[[OC Protection Reference]:[Forward A]],23,0),VLOOKUP(O238,AEL_Protection_Data[],12,0)),"N/A")</f>
        <v>276</v>
      </c>
      <c r="G238" s="119">
        <f t="shared" si="356"/>
        <v>145</v>
      </c>
      <c r="H238" s="29">
        <f t="shared" si="357"/>
        <v>2.7626210380723593</v>
      </c>
      <c r="I238" s="119">
        <f t="shared" si="358"/>
        <v>165</v>
      </c>
      <c r="J238" s="29">
        <f t="shared" si="359"/>
        <v>3.1436722157375119</v>
      </c>
      <c r="K238" s="6" t="str">
        <f>IF(U238="Yes",UPPER(IF(ISNUMBER(SEARCH("winding",VLOOKUP(CONCATENATE(P238,Q238,S238,E238),TKA[[Limiting Equipment Reference-PTX]:[Summ Equipment]],7,0))),"Power Transformer Rating at "&amp;ROUND(E238*S238*SQRT(3)/1000,2)&amp;" MVA",VLOOKUP(CONCATENATE(P238,Q238,S238,E238),TKA[[Limiting Equipment Reference-No PTX]:[Summ Equipment]],8,0))),UPPER(VLOOKUP(CONCATENATE(P238,Q238,S238,E238),TKA[[Limiting Equipment Reference-No PTX]:[Summ Equipment]],8,0)))</f>
        <v>CABLE-1-3C 150 MM² AL PILC</v>
      </c>
      <c r="L238" s="373" t="s">
        <v>1267</v>
      </c>
      <c r="M238" s="509" t="s">
        <v>1266</v>
      </c>
      <c r="O238" s="11" t="str">
        <f>"TEK-"&amp;B238</f>
        <v>TEK-M200</v>
      </c>
      <c r="P238" s="49" t="s">
        <v>1276</v>
      </c>
      <c r="Q238" s="49" t="s">
        <v>94</v>
      </c>
      <c r="R238" s="386"/>
      <c r="S238" s="43">
        <v>11</v>
      </c>
      <c r="T238" s="8" t="s">
        <v>1266</v>
      </c>
      <c r="U238" s="8" t="s">
        <v>1266</v>
      </c>
      <c r="V238" s="484"/>
      <c r="X238" s="495" t="s">
        <v>417</v>
      </c>
      <c r="Y238" s="431" t="s">
        <v>2552</v>
      </c>
      <c r="Z238" s="432">
        <v>186</v>
      </c>
      <c r="AA238" s="441" t="str">
        <f t="shared" si="370"/>
        <v>p</v>
      </c>
      <c r="AB238" s="134">
        <f t="shared" si="361"/>
        <v>0.61829999999997654</v>
      </c>
      <c r="AC238" s="134">
        <f t="shared" si="362"/>
        <v>1.1780197157517758E-2</v>
      </c>
      <c r="AD238" s="134">
        <f t="shared" si="363"/>
        <v>0</v>
      </c>
      <c r="AE238" s="134">
        <f t="shared" si="364"/>
        <v>0</v>
      </c>
      <c r="AF238" s="432">
        <v>276</v>
      </c>
      <c r="AG238" s="436" t="str">
        <f t="shared" si="371"/>
        <v>u</v>
      </c>
      <c r="AH238" s="134">
        <f t="shared" si="366"/>
        <v>0</v>
      </c>
      <c r="AI238" s="134">
        <f t="shared" si="367"/>
        <v>0</v>
      </c>
      <c r="AJ238" s="134">
        <f t="shared" si="368"/>
        <v>0</v>
      </c>
      <c r="AK238" s="134">
        <f t="shared" si="369"/>
        <v>0</v>
      </c>
      <c r="AL238" s="470" t="s">
        <v>2860</v>
      </c>
    </row>
    <row r="239" spans="2:39" hidden="1" x14ac:dyDescent="0.25">
      <c r="B239" s="49" t="s">
        <v>419</v>
      </c>
      <c r="C239" s="168" t="s">
        <v>2553</v>
      </c>
      <c r="D239" s="119">
        <f t="shared" si="355"/>
        <v>11</v>
      </c>
      <c r="E239" s="366">
        <f t="array" ref="E239">IF(U239="YES",IF(T239="YES",MIN(IF(TKA[Load Capability Reference]=CONCATENATE(P239,Q239,S239,R239),TKA[Lowest A-PTX])),MIN(IF(TKA[Load Capability Reference]=CONCATENATE(P239,Q239,S239,R239),IF(TKA[Equipment ID]&lt;&gt;O239,TKA[Lowest A-PTX])))),IF(T239="YES",MIN(IF(TKA[Load Capability Reference]=CONCATENATE(P239,Q239,S239,R239),TKA[Lowest A-No PTX])),MIN(IF(TKA[Load Capability Reference]=CONCATENATE(P239,Q239,S239,R239),IF(TKA[Equipment ID]&lt;&gt;O239,TKA[Lowest A-No PTX])))))</f>
        <v>73.709391096942639</v>
      </c>
      <c r="F239" s="119">
        <f>IFERROR(IFERROR(VLOOKUP(CONCATENATE(P239,Q239,O239,S239,"Protection"),TKA[[OC Protection Reference]:[Forward A]],23,0),VLOOKUP(O239,AEL_Protection_Data[],12,0)),"N/A")</f>
        <v>250</v>
      </c>
      <c r="G239" s="119">
        <f t="shared" si="356"/>
        <v>55</v>
      </c>
      <c r="H239" s="29">
        <f t="shared" si="357"/>
        <v>1.0478907385791707</v>
      </c>
      <c r="I239" s="119">
        <f t="shared" si="358"/>
        <v>65</v>
      </c>
      <c r="J239" s="29">
        <f t="shared" si="359"/>
        <v>1.2384163274117472</v>
      </c>
      <c r="K239" s="6" t="str">
        <f>IF(U239="Yes",UPPER(IF(ISNUMBER(SEARCH("winding",VLOOKUP(CONCATENATE(P239,Q239,S239,E239),TKA[[Limiting Equipment Reference-PTX]:[Summ Equipment]],7,0))),"Power Transformer Rating at "&amp;ROUND(E239*S239*SQRT(3)/1000,2)&amp;" MVA",VLOOKUP(CONCATENATE(P239,Q239,S239,E239),TKA[[Limiting Equipment Reference-No PTX]:[Summ Equipment]],8,0))),UPPER(VLOOKUP(CONCATENATE(P239,Q239,S239,E239),TKA[[Limiting Equipment Reference-No PTX]:[Summ Equipment]],8,0)))</f>
        <v>OH LINE-HERRING</v>
      </c>
      <c r="L239" s="373" t="s">
        <v>1267</v>
      </c>
      <c r="M239" s="509" t="s">
        <v>1267</v>
      </c>
      <c r="O239" s="11" t="str">
        <f t="shared" ref="O239:O241" si="372">"TEK-"&amp;B239</f>
        <v>TEK-M201</v>
      </c>
      <c r="P239" s="49" t="s">
        <v>1276</v>
      </c>
      <c r="Q239" s="49" t="s">
        <v>107</v>
      </c>
      <c r="R239" s="386"/>
      <c r="S239" s="43">
        <v>11</v>
      </c>
      <c r="T239" s="8" t="s">
        <v>1266</v>
      </c>
      <c r="U239" s="8" t="s">
        <v>1266</v>
      </c>
      <c r="V239" s="484"/>
      <c r="X239" s="495" t="s">
        <v>419</v>
      </c>
      <c r="Y239" s="431" t="s">
        <v>2553</v>
      </c>
      <c r="Z239" s="432">
        <v>73</v>
      </c>
      <c r="AA239" s="441" t="str">
        <f t="shared" si="370"/>
        <v>p</v>
      </c>
      <c r="AB239" s="134">
        <f t="shared" si="361"/>
        <v>0.70939109694263891</v>
      </c>
      <c r="AC239" s="134">
        <f t="shared" si="362"/>
        <v>1.3515715645758363E-2</v>
      </c>
      <c r="AD239" s="134">
        <f t="shared" si="363"/>
        <v>0</v>
      </c>
      <c r="AE239" s="134">
        <f t="shared" si="364"/>
        <v>0</v>
      </c>
      <c r="AF239" s="432">
        <v>250</v>
      </c>
      <c r="AG239" s="436" t="str">
        <f t="shared" si="371"/>
        <v>u</v>
      </c>
      <c r="AH239" s="134">
        <f t="shared" si="366"/>
        <v>0</v>
      </c>
      <c r="AI239" s="134">
        <f t="shared" si="367"/>
        <v>0</v>
      </c>
      <c r="AJ239" s="134">
        <f t="shared" si="368"/>
        <v>0</v>
      </c>
      <c r="AK239" s="134">
        <f t="shared" si="369"/>
        <v>0</v>
      </c>
      <c r="AL239" s="470" t="s">
        <v>1267</v>
      </c>
    </row>
    <row r="240" spans="2:39" hidden="1" x14ac:dyDescent="0.25">
      <c r="B240" s="49" t="s">
        <v>420</v>
      </c>
      <c r="C240" s="168" t="s">
        <v>2554</v>
      </c>
      <c r="D240" s="119">
        <f t="shared" si="355"/>
        <v>11</v>
      </c>
      <c r="E240" s="366">
        <f t="array" ref="E240">IF(U240="YES",IF(T240="YES",MIN(IF(TKA[Load Capability Reference]=CONCATENATE(P240,Q240,S240,R240),TKA[Lowest A-PTX])),MIN(IF(TKA[Load Capability Reference]=CONCATENATE(P240,Q240,S240,R240),IF(TKA[Equipment ID]&lt;&gt;O240,TKA[Lowest A-PTX])))),IF(T240="YES",MIN(IF(TKA[Load Capability Reference]=CONCATENATE(P240,Q240,S240,R240),TKA[Lowest A-No PTX])),MIN(IF(TKA[Load Capability Reference]=CONCATENATE(P240,Q240,S240,R240),IF(TKA[Equipment ID]&lt;&gt;O240,TKA[Lowest A-No PTX])))))</f>
        <v>73.709391096942639</v>
      </c>
      <c r="F240" s="119">
        <f>IFERROR(IFERROR(VLOOKUP(CONCATENATE(P240,Q240,O240,S240,"Protection"),TKA[[OC Protection Reference]:[Forward A]],23,0),VLOOKUP(O240,AEL_Protection_Data[],12,0)),"N/A")</f>
        <v>200</v>
      </c>
      <c r="G240" s="119">
        <f t="shared" si="356"/>
        <v>55</v>
      </c>
      <c r="H240" s="29">
        <f t="shared" si="357"/>
        <v>1.0478907385791707</v>
      </c>
      <c r="I240" s="119">
        <f t="shared" si="358"/>
        <v>65</v>
      </c>
      <c r="J240" s="29">
        <f t="shared" si="359"/>
        <v>1.2384163274117472</v>
      </c>
      <c r="K240" s="6" t="str">
        <f>IF(U240="Yes",UPPER(IF(ISNUMBER(SEARCH("winding",VLOOKUP(CONCATENATE(P240,Q240,S240,E240),TKA[[Limiting Equipment Reference-PTX]:[Summ Equipment]],7,0))),"Power Transformer Rating at "&amp;ROUND(E240*S240*SQRT(3)/1000,2)&amp;" MVA",VLOOKUP(CONCATENATE(P240,Q240,S240,E240),TKA[[Limiting Equipment Reference-No PTX]:[Summ Equipment]],8,0))),UPPER(VLOOKUP(CONCATENATE(P240,Q240,S240,E240),TKA[[Limiting Equipment Reference-No PTX]:[Summ Equipment]],8,0)))</f>
        <v>OH LINE-HERRING</v>
      </c>
      <c r="L240" s="373" t="s">
        <v>1267</v>
      </c>
      <c r="M240" s="509" t="s">
        <v>1267</v>
      </c>
      <c r="O240" s="11" t="str">
        <f t="shared" si="372"/>
        <v>TEK-M205</v>
      </c>
      <c r="P240" s="49" t="s">
        <v>1276</v>
      </c>
      <c r="Q240" s="49" t="s">
        <v>118</v>
      </c>
      <c r="R240" s="386"/>
      <c r="S240" s="43">
        <v>11</v>
      </c>
      <c r="T240" s="8" t="s">
        <v>1266</v>
      </c>
      <c r="U240" s="8" t="s">
        <v>1266</v>
      </c>
      <c r="V240" s="484"/>
      <c r="X240" s="495" t="s">
        <v>420</v>
      </c>
      <c r="Y240" s="431" t="s">
        <v>2554</v>
      </c>
      <c r="Z240" s="432">
        <v>73</v>
      </c>
      <c r="AA240" s="441" t="str">
        <f t="shared" si="370"/>
        <v>p</v>
      </c>
      <c r="AB240" s="134">
        <f t="shared" si="361"/>
        <v>0.70939109694263891</v>
      </c>
      <c r="AC240" s="134">
        <f t="shared" si="362"/>
        <v>1.3515715645758363E-2</v>
      </c>
      <c r="AD240" s="134">
        <f t="shared" si="363"/>
        <v>0</v>
      </c>
      <c r="AE240" s="134">
        <f t="shared" si="364"/>
        <v>0</v>
      </c>
      <c r="AF240" s="432">
        <v>200</v>
      </c>
      <c r="AG240" s="436" t="str">
        <f t="shared" si="371"/>
        <v>u</v>
      </c>
      <c r="AH240" s="134">
        <f t="shared" si="366"/>
        <v>0</v>
      </c>
      <c r="AI240" s="134">
        <f t="shared" si="367"/>
        <v>0</v>
      </c>
      <c r="AJ240" s="134">
        <f t="shared" si="368"/>
        <v>0</v>
      </c>
      <c r="AK240" s="134">
        <f t="shared" si="369"/>
        <v>0</v>
      </c>
      <c r="AL240" s="470" t="s">
        <v>1267</v>
      </c>
    </row>
    <row r="241" spans="2:39" ht="15.75" hidden="1" thickBot="1" x14ac:dyDescent="0.3">
      <c r="B241" s="374" t="s">
        <v>421</v>
      </c>
      <c r="C241" s="375" t="s">
        <v>2555</v>
      </c>
      <c r="D241" s="377">
        <f t="shared" si="355"/>
        <v>11</v>
      </c>
      <c r="E241" s="376">
        <f t="array" ref="E241">IF(U241="YES",IF(T241="YES",MIN(IF(TKA[Load Capability Reference]=CONCATENATE(P241,Q241,S241,R241),TKA[Lowest A-PTX])),MIN(IF(TKA[Load Capability Reference]=CONCATENATE(P241,Q241,S241,R241),IF(TKA[Equipment ID]&lt;&gt;O241,TKA[Lowest A-PTX])))),IF(T241="YES",MIN(IF(TKA[Load Capability Reference]=CONCATENATE(P241,Q241,S241,R241),TKA[Lowest A-No PTX])),MIN(IF(TKA[Load Capability Reference]=CONCATENATE(P241,Q241,S241,R241),IF(TKA[Equipment ID]&lt;&gt;O241,TKA[Lowest A-No PTX])))))</f>
        <v>186.61829999999998</v>
      </c>
      <c r="F241" s="377">
        <f>IFERROR(IFERROR(VLOOKUP(CONCATENATE(P241,Q241,O241,S241,"Protection"),TKA[[OC Protection Reference]:[Forward A]],23,0),VLOOKUP(O241,AEL_Protection_Data[],12,0)),"N/A")</f>
        <v>276</v>
      </c>
      <c r="G241" s="377">
        <f t="shared" si="356"/>
        <v>145</v>
      </c>
      <c r="H241" s="185">
        <f t="shared" si="357"/>
        <v>2.7626210380723593</v>
      </c>
      <c r="I241" s="377">
        <f t="shared" si="358"/>
        <v>165</v>
      </c>
      <c r="J241" s="185">
        <f t="shared" si="359"/>
        <v>3.1436722157375119</v>
      </c>
      <c r="K241" s="191" t="str">
        <f>IF(U241="Yes",UPPER(IF(ISNUMBER(SEARCH("winding",VLOOKUP(CONCATENATE(P241,Q241,S241,E241),TKA[[Limiting Equipment Reference-PTX]:[Summ Equipment]],7,0))),"Power Transformer Rating at "&amp;ROUND(E241*S241*SQRT(3)/1000,2)&amp;" MVA",VLOOKUP(CONCATENATE(P241,Q241,S241,E241),TKA[[Limiting Equipment Reference-No PTX]:[Summ Equipment]],8,0))),UPPER(VLOOKUP(CONCATENATE(P241,Q241,S241,E241),TKA[[Limiting Equipment Reference-No PTX]:[Summ Equipment]],8,0)))</f>
        <v>CABLE-1-3C 150 MM² AL PILC</v>
      </c>
      <c r="L241" s="378" t="s">
        <v>1267</v>
      </c>
      <c r="M241" s="511" t="s">
        <v>1266</v>
      </c>
      <c r="O241" s="514" t="str">
        <f t="shared" si="372"/>
        <v>TEK-M206</v>
      </c>
      <c r="P241" s="374" t="s">
        <v>1276</v>
      </c>
      <c r="Q241" s="374" t="s">
        <v>129</v>
      </c>
      <c r="R241" s="387"/>
      <c r="S241" s="175">
        <v>11</v>
      </c>
      <c r="T241" s="201" t="s">
        <v>1266</v>
      </c>
      <c r="U241" s="201" t="s">
        <v>1266</v>
      </c>
      <c r="V241" s="485"/>
      <c r="X241" s="497" t="s">
        <v>421</v>
      </c>
      <c r="Y241" s="433" t="s">
        <v>2555</v>
      </c>
      <c r="Z241" s="434">
        <v>186</v>
      </c>
      <c r="AA241" s="442" t="str">
        <f t="shared" si="370"/>
        <v>p</v>
      </c>
      <c r="AB241" s="451">
        <f t="shared" si="361"/>
        <v>0.61829999999997654</v>
      </c>
      <c r="AC241" s="451">
        <f t="shared" si="362"/>
        <v>1.1780197157517758E-2</v>
      </c>
      <c r="AD241" s="451">
        <f t="shared" si="363"/>
        <v>0</v>
      </c>
      <c r="AE241" s="451">
        <f t="shared" si="364"/>
        <v>0</v>
      </c>
      <c r="AF241" s="434">
        <v>276</v>
      </c>
      <c r="AG241" s="437" t="str">
        <f t="shared" si="371"/>
        <v>u</v>
      </c>
      <c r="AH241" s="451">
        <f t="shared" si="366"/>
        <v>0</v>
      </c>
      <c r="AI241" s="451">
        <f t="shared" si="367"/>
        <v>0</v>
      </c>
      <c r="AJ241" s="451">
        <f t="shared" si="368"/>
        <v>0</v>
      </c>
      <c r="AK241" s="451">
        <f t="shared" si="369"/>
        <v>0</v>
      </c>
      <c r="AL241" s="471" t="s">
        <v>2860</v>
      </c>
    </row>
    <row r="242" spans="2:39" hidden="1" x14ac:dyDescent="0.25">
      <c r="B242" s="40"/>
      <c r="C242" s="1"/>
      <c r="D242" s="44"/>
      <c r="E242" s="44"/>
      <c r="F242" s="44"/>
      <c r="G242" s="44"/>
      <c r="H242" s="403"/>
      <c r="I242" s="44"/>
      <c r="J242" s="403"/>
      <c r="K242" s="1"/>
      <c r="L242" s="2"/>
      <c r="M242" s="2"/>
      <c r="S242" s="1"/>
      <c r="T242" s="363"/>
      <c r="U242" s="363"/>
      <c r="V242" s="2"/>
      <c r="X242" s="427" t="s">
        <v>83</v>
      </c>
      <c r="AB242" s="449">
        <f>SUM(AB234:AB241)</f>
        <v>2.6553821938852309</v>
      </c>
      <c r="AC242" s="449">
        <f t="shared" ref="AC242:AE242" si="373">SUM(AC234:AC241)</f>
        <v>5.0591825606552246E-2</v>
      </c>
      <c r="AD242" s="449">
        <f t="shared" si="373"/>
        <v>22.999999999999972</v>
      </c>
      <c r="AE242" s="449">
        <f t="shared" si="373"/>
        <v>1.3146265629447762</v>
      </c>
      <c r="AH242" s="449">
        <f>SUM(AH234:AH241)</f>
        <v>0</v>
      </c>
      <c r="AI242" s="449">
        <f t="shared" ref="AI242:AK242" si="374">SUM(AI234:AI241)</f>
        <v>0</v>
      </c>
      <c r="AJ242" s="449">
        <f t="shared" si="374"/>
        <v>0</v>
      </c>
      <c r="AK242" s="449">
        <f t="shared" si="374"/>
        <v>0</v>
      </c>
    </row>
    <row r="243" spans="2:39" ht="27" hidden="1" thickBot="1" x14ac:dyDescent="0.3">
      <c r="B243" s="584" t="s">
        <v>2556</v>
      </c>
      <c r="C243" s="582"/>
      <c r="D243" s="582"/>
      <c r="E243" s="582"/>
      <c r="F243" s="582"/>
      <c r="G243" s="582"/>
      <c r="H243" s="582"/>
      <c r="I243" s="582"/>
      <c r="J243" s="582"/>
      <c r="K243" s="582"/>
      <c r="L243" s="582"/>
      <c r="M243" s="583"/>
      <c r="O243" s="551" t="s">
        <v>2391</v>
      </c>
      <c r="P243" s="552"/>
      <c r="Q243" s="552"/>
      <c r="R243" s="552"/>
      <c r="S243" s="552"/>
      <c r="T243" s="552"/>
      <c r="U243" s="552"/>
      <c r="V243" s="553"/>
      <c r="X243" s="586" t="str">
        <f>B243&amp;"-OLD"</f>
        <v>UNWIN HUT SUBSTATION (E152)-OLD</v>
      </c>
      <c r="Y243" s="587"/>
      <c r="Z243" s="587"/>
      <c r="AA243" s="587"/>
      <c r="AB243" s="587"/>
      <c r="AC243" s="587"/>
      <c r="AD243" s="587"/>
      <c r="AE243" s="587"/>
      <c r="AF243" s="587"/>
      <c r="AG243" s="587"/>
      <c r="AH243" s="587"/>
      <c r="AI243" s="587"/>
      <c r="AJ243" s="587"/>
      <c r="AK243" s="587"/>
      <c r="AL243" s="588"/>
      <c r="AM243" s="481"/>
    </row>
    <row r="244" spans="2:39" ht="15.75" hidden="1" thickBot="1" x14ac:dyDescent="0.3">
      <c r="B244" s="571" t="str">
        <f t="shared" ref="B244:G244" si="375">B6</f>
        <v>CB ID</v>
      </c>
      <c r="C244" s="545" t="str">
        <f t="shared" si="375"/>
        <v>DESIGNATION</v>
      </c>
      <c r="D244" s="382" t="str">
        <f t="shared" si="375"/>
        <v>Rated</v>
      </c>
      <c r="E244" s="572" t="str">
        <f t="shared" si="375"/>
        <v>LOAD
CAPABILITY</v>
      </c>
      <c r="F244" s="572" t="str">
        <f t="shared" si="375"/>
        <v>OC
PICKUP</v>
      </c>
      <c r="G244" s="559" t="str">
        <f t="shared" si="375"/>
        <v>SCADA ALARM</v>
      </c>
      <c r="H244" s="560"/>
      <c r="I244" s="560"/>
      <c r="J244" s="561"/>
      <c r="K244" s="574" t="str">
        <f>K6</f>
        <v>LIMITING EQUIPMENT</v>
      </c>
      <c r="L244" s="575" t="str">
        <f>L6</f>
        <v>RECLOSING</v>
      </c>
      <c r="M244" s="576"/>
      <c r="O244" s="554" t="str">
        <f>O6</f>
        <v>OC Pick up
Reference ID</v>
      </c>
      <c r="P244" s="557" t="str">
        <f>P6</f>
        <v>Supply Level</v>
      </c>
      <c r="Q244" s="566" t="str">
        <f>Q6</f>
        <v>Station/Feeder</v>
      </c>
      <c r="R244" s="567" t="str">
        <f t="shared" ref="R244" si="376">$R$6</f>
        <v>Refered
to PTX</v>
      </c>
      <c r="S244" s="569" t="str">
        <f>S6</f>
        <v>Voltage</v>
      </c>
      <c r="T244" s="539" t="str">
        <f>T6</f>
        <v>Include
CB</v>
      </c>
      <c r="U244" s="539" t="str">
        <f>U6</f>
        <v>Include
PTX</v>
      </c>
      <c r="V244" s="542" t="str">
        <f>V6</f>
        <v>Notes</v>
      </c>
      <c r="X244" s="585" t="s">
        <v>1260</v>
      </c>
      <c r="Y244" s="545" t="s">
        <v>1261</v>
      </c>
      <c r="Z244" s="559" t="s">
        <v>2749</v>
      </c>
      <c r="AA244" s="560"/>
      <c r="AB244" s="560"/>
      <c r="AC244" s="560"/>
      <c r="AD244" s="560"/>
      <c r="AE244" s="561"/>
      <c r="AF244" s="559" t="s">
        <v>1268</v>
      </c>
      <c r="AG244" s="560"/>
      <c r="AH244" s="560"/>
      <c r="AI244" s="560"/>
      <c r="AJ244" s="560"/>
      <c r="AK244" s="561"/>
      <c r="AL244" s="546" t="s">
        <v>2857</v>
      </c>
      <c r="AM244" s="466"/>
    </row>
    <row r="245" spans="2:39" ht="15.75" hidden="1" thickBot="1" x14ac:dyDescent="0.3">
      <c r="B245" s="557"/>
      <c r="C245" s="540"/>
      <c r="D245" s="362" t="str">
        <f>D7</f>
        <v>Voltage</v>
      </c>
      <c r="E245" s="573"/>
      <c r="F245" s="573"/>
      <c r="G245" s="544" t="str">
        <f>G7</f>
        <v>Pre-Emergency</v>
      </c>
      <c r="H245" s="544"/>
      <c r="I245" s="544" t="str">
        <f>I7</f>
        <v>Emergency</v>
      </c>
      <c r="J245" s="544"/>
      <c r="K245" s="540"/>
      <c r="L245" s="545" t="str">
        <f>L7</f>
        <v>AVAILABLE</v>
      </c>
      <c r="M245" s="546" t="str">
        <f>M7</f>
        <v>UTILISED</v>
      </c>
      <c r="O245" s="555"/>
      <c r="P245" s="557"/>
      <c r="Q245" s="557"/>
      <c r="R245" s="567"/>
      <c r="S245" s="569"/>
      <c r="T245" s="540"/>
      <c r="U245" s="540"/>
      <c r="V245" s="542"/>
      <c r="X245" s="555"/>
      <c r="Y245" s="540"/>
      <c r="Z245" s="589"/>
      <c r="AA245" s="590"/>
      <c r="AB245" s="590"/>
      <c r="AC245" s="590"/>
      <c r="AD245" s="590"/>
      <c r="AE245" s="591"/>
      <c r="AF245" s="589"/>
      <c r="AG245" s="590"/>
      <c r="AH245" s="590"/>
      <c r="AI245" s="590"/>
      <c r="AJ245" s="590"/>
      <c r="AK245" s="591"/>
      <c r="AL245" s="577"/>
      <c r="AM245" s="466"/>
    </row>
    <row r="246" spans="2:39" ht="15.75" hidden="1" thickBot="1" x14ac:dyDescent="0.3">
      <c r="B246" s="558"/>
      <c r="C246" s="541"/>
      <c r="D246" s="345" t="str">
        <f>D8</f>
        <v>(kV)</v>
      </c>
      <c r="E246" s="345" t="str">
        <f>E8</f>
        <v>(A)</v>
      </c>
      <c r="F246" s="345" t="str">
        <f>F8</f>
        <v>(A)</v>
      </c>
      <c r="G246" s="406" t="str">
        <f>G8</f>
        <v>(A)</v>
      </c>
      <c r="H246" s="407" t="str">
        <f>H8</f>
        <v>(MVA)</v>
      </c>
      <c r="I246" s="406" t="str">
        <f>I8</f>
        <v>(A)</v>
      </c>
      <c r="J246" s="407" t="str">
        <f>J8</f>
        <v>(MVA)</v>
      </c>
      <c r="K246" s="541"/>
      <c r="L246" s="541"/>
      <c r="M246" s="547"/>
      <c r="O246" s="556"/>
      <c r="P246" s="558"/>
      <c r="Q246" s="558"/>
      <c r="R246" s="568"/>
      <c r="S246" s="570"/>
      <c r="T246" s="541"/>
      <c r="U246" s="541"/>
      <c r="V246" s="543"/>
      <c r="X246" s="556"/>
      <c r="Y246" s="541"/>
      <c r="Z246" s="428" t="s">
        <v>26</v>
      </c>
      <c r="AA246" s="439" t="s">
        <v>2861</v>
      </c>
      <c r="AB246" s="450" t="s">
        <v>2959</v>
      </c>
      <c r="AC246" s="450" t="s">
        <v>2960</v>
      </c>
      <c r="AD246" s="450" t="s">
        <v>2957</v>
      </c>
      <c r="AE246" s="450" t="s">
        <v>2958</v>
      </c>
      <c r="AF246" s="428" t="s">
        <v>26</v>
      </c>
      <c r="AG246" s="439" t="s">
        <v>2861</v>
      </c>
      <c r="AH246" s="450" t="s">
        <v>2959</v>
      </c>
      <c r="AI246" s="450" t="s">
        <v>2960</v>
      </c>
      <c r="AJ246" s="450" t="s">
        <v>2957</v>
      </c>
      <c r="AK246" s="450" t="s">
        <v>2958</v>
      </c>
      <c r="AL246" s="547"/>
      <c r="AM246" s="466"/>
    </row>
    <row r="247" spans="2:39" hidden="1" x14ac:dyDescent="0.25">
      <c r="B247" s="38" t="s">
        <v>1347</v>
      </c>
      <c r="C247" s="3" t="s">
        <v>2594</v>
      </c>
      <c r="D247" s="61">
        <f t="shared" ref="D247:D249" si="377">ROUNDDOWN(S247,0)</f>
        <v>33</v>
      </c>
      <c r="E247" s="369">
        <f t="array" ref="E247">IF(U247="YES",IF(T247="YES",MIN(IF(TKA[Load Capability Reference]=CONCATENATE(P247,Q247,S247,R247),TKA[Lowest A-PTX])),MIN(IF(TKA[Load Capability Reference]=CONCATENATE(P247,Q247,S247,R247),IF(TKA[Equipment ID]&lt;&gt;O247,TKA[Lowest A-PTX])))),IF(T247="YES",MIN(IF(TKA[Load Capability Reference]=CONCATENATE(P247,Q247,S247,R247),TKA[Lowest A-No PTX])),MIN(IF(TKA[Load Capability Reference]=CONCATENATE(P247,Q247,S247,R247),IF(TKA[Equipment ID]&lt;&gt;O247,TKA[Lowest A-No PTX])))))</f>
        <v>26.2431940540739</v>
      </c>
      <c r="F247" s="61">
        <f>IFERROR(IFERROR(VLOOKUP(CONCATENATE(P247,Q247,O247,S247,"Protection"),TKA[[OC Protection Reference]:[Forward A]],23,0),VLOOKUP(O247,AEL_Protection_Data[],12,0)),"N/A")</f>
        <v>50</v>
      </c>
      <c r="G247" s="61">
        <f t="shared" ref="G247:G249" si="378">IFERROR(FLOOR(MIN(E247:F247)*$D$3,5),"")</f>
        <v>20</v>
      </c>
      <c r="H247" s="5">
        <f t="shared" ref="H247:H249" si="379">G247*S247*SQRT(3)/1000</f>
        <v>1.143153532995459</v>
      </c>
      <c r="I247" s="61">
        <f>IFERROR(FLOOR(MIN(E247:F247)*$D$2,5),"")</f>
        <v>20</v>
      </c>
      <c r="J247" s="5">
        <f t="shared" ref="J247:J249" si="380">I247*S247*SQRT(3)/1000</f>
        <v>1.143153532995459</v>
      </c>
      <c r="K247" s="3" t="str">
        <f>IF(U247="Yes",UPPER(IF(ISNUMBER(SEARCH("winding",VLOOKUP(CONCATENATE(P247,Q247,S247,E247),TKA[[Limiting Equipment Reference-PTX]:[Summ Equipment]],7,0))),"Power Transformer Rating at "&amp;ROUND(E247*S247*SQRT(3)/1000,2)&amp;" MVA",VLOOKUP(CONCATENATE(P247,Q247,S247,E247),TKA[[Limiting Equipment Reference-No PTX]:[Summ Equipment]],8,0))),UPPER(VLOOKUP(CONCATENATE(P247,Q247,S247,E247),TKA[[Limiting Equipment Reference-No PTX]:[Summ Equipment]],8,0)))</f>
        <v>POWER TRANSFORMER RATING AT 1.5 MVA</v>
      </c>
      <c r="L247" s="372" t="s">
        <v>1266</v>
      </c>
      <c r="M247" s="508" t="s">
        <v>1162</v>
      </c>
      <c r="O247" s="10" t="str">
        <f>"UHT-"&amp;B247</f>
        <v>UHT-M302</v>
      </c>
      <c r="P247" s="38" t="s">
        <v>1246</v>
      </c>
      <c r="Q247" s="38" t="s">
        <v>163</v>
      </c>
      <c r="R247" s="389"/>
      <c r="S247" s="139">
        <v>33</v>
      </c>
      <c r="T247" s="4" t="s">
        <v>1266</v>
      </c>
      <c r="U247" s="4" t="s">
        <v>1267</v>
      </c>
      <c r="V247" s="486"/>
      <c r="X247" s="494" t="s">
        <v>1347</v>
      </c>
      <c r="Y247" s="429" t="s">
        <v>2927</v>
      </c>
      <c r="Z247" s="430">
        <v>26</v>
      </c>
      <c r="AA247" s="440" t="str">
        <f t="shared" ref="AA247:AA249" si="381">IF(Z247&gt;E247,"q",IF(Z247&lt;E247,"p","u"))</f>
        <v>p</v>
      </c>
      <c r="AB247" s="453">
        <f t="shared" ref="AB247:AB249" si="382">IF(Z247="",0,IF(Z247-E247&lt;0,ABS(Z247-E247),0))</f>
        <v>0.24319405407389993</v>
      </c>
      <c r="AC247" s="453">
        <f t="shared" ref="AC247:AC249" si="383">AB247*$S247*SQRT(3)/1000</f>
        <v>1.3900407105903369E-2</v>
      </c>
      <c r="AD247" s="453">
        <f t="shared" ref="AD247:AD249" si="384">IF(Z247="",0,IF(Z247-E247&gt;0,ABS(Z247-E247),0))</f>
        <v>0</v>
      </c>
      <c r="AE247" s="453">
        <f t="shared" ref="AE247:AE249" si="385">AD247*$S247*SQRT(3)/1000</f>
        <v>0</v>
      </c>
      <c r="AF247" s="430">
        <v>50</v>
      </c>
      <c r="AG247" s="435" t="str">
        <f t="shared" ref="AG247:AG249" si="386">IF(AF247&gt;F247,"q",IF(AF247&lt;F247,"p","u"))</f>
        <v>u</v>
      </c>
      <c r="AH247" s="453">
        <f t="shared" ref="AH247:AH249" si="387">IF(AF247="",0,IF(AF247-F247&lt;0,ABS(AF247-F247),0))</f>
        <v>0</v>
      </c>
      <c r="AI247" s="453">
        <f t="shared" ref="AI247:AI249" si="388">AH247*$S247*SQRT(3)/1000</f>
        <v>0</v>
      </c>
      <c r="AJ247" s="453">
        <f t="shared" ref="AJ247:AJ249" si="389">IF(AF247="",0,IF(AF247-F247&gt;0,ABS(AF247-F247),0))</f>
        <v>0</v>
      </c>
      <c r="AK247" s="453">
        <f t="shared" ref="AK247:AK249" si="390">AJ247*$S247*SQRT(3)/1000</f>
        <v>0</v>
      </c>
      <c r="AL247" s="469" t="s">
        <v>1266</v>
      </c>
    </row>
    <row r="248" spans="2:39" hidden="1" x14ac:dyDescent="0.25">
      <c r="B248" s="49" t="s">
        <v>413</v>
      </c>
      <c r="C248" s="168" t="s">
        <v>2930</v>
      </c>
      <c r="D248" s="119">
        <f t="shared" si="377"/>
        <v>11</v>
      </c>
      <c r="E248" s="370">
        <f t="array" ref="E248">IF(U248="YES",IF(T248="YES",MIN(IF(TKA[Load Capability Reference]=CONCATENATE(P248,Q248,S248,R248),TKA[Lowest A-PTX])),MIN(IF(TKA[Load Capability Reference]=CONCATENATE(P248,Q248,S248,R248),IF(TKA[Equipment ID]&lt;&gt;O248,TKA[Lowest A-PTX])))),IF(T248="YES",MIN(IF(TKA[Load Capability Reference]=CONCATENATE(P248,Q248,S248,R248),TKA[Lowest A-No PTX])),MIN(IF(TKA[Load Capability Reference]=CONCATENATE(P248,Q248,S248,R248),IF(TKA[Equipment ID]&lt;&gt;O248,TKA[Lowest A-No PTX])))))</f>
        <v>259.7</v>
      </c>
      <c r="F248" s="119">
        <f>IFERROR(IFERROR(VLOOKUP(CONCATENATE(P248,Q248,O248,S248,"Protection"),TKA[[OC Protection Reference]:[Forward A]],23,0),VLOOKUP(O248,AEL_Protection_Data[],12,0)),"N/A")</f>
        <v>100</v>
      </c>
      <c r="G248" s="119">
        <f t="shared" si="378"/>
        <v>80</v>
      </c>
      <c r="H248" s="29">
        <f t="shared" si="379"/>
        <v>1.5242047106606118</v>
      </c>
      <c r="I248" s="119">
        <f>IFERROR(FLOOR(MIN(E248:F248)*$D$2,5),"")</f>
        <v>90</v>
      </c>
      <c r="J248" s="29">
        <f t="shared" si="380"/>
        <v>1.7147302994931883</v>
      </c>
      <c r="K248" s="168" t="str">
        <f>IF(U248="Yes",UPPER(IF(ISNUMBER(SEARCH("winding",VLOOKUP(CONCATENATE(P248,Q248,S248,E248),TKA[[Limiting Equipment Reference-PTX]:[Summ Equipment]],7,0))),"Power Transformer Rating at "&amp;ROUND(E248*S248*SQRT(3)/1000,2)&amp;" MVA",VLOOKUP(CONCATENATE(P248,Q248,S248,E248),TKA[[Limiting Equipment Reference-No PTX]:[Summ Equipment]],8,0))),UPPER(VLOOKUP(CONCATENATE(P248,Q248,S248,E248),TKA[[Limiting Equipment Reference-No PTX]:[Summ Equipment]],8,0)))</f>
        <v>CABLE-1-3C 150 MM² AL PILC</v>
      </c>
      <c r="L248" s="146" t="s">
        <v>1266</v>
      </c>
      <c r="M248" s="509" t="s">
        <v>1162</v>
      </c>
      <c r="O248" s="118" t="str">
        <f>"UHT-"&amp;B248</f>
        <v>UHT-M158</v>
      </c>
      <c r="P248" s="49" t="s">
        <v>1276</v>
      </c>
      <c r="Q248" s="49" t="s">
        <v>172</v>
      </c>
      <c r="R248" s="386"/>
      <c r="S248" s="43">
        <v>11</v>
      </c>
      <c r="T248" s="146" t="s">
        <v>1266</v>
      </c>
      <c r="U248" s="146" t="s">
        <v>1266</v>
      </c>
      <c r="V248" s="487"/>
      <c r="X248" s="495" t="s">
        <v>413</v>
      </c>
      <c r="Y248" s="431" t="s">
        <v>2928</v>
      </c>
      <c r="Z248" s="432">
        <v>79</v>
      </c>
      <c r="AA248" s="441" t="str">
        <f t="shared" si="381"/>
        <v>p</v>
      </c>
      <c r="AB248" s="134">
        <f t="shared" si="382"/>
        <v>180.7</v>
      </c>
      <c r="AC248" s="134">
        <f t="shared" si="383"/>
        <v>3.4427973902046571</v>
      </c>
      <c r="AD248" s="134">
        <f t="shared" si="384"/>
        <v>0</v>
      </c>
      <c r="AE248" s="134">
        <f t="shared" si="385"/>
        <v>0</v>
      </c>
      <c r="AF248" s="432">
        <v>100</v>
      </c>
      <c r="AG248" s="436" t="str">
        <f t="shared" si="386"/>
        <v>u</v>
      </c>
      <c r="AH248" s="134">
        <f t="shared" si="387"/>
        <v>0</v>
      </c>
      <c r="AI248" s="134">
        <f t="shared" si="388"/>
        <v>0</v>
      </c>
      <c r="AJ248" s="134">
        <f t="shared" si="389"/>
        <v>0</v>
      </c>
      <c r="AK248" s="134">
        <f t="shared" si="390"/>
        <v>0</v>
      </c>
      <c r="AL248" s="470" t="s">
        <v>1266</v>
      </c>
    </row>
    <row r="249" spans="2:39" ht="15.75" hidden="1" thickBot="1" x14ac:dyDescent="0.3">
      <c r="B249" s="374" t="s">
        <v>416</v>
      </c>
      <c r="C249" s="375" t="s">
        <v>2931</v>
      </c>
      <c r="D249" s="377">
        <f t="shared" si="377"/>
        <v>11</v>
      </c>
      <c r="E249" s="376">
        <f t="array" ref="E249">IF(U249="YES",IF(T249="YES",MIN(IF(TKA[Load Capability Reference]=CONCATENATE(P249,Q249,S249,R249),TKA[Lowest A-PTX])),MIN(IF(TKA[Load Capability Reference]=CONCATENATE(P249,Q249,S249,R249),IF(TKA[Equipment ID]&lt;&gt;O249,TKA[Lowest A-PTX])))),IF(T249="YES",MIN(IF(TKA[Load Capability Reference]=CONCATENATE(P249,Q249,S249,R249),TKA[Lowest A-No PTX])),MIN(IF(TKA[Load Capability Reference]=CONCATENATE(P249,Q249,S249,R249),IF(TKA[Equipment ID]&lt;&gt;O249,TKA[Lowest A-No PTX])))))</f>
        <v>259.7</v>
      </c>
      <c r="F249" s="377">
        <f>IFERROR(IFERROR(VLOOKUP(CONCATENATE(P249,Q249,O249,S249,"Protection"),TKA[[OC Protection Reference]:[Forward A]],23,0),VLOOKUP(O249,AEL_Protection_Data[],12,0)),"N/A")</f>
        <v>100</v>
      </c>
      <c r="G249" s="377">
        <f t="shared" si="378"/>
        <v>80</v>
      </c>
      <c r="H249" s="185">
        <f t="shared" si="379"/>
        <v>1.5242047106606118</v>
      </c>
      <c r="I249" s="377">
        <f>IFERROR(FLOOR(MIN(E249:F249)*$D$2,5),"")</f>
        <v>90</v>
      </c>
      <c r="J249" s="185">
        <f t="shared" si="380"/>
        <v>1.7147302994931883</v>
      </c>
      <c r="K249" s="191" t="str">
        <f>IF(U249="Yes",UPPER(IF(ISNUMBER(SEARCH("winding",VLOOKUP(CONCATENATE(P249,Q249,S249,E249),TKA[[Limiting Equipment Reference-PTX]:[Summ Equipment]],7,0))),"Power Transformer Rating at "&amp;ROUND(E249*S249*SQRT(3)/1000,2)&amp;" MVA",VLOOKUP(CONCATENATE(P249,Q249,S249,E249),TKA[[Limiting Equipment Reference-No PTX]:[Summ Equipment]],8,0))),UPPER(VLOOKUP(CONCATENATE(P249,Q249,S249,E249),TKA[[Limiting Equipment Reference-No PTX]:[Summ Equipment]],8,0)))</f>
        <v>CABLE-1-3C 150 MM² AL PILC</v>
      </c>
      <c r="L249" s="379" t="s">
        <v>1266</v>
      </c>
      <c r="M249" s="511" t="s">
        <v>1162</v>
      </c>
      <c r="O249" s="192" t="str">
        <f>"UHT-"&amp;B249</f>
        <v>UHT-M159</v>
      </c>
      <c r="P249" s="374" t="s">
        <v>1276</v>
      </c>
      <c r="Q249" s="374" t="s">
        <v>178</v>
      </c>
      <c r="R249" s="387"/>
      <c r="S249" s="175">
        <v>11</v>
      </c>
      <c r="T249" s="201" t="s">
        <v>1266</v>
      </c>
      <c r="U249" s="201" t="s">
        <v>1266</v>
      </c>
      <c r="V249" s="485"/>
      <c r="X249" s="503" t="s">
        <v>416</v>
      </c>
      <c r="Y249" s="433" t="s">
        <v>2929</v>
      </c>
      <c r="Z249" s="434">
        <v>79</v>
      </c>
      <c r="AA249" s="442" t="str">
        <f t="shared" si="381"/>
        <v>p</v>
      </c>
      <c r="AB249" s="451">
        <f t="shared" si="382"/>
        <v>180.7</v>
      </c>
      <c r="AC249" s="451">
        <f t="shared" si="383"/>
        <v>3.4427973902046571</v>
      </c>
      <c r="AD249" s="451">
        <f t="shared" si="384"/>
        <v>0</v>
      </c>
      <c r="AE249" s="451">
        <f t="shared" si="385"/>
        <v>0</v>
      </c>
      <c r="AF249" s="434">
        <v>100</v>
      </c>
      <c r="AG249" s="437" t="str">
        <f t="shared" si="386"/>
        <v>u</v>
      </c>
      <c r="AH249" s="451">
        <f t="shared" si="387"/>
        <v>0</v>
      </c>
      <c r="AI249" s="451">
        <f t="shared" si="388"/>
        <v>0</v>
      </c>
      <c r="AJ249" s="451">
        <f t="shared" si="389"/>
        <v>0</v>
      </c>
      <c r="AK249" s="451">
        <f t="shared" si="390"/>
        <v>0</v>
      </c>
      <c r="AL249" s="471" t="s">
        <v>1266</v>
      </c>
    </row>
    <row r="250" spans="2:39" hidden="1" x14ac:dyDescent="0.25">
      <c r="B250" s="40"/>
      <c r="C250" s="1"/>
      <c r="D250" s="44"/>
      <c r="E250" s="44"/>
      <c r="F250" s="44"/>
      <c r="G250" s="44"/>
      <c r="H250" s="403"/>
      <c r="I250" s="44"/>
      <c r="J250" s="403"/>
      <c r="K250" s="1"/>
      <c r="L250" s="2"/>
      <c r="M250" s="2"/>
      <c r="S250" s="1"/>
      <c r="T250" s="363"/>
      <c r="U250" s="363"/>
      <c r="V250" s="2"/>
      <c r="X250" s="427" t="s">
        <v>163</v>
      </c>
      <c r="AB250" s="449">
        <f>SUM(AB247:AB249)</f>
        <v>361.64319405407389</v>
      </c>
      <c r="AC250" s="449">
        <f t="shared" ref="AC250:AE250" si="391">SUM(AC247:AC249)</f>
        <v>6.8994951875152175</v>
      </c>
      <c r="AD250" s="449">
        <f t="shared" si="391"/>
        <v>0</v>
      </c>
      <c r="AE250" s="449">
        <f t="shared" si="391"/>
        <v>0</v>
      </c>
      <c r="AH250" s="449">
        <f>SUM(AH247:AH249)</f>
        <v>0</v>
      </c>
      <c r="AI250" s="449">
        <f t="shared" ref="AI250:AK250" si="392">SUM(AI247:AI249)</f>
        <v>0</v>
      </c>
      <c r="AJ250" s="449">
        <f t="shared" si="392"/>
        <v>0</v>
      </c>
      <c r="AK250" s="449">
        <f t="shared" si="392"/>
        <v>0</v>
      </c>
    </row>
    <row r="251" spans="2:39" ht="27" hidden="1" thickBot="1" x14ac:dyDescent="0.3">
      <c r="B251" s="584" t="s">
        <v>2557</v>
      </c>
      <c r="C251" s="582"/>
      <c r="D251" s="582"/>
      <c r="E251" s="582"/>
      <c r="F251" s="582"/>
      <c r="G251" s="582"/>
      <c r="H251" s="582"/>
      <c r="I251" s="582"/>
      <c r="J251" s="582"/>
      <c r="K251" s="582"/>
      <c r="L251" s="582"/>
      <c r="M251" s="583"/>
      <c r="O251" s="551" t="s">
        <v>2391</v>
      </c>
      <c r="P251" s="552"/>
      <c r="Q251" s="552"/>
      <c r="R251" s="552"/>
      <c r="S251" s="552"/>
      <c r="T251" s="552"/>
      <c r="U251" s="552"/>
      <c r="V251" s="553"/>
      <c r="X251" s="586" t="str">
        <f>B251&amp;"-OLD"</f>
        <v>OLD MAN RANGE SUBSTATION (E352)-OLD</v>
      </c>
      <c r="Y251" s="587"/>
      <c r="Z251" s="587"/>
      <c r="AA251" s="587"/>
      <c r="AB251" s="587"/>
      <c r="AC251" s="587"/>
      <c r="AD251" s="587"/>
      <c r="AE251" s="587"/>
      <c r="AF251" s="587"/>
      <c r="AG251" s="587"/>
      <c r="AH251" s="587"/>
      <c r="AI251" s="587"/>
      <c r="AJ251" s="587"/>
      <c r="AK251" s="587"/>
      <c r="AL251" s="588"/>
      <c r="AM251" s="481"/>
    </row>
    <row r="252" spans="2:39" ht="15.75" hidden="1" thickBot="1" x14ac:dyDescent="0.3">
      <c r="B252" s="571" t="str">
        <f t="shared" ref="B252:G252" si="393">B6</f>
        <v>CB ID</v>
      </c>
      <c r="C252" s="545" t="str">
        <f t="shared" si="393"/>
        <v>DESIGNATION</v>
      </c>
      <c r="D252" s="382" t="str">
        <f t="shared" si="393"/>
        <v>Rated</v>
      </c>
      <c r="E252" s="572" t="str">
        <f t="shared" si="393"/>
        <v>LOAD
CAPABILITY</v>
      </c>
      <c r="F252" s="572" t="str">
        <f t="shared" si="393"/>
        <v>OC
PICKUP</v>
      </c>
      <c r="G252" s="559" t="str">
        <f t="shared" si="393"/>
        <v>SCADA ALARM</v>
      </c>
      <c r="H252" s="560"/>
      <c r="I252" s="560"/>
      <c r="J252" s="561"/>
      <c r="K252" s="574" t="str">
        <f>K6</f>
        <v>LIMITING EQUIPMENT</v>
      </c>
      <c r="L252" s="575" t="str">
        <f>L6</f>
        <v>RECLOSING</v>
      </c>
      <c r="M252" s="576"/>
      <c r="O252" s="554" t="str">
        <f>O6</f>
        <v>OC Pick up
Reference ID</v>
      </c>
      <c r="P252" s="557" t="str">
        <f>P6</f>
        <v>Supply Level</v>
      </c>
      <c r="Q252" s="566" t="str">
        <f>Q6</f>
        <v>Station/Feeder</v>
      </c>
      <c r="R252" s="567" t="str">
        <f t="shared" ref="R252" si="394">$R$6</f>
        <v>Refered
to PTX</v>
      </c>
      <c r="S252" s="569" t="str">
        <f>S6</f>
        <v>Voltage</v>
      </c>
      <c r="T252" s="539" t="str">
        <f>T6</f>
        <v>Include
CB</v>
      </c>
      <c r="U252" s="539" t="str">
        <f>U6</f>
        <v>Include
PTX</v>
      </c>
      <c r="V252" s="542" t="str">
        <f>V6</f>
        <v>Notes</v>
      </c>
      <c r="X252" s="585" t="s">
        <v>1260</v>
      </c>
      <c r="Y252" s="545" t="s">
        <v>1261</v>
      </c>
      <c r="Z252" s="559" t="s">
        <v>2749</v>
      </c>
      <c r="AA252" s="560"/>
      <c r="AB252" s="560"/>
      <c r="AC252" s="560"/>
      <c r="AD252" s="560"/>
      <c r="AE252" s="561"/>
      <c r="AF252" s="559" t="s">
        <v>1268</v>
      </c>
      <c r="AG252" s="560"/>
      <c r="AH252" s="560"/>
      <c r="AI252" s="560"/>
      <c r="AJ252" s="560"/>
      <c r="AK252" s="561"/>
      <c r="AL252" s="546" t="s">
        <v>2857</v>
      </c>
      <c r="AM252" s="466"/>
    </row>
    <row r="253" spans="2:39" ht="15.75" hidden="1" thickBot="1" x14ac:dyDescent="0.3">
      <c r="B253" s="557"/>
      <c r="C253" s="540"/>
      <c r="D253" s="362" t="str">
        <f>D7</f>
        <v>Voltage</v>
      </c>
      <c r="E253" s="573"/>
      <c r="F253" s="573"/>
      <c r="G253" s="544" t="str">
        <f>G7</f>
        <v>Pre-Emergency</v>
      </c>
      <c r="H253" s="544"/>
      <c r="I253" s="544" t="str">
        <f>I7</f>
        <v>Emergency</v>
      </c>
      <c r="J253" s="544"/>
      <c r="K253" s="540"/>
      <c r="L253" s="545" t="str">
        <f>L7</f>
        <v>AVAILABLE</v>
      </c>
      <c r="M253" s="546" t="str">
        <f>M7</f>
        <v>UTILISED</v>
      </c>
      <c r="O253" s="555"/>
      <c r="P253" s="557"/>
      <c r="Q253" s="557"/>
      <c r="R253" s="567"/>
      <c r="S253" s="569"/>
      <c r="T253" s="540"/>
      <c r="U253" s="540"/>
      <c r="V253" s="542"/>
      <c r="X253" s="555"/>
      <c r="Y253" s="540"/>
      <c r="Z253" s="589"/>
      <c r="AA253" s="590"/>
      <c r="AB253" s="590"/>
      <c r="AC253" s="590"/>
      <c r="AD253" s="590"/>
      <c r="AE253" s="591"/>
      <c r="AF253" s="589"/>
      <c r="AG253" s="590"/>
      <c r="AH253" s="590"/>
      <c r="AI253" s="590"/>
      <c r="AJ253" s="590"/>
      <c r="AK253" s="591"/>
      <c r="AL253" s="577"/>
      <c r="AM253" s="466"/>
    </row>
    <row r="254" spans="2:39" ht="15.75" hidden="1" thickBot="1" x14ac:dyDescent="0.3">
      <c r="B254" s="558"/>
      <c r="C254" s="541"/>
      <c r="D254" s="345" t="str">
        <f>D8</f>
        <v>(kV)</v>
      </c>
      <c r="E254" s="345" t="str">
        <f>E8</f>
        <v>(A)</v>
      </c>
      <c r="F254" s="345" t="str">
        <f>F8</f>
        <v>(A)</v>
      </c>
      <c r="G254" s="406" t="str">
        <f>G8</f>
        <v>(A)</v>
      </c>
      <c r="H254" s="407" t="str">
        <f>H8</f>
        <v>(MVA)</v>
      </c>
      <c r="I254" s="406" t="str">
        <f>I8</f>
        <v>(A)</v>
      </c>
      <c r="J254" s="407" t="str">
        <f>J8</f>
        <v>(MVA)</v>
      </c>
      <c r="K254" s="541"/>
      <c r="L254" s="541"/>
      <c r="M254" s="547"/>
      <c r="O254" s="556"/>
      <c r="P254" s="558"/>
      <c r="Q254" s="558"/>
      <c r="R254" s="568"/>
      <c r="S254" s="570"/>
      <c r="T254" s="541"/>
      <c r="U254" s="541"/>
      <c r="V254" s="543"/>
      <c r="X254" s="556"/>
      <c r="Y254" s="541"/>
      <c r="Z254" s="428" t="s">
        <v>26</v>
      </c>
      <c r="AA254" s="439" t="s">
        <v>2861</v>
      </c>
      <c r="AB254" s="450" t="s">
        <v>2959</v>
      </c>
      <c r="AC254" s="450" t="s">
        <v>2960</v>
      </c>
      <c r="AD254" s="450" t="s">
        <v>2957</v>
      </c>
      <c r="AE254" s="450" t="s">
        <v>2958</v>
      </c>
      <c r="AF254" s="428" t="s">
        <v>26</v>
      </c>
      <c r="AG254" s="439" t="s">
        <v>2861</v>
      </c>
      <c r="AH254" s="450" t="s">
        <v>2959</v>
      </c>
      <c r="AI254" s="450" t="s">
        <v>2960</v>
      </c>
      <c r="AJ254" s="450" t="s">
        <v>2957</v>
      </c>
      <c r="AK254" s="450" t="s">
        <v>2958</v>
      </c>
      <c r="AL254" s="547"/>
      <c r="AM254" s="466"/>
    </row>
    <row r="255" spans="2:39" hidden="1" x14ac:dyDescent="0.25">
      <c r="B255" s="49" t="s">
        <v>1336</v>
      </c>
      <c r="C255" s="168" t="s">
        <v>2597</v>
      </c>
      <c r="D255" s="119">
        <f t="shared" ref="D255:D256" si="395">ROUNDDOWN(S255,0)</f>
        <v>11</v>
      </c>
      <c r="E255" s="370">
        <f t="array" ref="E255">IF(U255="YES",IF(T255="YES",MIN(IF(TKA[Load Capability Reference]=CONCATENATE(P255,Q255,S255,R255),TKA[Lowest A-PTX])),MIN(IF(TKA[Load Capability Reference]=CONCATENATE(P255,Q255,S255,R255),IF(TKA[Equipment ID]&lt;&gt;O255,TKA[Lowest A-PTX])))),IF(T255="YES",MIN(IF(TKA[Load Capability Reference]=CONCATENATE(P255,Q255,S255,R255),TKA[Lowest A-No PTX])),MIN(IF(TKA[Load Capability Reference]=CONCATENATE(P255,Q255,S255,R255),IF(TKA[Equipment ID]&lt;&gt;O255,TKA[Lowest A-No PTX])))))</f>
        <v>73.709391096942639</v>
      </c>
      <c r="F255" s="119">
        <f>IFERROR(IFERROR(VLOOKUP(CONCATENATE(P255,Q255,O255,S255,"Protection"),TKA[[OC Protection Reference]:[Forward A]],23,0),VLOOKUP(O255,AEL_Protection_Data[],12,0)),"N/A")</f>
        <v>120</v>
      </c>
      <c r="G255" s="119">
        <f t="shared" ref="G255:G256" si="396">IFERROR(FLOOR(MIN(E255:F255)*$D$3,5),"")</f>
        <v>55</v>
      </c>
      <c r="H255" s="29">
        <f t="shared" ref="H255:H256" si="397">G255*S255*SQRT(3)/1000</f>
        <v>1.0478907385791707</v>
      </c>
      <c r="I255" s="119">
        <f>IFERROR(FLOOR(MIN(E255:F255)*$D$2,5),"")</f>
        <v>65</v>
      </c>
      <c r="J255" s="29">
        <f t="shared" ref="J255:J256" si="398">I255*S255*SQRT(3)/1000</f>
        <v>1.2384163274117472</v>
      </c>
      <c r="K255" s="168" t="str">
        <f>IF(U255="Yes",UPPER(IF(ISNUMBER(SEARCH("winding",VLOOKUP(CONCATENATE(P255,Q255,S255,E255),TKA[[Limiting Equipment Reference-PTX]:[Summ Equipment]],7,0))),"Power Transformer Rating at "&amp;ROUND(E255*S255*SQRT(3)/1000,2)&amp;" MVA",VLOOKUP(CONCATENATE(P255,Q255,S255,E255),TKA[[Limiting Equipment Reference-No PTX]:[Summ Equipment]],8,0))),UPPER(VLOOKUP(CONCATENATE(P255,Q255,S255,E255),TKA[[Limiting Equipment Reference-No PTX]:[Summ Equipment]],8,0)))</f>
        <v>OH LINE-HERRING</v>
      </c>
      <c r="L255" s="373" t="s">
        <v>1266</v>
      </c>
      <c r="M255" s="509" t="s">
        <v>1162</v>
      </c>
      <c r="O255" s="10" t="str">
        <f>"OMR-"&amp;B255</f>
        <v>OMR-M331</v>
      </c>
      <c r="P255" s="38" t="s">
        <v>1277</v>
      </c>
      <c r="Q255" s="38" t="s">
        <v>1443</v>
      </c>
      <c r="R255" s="389"/>
      <c r="S255" s="139">
        <v>11</v>
      </c>
      <c r="T255" s="4" t="s">
        <v>1266</v>
      </c>
      <c r="U255" s="4" t="s">
        <v>1267</v>
      </c>
      <c r="V255" s="486"/>
      <c r="X255" s="494" t="s">
        <v>1336</v>
      </c>
      <c r="Y255" s="429" t="str">
        <f t="shared" ref="Y255:Y256" si="399">IF(X255=B255,C255,"NEW")</f>
        <v>11KV RECLOSER</v>
      </c>
      <c r="Z255" s="430">
        <v>78.7</v>
      </c>
      <c r="AA255" s="440" t="str">
        <f t="shared" ref="AA255:AA256" si="400">IF(Z255&gt;E255,"q",IF(Z255&lt;E255,"p","u"))</f>
        <v>q</v>
      </c>
      <c r="AB255" s="453">
        <f t="shared" ref="AB255:AB256" si="401">IF(Z255="",0,IF(Z255-E255&lt;0,ABS(Z255-E255),0))</f>
        <v>0</v>
      </c>
      <c r="AC255" s="453">
        <f t="shared" ref="AC255:AC256" si="402">AB255*$S255*SQRT(3)/1000</f>
        <v>0</v>
      </c>
      <c r="AD255" s="453">
        <f t="shared" ref="AD255:AD256" si="403">IF(Z255="",0,IF(Z255-E255&gt;0,ABS(Z255-E255),0))</f>
        <v>4.9906089030573639</v>
      </c>
      <c r="AE255" s="453">
        <f t="shared" ref="AE255:AE256" si="404">AD255*$S255*SQRT(3)/1000</f>
        <v>9.5083869988810299E-2</v>
      </c>
      <c r="AF255" s="430">
        <v>120</v>
      </c>
      <c r="AG255" s="435" t="str">
        <f t="shared" ref="AG255:AG256" si="405">IF(AF255&gt;F255,"q",IF(AF255&lt;F255,"p","u"))</f>
        <v>u</v>
      </c>
      <c r="AH255" s="453">
        <f t="shared" ref="AH255:AH256" si="406">IF(AF255="",0,IF(AF255-F255&lt;0,ABS(AF255-F255),0))</f>
        <v>0</v>
      </c>
      <c r="AI255" s="453">
        <f t="shared" ref="AI255:AI256" si="407">AH255*$S255*SQRT(3)/1000</f>
        <v>0</v>
      </c>
      <c r="AJ255" s="453">
        <f t="shared" ref="AJ255:AJ256" si="408">IF(AF255="",0,IF(AF255-F255&gt;0,ABS(AF255-F255),0))</f>
        <v>0</v>
      </c>
      <c r="AK255" s="453">
        <f t="shared" ref="AK255:AK256" si="409">AJ255*$S255*SQRT(3)/1000</f>
        <v>0</v>
      </c>
      <c r="AL255" s="469" t="s">
        <v>1267</v>
      </c>
    </row>
    <row r="256" spans="2:39" ht="15.75" hidden="1" thickBot="1" x14ac:dyDescent="0.3">
      <c r="B256" s="374" t="s">
        <v>1344</v>
      </c>
      <c r="C256" s="375" t="s">
        <v>2598</v>
      </c>
      <c r="D256" s="377">
        <f t="shared" si="395"/>
        <v>22</v>
      </c>
      <c r="E256" s="376">
        <f t="array" ref="E256">IF(U256="YES",IF(T256="YES",MIN(IF(TKA[Load Capability Reference]=CONCATENATE(P256,Q256,S256,R256),TKA[Lowest A-PTX])),MIN(IF(TKA[Load Capability Reference]=CONCATENATE(P256,Q256,S256,R256),IF(TKA[Equipment ID]&lt;&gt;O256,TKA[Lowest A-PTX])))),IF(T256="YES",MIN(IF(TKA[Load Capability Reference]=CONCATENATE(P256,Q256,S256,R256),TKA[Lowest A-No PTX])),MIN(IF(TKA[Load Capability Reference]=CONCATENATE(P256,Q256,S256,R256),IF(TKA[Equipment ID]&lt;&gt;O256,TKA[Lowest A-No PTX])))))</f>
        <v>39.364791081110852</v>
      </c>
      <c r="F256" s="377">
        <f>IFERROR(IFERROR(VLOOKUP(CONCATENATE(P256,Q256,O256,S256,"Protection"),TKA[[OC Protection Reference]:[Forward A]],23,0),VLOOKUP(O256,AEL_Protection_Data[],12,0)),"N/A")</f>
        <v>60</v>
      </c>
      <c r="G256" s="377">
        <f t="shared" si="396"/>
        <v>30</v>
      </c>
      <c r="H256" s="185">
        <f t="shared" si="397"/>
        <v>1.143153532995459</v>
      </c>
      <c r="I256" s="377">
        <f>IFERROR(FLOOR(MIN(E256:F256)*$D$2,5),"")</f>
        <v>35</v>
      </c>
      <c r="J256" s="185">
        <f t="shared" si="398"/>
        <v>1.3336791218280355</v>
      </c>
      <c r="K256" s="191" t="str">
        <f>IF(U256="Yes",UPPER(IF(ISNUMBER(SEARCH("winding",VLOOKUP(CONCATENATE(P256,Q256,S256,E256),TKA[[Limiting Equipment Reference-PTX]:[Summ Equipment]],7,0))),"Power Transformer Rating at "&amp;ROUND(E256*S256*SQRT(3)/1000,2)&amp;" MVA",VLOOKUP(CONCATENATE(P256,Q256,S256,E256),TKA[[Limiting Equipment Reference-No PTX]:[Summ Equipment]],8,0))),UPPER(VLOOKUP(CONCATENATE(P256,Q256,S256,E256),TKA[[Limiting Equipment Reference-No PTX]:[Summ Equipment]],8,0)))</f>
        <v>POWER TRANSFORMER RATING AT 1.5 MVA</v>
      </c>
      <c r="L256" s="378" t="s">
        <v>1267</v>
      </c>
      <c r="M256" s="511" t="s">
        <v>1267</v>
      </c>
      <c r="O256" s="514" t="str">
        <f>"OMR-"&amp;B256</f>
        <v>OMR-M338</v>
      </c>
      <c r="P256" s="374" t="s">
        <v>1276</v>
      </c>
      <c r="Q256" s="374" t="s">
        <v>1444</v>
      </c>
      <c r="R256" s="387"/>
      <c r="S256" s="175">
        <v>22</v>
      </c>
      <c r="T256" s="379" t="s">
        <v>1266</v>
      </c>
      <c r="U256" s="379" t="s">
        <v>1267</v>
      </c>
      <c r="V256" s="488"/>
      <c r="X256" s="503" t="s">
        <v>1344</v>
      </c>
      <c r="Y256" s="433" t="str">
        <f t="shared" si="399"/>
        <v>22KV RECLOSER</v>
      </c>
      <c r="Z256" s="434">
        <v>39.4</v>
      </c>
      <c r="AA256" s="442" t="str">
        <f t="shared" si="400"/>
        <v>q</v>
      </c>
      <c r="AB256" s="451">
        <f t="shared" si="401"/>
        <v>0</v>
      </c>
      <c r="AC256" s="451">
        <f t="shared" si="402"/>
        <v>0</v>
      </c>
      <c r="AD256" s="451">
        <f t="shared" si="403"/>
        <v>3.5208918889146901E-2</v>
      </c>
      <c r="AE256" s="451">
        <f t="shared" si="404"/>
        <v>1.3416400007026277E-3</v>
      </c>
      <c r="AF256" s="434">
        <v>60</v>
      </c>
      <c r="AG256" s="437" t="str">
        <f t="shared" si="405"/>
        <v>u</v>
      </c>
      <c r="AH256" s="451">
        <f t="shared" si="406"/>
        <v>0</v>
      </c>
      <c r="AI256" s="451">
        <f t="shared" si="407"/>
        <v>0</v>
      </c>
      <c r="AJ256" s="451">
        <f t="shared" si="408"/>
        <v>0</v>
      </c>
      <c r="AK256" s="451">
        <f t="shared" si="409"/>
        <v>0</v>
      </c>
      <c r="AL256" s="471" t="s">
        <v>1267</v>
      </c>
    </row>
    <row r="257" spans="2:39" hidden="1" x14ac:dyDescent="0.25">
      <c r="B257" s="40"/>
      <c r="C257" s="1"/>
      <c r="D257" s="44"/>
      <c r="E257" s="44"/>
      <c r="F257" s="44"/>
      <c r="G257" s="44"/>
      <c r="H257" s="403"/>
      <c r="I257" s="44"/>
      <c r="J257" s="403"/>
      <c r="K257" s="1"/>
      <c r="L257" s="2"/>
      <c r="M257" s="2"/>
      <c r="S257" s="1"/>
      <c r="T257" s="363"/>
      <c r="U257" s="363"/>
      <c r="V257" s="2"/>
      <c r="X257" s="427" t="s">
        <v>1443</v>
      </c>
      <c r="AB257" s="449">
        <f>SUM(AB255:AB256)</f>
        <v>0</v>
      </c>
      <c r="AC257" s="449">
        <f t="shared" ref="AC257:AE257" si="410">SUM(AC255:AC256)</f>
        <v>0</v>
      </c>
      <c r="AD257" s="449">
        <f t="shared" si="410"/>
        <v>5.0258178219465108</v>
      </c>
      <c r="AE257" s="449">
        <f t="shared" si="410"/>
        <v>9.6425509989512923E-2</v>
      </c>
      <c r="AH257" s="449">
        <f>SUM(AH255:AH256)</f>
        <v>0</v>
      </c>
      <c r="AI257" s="449">
        <f t="shared" ref="AI257:AK257" si="411">SUM(AI255:AI256)</f>
        <v>0</v>
      </c>
      <c r="AJ257" s="449">
        <f t="shared" si="411"/>
        <v>0</v>
      </c>
      <c r="AK257" s="449">
        <f t="shared" si="411"/>
        <v>0</v>
      </c>
    </row>
    <row r="258" spans="2:39" ht="27" hidden="1" thickBot="1" x14ac:dyDescent="0.3">
      <c r="B258" s="584" t="s">
        <v>2560</v>
      </c>
      <c r="C258" s="582"/>
      <c r="D258" s="582"/>
      <c r="E258" s="582"/>
      <c r="F258" s="582"/>
      <c r="G258" s="582"/>
      <c r="H258" s="582"/>
      <c r="I258" s="582"/>
      <c r="J258" s="582"/>
      <c r="K258" s="582"/>
      <c r="L258" s="582"/>
      <c r="M258" s="583"/>
      <c r="O258" s="551" t="s">
        <v>2391</v>
      </c>
      <c r="P258" s="552"/>
      <c r="Q258" s="552"/>
      <c r="R258" s="552"/>
      <c r="S258" s="552"/>
      <c r="T258" s="552"/>
      <c r="U258" s="552"/>
      <c r="V258" s="553"/>
      <c r="X258" s="586" t="str">
        <f>B258&amp;"-OLD"</f>
        <v>HALDON/LILYBANK SUBSTATION (E117)-OLD</v>
      </c>
      <c r="Y258" s="587"/>
      <c r="Z258" s="587"/>
      <c r="AA258" s="587"/>
      <c r="AB258" s="587"/>
      <c r="AC258" s="587"/>
      <c r="AD258" s="587"/>
      <c r="AE258" s="587"/>
      <c r="AF258" s="587"/>
      <c r="AG258" s="587"/>
      <c r="AH258" s="587"/>
      <c r="AI258" s="587"/>
      <c r="AJ258" s="587"/>
      <c r="AK258" s="587"/>
      <c r="AL258" s="588"/>
      <c r="AM258" s="481"/>
    </row>
    <row r="259" spans="2:39" ht="15.75" hidden="1" thickBot="1" x14ac:dyDescent="0.3">
      <c r="B259" s="571" t="str">
        <f t="shared" ref="B259:G259" si="412">B6</f>
        <v>CB ID</v>
      </c>
      <c r="C259" s="545" t="str">
        <f t="shared" si="412"/>
        <v>DESIGNATION</v>
      </c>
      <c r="D259" s="382" t="str">
        <f t="shared" si="412"/>
        <v>Rated</v>
      </c>
      <c r="E259" s="572" t="str">
        <f t="shared" si="412"/>
        <v>LOAD
CAPABILITY</v>
      </c>
      <c r="F259" s="572" t="str">
        <f t="shared" si="412"/>
        <v>OC
PICKUP</v>
      </c>
      <c r="G259" s="559" t="str">
        <f t="shared" si="412"/>
        <v>SCADA ALARM</v>
      </c>
      <c r="H259" s="560"/>
      <c r="I259" s="560"/>
      <c r="J259" s="561"/>
      <c r="K259" s="574" t="str">
        <f>K6</f>
        <v>LIMITING EQUIPMENT</v>
      </c>
      <c r="L259" s="575" t="str">
        <f>L6</f>
        <v>RECLOSING</v>
      </c>
      <c r="M259" s="576"/>
      <c r="O259" s="554" t="str">
        <f>O6</f>
        <v>OC Pick up
Reference ID</v>
      </c>
      <c r="P259" s="557" t="str">
        <f>P6</f>
        <v>Supply Level</v>
      </c>
      <c r="Q259" s="566" t="str">
        <f>Q6</f>
        <v>Station/Feeder</v>
      </c>
      <c r="R259" s="567" t="str">
        <f t="shared" ref="R259" si="413">$R$6</f>
        <v>Refered
to PTX</v>
      </c>
      <c r="S259" s="569" t="str">
        <f>S6</f>
        <v>Voltage</v>
      </c>
      <c r="T259" s="539" t="str">
        <f>T6</f>
        <v>Include
CB</v>
      </c>
      <c r="U259" s="539" t="str">
        <f>U6</f>
        <v>Include
PTX</v>
      </c>
      <c r="V259" s="542" t="str">
        <f>V6</f>
        <v>Notes</v>
      </c>
      <c r="X259" s="585" t="s">
        <v>1260</v>
      </c>
      <c r="Y259" s="545" t="s">
        <v>1261</v>
      </c>
      <c r="Z259" s="559" t="s">
        <v>2749</v>
      </c>
      <c r="AA259" s="560"/>
      <c r="AB259" s="560"/>
      <c r="AC259" s="560"/>
      <c r="AD259" s="560"/>
      <c r="AE259" s="561"/>
      <c r="AF259" s="559" t="s">
        <v>1268</v>
      </c>
      <c r="AG259" s="560"/>
      <c r="AH259" s="560"/>
      <c r="AI259" s="560"/>
      <c r="AJ259" s="560"/>
      <c r="AK259" s="561"/>
      <c r="AL259" s="546" t="s">
        <v>2857</v>
      </c>
      <c r="AM259" s="466"/>
    </row>
    <row r="260" spans="2:39" ht="15.75" hidden="1" thickBot="1" x14ac:dyDescent="0.3">
      <c r="B260" s="557"/>
      <c r="C260" s="540"/>
      <c r="D260" s="362" t="str">
        <f>D7</f>
        <v>Voltage</v>
      </c>
      <c r="E260" s="573"/>
      <c r="F260" s="573"/>
      <c r="G260" s="544" t="str">
        <f>G7</f>
        <v>Pre-Emergency</v>
      </c>
      <c r="H260" s="544"/>
      <c r="I260" s="544" t="str">
        <f>I7</f>
        <v>Emergency</v>
      </c>
      <c r="J260" s="544"/>
      <c r="K260" s="540"/>
      <c r="L260" s="545" t="str">
        <f>L7</f>
        <v>AVAILABLE</v>
      </c>
      <c r="M260" s="546" t="str">
        <f>M7</f>
        <v>UTILISED</v>
      </c>
      <c r="O260" s="555"/>
      <c r="P260" s="557"/>
      <c r="Q260" s="557"/>
      <c r="R260" s="567"/>
      <c r="S260" s="569"/>
      <c r="T260" s="540"/>
      <c r="U260" s="540"/>
      <c r="V260" s="542"/>
      <c r="X260" s="555"/>
      <c r="Y260" s="540"/>
      <c r="Z260" s="589"/>
      <c r="AA260" s="590"/>
      <c r="AB260" s="590"/>
      <c r="AC260" s="590"/>
      <c r="AD260" s="590"/>
      <c r="AE260" s="591"/>
      <c r="AF260" s="589"/>
      <c r="AG260" s="590"/>
      <c r="AH260" s="590"/>
      <c r="AI260" s="590"/>
      <c r="AJ260" s="590"/>
      <c r="AK260" s="591"/>
      <c r="AL260" s="577"/>
      <c r="AM260" s="466"/>
    </row>
    <row r="261" spans="2:39" ht="15.75" hidden="1" thickBot="1" x14ac:dyDescent="0.3">
      <c r="B261" s="558"/>
      <c r="C261" s="541"/>
      <c r="D261" s="345" t="str">
        <f>D8</f>
        <v>(kV)</v>
      </c>
      <c r="E261" s="345" t="str">
        <f>E8</f>
        <v>(A)</v>
      </c>
      <c r="F261" s="345" t="str">
        <f>F8</f>
        <v>(A)</v>
      </c>
      <c r="G261" s="406" t="str">
        <f>G8</f>
        <v>(A)</v>
      </c>
      <c r="H261" s="407" t="str">
        <f>H8</f>
        <v>(MVA)</v>
      </c>
      <c r="I261" s="406" t="str">
        <f>I8</f>
        <v>(A)</v>
      </c>
      <c r="J261" s="407" t="str">
        <f>J8</f>
        <v>(MVA)</v>
      </c>
      <c r="K261" s="541"/>
      <c r="L261" s="541"/>
      <c r="M261" s="547"/>
      <c r="O261" s="556"/>
      <c r="P261" s="558"/>
      <c r="Q261" s="558"/>
      <c r="R261" s="568"/>
      <c r="S261" s="570"/>
      <c r="T261" s="541"/>
      <c r="U261" s="541"/>
      <c r="V261" s="543"/>
      <c r="X261" s="556"/>
      <c r="Y261" s="541"/>
      <c r="Z261" s="428" t="s">
        <v>26</v>
      </c>
      <c r="AA261" s="439" t="s">
        <v>2861</v>
      </c>
      <c r="AB261" s="450" t="s">
        <v>2959</v>
      </c>
      <c r="AC261" s="450" t="s">
        <v>2960</v>
      </c>
      <c r="AD261" s="450" t="s">
        <v>2957</v>
      </c>
      <c r="AE261" s="450" t="s">
        <v>2958</v>
      </c>
      <c r="AF261" s="428" t="s">
        <v>26</v>
      </c>
      <c r="AG261" s="439" t="s">
        <v>2861</v>
      </c>
      <c r="AH261" s="450" t="s">
        <v>2959</v>
      </c>
      <c r="AI261" s="450" t="s">
        <v>2960</v>
      </c>
      <c r="AJ261" s="450" t="s">
        <v>2957</v>
      </c>
      <c r="AK261" s="450" t="s">
        <v>2958</v>
      </c>
      <c r="AL261" s="547"/>
      <c r="AM261" s="466"/>
    </row>
    <row r="262" spans="2:39" hidden="1" x14ac:dyDescent="0.25">
      <c r="B262" s="49" t="s">
        <v>432</v>
      </c>
      <c r="C262" s="168" t="s">
        <v>2558</v>
      </c>
      <c r="D262" s="119">
        <f t="shared" ref="D262:D265" si="414">ROUNDDOWN(S262,0)</f>
        <v>11</v>
      </c>
      <c r="E262" s="370">
        <f t="array" ref="E262">IF(U262="YES",IF(T262="YES",MIN(IF(TKA[Load Capability Reference]=CONCATENATE(P262,Q262,S262,R262),TKA[Lowest A-PTX])),MIN(IF(TKA[Load Capability Reference]=CONCATENATE(P262,Q262,S262,R262),IF(TKA[Equipment ID]&lt;&gt;O262,TKA[Lowest A-PTX])))),IF(T262="YES",MIN(IF(TKA[Load Capability Reference]=CONCATENATE(P262,Q262,S262,R262),TKA[Lowest A-No PTX])),MIN(IF(TKA[Load Capability Reference]=CONCATENATE(P262,Q262,S262,R262),IF(TKA[Equipment ID]&lt;&gt;O262,TKA[Lowest A-No PTX])))))</f>
        <v>52.4863881081478</v>
      </c>
      <c r="F262" s="119">
        <f>IFERROR(IFERROR(VLOOKUP(CONCATENATE(P262,Q262,O262,S262,"Protection"),TKA[[OC Protection Reference]:[Forward A]],23,0),VLOOKUP(O262,AEL_Protection_Data[],12,0)),"N/A")</f>
        <v>60</v>
      </c>
      <c r="G262" s="119">
        <f t="shared" ref="G262:G263" si="415">IFERROR(FLOOR(MIN(E262:F262)*$D$3,5),"")</f>
        <v>40</v>
      </c>
      <c r="H262" s="29">
        <f t="shared" ref="H262:H263" si="416">G262*S262*SQRT(3)/1000</f>
        <v>0.7621023553303059</v>
      </c>
      <c r="I262" s="119">
        <f>IFERROR(FLOOR(MIN(E262:F262)*$D$2,5),"")</f>
        <v>45</v>
      </c>
      <c r="J262" s="29">
        <f t="shared" ref="J262:J263" si="417">I262*S262*SQRT(3)/1000</f>
        <v>0.85736514974659417</v>
      </c>
      <c r="K262" s="168" t="str">
        <f>IF(U262="Yes",UPPER(IF(ISNUMBER(SEARCH("winding",VLOOKUP(CONCATENATE(P262,Q262,S262,E262),TKA[[Limiting Equipment Reference-PTX]:[Summ Equipment]],7,0))),"Power Transformer Rating at "&amp;ROUND(E262*S262*SQRT(3)/1000,2)&amp;" MVA",VLOOKUP(CONCATENATE(P262,Q262,S262,E262),TKA[[Limiting Equipment Reference-No PTX]:[Summ Equipment]],8,0))),UPPER(VLOOKUP(CONCATENATE(P262,Q262,S262,E262),TKA[[Limiting Equipment Reference-No PTX]:[Summ Equipment]],8,0)))</f>
        <v>POWER TRANSFORMER RATING AT 1 MVA</v>
      </c>
      <c r="L262" s="373" t="s">
        <v>1267</v>
      </c>
      <c r="M262" s="509" t="s">
        <v>1266</v>
      </c>
      <c r="O262" s="10" t="str">
        <f>"HLB-"&amp;B262</f>
        <v>HLB-M82</v>
      </c>
      <c r="P262" s="38" t="s">
        <v>1277</v>
      </c>
      <c r="Q262" s="38" t="s">
        <v>164</v>
      </c>
      <c r="R262" s="389"/>
      <c r="S262" s="139">
        <v>11</v>
      </c>
      <c r="T262" s="4" t="s">
        <v>1266</v>
      </c>
      <c r="U262" s="4" t="s">
        <v>1267</v>
      </c>
      <c r="V262" s="486"/>
      <c r="X262" s="495" t="s">
        <v>432</v>
      </c>
      <c r="Y262" s="429" t="str">
        <f t="shared" ref="Y262:Y263" si="418">IF(X262=B262,C262,"NEW")</f>
        <v>11 KV RECLOSER</v>
      </c>
      <c r="Z262" s="430">
        <v>52.5</v>
      </c>
      <c r="AA262" s="440" t="str">
        <f t="shared" ref="AA262:AA263" si="419">IF(Z262&gt;E262,"q",IF(Z262&lt;E262,"p","u"))</f>
        <v>q</v>
      </c>
      <c r="AB262" s="453">
        <f t="shared" ref="AB262:AB265" si="420">IF(Z262="",0,IF(Z262-E262&lt;0,ABS(Z262-E262),0))</f>
        <v>0</v>
      </c>
      <c r="AC262" s="453">
        <f t="shared" ref="AC262:AC265" si="421">AB262*$S262*SQRT(3)/1000</f>
        <v>0</v>
      </c>
      <c r="AD262" s="453">
        <f t="shared" ref="AD262:AD265" si="422">IF(Z262="",0,IF(Z262-E262&gt;0,ABS(Z262-E262),0))</f>
        <v>1.3611891852200131E-2</v>
      </c>
      <c r="AE262" s="453">
        <f t="shared" ref="AE262:AE265" si="423">AD262*$S262*SQRT(3)/1000</f>
        <v>2.5934137102657801E-4</v>
      </c>
      <c r="AF262" s="430">
        <v>60</v>
      </c>
      <c r="AG262" s="435" t="str">
        <f t="shared" ref="AG262:AG263" si="424">IF(AF262&gt;F262,"q",IF(AF262&lt;F262,"p","u"))</f>
        <v>u</v>
      </c>
      <c r="AH262" s="453">
        <f t="shared" ref="AH262:AH265" si="425">IF(AF262="",0,IF(AF262-F262&lt;0,ABS(AF262-F262),0))</f>
        <v>0</v>
      </c>
      <c r="AI262" s="453">
        <f t="shared" ref="AI262:AI265" si="426">AH262*$S262*SQRT(3)/1000</f>
        <v>0</v>
      </c>
      <c r="AJ262" s="453">
        <f t="shared" ref="AJ262:AJ265" si="427">IF(AF262="",0,IF(AF262-F262&gt;0,ABS(AF262-F262),0))</f>
        <v>0</v>
      </c>
      <c r="AK262" s="453">
        <f t="shared" ref="AK262:AK265" si="428">AJ262*$S262*SQRT(3)/1000</f>
        <v>0</v>
      </c>
      <c r="AL262" s="469" t="s">
        <v>2932</v>
      </c>
    </row>
    <row r="263" spans="2:39" hidden="1" x14ac:dyDescent="0.25">
      <c r="B263" s="49" t="s">
        <v>435</v>
      </c>
      <c r="C263" s="168" t="s">
        <v>2559</v>
      </c>
      <c r="D263" s="119">
        <f t="shared" si="414"/>
        <v>22</v>
      </c>
      <c r="E263" s="370">
        <f t="array" ref="E263">IF(U263="YES",IF(T263="YES",MIN(IF(TKA[Load Capability Reference]=CONCATENATE(P263,Q263,S263,R263),TKA[Lowest A-PTX])),MIN(IF(TKA[Load Capability Reference]=CONCATENATE(P263,Q263,S263,R263),IF(TKA[Equipment ID]&lt;&gt;O263,TKA[Lowest A-PTX])))),IF(T263="YES",MIN(IF(TKA[Load Capability Reference]=CONCATENATE(P263,Q263,S263,R263),TKA[Lowest A-No PTX])),MIN(IF(TKA[Load Capability Reference]=CONCATENATE(P263,Q263,S263,R263),IF(TKA[Equipment ID]&lt;&gt;O263,TKA[Lowest A-No PTX])))))</f>
        <v>26.2431940540739</v>
      </c>
      <c r="F263" s="119">
        <f>IFERROR(IFERROR(VLOOKUP(CONCATENATE(P263,Q263,O263,S263,"Protection"),TKA[[OC Protection Reference]:[Forward A]],23,0),VLOOKUP(O263,AEL_Protection_Data[],12,0)),"N/A")</f>
        <v>30</v>
      </c>
      <c r="G263" s="119">
        <f t="shared" si="415"/>
        <v>20</v>
      </c>
      <c r="H263" s="29">
        <f t="shared" si="416"/>
        <v>0.7621023553303059</v>
      </c>
      <c r="I263" s="119">
        <f>IFERROR(FLOOR(MIN(E263:F263)*$D$2,5),"")</f>
        <v>20</v>
      </c>
      <c r="J263" s="29">
        <f t="shared" si="417"/>
        <v>0.7621023553303059</v>
      </c>
      <c r="K263" s="168" t="str">
        <f>IF(U263="Yes",UPPER(IF(ISNUMBER(SEARCH("winding",VLOOKUP(CONCATENATE(P263,Q263,S263,E263),TKA[[Limiting Equipment Reference-PTX]:[Summ Equipment]],7,0))),"Power Transformer Rating at "&amp;ROUND(E263*S263*SQRT(3)/1000,2)&amp;" MVA",VLOOKUP(CONCATENATE(P263,Q263,S263,E263),TKA[[Limiting Equipment Reference-No PTX]:[Summ Equipment]],8,0))),UPPER(VLOOKUP(CONCATENATE(P263,Q263,S263,E263),TKA[[Limiting Equipment Reference-No PTX]:[Summ Equipment]],8,0)))</f>
        <v>POWER TRANSFORMER RATING AT 1 MVA</v>
      </c>
      <c r="L263" s="373" t="s">
        <v>1267</v>
      </c>
      <c r="M263" s="509" t="s">
        <v>1267</v>
      </c>
      <c r="O263" s="118" t="str">
        <f t="shared" ref="O263:O265" si="429">"HLB-"&amp;B263</f>
        <v>HLB-M86</v>
      </c>
      <c r="P263" s="49" t="s">
        <v>1277</v>
      </c>
      <c r="Q263" s="49" t="s">
        <v>164</v>
      </c>
      <c r="R263" s="386"/>
      <c r="S263" s="43">
        <v>22</v>
      </c>
      <c r="T263" s="146" t="s">
        <v>1266</v>
      </c>
      <c r="U263" s="146" t="s">
        <v>1267</v>
      </c>
      <c r="V263" s="487"/>
      <c r="X263" s="495" t="s">
        <v>435</v>
      </c>
      <c r="Y263" s="431" t="str">
        <f t="shared" si="418"/>
        <v>22 KV RECLOSER</v>
      </c>
      <c r="Z263" s="432">
        <v>26.2</v>
      </c>
      <c r="AA263" s="441" t="str">
        <f t="shared" si="419"/>
        <v>p</v>
      </c>
      <c r="AB263" s="134">
        <f t="shared" si="420"/>
        <v>4.3194054073900645E-2</v>
      </c>
      <c r="AC263" s="134">
        <f t="shared" si="421"/>
        <v>1.6459145172992139E-3</v>
      </c>
      <c r="AD263" s="134">
        <f t="shared" si="422"/>
        <v>0</v>
      </c>
      <c r="AE263" s="134">
        <f t="shared" si="423"/>
        <v>0</v>
      </c>
      <c r="AF263" s="432">
        <v>30</v>
      </c>
      <c r="AG263" s="436" t="str">
        <f t="shared" si="424"/>
        <v>u</v>
      </c>
      <c r="AH263" s="134">
        <f t="shared" si="425"/>
        <v>0</v>
      </c>
      <c r="AI263" s="134">
        <f t="shared" si="426"/>
        <v>0</v>
      </c>
      <c r="AJ263" s="134">
        <f t="shared" si="427"/>
        <v>0</v>
      </c>
      <c r="AK263" s="134">
        <f t="shared" si="428"/>
        <v>0</v>
      </c>
      <c r="AL263" s="470" t="s">
        <v>1267</v>
      </c>
    </row>
    <row r="264" spans="2:39" hidden="1" x14ac:dyDescent="0.25">
      <c r="B264" s="49" t="s">
        <v>438</v>
      </c>
      <c r="C264" s="168" t="s">
        <v>2561</v>
      </c>
      <c r="D264" s="119">
        <f t="shared" si="414"/>
        <v>22</v>
      </c>
      <c r="E264" s="370">
        <f t="array" ref="E264">IF(U264="YES",IF(T264="YES",MIN(IF(TKA[Load Capability Reference]=CONCATENATE(P264,Q264,S264,R264),TKA[Lowest A-PTX])),MIN(IF(TKA[Load Capability Reference]=CONCATENATE(P264,Q264,S264,R264),IF(TKA[Equipment ID]&lt;&gt;O264,TKA[Lowest A-PTX])))),IF(T264="YES",MIN(IF(TKA[Load Capability Reference]=CONCATENATE(P264,Q264,S264,R264),TKA[Lowest A-No PTX])),MIN(IF(TKA[Load Capability Reference]=CONCATENATE(P264,Q264,S264,R264),IF(TKA[Equipment ID]&lt;&gt;O264,TKA[Lowest A-No PTX])))))</f>
        <v>73.709391096942639</v>
      </c>
      <c r="F264" s="119" t="str">
        <f>IFERROR(IFERROR(VLOOKUP(CONCATENATE(P264,Q264,O264,S264,"Protection"),TKA[[OC Protection Reference]:[Forward A]],23,0),VLOOKUP(O264,AEL_Protection_Data[],12,0)),"N/A")</f>
        <v>N/A</v>
      </c>
      <c r="G264" s="119" t="s">
        <v>1162</v>
      </c>
      <c r="H264" s="29" t="s">
        <v>1162</v>
      </c>
      <c r="I264" s="119" t="s">
        <v>1162</v>
      </c>
      <c r="J264" s="29" t="s">
        <v>1162</v>
      </c>
      <c r="K264" s="168" t="str">
        <f>IF(U264="Yes",UPPER(IF(ISNUMBER(SEARCH("winding",VLOOKUP(CONCATENATE(P264,Q264,S264,E264),TKA[[Limiting Equipment Reference-PTX]:[Summ Equipment]],7,0))),"Power Transformer Rating at "&amp;ROUND(E264*S264*SQRT(3)/1000,2)&amp;" MVA",VLOOKUP(CONCATENATE(P264,Q264,S264,E264),TKA[[Limiting Equipment Reference-No PTX]:[Summ Equipment]],8,0))),UPPER(VLOOKUP(CONCATENATE(P264,Q264,S264,E264),TKA[[Limiting Equipment Reference-No PTX]:[Summ Equipment]],8,0)))</f>
        <v>OH LINE-HERRING</v>
      </c>
      <c r="L264" s="373" t="s">
        <v>1266</v>
      </c>
      <c r="M264" s="509" t="s">
        <v>1162</v>
      </c>
      <c r="O264" s="11" t="str">
        <f t="shared" si="429"/>
        <v>HLB-M32</v>
      </c>
      <c r="P264" s="49" t="s">
        <v>1276</v>
      </c>
      <c r="Q264" s="49" t="s">
        <v>173</v>
      </c>
      <c r="R264" s="386"/>
      <c r="S264" s="43">
        <v>22</v>
      </c>
      <c r="T264" s="8" t="s">
        <v>1266</v>
      </c>
      <c r="U264" s="8" t="s">
        <v>1266</v>
      </c>
      <c r="V264" s="484" t="s">
        <v>2619</v>
      </c>
      <c r="X264" s="495" t="s">
        <v>438</v>
      </c>
      <c r="Y264" s="431" t="s">
        <v>2869</v>
      </c>
      <c r="Z264" s="432"/>
      <c r="AA264" s="441" t="str">
        <f t="shared" ref="AA264:AA265" si="430">IF(Z264&gt;E264,"q",IF(Z264&lt;E264,"p","u"))</f>
        <v>p</v>
      </c>
      <c r="AB264" s="134">
        <f t="shared" si="420"/>
        <v>0</v>
      </c>
      <c r="AC264" s="134">
        <f t="shared" si="421"/>
        <v>0</v>
      </c>
      <c r="AD264" s="134">
        <f t="shared" si="422"/>
        <v>0</v>
      </c>
      <c r="AE264" s="134">
        <f t="shared" si="423"/>
        <v>0</v>
      </c>
      <c r="AF264" s="432"/>
      <c r="AG264" s="436" t="str">
        <f t="shared" ref="AG264:AG265" si="431">IF(AF264&gt;F264,"q",IF(AF264&lt;F264,"p","u"))</f>
        <v>p</v>
      </c>
      <c r="AH264" s="134">
        <f t="shared" si="425"/>
        <v>0</v>
      </c>
      <c r="AI264" s="134">
        <f t="shared" si="426"/>
        <v>0</v>
      </c>
      <c r="AJ264" s="134">
        <f t="shared" si="427"/>
        <v>0</v>
      </c>
      <c r="AK264" s="134">
        <f t="shared" si="428"/>
        <v>0</v>
      </c>
      <c r="AL264" s="470"/>
    </row>
    <row r="265" spans="2:39" ht="15.75" hidden="1" thickBot="1" x14ac:dyDescent="0.3">
      <c r="B265" s="374" t="s">
        <v>440</v>
      </c>
      <c r="C265" s="375" t="s">
        <v>2562</v>
      </c>
      <c r="D265" s="377">
        <f t="shared" si="414"/>
        <v>22</v>
      </c>
      <c r="E265" s="376">
        <f t="array" ref="E265">IF(U265="YES",IF(T265="YES",MIN(IF(TKA[Load Capability Reference]=CONCATENATE(P265,Q265,S265,R265),TKA[Lowest A-PTX])),MIN(IF(TKA[Load Capability Reference]=CONCATENATE(P265,Q265,S265,R265),IF(TKA[Equipment ID]&lt;&gt;O265,TKA[Lowest A-PTX])))),IF(T265="YES",MIN(IF(TKA[Load Capability Reference]=CONCATENATE(P265,Q265,S265,R265),TKA[Lowest A-No PTX])),MIN(IF(TKA[Load Capability Reference]=CONCATENATE(P265,Q265,S265,R265),IF(TKA[Equipment ID]&lt;&gt;O265,TKA[Lowest A-No PTX])))))</f>
        <v>73.709391096942639</v>
      </c>
      <c r="F265" s="377" t="str">
        <f>IFERROR(IFERROR(VLOOKUP(CONCATENATE(P265,Q265,O265,S265,"Protection"),TKA[[OC Protection Reference]:[Forward A]],23,0),VLOOKUP(O265,AEL_Protection_Data[],12,0)),"N/A")</f>
        <v>N/A</v>
      </c>
      <c r="G265" s="377" t="s">
        <v>1162</v>
      </c>
      <c r="H265" s="185" t="s">
        <v>1162</v>
      </c>
      <c r="I265" s="377" t="s">
        <v>1162</v>
      </c>
      <c r="J265" s="185" t="s">
        <v>1162</v>
      </c>
      <c r="K265" s="191" t="str">
        <f>IF(U265="Yes",UPPER(IF(ISNUMBER(SEARCH("winding",VLOOKUP(CONCATENATE(P265,Q265,S265,E265),TKA[[Limiting Equipment Reference-PTX]:[Summ Equipment]],7,0))),"Power Transformer Rating at "&amp;ROUND(E265*S265*SQRT(3)/1000,2)&amp;" MVA",VLOOKUP(CONCATENATE(P265,Q265,S265,E265),TKA[[Limiting Equipment Reference-No PTX]:[Summ Equipment]],8,0))),UPPER(VLOOKUP(CONCATENATE(P265,Q265,S265,E265),TKA[[Limiting Equipment Reference-No PTX]:[Summ Equipment]],8,0)))</f>
        <v>OH LINE-HERRING</v>
      </c>
      <c r="L265" s="378" t="s">
        <v>1266</v>
      </c>
      <c r="M265" s="511" t="s">
        <v>1162</v>
      </c>
      <c r="O265" s="192" t="str">
        <f t="shared" si="429"/>
        <v>HLB-M33</v>
      </c>
      <c r="P265" s="374" t="s">
        <v>1276</v>
      </c>
      <c r="Q265" s="374" t="s">
        <v>179</v>
      </c>
      <c r="R265" s="387"/>
      <c r="S265" s="175">
        <v>22</v>
      </c>
      <c r="T265" s="201" t="s">
        <v>1266</v>
      </c>
      <c r="U265" s="201" t="s">
        <v>1266</v>
      </c>
      <c r="V265" s="485" t="s">
        <v>2619</v>
      </c>
      <c r="X265" s="503" t="s">
        <v>440</v>
      </c>
      <c r="Y265" s="433" t="s">
        <v>2869</v>
      </c>
      <c r="Z265" s="434"/>
      <c r="AA265" s="442" t="str">
        <f t="shared" si="430"/>
        <v>p</v>
      </c>
      <c r="AB265" s="451">
        <f t="shared" si="420"/>
        <v>0</v>
      </c>
      <c r="AC265" s="451">
        <f t="shared" si="421"/>
        <v>0</v>
      </c>
      <c r="AD265" s="451">
        <f t="shared" si="422"/>
        <v>0</v>
      </c>
      <c r="AE265" s="451">
        <f t="shared" si="423"/>
        <v>0</v>
      </c>
      <c r="AF265" s="434"/>
      <c r="AG265" s="437" t="str">
        <f t="shared" si="431"/>
        <v>p</v>
      </c>
      <c r="AH265" s="451">
        <f t="shared" si="425"/>
        <v>0</v>
      </c>
      <c r="AI265" s="451">
        <f t="shared" si="426"/>
        <v>0</v>
      </c>
      <c r="AJ265" s="451">
        <f t="shared" si="427"/>
        <v>0</v>
      </c>
      <c r="AK265" s="451">
        <f t="shared" si="428"/>
        <v>0</v>
      </c>
      <c r="AL265" s="471"/>
    </row>
    <row r="266" spans="2:39" hidden="1" x14ac:dyDescent="0.25">
      <c r="R266" s="388"/>
      <c r="X266" s="427" t="s">
        <v>164</v>
      </c>
      <c r="AB266" s="449">
        <f>SUM(AB262:AB265)</f>
        <v>4.3194054073900645E-2</v>
      </c>
      <c r="AC266" s="449">
        <f t="shared" ref="AC266:AE266" si="432">SUM(AC262:AC265)</f>
        <v>1.6459145172992139E-3</v>
      </c>
      <c r="AD266" s="449">
        <f t="shared" si="432"/>
        <v>1.3611891852200131E-2</v>
      </c>
      <c r="AE266" s="449">
        <f t="shared" si="432"/>
        <v>2.5934137102657801E-4</v>
      </c>
      <c r="AH266" s="449">
        <f>SUM(AH262:AH265)</f>
        <v>0</v>
      </c>
      <c r="AI266" s="449">
        <f t="shared" ref="AI266:AK266" si="433">SUM(AI262:AI265)</f>
        <v>0</v>
      </c>
      <c r="AJ266" s="449">
        <f t="shared" si="433"/>
        <v>0</v>
      </c>
      <c r="AK266" s="449">
        <f t="shared" si="433"/>
        <v>0</v>
      </c>
    </row>
    <row r="267" spans="2:39" ht="27" hidden="1" thickBot="1" x14ac:dyDescent="0.3">
      <c r="B267" s="551" t="s">
        <v>2620</v>
      </c>
      <c r="C267" s="552"/>
      <c r="D267" s="552"/>
      <c r="E267" s="552"/>
      <c r="F267" s="552"/>
      <c r="G267" s="552"/>
      <c r="H267" s="552"/>
      <c r="I267" s="552"/>
      <c r="J267" s="552"/>
      <c r="K267" s="552"/>
      <c r="L267" s="552"/>
      <c r="M267" s="553"/>
      <c r="O267" s="551" t="s">
        <v>2391</v>
      </c>
      <c r="P267" s="552"/>
      <c r="Q267" s="552"/>
      <c r="R267" s="552"/>
      <c r="S267" s="552"/>
      <c r="T267" s="552"/>
      <c r="U267" s="552"/>
      <c r="V267" s="553"/>
      <c r="X267" s="586" t="str">
        <f>B267&amp;"-OLD"</f>
        <v>TEMUKA GXP (TP-TMK)-OLD</v>
      </c>
      <c r="Y267" s="587"/>
      <c r="Z267" s="587"/>
      <c r="AA267" s="587"/>
      <c r="AB267" s="587"/>
      <c r="AC267" s="587"/>
      <c r="AD267" s="587"/>
      <c r="AE267" s="587"/>
      <c r="AF267" s="587"/>
      <c r="AG267" s="587"/>
      <c r="AH267" s="587"/>
      <c r="AI267" s="587"/>
      <c r="AJ267" s="587"/>
      <c r="AK267" s="587"/>
      <c r="AL267" s="588"/>
      <c r="AM267" s="481"/>
    </row>
    <row r="268" spans="2:39" ht="15.75" hidden="1" thickBot="1" x14ac:dyDescent="0.3">
      <c r="B268" s="571" t="str">
        <f t="shared" ref="B268:G268" si="434">B6</f>
        <v>CB ID</v>
      </c>
      <c r="C268" s="545" t="str">
        <f t="shared" si="434"/>
        <v>DESIGNATION</v>
      </c>
      <c r="D268" s="382" t="str">
        <f t="shared" si="434"/>
        <v>Rated</v>
      </c>
      <c r="E268" s="572" t="str">
        <f t="shared" si="434"/>
        <v>LOAD
CAPABILITY</v>
      </c>
      <c r="F268" s="572" t="str">
        <f t="shared" si="434"/>
        <v>OC
PICKUP</v>
      </c>
      <c r="G268" s="559" t="str">
        <f t="shared" si="434"/>
        <v>SCADA ALARM</v>
      </c>
      <c r="H268" s="560"/>
      <c r="I268" s="560"/>
      <c r="J268" s="561"/>
      <c r="K268" s="574" t="str">
        <f>K6</f>
        <v>LIMITING EQUIPMENT</v>
      </c>
      <c r="L268" s="575" t="str">
        <f>L6</f>
        <v>RECLOSING</v>
      </c>
      <c r="M268" s="576"/>
      <c r="O268" s="554" t="str">
        <f>O6</f>
        <v>OC Pick up
Reference ID</v>
      </c>
      <c r="P268" s="557" t="str">
        <f>P6</f>
        <v>Supply Level</v>
      </c>
      <c r="Q268" s="566" t="str">
        <f>Q6</f>
        <v>Station/Feeder</v>
      </c>
      <c r="R268" s="567" t="str">
        <f t="shared" ref="R268" si="435">$R$6</f>
        <v>Refered
to PTX</v>
      </c>
      <c r="S268" s="569" t="str">
        <f>S6</f>
        <v>Voltage</v>
      </c>
      <c r="T268" s="539" t="str">
        <f>T6</f>
        <v>Include
CB</v>
      </c>
      <c r="U268" s="539" t="str">
        <f>U6</f>
        <v>Include
PTX</v>
      </c>
      <c r="V268" s="542" t="str">
        <f>V6</f>
        <v>Notes</v>
      </c>
      <c r="X268" s="585" t="s">
        <v>1260</v>
      </c>
      <c r="Y268" s="545" t="s">
        <v>1261</v>
      </c>
      <c r="Z268" s="559" t="s">
        <v>2749</v>
      </c>
      <c r="AA268" s="560"/>
      <c r="AB268" s="560"/>
      <c r="AC268" s="560"/>
      <c r="AD268" s="560"/>
      <c r="AE268" s="561"/>
      <c r="AF268" s="559" t="s">
        <v>1268</v>
      </c>
      <c r="AG268" s="560"/>
      <c r="AH268" s="560"/>
      <c r="AI268" s="560"/>
      <c r="AJ268" s="560"/>
      <c r="AK268" s="561"/>
      <c r="AL268" s="546" t="s">
        <v>2857</v>
      </c>
      <c r="AM268" s="466"/>
    </row>
    <row r="269" spans="2:39" ht="15.75" hidden="1" thickBot="1" x14ac:dyDescent="0.3">
      <c r="B269" s="557"/>
      <c r="C269" s="540"/>
      <c r="D269" s="362" t="str">
        <f>D7</f>
        <v>Voltage</v>
      </c>
      <c r="E269" s="573"/>
      <c r="F269" s="573"/>
      <c r="G269" s="544" t="str">
        <f>G7</f>
        <v>Pre-Emergency</v>
      </c>
      <c r="H269" s="544"/>
      <c r="I269" s="544" t="str">
        <f>I7</f>
        <v>Emergency</v>
      </c>
      <c r="J269" s="544"/>
      <c r="K269" s="540"/>
      <c r="L269" s="545" t="str">
        <f>L7</f>
        <v>AVAILABLE</v>
      </c>
      <c r="M269" s="546" t="str">
        <f>M7</f>
        <v>UTILISED</v>
      </c>
      <c r="O269" s="555"/>
      <c r="P269" s="557"/>
      <c r="Q269" s="557"/>
      <c r="R269" s="567"/>
      <c r="S269" s="569"/>
      <c r="T269" s="540"/>
      <c r="U269" s="540"/>
      <c r="V269" s="542"/>
      <c r="X269" s="555"/>
      <c r="Y269" s="540"/>
      <c r="Z269" s="589"/>
      <c r="AA269" s="590"/>
      <c r="AB269" s="590"/>
      <c r="AC269" s="590"/>
      <c r="AD269" s="590"/>
      <c r="AE269" s="591"/>
      <c r="AF269" s="589"/>
      <c r="AG269" s="590"/>
      <c r="AH269" s="590"/>
      <c r="AI269" s="590"/>
      <c r="AJ269" s="590"/>
      <c r="AK269" s="591"/>
      <c r="AL269" s="577"/>
      <c r="AM269" s="466"/>
    </row>
    <row r="270" spans="2:39" ht="15.75" hidden="1" thickBot="1" x14ac:dyDescent="0.3">
      <c r="B270" s="558"/>
      <c r="C270" s="541"/>
      <c r="D270" s="345" t="str">
        <f>D8</f>
        <v>(kV)</v>
      </c>
      <c r="E270" s="345" t="str">
        <f>E8</f>
        <v>(A)</v>
      </c>
      <c r="F270" s="345" t="str">
        <f>F8</f>
        <v>(A)</v>
      </c>
      <c r="G270" s="406" t="str">
        <f>G8</f>
        <v>(A)</v>
      </c>
      <c r="H270" s="407" t="str">
        <f>H8</f>
        <v>(MVA)</v>
      </c>
      <c r="I270" s="406" t="str">
        <f>I8</f>
        <v>(A)</v>
      </c>
      <c r="J270" s="407" t="str">
        <f>J8</f>
        <v>(MVA)</v>
      </c>
      <c r="K270" s="541"/>
      <c r="L270" s="541"/>
      <c r="M270" s="547"/>
      <c r="O270" s="556"/>
      <c r="P270" s="558"/>
      <c r="Q270" s="558"/>
      <c r="R270" s="568"/>
      <c r="S270" s="570"/>
      <c r="T270" s="541"/>
      <c r="U270" s="541"/>
      <c r="V270" s="543"/>
      <c r="X270" s="556"/>
      <c r="Y270" s="541"/>
      <c r="Z270" s="428" t="s">
        <v>26</v>
      </c>
      <c r="AA270" s="439" t="s">
        <v>2861</v>
      </c>
      <c r="AB270" s="450" t="s">
        <v>2959</v>
      </c>
      <c r="AC270" s="450" t="s">
        <v>2960</v>
      </c>
      <c r="AD270" s="450" t="s">
        <v>2957</v>
      </c>
      <c r="AE270" s="450" t="s">
        <v>2958</v>
      </c>
      <c r="AF270" s="428" t="s">
        <v>26</v>
      </c>
      <c r="AG270" s="439" t="s">
        <v>2861</v>
      </c>
      <c r="AH270" s="450" t="s">
        <v>2959</v>
      </c>
      <c r="AI270" s="450" t="s">
        <v>2960</v>
      </c>
      <c r="AJ270" s="450" t="s">
        <v>2957</v>
      </c>
      <c r="AK270" s="450" t="s">
        <v>2958</v>
      </c>
      <c r="AL270" s="547"/>
      <c r="AM270" s="466"/>
    </row>
    <row r="271" spans="2:39" hidden="1" x14ac:dyDescent="0.25">
      <c r="B271" s="38" t="s">
        <v>2836</v>
      </c>
      <c r="C271" s="3" t="s">
        <v>2606</v>
      </c>
      <c r="D271" s="61">
        <f t="shared" ref="D271:D272" si="436">ROUNDDOWN(S271,0)</f>
        <v>110</v>
      </c>
      <c r="E271" s="369">
        <f t="array" ref="E271">IF(U271="YES",IF(T271="YES",MIN(IF(TMK[Load Capability Reference]=CONCATENATE(P271,Q271,S271,R271),TMK[Lowest A-PTX])),MIN(IF(TMK[Load Capability Reference]=CONCATENATE(P271,Q271,S271,R271),IF(TMK[Equipment ID]&lt;&gt;O271,TMK[Lowest A-PTX])))),IF(T271="YES",MIN(IF(TMK[Load Capability Reference]=CONCATENATE(P271,Q271,S271,R271),TMK[Lowest A-No PTX])),MIN(IF(TMK[Load Capability Reference]=CONCATENATE(P271,Q271,S271,R271),IF(TMK[Equipment ID]&lt;&gt;O271,TMK[Lowest A-No PTX])))))</f>
        <v>283.42649578399812</v>
      </c>
      <c r="F271" s="61">
        <f>IFERROR(IFERROR(VLOOKUP(CONCATENATE(P271,Q271,O271,S271,"Protection"),TMK[[OC Protection Reference]:[Forward A]],23,0),VLOOKUP(O271,AEL_Protection_Data[],12,0)),"N/A")</f>
        <v>359</v>
      </c>
      <c r="G271" s="61">
        <f t="shared" ref="G271:G282" si="437">IFERROR(FLOOR(MIN(E271:F271)*$D$3,5),"")</f>
        <v>225</v>
      </c>
      <c r="H271" s="5">
        <f t="shared" ref="H271:H282" si="438">G271*S271*SQRT(3)/1000</f>
        <v>42.868257487329714</v>
      </c>
      <c r="I271" s="61">
        <f t="shared" ref="I271:I282" si="439">IFERROR(FLOOR(MIN(E271:F271)*$D$2,5),"")</f>
        <v>255</v>
      </c>
      <c r="J271" s="5">
        <f t="shared" ref="J271:J282" si="440">I271*S271*SQRT(3)/1000</f>
        <v>48.584025152307007</v>
      </c>
      <c r="K271" s="3" t="str">
        <f>IF(U271="Yes",UPPER(IF(ISNUMBER(SEARCH("winding",VLOOKUP(CONCATENATE(P271,Q271,S271,E271),TMK[[Limiting Equipment Reference-PTX]:[Summ Equipment]],7,0))),"Power Transformer Rating at "&amp;ROUND(E271*S271*SQRT(3)/1000,2)&amp;" MVA",VLOOKUP(CONCATENATE(P271,Q271,S271,E271),TMK[[Limiting Equipment Reference-No PTX]:[Summ Equipment]],8,0))),UPPER(VLOOKUP(CONCATENATE(P271,Q271,S271,E271),TMK[[Limiting Equipment Reference-No PTX]:[Summ Equipment]],8,0)))</f>
        <v>POWER TRANSFORMER RATING AT 54 MVA</v>
      </c>
      <c r="L271" s="4" t="s">
        <v>1266</v>
      </c>
      <c r="M271" s="508" t="s">
        <v>1162</v>
      </c>
      <c r="O271" s="10" t="str">
        <f t="shared" ref="O271:O282" si="441">"TMK-"&amp;B271</f>
        <v>TMK-CB132</v>
      </c>
      <c r="P271" s="38" t="s">
        <v>4</v>
      </c>
      <c r="Q271" s="38" t="s">
        <v>77</v>
      </c>
      <c r="R271" s="389" t="s">
        <v>378</v>
      </c>
      <c r="S271" s="139">
        <v>110</v>
      </c>
      <c r="T271" s="4" t="s">
        <v>1266</v>
      </c>
      <c r="U271" s="4" t="s">
        <v>1267</v>
      </c>
      <c r="V271" s="486"/>
      <c r="X271" s="494" t="s">
        <v>2836</v>
      </c>
      <c r="Y271" s="429" t="s">
        <v>2869</v>
      </c>
      <c r="Z271" s="430"/>
      <c r="AA271" s="440" t="str">
        <f t="shared" ref="AA271:AA272" si="442">IF(Z271&gt;E271,"q",IF(Z271&lt;E271,"p","u"))</f>
        <v>p</v>
      </c>
      <c r="AB271" s="453">
        <f t="shared" ref="AB271:AB282" si="443">IF(Z271="",0,IF(Z271-E271&lt;0,ABS(Z271-E271),0))</f>
        <v>0</v>
      </c>
      <c r="AC271" s="453">
        <f t="shared" ref="AC271:AC282" si="444">AB271*$S271*SQRT(3)/1000</f>
        <v>0</v>
      </c>
      <c r="AD271" s="453">
        <f t="shared" ref="AD271:AD282" si="445">IF(Z271="",0,IF(Z271-E271&gt;0,ABS(Z271-E271),0))</f>
        <v>0</v>
      </c>
      <c r="AE271" s="453">
        <f t="shared" ref="AE271:AE282" si="446">AD271*$S271*SQRT(3)/1000</f>
        <v>0</v>
      </c>
      <c r="AF271" s="430"/>
      <c r="AG271" s="435" t="str">
        <f t="shared" ref="AG271:AG272" si="447">IF(AF271&gt;F271,"q",IF(AF271&lt;F271,"p","u"))</f>
        <v>p</v>
      </c>
      <c r="AH271" s="453">
        <f t="shared" ref="AH271:AH282" si="448">IF(AF271="",0,IF(AF271-F271&lt;0,ABS(AF271-F271),0))</f>
        <v>0</v>
      </c>
      <c r="AI271" s="453">
        <f t="shared" ref="AI271:AI282" si="449">AH271*$S271*SQRT(3)/1000</f>
        <v>0</v>
      </c>
      <c r="AJ271" s="453">
        <f t="shared" ref="AJ271:AJ282" si="450">IF(AF271="",0,IF(AF271-F271&gt;0,ABS(AF271-F271),0))</f>
        <v>0</v>
      </c>
      <c r="AK271" s="453">
        <f t="shared" ref="AK271:AK282" si="451">AJ271*$S271*SQRT(3)/1000</f>
        <v>0</v>
      </c>
      <c r="AL271" s="469"/>
    </row>
    <row r="272" spans="2:39" hidden="1" x14ac:dyDescent="0.25">
      <c r="B272" s="49" t="s">
        <v>2837</v>
      </c>
      <c r="C272" s="168" t="s">
        <v>2607</v>
      </c>
      <c r="D272" s="119">
        <f t="shared" si="436"/>
        <v>110</v>
      </c>
      <c r="E272" s="370">
        <f t="array" ref="E272">IF(U272="YES",IF(T272="YES",MIN(IF(TMK[Load Capability Reference]=CONCATENATE(P272,Q272,S272,R272),TMK[Lowest A-PTX])),MIN(IF(TMK[Load Capability Reference]=CONCATENATE(P272,Q272,S272,R272),IF(TMK[Equipment ID]&lt;&gt;O272,TMK[Lowest A-PTX])))),IF(T272="YES",MIN(IF(TMK[Load Capability Reference]=CONCATENATE(P272,Q272,S272,R272),TMK[Lowest A-No PTX])),MIN(IF(TMK[Load Capability Reference]=CONCATENATE(P272,Q272,S272,R272),IF(TMK[Equipment ID]&lt;&gt;O272,TMK[Lowest A-No PTX])))))</f>
        <v>283.42649578399812</v>
      </c>
      <c r="F272" s="119">
        <f>IFERROR(IFERROR(VLOOKUP(CONCATENATE(P272,Q272,O272,S272,"Protection"),TMK[[OC Protection Reference]:[Forward A]],23,0),VLOOKUP(O272,AEL_Protection_Data[],12,0)),"N/A")</f>
        <v>358</v>
      </c>
      <c r="G272" s="119">
        <f t="shared" si="437"/>
        <v>225</v>
      </c>
      <c r="H272" s="29">
        <f t="shared" si="438"/>
        <v>42.868257487329714</v>
      </c>
      <c r="I272" s="119">
        <f t="shared" si="439"/>
        <v>255</v>
      </c>
      <c r="J272" s="29">
        <f t="shared" si="440"/>
        <v>48.584025152307007</v>
      </c>
      <c r="K272" s="6" t="str">
        <f>IF(U272="Yes",UPPER(IF(ISNUMBER(SEARCH("winding",VLOOKUP(CONCATENATE(P272,Q272,S272,E272),TMK[[Limiting Equipment Reference-PTX]:[Summ Equipment]],7,0))),"Power Transformer Rating at "&amp;ROUND(E272*S272*SQRT(3)/1000,2)&amp;" MVA",VLOOKUP(CONCATENATE(P272,Q272,S272,E272),TMK[[Limiting Equipment Reference-No PTX]:[Summ Equipment]],8,0))),UPPER(VLOOKUP(CONCATENATE(P272,Q272,S272,E272),TMK[[Limiting Equipment Reference-No PTX]:[Summ Equipment]],8,0)))</f>
        <v>POWER TRANSFORMER RATING AT 54 MVA</v>
      </c>
      <c r="L272" s="146" t="s">
        <v>1266</v>
      </c>
      <c r="M272" s="509" t="s">
        <v>1162</v>
      </c>
      <c r="O272" s="118" t="str">
        <f t="shared" si="441"/>
        <v>TMK-CB112</v>
      </c>
      <c r="P272" s="49" t="s">
        <v>4</v>
      </c>
      <c r="Q272" s="49" t="s">
        <v>77</v>
      </c>
      <c r="R272" s="386" t="s">
        <v>307</v>
      </c>
      <c r="S272" s="43">
        <v>110</v>
      </c>
      <c r="T272" s="146" t="s">
        <v>1266</v>
      </c>
      <c r="U272" s="146" t="s">
        <v>1267</v>
      </c>
      <c r="V272" s="487"/>
      <c r="X272" s="495" t="s">
        <v>2837</v>
      </c>
      <c r="Y272" s="431" t="s">
        <v>2869</v>
      </c>
      <c r="Z272" s="432"/>
      <c r="AA272" s="441" t="str">
        <f t="shared" si="442"/>
        <v>p</v>
      </c>
      <c r="AB272" s="134">
        <f t="shared" si="443"/>
        <v>0</v>
      </c>
      <c r="AC272" s="134">
        <f t="shared" si="444"/>
        <v>0</v>
      </c>
      <c r="AD272" s="134">
        <f t="shared" si="445"/>
        <v>0</v>
      </c>
      <c r="AE272" s="134">
        <f t="shared" si="446"/>
        <v>0</v>
      </c>
      <c r="AF272" s="432"/>
      <c r="AG272" s="436" t="str">
        <f t="shared" si="447"/>
        <v>p</v>
      </c>
      <c r="AH272" s="134">
        <f t="shared" si="448"/>
        <v>0</v>
      </c>
      <c r="AI272" s="134">
        <f t="shared" si="449"/>
        <v>0</v>
      </c>
      <c r="AJ272" s="134">
        <f t="shared" si="450"/>
        <v>0</v>
      </c>
      <c r="AK272" s="134">
        <f t="shared" si="451"/>
        <v>0</v>
      </c>
      <c r="AL272" s="470"/>
    </row>
    <row r="273" spans="2:39" hidden="1" x14ac:dyDescent="0.25">
      <c r="B273" s="49" t="s">
        <v>2838</v>
      </c>
      <c r="C273" s="168" t="s">
        <v>2608</v>
      </c>
      <c r="D273" s="119">
        <f>ROUNDDOWN(S273,0)</f>
        <v>33</v>
      </c>
      <c r="E273" s="370">
        <f t="array" ref="E273">IF(U273="YES",IF(T273="YES",MIN(IF(TMK[Load Capability Reference]=CONCATENATE(P273,Q273,S273,R273),TMK[Lowest A-PTX])),MIN(IF(TMK[Load Capability Reference]=CONCATENATE(P273,Q273,S273,R273),IF(TMK[Equipment ID]&lt;&gt;O273,TMK[Lowest A-PTX])))),IF(T273="YES",MIN(IF(TMK[Load Capability Reference]=CONCATENATE(P273,Q273,S273,R273),TMK[Lowest A-No PTX])),MIN(IF(TMK[Load Capability Reference]=CONCATENATE(P273,Q273,S273,R273),IF(TMK[Equipment ID]&lt;&gt;O273,TMK[Lowest A-No PTX])))))</f>
        <v>928.05008442697476</v>
      </c>
      <c r="F273" s="119">
        <f>IFERROR(IFERROR(VLOOKUP(CONCATENATE(P273,Q273,O273,S273,"Protection"),TMK[[OC Protection Reference]:[Forward A]],23,0),VLOOKUP(O273,AEL_Protection_Data[],12,0)),"N/A")</f>
        <v>496</v>
      </c>
      <c r="G273" s="119">
        <f t="shared" si="437"/>
        <v>395</v>
      </c>
      <c r="H273" s="29">
        <f t="shared" si="438"/>
        <v>22.9836733576402</v>
      </c>
      <c r="I273" s="119">
        <f t="shared" si="439"/>
        <v>445</v>
      </c>
      <c r="J273" s="29">
        <f t="shared" si="440"/>
        <v>25.892999099113645</v>
      </c>
      <c r="K273" s="6" t="str">
        <f>IF(U273="Yes",UPPER(IF(ISNUMBER(SEARCH("winding",VLOOKUP(CONCATENATE(P273,Q273,S273,E273),TMK[[Limiting Equipment Reference-PTX]:[Summ Equipment]],7,0))),"Power Transformer Rating at "&amp;ROUND(E273*S273*SQRT(3)/1000,2)&amp;" MVA",VLOOKUP(CONCATENATE(P273,Q273,S273,E273),TMK[[Limiting Equipment Reference-No PTX]:[Summ Equipment]],8,0))),UPPER(VLOOKUP(CONCATENATE(P273,Q273,S273,E273),TMK[[Limiting Equipment Reference-No PTX]:[Summ Equipment]],8,0)))</f>
        <v>POWER TRANSFORMER RATING AT 54 MVA</v>
      </c>
      <c r="L273" s="146" t="s">
        <v>1266</v>
      </c>
      <c r="M273" s="509" t="s">
        <v>1162</v>
      </c>
      <c r="O273" s="118" t="str">
        <f t="shared" si="441"/>
        <v>TMK-CB1252</v>
      </c>
      <c r="P273" s="49" t="s">
        <v>4</v>
      </c>
      <c r="Q273" s="49" t="s">
        <v>77</v>
      </c>
      <c r="R273" s="386" t="s">
        <v>378</v>
      </c>
      <c r="S273" s="43">
        <v>33.594000000000001</v>
      </c>
      <c r="T273" s="146" t="s">
        <v>1266</v>
      </c>
      <c r="U273" s="146" t="s">
        <v>1267</v>
      </c>
      <c r="V273" s="487"/>
      <c r="X273" s="495" t="s">
        <v>2838</v>
      </c>
      <c r="Y273" s="431" t="s">
        <v>2869</v>
      </c>
      <c r="Z273" s="432"/>
      <c r="AA273" s="441" t="str">
        <f t="shared" ref="AA273:AA282" si="452">IF(Z273&gt;E273,"q",IF(Z273&lt;E273,"p","u"))</f>
        <v>p</v>
      </c>
      <c r="AB273" s="134">
        <f t="shared" si="443"/>
        <v>0</v>
      </c>
      <c r="AC273" s="134">
        <f t="shared" si="444"/>
        <v>0</v>
      </c>
      <c r="AD273" s="134">
        <f t="shared" si="445"/>
        <v>0</v>
      </c>
      <c r="AE273" s="134">
        <f t="shared" si="446"/>
        <v>0</v>
      </c>
      <c r="AF273" s="432"/>
      <c r="AG273" s="436" t="str">
        <f t="shared" ref="AG273:AG282" si="453">IF(AF273&gt;F273,"q",IF(AF273&lt;F273,"p","u"))</f>
        <v>p</v>
      </c>
      <c r="AH273" s="134">
        <f t="shared" si="448"/>
        <v>0</v>
      </c>
      <c r="AI273" s="134">
        <f t="shared" si="449"/>
        <v>0</v>
      </c>
      <c r="AJ273" s="134">
        <f t="shared" si="450"/>
        <v>0</v>
      </c>
      <c r="AK273" s="134">
        <f t="shared" si="451"/>
        <v>0</v>
      </c>
      <c r="AL273" s="470"/>
    </row>
    <row r="274" spans="2:39" hidden="1" x14ac:dyDescent="0.25">
      <c r="B274" s="49" t="s">
        <v>2839</v>
      </c>
      <c r="C274" s="168" t="s">
        <v>2609</v>
      </c>
      <c r="D274" s="119">
        <f t="shared" ref="D274:D282" si="454">ROUNDDOWN(S274,0)</f>
        <v>33</v>
      </c>
      <c r="E274" s="370">
        <f t="array" ref="E274">IF(U274="YES",IF(T274="YES",MIN(IF(TMK[Load Capability Reference]=CONCATENATE(P274,Q274,S274,R274),TMK[Lowest A-PTX])),MIN(IF(TMK[Load Capability Reference]=CONCATENATE(P274,Q274,S274,R274),IF(TMK[Equipment ID]&lt;&gt;O274,TMK[Lowest A-PTX])))),IF(T274="YES",MIN(IF(TMK[Load Capability Reference]=CONCATENATE(P274,Q274,S274,R274),TMK[Lowest A-No PTX])),MIN(IF(TMK[Load Capability Reference]=CONCATENATE(P274,Q274,S274,R274),IF(TMK[Equipment ID]&lt;&gt;O274,TMK[Lowest A-No PTX])))))</f>
        <v>928.05008442697476</v>
      </c>
      <c r="F274" s="119">
        <f>IFERROR(IFERROR(VLOOKUP(CONCATENATE(P274,Q274,O274,S274,"Protection"),TMK[[OC Protection Reference]:[Forward A]],23,0),VLOOKUP(O274,AEL_Protection_Data[],12,0)),"N/A")</f>
        <v>496</v>
      </c>
      <c r="G274" s="119">
        <f t="shared" si="437"/>
        <v>395</v>
      </c>
      <c r="H274" s="29">
        <f t="shared" si="438"/>
        <v>22.9836733576402</v>
      </c>
      <c r="I274" s="119">
        <f t="shared" si="439"/>
        <v>445</v>
      </c>
      <c r="J274" s="29">
        <f t="shared" si="440"/>
        <v>25.892999099113645</v>
      </c>
      <c r="K274" s="6" t="str">
        <f>IF(U274="Yes",UPPER(IF(ISNUMBER(SEARCH("winding",VLOOKUP(CONCATENATE(P274,Q274,S274,E274),TMK[[Limiting Equipment Reference-PTX]:[Summ Equipment]],7,0))),"Power Transformer Rating at "&amp;ROUND(E274*S274*SQRT(3)/1000,2)&amp;" MVA",VLOOKUP(CONCATENATE(P274,Q274,S274,E274),TMK[[Limiting Equipment Reference-No PTX]:[Summ Equipment]],8,0))),UPPER(VLOOKUP(CONCATENATE(P274,Q274,S274,E274),TMK[[Limiting Equipment Reference-No PTX]:[Summ Equipment]],8,0)))</f>
        <v>POWER TRANSFORMER RATING AT 54 MVA</v>
      </c>
      <c r="L274" s="146" t="s">
        <v>1266</v>
      </c>
      <c r="M274" s="509" t="s">
        <v>1162</v>
      </c>
      <c r="O274" s="118" t="str">
        <f t="shared" si="441"/>
        <v>TMK-CB1232</v>
      </c>
      <c r="P274" s="49" t="s">
        <v>4</v>
      </c>
      <c r="Q274" s="49" t="s">
        <v>77</v>
      </c>
      <c r="R274" s="386" t="s">
        <v>307</v>
      </c>
      <c r="S274" s="43">
        <v>33.594000000000001</v>
      </c>
      <c r="T274" s="146" t="s">
        <v>1266</v>
      </c>
      <c r="U274" s="146" t="s">
        <v>1267</v>
      </c>
      <c r="V274" s="487"/>
      <c r="X274" s="495" t="s">
        <v>2839</v>
      </c>
      <c r="Y274" s="431" t="s">
        <v>2869</v>
      </c>
      <c r="Z274" s="432"/>
      <c r="AA274" s="441" t="str">
        <f t="shared" si="452"/>
        <v>p</v>
      </c>
      <c r="AB274" s="134">
        <f t="shared" si="443"/>
        <v>0</v>
      </c>
      <c r="AC274" s="134">
        <f t="shared" si="444"/>
        <v>0</v>
      </c>
      <c r="AD274" s="134">
        <f t="shared" si="445"/>
        <v>0</v>
      </c>
      <c r="AE274" s="134">
        <f t="shared" si="446"/>
        <v>0</v>
      </c>
      <c r="AF274" s="432"/>
      <c r="AG274" s="436" t="str">
        <f t="shared" si="453"/>
        <v>p</v>
      </c>
      <c r="AH274" s="134">
        <f t="shared" si="448"/>
        <v>0</v>
      </c>
      <c r="AI274" s="134">
        <f t="shared" si="449"/>
        <v>0</v>
      </c>
      <c r="AJ274" s="134">
        <f t="shared" si="450"/>
        <v>0</v>
      </c>
      <c r="AK274" s="134">
        <f t="shared" si="451"/>
        <v>0</v>
      </c>
      <c r="AL274" s="470"/>
    </row>
    <row r="275" spans="2:39" hidden="1" x14ac:dyDescent="0.25">
      <c r="B275" s="49" t="s">
        <v>1845</v>
      </c>
      <c r="C275" s="168" t="s">
        <v>2610</v>
      </c>
      <c r="D275" s="119">
        <f t="shared" si="454"/>
        <v>33</v>
      </c>
      <c r="E275" s="370">
        <f t="array" ref="E275">IF(U275="YES",IF(T275="YES",MIN(IF(TMK[Load Capability Reference]=CONCATENATE(P275,Q275,S275,R275),TMK[Lowest A-PTX])),MIN(IF(TMK[Load Capability Reference]=CONCATENATE(P275,Q275,S275,R275),IF(TMK[Equipment ID]&lt;&gt;O275,TMK[Lowest A-PTX])))),IF(T275="YES",MIN(IF(TMK[Load Capability Reference]=CONCATENATE(P275,Q275,S275,R275),TMK[Lowest A-No PTX])),MIN(IF(TMK[Load Capability Reference]=CONCATENATE(P275,Q275,S275,R275),IF(TMK[Equipment ID]&lt;&gt;O275,TMK[Lowest A-No PTX])))))</f>
        <v>407.19406000000004</v>
      </c>
      <c r="F275" s="119">
        <f>IFERROR(IFERROR(VLOOKUP(CONCATENATE(P275,Q275,O275,S275,"Protection"),TMK[[OC Protection Reference]:[Forward A]],23,0),VLOOKUP(O275,AEL_Protection_Data[],12,0)),"N/A")</f>
        <v>510</v>
      </c>
      <c r="G275" s="119">
        <f t="shared" si="437"/>
        <v>325</v>
      </c>
      <c r="H275" s="29">
        <f t="shared" si="438"/>
        <v>18.91061731957738</v>
      </c>
      <c r="I275" s="119">
        <f t="shared" si="439"/>
        <v>365</v>
      </c>
      <c r="J275" s="29">
        <f t="shared" si="440"/>
        <v>21.238077912756136</v>
      </c>
      <c r="K275" s="6" t="str">
        <f>IF(U275="Yes",UPPER(IF(ISNUMBER(SEARCH("winding",VLOOKUP(CONCATENATE(P275,Q275,S275,E275),TMK[[Limiting Equipment Reference-PTX]:[Summ Equipment]],7,0))),"Power Transformer Rating at "&amp;ROUND(E275*S275*SQRT(3)/1000,2)&amp;" MVA",VLOOKUP(CONCATENATE(P275,Q275,S275,E275),TMK[[Limiting Equipment Reference-No PTX]:[Summ Equipment]],8,0))),UPPER(VLOOKUP(CONCATENATE(P275,Q275,S275,E275),TMK[[Limiting Equipment Reference-No PTX]:[Summ Equipment]],8,0)))</f>
        <v>CABLE-3-1C 400 MM² AL XLPE</v>
      </c>
      <c r="L275" s="146" t="s">
        <v>1266</v>
      </c>
      <c r="M275" s="509" t="s">
        <v>1162</v>
      </c>
      <c r="O275" s="118" t="str">
        <f t="shared" si="441"/>
        <v>TMK-CB1192</v>
      </c>
      <c r="P275" s="49" t="s">
        <v>1245</v>
      </c>
      <c r="Q275" s="49" t="s">
        <v>233</v>
      </c>
      <c r="R275" s="386"/>
      <c r="S275" s="43">
        <v>33.594000000000001</v>
      </c>
      <c r="T275" s="146" t="s">
        <v>1266</v>
      </c>
      <c r="U275" s="146" t="s">
        <v>1266</v>
      </c>
      <c r="V275" s="487"/>
      <c r="X275" s="495" t="s">
        <v>1845</v>
      </c>
      <c r="Y275" s="431" t="s">
        <v>2610</v>
      </c>
      <c r="Z275" s="432">
        <v>500</v>
      </c>
      <c r="AA275" s="441" t="str">
        <f t="shared" si="452"/>
        <v>q</v>
      </c>
      <c r="AB275" s="134">
        <f t="shared" si="443"/>
        <v>0</v>
      </c>
      <c r="AC275" s="134">
        <f t="shared" si="444"/>
        <v>0</v>
      </c>
      <c r="AD275" s="134">
        <f t="shared" si="445"/>
        <v>92.805939999999964</v>
      </c>
      <c r="AE275" s="134">
        <f t="shared" si="446"/>
        <v>5.4000542040727959</v>
      </c>
      <c r="AF275" s="432">
        <v>510</v>
      </c>
      <c r="AG275" s="436" t="str">
        <f t="shared" si="453"/>
        <v>u</v>
      </c>
      <c r="AH275" s="134">
        <f t="shared" si="448"/>
        <v>0</v>
      </c>
      <c r="AI275" s="134">
        <f t="shared" si="449"/>
        <v>0</v>
      </c>
      <c r="AJ275" s="134">
        <f t="shared" si="450"/>
        <v>0</v>
      </c>
      <c r="AK275" s="134">
        <f t="shared" si="451"/>
        <v>0</v>
      </c>
      <c r="AL275" s="470" t="s">
        <v>1266</v>
      </c>
    </row>
    <row r="276" spans="2:39" hidden="1" x14ac:dyDescent="0.25">
      <c r="B276" s="49" t="s">
        <v>1843</v>
      </c>
      <c r="C276" s="168" t="s">
        <v>2614</v>
      </c>
      <c r="D276" s="119">
        <f t="shared" si="454"/>
        <v>33</v>
      </c>
      <c r="E276" s="370">
        <f t="array" ref="E276">IF(U276="YES",IF(T276="YES",MIN(IF(TMK[Load Capability Reference]=CONCATENATE(P276,Q276,S276,R276),TMK[Lowest A-PTX])),MIN(IF(TMK[Load Capability Reference]=CONCATENATE(P276,Q276,S276,R276),IF(TMK[Equipment ID]&lt;&gt;O276,TMK[Lowest A-PTX])))),IF(T276="YES",MIN(IF(TMK[Load Capability Reference]=CONCATENATE(P276,Q276,S276,R276),TMK[Lowest A-No PTX])),MIN(IF(TMK[Load Capability Reference]=CONCATENATE(P276,Q276,S276,R276),IF(TMK[Equipment ID]&lt;&gt;O276,TMK[Lowest A-No PTX])))))</f>
        <v>207.23079999999999</v>
      </c>
      <c r="F276" s="119">
        <f>IFERROR(IFERROR(VLOOKUP(CONCATENATE(P276,Q276,O276,S276,"Protection"),TMK[[OC Protection Reference]:[Forward A]],23,0),VLOOKUP(O276,AEL_Protection_Data[],12,0)),"N/A")</f>
        <v>462</v>
      </c>
      <c r="G276" s="119">
        <f t="shared" si="437"/>
        <v>165</v>
      </c>
      <c r="H276" s="29">
        <f t="shared" si="438"/>
        <v>9.6007749468623622</v>
      </c>
      <c r="I276" s="119">
        <f t="shared" si="439"/>
        <v>185</v>
      </c>
      <c r="J276" s="29">
        <f t="shared" si="440"/>
        <v>10.76450524345174</v>
      </c>
      <c r="K276" s="6" t="str">
        <f>IF(U276="Yes",UPPER(IF(ISNUMBER(SEARCH("winding",VLOOKUP(CONCATENATE(P276,Q276,S276,E276),TMK[[Limiting Equipment Reference-PTX]:[Summ Equipment]],7,0))),"Power Transformer Rating at "&amp;ROUND(E276*S276*SQRT(3)/1000,2)&amp;" MVA",VLOOKUP(CONCATENATE(P276,Q276,S276,E276),TMK[[Limiting Equipment Reference-No PTX]:[Summ Equipment]],8,0))),UPPER(VLOOKUP(CONCATENATE(P276,Q276,S276,E276),TMK[[Limiting Equipment Reference-No PTX]:[Summ Equipment]],8,0)))</f>
        <v>CABLE-1-3C 95 MM² AL XLPE</v>
      </c>
      <c r="L276" s="146" t="s">
        <v>1267</v>
      </c>
      <c r="M276" s="509" t="s">
        <v>1266</v>
      </c>
      <c r="O276" s="118" t="str">
        <f t="shared" si="441"/>
        <v>TMK-CB1202</v>
      </c>
      <c r="P276" s="49" t="s">
        <v>1245</v>
      </c>
      <c r="Q276" s="49" t="s">
        <v>232</v>
      </c>
      <c r="R276" s="386"/>
      <c r="S276" s="43">
        <v>33.594000000000001</v>
      </c>
      <c r="T276" s="146" t="s">
        <v>1266</v>
      </c>
      <c r="U276" s="146" t="s">
        <v>1266</v>
      </c>
      <c r="V276" s="487"/>
      <c r="X276" s="495" t="s">
        <v>1843</v>
      </c>
      <c r="Y276" s="431" t="s">
        <v>2627</v>
      </c>
      <c r="Z276" s="432"/>
      <c r="AA276" s="441" t="str">
        <f t="shared" si="452"/>
        <v>p</v>
      </c>
      <c r="AB276" s="134">
        <f t="shared" si="443"/>
        <v>0</v>
      </c>
      <c r="AC276" s="134">
        <f t="shared" si="444"/>
        <v>0</v>
      </c>
      <c r="AD276" s="134">
        <f t="shared" si="445"/>
        <v>0</v>
      </c>
      <c r="AE276" s="134">
        <f t="shared" si="446"/>
        <v>0</v>
      </c>
      <c r="AF276" s="432">
        <v>462</v>
      </c>
      <c r="AG276" s="436" t="str">
        <f t="shared" si="453"/>
        <v>u</v>
      </c>
      <c r="AH276" s="134">
        <f t="shared" si="448"/>
        <v>0</v>
      </c>
      <c r="AI276" s="134">
        <f t="shared" si="449"/>
        <v>0</v>
      </c>
      <c r="AJ276" s="134">
        <f t="shared" si="450"/>
        <v>0</v>
      </c>
      <c r="AK276" s="134">
        <f t="shared" si="451"/>
        <v>0</v>
      </c>
      <c r="AL276" s="470" t="s">
        <v>2860</v>
      </c>
    </row>
    <row r="277" spans="2:39" hidden="1" x14ac:dyDescent="0.25">
      <c r="B277" s="49" t="s">
        <v>1834</v>
      </c>
      <c r="C277" s="168" t="s">
        <v>2613</v>
      </c>
      <c r="D277" s="119">
        <f t="shared" si="454"/>
        <v>33</v>
      </c>
      <c r="E277" s="370">
        <f t="array" ref="E277">IF(U277="YES",IF(T277="YES",MIN(IF(TMK[Load Capability Reference]=CONCATENATE(P277,Q277,S277,R277),TMK[Lowest A-PTX])),MIN(IF(TMK[Load Capability Reference]=CONCATENATE(P277,Q277,S277,R277),IF(TMK[Equipment ID]&lt;&gt;O277,TMK[Lowest A-PTX])))),IF(T277="YES",MIN(IF(TMK[Load Capability Reference]=CONCATENATE(P277,Q277,S277,R277),TMK[Lowest A-No PTX])),MIN(IF(TMK[Load Capability Reference]=CONCATENATE(P277,Q277,S277,R277),IF(TMK[Equipment ID]&lt;&gt;O277,TMK[Lowest A-No PTX])))))</f>
        <v>426.33013499999998</v>
      </c>
      <c r="F277" s="119">
        <f>IFERROR(IFERROR(VLOOKUP(CONCATENATE(P277,Q277,O277,S277,"Protection"),TMK[[OC Protection Reference]:[Forward A]],23,0),VLOOKUP(O277,AEL_Protection_Data[],12,0)),"N/A")</f>
        <v>582</v>
      </c>
      <c r="G277" s="119">
        <f t="shared" si="437"/>
        <v>340</v>
      </c>
      <c r="H277" s="29">
        <f t="shared" si="438"/>
        <v>19.783415042019413</v>
      </c>
      <c r="I277" s="119">
        <f t="shared" si="439"/>
        <v>380</v>
      </c>
      <c r="J277" s="29">
        <f t="shared" si="440"/>
        <v>22.11087563519817</v>
      </c>
      <c r="K277" s="6" t="str">
        <f>IF(U277="Yes",UPPER(IF(ISNUMBER(SEARCH("winding",VLOOKUP(CONCATENATE(P277,Q277,S277,E277),TMK[[Limiting Equipment Reference-PTX]:[Summ Equipment]],7,0))),"Power Transformer Rating at "&amp;ROUND(E277*S277*SQRT(3)/1000,2)&amp;" MVA",VLOOKUP(CONCATENATE(P277,Q277,S277,E277),TMK[[Limiting Equipment Reference-No PTX]:[Summ Equipment]],8,0))),UPPER(VLOOKUP(CONCATENATE(P277,Q277,S277,E277),TMK[[Limiting Equipment Reference-No PTX]:[Summ Equipment]],8,0)))</f>
        <v>CABLE-3-1C 400 MM² AL XLPE</v>
      </c>
      <c r="L277" s="146" t="s">
        <v>1266</v>
      </c>
      <c r="M277" s="509" t="s">
        <v>1162</v>
      </c>
      <c r="O277" s="118" t="str">
        <f t="shared" si="441"/>
        <v>TMK-CB1212</v>
      </c>
      <c r="P277" s="49" t="s">
        <v>1245</v>
      </c>
      <c r="Q277" s="49" t="s">
        <v>231</v>
      </c>
      <c r="R277" s="386"/>
      <c r="S277" s="43">
        <v>33.594000000000001</v>
      </c>
      <c r="T277" s="146" t="s">
        <v>1266</v>
      </c>
      <c r="U277" s="146" t="s">
        <v>1266</v>
      </c>
      <c r="V277" s="487"/>
      <c r="X277" s="495" t="s">
        <v>1834</v>
      </c>
      <c r="Y277" s="431" t="s">
        <v>2613</v>
      </c>
      <c r="Z277" s="432">
        <v>455</v>
      </c>
      <c r="AA277" s="441" t="str">
        <f t="shared" si="452"/>
        <v>q</v>
      </c>
      <c r="AB277" s="134">
        <f t="shared" si="443"/>
        <v>0</v>
      </c>
      <c r="AC277" s="134">
        <f t="shared" si="444"/>
        <v>0</v>
      </c>
      <c r="AD277" s="134">
        <f t="shared" si="445"/>
        <v>28.669865000000016</v>
      </c>
      <c r="AE277" s="134">
        <f t="shared" si="446"/>
        <v>1.6681995249813713</v>
      </c>
      <c r="AF277" s="432">
        <v>252</v>
      </c>
      <c r="AG277" s="436" t="str">
        <f t="shared" si="453"/>
        <v>p</v>
      </c>
      <c r="AH277" s="134">
        <f t="shared" si="448"/>
        <v>330</v>
      </c>
      <c r="AI277" s="134">
        <f t="shared" si="449"/>
        <v>19.201549893724724</v>
      </c>
      <c r="AJ277" s="134">
        <f t="shared" si="450"/>
        <v>0</v>
      </c>
      <c r="AK277" s="134">
        <f t="shared" si="451"/>
        <v>0</v>
      </c>
      <c r="AL277" s="470" t="s">
        <v>1266</v>
      </c>
    </row>
    <row r="278" spans="2:39" hidden="1" x14ac:dyDescent="0.25">
      <c r="B278" s="49" t="s">
        <v>1837</v>
      </c>
      <c r="C278" s="168" t="s">
        <v>2611</v>
      </c>
      <c r="D278" s="119">
        <f t="shared" si="454"/>
        <v>33</v>
      </c>
      <c r="E278" s="370">
        <f t="array" ref="E278">IF(U278="YES",IF(T278="YES",MIN(IF(TMK[Load Capability Reference]=CONCATENATE(P278,Q278,S278,R278),TMK[Lowest A-PTX])),MIN(IF(TMK[Load Capability Reference]=CONCATENATE(P278,Q278,S278,R278),IF(TMK[Equipment ID]&lt;&gt;O278,TMK[Lowest A-PTX])))),IF(T278="YES",MIN(IF(TMK[Load Capability Reference]=CONCATENATE(P278,Q278,S278,R278),TMK[Lowest A-No PTX])),MIN(IF(TMK[Load Capability Reference]=CONCATENATE(P278,Q278,S278,R278),IF(TMK[Equipment ID]&lt;&gt;O278,TMK[Lowest A-No PTX])))))</f>
        <v>407.19406000000004</v>
      </c>
      <c r="F278" s="119">
        <f>IFERROR(IFERROR(VLOOKUP(CONCATENATE(P278,Q278,O278,S278,"Protection"),TMK[[OC Protection Reference]:[Forward A]],23,0),VLOOKUP(O278,AEL_Protection_Data[],12,0)),"N/A")</f>
        <v>540</v>
      </c>
      <c r="G278" s="119">
        <f t="shared" si="437"/>
        <v>325</v>
      </c>
      <c r="H278" s="29">
        <f t="shared" si="438"/>
        <v>18.91061731957738</v>
      </c>
      <c r="I278" s="119">
        <f t="shared" si="439"/>
        <v>365</v>
      </c>
      <c r="J278" s="29">
        <f t="shared" si="440"/>
        <v>21.238077912756136</v>
      </c>
      <c r="K278" s="6" t="str">
        <f>IF(U278="Yes",UPPER(IF(ISNUMBER(SEARCH("winding",VLOOKUP(CONCATENATE(P278,Q278,S278,E278),TMK[[Limiting Equipment Reference-PTX]:[Summ Equipment]],7,0))),"Power Transformer Rating at "&amp;ROUND(E278*S278*SQRT(3)/1000,2)&amp;" MVA",VLOOKUP(CONCATENATE(P278,Q278,S278,E278),TMK[[Limiting Equipment Reference-No PTX]:[Summ Equipment]],8,0))),UPPER(VLOOKUP(CONCATENATE(P278,Q278,S278,E278),TMK[[Limiting Equipment Reference-No PTX]:[Summ Equipment]],8,0)))</f>
        <v>CABLE-3-1C 400 MM² AL XLPE</v>
      </c>
      <c r="L278" s="146" t="s">
        <v>1266</v>
      </c>
      <c r="M278" s="509" t="s">
        <v>1162</v>
      </c>
      <c r="O278" s="118" t="str">
        <f t="shared" si="441"/>
        <v>TMK-CB1222</v>
      </c>
      <c r="P278" s="49" t="s">
        <v>1245</v>
      </c>
      <c r="Q278" s="49" t="s">
        <v>230</v>
      </c>
      <c r="R278" s="386"/>
      <c r="S278" s="43">
        <v>33.594000000000001</v>
      </c>
      <c r="T278" s="146" t="s">
        <v>1266</v>
      </c>
      <c r="U278" s="146" t="s">
        <v>1266</v>
      </c>
      <c r="V278" s="487"/>
      <c r="X278" s="495" t="s">
        <v>1837</v>
      </c>
      <c r="Y278" s="431" t="s">
        <v>2611</v>
      </c>
      <c r="Z278" s="432">
        <v>455</v>
      </c>
      <c r="AA278" s="441" t="str">
        <f t="shared" si="452"/>
        <v>q</v>
      </c>
      <c r="AB278" s="134">
        <f t="shared" si="443"/>
        <v>0</v>
      </c>
      <c r="AC278" s="134">
        <f t="shared" si="444"/>
        <v>0</v>
      </c>
      <c r="AD278" s="134">
        <f t="shared" si="445"/>
        <v>47.805939999999964</v>
      </c>
      <c r="AE278" s="134">
        <f t="shared" si="446"/>
        <v>2.7816610367466965</v>
      </c>
      <c r="AF278" s="432">
        <v>660</v>
      </c>
      <c r="AG278" s="436" t="str">
        <f t="shared" si="453"/>
        <v>q</v>
      </c>
      <c r="AH278" s="134">
        <f t="shared" si="448"/>
        <v>0</v>
      </c>
      <c r="AI278" s="134">
        <f t="shared" si="449"/>
        <v>0</v>
      </c>
      <c r="AJ278" s="134">
        <f t="shared" si="450"/>
        <v>120</v>
      </c>
      <c r="AK278" s="134">
        <f t="shared" si="451"/>
        <v>6.9823817795362642</v>
      </c>
      <c r="AL278" s="470" t="s">
        <v>1266</v>
      </c>
    </row>
    <row r="279" spans="2:39" hidden="1" x14ac:dyDescent="0.25">
      <c r="B279" s="49" t="s">
        <v>1839</v>
      </c>
      <c r="C279" s="168" t="s">
        <v>2616</v>
      </c>
      <c r="D279" s="119">
        <f t="shared" si="454"/>
        <v>33</v>
      </c>
      <c r="E279" s="370">
        <f t="array" ref="E279">IF(U279="YES",IF(T279="YES",MIN(IF(TMK[Load Capability Reference]=CONCATENATE(P279,Q279,S279,R279),TMK[Lowest A-PTX])),MIN(IF(TMK[Load Capability Reference]=CONCATENATE(P279,Q279,S279,R279),IF(TMK[Equipment ID]&lt;&gt;O279,TMK[Lowest A-PTX])))),IF(T279="YES",MIN(IF(TMK[Load Capability Reference]=CONCATENATE(P279,Q279,S279,R279),TMK[Lowest A-No PTX])),MIN(IF(TMK[Load Capability Reference]=CONCATENATE(P279,Q279,S279,R279),IF(TMK[Equipment ID]&lt;&gt;O279,TMK[Lowest A-No PTX])))))</f>
        <v>426.33013499999998</v>
      </c>
      <c r="F279" s="119">
        <f>IFERROR(IFERROR(VLOOKUP(CONCATENATE(P279,Q279,O279,S279,"Protection"),TMK[[OC Protection Reference]:[Forward A]],23,0),VLOOKUP(O279,AEL_Protection_Data[],12,0)),"N/A")</f>
        <v>582</v>
      </c>
      <c r="G279" s="119">
        <f t="shared" si="437"/>
        <v>340</v>
      </c>
      <c r="H279" s="29">
        <f t="shared" si="438"/>
        <v>19.783415042019413</v>
      </c>
      <c r="I279" s="119">
        <f t="shared" si="439"/>
        <v>380</v>
      </c>
      <c r="J279" s="29">
        <f t="shared" si="440"/>
        <v>22.11087563519817</v>
      </c>
      <c r="K279" s="6" t="str">
        <f>IF(U279="Yes",UPPER(IF(ISNUMBER(SEARCH("winding",VLOOKUP(CONCATENATE(P279,Q279,S279,E279),TMK[[Limiting Equipment Reference-PTX]:[Summ Equipment]],7,0))),"Power Transformer Rating at "&amp;ROUND(E279*S279*SQRT(3)/1000,2)&amp;" MVA",VLOOKUP(CONCATENATE(P279,Q279,S279,E279),TMK[[Limiting Equipment Reference-No PTX]:[Summ Equipment]],8,0))),UPPER(VLOOKUP(CONCATENATE(P279,Q279,S279,E279),TMK[[Limiting Equipment Reference-No PTX]:[Summ Equipment]],8,0)))</f>
        <v>CABLE-3-1C 400 MM² AL XLPE</v>
      </c>
      <c r="L279" s="146" t="s">
        <v>1266</v>
      </c>
      <c r="M279" s="509" t="s">
        <v>1162</v>
      </c>
      <c r="O279" s="118" t="str">
        <f t="shared" si="441"/>
        <v>TMK-CB1262</v>
      </c>
      <c r="P279" s="49" t="s">
        <v>1245</v>
      </c>
      <c r="Q279" s="49" t="s">
        <v>229</v>
      </c>
      <c r="R279" s="386"/>
      <c r="S279" s="43">
        <v>33.594000000000001</v>
      </c>
      <c r="T279" s="146" t="s">
        <v>1266</v>
      </c>
      <c r="U279" s="146" t="s">
        <v>1266</v>
      </c>
      <c r="V279" s="487"/>
      <c r="X279" s="495" t="s">
        <v>1839</v>
      </c>
      <c r="Y279" s="431" t="s">
        <v>2616</v>
      </c>
      <c r="Z279" s="432">
        <v>455</v>
      </c>
      <c r="AA279" s="441" t="str">
        <f t="shared" si="452"/>
        <v>q</v>
      </c>
      <c r="AB279" s="134">
        <f t="shared" si="443"/>
        <v>0</v>
      </c>
      <c r="AC279" s="134">
        <f t="shared" si="444"/>
        <v>0</v>
      </c>
      <c r="AD279" s="134">
        <f t="shared" si="445"/>
        <v>28.669865000000016</v>
      </c>
      <c r="AE279" s="134">
        <f t="shared" si="446"/>
        <v>1.6681995249813713</v>
      </c>
      <c r="AF279" s="432">
        <v>252</v>
      </c>
      <c r="AG279" s="436" t="str">
        <f t="shared" si="453"/>
        <v>p</v>
      </c>
      <c r="AH279" s="134">
        <f t="shared" si="448"/>
        <v>330</v>
      </c>
      <c r="AI279" s="134">
        <f t="shared" si="449"/>
        <v>19.201549893724724</v>
      </c>
      <c r="AJ279" s="134">
        <f t="shared" si="450"/>
        <v>0</v>
      </c>
      <c r="AK279" s="134">
        <f t="shared" si="451"/>
        <v>0</v>
      </c>
      <c r="AL279" s="470" t="s">
        <v>1266</v>
      </c>
    </row>
    <row r="280" spans="2:39" hidden="1" x14ac:dyDescent="0.25">
      <c r="B280" s="49" t="s">
        <v>1841</v>
      </c>
      <c r="C280" s="168" t="s">
        <v>2615</v>
      </c>
      <c r="D280" s="119">
        <f t="shared" si="454"/>
        <v>33</v>
      </c>
      <c r="E280" s="370">
        <f t="array" ref="E280">IF(U280="YES",IF(T280="YES",MIN(IF(TMK[Load Capability Reference]=CONCATENATE(P280,Q280,S280,R280),TMK[Lowest A-PTX])),MIN(IF(TMK[Load Capability Reference]=CONCATENATE(P280,Q280,S280,R280),IF(TMK[Equipment ID]&lt;&gt;O280,TMK[Lowest A-PTX])))),IF(T280="YES",MIN(IF(TMK[Load Capability Reference]=CONCATENATE(P280,Q280,S280,R280),TMK[Lowest A-No PTX])),MIN(IF(TMK[Load Capability Reference]=CONCATENATE(P280,Q280,S280,R280),IF(TMK[Equipment ID]&lt;&gt;O280,TMK[Lowest A-No PTX])))))</f>
        <v>496.06019819111378</v>
      </c>
      <c r="F280" s="119">
        <f>IFERROR(IFERROR(VLOOKUP(CONCATENATE(P280,Q280,O280,S280,"Protection"),TMK[[OC Protection Reference]:[Forward A]],23,0),VLOOKUP(O280,AEL_Protection_Data[],12,0)),"N/A")</f>
        <v>510</v>
      </c>
      <c r="G280" s="119">
        <f t="shared" si="437"/>
        <v>395</v>
      </c>
      <c r="H280" s="29">
        <f t="shared" si="438"/>
        <v>22.9836733576402</v>
      </c>
      <c r="I280" s="119">
        <f t="shared" si="439"/>
        <v>445</v>
      </c>
      <c r="J280" s="29">
        <f t="shared" si="440"/>
        <v>25.892999099113645</v>
      </c>
      <c r="K280" s="6" t="str">
        <f>IF(U280="Yes",UPPER(IF(ISNUMBER(SEARCH("winding",VLOOKUP(CONCATENATE(P280,Q280,S280,E280),TMK[[Limiting Equipment Reference-PTX]:[Summ Equipment]],7,0))),"Power Transformer Rating at "&amp;ROUND(E280*S280*SQRT(3)/1000,2)&amp;" MVA",VLOOKUP(CONCATENATE(P280,Q280,S280,E280),TMK[[Limiting Equipment Reference-No PTX]:[Summ Equipment]],8,0))),UPPER(VLOOKUP(CONCATENATE(P280,Q280,S280,E280),TMK[[Limiting Equipment Reference-No PTX]:[Summ Equipment]],8,0)))</f>
        <v>OH LINE-WOLF</v>
      </c>
      <c r="L280" s="146" t="s">
        <v>1266</v>
      </c>
      <c r="M280" s="509" t="s">
        <v>1162</v>
      </c>
      <c r="O280" s="118" t="str">
        <f t="shared" si="441"/>
        <v>TMK-CB1272</v>
      </c>
      <c r="P280" s="49" t="s">
        <v>1245</v>
      </c>
      <c r="Q280" s="49" t="s">
        <v>228</v>
      </c>
      <c r="R280" s="386"/>
      <c r="S280" s="43">
        <v>33.594000000000001</v>
      </c>
      <c r="T280" s="146" t="s">
        <v>1266</v>
      </c>
      <c r="U280" s="146" t="s">
        <v>1266</v>
      </c>
      <c r="V280" s="487"/>
      <c r="X280" s="495" t="s">
        <v>1841</v>
      </c>
      <c r="Y280" s="431" t="s">
        <v>2933</v>
      </c>
      <c r="Z280" s="432">
        <v>455</v>
      </c>
      <c r="AA280" s="441" t="str">
        <f t="shared" si="452"/>
        <v>p</v>
      </c>
      <c r="AB280" s="134">
        <f t="shared" si="443"/>
        <v>41.060198191113784</v>
      </c>
      <c r="AC280" s="134">
        <f t="shared" si="444"/>
        <v>2.3891498309481727</v>
      </c>
      <c r="AD280" s="134">
        <f t="shared" si="445"/>
        <v>0</v>
      </c>
      <c r="AE280" s="134">
        <f t="shared" si="446"/>
        <v>0</v>
      </c>
      <c r="AF280" s="432">
        <v>510</v>
      </c>
      <c r="AG280" s="436" t="str">
        <f t="shared" si="453"/>
        <v>u</v>
      </c>
      <c r="AH280" s="134">
        <f t="shared" si="448"/>
        <v>0</v>
      </c>
      <c r="AI280" s="134">
        <f t="shared" si="449"/>
        <v>0</v>
      </c>
      <c r="AJ280" s="134">
        <f t="shared" si="450"/>
        <v>0</v>
      </c>
      <c r="AK280" s="134">
        <f t="shared" si="451"/>
        <v>0</v>
      </c>
      <c r="AL280" s="470" t="s">
        <v>1266</v>
      </c>
    </row>
    <row r="281" spans="2:39" hidden="1" x14ac:dyDescent="0.25">
      <c r="B281" s="49" t="s">
        <v>1847</v>
      </c>
      <c r="C281" s="168" t="s">
        <v>2612</v>
      </c>
      <c r="D281" s="119">
        <f t="shared" si="454"/>
        <v>33</v>
      </c>
      <c r="E281" s="370">
        <f t="array" ref="E281">IF(U281="YES",IF(T281="YES",MIN(IF(TMK[Load Capability Reference]=CONCATENATE(P281,Q281,S281,R281),TMK[Lowest A-PTX])),MIN(IF(TMK[Load Capability Reference]=CONCATENATE(P281,Q281,S281,R281),IF(TMK[Equipment ID]&lt;&gt;O281,TMK[Lowest A-PTX])))),IF(T281="YES",MIN(IF(TMK[Load Capability Reference]=CONCATENATE(P281,Q281,S281,R281),TMK[Lowest A-No PTX])),MIN(IF(TMK[Load Capability Reference]=CONCATENATE(P281,Q281,S281,R281),IF(TMK[Equipment ID]&lt;&gt;O281,TMK[Lowest A-No PTX])))))</f>
        <v>407.19406000000004</v>
      </c>
      <c r="F281" s="119">
        <f>IFERROR(IFERROR(VLOOKUP(CONCATENATE(P281,Q281,O281,S281,"Protection"),TMK[[OC Protection Reference]:[Forward A]],23,0),VLOOKUP(O281,AEL_Protection_Data[],12,0)),"N/A")</f>
        <v>660</v>
      </c>
      <c r="G281" s="119">
        <f t="shared" si="437"/>
        <v>325</v>
      </c>
      <c r="H281" s="29">
        <f t="shared" si="438"/>
        <v>18.91061731957738</v>
      </c>
      <c r="I281" s="119">
        <f t="shared" si="439"/>
        <v>365</v>
      </c>
      <c r="J281" s="29">
        <f t="shared" si="440"/>
        <v>21.238077912756136</v>
      </c>
      <c r="K281" s="6" t="str">
        <f>IF(U281="Yes",UPPER(IF(ISNUMBER(SEARCH("winding",VLOOKUP(CONCATENATE(P281,Q281,S281,E281),TMK[[Limiting Equipment Reference-PTX]:[Summ Equipment]],7,0))),"Power Transformer Rating at "&amp;ROUND(E281*S281*SQRT(3)/1000,2)&amp;" MVA",VLOOKUP(CONCATENATE(P281,Q281,S281,E281),TMK[[Limiting Equipment Reference-No PTX]:[Summ Equipment]],8,0))),UPPER(VLOOKUP(CONCATENATE(P281,Q281,S281,E281),TMK[[Limiting Equipment Reference-No PTX]:[Summ Equipment]],8,0)))</f>
        <v>CABLE-3-1C 400 MM² AL XLPE</v>
      </c>
      <c r="L281" s="146" t="s">
        <v>1266</v>
      </c>
      <c r="M281" s="509" t="s">
        <v>1162</v>
      </c>
      <c r="O281" s="118" t="str">
        <f t="shared" si="441"/>
        <v>TMK-CB1282</v>
      </c>
      <c r="P281" s="49" t="s">
        <v>1245</v>
      </c>
      <c r="Q281" s="49" t="s">
        <v>227</v>
      </c>
      <c r="R281" s="386"/>
      <c r="S281" s="43">
        <v>33.594000000000001</v>
      </c>
      <c r="T281" s="146" t="s">
        <v>1266</v>
      </c>
      <c r="U281" s="146" t="s">
        <v>1266</v>
      </c>
      <c r="V281" s="487"/>
      <c r="X281" s="495" t="s">
        <v>1847</v>
      </c>
      <c r="Y281" s="431" t="s">
        <v>2612</v>
      </c>
      <c r="Z281" s="432">
        <v>500</v>
      </c>
      <c r="AA281" s="441" t="str">
        <f t="shared" si="452"/>
        <v>q</v>
      </c>
      <c r="AB281" s="134">
        <f t="shared" si="443"/>
        <v>0</v>
      </c>
      <c r="AC281" s="134">
        <f t="shared" si="444"/>
        <v>0</v>
      </c>
      <c r="AD281" s="134">
        <f t="shared" si="445"/>
        <v>92.805939999999964</v>
      </c>
      <c r="AE281" s="134">
        <f t="shared" si="446"/>
        <v>5.4000542040727959</v>
      </c>
      <c r="AF281" s="432">
        <v>540</v>
      </c>
      <c r="AG281" s="436" t="str">
        <f t="shared" si="453"/>
        <v>p</v>
      </c>
      <c r="AH281" s="134">
        <f t="shared" si="448"/>
        <v>120</v>
      </c>
      <c r="AI281" s="134">
        <f t="shared" si="449"/>
        <v>6.9823817795362642</v>
      </c>
      <c r="AJ281" s="134">
        <f t="shared" si="450"/>
        <v>0</v>
      </c>
      <c r="AK281" s="134">
        <f t="shared" si="451"/>
        <v>0</v>
      </c>
      <c r="AL281" s="470" t="s">
        <v>1266</v>
      </c>
    </row>
    <row r="282" spans="2:39" ht="15.75" hidden="1" thickBot="1" x14ac:dyDescent="0.3">
      <c r="B282" s="374" t="s">
        <v>1849</v>
      </c>
      <c r="C282" s="375" t="s">
        <v>2617</v>
      </c>
      <c r="D282" s="377">
        <f t="shared" si="454"/>
        <v>33</v>
      </c>
      <c r="E282" s="384">
        <f t="array" ref="E282">IF(U282="YES",IF(T282="YES",MIN(IF(TMK[Load Capability Reference]=CONCATENATE(P282,Q282,S282,R282),TMK[Lowest A-PTX])),MIN(IF(TMK[Load Capability Reference]=CONCATENATE(P282,Q282,S282,R282),IF(TMK[Equipment ID]&lt;&gt;O282,TMK[Lowest A-PTX])))),IF(T282="YES",MIN(IF(TMK[Load Capability Reference]=CONCATENATE(P282,Q282,S282,R282),TMK[Lowest A-No PTX])),MIN(IF(TMK[Load Capability Reference]=CONCATENATE(P282,Q282,S282,R282),IF(TMK[Equipment ID]&lt;&gt;O282,TMK[Lowest A-No PTX])))))</f>
        <v>256.85852310343915</v>
      </c>
      <c r="F282" s="377">
        <f>IFERROR(IFERROR(VLOOKUP(CONCATENATE(P282,Q282,O282,S282,"Protection"),TMK[[OC Protection Reference]:[Forward A]],23,0),VLOOKUP(O282,AEL_Protection_Data[],12,0)),"N/A")</f>
        <v>462</v>
      </c>
      <c r="G282" s="377">
        <f t="shared" si="437"/>
        <v>205</v>
      </c>
      <c r="H282" s="185">
        <f t="shared" si="438"/>
        <v>11.928235540041118</v>
      </c>
      <c r="I282" s="377">
        <f t="shared" si="439"/>
        <v>230</v>
      </c>
      <c r="J282" s="185">
        <f t="shared" si="440"/>
        <v>13.382898410777837</v>
      </c>
      <c r="K282" s="191" t="str">
        <f>IF(U282="Yes",UPPER(IF(ISNUMBER(SEARCH("winding",VLOOKUP(CONCATENATE(P282,Q282,S282,E282),TMK[[Limiting Equipment Reference-PTX]:[Summ Equipment]],7,0))),"Power Transformer Rating at "&amp;ROUND(E282*S282*SQRT(3)/1000,2)&amp;" MVA",VLOOKUP(CONCATENATE(P282,Q282,S282,E282),TMK[[Limiting Equipment Reference-No PTX]:[Summ Equipment]],8,0))),UPPER(VLOOKUP(CONCATENATE(P282,Q282,S282,E282),TMK[[Limiting Equipment Reference-No PTX]:[Summ Equipment]],8,0)))</f>
        <v>OH LINE-DOG</v>
      </c>
      <c r="L282" s="379" t="s">
        <v>1267</v>
      </c>
      <c r="M282" s="511" t="s">
        <v>1266</v>
      </c>
      <c r="O282" s="514" t="str">
        <f t="shared" si="441"/>
        <v>TMK-CB1292</v>
      </c>
      <c r="P282" s="374" t="s">
        <v>1245</v>
      </c>
      <c r="Q282" s="374" t="s">
        <v>226</v>
      </c>
      <c r="R282" s="387"/>
      <c r="S282" s="175">
        <v>33.594000000000001</v>
      </c>
      <c r="T282" s="379" t="s">
        <v>1266</v>
      </c>
      <c r="U282" s="379" t="s">
        <v>1266</v>
      </c>
      <c r="V282" s="488"/>
      <c r="X282" s="503" t="s">
        <v>1849</v>
      </c>
      <c r="Y282" s="433" t="s">
        <v>2617</v>
      </c>
      <c r="Z282" s="434"/>
      <c r="AA282" s="442" t="str">
        <f t="shared" si="452"/>
        <v>p</v>
      </c>
      <c r="AB282" s="451">
        <f t="shared" si="443"/>
        <v>0</v>
      </c>
      <c r="AC282" s="451">
        <f t="shared" si="444"/>
        <v>0</v>
      </c>
      <c r="AD282" s="451">
        <f t="shared" si="445"/>
        <v>0</v>
      </c>
      <c r="AE282" s="451">
        <f t="shared" si="446"/>
        <v>0</v>
      </c>
      <c r="AF282" s="434">
        <v>462</v>
      </c>
      <c r="AG282" s="437" t="str">
        <f t="shared" si="453"/>
        <v>u</v>
      </c>
      <c r="AH282" s="451">
        <f t="shared" si="448"/>
        <v>0</v>
      </c>
      <c r="AI282" s="451">
        <f t="shared" si="449"/>
        <v>0</v>
      </c>
      <c r="AJ282" s="451">
        <f t="shared" si="450"/>
        <v>0</v>
      </c>
      <c r="AK282" s="451">
        <f t="shared" si="451"/>
        <v>0</v>
      </c>
      <c r="AL282" s="471" t="s">
        <v>2860</v>
      </c>
    </row>
    <row r="283" spans="2:39" hidden="1" x14ac:dyDescent="0.25">
      <c r="X283" s="427" t="s">
        <v>2966</v>
      </c>
      <c r="AB283" s="449">
        <f>SUM(AB271:AB282)</f>
        <v>41.060198191113784</v>
      </c>
      <c r="AC283" s="449">
        <f t="shared" ref="AC283:AE283" si="455">SUM(AC271:AC282)</f>
        <v>2.3891498309481727</v>
      </c>
      <c r="AD283" s="449">
        <f t="shared" si="455"/>
        <v>290.75754999999992</v>
      </c>
      <c r="AE283" s="449">
        <f t="shared" si="455"/>
        <v>16.918168494855031</v>
      </c>
      <c r="AH283" s="449">
        <f>SUM(AH271:AH282)</f>
        <v>780</v>
      </c>
      <c r="AI283" s="449">
        <f t="shared" ref="AI283:AK283" si="456">SUM(AI271:AI282)</f>
        <v>45.38548156698571</v>
      </c>
      <c r="AJ283" s="449">
        <f t="shared" si="456"/>
        <v>120</v>
      </c>
      <c r="AK283" s="449">
        <f t="shared" si="456"/>
        <v>6.9823817795362642</v>
      </c>
    </row>
    <row r="284" spans="2:39" ht="27" hidden="1" thickBot="1" x14ac:dyDescent="0.3">
      <c r="B284" s="551" t="s">
        <v>2621</v>
      </c>
      <c r="C284" s="552"/>
      <c r="D284" s="552"/>
      <c r="E284" s="552"/>
      <c r="F284" s="552"/>
      <c r="G284" s="552"/>
      <c r="H284" s="552"/>
      <c r="I284" s="552"/>
      <c r="J284" s="552"/>
      <c r="K284" s="552"/>
      <c r="L284" s="552"/>
      <c r="M284" s="553"/>
      <c r="O284" s="551" t="s">
        <v>2391</v>
      </c>
      <c r="P284" s="552"/>
      <c r="Q284" s="552"/>
      <c r="R284" s="552"/>
      <c r="S284" s="552"/>
      <c r="T284" s="552"/>
      <c r="U284" s="552"/>
      <c r="V284" s="553"/>
      <c r="X284" s="586" t="str">
        <f>B284&amp;"-OLD"</f>
        <v>TEMUKA (D816)-OLD</v>
      </c>
      <c r="Y284" s="587"/>
      <c r="Z284" s="587"/>
      <c r="AA284" s="587"/>
      <c r="AB284" s="587"/>
      <c r="AC284" s="587"/>
      <c r="AD284" s="587"/>
      <c r="AE284" s="587"/>
      <c r="AF284" s="587"/>
      <c r="AG284" s="587"/>
      <c r="AH284" s="587"/>
      <c r="AI284" s="587"/>
      <c r="AJ284" s="587"/>
      <c r="AK284" s="587"/>
      <c r="AL284" s="588"/>
      <c r="AM284" s="481"/>
    </row>
    <row r="285" spans="2:39" ht="15.75" hidden="1" thickBot="1" x14ac:dyDescent="0.3">
      <c r="B285" s="571" t="str">
        <f t="shared" ref="B285:G285" si="457">B6</f>
        <v>CB ID</v>
      </c>
      <c r="C285" s="545" t="str">
        <f t="shared" si="457"/>
        <v>DESIGNATION</v>
      </c>
      <c r="D285" s="382" t="str">
        <f t="shared" si="457"/>
        <v>Rated</v>
      </c>
      <c r="E285" s="572" t="str">
        <f t="shared" si="457"/>
        <v>LOAD
CAPABILITY</v>
      </c>
      <c r="F285" s="572" t="str">
        <f t="shared" si="457"/>
        <v>OC
PICKUP</v>
      </c>
      <c r="G285" s="559" t="str">
        <f t="shared" si="457"/>
        <v>SCADA ALARM</v>
      </c>
      <c r="H285" s="560"/>
      <c r="I285" s="560"/>
      <c r="J285" s="561"/>
      <c r="K285" s="574" t="str">
        <f>K6</f>
        <v>LIMITING EQUIPMENT</v>
      </c>
      <c r="L285" s="575" t="str">
        <f>L6</f>
        <v>RECLOSING</v>
      </c>
      <c r="M285" s="576"/>
      <c r="O285" s="554" t="str">
        <f t="shared" ref="O285:V285" si="458">O6</f>
        <v>OC Pick up
Reference ID</v>
      </c>
      <c r="P285" s="557" t="str">
        <f t="shared" si="458"/>
        <v>Supply Level</v>
      </c>
      <c r="Q285" s="566" t="str">
        <f t="shared" si="458"/>
        <v>Station/Feeder</v>
      </c>
      <c r="R285" s="567" t="str">
        <f t="shared" si="458"/>
        <v>Refered
to PTX</v>
      </c>
      <c r="S285" s="569" t="str">
        <f t="shared" si="458"/>
        <v>Voltage</v>
      </c>
      <c r="T285" s="539" t="str">
        <f t="shared" si="458"/>
        <v>Include
CB</v>
      </c>
      <c r="U285" s="539" t="str">
        <f t="shared" si="458"/>
        <v>Include
PTX</v>
      </c>
      <c r="V285" s="542" t="str">
        <f t="shared" si="458"/>
        <v>Notes</v>
      </c>
      <c r="X285" s="585" t="s">
        <v>1260</v>
      </c>
      <c r="Y285" s="545" t="s">
        <v>1261</v>
      </c>
      <c r="Z285" s="559" t="s">
        <v>2749</v>
      </c>
      <c r="AA285" s="560"/>
      <c r="AB285" s="560"/>
      <c r="AC285" s="560"/>
      <c r="AD285" s="560"/>
      <c r="AE285" s="561"/>
      <c r="AF285" s="559" t="s">
        <v>1268</v>
      </c>
      <c r="AG285" s="560"/>
      <c r="AH285" s="560"/>
      <c r="AI285" s="560"/>
      <c r="AJ285" s="560"/>
      <c r="AK285" s="561"/>
      <c r="AL285" s="546" t="s">
        <v>2857</v>
      </c>
      <c r="AM285" s="466"/>
    </row>
    <row r="286" spans="2:39" ht="15.75" hidden="1" thickBot="1" x14ac:dyDescent="0.3">
      <c r="B286" s="557"/>
      <c r="C286" s="540"/>
      <c r="D286" s="362" t="str">
        <f>D7</f>
        <v>Voltage</v>
      </c>
      <c r="E286" s="573"/>
      <c r="F286" s="573"/>
      <c r="G286" s="544" t="str">
        <f>G7</f>
        <v>Pre-Emergency</v>
      </c>
      <c r="H286" s="544"/>
      <c r="I286" s="544" t="str">
        <f>I7</f>
        <v>Emergency</v>
      </c>
      <c r="J286" s="544"/>
      <c r="K286" s="540"/>
      <c r="L286" s="545" t="str">
        <f>L7</f>
        <v>AVAILABLE</v>
      </c>
      <c r="M286" s="546" t="str">
        <f>M7</f>
        <v>UTILISED</v>
      </c>
      <c r="O286" s="555"/>
      <c r="P286" s="557"/>
      <c r="Q286" s="557"/>
      <c r="R286" s="567"/>
      <c r="S286" s="569"/>
      <c r="T286" s="540"/>
      <c r="U286" s="540"/>
      <c r="V286" s="542"/>
      <c r="X286" s="555"/>
      <c r="Y286" s="540"/>
      <c r="Z286" s="589"/>
      <c r="AA286" s="590"/>
      <c r="AB286" s="590"/>
      <c r="AC286" s="590"/>
      <c r="AD286" s="590"/>
      <c r="AE286" s="591"/>
      <c r="AF286" s="589"/>
      <c r="AG286" s="590"/>
      <c r="AH286" s="590"/>
      <c r="AI286" s="590"/>
      <c r="AJ286" s="590"/>
      <c r="AK286" s="591"/>
      <c r="AL286" s="577"/>
      <c r="AM286" s="466"/>
    </row>
    <row r="287" spans="2:39" ht="15.75" hidden="1" thickBot="1" x14ac:dyDescent="0.3">
      <c r="B287" s="558"/>
      <c r="C287" s="541"/>
      <c r="D287" s="345" t="str">
        <f>D8</f>
        <v>(kV)</v>
      </c>
      <c r="E287" s="345" t="str">
        <f>E8</f>
        <v>(A)</v>
      </c>
      <c r="F287" s="345" t="str">
        <f>F8</f>
        <v>(A)</v>
      </c>
      <c r="G287" s="406" t="str">
        <f>G8</f>
        <v>(A)</v>
      </c>
      <c r="H287" s="407" t="str">
        <f>H8</f>
        <v>(MVA)</v>
      </c>
      <c r="I287" s="406" t="str">
        <f>I8</f>
        <v>(A)</v>
      </c>
      <c r="J287" s="407" t="str">
        <f>J8</f>
        <v>(MVA)</v>
      </c>
      <c r="K287" s="541"/>
      <c r="L287" s="541"/>
      <c r="M287" s="547"/>
      <c r="O287" s="556"/>
      <c r="P287" s="558"/>
      <c r="Q287" s="558"/>
      <c r="R287" s="568"/>
      <c r="S287" s="570"/>
      <c r="T287" s="541"/>
      <c r="U287" s="541"/>
      <c r="V287" s="543"/>
      <c r="X287" s="556"/>
      <c r="Y287" s="541"/>
      <c r="Z287" s="428" t="s">
        <v>26</v>
      </c>
      <c r="AA287" s="439" t="s">
        <v>2861</v>
      </c>
      <c r="AB287" s="450" t="s">
        <v>2959</v>
      </c>
      <c r="AC287" s="450" t="s">
        <v>2960</v>
      </c>
      <c r="AD287" s="450" t="s">
        <v>2957</v>
      </c>
      <c r="AE287" s="450" t="s">
        <v>2958</v>
      </c>
      <c r="AF287" s="428" t="s">
        <v>26</v>
      </c>
      <c r="AG287" s="439" t="s">
        <v>2861</v>
      </c>
      <c r="AH287" s="450" t="s">
        <v>2959</v>
      </c>
      <c r="AI287" s="450" t="s">
        <v>2960</v>
      </c>
      <c r="AJ287" s="450" t="s">
        <v>2957</v>
      </c>
      <c r="AK287" s="450" t="s">
        <v>2958</v>
      </c>
      <c r="AL287" s="547"/>
      <c r="AM287" s="466"/>
    </row>
    <row r="288" spans="2:39" hidden="1" x14ac:dyDescent="0.25">
      <c r="B288" s="38" t="s">
        <v>502</v>
      </c>
      <c r="C288" s="3" t="s">
        <v>2622</v>
      </c>
      <c r="D288" s="61">
        <f t="shared" ref="D288:D289" si="459">ROUNDDOWN(S288,0)</f>
        <v>11</v>
      </c>
      <c r="E288" s="369">
        <f t="array" ref="E288">IF(U288="YES",IF(T288="YES",MIN(IF(TMK[Load Capability Reference]=CONCATENATE(P288,Q288,S288,R288),TMK[Lowest A-PTX])),MIN(IF(TMK[Load Capability Reference]=CONCATENATE(P288,Q288,S288,R288),IF(TMK[Equipment ID]&lt;&gt;O288,TMK[Lowest A-PTX])))),IF(T288="YES",MIN(IF(TMK[Load Capability Reference]=CONCATENATE(P288,Q288,S288,R288),TMK[Lowest A-No PTX])),MIN(IF(TMK[Load Capability Reference]=CONCATENATE(P288,Q288,S288,R288),IF(TMK[Equipment ID]&lt;&gt;O288,TMK[Lowest A-No PTX])))))</f>
        <v>259.31858262623882</v>
      </c>
      <c r="F288" s="61">
        <f>IFERROR(IFERROR(VLOOKUP(CONCATENATE(P288,Q288,O288,S288,"Protection"),TMK[[OC Protection Reference]:[Forward A]],23,0),VLOOKUP(O288,AEL_Protection_Data[],12,0)),"N/A")</f>
        <v>402</v>
      </c>
      <c r="G288" s="61">
        <f t="shared" ref="G288:G296" si="460">IFERROR(FLOOR(MIN(E288:F288)*$D$3,5),"")</f>
        <v>205</v>
      </c>
      <c r="H288" s="5">
        <f t="shared" ref="H288:H296" si="461">G288*S288*SQRT(3)/1000</f>
        <v>3.905774571067818</v>
      </c>
      <c r="I288" s="61">
        <f t="shared" ref="I288:I296" si="462">IFERROR(FLOOR(MIN(E288:F288)*$D$2,5),"")</f>
        <v>230</v>
      </c>
      <c r="J288" s="5">
        <f t="shared" ref="J288:J296" si="463">I288*S288*SQRT(3)/1000</f>
        <v>4.3820885431492593</v>
      </c>
      <c r="K288" s="3" t="str">
        <f>IF(U288="Yes",UPPER(IF(ISNUMBER(SEARCH("winding",VLOOKUP(CONCATENATE(P288,Q288,S288,E288),TMK[[Limiting Equipment Reference-PTX]:[Summ Equipment]],7,0))),"Power Transformer Rating at "&amp;ROUND(E288*S288*SQRT(3)/1000,2)&amp;" MVA",VLOOKUP(CONCATENATE(P288,Q288,S288,E288),TMK[[Limiting Equipment Reference-No PTX]:[Summ Equipment]],8,0))),UPPER(VLOOKUP(CONCATENATE(P288,Q288,S288,E288),TMK[[Limiting Equipment Reference-No PTX]:[Summ Equipment]],8,0)))</f>
        <v>CABLE-1-3C 300 MM² AL XLPE HD</v>
      </c>
      <c r="L288" s="4" t="s">
        <v>1267</v>
      </c>
      <c r="M288" s="508" t="s">
        <v>1266</v>
      </c>
      <c r="O288" s="10" t="str">
        <f>"TMK-"&amp;B288</f>
        <v>TMK-CB1</v>
      </c>
      <c r="P288" s="38" t="s">
        <v>1276</v>
      </c>
      <c r="Q288" s="38" t="s">
        <v>97</v>
      </c>
      <c r="R288" s="389"/>
      <c r="S288" s="139">
        <v>11</v>
      </c>
      <c r="T288" s="4" t="s">
        <v>1266</v>
      </c>
      <c r="U288" s="4" t="s">
        <v>1266</v>
      </c>
      <c r="V288" s="486"/>
      <c r="X288" s="494" t="s">
        <v>502</v>
      </c>
      <c r="Y288" s="429" t="str">
        <f t="shared" ref="Y288:Y289" si="464">IF(X288=B288,C288,"NEW")</f>
        <v>TEMUKA WEST</v>
      </c>
      <c r="Z288" s="430">
        <v>360</v>
      </c>
      <c r="AA288" s="440" t="str">
        <f t="shared" ref="AA288:AA289" si="465">IF(Z288&gt;E288,"q",IF(Z288&lt;E288,"p","u"))</f>
        <v>q</v>
      </c>
      <c r="AB288" s="453">
        <f t="shared" ref="AB288:AB296" si="466">IF(Z288="",0,IF(Z288-E288&lt;0,ABS(Z288-E288),0))</f>
        <v>0</v>
      </c>
      <c r="AC288" s="453">
        <f t="shared" ref="AC288:AC296" si="467">AB288*$S288*SQRT(3)/1000</f>
        <v>0</v>
      </c>
      <c r="AD288" s="453">
        <f t="shared" ref="AD288:AD296" si="468">IF(Z288="",0,IF(Z288-E288&gt;0,ABS(Z288-E288),0))</f>
        <v>100.68141737376118</v>
      </c>
      <c r="AE288" s="453">
        <f t="shared" ref="AE288:AE296" si="469">AD288*$S288*SQRT(3)/1000</f>
        <v>1.9182386329634247</v>
      </c>
      <c r="AF288" s="430">
        <v>400</v>
      </c>
      <c r="AG288" s="435" t="str">
        <f t="shared" ref="AG288:AG289" si="470">IF(AF288&gt;F288,"q",IF(AF288&lt;F288,"p","u"))</f>
        <v>p</v>
      </c>
      <c r="AH288" s="453">
        <f t="shared" ref="AH288:AH296" si="471">IF(AF288="",0,IF(AF288-F288&lt;0,ABS(AF288-F288),0))</f>
        <v>2</v>
      </c>
      <c r="AI288" s="453">
        <f t="shared" ref="AI288:AI296" si="472">AH288*$S288*SQRT(3)/1000</f>
        <v>3.8105117766515297E-2</v>
      </c>
      <c r="AJ288" s="453">
        <f t="shared" ref="AJ288:AJ296" si="473">IF(AF288="",0,IF(AF288-F288&gt;0,ABS(AF288-F288),0))</f>
        <v>0</v>
      </c>
      <c r="AK288" s="453">
        <f t="shared" ref="AK288:AK296" si="474">AJ288*$S288*SQRT(3)/1000</f>
        <v>0</v>
      </c>
      <c r="AL288" s="469" t="s">
        <v>2860</v>
      </c>
    </row>
    <row r="289" spans="2:39" hidden="1" x14ac:dyDescent="0.25">
      <c r="B289" s="49" t="s">
        <v>507</v>
      </c>
      <c r="C289" s="168" t="s">
        <v>2623</v>
      </c>
      <c r="D289" s="119">
        <f t="shared" si="459"/>
        <v>11</v>
      </c>
      <c r="E289" s="370">
        <f t="array" ref="E289">IF(U289="YES",IF(T289="YES",MIN(IF(TMK[Load Capability Reference]=CONCATENATE(P289,Q289,S289,R289),TMK[Lowest A-PTX])),MIN(IF(TMK[Load Capability Reference]=CONCATENATE(P289,Q289,S289,R289),IF(TMK[Equipment ID]&lt;&gt;O289,TMK[Lowest A-PTX])))),IF(T289="YES",MIN(IF(TMK[Load Capability Reference]=CONCATENATE(P289,Q289,S289,R289),TMK[Lowest A-No PTX])),MIN(IF(TMK[Load Capability Reference]=CONCATENATE(P289,Q289,S289,R289),IF(TMK[Equipment ID]&lt;&gt;O289,TMK[Lowest A-No PTX])))))</f>
        <v>159.40801344521674</v>
      </c>
      <c r="F289" s="119">
        <f>IFERROR(IFERROR(VLOOKUP(CONCATENATE(P289,Q289,O289,S289,"Protection"),TMK[[OC Protection Reference]:[Forward A]],23,0),VLOOKUP(O289,AEL_Protection_Data[],12,0)),"N/A")</f>
        <v>402</v>
      </c>
      <c r="G289" s="119">
        <f t="shared" si="460"/>
        <v>125</v>
      </c>
      <c r="H289" s="29">
        <f t="shared" si="461"/>
        <v>2.3815698604072062</v>
      </c>
      <c r="I289" s="119">
        <f t="shared" si="462"/>
        <v>140</v>
      </c>
      <c r="J289" s="29">
        <f t="shared" si="463"/>
        <v>2.667358243656071</v>
      </c>
      <c r="K289" s="6" t="str">
        <f>IF(U289="Yes",UPPER(IF(ISNUMBER(SEARCH("winding",VLOOKUP(CONCATENATE(P289,Q289,S289,E289),TMK[[Limiting Equipment Reference-PTX]:[Summ Equipment]],7,0))),"Power Transformer Rating at "&amp;ROUND(E289*S289*SQRT(3)/1000,2)&amp;" MVA",VLOOKUP(CONCATENATE(P289,Q289,S289,E289),TMK[[Limiting Equipment Reference-No PTX]:[Summ Equipment]],8,0))),UPPER(VLOOKUP(CONCATENATE(P289,Q289,S289,E289),TMK[[Limiting Equipment Reference-No PTX]:[Summ Equipment]],8,0)))</f>
        <v>CABLE-1-3C 150 MM² AL PILC</v>
      </c>
      <c r="L289" s="146" t="s">
        <v>1267</v>
      </c>
      <c r="M289" s="509" t="s">
        <v>1267</v>
      </c>
      <c r="O289" s="118" t="str">
        <f t="shared" ref="O289:O296" si="475">"TMK-"&amp;B289</f>
        <v>TMK-CB2</v>
      </c>
      <c r="P289" s="49" t="s">
        <v>1276</v>
      </c>
      <c r="Q289" s="49" t="s">
        <v>109</v>
      </c>
      <c r="R289" s="386"/>
      <c r="S289" s="43">
        <v>11</v>
      </c>
      <c r="T289" s="146" t="s">
        <v>1266</v>
      </c>
      <c r="U289" s="146" t="s">
        <v>1266</v>
      </c>
      <c r="V289" s="487"/>
      <c r="X289" s="495" t="s">
        <v>507</v>
      </c>
      <c r="Y289" s="431" t="str">
        <f t="shared" si="464"/>
        <v>MILFORD</v>
      </c>
      <c r="Z289" s="432">
        <v>250</v>
      </c>
      <c r="AA289" s="441" t="str">
        <f t="shared" si="465"/>
        <v>q</v>
      </c>
      <c r="AB289" s="134">
        <f t="shared" si="466"/>
        <v>0</v>
      </c>
      <c r="AC289" s="134">
        <f t="shared" si="467"/>
        <v>0</v>
      </c>
      <c r="AD289" s="134">
        <f t="shared" si="468"/>
        <v>90.591986554783261</v>
      </c>
      <c r="AE289" s="134">
        <f t="shared" si="469"/>
        <v>1.7260091581862933</v>
      </c>
      <c r="AF289" s="432">
        <v>400</v>
      </c>
      <c r="AG289" s="436" t="str">
        <f t="shared" si="470"/>
        <v>p</v>
      </c>
      <c r="AH289" s="134">
        <f t="shared" si="471"/>
        <v>2</v>
      </c>
      <c r="AI289" s="134">
        <f t="shared" si="472"/>
        <v>3.8105117766515297E-2</v>
      </c>
      <c r="AJ289" s="134">
        <f t="shared" si="473"/>
        <v>0</v>
      </c>
      <c r="AK289" s="134">
        <f t="shared" si="474"/>
        <v>0</v>
      </c>
      <c r="AL289" s="470" t="s">
        <v>1267</v>
      </c>
    </row>
    <row r="290" spans="2:39" hidden="1" x14ac:dyDescent="0.25">
      <c r="B290" s="49" t="s">
        <v>511</v>
      </c>
      <c r="C290" s="168" t="s">
        <v>2624</v>
      </c>
      <c r="D290" s="119">
        <f>ROUNDDOWN(S290,0)</f>
        <v>11</v>
      </c>
      <c r="E290" s="370">
        <f t="array" ref="E290">IF(U290="YES",IF(T290="YES",MIN(IF(TMK[Load Capability Reference]=CONCATENATE(P290,Q290,S290,R290),TMK[Lowest A-PTX])),MIN(IF(TMK[Load Capability Reference]=CONCATENATE(P290,Q290,S290,R290),IF(TMK[Equipment ID]&lt;&gt;O290,TMK[Lowest A-PTX])))),IF(T290="YES",MIN(IF(TMK[Load Capability Reference]=CONCATENATE(P290,Q290,S290,R290),TMK[Lowest A-No PTX])),MIN(IF(TMK[Load Capability Reference]=CONCATENATE(P290,Q290,S290,R290),IF(TMK[Equipment ID]&lt;&gt;O290,TMK[Lowest A-No PTX])))))</f>
        <v>300</v>
      </c>
      <c r="F290" s="119">
        <f>IFERROR(IFERROR(VLOOKUP(CONCATENATE(P290,Q290,O290,S290,"Protection"),TMK[[OC Protection Reference]:[Forward A]],23,0),VLOOKUP(O290,AEL_Protection_Data[],12,0)),"N/A")</f>
        <v>402</v>
      </c>
      <c r="G290" s="119">
        <f t="shared" si="460"/>
        <v>240</v>
      </c>
      <c r="H290" s="29">
        <f t="shared" si="461"/>
        <v>4.5726141319818359</v>
      </c>
      <c r="I290" s="119">
        <f t="shared" si="462"/>
        <v>270</v>
      </c>
      <c r="J290" s="29">
        <f t="shared" si="463"/>
        <v>5.1441908984795655</v>
      </c>
      <c r="K290" s="6" t="str">
        <f>IF(U290="Yes",UPPER(IF(ISNUMBER(SEARCH("winding",VLOOKUP(CONCATENATE(P290,Q290,S290,E290),TMK[[Limiting Equipment Reference-PTX]:[Summ Equipment]],7,0))),"Power Transformer Rating at "&amp;ROUND(E290*S290*SQRT(3)/1000,2)&amp;" MVA",VLOOKUP(CONCATENATE(P290,Q290,S290,E290),TMK[[Limiting Equipment Reference-No PTX]:[Summ Equipment]],8,0))),UPPER(VLOOKUP(CONCATENATE(P290,Q290,S290,E290),TMK[[Limiting Equipment Reference-No PTX]:[Summ Equipment]],8,0)))</f>
        <v>LINK-T546</v>
      </c>
      <c r="L290" s="146" t="s">
        <v>1267</v>
      </c>
      <c r="M290" s="509" t="s">
        <v>1267</v>
      </c>
      <c r="O290" s="118" t="str">
        <f t="shared" si="475"/>
        <v>TMK-CB3</v>
      </c>
      <c r="P290" s="49" t="s">
        <v>1276</v>
      </c>
      <c r="Q290" s="49" t="s">
        <v>120</v>
      </c>
      <c r="R290" s="386"/>
      <c r="S290" s="43">
        <v>11</v>
      </c>
      <c r="T290" s="146" t="s">
        <v>1266</v>
      </c>
      <c r="U290" s="146" t="s">
        <v>1266</v>
      </c>
      <c r="V290" s="487"/>
      <c r="X290" s="495" t="s">
        <v>511</v>
      </c>
      <c r="Y290" s="431" t="str">
        <f t="shared" ref="Y290:Y296" si="476">IF(X290=B290,C290,"NEW")</f>
        <v>WINCHESTER</v>
      </c>
      <c r="Z290" s="432">
        <v>250</v>
      </c>
      <c r="AA290" s="441" t="str">
        <f t="shared" ref="AA290:AA296" si="477">IF(Z290&gt;E290,"q",IF(Z290&lt;E290,"p","u"))</f>
        <v>p</v>
      </c>
      <c r="AB290" s="134">
        <f t="shared" si="466"/>
        <v>50</v>
      </c>
      <c r="AC290" s="134">
        <f t="shared" si="467"/>
        <v>0.95262794416288255</v>
      </c>
      <c r="AD290" s="134">
        <f t="shared" si="468"/>
        <v>0</v>
      </c>
      <c r="AE290" s="134">
        <f t="shared" si="469"/>
        <v>0</v>
      </c>
      <c r="AF290" s="432">
        <v>400</v>
      </c>
      <c r="AG290" s="436" t="str">
        <f t="shared" ref="AG290:AG296" si="478">IF(AF290&gt;F290,"q",IF(AF290&lt;F290,"p","u"))</f>
        <v>p</v>
      </c>
      <c r="AH290" s="134">
        <f t="shared" si="471"/>
        <v>2</v>
      </c>
      <c r="AI290" s="134">
        <f t="shared" si="472"/>
        <v>3.8105117766515297E-2</v>
      </c>
      <c r="AJ290" s="134">
        <f t="shared" si="473"/>
        <v>0</v>
      </c>
      <c r="AK290" s="134">
        <f t="shared" si="474"/>
        <v>0</v>
      </c>
      <c r="AL290" s="470" t="s">
        <v>1267</v>
      </c>
    </row>
    <row r="291" spans="2:39" hidden="1" x14ac:dyDescent="0.25">
      <c r="B291" s="49" t="s">
        <v>498</v>
      </c>
      <c r="C291" s="168" t="s">
        <v>2625</v>
      </c>
      <c r="D291" s="119">
        <f t="shared" ref="D291:D296" si="479">ROUNDDOWN(S291,0)</f>
        <v>11</v>
      </c>
      <c r="E291" s="370">
        <f t="array" ref="E291">IF(U291="YES",IF(T291="YES",MIN(IF(TMK[Load Capability Reference]=CONCATENATE(P291,Q291,S291,R291),TMK[Lowest A-PTX])),MIN(IF(TMK[Load Capability Reference]=CONCATENATE(P291,Q291,S291,R291),IF(TMK[Equipment ID]&lt;&gt;O291,TMK[Lowest A-PTX])))),IF(T291="YES",MIN(IF(TMK[Load Capability Reference]=CONCATENATE(P291,Q291,S291,R291),TMK[Lowest A-No PTX])),MIN(IF(TMK[Load Capability Reference]=CONCATENATE(P291,Q291,S291,R291),IF(TMK[Equipment ID]&lt;&gt;O291,TMK[Lowest A-No PTX])))))</f>
        <v>1041.9870384000001</v>
      </c>
      <c r="F291" s="119">
        <f>IFERROR(IFERROR(VLOOKUP(CONCATENATE(P291,Q291,O291,S291,"Protection"),TMK[[OC Protection Reference]:[Forward A]],23,0),VLOOKUP(O291,AEL_Protection_Data[],12,0)),"N/A")</f>
        <v>1080</v>
      </c>
      <c r="G291" s="119">
        <f t="shared" si="460"/>
        <v>830</v>
      </c>
      <c r="H291" s="29">
        <f t="shared" si="461"/>
        <v>15.813623873103849</v>
      </c>
      <c r="I291" s="119">
        <f t="shared" si="462"/>
        <v>935</v>
      </c>
      <c r="J291" s="29">
        <f t="shared" si="463"/>
        <v>17.814142555845901</v>
      </c>
      <c r="K291" s="6" t="str">
        <f>IF(U291="Yes",UPPER(IF(ISNUMBER(SEARCH("winding",VLOOKUP(CONCATENATE(P291,Q291,S291,E291),TMK[[Limiting Equipment Reference-PTX]:[Summ Equipment]],7,0))),"Power Transformer Rating at "&amp;ROUND(E291*S291*SQRT(3)/1000,2)&amp;" MVA",VLOOKUP(CONCATENATE(P291,Q291,S291,E291),TMK[[Limiting Equipment Reference-No PTX]:[Summ Equipment]],8,0))),UPPER(VLOOKUP(CONCATENATE(P291,Q291,S291,E291),TMK[[Limiting Equipment Reference-No PTX]:[Summ Equipment]],8,0)))</f>
        <v>CABLE-6-1C 500 MM² CU XLPE</v>
      </c>
      <c r="L291" s="146" t="s">
        <v>1266</v>
      </c>
      <c r="M291" s="509" t="s">
        <v>1162</v>
      </c>
      <c r="O291" s="118" t="str">
        <f t="shared" si="475"/>
        <v>TMK-CB4</v>
      </c>
      <c r="P291" s="49" t="s">
        <v>1246</v>
      </c>
      <c r="Q291" s="49" t="s">
        <v>1138</v>
      </c>
      <c r="R291" s="386"/>
      <c r="S291" s="43">
        <v>11</v>
      </c>
      <c r="T291" s="146" t="s">
        <v>1266</v>
      </c>
      <c r="U291" s="146" t="s">
        <v>1267</v>
      </c>
      <c r="V291" s="487"/>
      <c r="X291" s="495" t="s">
        <v>498</v>
      </c>
      <c r="Y291" s="431" t="str">
        <f t="shared" si="476"/>
        <v>INCOMER NO. 1</v>
      </c>
      <c r="Z291" s="432">
        <v>680</v>
      </c>
      <c r="AA291" s="441" t="str">
        <f t="shared" si="477"/>
        <v>p</v>
      </c>
      <c r="AB291" s="134">
        <f t="shared" si="466"/>
        <v>361.98703840000007</v>
      </c>
      <c r="AC291" s="134">
        <f t="shared" si="467"/>
        <v>6.8967793640920494</v>
      </c>
      <c r="AD291" s="134">
        <f t="shared" si="468"/>
        <v>0</v>
      </c>
      <c r="AE291" s="134">
        <f t="shared" si="469"/>
        <v>0</v>
      </c>
      <c r="AF291" s="432">
        <v>800</v>
      </c>
      <c r="AG291" s="436" t="str">
        <f t="shared" si="478"/>
        <v>p</v>
      </c>
      <c r="AH291" s="134">
        <f t="shared" si="471"/>
        <v>280</v>
      </c>
      <c r="AI291" s="134">
        <f t="shared" si="472"/>
        <v>5.334716487312142</v>
      </c>
      <c r="AJ291" s="134">
        <f t="shared" si="473"/>
        <v>0</v>
      </c>
      <c r="AK291" s="134">
        <f t="shared" si="474"/>
        <v>0</v>
      </c>
      <c r="AL291" s="470" t="s">
        <v>1266</v>
      </c>
    </row>
    <row r="292" spans="2:39" hidden="1" x14ac:dyDescent="0.25">
      <c r="B292" s="49" t="s">
        <v>592</v>
      </c>
      <c r="C292" s="168" t="s">
        <v>2568</v>
      </c>
      <c r="D292" s="119">
        <f t="shared" si="479"/>
        <v>11</v>
      </c>
      <c r="E292" s="370">
        <f>F292</f>
        <v>983.99999999999989</v>
      </c>
      <c r="F292" s="119">
        <f>IFERROR(IFERROR(VLOOKUP(CONCATENATE(P292,Q292,O292,S292,"Protection"),TMK[[OC Protection Reference]:[Forward A]],23,0),VLOOKUP(O292,AEL_Protection_Data[],12,0)),"N/A")</f>
        <v>983.99999999999989</v>
      </c>
      <c r="G292" s="119">
        <f t="shared" si="460"/>
        <v>785</v>
      </c>
      <c r="H292" s="29">
        <f t="shared" si="461"/>
        <v>14.956258723357253</v>
      </c>
      <c r="I292" s="119">
        <f t="shared" si="462"/>
        <v>885</v>
      </c>
      <c r="J292" s="29">
        <f t="shared" si="463"/>
        <v>16.861514611683017</v>
      </c>
      <c r="K292" s="6" t="s">
        <v>2630</v>
      </c>
      <c r="L292" s="146" t="s">
        <v>1266</v>
      </c>
      <c r="M292" s="509" t="s">
        <v>1162</v>
      </c>
      <c r="O292" s="118" t="str">
        <f t="shared" si="475"/>
        <v>TMK-CB5</v>
      </c>
      <c r="P292" s="49" t="s">
        <v>1246</v>
      </c>
      <c r="Q292" s="49" t="s">
        <v>1138</v>
      </c>
      <c r="R292" s="386"/>
      <c r="S292" s="43">
        <v>11</v>
      </c>
      <c r="T292" s="146" t="s">
        <v>1267</v>
      </c>
      <c r="U292" s="146" t="s">
        <v>1266</v>
      </c>
      <c r="V292" s="487" t="s">
        <v>2826</v>
      </c>
      <c r="X292" s="495" t="s">
        <v>592</v>
      </c>
      <c r="Y292" s="431" t="str">
        <f t="shared" si="476"/>
        <v>BUS COUPLER</v>
      </c>
      <c r="Z292" s="432"/>
      <c r="AA292" s="441" t="str">
        <f t="shared" si="477"/>
        <v>p</v>
      </c>
      <c r="AB292" s="134">
        <f t="shared" si="466"/>
        <v>0</v>
      </c>
      <c r="AC292" s="134">
        <f t="shared" si="467"/>
        <v>0</v>
      </c>
      <c r="AD292" s="134">
        <f t="shared" si="468"/>
        <v>0</v>
      </c>
      <c r="AE292" s="134">
        <f t="shared" si="469"/>
        <v>0</v>
      </c>
      <c r="AF292" s="432"/>
      <c r="AG292" s="436" t="str">
        <f t="shared" si="478"/>
        <v>p</v>
      </c>
      <c r="AH292" s="134">
        <f t="shared" si="471"/>
        <v>0</v>
      </c>
      <c r="AI292" s="134">
        <f t="shared" si="472"/>
        <v>0</v>
      </c>
      <c r="AJ292" s="134">
        <f t="shared" si="473"/>
        <v>0</v>
      </c>
      <c r="AK292" s="134">
        <f t="shared" si="474"/>
        <v>0</v>
      </c>
      <c r="AL292" s="470" t="s">
        <v>1266</v>
      </c>
    </row>
    <row r="293" spans="2:39" hidden="1" x14ac:dyDescent="0.25">
      <c r="B293" s="49" t="s">
        <v>500</v>
      </c>
      <c r="C293" s="168" t="s">
        <v>2626</v>
      </c>
      <c r="D293" s="119">
        <f t="shared" si="479"/>
        <v>11</v>
      </c>
      <c r="E293" s="370">
        <f t="array" ref="E293">IF(U293="YES",IF(T293="YES",MIN(IF(TMK[Load Capability Reference]=CONCATENATE(P293,Q293,S293,R293),TMK[Lowest A-PTX])),MIN(IF(TMK[Load Capability Reference]=CONCATENATE(P293,Q293,S293,R293),IF(TMK[Equipment ID]&lt;&gt;O293,TMK[Lowest A-PTX])))),IF(T293="YES",MIN(IF(TMK[Load Capability Reference]=CONCATENATE(P293,Q293,S293,R293),TMK[Lowest A-No PTX])),MIN(IF(TMK[Load Capability Reference]=CONCATENATE(P293,Q293,S293,R293),IF(TMK[Equipment ID]&lt;&gt;O293,TMK[Lowest A-No PTX])))))</f>
        <v>1041.9870384000001</v>
      </c>
      <c r="F293" s="119">
        <f>IFERROR(IFERROR(VLOOKUP(CONCATENATE(P293,Q293,O293,S293,"Protection"),TMK[[OC Protection Reference]:[Forward A]],23,0),VLOOKUP(O293,AEL_Protection_Data[],12,0)),"N/A")</f>
        <v>1080</v>
      </c>
      <c r="G293" s="119">
        <f t="shared" si="460"/>
        <v>830</v>
      </c>
      <c r="H293" s="29">
        <f t="shared" si="461"/>
        <v>15.813623873103849</v>
      </c>
      <c r="I293" s="119">
        <f t="shared" si="462"/>
        <v>935</v>
      </c>
      <c r="J293" s="29">
        <f t="shared" si="463"/>
        <v>17.814142555845901</v>
      </c>
      <c r="K293" s="6" t="str">
        <f>IF(U293="Yes",UPPER(IF(ISNUMBER(SEARCH("winding",VLOOKUP(CONCATENATE(P293,Q293,S293,E293),TMK[[Limiting Equipment Reference-PTX]:[Summ Equipment]],7,0))),"Power Transformer Rating at "&amp;ROUND(E293*S293*SQRT(3)/1000,2)&amp;" MVA",VLOOKUP(CONCATENATE(P293,Q293,S293,E293),TMK[[Limiting Equipment Reference-No PTX]:[Summ Equipment]],8,0))),UPPER(VLOOKUP(CONCATENATE(P293,Q293,S293,E293),TMK[[Limiting Equipment Reference-No PTX]:[Summ Equipment]],8,0)))</f>
        <v>CABLE-6-1C 500 MM² CU XLPE</v>
      </c>
      <c r="L293" s="146" t="s">
        <v>1266</v>
      </c>
      <c r="M293" s="509" t="s">
        <v>1162</v>
      </c>
      <c r="O293" s="118" t="str">
        <f t="shared" si="475"/>
        <v>TMK-CB6</v>
      </c>
      <c r="P293" s="49" t="s">
        <v>1246</v>
      </c>
      <c r="Q293" s="49" t="s">
        <v>1138</v>
      </c>
      <c r="R293" s="386"/>
      <c r="S293" s="43">
        <v>11</v>
      </c>
      <c r="T293" s="146" t="s">
        <v>1266</v>
      </c>
      <c r="U293" s="146" t="s">
        <v>1267</v>
      </c>
      <c r="V293" s="487"/>
      <c r="X293" s="495" t="s">
        <v>500</v>
      </c>
      <c r="Y293" s="431" t="str">
        <f t="shared" si="476"/>
        <v>INCOMER NO. 2</v>
      </c>
      <c r="Z293" s="432">
        <v>680</v>
      </c>
      <c r="AA293" s="441" t="str">
        <f t="shared" si="477"/>
        <v>p</v>
      </c>
      <c r="AB293" s="134">
        <f t="shared" si="466"/>
        <v>361.98703840000007</v>
      </c>
      <c r="AC293" s="134">
        <f t="shared" si="467"/>
        <v>6.8967793640920494</v>
      </c>
      <c r="AD293" s="134">
        <f t="shared" si="468"/>
        <v>0</v>
      </c>
      <c r="AE293" s="134">
        <f t="shared" si="469"/>
        <v>0</v>
      </c>
      <c r="AF293" s="432">
        <v>880</v>
      </c>
      <c r="AG293" s="436" t="str">
        <f t="shared" si="478"/>
        <v>p</v>
      </c>
      <c r="AH293" s="134">
        <f t="shared" si="471"/>
        <v>200</v>
      </c>
      <c r="AI293" s="134">
        <f t="shared" si="472"/>
        <v>3.8105117766515302</v>
      </c>
      <c r="AJ293" s="134">
        <f t="shared" si="473"/>
        <v>0</v>
      </c>
      <c r="AK293" s="134">
        <f t="shared" si="474"/>
        <v>0</v>
      </c>
      <c r="AL293" s="470" t="s">
        <v>1266</v>
      </c>
    </row>
    <row r="294" spans="2:39" hidden="1" x14ac:dyDescent="0.25">
      <c r="B294" s="49" t="s">
        <v>512</v>
      </c>
      <c r="C294" s="168" t="s">
        <v>2627</v>
      </c>
      <c r="D294" s="119">
        <f t="shared" si="479"/>
        <v>11</v>
      </c>
      <c r="E294" s="370">
        <f t="array" ref="E294">IF(U294="YES",IF(T294="YES",MIN(IF(TMK[Load Capability Reference]=CONCATENATE(P294,Q294,S294,R294),TMK[Lowest A-PTX])),MIN(IF(TMK[Load Capability Reference]=CONCATENATE(P294,Q294,S294,R294),IF(TMK[Equipment ID]&lt;&gt;O294,TMK[Lowest A-PTX])))),IF(T294="YES",MIN(IF(TMK[Load Capability Reference]=CONCATENATE(P294,Q294,S294,R294),TMK[Lowest A-No PTX])),MIN(IF(TMK[Load Capability Reference]=CONCATENATE(P294,Q294,S294,R294),IF(TMK[Equipment ID]&lt;&gt;O294,TMK[Lowest A-No PTX])))))</f>
        <v>300</v>
      </c>
      <c r="F294" s="119">
        <f>IFERROR(IFERROR(VLOOKUP(CONCATENATE(P294,Q294,O294,S294,"Protection"),TMK[[OC Protection Reference]:[Forward A]],23,0),VLOOKUP(O294,AEL_Protection_Data[],12,0)),"N/A")</f>
        <v>402</v>
      </c>
      <c r="G294" s="119">
        <f t="shared" si="460"/>
        <v>240</v>
      </c>
      <c r="H294" s="29">
        <f t="shared" si="461"/>
        <v>4.5726141319818359</v>
      </c>
      <c r="I294" s="119">
        <f t="shared" si="462"/>
        <v>270</v>
      </c>
      <c r="J294" s="29">
        <f t="shared" si="463"/>
        <v>5.1441908984795655</v>
      </c>
      <c r="K294" s="6" t="str">
        <f>IF(U294="Yes",UPPER(IF(ISNUMBER(SEARCH("winding",VLOOKUP(CONCATENATE(P294,Q294,S294,E294),TMK[[Limiting Equipment Reference-PTX]:[Summ Equipment]],7,0))),"Power Transformer Rating at "&amp;ROUND(E294*S294*SQRT(3)/1000,2)&amp;" MVA",VLOOKUP(CONCATENATE(P294,Q294,S294,E294),TMK[[Limiting Equipment Reference-No PTX]:[Summ Equipment]],8,0))),UPPER(VLOOKUP(CONCATENATE(P294,Q294,S294,E294),TMK[[Limiting Equipment Reference-No PTX]:[Summ Equipment]],8,0)))</f>
        <v>LINK-T547</v>
      </c>
      <c r="L294" s="146" t="s">
        <v>1267</v>
      </c>
      <c r="M294" s="509" t="s">
        <v>1267</v>
      </c>
      <c r="O294" s="118" t="str">
        <f t="shared" si="475"/>
        <v>TMK-CB7</v>
      </c>
      <c r="P294" s="49" t="s">
        <v>1276</v>
      </c>
      <c r="Q294" s="49" t="s">
        <v>130</v>
      </c>
      <c r="R294" s="386"/>
      <c r="S294" s="43">
        <v>11</v>
      </c>
      <c r="T294" s="146" t="s">
        <v>1266</v>
      </c>
      <c r="U294" s="146" t="s">
        <v>1266</v>
      </c>
      <c r="V294" s="487"/>
      <c r="X294" s="495" t="s">
        <v>512</v>
      </c>
      <c r="Y294" s="431" t="str">
        <f t="shared" si="476"/>
        <v>RANGITATA</v>
      </c>
      <c r="Z294" s="432">
        <v>250</v>
      </c>
      <c r="AA294" s="441" t="str">
        <f t="shared" si="477"/>
        <v>p</v>
      </c>
      <c r="AB294" s="134">
        <f t="shared" si="466"/>
        <v>50</v>
      </c>
      <c r="AC294" s="134">
        <f t="shared" si="467"/>
        <v>0.95262794416288255</v>
      </c>
      <c r="AD294" s="134">
        <f t="shared" si="468"/>
        <v>0</v>
      </c>
      <c r="AE294" s="134">
        <f t="shared" si="469"/>
        <v>0</v>
      </c>
      <c r="AF294" s="432">
        <v>400</v>
      </c>
      <c r="AG294" s="436" t="str">
        <f t="shared" si="478"/>
        <v>p</v>
      </c>
      <c r="AH294" s="134">
        <f t="shared" si="471"/>
        <v>2</v>
      </c>
      <c r="AI294" s="134">
        <f t="shared" si="472"/>
        <v>3.8105117766515297E-2</v>
      </c>
      <c r="AJ294" s="134">
        <f t="shared" si="473"/>
        <v>0</v>
      </c>
      <c r="AK294" s="134">
        <f t="shared" si="474"/>
        <v>0</v>
      </c>
      <c r="AL294" s="470" t="s">
        <v>1267</v>
      </c>
    </row>
    <row r="295" spans="2:39" hidden="1" x14ac:dyDescent="0.25">
      <c r="B295" s="49" t="s">
        <v>522</v>
      </c>
      <c r="C295" s="168" t="s">
        <v>2628</v>
      </c>
      <c r="D295" s="119">
        <f t="shared" si="479"/>
        <v>11</v>
      </c>
      <c r="E295" s="370">
        <f t="array" ref="E295">IF(U295="YES",IF(T295="YES",MIN(IF(TMK[Load Capability Reference]=CONCATENATE(P295,Q295,S295,R295),TMK[Lowest A-PTX])),MIN(IF(TMK[Load Capability Reference]=CONCATENATE(P295,Q295,S295,R295),IF(TMK[Equipment ID]&lt;&gt;O295,TMK[Lowest A-PTX])))),IF(T295="YES",MIN(IF(TMK[Load Capability Reference]=CONCATENATE(P295,Q295,S295,R295),TMK[Lowest A-No PTX])),MIN(IF(TMK[Load Capability Reference]=CONCATENATE(P295,Q295,S295,R295),IF(TMK[Equipment ID]&lt;&gt;O295,TMK[Lowest A-No PTX])))))</f>
        <v>240.99999999999997</v>
      </c>
      <c r="F295" s="119">
        <f>IFERROR(IFERROR(VLOOKUP(CONCATENATE(P295,Q295,O295,S295,"Protection"),TMK[[OC Protection Reference]:[Forward A]],23,0),VLOOKUP(O295,AEL_Protection_Data[],12,0)),"N/A")</f>
        <v>402</v>
      </c>
      <c r="G295" s="119">
        <f t="shared" si="460"/>
        <v>190</v>
      </c>
      <c r="H295" s="29">
        <f t="shared" si="461"/>
        <v>3.6199861878189532</v>
      </c>
      <c r="I295" s="119">
        <f t="shared" si="462"/>
        <v>215</v>
      </c>
      <c r="J295" s="29">
        <f t="shared" si="463"/>
        <v>4.0963001599003945</v>
      </c>
      <c r="K295" s="6" t="str">
        <f>IF(U295="Yes",UPPER(IF(ISNUMBER(SEARCH("winding",VLOOKUP(CONCATENATE(P295,Q295,S295,E295),TMK[[Limiting Equipment Reference-PTX]:[Summ Equipment]],7,0))),"Power Transformer Rating at "&amp;ROUND(E295*S295*SQRT(3)/1000,2)&amp;" MVA",VLOOKUP(CONCATENATE(P295,Q295,S295,E295),TMK[[Limiting Equipment Reference-No PTX]:[Summ Equipment]],8,0))),UPPER(VLOOKUP(CONCATENATE(P295,Q295,S295,E295),TMK[[Limiting Equipment Reference-No PTX]:[Summ Equipment]],8,0)))</f>
        <v>OH LINE-7/0.136 CU</v>
      </c>
      <c r="L295" s="146" t="s">
        <v>1267</v>
      </c>
      <c r="M295" s="509" t="s">
        <v>1266</v>
      </c>
      <c r="O295" s="118" t="str">
        <f t="shared" si="475"/>
        <v>TMK-CB8</v>
      </c>
      <c r="P295" s="49" t="s">
        <v>1276</v>
      </c>
      <c r="Q295" s="49" t="s">
        <v>136</v>
      </c>
      <c r="R295" s="386"/>
      <c r="S295" s="43">
        <v>11</v>
      </c>
      <c r="T295" s="146" t="s">
        <v>1266</v>
      </c>
      <c r="U295" s="146" t="s">
        <v>1266</v>
      </c>
      <c r="V295" s="487"/>
      <c r="X295" s="495" t="s">
        <v>522</v>
      </c>
      <c r="Y295" s="431" t="str">
        <f t="shared" si="476"/>
        <v>TEMUKA EAST</v>
      </c>
      <c r="Z295" s="432">
        <v>360</v>
      </c>
      <c r="AA295" s="441" t="str">
        <f t="shared" si="477"/>
        <v>q</v>
      </c>
      <c r="AB295" s="134">
        <f t="shared" si="466"/>
        <v>0</v>
      </c>
      <c r="AC295" s="134">
        <f t="shared" si="467"/>
        <v>0</v>
      </c>
      <c r="AD295" s="134">
        <f t="shared" si="468"/>
        <v>119.00000000000003</v>
      </c>
      <c r="AE295" s="134">
        <f t="shared" si="469"/>
        <v>2.2672545071076606</v>
      </c>
      <c r="AF295" s="432">
        <v>400</v>
      </c>
      <c r="AG295" s="436" t="str">
        <f t="shared" si="478"/>
        <v>p</v>
      </c>
      <c r="AH295" s="134">
        <f t="shared" si="471"/>
        <v>2</v>
      </c>
      <c r="AI295" s="134">
        <f t="shared" si="472"/>
        <v>3.8105117766515297E-2</v>
      </c>
      <c r="AJ295" s="134">
        <f t="shared" si="473"/>
        <v>0</v>
      </c>
      <c r="AK295" s="134">
        <f t="shared" si="474"/>
        <v>0</v>
      </c>
      <c r="AL295" s="470" t="s">
        <v>2860</v>
      </c>
    </row>
    <row r="296" spans="2:39" ht="15.75" thickBot="1" x14ac:dyDescent="0.3">
      <c r="B296" s="374" t="s">
        <v>526</v>
      </c>
      <c r="C296" s="375" t="s">
        <v>2629</v>
      </c>
      <c r="D296" s="377">
        <f t="shared" si="479"/>
        <v>11</v>
      </c>
      <c r="E296" s="384">
        <f t="array" ref="E296">IF(U296="YES",IF(T296="YES",MIN(IF(TMK[Load Capability Reference]=CONCATENATE(P296,Q296,S296,R296),TMK[Lowest A-PTX])),MIN(IF(TMK[Load Capability Reference]=CONCATENATE(P296,Q296,S296,R296),IF(TMK[Equipment ID]&lt;&gt;O296,TMK[Lowest A-PTX])))),IF(T296="YES",MIN(IF(TMK[Load Capability Reference]=CONCATENATE(P296,Q296,S296,R296),TMK[Lowest A-No PTX])),MIN(IF(TMK[Load Capability Reference]=CONCATENATE(P296,Q296,S296,R296),IF(TMK[Equipment ID]&lt;&gt;O296,TMK[Lowest A-No PTX])))))</f>
        <v>176</v>
      </c>
      <c r="F296" s="377">
        <f>IFERROR(IFERROR(VLOOKUP(CONCATENATE(P296,Q296,O296,S296,"Protection"),TMK[[OC Protection Reference]:[Forward A]],23,0),VLOOKUP(O296,AEL_Protection_Data[],12,0)),"N/A")</f>
        <v>402</v>
      </c>
      <c r="G296" s="377">
        <f t="shared" si="460"/>
        <v>140</v>
      </c>
      <c r="H296" s="185">
        <f t="shared" si="461"/>
        <v>2.667358243656071</v>
      </c>
      <c r="I296" s="377">
        <f t="shared" si="462"/>
        <v>155</v>
      </c>
      <c r="J296" s="185">
        <f t="shared" si="463"/>
        <v>2.9531466269049358</v>
      </c>
      <c r="K296" s="191" t="str">
        <f>IF(U296="Yes",UPPER(IF(ISNUMBER(SEARCH("winding",VLOOKUP(CONCATENATE(P296,Q296,S296,E296),TMK[[Limiting Equipment Reference-PTX]:[Summ Equipment]],7,0))),"Power Transformer Rating at "&amp;ROUND(E296*S296*SQRT(3)/1000,2)&amp;" MVA",VLOOKUP(CONCATENATE(P296,Q296,S296,E296),TMK[[Limiting Equipment Reference-No PTX]:[Summ Equipment]],8,0))),UPPER(VLOOKUP(CONCATENATE(P296,Q296,S296,E296),TMK[[Limiting Equipment Reference-No PTX]:[Summ Equipment]],8,0)))</f>
        <v>OH LINE-19/16 CU</v>
      </c>
      <c r="L296" s="379" t="s">
        <v>1267</v>
      </c>
      <c r="M296" s="511" t="s">
        <v>1267</v>
      </c>
      <c r="O296" s="514" t="str">
        <f t="shared" si="475"/>
        <v>TMK-CB9</v>
      </c>
      <c r="P296" s="374" t="s">
        <v>1276</v>
      </c>
      <c r="Q296" s="374" t="s">
        <v>140</v>
      </c>
      <c r="R296" s="387"/>
      <c r="S296" s="175">
        <v>11</v>
      </c>
      <c r="T296" s="379" t="s">
        <v>1266</v>
      </c>
      <c r="U296" s="379" t="s">
        <v>1266</v>
      </c>
      <c r="V296" s="488"/>
      <c r="X296" s="497" t="s">
        <v>526</v>
      </c>
      <c r="Y296" s="433" t="str">
        <f t="shared" si="476"/>
        <v>WAITOHI</v>
      </c>
      <c r="Z296" s="434">
        <v>360</v>
      </c>
      <c r="AA296" s="442" t="str">
        <f t="shared" si="477"/>
        <v>q</v>
      </c>
      <c r="AB296" s="451">
        <f t="shared" si="466"/>
        <v>0</v>
      </c>
      <c r="AC296" s="451">
        <f t="shared" si="467"/>
        <v>0</v>
      </c>
      <c r="AD296" s="451">
        <f t="shared" si="468"/>
        <v>184</v>
      </c>
      <c r="AE296" s="451">
        <f t="shared" si="469"/>
        <v>3.5056708345194076</v>
      </c>
      <c r="AF296" s="434">
        <v>400</v>
      </c>
      <c r="AG296" s="437" t="str">
        <f t="shared" si="478"/>
        <v>p</v>
      </c>
      <c r="AH296" s="451">
        <f t="shared" si="471"/>
        <v>2</v>
      </c>
      <c r="AI296" s="451">
        <f t="shared" si="472"/>
        <v>3.8105117766515297E-2</v>
      </c>
      <c r="AJ296" s="451">
        <f t="shared" si="473"/>
        <v>0</v>
      </c>
      <c r="AK296" s="451">
        <f t="shared" si="474"/>
        <v>0</v>
      </c>
      <c r="AL296" s="471" t="s">
        <v>1267</v>
      </c>
    </row>
    <row r="297" spans="2:39" hidden="1" x14ac:dyDescent="0.25">
      <c r="X297" s="427" t="s">
        <v>1138</v>
      </c>
      <c r="AB297" s="449">
        <f>SUM(AB288:AB296)</f>
        <v>823.97407680000015</v>
      </c>
      <c r="AC297" s="449">
        <f t="shared" ref="AC297:AE297" si="480">SUM(AC288:AC296)</f>
        <v>15.698814616509864</v>
      </c>
      <c r="AD297" s="449">
        <f t="shared" si="480"/>
        <v>494.27340392854444</v>
      </c>
      <c r="AE297" s="449">
        <f t="shared" si="480"/>
        <v>9.4171731327767851</v>
      </c>
      <c r="AH297" s="449">
        <f>SUM(AH288:AH296)</f>
        <v>492</v>
      </c>
      <c r="AI297" s="449">
        <f t="shared" ref="AI297:AK297" si="481">SUM(AI288:AI296)</f>
        <v>9.3738589705627611</v>
      </c>
      <c r="AJ297" s="449">
        <f t="shared" si="481"/>
        <v>0</v>
      </c>
      <c r="AK297" s="449">
        <f t="shared" si="481"/>
        <v>0</v>
      </c>
    </row>
    <row r="298" spans="2:39" ht="27" hidden="1" thickBot="1" x14ac:dyDescent="0.3">
      <c r="B298" s="551" t="s">
        <v>2631</v>
      </c>
      <c r="C298" s="552"/>
      <c r="D298" s="552"/>
      <c r="E298" s="552"/>
      <c r="F298" s="552"/>
      <c r="G298" s="552"/>
      <c r="H298" s="552"/>
      <c r="I298" s="552"/>
      <c r="J298" s="552"/>
      <c r="K298" s="552"/>
      <c r="L298" s="552"/>
      <c r="M298" s="553"/>
      <c r="O298" s="551" t="s">
        <v>2391</v>
      </c>
      <c r="P298" s="552"/>
      <c r="Q298" s="552"/>
      <c r="R298" s="552"/>
      <c r="S298" s="552"/>
      <c r="T298" s="552"/>
      <c r="U298" s="552"/>
      <c r="V298" s="553"/>
      <c r="X298" s="586" t="str">
        <f>B298&amp;"-OLD"</f>
        <v>GERALDINE (D823)-OLD</v>
      </c>
      <c r="Y298" s="587"/>
      <c r="Z298" s="587"/>
      <c r="AA298" s="587"/>
      <c r="AB298" s="587"/>
      <c r="AC298" s="587"/>
      <c r="AD298" s="587"/>
      <c r="AE298" s="587"/>
      <c r="AF298" s="587"/>
      <c r="AG298" s="587"/>
      <c r="AH298" s="587"/>
      <c r="AI298" s="587"/>
      <c r="AJ298" s="587"/>
      <c r="AK298" s="587"/>
      <c r="AL298" s="588"/>
      <c r="AM298" s="481"/>
    </row>
    <row r="299" spans="2:39" ht="15.75" hidden="1" thickBot="1" x14ac:dyDescent="0.3">
      <c r="B299" s="571" t="str">
        <f t="shared" ref="B299:G299" si="482">B6</f>
        <v>CB ID</v>
      </c>
      <c r="C299" s="545" t="str">
        <f t="shared" si="482"/>
        <v>DESIGNATION</v>
      </c>
      <c r="D299" s="382" t="str">
        <f t="shared" si="482"/>
        <v>Rated</v>
      </c>
      <c r="E299" s="572" t="str">
        <f t="shared" si="482"/>
        <v>LOAD
CAPABILITY</v>
      </c>
      <c r="F299" s="572" t="str">
        <f t="shared" si="482"/>
        <v>OC
PICKUP</v>
      </c>
      <c r="G299" s="559" t="str">
        <f t="shared" si="482"/>
        <v>SCADA ALARM</v>
      </c>
      <c r="H299" s="560"/>
      <c r="I299" s="560"/>
      <c r="J299" s="561"/>
      <c r="K299" s="574" t="str">
        <f>K6</f>
        <v>LIMITING EQUIPMENT</v>
      </c>
      <c r="L299" s="575" t="str">
        <f>L6</f>
        <v>RECLOSING</v>
      </c>
      <c r="M299" s="576"/>
      <c r="O299" s="554" t="str">
        <f t="shared" ref="O299:V299" si="483">O6</f>
        <v>OC Pick up
Reference ID</v>
      </c>
      <c r="P299" s="557" t="str">
        <f t="shared" si="483"/>
        <v>Supply Level</v>
      </c>
      <c r="Q299" s="566" t="str">
        <f t="shared" si="483"/>
        <v>Station/Feeder</v>
      </c>
      <c r="R299" s="567" t="str">
        <f t="shared" si="483"/>
        <v>Refered
to PTX</v>
      </c>
      <c r="S299" s="569" t="str">
        <f t="shared" si="483"/>
        <v>Voltage</v>
      </c>
      <c r="T299" s="539" t="str">
        <f t="shared" si="483"/>
        <v>Include
CB</v>
      </c>
      <c r="U299" s="539" t="str">
        <f t="shared" si="483"/>
        <v>Include
PTX</v>
      </c>
      <c r="V299" s="542" t="str">
        <f t="shared" si="483"/>
        <v>Notes</v>
      </c>
      <c r="X299" s="585" t="s">
        <v>1260</v>
      </c>
      <c r="Y299" s="545" t="s">
        <v>1261</v>
      </c>
      <c r="Z299" s="559" t="s">
        <v>2749</v>
      </c>
      <c r="AA299" s="560"/>
      <c r="AB299" s="560"/>
      <c r="AC299" s="560"/>
      <c r="AD299" s="560"/>
      <c r="AE299" s="561"/>
      <c r="AF299" s="559" t="s">
        <v>1268</v>
      </c>
      <c r="AG299" s="560"/>
      <c r="AH299" s="560"/>
      <c r="AI299" s="560"/>
      <c r="AJ299" s="560"/>
      <c r="AK299" s="561"/>
      <c r="AL299" s="546" t="s">
        <v>2857</v>
      </c>
      <c r="AM299" s="466"/>
    </row>
    <row r="300" spans="2:39" ht="15.75" hidden="1" thickBot="1" x14ac:dyDescent="0.3">
      <c r="B300" s="557"/>
      <c r="C300" s="540"/>
      <c r="D300" s="362" t="str">
        <f>D7</f>
        <v>Voltage</v>
      </c>
      <c r="E300" s="573"/>
      <c r="F300" s="573"/>
      <c r="G300" s="544" t="str">
        <f>G7</f>
        <v>Pre-Emergency</v>
      </c>
      <c r="H300" s="544"/>
      <c r="I300" s="544" t="str">
        <f>I7</f>
        <v>Emergency</v>
      </c>
      <c r="J300" s="544"/>
      <c r="K300" s="540"/>
      <c r="L300" s="545" t="str">
        <f>L7</f>
        <v>AVAILABLE</v>
      </c>
      <c r="M300" s="546" t="str">
        <f>M7</f>
        <v>UTILISED</v>
      </c>
      <c r="O300" s="555"/>
      <c r="P300" s="557"/>
      <c r="Q300" s="557"/>
      <c r="R300" s="567"/>
      <c r="S300" s="569"/>
      <c r="T300" s="540"/>
      <c r="U300" s="540"/>
      <c r="V300" s="542"/>
      <c r="X300" s="555"/>
      <c r="Y300" s="540"/>
      <c r="Z300" s="589"/>
      <c r="AA300" s="590"/>
      <c r="AB300" s="590"/>
      <c r="AC300" s="590"/>
      <c r="AD300" s="590"/>
      <c r="AE300" s="591"/>
      <c r="AF300" s="589"/>
      <c r="AG300" s="590"/>
      <c r="AH300" s="590"/>
      <c r="AI300" s="590"/>
      <c r="AJ300" s="590"/>
      <c r="AK300" s="591"/>
      <c r="AL300" s="577"/>
      <c r="AM300" s="466"/>
    </row>
    <row r="301" spans="2:39" ht="15.75" hidden="1" thickBot="1" x14ac:dyDescent="0.3">
      <c r="B301" s="558"/>
      <c r="C301" s="541"/>
      <c r="D301" s="345" t="str">
        <f>D8</f>
        <v>(kV)</v>
      </c>
      <c r="E301" s="345" t="str">
        <f>E8</f>
        <v>(A)</v>
      </c>
      <c r="F301" s="345" t="str">
        <f>F8</f>
        <v>(A)</v>
      </c>
      <c r="G301" s="406" t="str">
        <f>G8</f>
        <v>(A)</v>
      </c>
      <c r="H301" s="407" t="str">
        <f>H8</f>
        <v>(MVA)</v>
      </c>
      <c r="I301" s="406" t="str">
        <f>I8</f>
        <v>(A)</v>
      </c>
      <c r="J301" s="407" t="str">
        <f>J8</f>
        <v>(MVA)</v>
      </c>
      <c r="K301" s="541"/>
      <c r="L301" s="541"/>
      <c r="M301" s="547"/>
      <c r="O301" s="556"/>
      <c r="P301" s="558"/>
      <c r="Q301" s="558"/>
      <c r="R301" s="568"/>
      <c r="S301" s="570"/>
      <c r="T301" s="541"/>
      <c r="U301" s="541"/>
      <c r="V301" s="543"/>
      <c r="X301" s="556"/>
      <c r="Y301" s="541"/>
      <c r="Z301" s="428" t="s">
        <v>26</v>
      </c>
      <c r="AA301" s="439" t="s">
        <v>2861</v>
      </c>
      <c r="AB301" s="450" t="s">
        <v>2959</v>
      </c>
      <c r="AC301" s="450" t="s">
        <v>2960</v>
      </c>
      <c r="AD301" s="450" t="s">
        <v>2957</v>
      </c>
      <c r="AE301" s="450" t="s">
        <v>2958</v>
      </c>
      <c r="AF301" s="428" t="s">
        <v>26</v>
      </c>
      <c r="AG301" s="439" t="s">
        <v>2861</v>
      </c>
      <c r="AH301" s="450" t="s">
        <v>2959</v>
      </c>
      <c r="AI301" s="450" t="s">
        <v>2960</v>
      </c>
      <c r="AJ301" s="450" t="s">
        <v>2957</v>
      </c>
      <c r="AK301" s="450" t="s">
        <v>2958</v>
      </c>
      <c r="AL301" s="547"/>
      <c r="AM301" s="466"/>
    </row>
    <row r="302" spans="2:39" hidden="1" x14ac:dyDescent="0.25">
      <c r="B302" s="38" t="s">
        <v>537</v>
      </c>
      <c r="C302" s="3" t="s">
        <v>2632</v>
      </c>
      <c r="D302" s="61">
        <f t="shared" ref="D302:D303" si="484">ROUNDDOWN(S302,0)</f>
        <v>33</v>
      </c>
      <c r="E302" s="369">
        <f t="array" ref="E302">IF(U302="YES",IF(T302="YES",MIN(IF(TMK[Load Capability Reference]=CONCATENATE(P302,Q302,S302,R302),TMK[Lowest A-PTX])),MIN(IF(TMK[Load Capability Reference]=CONCATENATE(P302,Q302,S302,R302),IF(TMK[Equipment ID]&lt;&gt;O302,TMK[Lowest A-PTX])))),IF(T302="YES",MIN(IF(TMK[Load Capability Reference]=CONCATENATE(P302,Q302,S302,R302),TMK[Lowest A-No PTX])),MIN(IF(TMK[Load Capability Reference]=CONCATENATE(P302,Q302,S302,R302),IF(TMK[Equipment ID]&lt;&gt;O302,TMK[Lowest A-No PTX])))))</f>
        <v>256.85852310343915</v>
      </c>
      <c r="F302" s="61">
        <f>IFERROR(IFERROR(VLOOKUP(CONCATENATE(P302,Q302,O302,S302,"Protection"),TMK[[OC Protection Reference]:[Forward A]],23,0),VLOOKUP(O302,AEL_Protection_Data[],12,0)),"N/A")</f>
        <v>350</v>
      </c>
      <c r="G302" s="61">
        <f t="shared" ref="G302:G306" si="485">IFERROR(FLOOR(MIN(E302:F302)*$D$3,5),"")</f>
        <v>205</v>
      </c>
      <c r="H302" s="5">
        <f t="shared" ref="H302:H306" si="486">G302*S302*SQRT(3)/1000</f>
        <v>11.928235540041118</v>
      </c>
      <c r="I302" s="61">
        <f>IFERROR(FLOOR(MIN(E302:F302)*$D$2,5),"")</f>
        <v>230</v>
      </c>
      <c r="J302" s="5">
        <f t="shared" ref="J302:J306" si="487">I302*S302*SQRT(3)/1000</f>
        <v>13.382898410777837</v>
      </c>
      <c r="K302" s="3" t="str">
        <f>IF(U302="Yes",UPPER(IF(ISNUMBER(SEARCH("winding",VLOOKUP(CONCATENATE(P302,Q302,S302,E302),TMK[[Limiting Equipment Reference-PTX]:[Summ Equipment]],7,0))),"Power Transformer Rating at "&amp;ROUND(E302*S302*SQRT(3)/1000,2)&amp;" MVA",VLOOKUP(CONCATENATE(P302,Q302,S302,E302),TMK[[Limiting Equipment Reference-No PTX]:[Summ Equipment]],8,0))),UPPER(VLOOKUP(CONCATENATE(P302,Q302,S302,E302),TMK[[Limiting Equipment Reference-No PTX]:[Summ Equipment]],8,0)))</f>
        <v>OH LINE-DOG</v>
      </c>
      <c r="L302" s="4" t="s">
        <v>1266</v>
      </c>
      <c r="M302" s="508" t="s">
        <v>1162</v>
      </c>
      <c r="O302" s="10" t="str">
        <f>"GLD-"&amp;B302</f>
        <v>GLD-G259</v>
      </c>
      <c r="P302" s="38" t="s">
        <v>1245</v>
      </c>
      <c r="Q302" s="38" t="s">
        <v>85</v>
      </c>
      <c r="R302" s="389"/>
      <c r="S302" s="139">
        <v>33.594000000000001</v>
      </c>
      <c r="T302" s="4" t="s">
        <v>1266</v>
      </c>
      <c r="U302" s="4" t="s">
        <v>1267</v>
      </c>
      <c r="V302" s="486"/>
      <c r="X302" s="494" t="s">
        <v>537</v>
      </c>
      <c r="Y302" s="429" t="s">
        <v>2934</v>
      </c>
      <c r="Z302" s="430">
        <v>210</v>
      </c>
      <c r="AA302" s="440" t="str">
        <f t="shared" ref="AA302:AA303" si="488">IF(Z302&gt;E302,"q",IF(Z302&lt;E302,"p","u"))</f>
        <v>p</v>
      </c>
      <c r="AB302" s="453">
        <f t="shared" ref="AB302:AB306" si="489">IF(Z302="",0,IF(Z302-E302&lt;0,ABS(Z302-E302),0))</f>
        <v>46.858523103439154</v>
      </c>
      <c r="AC302" s="453">
        <f t="shared" ref="AC302:AC306" si="490">AB302*$S302*SQRT(3)/1000</f>
        <v>2.7265341494452717</v>
      </c>
      <c r="AD302" s="453">
        <f t="shared" ref="AD302:AD306" si="491">IF(Z302="",0,IF(Z302-E302&gt;0,ABS(Z302-E302),0))</f>
        <v>0</v>
      </c>
      <c r="AE302" s="453">
        <f t="shared" ref="AE302:AE306" si="492">AD302*$S302*SQRT(3)/1000</f>
        <v>0</v>
      </c>
      <c r="AF302" s="430">
        <v>350</v>
      </c>
      <c r="AG302" s="435" t="str">
        <f t="shared" ref="AG302:AG303" si="493">IF(AF302&gt;F302,"q",IF(AF302&lt;F302,"p","u"))</f>
        <v>u</v>
      </c>
      <c r="AH302" s="453">
        <f t="shared" ref="AH302:AH306" si="494">IF(AF302="",0,IF(AF302-F302&lt;0,ABS(AF302-F302),0))</f>
        <v>0</v>
      </c>
      <c r="AI302" s="453">
        <f t="shared" ref="AI302:AI306" si="495">AH302*$S302*SQRT(3)/1000</f>
        <v>0</v>
      </c>
      <c r="AJ302" s="453">
        <f t="shared" ref="AJ302:AJ306" si="496">IF(AF302="",0,IF(AF302-F302&gt;0,ABS(AF302-F302),0))</f>
        <v>0</v>
      </c>
      <c r="AK302" s="453">
        <f t="shared" ref="AK302:AK306" si="497">AJ302*$S302*SQRT(3)/1000</f>
        <v>0</v>
      </c>
      <c r="AL302" s="469" t="s">
        <v>1266</v>
      </c>
    </row>
    <row r="303" spans="2:39" hidden="1" x14ac:dyDescent="0.25">
      <c r="B303" s="49" t="s">
        <v>539</v>
      </c>
      <c r="C303" s="168" t="s">
        <v>2633</v>
      </c>
      <c r="D303" s="119">
        <f t="shared" si="484"/>
        <v>11</v>
      </c>
      <c r="E303" s="370">
        <f t="array" ref="E303">IF(U303="YES",IF(T303="YES",MIN(IF(TMK[Load Capability Reference]=CONCATENATE(P303,Q303,S303,R303),TMK[Lowest A-PTX])),MIN(IF(TMK[Load Capability Reference]=CONCATENATE(P303,Q303,S303,R303),IF(TMK[Equipment ID]&lt;&gt;O303,TMK[Lowest A-PTX])))),IF(T303="YES",MIN(IF(TMK[Load Capability Reference]=CONCATENATE(P303,Q303,S303,R303),TMK[Lowest A-No PTX])),MIN(IF(TMK[Load Capability Reference]=CONCATENATE(P303,Q303,S303,R303),IF(TMK[Equipment ID]&lt;&gt;O303,TMK[Lowest A-No PTX])))))</f>
        <v>783.37892698728069</v>
      </c>
      <c r="F303" s="119">
        <f>IFERROR(IFERROR(VLOOKUP(CONCATENATE(P303,Q303,O303,S303,"Protection"),TMK[[OC Protection Reference]:[Forward A]],23,0),VLOOKUP(O303,AEL_Protection_Data[],12,0)),"N/A")</f>
        <v>948</v>
      </c>
      <c r="G303" s="119">
        <f t="shared" si="485"/>
        <v>625</v>
      </c>
      <c r="H303" s="29">
        <f t="shared" si="486"/>
        <v>11.967388548546211</v>
      </c>
      <c r="I303" s="119">
        <f>IFERROR(FLOOR(MIN(E303:F303)*$D$2,5),"")</f>
        <v>705</v>
      </c>
      <c r="J303" s="29">
        <f t="shared" si="487"/>
        <v>13.499214282760125</v>
      </c>
      <c r="K303" s="6" t="str">
        <f>IF(U303="Yes",UPPER(IF(ISNUMBER(SEARCH("winding",VLOOKUP(CONCATENATE(P303,Q303,S303,E303),TMK[[Limiting Equipment Reference-PTX]:[Summ Equipment]],7,0))),"Power Transformer Rating at "&amp;ROUND(E303*S303*SQRT(3)/1000,2)&amp;" MVA",VLOOKUP(CONCATENATE(P303,Q303,S303,E303),TMK[[Limiting Equipment Reference-No PTX]:[Summ Equipment]],8,0))),UPPER(VLOOKUP(CONCATENATE(P303,Q303,S303,E303),TMK[[Limiting Equipment Reference-No PTX]:[Summ Equipment]],8,0)))</f>
        <v>POWER TRANSFORMER RATING AT 15 MVA</v>
      </c>
      <c r="L303" s="146" t="s">
        <v>1267</v>
      </c>
      <c r="M303" s="509" t="s">
        <v>1266</v>
      </c>
      <c r="O303" s="118" t="str">
        <f t="shared" ref="O303:O306" si="498">"GLD-"&amp;B303</f>
        <v>GLD-G260</v>
      </c>
      <c r="P303" s="49" t="s">
        <v>1246</v>
      </c>
      <c r="Q303" s="49" t="s">
        <v>85</v>
      </c>
      <c r="R303" s="386"/>
      <c r="S303" s="43">
        <v>11.055</v>
      </c>
      <c r="T303" s="146" t="s">
        <v>1266</v>
      </c>
      <c r="U303" s="146" t="s">
        <v>1267</v>
      </c>
      <c r="V303" s="487"/>
      <c r="X303" s="495" t="s">
        <v>539</v>
      </c>
      <c r="Y303" s="431" t="s">
        <v>2935</v>
      </c>
      <c r="Z303" s="432">
        <v>460</v>
      </c>
      <c r="AA303" s="441" t="str">
        <f t="shared" si="488"/>
        <v>p</v>
      </c>
      <c r="AB303" s="134">
        <f t="shared" si="489"/>
        <v>323.37892698728069</v>
      </c>
      <c r="AC303" s="134">
        <f t="shared" si="490"/>
        <v>6.1920020282699904</v>
      </c>
      <c r="AD303" s="134">
        <f t="shared" si="491"/>
        <v>0</v>
      </c>
      <c r="AE303" s="134">
        <f t="shared" si="492"/>
        <v>0</v>
      </c>
      <c r="AF303" s="432">
        <v>950</v>
      </c>
      <c r="AG303" s="436" t="str">
        <f t="shared" si="493"/>
        <v>q</v>
      </c>
      <c r="AH303" s="134">
        <f t="shared" si="494"/>
        <v>0</v>
      </c>
      <c r="AI303" s="134">
        <f t="shared" si="495"/>
        <v>0</v>
      </c>
      <c r="AJ303" s="134">
        <f t="shared" si="496"/>
        <v>2</v>
      </c>
      <c r="AK303" s="134">
        <f t="shared" si="497"/>
        <v>3.8295643355347873E-2</v>
      </c>
      <c r="AL303" s="470" t="s">
        <v>2860</v>
      </c>
    </row>
    <row r="304" spans="2:39" hidden="1" x14ac:dyDescent="0.25">
      <c r="B304" s="49" t="s">
        <v>554</v>
      </c>
      <c r="C304" s="168" t="s">
        <v>2634</v>
      </c>
      <c r="D304" s="119">
        <f>ROUNDDOWN(S304,0)</f>
        <v>11</v>
      </c>
      <c r="E304" s="370">
        <f t="array" ref="E304">IF(U304="YES",IF(T304="YES",MIN(IF(TMK[Load Capability Reference]=CONCATENATE(P304,Q304,S304,R304),TMK[Lowest A-PTX])),MIN(IF(TMK[Load Capability Reference]=CONCATENATE(P304,Q304,S304,R304),IF(TMK[Equipment ID]&lt;&gt;O304,TMK[Lowest A-PTX])))),IF(T304="YES",MIN(IF(TMK[Load Capability Reference]=CONCATENATE(P304,Q304,S304,R304),TMK[Lowest A-No PTX])),MIN(IF(TMK[Load Capability Reference]=CONCATENATE(P304,Q304,S304,R304),IF(TMK[Equipment ID]&lt;&gt;O304,TMK[Lowest A-No PTX])))))</f>
        <v>241.00000000000003</v>
      </c>
      <c r="F304" s="119">
        <f>IFERROR(IFERROR(VLOOKUP(CONCATENATE(P304,Q304,O304,S304,"Protection"),TMK[[OC Protection Reference]:[Forward A]],23,0),VLOOKUP(O304,AEL_Protection_Data[],12,0)),"N/A")</f>
        <v>350</v>
      </c>
      <c r="G304" s="119">
        <f t="shared" si="485"/>
        <v>190</v>
      </c>
      <c r="H304" s="29">
        <f t="shared" si="486"/>
        <v>3.6380861187580478</v>
      </c>
      <c r="I304" s="119">
        <f>IFERROR(FLOOR(MIN(E304:F304)*$D$2,5),"")</f>
        <v>215</v>
      </c>
      <c r="J304" s="29">
        <f t="shared" si="487"/>
        <v>4.1167816606998962</v>
      </c>
      <c r="K304" s="6" t="str">
        <f>IF(U304="Yes",UPPER(IF(ISNUMBER(SEARCH("winding",VLOOKUP(CONCATENATE(P304,Q304,S304,E304),TMK[[Limiting Equipment Reference-PTX]:[Summ Equipment]],7,0))),"Power Transformer Rating at "&amp;ROUND(E304*S304*SQRT(3)/1000,2)&amp;" MVA",VLOOKUP(CONCATENATE(P304,Q304,S304,E304),TMK[[Limiting Equipment Reference-No PTX]:[Summ Equipment]],8,0))),UPPER(VLOOKUP(CONCATENATE(P304,Q304,S304,E304),TMK[[Limiting Equipment Reference-No PTX]:[Summ Equipment]],8,0)))</f>
        <v>OH LINE-7/0.136 CU</v>
      </c>
      <c r="L304" s="146" t="s">
        <v>1267</v>
      </c>
      <c r="M304" s="509" t="s">
        <v>1267</v>
      </c>
      <c r="O304" s="118" t="str">
        <f t="shared" si="498"/>
        <v>GLD-G156</v>
      </c>
      <c r="P304" s="49" t="s">
        <v>1276</v>
      </c>
      <c r="Q304" s="49" t="s">
        <v>119</v>
      </c>
      <c r="R304" s="386"/>
      <c r="S304" s="43">
        <v>11.055</v>
      </c>
      <c r="T304" s="146" t="s">
        <v>1266</v>
      </c>
      <c r="U304" s="146" t="s">
        <v>1266</v>
      </c>
      <c r="V304" s="487"/>
      <c r="X304" s="495" t="s">
        <v>554</v>
      </c>
      <c r="Y304" s="431" t="s">
        <v>2634</v>
      </c>
      <c r="Z304" s="432">
        <v>290</v>
      </c>
      <c r="AA304" s="441" t="str">
        <f t="shared" ref="AA304:AA306" si="499">IF(Z304&gt;E304,"q",IF(Z304&lt;E304,"p","u"))</f>
        <v>q</v>
      </c>
      <c r="AB304" s="134">
        <f t="shared" si="489"/>
        <v>0</v>
      </c>
      <c r="AC304" s="134">
        <f t="shared" si="490"/>
        <v>0</v>
      </c>
      <c r="AD304" s="134">
        <f t="shared" si="491"/>
        <v>48.999999999999972</v>
      </c>
      <c r="AE304" s="134">
        <f t="shared" si="492"/>
        <v>0.9382432622060225</v>
      </c>
      <c r="AF304" s="432">
        <v>350</v>
      </c>
      <c r="AG304" s="436" t="str">
        <f t="shared" ref="AG304:AG306" si="500">IF(AF304&gt;F304,"q",IF(AF304&lt;F304,"p","u"))</f>
        <v>u</v>
      </c>
      <c r="AH304" s="134">
        <f t="shared" si="494"/>
        <v>0</v>
      </c>
      <c r="AI304" s="134">
        <f t="shared" si="495"/>
        <v>0</v>
      </c>
      <c r="AJ304" s="134">
        <f t="shared" si="496"/>
        <v>0</v>
      </c>
      <c r="AK304" s="134">
        <f t="shared" si="497"/>
        <v>0</v>
      </c>
      <c r="AL304" s="470" t="s">
        <v>1267</v>
      </c>
    </row>
    <row r="305" spans="2:39" hidden="1" x14ac:dyDescent="0.25">
      <c r="B305" s="49" t="s">
        <v>547</v>
      </c>
      <c r="C305" s="168" t="s">
        <v>2635</v>
      </c>
      <c r="D305" s="119">
        <f t="shared" ref="D305:D306" si="501">ROUNDDOWN(S305,0)</f>
        <v>11</v>
      </c>
      <c r="E305" s="370">
        <f t="array" ref="E305">IF(U305="YES",IF(T305="YES",MIN(IF(TMK[Load Capability Reference]=CONCATENATE(P305,Q305,S305,R305),TMK[Lowest A-PTX])),MIN(IF(TMK[Load Capability Reference]=CONCATENATE(P305,Q305,S305,R305),IF(TMK[Equipment ID]&lt;&gt;O305,TMK[Lowest A-PTX])))),IF(T305="YES",MIN(IF(TMK[Load Capability Reference]=CONCATENATE(P305,Q305,S305,R305),TMK[Lowest A-No PTX])),MIN(IF(TMK[Load Capability Reference]=CONCATENATE(P305,Q305,S305,R305),IF(TMK[Equipment ID]&lt;&gt;O305,TMK[Lowest A-No PTX])))))</f>
        <v>241.00000000000003</v>
      </c>
      <c r="F305" s="119">
        <f>IFERROR(IFERROR(VLOOKUP(CONCATENATE(P305,Q305,O305,S305,"Protection"),TMK[[OC Protection Reference]:[Forward A]],23,0),VLOOKUP(O305,AEL_Protection_Data[],12,0)),"N/A")</f>
        <v>350</v>
      </c>
      <c r="G305" s="119">
        <f t="shared" si="485"/>
        <v>190</v>
      </c>
      <c r="H305" s="29">
        <f t="shared" si="486"/>
        <v>3.6380861187580478</v>
      </c>
      <c r="I305" s="119">
        <f>IFERROR(FLOOR(MIN(E305:F305)*$D$2,5),"")</f>
        <v>215</v>
      </c>
      <c r="J305" s="29">
        <f t="shared" si="487"/>
        <v>4.1167816606998962</v>
      </c>
      <c r="K305" s="6" t="str">
        <f>IF(U305="Yes",UPPER(IF(ISNUMBER(SEARCH("winding",VLOOKUP(CONCATENATE(P305,Q305,S305,E305),TMK[[Limiting Equipment Reference-PTX]:[Summ Equipment]],7,0))),"Power Transformer Rating at "&amp;ROUND(E305*S305*SQRT(3)/1000,2)&amp;" MVA",VLOOKUP(CONCATENATE(P305,Q305,S305,E305),TMK[[Limiting Equipment Reference-No PTX]:[Summ Equipment]],8,0))),UPPER(VLOOKUP(CONCATENATE(P305,Q305,S305,E305),TMK[[Limiting Equipment Reference-No PTX]:[Summ Equipment]],8,0)))</f>
        <v>OH LINE-7/0.136 CU</v>
      </c>
      <c r="L305" s="146" t="s">
        <v>1267</v>
      </c>
      <c r="M305" s="509" t="s">
        <v>1266</v>
      </c>
      <c r="O305" s="118" t="str">
        <f t="shared" si="498"/>
        <v>GLD-G191</v>
      </c>
      <c r="P305" s="49" t="s">
        <v>1276</v>
      </c>
      <c r="Q305" s="49" t="s">
        <v>108</v>
      </c>
      <c r="R305" s="386"/>
      <c r="S305" s="43">
        <v>11.055</v>
      </c>
      <c r="T305" s="146" t="s">
        <v>1266</v>
      </c>
      <c r="U305" s="146" t="s">
        <v>1266</v>
      </c>
      <c r="V305" s="487"/>
      <c r="X305" s="495" t="s">
        <v>547</v>
      </c>
      <c r="Y305" s="431" t="s">
        <v>2635</v>
      </c>
      <c r="Z305" s="432">
        <v>310</v>
      </c>
      <c r="AA305" s="441" t="str">
        <f t="shared" si="499"/>
        <v>q</v>
      </c>
      <c r="AB305" s="134">
        <f t="shared" si="489"/>
        <v>0</v>
      </c>
      <c r="AC305" s="134">
        <f t="shared" si="490"/>
        <v>0</v>
      </c>
      <c r="AD305" s="134">
        <f t="shared" si="491"/>
        <v>68.999999999999972</v>
      </c>
      <c r="AE305" s="134">
        <f t="shared" si="492"/>
        <v>1.3211996957595011</v>
      </c>
      <c r="AF305" s="432">
        <v>350</v>
      </c>
      <c r="AG305" s="436" t="str">
        <f t="shared" si="500"/>
        <v>u</v>
      </c>
      <c r="AH305" s="134">
        <f t="shared" si="494"/>
        <v>0</v>
      </c>
      <c r="AI305" s="134">
        <f t="shared" si="495"/>
        <v>0</v>
      </c>
      <c r="AJ305" s="134">
        <f t="shared" si="496"/>
        <v>0</v>
      </c>
      <c r="AK305" s="134">
        <f t="shared" si="497"/>
        <v>0</v>
      </c>
      <c r="AL305" s="470" t="s">
        <v>2860</v>
      </c>
    </row>
    <row r="306" spans="2:39" ht="15.75" hidden="1" thickBot="1" x14ac:dyDescent="0.3">
      <c r="B306" s="374" t="s">
        <v>542</v>
      </c>
      <c r="C306" s="375" t="s">
        <v>2636</v>
      </c>
      <c r="D306" s="377">
        <f t="shared" si="501"/>
        <v>11</v>
      </c>
      <c r="E306" s="384">
        <f t="array" ref="E306">IF(U306="YES",IF(T306="YES",MIN(IF(TMK[Load Capability Reference]=CONCATENATE(P306,Q306,S306,R306),TMK[Lowest A-PTX])),MIN(IF(TMK[Load Capability Reference]=CONCATENATE(P306,Q306,S306,R306),IF(TMK[Equipment ID]&lt;&gt;O306,TMK[Lowest A-PTX])))),IF(T306="YES",MIN(IF(TMK[Load Capability Reference]=CONCATENATE(P306,Q306,S306,R306),TMK[Lowest A-No PTX])),MIN(IF(TMK[Load Capability Reference]=CONCATENATE(P306,Q306,S306,R306),IF(TMK[Equipment ID]&lt;&gt;O306,TMK[Lowest A-No PTX])))))</f>
        <v>188.62660722014471</v>
      </c>
      <c r="F306" s="377">
        <f>IFERROR(IFERROR(VLOOKUP(CONCATENATE(P306,Q306,O306,S306,"Protection"),TMK[[OC Protection Reference]:[Forward A]],23,0),VLOOKUP(O306,AEL_Protection_Data[],12,0)),"N/A")</f>
        <v>350</v>
      </c>
      <c r="G306" s="377">
        <f t="shared" si="485"/>
        <v>150</v>
      </c>
      <c r="H306" s="185">
        <f t="shared" si="486"/>
        <v>2.8721732516510907</v>
      </c>
      <c r="I306" s="377">
        <f>IFERROR(FLOOR(MIN(E306:F306)*$D$2,5),"")</f>
        <v>165</v>
      </c>
      <c r="J306" s="185">
        <f t="shared" si="487"/>
        <v>3.1593905768161998</v>
      </c>
      <c r="K306" s="191" t="str">
        <f>IF(U306="Yes",UPPER(IF(ISNUMBER(SEARCH("winding",VLOOKUP(CONCATENATE(P306,Q306,S306,E306),TMK[[Limiting Equipment Reference-PTX]:[Summ Equipment]],7,0))),"Power Transformer Rating at "&amp;ROUND(E306*S306*SQRT(3)/1000,2)&amp;" MVA",VLOOKUP(CONCATENATE(P306,Q306,S306,E306),TMK[[Limiting Equipment Reference-No PTX]:[Summ Equipment]],8,0))),UPPER(VLOOKUP(CONCATENATE(P306,Q306,S306,E306),TMK[[Limiting Equipment Reference-No PTX]:[Summ Equipment]],8,0)))</f>
        <v>OH LINE-MINK</v>
      </c>
      <c r="L306" s="379" t="s">
        <v>1267</v>
      </c>
      <c r="M306" s="511" t="s">
        <v>1267</v>
      </c>
      <c r="O306" s="514" t="str">
        <f t="shared" si="498"/>
        <v>GLD-G194</v>
      </c>
      <c r="P306" s="374" t="s">
        <v>1276</v>
      </c>
      <c r="Q306" s="374" t="s">
        <v>96</v>
      </c>
      <c r="R306" s="387"/>
      <c r="S306" s="175">
        <v>11.055</v>
      </c>
      <c r="T306" s="379" t="s">
        <v>1266</v>
      </c>
      <c r="U306" s="379" t="s">
        <v>1266</v>
      </c>
      <c r="V306" s="488"/>
      <c r="X306" s="503" t="s">
        <v>542</v>
      </c>
      <c r="Y306" s="433" t="s">
        <v>2636</v>
      </c>
      <c r="Z306" s="434">
        <v>190</v>
      </c>
      <c r="AA306" s="442" t="str">
        <f t="shared" si="499"/>
        <v>q</v>
      </c>
      <c r="AB306" s="451">
        <f t="shared" si="489"/>
        <v>0</v>
      </c>
      <c r="AC306" s="451">
        <f t="shared" si="490"/>
        <v>0</v>
      </c>
      <c r="AD306" s="451">
        <f t="shared" si="491"/>
        <v>1.3733927798552941</v>
      </c>
      <c r="AE306" s="451">
        <f t="shared" si="492"/>
        <v>2.6297480042074071E-2</v>
      </c>
      <c r="AF306" s="434">
        <v>350</v>
      </c>
      <c r="AG306" s="437" t="str">
        <f t="shared" si="500"/>
        <v>u</v>
      </c>
      <c r="AH306" s="451">
        <f t="shared" si="494"/>
        <v>0</v>
      </c>
      <c r="AI306" s="451">
        <f t="shared" si="495"/>
        <v>0</v>
      </c>
      <c r="AJ306" s="451">
        <f t="shared" si="496"/>
        <v>0</v>
      </c>
      <c r="AK306" s="451">
        <f t="shared" si="497"/>
        <v>0</v>
      </c>
      <c r="AL306" s="471" t="s">
        <v>1267</v>
      </c>
    </row>
    <row r="307" spans="2:39" hidden="1" x14ac:dyDescent="0.25">
      <c r="X307" s="427" t="s">
        <v>85</v>
      </c>
      <c r="AB307" s="449">
        <f>SUM(AB302:AB306)</f>
        <v>370.23745009071985</v>
      </c>
      <c r="AC307" s="449">
        <f t="shared" ref="AC307:AE307" si="502">SUM(AC302:AC306)</f>
        <v>8.9185361777152625</v>
      </c>
      <c r="AD307" s="449">
        <f t="shared" si="502"/>
        <v>119.37339277985524</v>
      </c>
      <c r="AE307" s="449">
        <f t="shared" si="502"/>
        <v>2.2857404380075979</v>
      </c>
      <c r="AH307" s="449">
        <f>SUM(AH302:AH306)</f>
        <v>0</v>
      </c>
      <c r="AI307" s="449">
        <f t="shared" ref="AI307:AK307" si="503">SUM(AI302:AI306)</f>
        <v>0</v>
      </c>
      <c r="AJ307" s="449">
        <f t="shared" si="503"/>
        <v>2</v>
      </c>
      <c r="AK307" s="449">
        <f t="shared" si="503"/>
        <v>3.8295643355347873E-2</v>
      </c>
    </row>
    <row r="308" spans="2:39" ht="27" hidden="1" thickBot="1" x14ac:dyDescent="0.3">
      <c r="B308" s="551" t="s">
        <v>2638</v>
      </c>
      <c r="C308" s="552"/>
      <c r="D308" s="552"/>
      <c r="E308" s="552"/>
      <c r="F308" s="552"/>
      <c r="G308" s="552"/>
      <c r="H308" s="552"/>
      <c r="I308" s="552"/>
      <c r="J308" s="552"/>
      <c r="K308" s="552"/>
      <c r="L308" s="552"/>
      <c r="M308" s="553"/>
      <c r="O308" s="551" t="s">
        <v>2391</v>
      </c>
      <c r="P308" s="552"/>
      <c r="Q308" s="552"/>
      <c r="R308" s="552"/>
      <c r="S308" s="552"/>
      <c r="T308" s="552"/>
      <c r="U308" s="552"/>
      <c r="V308" s="553"/>
      <c r="X308" s="586" t="str">
        <f>B308&amp;"-OLD"</f>
        <v>RANGITATA (D1479)-OLD</v>
      </c>
      <c r="Y308" s="587"/>
      <c r="Z308" s="587"/>
      <c r="AA308" s="587"/>
      <c r="AB308" s="587"/>
      <c r="AC308" s="587"/>
      <c r="AD308" s="587"/>
      <c r="AE308" s="587"/>
      <c r="AF308" s="587"/>
      <c r="AG308" s="587"/>
      <c r="AH308" s="587"/>
      <c r="AI308" s="587"/>
      <c r="AJ308" s="587"/>
      <c r="AK308" s="587"/>
      <c r="AL308" s="588"/>
      <c r="AM308" s="481"/>
    </row>
    <row r="309" spans="2:39" ht="15.75" hidden="1" thickBot="1" x14ac:dyDescent="0.3">
      <c r="B309" s="571" t="str">
        <f t="shared" ref="B309:G309" si="504">B6</f>
        <v>CB ID</v>
      </c>
      <c r="C309" s="545" t="str">
        <f t="shared" si="504"/>
        <v>DESIGNATION</v>
      </c>
      <c r="D309" s="382" t="str">
        <f t="shared" si="504"/>
        <v>Rated</v>
      </c>
      <c r="E309" s="572" t="str">
        <f t="shared" si="504"/>
        <v>LOAD
CAPABILITY</v>
      </c>
      <c r="F309" s="572" t="str">
        <f t="shared" si="504"/>
        <v>OC
PICKUP</v>
      </c>
      <c r="G309" s="548" t="str">
        <f t="shared" si="504"/>
        <v>SCADA ALARM</v>
      </c>
      <c r="H309" s="549"/>
      <c r="I309" s="549"/>
      <c r="J309" s="550"/>
      <c r="K309" s="574" t="str">
        <f>K6</f>
        <v>LIMITING EQUIPMENT</v>
      </c>
      <c r="L309" s="575" t="str">
        <f>L6</f>
        <v>RECLOSING</v>
      </c>
      <c r="M309" s="576"/>
      <c r="O309" s="554" t="str">
        <f t="shared" ref="O309:V309" si="505">O6</f>
        <v>OC Pick up
Reference ID</v>
      </c>
      <c r="P309" s="557" t="str">
        <f t="shared" si="505"/>
        <v>Supply Level</v>
      </c>
      <c r="Q309" s="566" t="str">
        <f t="shared" si="505"/>
        <v>Station/Feeder</v>
      </c>
      <c r="R309" s="567" t="str">
        <f t="shared" si="505"/>
        <v>Refered
to PTX</v>
      </c>
      <c r="S309" s="569" t="str">
        <f t="shared" si="505"/>
        <v>Voltage</v>
      </c>
      <c r="T309" s="539" t="str">
        <f t="shared" si="505"/>
        <v>Include
CB</v>
      </c>
      <c r="U309" s="539" t="str">
        <f t="shared" si="505"/>
        <v>Include
PTX</v>
      </c>
      <c r="V309" s="542" t="str">
        <f t="shared" si="505"/>
        <v>Notes</v>
      </c>
      <c r="X309" s="585" t="s">
        <v>1260</v>
      </c>
      <c r="Y309" s="545" t="s">
        <v>1261</v>
      </c>
      <c r="Z309" s="559" t="s">
        <v>2749</v>
      </c>
      <c r="AA309" s="560"/>
      <c r="AB309" s="560"/>
      <c r="AC309" s="560"/>
      <c r="AD309" s="560"/>
      <c r="AE309" s="561"/>
      <c r="AF309" s="559" t="s">
        <v>1268</v>
      </c>
      <c r="AG309" s="560"/>
      <c r="AH309" s="560"/>
      <c r="AI309" s="560"/>
      <c r="AJ309" s="560"/>
      <c r="AK309" s="561"/>
      <c r="AL309" s="546" t="s">
        <v>2857</v>
      </c>
      <c r="AM309" s="466"/>
    </row>
    <row r="310" spans="2:39" ht="15.75" hidden="1" thickBot="1" x14ac:dyDescent="0.3">
      <c r="B310" s="557"/>
      <c r="C310" s="540"/>
      <c r="D310" s="362" t="str">
        <f>D7</f>
        <v>Voltage</v>
      </c>
      <c r="E310" s="573"/>
      <c r="F310" s="573"/>
      <c r="G310" s="548" t="str">
        <f>G7</f>
        <v>Pre-Emergency</v>
      </c>
      <c r="H310" s="550"/>
      <c r="I310" s="548" t="str">
        <f>I7</f>
        <v>Emergency</v>
      </c>
      <c r="J310" s="550"/>
      <c r="K310" s="540"/>
      <c r="L310" s="545" t="str">
        <f>L7</f>
        <v>AVAILABLE</v>
      </c>
      <c r="M310" s="546" t="str">
        <f>M7</f>
        <v>UTILISED</v>
      </c>
      <c r="O310" s="555"/>
      <c r="P310" s="557"/>
      <c r="Q310" s="557"/>
      <c r="R310" s="567"/>
      <c r="S310" s="569"/>
      <c r="T310" s="540"/>
      <c r="U310" s="540"/>
      <c r="V310" s="542"/>
      <c r="X310" s="555"/>
      <c r="Y310" s="540"/>
      <c r="Z310" s="589"/>
      <c r="AA310" s="590"/>
      <c r="AB310" s="590"/>
      <c r="AC310" s="590"/>
      <c r="AD310" s="590"/>
      <c r="AE310" s="591"/>
      <c r="AF310" s="589"/>
      <c r="AG310" s="590"/>
      <c r="AH310" s="590"/>
      <c r="AI310" s="590"/>
      <c r="AJ310" s="590"/>
      <c r="AK310" s="591"/>
      <c r="AL310" s="577"/>
      <c r="AM310" s="466"/>
    </row>
    <row r="311" spans="2:39" ht="15.75" hidden="1" thickBot="1" x14ac:dyDescent="0.3">
      <c r="B311" s="558"/>
      <c r="C311" s="541"/>
      <c r="D311" s="345" t="str">
        <f>D8</f>
        <v>(kV)</v>
      </c>
      <c r="E311" s="345" t="str">
        <f>E8</f>
        <v>(A)</v>
      </c>
      <c r="F311" s="345" t="str">
        <f>F8</f>
        <v>(A)</v>
      </c>
      <c r="G311" s="406" t="str">
        <f>G8</f>
        <v>(A)</v>
      </c>
      <c r="H311" s="407" t="str">
        <f>H8</f>
        <v>(MVA)</v>
      </c>
      <c r="I311" s="406" t="str">
        <f>I8</f>
        <v>(A)</v>
      </c>
      <c r="J311" s="407" t="str">
        <f>J8</f>
        <v>(MVA)</v>
      </c>
      <c r="K311" s="541"/>
      <c r="L311" s="541"/>
      <c r="M311" s="547"/>
      <c r="O311" s="556"/>
      <c r="P311" s="558"/>
      <c r="Q311" s="558"/>
      <c r="R311" s="568"/>
      <c r="S311" s="570"/>
      <c r="T311" s="541"/>
      <c r="U311" s="541"/>
      <c r="V311" s="543"/>
      <c r="X311" s="556"/>
      <c r="Y311" s="541"/>
      <c r="Z311" s="428" t="s">
        <v>26</v>
      </c>
      <c r="AA311" s="439" t="s">
        <v>2861</v>
      </c>
      <c r="AB311" s="450" t="s">
        <v>2959</v>
      </c>
      <c r="AC311" s="450" t="s">
        <v>2960</v>
      </c>
      <c r="AD311" s="450" t="s">
        <v>2957</v>
      </c>
      <c r="AE311" s="450" t="s">
        <v>2958</v>
      </c>
      <c r="AF311" s="428" t="s">
        <v>26</v>
      </c>
      <c r="AG311" s="439" t="s">
        <v>2861</v>
      </c>
      <c r="AH311" s="450" t="s">
        <v>2959</v>
      </c>
      <c r="AI311" s="450" t="s">
        <v>2960</v>
      </c>
      <c r="AJ311" s="450" t="s">
        <v>2957</v>
      </c>
      <c r="AK311" s="450" t="s">
        <v>2958</v>
      </c>
      <c r="AL311" s="547"/>
      <c r="AM311" s="466"/>
    </row>
    <row r="312" spans="2:39" hidden="1" x14ac:dyDescent="0.25">
      <c r="B312" s="38" t="s">
        <v>2840</v>
      </c>
      <c r="C312" s="3" t="s">
        <v>2639</v>
      </c>
      <c r="D312" s="61">
        <f t="shared" ref="D312:D313" si="506">ROUNDDOWN(S312,0)</f>
        <v>33</v>
      </c>
      <c r="E312" s="369">
        <f t="array" ref="E312">IF(U312="YES",IF(T312="YES",MIN(IF(TMK[Load Capability Reference]=CONCATENATE(P312,Q312,S312,R312),TMK[Lowest A-PTX])),MIN(IF(TMK[Load Capability Reference]=CONCATENATE(P312,Q312,S312,R312),IF(TMK[Equipment ID]&lt;&gt;O312,TMK[Lowest A-PTX])))),IF(T312="YES",MIN(IF(TMK[Load Capability Reference]=CONCATENATE(P312,Q312,S312,R312),TMK[Lowest A-No PTX])),MIN(IF(TMK[Load Capability Reference]=CONCATENATE(P312,Q312,S312,R312),IF(TMK[Equipment ID]&lt;&gt;O312,TMK[Lowest A-No PTX])))))</f>
        <v>171.86112674573607</v>
      </c>
      <c r="F312" s="61">
        <f>IFERROR(IFERROR(VLOOKUP(CONCATENATE(P312,Q312,O312,S312,"Protection"),TMK[[OC Protection Reference]:[Forward A]],23,0),VLOOKUP(O312,AEL_Protection_Data[],12,0)),"N/A")</f>
        <v>402</v>
      </c>
      <c r="G312" s="61">
        <f t="shared" ref="G312:G323" si="507">IFERROR(FLOOR(MIN(E312:F312)*$D$3,5),"")</f>
        <v>135</v>
      </c>
      <c r="H312" s="5">
        <f t="shared" ref="H312:H323" si="508">G312*S312*SQRT(3)/1000</f>
        <v>7.8551795019782968</v>
      </c>
      <c r="I312" s="61">
        <f t="shared" ref="I312:I323" si="509">IFERROR(FLOOR(MIN(E312:F312)*$D$2,5),"")</f>
        <v>150</v>
      </c>
      <c r="J312" s="5">
        <f t="shared" ref="J312:J323" si="510">I312*S312*SQRT(3)/1000</f>
        <v>8.7279772244203304</v>
      </c>
      <c r="K312" s="3" t="str">
        <f>IF(U312="Yes",UPPER(IF(ISNUMBER(SEARCH("winding",VLOOKUP(CONCATENATE(P312,Q312,S312,E312),TMK[[Limiting Equipment Reference-PTX]:[Summ Equipment]],7,0))),"Power Transformer Rating at "&amp;ROUND(E312*S312*SQRT(3)/1000,2)&amp;" MVA",VLOOKUP(CONCATENATE(P312,Q312,S312,E312),TMK[[Limiting Equipment Reference-No PTX]:[Summ Equipment]],8,0))),UPPER(VLOOKUP(CONCATENATE(P312,Q312,S312,E312),TMK[[Limiting Equipment Reference-No PTX]:[Summ Equipment]],8,0)))</f>
        <v>AEL-FONTERRA CONTRACTUAL-10 MW LIMIT</v>
      </c>
      <c r="L312" s="4" t="s">
        <v>1266</v>
      </c>
      <c r="M312" s="508" t="s">
        <v>1162</v>
      </c>
      <c r="O312" s="10" t="str">
        <f>"RGA_T1-"&amp;B312</f>
        <v>RGA_T1-CB1522</v>
      </c>
      <c r="P312" s="38" t="s">
        <v>1245</v>
      </c>
      <c r="Q312" s="38" t="s">
        <v>86</v>
      </c>
      <c r="R312" s="389"/>
      <c r="S312" s="139">
        <v>33.594000000000001</v>
      </c>
      <c r="T312" s="4" t="s">
        <v>1267</v>
      </c>
      <c r="U312" s="4" t="s">
        <v>1267</v>
      </c>
      <c r="V312" s="486"/>
      <c r="X312" s="494" t="s">
        <v>2840</v>
      </c>
      <c r="Y312" s="429" t="s">
        <v>2926</v>
      </c>
      <c r="Z312" s="430">
        <v>262</v>
      </c>
      <c r="AA312" s="440" t="str">
        <f t="shared" ref="AA312:AA313" si="511">IF(Z312&gt;E312,"q",IF(Z312&lt;E312,"p","u"))</f>
        <v>q</v>
      </c>
      <c r="AB312" s="453">
        <f t="shared" ref="AB312:AB323" si="512">IF(Z312="",0,IF(Z312-E312&lt;0,ABS(Z312-E312),0))</f>
        <v>0</v>
      </c>
      <c r="AC312" s="453">
        <f t="shared" ref="AC312:AC323" si="513">AB312*$S312*SQRT(3)/1000</f>
        <v>0</v>
      </c>
      <c r="AD312" s="453">
        <f t="shared" ref="AD312:AD323" si="514">IF(Z312="",0,IF(Z312-E312&gt;0,ABS(Z312-E312),0))</f>
        <v>90.138873254263927</v>
      </c>
      <c r="AE312" s="453">
        <f t="shared" ref="AE312:AE323" si="515">AD312*$S312*SQRT(3)/1000</f>
        <v>5.2448668853208416</v>
      </c>
      <c r="AF312" s="430">
        <v>402</v>
      </c>
      <c r="AG312" s="435" t="str">
        <f t="shared" ref="AG312:AG313" si="516">IF(AF312&gt;F312,"q",IF(AF312&lt;F312,"p","u"))</f>
        <v>u</v>
      </c>
      <c r="AH312" s="453">
        <f t="shared" ref="AH312:AH323" si="517">IF(AF312="",0,IF(AF312-F312&lt;0,ABS(AF312-F312),0))</f>
        <v>0</v>
      </c>
      <c r="AI312" s="453">
        <f t="shared" ref="AI312:AI323" si="518">AH312*$S312*SQRT(3)/1000</f>
        <v>0</v>
      </c>
      <c r="AJ312" s="453">
        <f t="shared" ref="AJ312:AJ323" si="519">IF(AF312="",0,IF(AF312-F312&gt;0,ABS(AF312-F312),0))</f>
        <v>0</v>
      </c>
      <c r="AK312" s="453">
        <f t="shared" ref="AK312:AK323" si="520">AJ312*$S312*SQRT(3)/1000</f>
        <v>0</v>
      </c>
      <c r="AL312" s="469" t="s">
        <v>1266</v>
      </c>
    </row>
    <row r="313" spans="2:39" hidden="1" x14ac:dyDescent="0.25">
      <c r="B313" s="49" t="s">
        <v>2841</v>
      </c>
      <c r="C313" s="6" t="s">
        <v>2640</v>
      </c>
      <c r="D313" s="119">
        <f t="shared" si="506"/>
        <v>33</v>
      </c>
      <c r="E313" s="370">
        <f t="array" ref="E313">IF(U313="YES",IF(T313="YES",MIN(IF(TMK[Load Capability Reference]=CONCATENATE(P313,Q313,S313,R313),TMK[Lowest A-PTX])),MIN(IF(TMK[Load Capability Reference]=CONCATENATE(P313,Q313,S313,R313),IF(TMK[Equipment ID]&lt;&gt;O313,TMK[Lowest A-PTX])))),IF(T313="YES",MIN(IF(TMK[Load Capability Reference]=CONCATENATE(P313,Q313,S313,R313),TMK[Lowest A-No PTX])),MIN(IF(TMK[Load Capability Reference]=CONCATENATE(P313,Q313,S313,R313),IF(TMK[Equipment ID]&lt;&gt;O313,TMK[Lowest A-No PTX])))))</f>
        <v>207.23079999999999</v>
      </c>
      <c r="F313" s="119">
        <f>IFERROR(IFERROR(VLOOKUP(CONCATENATE(P313,Q313,O313,S313,"Protection"),TMK[[OC Protection Reference]:[Forward A]],23,0),VLOOKUP(O313,AEL_Protection_Data[],12,0)),"N/A")</f>
        <v>402</v>
      </c>
      <c r="G313" s="119">
        <f t="shared" si="507"/>
        <v>165</v>
      </c>
      <c r="H313" s="29">
        <f t="shared" si="508"/>
        <v>9.6007749468623622</v>
      </c>
      <c r="I313" s="119">
        <f t="shared" si="509"/>
        <v>185</v>
      </c>
      <c r="J313" s="29">
        <f t="shared" si="510"/>
        <v>10.76450524345174</v>
      </c>
      <c r="K313" s="6" t="str">
        <f>IF(U313="Yes",UPPER(IF(ISNUMBER(SEARCH("winding",VLOOKUP(CONCATENATE(P313,Q313,S313,E313),TMK[[Limiting Equipment Reference-PTX]:[Summ Equipment]],7,0))),"Power Transformer Rating at "&amp;ROUND(E313*S313*SQRT(3)/1000,2)&amp;" MVA",VLOOKUP(CONCATENATE(P313,Q313,S313,E313),TMK[[Limiting Equipment Reference-No PTX]:[Summ Equipment]],8,0))),UPPER(VLOOKUP(CONCATENATE(P313,Q313,S313,E313),TMK[[Limiting Equipment Reference-No PTX]:[Summ Equipment]],8,0)))</f>
        <v>CABLE-1-3C 95 MM² AL XLPE</v>
      </c>
      <c r="L313" s="146" t="s">
        <v>1266</v>
      </c>
      <c r="M313" s="509" t="s">
        <v>1162</v>
      </c>
      <c r="O313" s="118" t="str">
        <f>"RGA_T2-"&amp;B313</f>
        <v>RGA_T2-CB1562</v>
      </c>
      <c r="P313" s="49" t="s">
        <v>1245</v>
      </c>
      <c r="Q313" s="49" t="s">
        <v>87</v>
      </c>
      <c r="R313" s="386"/>
      <c r="S313" s="43">
        <v>33.594000000000001</v>
      </c>
      <c r="T313" s="146" t="s">
        <v>1266</v>
      </c>
      <c r="U313" s="146" t="s">
        <v>1267</v>
      </c>
      <c r="V313" s="487"/>
      <c r="X313" s="495" t="s">
        <v>2841</v>
      </c>
      <c r="Y313" s="431" t="s">
        <v>2936</v>
      </c>
      <c r="Z313" s="432">
        <v>262</v>
      </c>
      <c r="AA313" s="441" t="str">
        <f t="shared" si="511"/>
        <v>q</v>
      </c>
      <c r="AB313" s="134">
        <f t="shared" si="512"/>
        <v>0</v>
      </c>
      <c r="AC313" s="134">
        <f t="shared" si="513"/>
        <v>0</v>
      </c>
      <c r="AD313" s="134">
        <f t="shared" si="514"/>
        <v>54.769200000000012</v>
      </c>
      <c r="AE313" s="134">
        <f t="shared" si="515"/>
        <v>3.1868288679981465</v>
      </c>
      <c r="AF313" s="432">
        <v>402</v>
      </c>
      <c r="AG313" s="436" t="str">
        <f t="shared" si="516"/>
        <v>u</v>
      </c>
      <c r="AH313" s="134">
        <f t="shared" si="517"/>
        <v>0</v>
      </c>
      <c r="AI313" s="134">
        <f t="shared" si="518"/>
        <v>0</v>
      </c>
      <c r="AJ313" s="134">
        <f t="shared" si="519"/>
        <v>0</v>
      </c>
      <c r="AK313" s="134">
        <f t="shared" si="520"/>
        <v>0</v>
      </c>
      <c r="AL313" s="470" t="s">
        <v>1266</v>
      </c>
    </row>
    <row r="314" spans="2:39" hidden="1" x14ac:dyDescent="0.25">
      <c r="B314" s="49" t="s">
        <v>587</v>
      </c>
      <c r="C314" s="168" t="s">
        <v>2641</v>
      </c>
      <c r="D314" s="119">
        <f>ROUNDDOWN(S314,0)</f>
        <v>11</v>
      </c>
      <c r="E314" s="370">
        <f t="array" ref="E314">IF(U314="YES",IF(T314="YES",MIN(IF(TMK[Load Capability Reference]=CONCATENATE(P314,Q314,S314,R314),TMK[Lowest A-PTX])),MIN(IF(TMK[Load Capability Reference]=CONCATENATE(P314,Q314,S314,R314),IF(TMK[Equipment ID]&lt;&gt;O314,TMK[Lowest A-PTX])))),IF(T314="YES",MIN(IF(TMK[Load Capability Reference]=CONCATENATE(P314,Q314,S314,R314),TMK[Lowest A-No PTX])),MIN(IF(TMK[Load Capability Reference]=CONCATENATE(P314,Q314,S314,R314),IF(TMK[Equipment ID]&lt;&gt;O314,TMK[Lowest A-No PTX])))))</f>
        <v>771.85864864923235</v>
      </c>
      <c r="F314" s="119">
        <f>IFERROR(IFERROR(VLOOKUP(CONCATENATE(P314,Q314,O314,S314,"Protection"),TMK[[OC Protection Reference]:[Forward A]],23,0),VLOOKUP(O314,AEL_Protection_Data[],12,0)),"N/A")</f>
        <v>1048</v>
      </c>
      <c r="G314" s="119">
        <f t="shared" si="507"/>
        <v>615</v>
      </c>
      <c r="H314" s="29">
        <f t="shared" si="508"/>
        <v>11.951670187467524</v>
      </c>
      <c r="I314" s="119">
        <f t="shared" si="509"/>
        <v>690</v>
      </c>
      <c r="J314" s="29">
        <f t="shared" si="510"/>
        <v>13.409190942036734</v>
      </c>
      <c r="K314" s="6" t="str">
        <f>IF(U314="Yes",UPPER(IF(ISNUMBER(SEARCH("winding",VLOOKUP(CONCATENATE(P314,Q314,S314,E314),TMK[[Limiting Equipment Reference-PTX]:[Summ Equipment]],7,0))),"Power Transformer Rating at "&amp;ROUND(E314*S314*SQRT(3)/1000,2)&amp;" MVA",VLOOKUP(CONCATENATE(P314,Q314,S314,E314),TMK[[Limiting Equipment Reference-No PTX]:[Summ Equipment]],8,0))),UPPER(VLOOKUP(CONCATENATE(P314,Q314,S314,E314),TMK[[Limiting Equipment Reference-No PTX]:[Summ Equipment]],8,0)))</f>
        <v>POWER TRANSFORMER RATING AT 15 MVA</v>
      </c>
      <c r="L314" s="146" t="s">
        <v>1266</v>
      </c>
      <c r="M314" s="509" t="s">
        <v>1162</v>
      </c>
      <c r="O314" s="118" t="str">
        <f>"RGA_T1-"&amp;B314</f>
        <v>RGA_T1-CB35</v>
      </c>
      <c r="P314" s="49" t="s">
        <v>1246</v>
      </c>
      <c r="Q314" s="49" t="s">
        <v>86</v>
      </c>
      <c r="R314" s="386"/>
      <c r="S314" s="43">
        <v>11.22</v>
      </c>
      <c r="T314" s="146" t="s">
        <v>1266</v>
      </c>
      <c r="U314" s="146" t="s">
        <v>1267</v>
      </c>
      <c r="V314" s="487"/>
      <c r="X314" s="495" t="s">
        <v>587</v>
      </c>
      <c r="Y314" s="431" t="s">
        <v>2937</v>
      </c>
      <c r="Z314" s="432">
        <v>810</v>
      </c>
      <c r="AA314" s="441" t="str">
        <f t="shared" ref="AA314:AA323" si="521">IF(Z314&gt;E314,"q",IF(Z314&lt;E314,"p","u"))</f>
        <v>q</v>
      </c>
      <c r="AB314" s="134">
        <f t="shared" si="512"/>
        <v>0</v>
      </c>
      <c r="AC314" s="134">
        <f t="shared" si="513"/>
        <v>0</v>
      </c>
      <c r="AD314" s="134">
        <f t="shared" si="514"/>
        <v>38.14135135076765</v>
      </c>
      <c r="AE314" s="134">
        <f t="shared" si="515"/>
        <v>0.74122414934746972</v>
      </c>
      <c r="AF314" s="432">
        <v>1048</v>
      </c>
      <c r="AG314" s="436" t="str">
        <f t="shared" ref="AG314:AG323" si="522">IF(AF314&gt;F314,"q",IF(AF314&lt;F314,"p","u"))</f>
        <v>u</v>
      </c>
      <c r="AH314" s="134">
        <f t="shared" si="517"/>
        <v>0</v>
      </c>
      <c r="AI314" s="134">
        <f t="shared" si="518"/>
        <v>0</v>
      </c>
      <c r="AJ314" s="134">
        <f t="shared" si="519"/>
        <v>0</v>
      </c>
      <c r="AK314" s="134">
        <f t="shared" si="520"/>
        <v>0</v>
      </c>
      <c r="AL314" s="470" t="s">
        <v>1266</v>
      </c>
    </row>
    <row r="315" spans="2:39" hidden="1" x14ac:dyDescent="0.25">
      <c r="B315" s="49" t="s">
        <v>588</v>
      </c>
      <c r="C315" s="168" t="s">
        <v>2642</v>
      </c>
      <c r="D315" s="119">
        <f t="shared" ref="D315:D323" si="523">ROUNDDOWN(S315,0)</f>
        <v>11</v>
      </c>
      <c r="E315" s="370">
        <f t="array" ref="E315">IF(U315="YES",IF(T315="YES",MIN(IF(TMK[Load Capability Reference]=CONCATENATE(P315,Q315,S315,R315),TMK[Lowest A-PTX])),MIN(IF(TMK[Load Capability Reference]=CONCATENATE(P315,Q315,S315,R315),IF(TMK[Equipment ID]&lt;&gt;O315,TMK[Lowest A-PTX])))),IF(T315="YES",MIN(IF(TMK[Load Capability Reference]=CONCATENATE(P315,Q315,S315,R315),TMK[Lowest A-No PTX])),MIN(IF(TMK[Load Capability Reference]=CONCATENATE(P315,Q315,S315,R315),IF(TMK[Equipment ID]&lt;&gt;O315,TMK[Lowest A-No PTX])))))</f>
        <v>771.85864864923235</v>
      </c>
      <c r="F315" s="119">
        <f>IFERROR(IFERROR(VLOOKUP(CONCATENATE(P315,Q315,O315,S315,"Protection"),TMK[[OC Protection Reference]:[Forward A]],23,0),VLOOKUP(O315,AEL_Protection_Data[],12,0)),"N/A")</f>
        <v>1048</v>
      </c>
      <c r="G315" s="119">
        <f t="shared" si="507"/>
        <v>615</v>
      </c>
      <c r="H315" s="29">
        <f t="shared" si="508"/>
        <v>11.951670187467524</v>
      </c>
      <c r="I315" s="119">
        <f t="shared" si="509"/>
        <v>690</v>
      </c>
      <c r="J315" s="29">
        <f t="shared" si="510"/>
        <v>13.409190942036734</v>
      </c>
      <c r="K315" s="6" t="str">
        <f>IF(U315="Yes",UPPER(IF(ISNUMBER(SEARCH("winding",VLOOKUP(CONCATENATE(P315,Q315,S315,E315),TMK[[Limiting Equipment Reference-PTX]:[Summ Equipment]],7,0))),"Power Transformer Rating at "&amp;ROUND(E315*S315*SQRT(3)/1000,2)&amp;" MVA",VLOOKUP(CONCATENATE(P315,Q315,S315,E315),TMK[[Limiting Equipment Reference-No PTX]:[Summ Equipment]],8,0))),UPPER(VLOOKUP(CONCATENATE(P315,Q315,S315,E315),TMK[[Limiting Equipment Reference-No PTX]:[Summ Equipment]],8,0)))</f>
        <v>POWER TRANSFORMER RATING AT 15 MVA</v>
      </c>
      <c r="L315" s="146" t="s">
        <v>1266</v>
      </c>
      <c r="M315" s="509" t="s">
        <v>1162</v>
      </c>
      <c r="O315" s="118" t="str">
        <f>"RGA_T2-"&amp;B315</f>
        <v>RGA_T2-CB36</v>
      </c>
      <c r="P315" s="49" t="s">
        <v>1246</v>
      </c>
      <c r="Q315" s="49" t="s">
        <v>87</v>
      </c>
      <c r="R315" s="386"/>
      <c r="S315" s="43">
        <v>11.22</v>
      </c>
      <c r="T315" s="146" t="s">
        <v>1266</v>
      </c>
      <c r="U315" s="146" t="s">
        <v>1267</v>
      </c>
      <c r="V315" s="487"/>
      <c r="X315" s="495" t="s">
        <v>588</v>
      </c>
      <c r="Y315" s="431" t="s">
        <v>2938</v>
      </c>
      <c r="Z315" s="432">
        <v>928</v>
      </c>
      <c r="AA315" s="441" t="str">
        <f t="shared" si="521"/>
        <v>q</v>
      </c>
      <c r="AB315" s="134">
        <f t="shared" si="512"/>
        <v>0</v>
      </c>
      <c r="AC315" s="134">
        <f t="shared" si="513"/>
        <v>0</v>
      </c>
      <c r="AD315" s="134">
        <f t="shared" si="514"/>
        <v>156.14135135076765</v>
      </c>
      <c r="AE315" s="134">
        <f t="shared" si="515"/>
        <v>3.034390136536361</v>
      </c>
      <c r="AF315" s="432">
        <v>1048</v>
      </c>
      <c r="AG315" s="436" t="str">
        <f t="shared" si="522"/>
        <v>u</v>
      </c>
      <c r="AH315" s="134">
        <f t="shared" si="517"/>
        <v>0</v>
      </c>
      <c r="AI315" s="134">
        <f t="shared" si="518"/>
        <v>0</v>
      </c>
      <c r="AJ315" s="134">
        <f t="shared" si="519"/>
        <v>0</v>
      </c>
      <c r="AK315" s="134">
        <f t="shared" si="520"/>
        <v>0</v>
      </c>
      <c r="AL315" s="470" t="s">
        <v>1266</v>
      </c>
    </row>
    <row r="316" spans="2:39" hidden="1" x14ac:dyDescent="0.25">
      <c r="B316" s="49" t="s">
        <v>2464</v>
      </c>
      <c r="C316" s="168" t="s">
        <v>2644</v>
      </c>
      <c r="D316" s="119">
        <f t="shared" ref="D316:D320" si="524">ROUNDDOWN(S316,0)</f>
        <v>11</v>
      </c>
      <c r="E316" s="370">
        <v>800</v>
      </c>
      <c r="F316" s="119">
        <f>IFERROR(IFERROR(VLOOKUP(CONCATENATE(P316,Q316,O316,S316,"Protection"),TMK[[OC Protection Reference]:[Forward A]],23,0),VLOOKUP(O316,AEL_Protection_Data[],12,0)),"N/A")</f>
        <v>600</v>
      </c>
      <c r="G316" s="119">
        <f t="shared" si="507"/>
        <v>480</v>
      </c>
      <c r="H316" s="29">
        <f t="shared" si="508"/>
        <v>9.3281328292429464</v>
      </c>
      <c r="I316" s="119">
        <f t="shared" si="509"/>
        <v>540</v>
      </c>
      <c r="J316" s="29">
        <f t="shared" ref="J316:J320" si="525">I316*S316*SQRT(3)/1000</f>
        <v>10.494149432898313</v>
      </c>
      <c r="K316" s="6" t="s">
        <v>2651</v>
      </c>
      <c r="L316" s="146" t="s">
        <v>1266</v>
      </c>
      <c r="M316" s="509" t="s">
        <v>1162</v>
      </c>
      <c r="O316" s="118" t="str">
        <f>"RGA_T2-"&amp;B316</f>
        <v>RGA_T2-CB31</v>
      </c>
      <c r="P316" s="49" t="s">
        <v>1246</v>
      </c>
      <c r="Q316" s="49" t="s">
        <v>87</v>
      </c>
      <c r="R316" s="386"/>
      <c r="S316" s="43">
        <v>11.22</v>
      </c>
      <c r="T316" s="146" t="s">
        <v>1266</v>
      </c>
      <c r="U316" s="146" t="s">
        <v>1266</v>
      </c>
      <c r="V316" s="487" t="s">
        <v>2827</v>
      </c>
      <c r="X316" s="495" t="s">
        <v>2464</v>
      </c>
      <c r="Y316" s="431" t="s">
        <v>2939</v>
      </c>
      <c r="Z316" s="432">
        <v>810</v>
      </c>
      <c r="AA316" s="441" t="str">
        <f t="shared" si="521"/>
        <v>q</v>
      </c>
      <c r="AB316" s="134">
        <f t="shared" si="512"/>
        <v>0</v>
      </c>
      <c r="AC316" s="134">
        <f t="shared" si="513"/>
        <v>0</v>
      </c>
      <c r="AD316" s="134">
        <f t="shared" si="514"/>
        <v>10</v>
      </c>
      <c r="AE316" s="134">
        <f t="shared" si="515"/>
        <v>0.19433610060922801</v>
      </c>
      <c r="AF316" s="432">
        <v>600</v>
      </c>
      <c r="AG316" s="436" t="str">
        <f t="shared" si="522"/>
        <v>u</v>
      </c>
      <c r="AH316" s="134">
        <f t="shared" si="517"/>
        <v>0</v>
      </c>
      <c r="AI316" s="134">
        <f t="shared" si="518"/>
        <v>0</v>
      </c>
      <c r="AJ316" s="134">
        <f t="shared" si="519"/>
        <v>0</v>
      </c>
      <c r="AK316" s="134">
        <f t="shared" si="520"/>
        <v>0</v>
      </c>
      <c r="AL316" s="470" t="s">
        <v>1266</v>
      </c>
    </row>
    <row r="317" spans="2:39" hidden="1" x14ac:dyDescent="0.25">
      <c r="B317" s="49" t="s">
        <v>373</v>
      </c>
      <c r="C317" s="168" t="s">
        <v>2643</v>
      </c>
      <c r="D317" s="119">
        <f t="shared" si="524"/>
        <v>11</v>
      </c>
      <c r="E317" s="370">
        <v>800</v>
      </c>
      <c r="F317" s="119">
        <f>IFERROR(IFERROR(VLOOKUP(CONCATENATE(P317,Q317,O317,S317,"Protection"),TMK[[OC Protection Reference]:[Forward A]],23,0),VLOOKUP(O317,AEL_Protection_Data[],12,0)),"N/A")</f>
        <v>600</v>
      </c>
      <c r="G317" s="119">
        <f t="shared" si="507"/>
        <v>480</v>
      </c>
      <c r="H317" s="29">
        <f t="shared" si="508"/>
        <v>9.3281328292429464</v>
      </c>
      <c r="I317" s="119">
        <f t="shared" si="509"/>
        <v>540</v>
      </c>
      <c r="J317" s="29">
        <f t="shared" si="525"/>
        <v>10.494149432898313</v>
      </c>
      <c r="K317" s="6" t="s">
        <v>2651</v>
      </c>
      <c r="L317" s="146" t="s">
        <v>1266</v>
      </c>
      <c r="M317" s="509" t="s">
        <v>1162</v>
      </c>
      <c r="O317" s="118" t="str">
        <f>"RGA_T2-"&amp;B317</f>
        <v>RGA_T2-CB32</v>
      </c>
      <c r="P317" s="49" t="s">
        <v>1246</v>
      </c>
      <c r="Q317" s="49" t="s">
        <v>87</v>
      </c>
      <c r="R317" s="386"/>
      <c r="S317" s="43">
        <v>11.22</v>
      </c>
      <c r="T317" s="146" t="s">
        <v>1266</v>
      </c>
      <c r="U317" s="146" t="s">
        <v>1266</v>
      </c>
      <c r="V317" s="487" t="s">
        <v>2827</v>
      </c>
      <c r="X317" s="495" t="s">
        <v>373</v>
      </c>
      <c r="Y317" s="431" t="s">
        <v>2568</v>
      </c>
      <c r="Z317" s="432">
        <v>810</v>
      </c>
      <c r="AA317" s="441" t="str">
        <f t="shared" si="521"/>
        <v>q</v>
      </c>
      <c r="AB317" s="134">
        <f t="shared" si="512"/>
        <v>0</v>
      </c>
      <c r="AC317" s="134">
        <f t="shared" si="513"/>
        <v>0</v>
      </c>
      <c r="AD317" s="134">
        <f t="shared" si="514"/>
        <v>10</v>
      </c>
      <c r="AE317" s="134">
        <f t="shared" si="515"/>
        <v>0.19433610060922801</v>
      </c>
      <c r="AF317" s="432">
        <v>600</v>
      </c>
      <c r="AG317" s="436" t="str">
        <f t="shared" si="522"/>
        <v>u</v>
      </c>
      <c r="AH317" s="134">
        <f t="shared" si="517"/>
        <v>0</v>
      </c>
      <c r="AI317" s="134">
        <f t="shared" si="518"/>
        <v>0</v>
      </c>
      <c r="AJ317" s="134">
        <f t="shared" si="519"/>
        <v>0</v>
      </c>
      <c r="AK317" s="134">
        <f t="shared" si="520"/>
        <v>0</v>
      </c>
      <c r="AL317" s="470" t="s">
        <v>1266</v>
      </c>
    </row>
    <row r="318" spans="2:39" hidden="1" x14ac:dyDescent="0.25">
      <c r="B318" s="49" t="s">
        <v>507</v>
      </c>
      <c r="C318" s="168" t="s">
        <v>2645</v>
      </c>
      <c r="D318" s="119">
        <f t="shared" si="524"/>
        <v>11</v>
      </c>
      <c r="E318" s="370">
        <f t="array" ref="E318">IF(U318="YES",IF(T318="YES",MIN(IF(TMK[Load Capability Reference]=CONCATENATE(P318,Q318,S318,R318),TMK[Lowest A-PTX])),MIN(IF(TMK[Load Capability Reference]=CONCATENATE(P318,Q318,S318,R318),IF(TMK[Equipment ID]&lt;&gt;O318,TMK[Lowest A-PTX])))),IF(T318="YES",MIN(IF(TMK[Load Capability Reference]=CONCATENATE(P318,Q318,S318,R318),TMK[Lowest A-No PTX])),MIN(IF(TMK[Load Capability Reference]=CONCATENATE(P318,Q318,S318,R318),IF(TMK[Equipment ID]&lt;&gt;O318,TMK[Lowest A-No PTX])))))</f>
        <v>256.85852310343915</v>
      </c>
      <c r="F318" s="119">
        <f>IFERROR(IFERROR(VLOOKUP(CONCATENATE(P318,Q318,O318,S318,"Protection"),TMK[[OC Protection Reference]:[Forward A]],23,0),VLOOKUP(O318,AEL_Protection_Data[],12,0)),"N/A")</f>
        <v>300</v>
      </c>
      <c r="G318" s="119">
        <f t="shared" si="507"/>
        <v>205</v>
      </c>
      <c r="H318" s="29">
        <f t="shared" si="508"/>
        <v>3.9838900624891744</v>
      </c>
      <c r="I318" s="119">
        <f t="shared" si="509"/>
        <v>230</v>
      </c>
      <c r="J318" s="29">
        <f t="shared" si="525"/>
        <v>4.4697303140122449</v>
      </c>
      <c r="K318" s="6" t="str">
        <f>IF(U318="Yes",UPPER(IF(ISNUMBER(SEARCH("winding",VLOOKUP(CONCATENATE(P318,Q318,S318,E318),TMK[[Limiting Equipment Reference-PTX]:[Summ Equipment]],7,0))),"Power Transformer Rating at "&amp;ROUND(E318*S318*SQRT(3)/1000,2)&amp;" MVA",VLOOKUP(CONCATENATE(P318,Q318,S318,E318),TMK[[Limiting Equipment Reference-No PTX]:[Summ Equipment]],8,0))),UPPER(VLOOKUP(CONCATENATE(P318,Q318,S318,E318),TMK[[Limiting Equipment Reference-No PTX]:[Summ Equipment]],8,0)))</f>
        <v>OH LINE-DOG</v>
      </c>
      <c r="L318" s="146" t="s">
        <v>1267</v>
      </c>
      <c r="M318" s="509" t="s">
        <v>1267</v>
      </c>
      <c r="O318" s="118" t="str">
        <f t="shared" ref="O318:O319" si="526">"RGA_T1-"&amp;B318</f>
        <v>RGA_T1-CB2</v>
      </c>
      <c r="P318" s="49" t="s">
        <v>1276</v>
      </c>
      <c r="Q318" s="49" t="s">
        <v>98</v>
      </c>
      <c r="R318" s="386"/>
      <c r="S318" s="43">
        <v>11.22</v>
      </c>
      <c r="T318" s="146" t="s">
        <v>1266</v>
      </c>
      <c r="U318" s="146" t="s">
        <v>1266</v>
      </c>
      <c r="V318" s="487"/>
      <c r="X318" s="495" t="s">
        <v>507</v>
      </c>
      <c r="Y318" s="431" t="s">
        <v>2645</v>
      </c>
      <c r="Z318" s="432">
        <v>220</v>
      </c>
      <c r="AA318" s="441" t="str">
        <f t="shared" si="521"/>
        <v>p</v>
      </c>
      <c r="AB318" s="134">
        <f t="shared" si="512"/>
        <v>36.858523103439154</v>
      </c>
      <c r="AC318" s="134">
        <f t="shared" si="513"/>
        <v>0.71629416541375079</v>
      </c>
      <c r="AD318" s="134">
        <f t="shared" si="514"/>
        <v>0</v>
      </c>
      <c r="AE318" s="134">
        <f t="shared" si="515"/>
        <v>0</v>
      </c>
      <c r="AF318" s="432">
        <v>300</v>
      </c>
      <c r="AG318" s="436" t="str">
        <f t="shared" si="522"/>
        <v>u</v>
      </c>
      <c r="AH318" s="134">
        <f t="shared" si="517"/>
        <v>0</v>
      </c>
      <c r="AI318" s="134">
        <f t="shared" si="518"/>
        <v>0</v>
      </c>
      <c r="AJ318" s="134">
        <f t="shared" si="519"/>
        <v>0</v>
      </c>
      <c r="AK318" s="134">
        <f t="shared" si="520"/>
        <v>0</v>
      </c>
      <c r="AL318" s="470" t="s">
        <v>1267</v>
      </c>
    </row>
    <row r="319" spans="2:39" hidden="1" x14ac:dyDescent="0.25">
      <c r="B319" s="49" t="s">
        <v>511</v>
      </c>
      <c r="C319" s="168" t="s">
        <v>2646</v>
      </c>
      <c r="D319" s="119">
        <f t="shared" si="524"/>
        <v>11</v>
      </c>
      <c r="E319" s="370">
        <f t="array" ref="E319">IF(U319="YES",IF(T319="YES",MIN(IF(TMK[Load Capability Reference]=CONCATENATE(P319,Q319,S319,R319),TMK[Lowest A-PTX])),MIN(IF(TMK[Load Capability Reference]=CONCATENATE(P319,Q319,S319,R319),IF(TMK[Equipment ID]&lt;&gt;O319,TMK[Lowest A-PTX])))),IF(T319="YES",MIN(IF(TMK[Load Capability Reference]=CONCATENATE(P319,Q319,S319,R319),TMK[Lowest A-No PTX])),MIN(IF(TMK[Load Capability Reference]=CONCATENATE(P319,Q319,S319,R319),IF(TMK[Equipment ID]&lt;&gt;O319,TMK[Lowest A-No PTX])))))</f>
        <v>208.18140000000002</v>
      </c>
      <c r="F319" s="119">
        <f>IFERROR(IFERROR(VLOOKUP(CONCATENATE(P319,Q319,O319,S319,"Protection"),TMK[[OC Protection Reference]:[Forward A]],23,0),VLOOKUP(O319,AEL_Protection_Data[],12,0)),"N/A")</f>
        <v>300</v>
      </c>
      <c r="G319" s="119">
        <f t="shared" si="507"/>
        <v>165</v>
      </c>
      <c r="H319" s="29">
        <f t="shared" si="508"/>
        <v>3.2065456600522624</v>
      </c>
      <c r="I319" s="119">
        <f t="shared" si="509"/>
        <v>185</v>
      </c>
      <c r="J319" s="29">
        <f t="shared" si="525"/>
        <v>3.5952178612707191</v>
      </c>
      <c r="K319" s="6" t="str">
        <f>IF(U319="Yes",UPPER(IF(ISNUMBER(SEARCH("winding",VLOOKUP(CONCATENATE(P319,Q319,S319,E319),TMK[[Limiting Equipment Reference-PTX]:[Summ Equipment]],7,0))),"Power Transformer Rating at "&amp;ROUND(E319*S319*SQRT(3)/1000,2)&amp;" MVA",VLOOKUP(CONCATENATE(P319,Q319,S319,E319),TMK[[Limiting Equipment Reference-No PTX]:[Summ Equipment]],8,0))),UPPER(VLOOKUP(CONCATENATE(P319,Q319,S319,E319),TMK[[Limiting Equipment Reference-No PTX]:[Summ Equipment]],8,0)))</f>
        <v>CABLE-1-3C 95 MM² XLPE</v>
      </c>
      <c r="L319" s="146" t="s">
        <v>1267</v>
      </c>
      <c r="M319" s="509" t="s">
        <v>1267</v>
      </c>
      <c r="O319" s="118" t="str">
        <f t="shared" si="526"/>
        <v>RGA_T1-CB3</v>
      </c>
      <c r="P319" s="49" t="s">
        <v>1276</v>
      </c>
      <c r="Q319" s="49" t="s">
        <v>110</v>
      </c>
      <c r="R319" s="386"/>
      <c r="S319" s="43">
        <v>11.22</v>
      </c>
      <c r="T319" s="146" t="s">
        <v>1266</v>
      </c>
      <c r="U319" s="146" t="s">
        <v>1266</v>
      </c>
      <c r="V319" s="487"/>
      <c r="X319" s="495" t="s">
        <v>511</v>
      </c>
      <c r="Y319" s="431" t="s">
        <v>2646</v>
      </c>
      <c r="Z319" s="432">
        <v>220</v>
      </c>
      <c r="AA319" s="441" t="str">
        <f t="shared" si="521"/>
        <v>q</v>
      </c>
      <c r="AB319" s="134">
        <f t="shared" si="512"/>
        <v>0</v>
      </c>
      <c r="AC319" s="134">
        <f t="shared" si="513"/>
        <v>0</v>
      </c>
      <c r="AD319" s="134">
        <f t="shared" si="514"/>
        <v>11.818599999999975</v>
      </c>
      <c r="AE319" s="134">
        <f t="shared" si="515"/>
        <v>0.22967806386602174</v>
      </c>
      <c r="AF319" s="432">
        <v>300</v>
      </c>
      <c r="AG319" s="436" t="str">
        <f t="shared" si="522"/>
        <v>u</v>
      </c>
      <c r="AH319" s="134">
        <f t="shared" si="517"/>
        <v>0</v>
      </c>
      <c r="AI319" s="134">
        <f t="shared" si="518"/>
        <v>0</v>
      </c>
      <c r="AJ319" s="134">
        <f t="shared" si="519"/>
        <v>0</v>
      </c>
      <c r="AK319" s="134">
        <f t="shared" si="520"/>
        <v>0</v>
      </c>
      <c r="AL319" s="470" t="s">
        <v>1267</v>
      </c>
    </row>
    <row r="320" spans="2:39" hidden="1" x14ac:dyDescent="0.25">
      <c r="B320" s="49" t="s">
        <v>498</v>
      </c>
      <c r="C320" s="168" t="s">
        <v>2647</v>
      </c>
      <c r="D320" s="119">
        <f t="shared" si="524"/>
        <v>11</v>
      </c>
      <c r="E320" s="370">
        <f t="array" ref="E320">IF(U320="YES",IF(T320="YES",MIN(IF(TMK[Load Capability Reference]=CONCATENATE(P320,Q320,S320,R320),TMK[Lowest A-PTX])),MIN(IF(TMK[Load Capability Reference]=CONCATENATE(P320,Q320,S320,R320),IF(TMK[Equipment ID]&lt;&gt;O320,TMK[Lowest A-PTX])))),IF(T320="YES",MIN(IF(TMK[Load Capability Reference]=CONCATENATE(P320,Q320,S320,R320),TMK[Lowest A-No PTX])),MIN(IF(TMK[Load Capability Reference]=CONCATENATE(P320,Q320,S320,R320),IF(TMK[Equipment ID]&lt;&gt;O320,TMK[Lowest A-No PTX])))))</f>
        <v>256.85852310343915</v>
      </c>
      <c r="F320" s="119">
        <f>IFERROR(IFERROR(VLOOKUP(CONCATENATE(P320,Q320,O320,S320,"Protection"),TMK[[OC Protection Reference]:[Forward A]],23,0),VLOOKUP(O320,AEL_Protection_Data[],12,0)),"N/A")</f>
        <v>300</v>
      </c>
      <c r="G320" s="119">
        <f t="shared" si="507"/>
        <v>205</v>
      </c>
      <c r="H320" s="29">
        <f t="shared" si="508"/>
        <v>3.9838900624891744</v>
      </c>
      <c r="I320" s="119">
        <f t="shared" si="509"/>
        <v>230</v>
      </c>
      <c r="J320" s="29">
        <f t="shared" si="525"/>
        <v>4.4697303140122449</v>
      </c>
      <c r="K320" s="6" t="str">
        <f>IF(U320="Yes",UPPER(IF(ISNUMBER(SEARCH("winding",VLOOKUP(CONCATENATE(P320,Q320,S320,E320),TMK[[Limiting Equipment Reference-PTX]:[Summ Equipment]],7,0))),"Power Transformer Rating at "&amp;ROUND(E320*S320*SQRT(3)/1000,2)&amp;" MVA",VLOOKUP(CONCATENATE(P320,Q320,S320,E320),TMK[[Limiting Equipment Reference-No PTX]:[Summ Equipment]],8,0))),UPPER(VLOOKUP(CONCATENATE(P320,Q320,S320,E320),TMK[[Limiting Equipment Reference-No PTX]:[Summ Equipment]],8,0)))</f>
        <v>OH LINE-DOG</v>
      </c>
      <c r="L320" s="146" t="s">
        <v>1267</v>
      </c>
      <c r="M320" s="509" t="s">
        <v>1267</v>
      </c>
      <c r="O320" s="118" t="str">
        <f>"RGA_T2-"&amp;B320</f>
        <v>RGA_T2-CB4</v>
      </c>
      <c r="P320" s="49" t="s">
        <v>1276</v>
      </c>
      <c r="Q320" s="49" t="s">
        <v>121</v>
      </c>
      <c r="R320" s="386"/>
      <c r="S320" s="43">
        <v>11.22</v>
      </c>
      <c r="T320" s="146" t="s">
        <v>1266</v>
      </c>
      <c r="U320" s="146" t="s">
        <v>1266</v>
      </c>
      <c r="V320" s="487"/>
      <c r="X320" s="495" t="s">
        <v>498</v>
      </c>
      <c r="Y320" s="431" t="s">
        <v>2647</v>
      </c>
      <c r="Z320" s="432">
        <v>220</v>
      </c>
      <c r="AA320" s="441" t="str">
        <f t="shared" si="521"/>
        <v>p</v>
      </c>
      <c r="AB320" s="134">
        <f t="shared" si="512"/>
        <v>36.858523103439154</v>
      </c>
      <c r="AC320" s="134">
        <f t="shared" si="513"/>
        <v>0.71629416541375079</v>
      </c>
      <c r="AD320" s="134">
        <f t="shared" si="514"/>
        <v>0</v>
      </c>
      <c r="AE320" s="134">
        <f t="shared" si="515"/>
        <v>0</v>
      </c>
      <c r="AF320" s="432">
        <v>300</v>
      </c>
      <c r="AG320" s="436" t="str">
        <f t="shared" si="522"/>
        <v>u</v>
      </c>
      <c r="AH320" s="134">
        <f t="shared" si="517"/>
        <v>0</v>
      </c>
      <c r="AI320" s="134">
        <f t="shared" si="518"/>
        <v>0</v>
      </c>
      <c r="AJ320" s="134">
        <f t="shared" si="519"/>
        <v>0</v>
      </c>
      <c r="AK320" s="134">
        <f t="shared" si="520"/>
        <v>0</v>
      </c>
      <c r="AL320" s="470" t="s">
        <v>1267</v>
      </c>
    </row>
    <row r="321" spans="1:39" hidden="1" x14ac:dyDescent="0.25">
      <c r="B321" s="49" t="s">
        <v>607</v>
      </c>
      <c r="C321" s="168" t="s">
        <v>2648</v>
      </c>
      <c r="D321" s="119">
        <f t="shared" si="523"/>
        <v>11</v>
      </c>
      <c r="E321" s="370">
        <f t="array" ref="E321">IF(U321="YES",IF(T321="YES",MIN(IF(TMK[Load Capability Reference]=CONCATENATE(P321,Q321,S321,R321),TMK[Lowest A-PTX])),MIN(IF(TMK[Load Capability Reference]=CONCATENATE(P321,Q321,S321,R321),IF(TMK[Equipment ID]&lt;&gt;O321,TMK[Lowest A-PTX])))),IF(T321="YES",MIN(IF(TMK[Load Capability Reference]=CONCATENATE(P321,Q321,S321,R321),TMK[Lowest A-No PTX])),MIN(IF(TMK[Load Capability Reference]=CONCATENATE(P321,Q321,S321,R321),IF(TMK[Equipment ID]&lt;&gt;O321,TMK[Lowest A-No PTX])))))</f>
        <v>275.38648791159613</v>
      </c>
      <c r="F321" s="119">
        <f>IFERROR(IFERROR(VLOOKUP(CONCATENATE(P321,Q321,O321,S321,"Protection"),TMK[[OC Protection Reference]:[Forward A]],23,0),VLOOKUP(O321,AEL_Protection_Data[],12,0)),"N/A")</f>
        <v>300</v>
      </c>
      <c r="G321" s="119">
        <f t="shared" si="507"/>
        <v>220</v>
      </c>
      <c r="H321" s="29">
        <f t="shared" si="508"/>
        <v>4.2753942134030165</v>
      </c>
      <c r="I321" s="119">
        <f t="shared" si="509"/>
        <v>245</v>
      </c>
      <c r="J321" s="29">
        <f t="shared" si="510"/>
        <v>4.7612344649260869</v>
      </c>
      <c r="K321" s="6" t="str">
        <f>IF(U321="Yes",UPPER(IF(ISNUMBER(SEARCH("winding",VLOOKUP(CONCATENATE(P321,Q321,S321,E321),TMK[[Limiting Equipment Reference-PTX]:[Summ Equipment]],7,0))),"Power Transformer Rating at "&amp;ROUND(E321*S321*SQRT(3)/1000,2)&amp;" MVA",VLOOKUP(CONCATENATE(P321,Q321,S321,E321),TMK[[Limiting Equipment Reference-No PTX]:[Summ Equipment]],8,0))),UPPER(VLOOKUP(CONCATENATE(P321,Q321,S321,E321),TMK[[Limiting Equipment Reference-No PTX]:[Summ Equipment]],8,0)))</f>
        <v>OH LINE-IODINE</v>
      </c>
      <c r="L321" s="146" t="s">
        <v>1267</v>
      </c>
      <c r="M321" s="509" t="s">
        <v>1267</v>
      </c>
      <c r="O321" s="118" t="str">
        <f t="shared" ref="O321:O323" si="527">"RGA_T2-"&amp;B321</f>
        <v>RGA_T2-CB11</v>
      </c>
      <c r="P321" s="49" t="s">
        <v>1276</v>
      </c>
      <c r="Q321" s="49" t="s">
        <v>99</v>
      </c>
      <c r="R321" s="386"/>
      <c r="S321" s="43">
        <v>11.22</v>
      </c>
      <c r="T321" s="146" t="s">
        <v>1266</v>
      </c>
      <c r="U321" s="146" t="s">
        <v>1266</v>
      </c>
      <c r="V321" s="487"/>
      <c r="X321" s="495" t="s">
        <v>607</v>
      </c>
      <c r="Y321" s="431" t="s">
        <v>2648</v>
      </c>
      <c r="Z321" s="432">
        <v>537</v>
      </c>
      <c r="AA321" s="441" t="str">
        <f t="shared" si="521"/>
        <v>q</v>
      </c>
      <c r="AB321" s="134">
        <f t="shared" si="512"/>
        <v>0</v>
      </c>
      <c r="AC321" s="134">
        <f t="shared" si="513"/>
        <v>0</v>
      </c>
      <c r="AD321" s="134">
        <f t="shared" si="514"/>
        <v>261.61351208840387</v>
      </c>
      <c r="AE321" s="134">
        <f t="shared" si="515"/>
        <v>5.0840949805945543</v>
      </c>
      <c r="AF321" s="432">
        <v>300</v>
      </c>
      <c r="AG321" s="436" t="str">
        <f t="shared" si="522"/>
        <v>u</v>
      </c>
      <c r="AH321" s="134">
        <f t="shared" si="517"/>
        <v>0</v>
      </c>
      <c r="AI321" s="134">
        <f t="shared" si="518"/>
        <v>0</v>
      </c>
      <c r="AJ321" s="134">
        <f t="shared" si="519"/>
        <v>0</v>
      </c>
      <c r="AK321" s="134">
        <f t="shared" si="520"/>
        <v>0</v>
      </c>
      <c r="AL321" s="470" t="s">
        <v>1267</v>
      </c>
    </row>
    <row r="322" spans="1:39" hidden="1" x14ac:dyDescent="0.25">
      <c r="B322" s="49" t="s">
        <v>610</v>
      </c>
      <c r="C322" s="168" t="s">
        <v>2649</v>
      </c>
      <c r="D322" s="119">
        <f t="shared" si="523"/>
        <v>11</v>
      </c>
      <c r="E322" s="370">
        <f t="array" ref="E322">IF(U322="YES",IF(T322="YES",MIN(IF(TMK[Load Capability Reference]=CONCATENATE(P322,Q322,S322,R322),TMK[Lowest A-PTX])),MIN(IF(TMK[Load Capability Reference]=CONCATENATE(P322,Q322,S322,R322),IF(TMK[Equipment ID]&lt;&gt;O322,TMK[Lowest A-PTX])))),IF(T322="YES",MIN(IF(TMK[Load Capability Reference]=CONCATENATE(P322,Q322,S322,R322),TMK[Lowest A-No PTX])),MIN(IF(TMK[Load Capability Reference]=CONCATENATE(P322,Q322,S322,R322),IF(TMK[Equipment ID]&lt;&gt;O322,TMK[Lowest A-No PTX])))))</f>
        <v>275.38648791159613</v>
      </c>
      <c r="F322" s="119">
        <f>IFERROR(IFERROR(VLOOKUP(CONCATENATE(P322,Q322,O322,S322,"Protection"),TMK[[OC Protection Reference]:[Forward A]],23,0),VLOOKUP(O322,AEL_Protection_Data[],12,0)),"N/A")</f>
        <v>300</v>
      </c>
      <c r="G322" s="119">
        <f t="shared" si="507"/>
        <v>220</v>
      </c>
      <c r="H322" s="29">
        <f t="shared" si="508"/>
        <v>4.2753942134030165</v>
      </c>
      <c r="I322" s="119">
        <f t="shared" si="509"/>
        <v>245</v>
      </c>
      <c r="J322" s="29">
        <f t="shared" si="510"/>
        <v>4.7612344649260869</v>
      </c>
      <c r="K322" s="6" t="str">
        <f>IF(U322="Yes",UPPER(IF(ISNUMBER(SEARCH("winding",VLOOKUP(CONCATENATE(P322,Q322,S322,E322),TMK[[Limiting Equipment Reference-PTX]:[Summ Equipment]],7,0))),"Power Transformer Rating at "&amp;ROUND(E322*S322*SQRT(3)/1000,2)&amp;" MVA",VLOOKUP(CONCATENATE(P322,Q322,S322,E322),TMK[[Limiting Equipment Reference-No PTX]:[Summ Equipment]],8,0))),UPPER(VLOOKUP(CONCATENATE(P322,Q322,S322,E322),TMK[[Limiting Equipment Reference-No PTX]:[Summ Equipment]],8,0)))</f>
        <v>OH LINE-IODINE</v>
      </c>
      <c r="L322" s="146" t="s">
        <v>1267</v>
      </c>
      <c r="M322" s="509" t="s">
        <v>1267</v>
      </c>
      <c r="O322" s="118" t="str">
        <f t="shared" si="527"/>
        <v>RGA_T2-CB12</v>
      </c>
      <c r="P322" s="49" t="s">
        <v>1276</v>
      </c>
      <c r="Q322" s="49" t="s">
        <v>111</v>
      </c>
      <c r="R322" s="386"/>
      <c r="S322" s="43">
        <v>11.22</v>
      </c>
      <c r="T322" s="146" t="s">
        <v>1266</v>
      </c>
      <c r="U322" s="146" t="s">
        <v>1266</v>
      </c>
      <c r="V322" s="487"/>
      <c r="X322" s="495" t="s">
        <v>610</v>
      </c>
      <c r="Y322" s="431" t="s">
        <v>2649</v>
      </c>
      <c r="Z322" s="432">
        <v>295</v>
      </c>
      <c r="AA322" s="441" t="str">
        <f t="shared" si="521"/>
        <v>q</v>
      </c>
      <c r="AB322" s="134">
        <f t="shared" si="512"/>
        <v>0</v>
      </c>
      <c r="AC322" s="134">
        <f t="shared" si="513"/>
        <v>0</v>
      </c>
      <c r="AD322" s="134">
        <f t="shared" si="514"/>
        <v>19.613512088403866</v>
      </c>
      <c r="AE322" s="134">
        <f t="shared" si="515"/>
        <v>0.3811613458512364</v>
      </c>
      <c r="AF322" s="432">
        <v>300</v>
      </c>
      <c r="AG322" s="436" t="str">
        <f t="shared" si="522"/>
        <v>u</v>
      </c>
      <c r="AH322" s="134">
        <f t="shared" si="517"/>
        <v>0</v>
      </c>
      <c r="AI322" s="134">
        <f t="shared" si="518"/>
        <v>0</v>
      </c>
      <c r="AJ322" s="134">
        <f t="shared" si="519"/>
        <v>0</v>
      </c>
      <c r="AK322" s="134">
        <f t="shared" si="520"/>
        <v>0</v>
      </c>
      <c r="AL322" s="470" t="s">
        <v>1267</v>
      </c>
    </row>
    <row r="323" spans="1:39" ht="15.75" hidden="1" thickBot="1" x14ac:dyDescent="0.3">
      <c r="B323" s="374" t="s">
        <v>611</v>
      </c>
      <c r="C323" s="375" t="s">
        <v>2650</v>
      </c>
      <c r="D323" s="377">
        <f t="shared" si="523"/>
        <v>11</v>
      </c>
      <c r="E323" s="384">
        <f t="array" ref="E323">IF(U323="YES",IF(T323="YES",MIN(IF(TMK[Load Capability Reference]=CONCATENATE(P323,Q323,S323,R323),TMK[Lowest A-PTX])),MIN(IF(TMK[Load Capability Reference]=CONCATENATE(P323,Q323,S323,R323),IF(TMK[Equipment ID]&lt;&gt;O323,TMK[Lowest A-PTX])))),IF(T323="YES",MIN(IF(TMK[Load Capability Reference]=CONCATENATE(P323,Q323,S323,R323),TMK[Lowest A-No PTX])),MIN(IF(TMK[Load Capability Reference]=CONCATENATE(P323,Q323,S323,R323),IF(TMK[Equipment ID]&lt;&gt;O323,TMK[Lowest A-No PTX])))))</f>
        <v>256.85852310343915</v>
      </c>
      <c r="F323" s="377">
        <f>IFERROR(IFERROR(VLOOKUP(CONCATENATE(P323,Q323,O323,S323,"Protection"),TMK[[OC Protection Reference]:[Forward A]],23,0),VLOOKUP(O323,AEL_Protection_Data[],12,0)),"N/A")</f>
        <v>300</v>
      </c>
      <c r="G323" s="377">
        <f t="shared" si="507"/>
        <v>205</v>
      </c>
      <c r="H323" s="185">
        <f t="shared" si="508"/>
        <v>3.9838900624891744</v>
      </c>
      <c r="I323" s="377">
        <f t="shared" si="509"/>
        <v>230</v>
      </c>
      <c r="J323" s="185">
        <f t="shared" si="510"/>
        <v>4.4697303140122449</v>
      </c>
      <c r="K323" s="191" t="str">
        <f>IF(U323="Yes",UPPER(IF(ISNUMBER(SEARCH("winding",VLOOKUP(CONCATENATE(P323,Q323,S323,E323),TMK[[Limiting Equipment Reference-PTX]:[Summ Equipment]],7,0))),"Power Transformer Rating at "&amp;ROUND(E323*S323*SQRT(3)/1000,2)&amp;" MVA",VLOOKUP(CONCATENATE(P323,Q323,S323,E323),TMK[[Limiting Equipment Reference-No PTX]:[Summ Equipment]],8,0))),UPPER(VLOOKUP(CONCATENATE(P323,Q323,S323,E323),TMK[[Limiting Equipment Reference-No PTX]:[Summ Equipment]],8,0)))</f>
        <v>OH LINE-DOG</v>
      </c>
      <c r="L323" s="379" t="s">
        <v>1267</v>
      </c>
      <c r="M323" s="511" t="s">
        <v>1267</v>
      </c>
      <c r="O323" s="514" t="str">
        <f t="shared" si="527"/>
        <v>RGA_T2-CB13</v>
      </c>
      <c r="P323" s="374" t="s">
        <v>1276</v>
      </c>
      <c r="Q323" s="374" t="s">
        <v>122</v>
      </c>
      <c r="R323" s="387"/>
      <c r="S323" s="175">
        <v>11.22</v>
      </c>
      <c r="T323" s="379" t="s">
        <v>1266</v>
      </c>
      <c r="U323" s="379" t="s">
        <v>1266</v>
      </c>
      <c r="V323" s="488"/>
      <c r="X323" s="503" t="s">
        <v>611</v>
      </c>
      <c r="Y323" s="433" t="s">
        <v>2650</v>
      </c>
      <c r="Z323" s="434">
        <v>220</v>
      </c>
      <c r="AA323" s="442" t="str">
        <f t="shared" si="521"/>
        <v>p</v>
      </c>
      <c r="AB323" s="451">
        <f t="shared" si="512"/>
        <v>36.858523103439154</v>
      </c>
      <c r="AC323" s="451">
        <f t="shared" si="513"/>
        <v>0.71629416541375079</v>
      </c>
      <c r="AD323" s="451">
        <f t="shared" si="514"/>
        <v>0</v>
      </c>
      <c r="AE323" s="451">
        <f t="shared" si="515"/>
        <v>0</v>
      </c>
      <c r="AF323" s="434">
        <v>300</v>
      </c>
      <c r="AG323" s="437" t="str">
        <f t="shared" si="522"/>
        <v>u</v>
      </c>
      <c r="AH323" s="451">
        <f t="shared" si="517"/>
        <v>0</v>
      </c>
      <c r="AI323" s="451">
        <f t="shared" si="518"/>
        <v>0</v>
      </c>
      <c r="AJ323" s="451">
        <f t="shared" si="519"/>
        <v>0</v>
      </c>
      <c r="AK323" s="451">
        <f t="shared" si="520"/>
        <v>0</v>
      </c>
      <c r="AL323" s="471" t="s">
        <v>1267</v>
      </c>
    </row>
    <row r="324" spans="1:39" hidden="1" x14ac:dyDescent="0.25">
      <c r="X324" s="427" t="s">
        <v>1193</v>
      </c>
      <c r="AB324" s="449">
        <f>SUM(AB312:AB323)</f>
        <v>110.57556931031746</v>
      </c>
      <c r="AC324" s="449">
        <f t="shared" ref="AC324:AE324" si="528">SUM(AC312:AC323)</f>
        <v>2.1488824962412525</v>
      </c>
      <c r="AD324" s="449">
        <f t="shared" si="528"/>
        <v>652.23640013260706</v>
      </c>
      <c r="AE324" s="449">
        <f t="shared" si="528"/>
        <v>18.290916630733086</v>
      </c>
      <c r="AH324" s="449">
        <f>SUM(AH312:AH323)</f>
        <v>0</v>
      </c>
      <c r="AI324" s="449">
        <f t="shared" ref="AI324:AK324" si="529">SUM(AI312:AI323)</f>
        <v>0</v>
      </c>
      <c r="AJ324" s="449">
        <f t="shared" si="529"/>
        <v>0</v>
      </c>
      <c r="AK324" s="449">
        <f t="shared" si="529"/>
        <v>0</v>
      </c>
    </row>
    <row r="325" spans="1:39" ht="27" hidden="1" thickBot="1" x14ac:dyDescent="0.3">
      <c r="B325" s="551" t="s">
        <v>2661</v>
      </c>
      <c r="C325" s="552"/>
      <c r="D325" s="552"/>
      <c r="E325" s="552"/>
      <c r="F325" s="552"/>
      <c r="G325" s="552"/>
      <c r="H325" s="552"/>
      <c r="I325" s="552"/>
      <c r="J325" s="552"/>
      <c r="K325" s="552"/>
      <c r="L325" s="552"/>
      <c r="M325" s="553"/>
      <c r="O325" s="551" t="s">
        <v>2391</v>
      </c>
      <c r="P325" s="552"/>
      <c r="Q325" s="552"/>
      <c r="R325" s="552"/>
      <c r="S325" s="552"/>
      <c r="T325" s="552"/>
      <c r="U325" s="552"/>
      <c r="V325" s="553"/>
      <c r="X325" s="586" t="str">
        <f>B325&amp;"-OLD"</f>
        <v>CANAL ROAD (CB1412)-OLD</v>
      </c>
      <c r="Y325" s="587"/>
      <c r="Z325" s="587"/>
      <c r="AA325" s="587"/>
      <c r="AB325" s="587"/>
      <c r="AC325" s="587"/>
      <c r="AD325" s="587"/>
      <c r="AE325" s="587"/>
      <c r="AF325" s="587"/>
      <c r="AG325" s="587"/>
      <c r="AH325" s="587"/>
      <c r="AI325" s="587"/>
      <c r="AJ325" s="587"/>
      <c r="AK325" s="587"/>
      <c r="AL325" s="588"/>
      <c r="AM325" s="481"/>
    </row>
    <row r="326" spans="1:39" ht="15.75" hidden="1" thickBot="1" x14ac:dyDescent="0.3">
      <c r="B326" s="571" t="str">
        <f t="shared" ref="B326:G326" si="530">B6</f>
        <v>CB ID</v>
      </c>
      <c r="C326" s="545" t="str">
        <f t="shared" si="530"/>
        <v>DESIGNATION</v>
      </c>
      <c r="D326" s="382" t="str">
        <f t="shared" si="530"/>
        <v>Rated</v>
      </c>
      <c r="E326" s="572" t="str">
        <f t="shared" si="530"/>
        <v>LOAD
CAPABILITY</v>
      </c>
      <c r="F326" s="572" t="str">
        <f t="shared" si="530"/>
        <v>OC
PICKUP</v>
      </c>
      <c r="G326" s="559" t="str">
        <f t="shared" si="530"/>
        <v>SCADA ALARM</v>
      </c>
      <c r="H326" s="560"/>
      <c r="I326" s="560"/>
      <c r="J326" s="561"/>
      <c r="K326" s="574" t="str">
        <f>K6</f>
        <v>LIMITING EQUIPMENT</v>
      </c>
      <c r="L326" s="575" t="str">
        <f>L6</f>
        <v>RECLOSING</v>
      </c>
      <c r="M326" s="576"/>
      <c r="O326" s="554" t="str">
        <f t="shared" ref="O326:V326" si="531">O6</f>
        <v>OC Pick up
Reference ID</v>
      </c>
      <c r="P326" s="557" t="str">
        <f t="shared" si="531"/>
        <v>Supply Level</v>
      </c>
      <c r="Q326" s="566" t="str">
        <f t="shared" si="531"/>
        <v>Station/Feeder</v>
      </c>
      <c r="R326" s="567" t="str">
        <f t="shared" si="531"/>
        <v>Refered
to PTX</v>
      </c>
      <c r="S326" s="569" t="str">
        <f t="shared" si="531"/>
        <v>Voltage</v>
      </c>
      <c r="T326" s="539" t="str">
        <f t="shared" si="531"/>
        <v>Include
CB</v>
      </c>
      <c r="U326" s="539" t="str">
        <f t="shared" si="531"/>
        <v>Include
PTX</v>
      </c>
      <c r="V326" s="542" t="str">
        <f t="shared" si="531"/>
        <v>Notes</v>
      </c>
      <c r="X326" s="585" t="s">
        <v>1260</v>
      </c>
      <c r="Y326" s="545" t="s">
        <v>1261</v>
      </c>
      <c r="Z326" s="559" t="s">
        <v>2749</v>
      </c>
      <c r="AA326" s="560"/>
      <c r="AB326" s="560"/>
      <c r="AC326" s="560"/>
      <c r="AD326" s="560"/>
      <c r="AE326" s="561"/>
      <c r="AF326" s="559" t="s">
        <v>1268</v>
      </c>
      <c r="AG326" s="560"/>
      <c r="AH326" s="560"/>
      <c r="AI326" s="560"/>
      <c r="AJ326" s="560"/>
      <c r="AK326" s="561"/>
      <c r="AL326" s="546" t="s">
        <v>2857</v>
      </c>
      <c r="AM326" s="466"/>
    </row>
    <row r="327" spans="1:39" ht="15.75" hidden="1" thickBot="1" x14ac:dyDescent="0.3">
      <c r="B327" s="557"/>
      <c r="C327" s="540"/>
      <c r="D327" s="362" t="str">
        <f>D7</f>
        <v>Voltage</v>
      </c>
      <c r="E327" s="573"/>
      <c r="F327" s="573"/>
      <c r="G327" s="544" t="str">
        <f>G7</f>
        <v>Pre-Emergency</v>
      </c>
      <c r="H327" s="544"/>
      <c r="I327" s="544" t="str">
        <f>I7</f>
        <v>Emergency</v>
      </c>
      <c r="J327" s="544"/>
      <c r="K327" s="540"/>
      <c r="L327" s="545" t="str">
        <f>L7</f>
        <v>AVAILABLE</v>
      </c>
      <c r="M327" s="546" t="str">
        <f>M7</f>
        <v>UTILISED</v>
      </c>
      <c r="O327" s="555"/>
      <c r="P327" s="557"/>
      <c r="Q327" s="557"/>
      <c r="R327" s="567"/>
      <c r="S327" s="569"/>
      <c r="T327" s="540"/>
      <c r="U327" s="540"/>
      <c r="V327" s="542"/>
      <c r="X327" s="555"/>
      <c r="Y327" s="540"/>
      <c r="Z327" s="589"/>
      <c r="AA327" s="590"/>
      <c r="AB327" s="590"/>
      <c r="AC327" s="590"/>
      <c r="AD327" s="590"/>
      <c r="AE327" s="591"/>
      <c r="AF327" s="589"/>
      <c r="AG327" s="590"/>
      <c r="AH327" s="590"/>
      <c r="AI327" s="590"/>
      <c r="AJ327" s="590"/>
      <c r="AK327" s="591"/>
      <c r="AL327" s="577"/>
      <c r="AM327" s="466"/>
    </row>
    <row r="328" spans="1:39" ht="15.75" hidden="1" thickBot="1" x14ac:dyDescent="0.3">
      <c r="B328" s="557"/>
      <c r="C328" s="540"/>
      <c r="D328" s="394" t="str">
        <f>D8</f>
        <v>(kV)</v>
      </c>
      <c r="E328" s="394" t="str">
        <f>E8</f>
        <v>(A)</v>
      </c>
      <c r="F328" s="394" t="str">
        <f>F8</f>
        <v>(A)</v>
      </c>
      <c r="G328" s="406" t="str">
        <f>G8</f>
        <v>(A)</v>
      </c>
      <c r="H328" s="407" t="str">
        <f>H8</f>
        <v>(MVA)</v>
      </c>
      <c r="I328" s="406" t="str">
        <f>I8</f>
        <v>(A)</v>
      </c>
      <c r="J328" s="407" t="str">
        <f>J8</f>
        <v>(MVA)</v>
      </c>
      <c r="K328" s="540"/>
      <c r="L328" s="540"/>
      <c r="M328" s="577"/>
      <c r="O328" s="555"/>
      <c r="P328" s="557"/>
      <c r="Q328" s="557"/>
      <c r="R328" s="567"/>
      <c r="S328" s="569"/>
      <c r="T328" s="540"/>
      <c r="U328" s="540"/>
      <c r="V328" s="542"/>
      <c r="X328" s="556"/>
      <c r="Y328" s="541"/>
      <c r="Z328" s="428" t="s">
        <v>26</v>
      </c>
      <c r="AA328" s="439" t="s">
        <v>2861</v>
      </c>
      <c r="AB328" s="450" t="s">
        <v>2959</v>
      </c>
      <c r="AC328" s="450" t="s">
        <v>2960</v>
      </c>
      <c r="AD328" s="450" t="s">
        <v>2957</v>
      </c>
      <c r="AE328" s="450" t="s">
        <v>2958</v>
      </c>
      <c r="AF328" s="428" t="s">
        <v>26</v>
      </c>
      <c r="AG328" s="439" t="s">
        <v>2861</v>
      </c>
      <c r="AH328" s="450" t="s">
        <v>2959</v>
      </c>
      <c r="AI328" s="450" t="s">
        <v>2960</v>
      </c>
      <c r="AJ328" s="450" t="s">
        <v>2957</v>
      </c>
      <c r="AK328" s="450" t="s">
        <v>2958</v>
      </c>
      <c r="AL328" s="547"/>
      <c r="AM328" s="466"/>
    </row>
    <row r="329" spans="1:39" ht="15.75" hidden="1" thickBot="1" x14ac:dyDescent="0.3">
      <c r="B329" s="187" t="s">
        <v>2662</v>
      </c>
      <c r="C329" s="162" t="s">
        <v>2663</v>
      </c>
      <c r="D329" s="395">
        <f t="shared" ref="D329" si="532">ROUNDDOWN(S329,0)</f>
        <v>33</v>
      </c>
      <c r="E329" s="396">
        <f t="array" ref="E329">IF(U329="YES",IF(T329="YES",MIN(IF(TMK[Load Capability Reference]=CONCATENATE(P329,Q329,S329,R329),TMK[Lowest A-PTX])),MIN(IF(TMK[Load Capability Reference]=CONCATENATE(P329,Q329,S329,R329),IF(TMK[Equipment ID]&lt;&gt;O329,TMK[Lowest A-PTX])))),IF(T329="YES",MIN(IF(TMK[Load Capability Reference]=CONCATENATE(P329,Q329,S329,R329),TMK[Lowest A-No PTX])),MIN(IF(TMK[Load Capability Reference]=CONCATENATE(P329,Q329,S329,R329),IF(TMK[Equipment ID]&lt;&gt;O329,TMK[Lowest A-No PTX])))))</f>
        <v>171.86112674573607</v>
      </c>
      <c r="F329" s="395">
        <f>IFERROR(IFERROR(VLOOKUP(CONCATENATE(P329,Q329,O329,S329,"Protection"),TMK[[OC Protection Reference]:[Forward A]],23,0),VLOOKUP(O329,AEL_Protection_Data[],12,0)),"N/A")</f>
        <v>423</v>
      </c>
      <c r="G329" s="395">
        <f>IFERROR(FLOOR(MIN(E329:F329)*$D$3,5),"")</f>
        <v>135</v>
      </c>
      <c r="H329" s="164">
        <f>G329*S329*SQRT(3)/1000</f>
        <v>7.8551795019782968</v>
      </c>
      <c r="I329" s="395">
        <f>IFERROR(FLOOR(MIN(E329:F329)*$D$2,5),"")</f>
        <v>150</v>
      </c>
      <c r="J329" s="164">
        <f t="shared" ref="J329" si="533">I329*S329*SQRT(3)/1000</f>
        <v>8.7279772244203304</v>
      </c>
      <c r="K329" s="162" t="str">
        <f>IF(U329="Yes",UPPER(IF(ISNUMBER(SEARCH("winding",VLOOKUP(CONCATENATE(P329,Q329,S329,E329),TMK[[Limiting Equipment Reference-PTX]:[Summ Equipment]],7,0))),"Power Transformer Rating at "&amp;ROUND(E329*S329*SQRT(3)/1000,2)&amp;" MVA",VLOOKUP(CONCATENATE(P329,Q329,S329,E329),TMK[[Limiting Equipment Reference-No PTX]:[Summ Equipment]],8,0))),UPPER(VLOOKUP(CONCATENATE(P329,Q329,S329,E329),TMK[[Limiting Equipment Reference-No PTX]:[Summ Equipment]],8,0)))</f>
        <v>AEL-FONTERRA CONTRACTUAL-10 MW LIMIT</v>
      </c>
      <c r="L329" s="165" t="s">
        <v>1267</v>
      </c>
      <c r="M329" s="513" t="s">
        <v>1266</v>
      </c>
      <c r="O329" s="161" t="str">
        <f>"CNL-RGA-"&amp;B329</f>
        <v>CNL-RGA-CB1412</v>
      </c>
      <c r="P329" s="187" t="s">
        <v>1274</v>
      </c>
      <c r="Q329" s="187" t="s">
        <v>2708</v>
      </c>
      <c r="R329" s="397"/>
      <c r="S329" s="167">
        <v>33.594000000000001</v>
      </c>
      <c r="T329" s="165" t="s">
        <v>1267</v>
      </c>
      <c r="U329" s="165" t="s">
        <v>1266</v>
      </c>
      <c r="V329" s="490"/>
      <c r="X329" s="504" t="s">
        <v>2662</v>
      </c>
      <c r="Y329" s="445" t="s">
        <v>2869</v>
      </c>
      <c r="Z329" s="446"/>
      <c r="AA329" s="447" t="str">
        <f t="shared" ref="AA329" si="534">IF(Z329&gt;E329,"q",IF(Z329&lt;E329,"p","u"))</f>
        <v>p</v>
      </c>
      <c r="AB329" s="454">
        <f t="shared" ref="AB329" si="535">IF(Z329="",0,IF(Z329-E329&lt;0,ABS(Z329-E329),0))</f>
        <v>0</v>
      </c>
      <c r="AC329" s="454">
        <f t="shared" ref="AC329" si="536">AB329*$S329*SQRT(3)/1000</f>
        <v>0</v>
      </c>
      <c r="AD329" s="454">
        <f t="shared" ref="AD329" si="537">IF(Z329="",0,IF(Z329-E329&gt;0,ABS(Z329-E329),0))</f>
        <v>0</v>
      </c>
      <c r="AE329" s="454">
        <f t="shared" ref="AE329" si="538">AD329*$S329*SQRT(3)/1000</f>
        <v>0</v>
      </c>
      <c r="AF329" s="446"/>
      <c r="AG329" s="448" t="str">
        <f t="shared" ref="AG329" si="539">IF(AF329&gt;F329,"q",IF(AF329&lt;F329,"p","u"))</f>
        <v>p</v>
      </c>
      <c r="AH329" s="454">
        <f>IF(AF329="",0,IF(AF329-F329&lt;0,ABS(AF329-F329),0))</f>
        <v>0</v>
      </c>
      <c r="AI329" s="454">
        <f t="shared" ref="AI329" si="540">AH329*$S329*SQRT(3)/1000</f>
        <v>0</v>
      </c>
      <c r="AJ329" s="454">
        <f>IF(AF329="",0,IF(AF329-F329&gt;0,ABS(AF329-F329),0))</f>
        <v>0</v>
      </c>
      <c r="AK329" s="454">
        <f t="shared" ref="AK329" si="541">AJ329*$S329*SQRT(3)/1000</f>
        <v>0</v>
      </c>
      <c r="AL329" s="472"/>
    </row>
    <row r="330" spans="1:39" hidden="1" x14ac:dyDescent="0.25">
      <c r="X330" t="s">
        <v>2573</v>
      </c>
      <c r="Y330"/>
      <c r="Z330"/>
      <c r="AA330"/>
      <c r="AB330" s="452">
        <f>SUM(AB329)</f>
        <v>0</v>
      </c>
      <c r="AC330" s="452">
        <f t="shared" ref="AC330:AE330" si="542">SUM(AC329)</f>
        <v>0</v>
      </c>
      <c r="AD330" s="452">
        <f t="shared" si="542"/>
        <v>0</v>
      </c>
      <c r="AE330" s="452">
        <f t="shared" si="542"/>
        <v>0</v>
      </c>
      <c r="AF330"/>
      <c r="AG330"/>
      <c r="AH330" s="452">
        <f>SUM(AH329)</f>
        <v>0</v>
      </c>
      <c r="AI330" s="452">
        <f t="shared" ref="AI330:AK330" si="543">SUM(AI329)</f>
        <v>0</v>
      </c>
      <c r="AJ330" s="452">
        <f t="shared" si="543"/>
        <v>0</v>
      </c>
      <c r="AK330" s="452">
        <f t="shared" si="543"/>
        <v>0</v>
      </c>
      <c r="AL330"/>
      <c r="AM330" s="483"/>
    </row>
    <row r="331" spans="1:39" ht="27" hidden="1" thickBot="1" x14ac:dyDescent="0.3">
      <c r="B331" s="551" t="s">
        <v>2666</v>
      </c>
      <c r="C331" s="552"/>
      <c r="D331" s="552"/>
      <c r="E331" s="552"/>
      <c r="F331" s="552"/>
      <c r="G331" s="552"/>
      <c r="H331" s="552"/>
      <c r="I331" s="552"/>
      <c r="J331" s="552"/>
      <c r="K331" s="552"/>
      <c r="L331" s="552"/>
      <c r="M331" s="553"/>
      <c r="O331" s="551" t="s">
        <v>2391</v>
      </c>
      <c r="P331" s="552"/>
      <c r="Q331" s="552"/>
      <c r="R331" s="552"/>
      <c r="S331" s="552"/>
      <c r="T331" s="552"/>
      <c r="U331" s="552"/>
      <c r="V331" s="553"/>
      <c r="X331" s="586" t="str">
        <f>B331&amp;"-OLD"</f>
        <v>CLANDEBOYE NO. 1 (D1246)-OLD</v>
      </c>
      <c r="Y331" s="587"/>
      <c r="Z331" s="587"/>
      <c r="AA331" s="587"/>
      <c r="AB331" s="587"/>
      <c r="AC331" s="587"/>
      <c r="AD331" s="587"/>
      <c r="AE331" s="587"/>
      <c r="AF331" s="587"/>
      <c r="AG331" s="587"/>
      <c r="AH331" s="587"/>
      <c r="AI331" s="587"/>
      <c r="AJ331" s="587"/>
      <c r="AK331" s="587"/>
      <c r="AL331" s="588"/>
      <c r="AM331" s="481"/>
    </row>
    <row r="332" spans="1:39" ht="15.75" hidden="1" thickBot="1" x14ac:dyDescent="0.3">
      <c r="B332" s="571" t="str">
        <f t="shared" ref="B332:G332" si="544">B6</f>
        <v>CB ID</v>
      </c>
      <c r="C332" s="545" t="str">
        <f t="shared" si="544"/>
        <v>DESIGNATION</v>
      </c>
      <c r="D332" s="382" t="str">
        <f t="shared" si="544"/>
        <v>Rated</v>
      </c>
      <c r="E332" s="572" t="str">
        <f t="shared" si="544"/>
        <v>LOAD
CAPABILITY</v>
      </c>
      <c r="F332" s="572" t="str">
        <f t="shared" si="544"/>
        <v>OC
PICKUP</v>
      </c>
      <c r="G332" s="559" t="str">
        <f t="shared" si="544"/>
        <v>SCADA ALARM</v>
      </c>
      <c r="H332" s="560"/>
      <c r="I332" s="560"/>
      <c r="J332" s="561"/>
      <c r="K332" s="574" t="str">
        <f>K6</f>
        <v>LIMITING EQUIPMENT</v>
      </c>
      <c r="L332" s="575" t="str">
        <f>L6</f>
        <v>RECLOSING</v>
      </c>
      <c r="M332" s="576"/>
      <c r="O332" s="554" t="str">
        <f t="shared" ref="O332:V332" si="545">O6</f>
        <v>OC Pick up
Reference ID</v>
      </c>
      <c r="P332" s="557" t="str">
        <f t="shared" si="545"/>
        <v>Supply Level</v>
      </c>
      <c r="Q332" s="566" t="str">
        <f t="shared" si="545"/>
        <v>Station/Feeder</v>
      </c>
      <c r="R332" s="567" t="str">
        <f t="shared" si="545"/>
        <v>Refered
to PTX</v>
      </c>
      <c r="S332" s="569" t="str">
        <f t="shared" si="545"/>
        <v>Voltage</v>
      </c>
      <c r="T332" s="539" t="str">
        <f t="shared" si="545"/>
        <v>Include
CB</v>
      </c>
      <c r="U332" s="539" t="str">
        <f t="shared" si="545"/>
        <v>Include
PTX</v>
      </c>
      <c r="V332" s="542" t="str">
        <f t="shared" si="545"/>
        <v>Notes</v>
      </c>
      <c r="X332" s="585" t="s">
        <v>1260</v>
      </c>
      <c r="Y332" s="545" t="s">
        <v>1261</v>
      </c>
      <c r="Z332" s="559" t="s">
        <v>2749</v>
      </c>
      <c r="AA332" s="560"/>
      <c r="AB332" s="560"/>
      <c r="AC332" s="560"/>
      <c r="AD332" s="560"/>
      <c r="AE332" s="561"/>
      <c r="AF332" s="559" t="s">
        <v>1268</v>
      </c>
      <c r="AG332" s="560"/>
      <c r="AH332" s="560"/>
      <c r="AI332" s="560"/>
      <c r="AJ332" s="560"/>
      <c r="AK332" s="561"/>
      <c r="AL332" s="546" t="s">
        <v>2857</v>
      </c>
      <c r="AM332" s="466"/>
    </row>
    <row r="333" spans="1:39" ht="15.75" hidden="1" thickBot="1" x14ac:dyDescent="0.3">
      <c r="B333" s="557"/>
      <c r="C333" s="540"/>
      <c r="D333" s="362" t="str">
        <f>D7</f>
        <v>Voltage</v>
      </c>
      <c r="E333" s="573"/>
      <c r="F333" s="573"/>
      <c r="G333" s="544" t="str">
        <f>G7</f>
        <v>Pre-Emergency</v>
      </c>
      <c r="H333" s="544"/>
      <c r="I333" s="544" t="str">
        <f>I7</f>
        <v>Emergency</v>
      </c>
      <c r="J333" s="544"/>
      <c r="K333" s="540"/>
      <c r="L333" s="545" t="str">
        <f>L7</f>
        <v>AVAILABLE</v>
      </c>
      <c r="M333" s="546" t="str">
        <f>M7</f>
        <v>UTILISED</v>
      </c>
      <c r="O333" s="555"/>
      <c r="P333" s="557"/>
      <c r="Q333" s="557"/>
      <c r="R333" s="567"/>
      <c r="S333" s="569"/>
      <c r="T333" s="540"/>
      <c r="U333" s="540"/>
      <c r="V333" s="542"/>
      <c r="X333" s="555"/>
      <c r="Y333" s="540"/>
      <c r="Z333" s="589"/>
      <c r="AA333" s="590"/>
      <c r="AB333" s="590"/>
      <c r="AC333" s="590"/>
      <c r="AD333" s="590"/>
      <c r="AE333" s="591"/>
      <c r="AF333" s="589"/>
      <c r="AG333" s="590"/>
      <c r="AH333" s="590"/>
      <c r="AI333" s="590"/>
      <c r="AJ333" s="590"/>
      <c r="AK333" s="591"/>
      <c r="AL333" s="577"/>
      <c r="AM333" s="466"/>
    </row>
    <row r="334" spans="1:39" ht="15.75" hidden="1" thickBot="1" x14ac:dyDescent="0.3">
      <c r="B334" s="558"/>
      <c r="C334" s="541"/>
      <c r="D334" s="345" t="str">
        <f>D8</f>
        <v>(kV)</v>
      </c>
      <c r="E334" s="345" t="str">
        <f>E8</f>
        <v>(A)</v>
      </c>
      <c r="F334" s="345" t="str">
        <f>F8</f>
        <v>(A)</v>
      </c>
      <c r="G334" s="406" t="str">
        <f>G8</f>
        <v>(A)</v>
      </c>
      <c r="H334" s="407" t="str">
        <f>H8</f>
        <v>(MVA)</v>
      </c>
      <c r="I334" s="406" t="str">
        <f>I8</f>
        <v>(A)</v>
      </c>
      <c r="J334" s="407" t="str">
        <f>J8</f>
        <v>(MVA)</v>
      </c>
      <c r="K334" s="541"/>
      <c r="L334" s="541"/>
      <c r="M334" s="547"/>
      <c r="O334" s="556"/>
      <c r="P334" s="558"/>
      <c r="Q334" s="558"/>
      <c r="R334" s="568"/>
      <c r="S334" s="570"/>
      <c r="T334" s="541"/>
      <c r="U334" s="541"/>
      <c r="V334" s="543"/>
      <c r="X334" s="556"/>
      <c r="Y334" s="541"/>
      <c r="Z334" s="428" t="s">
        <v>26</v>
      </c>
      <c r="AA334" s="439" t="s">
        <v>2861</v>
      </c>
      <c r="AB334" s="450" t="s">
        <v>2959</v>
      </c>
      <c r="AC334" s="450" t="s">
        <v>2960</v>
      </c>
      <c r="AD334" s="450" t="s">
        <v>2957</v>
      </c>
      <c r="AE334" s="450" t="s">
        <v>2958</v>
      </c>
      <c r="AF334" s="428" t="s">
        <v>26</v>
      </c>
      <c r="AG334" s="439" t="s">
        <v>2861</v>
      </c>
      <c r="AH334" s="450" t="s">
        <v>2959</v>
      </c>
      <c r="AI334" s="450" t="s">
        <v>2960</v>
      </c>
      <c r="AJ334" s="450" t="s">
        <v>2957</v>
      </c>
      <c r="AK334" s="450" t="s">
        <v>2958</v>
      </c>
      <c r="AL334" s="547"/>
      <c r="AM334" s="466"/>
    </row>
    <row r="335" spans="1:39" hidden="1" x14ac:dyDescent="0.25">
      <c r="B335" s="38" t="s">
        <v>620</v>
      </c>
      <c r="C335" s="3" t="s">
        <v>2639</v>
      </c>
      <c r="D335" s="61">
        <f t="shared" ref="D335:D336" si="546">ROUNDDOWN(S335,0)</f>
        <v>33</v>
      </c>
      <c r="E335" s="369">
        <f t="array" ref="E335">IF(U335="YES",IF(T335="YES",MIN(IF(TMK[Load Capability Reference]=CONCATENATE(P335,Q335,S335,R335),TMK[Lowest A-PTX])),MIN(IF(TMK[Load Capability Reference]=CONCATENATE(P335,Q335,S335,R335),IF(TMK[Equipment ID]&lt;&gt;O335,TMK[Lowest A-PTX])))),IF(T335="YES",MIN(IF(TMK[Load Capability Reference]=CONCATENATE(P335,Q335,S335,R335),TMK[Lowest A-No PTX])),MIN(IF(TMK[Load Capability Reference]=CONCATENATE(P335,Q335,S335,R335),IF(TMK[Equipment ID]&lt;&gt;O335,TMK[Lowest A-No PTX])))))</f>
        <v>407.19406000000004</v>
      </c>
      <c r="F335" s="61">
        <f>IFERROR(IFERROR(VLOOKUP(CONCATENATE(P335,Q335,O335,S335,"Protection"),TMK[[OC Protection Reference]:[Forward A]],23,0),VLOOKUP(O335,AEL_Protection_Data[],12,0)),"N/A")</f>
        <v>512</v>
      </c>
      <c r="G335" s="61">
        <f t="shared" ref="G335:G351" si="547">IFERROR(FLOOR(MIN(E335:F335)*$D$3,5),"")</f>
        <v>325</v>
      </c>
      <c r="H335" s="5">
        <f t="shared" ref="H335:H351" si="548">G335*S335*SQRT(3)/1000</f>
        <v>18.91061731957738</v>
      </c>
      <c r="I335" s="61">
        <f t="shared" ref="I335:I351" si="549">IFERROR(FLOOR(MIN(E335:F335)*$D$2,5),"")</f>
        <v>365</v>
      </c>
      <c r="J335" s="5">
        <f t="shared" ref="J335:J336" si="550">I335*S335*SQRT(3)/1000</f>
        <v>21.238077912756136</v>
      </c>
      <c r="K335" s="3" t="str">
        <f>IF(U335="Yes",UPPER(IF(ISNUMBER(SEARCH("winding",VLOOKUP(CONCATENATE(P335,Q335,S335,E335),TMK[[Limiting Equipment Reference-PTX]:[Summ Equipment]],7,0))),"Power Transformer Rating at "&amp;ROUND(E335*S335*SQRT(3)/1000,2)&amp;" MVA",VLOOKUP(CONCATENATE(P335,Q335,S335,E335),TMK[[Limiting Equipment Reference-No PTX]:[Summ Equipment]],8,0))),UPPER(VLOOKUP(CONCATENATE(P335,Q335,S335,E335),TMK[[Limiting Equipment Reference-No PTX]:[Summ Equipment]],8,0)))</f>
        <v>CABLE-3-1C 400 MM² AL XLPE</v>
      </c>
      <c r="L335" s="4" t="s">
        <v>1266</v>
      </c>
      <c r="M335" s="508" t="s">
        <v>1162</v>
      </c>
      <c r="O335" s="10" t="str">
        <f t="shared" ref="O335:O336" si="551">"CD1-"&amp;B335</f>
        <v>CD1-T615</v>
      </c>
      <c r="P335" s="38" t="s">
        <v>1245</v>
      </c>
      <c r="Q335" s="38" t="s">
        <v>88</v>
      </c>
      <c r="R335" s="389" t="s">
        <v>378</v>
      </c>
      <c r="S335" s="139">
        <v>33.594000000000001</v>
      </c>
      <c r="T335" s="4" t="s">
        <v>1266</v>
      </c>
      <c r="U335" s="4" t="s">
        <v>1266</v>
      </c>
      <c r="V335" s="486"/>
      <c r="X335" s="494" t="s">
        <v>620</v>
      </c>
      <c r="Y335" s="429" t="s">
        <v>2869</v>
      </c>
      <c r="Z335" s="430"/>
      <c r="AA335" s="440" t="str">
        <f t="shared" ref="AA335:AA336" si="552">IF(Z335&gt;E335,"q",IF(Z335&lt;E335,"p","u"))</f>
        <v>p</v>
      </c>
      <c r="AB335" s="453">
        <f t="shared" ref="AB335:AB351" si="553">IF(Z335="",0,IF(Z335-E335&lt;0,ABS(Z335-E335),0))</f>
        <v>0</v>
      </c>
      <c r="AC335" s="453">
        <f t="shared" ref="AC335:AC351" si="554">AB335*$S335*SQRT(3)/1000</f>
        <v>0</v>
      </c>
      <c r="AD335" s="453">
        <f t="shared" ref="AD335:AD351" si="555">IF(Z335="",0,IF(Z335-E335&gt;0,ABS(Z335-E335),0))</f>
        <v>0</v>
      </c>
      <c r="AE335" s="453">
        <f t="shared" ref="AE335:AE351" si="556">AD335*$S335*SQRT(3)/1000</f>
        <v>0</v>
      </c>
      <c r="AF335" s="430"/>
      <c r="AG335" s="435" t="str">
        <f t="shared" ref="AG335:AG336" si="557">IF(AF335&gt;F335,"q",IF(AF335&lt;F335,"p","u"))</f>
        <v>p</v>
      </c>
      <c r="AH335" s="453">
        <f t="shared" ref="AH335:AH351" si="558">IF(AF335="",0,IF(AF335-F335&lt;0,ABS(AF335-F335),0))</f>
        <v>0</v>
      </c>
      <c r="AI335" s="453">
        <f t="shared" ref="AI335:AI351" si="559">AH335*$S335*SQRT(3)/1000</f>
        <v>0</v>
      </c>
      <c r="AJ335" s="453">
        <f t="shared" ref="AJ335:AJ351" si="560">IF(AF335="",0,IF(AF335-F335&gt;0,ABS(AF335-F335),0))</f>
        <v>0</v>
      </c>
      <c r="AK335" s="453">
        <f t="shared" ref="AK335:AK351" si="561">AJ335*$S335*SQRT(3)/1000</f>
        <v>0</v>
      </c>
      <c r="AL335" s="469" t="s">
        <v>1266</v>
      </c>
    </row>
    <row r="336" spans="1:39" hidden="1" x14ac:dyDescent="0.25">
      <c r="A336" s="517"/>
      <c r="B336" s="49" t="s">
        <v>627</v>
      </c>
      <c r="C336" s="168" t="s">
        <v>2640</v>
      </c>
      <c r="D336" s="119">
        <f t="shared" si="546"/>
        <v>33</v>
      </c>
      <c r="E336" s="370">
        <f t="array" ref="E336">IF(U336="YES",IF(T336="YES",MIN(IF(TMK[Load Capability Reference]=CONCATENATE(P336,Q336,S336,R336),TMK[Lowest A-PTX])),MIN(IF(TMK[Load Capability Reference]=CONCATENATE(P336,Q336,S336,R336),IF(TMK[Equipment ID]&lt;&gt;O336,TMK[Lowest A-PTX])))),IF(T336="YES",MIN(IF(TMK[Load Capability Reference]=CONCATENATE(P336,Q336,S336,R336),TMK[Lowest A-No PTX])),MIN(IF(TMK[Load Capability Reference]=CONCATENATE(P336,Q336,S336,R336),IF(TMK[Equipment ID]&lt;&gt;O336,TMK[Lowest A-No PTX])))))</f>
        <v>347.70833279999999</v>
      </c>
      <c r="F336" s="119">
        <f>IFERROR(IFERROR(VLOOKUP(CONCATENATE(P336,Q336,O336,S336,"Protection"),TMK[[OC Protection Reference]:[Forward A]],23,0),VLOOKUP(O336,AEL_Protection_Data[],12,0)),"N/A")</f>
        <v>512</v>
      </c>
      <c r="G336" s="119">
        <f t="shared" si="547"/>
        <v>275</v>
      </c>
      <c r="H336" s="29">
        <f t="shared" si="548"/>
        <v>16.001291578103938</v>
      </c>
      <c r="I336" s="119">
        <f t="shared" si="549"/>
        <v>310</v>
      </c>
      <c r="J336" s="29">
        <f t="shared" si="550"/>
        <v>18.03781959713535</v>
      </c>
      <c r="K336" s="6" t="str">
        <f>IF(U336="Yes",UPPER(IF(ISNUMBER(SEARCH("winding",VLOOKUP(CONCATENATE(P336,Q336,S336,E336),TMK[[Limiting Equipment Reference-PTX]:[Summ Equipment]],7,0))),"Power Transformer Rating at "&amp;ROUND(E336*S336*SQRT(3)/1000,2)&amp;" MVA",VLOOKUP(CONCATENATE(P336,Q336,S336,E336),TMK[[Limiting Equipment Reference-No PTX]:[Summ Equipment]],8,0))),UPPER(VLOOKUP(CONCATENATE(P336,Q336,S336,E336),TMK[[Limiting Equipment Reference-No PTX]:[Summ Equipment]],8,0)))</f>
        <v>CABLE-3-1C 300 MM² AL XLPE</v>
      </c>
      <c r="L336" s="146" t="s">
        <v>1266</v>
      </c>
      <c r="M336" s="509" t="s">
        <v>1162</v>
      </c>
      <c r="N336" s="517"/>
      <c r="O336" s="118" t="str">
        <f t="shared" si="551"/>
        <v>CD1-T616</v>
      </c>
      <c r="P336" s="49" t="s">
        <v>1245</v>
      </c>
      <c r="Q336" s="49" t="s">
        <v>88</v>
      </c>
      <c r="R336" s="386" t="s">
        <v>307</v>
      </c>
      <c r="S336" s="43">
        <v>33.594000000000001</v>
      </c>
      <c r="T336" s="146" t="s">
        <v>1266</v>
      </c>
      <c r="U336" s="146" t="s">
        <v>1266</v>
      </c>
      <c r="V336" s="487"/>
      <c r="X336" s="495" t="s">
        <v>627</v>
      </c>
      <c r="Y336" s="431" t="s">
        <v>2869</v>
      </c>
      <c r="Z336" s="432"/>
      <c r="AA336" s="441" t="str">
        <f t="shared" si="552"/>
        <v>p</v>
      </c>
      <c r="AB336" s="134">
        <f t="shared" si="553"/>
        <v>0</v>
      </c>
      <c r="AC336" s="134">
        <f t="shared" si="554"/>
        <v>0</v>
      </c>
      <c r="AD336" s="134">
        <f t="shared" si="555"/>
        <v>0</v>
      </c>
      <c r="AE336" s="134">
        <f t="shared" si="556"/>
        <v>0</v>
      </c>
      <c r="AF336" s="432"/>
      <c r="AG336" s="436" t="str">
        <f t="shared" si="557"/>
        <v>p</v>
      </c>
      <c r="AH336" s="134">
        <f t="shared" si="558"/>
        <v>0</v>
      </c>
      <c r="AI336" s="134">
        <f t="shared" si="559"/>
        <v>0</v>
      </c>
      <c r="AJ336" s="134">
        <f t="shared" si="560"/>
        <v>0</v>
      </c>
      <c r="AK336" s="134">
        <f t="shared" si="561"/>
        <v>0</v>
      </c>
      <c r="AL336" s="470" t="s">
        <v>1266</v>
      </c>
    </row>
    <row r="337" spans="2:38" hidden="1" x14ac:dyDescent="0.25">
      <c r="B337" s="49" t="s">
        <v>643</v>
      </c>
      <c r="C337" s="168" t="s">
        <v>2667</v>
      </c>
      <c r="D337" s="119">
        <f t="shared" ref="D337:D338" si="562">ROUNDDOWN(S337,0)</f>
        <v>11</v>
      </c>
      <c r="E337" s="370">
        <f t="array" ref="E337">IF(U337="YES",IF(T337="YES",MIN(IF(TMK[Load Capability Reference]=CONCATENATE(P337,Q337,S337,R337),TMK[Lowest A-PTX])),MIN(IF(TMK[Load Capability Reference]=CONCATENATE(P337,Q337,S337,R337),IF(TMK[Equipment ID]&lt;&gt;O337,TMK[Lowest A-PTX])))),IF(T337="YES",MIN(IF(TMK[Load Capability Reference]=CONCATENATE(P337,Q337,S337,R337),TMK[Lowest A-No PTX])),MIN(IF(TMK[Load Capability Reference]=CONCATENATE(P337,Q337,S337,R337),IF(TMK[Equipment ID]&lt;&gt;O337,TMK[Lowest A-No PTX])))))</f>
        <v>303.16535199999998</v>
      </c>
      <c r="F337" s="119">
        <f>IFERROR(IFERROR(VLOOKUP(CONCATENATE(P337,Q337,O337,S337,"Protection"),TMK[[OC Protection Reference]:[Forward A]],23,0),VLOOKUP(O337,AEL_Protection_Data[],12,0)),"N/A")</f>
        <v>480</v>
      </c>
      <c r="G337" s="119">
        <f t="shared" si="547"/>
        <v>240</v>
      </c>
      <c r="H337" s="29">
        <f t="shared" si="548"/>
        <v>4.5726141319818359</v>
      </c>
      <c r="I337" s="119">
        <f t="shared" si="549"/>
        <v>270</v>
      </c>
      <c r="J337" s="29">
        <f t="shared" ref="J337:J351" si="563">I337*S337*SQRT(3)/1000</f>
        <v>5.1441908984795655</v>
      </c>
      <c r="K337" s="168" t="str">
        <f>IF(U337="Yes",UPPER(IF(ISNUMBER(SEARCH("winding",VLOOKUP(CONCATENATE(P337,Q337,S337,E337),TMK[[Limiting Equipment Reference-PTX]:[Summ Equipment]],7,0))),"Power Transformer Rating at "&amp;ROUND(E337*S337*SQRT(3)/1000,2)&amp;" MVA",VLOOKUP(CONCATENATE(P337,Q337,S337,E337),TMK[[Limiting Equipment Reference-No PTX]:[Summ Equipment]],8,0))),UPPER(VLOOKUP(CONCATENATE(P337,Q337,S337,E337),TMK[[Limiting Equipment Reference-No PTX]:[Summ Equipment]],8,0)))</f>
        <v>CABLE-1-3C 300 MM² AL XLPE</v>
      </c>
      <c r="L337" s="146" t="s">
        <v>1266</v>
      </c>
      <c r="M337" s="509" t="s">
        <v>1162</v>
      </c>
      <c r="O337" s="118" t="str">
        <f t="shared" ref="O337:O351" si="564">"CD1-"&amp;B337</f>
        <v>CD1-T600</v>
      </c>
      <c r="P337" s="49" t="s">
        <v>1276</v>
      </c>
      <c r="Q337" s="49" t="s">
        <v>100</v>
      </c>
      <c r="R337" s="390"/>
      <c r="S337" s="32">
        <v>11</v>
      </c>
      <c r="T337" s="146" t="s">
        <v>1266</v>
      </c>
      <c r="U337" s="146" t="s">
        <v>1266</v>
      </c>
      <c r="V337" s="487"/>
      <c r="X337" s="495" t="s">
        <v>643</v>
      </c>
      <c r="Y337" s="431" t="s">
        <v>2940</v>
      </c>
      <c r="Z337" s="432">
        <v>420</v>
      </c>
      <c r="AA337" s="441" t="str">
        <f t="shared" ref="AA337:AA351" si="565">IF(Z337&gt;E337,"q",IF(Z337&lt;E337,"p","u"))</f>
        <v>q</v>
      </c>
      <c r="AB337" s="134">
        <f t="shared" si="553"/>
        <v>0</v>
      </c>
      <c r="AC337" s="134">
        <f t="shared" si="554"/>
        <v>0</v>
      </c>
      <c r="AD337" s="134">
        <f t="shared" si="555"/>
        <v>116.83464800000002</v>
      </c>
      <c r="AE337" s="134">
        <f t="shared" si="556"/>
        <v>2.225999010624681</v>
      </c>
      <c r="AF337" s="432">
        <v>480</v>
      </c>
      <c r="AG337" s="436" t="str">
        <f t="shared" ref="AG337:AG351" si="566">IF(AF337&gt;F337,"q",IF(AF337&lt;F337,"p","u"))</f>
        <v>u</v>
      </c>
      <c r="AH337" s="134">
        <f t="shared" si="558"/>
        <v>0</v>
      </c>
      <c r="AI337" s="134">
        <f t="shared" si="559"/>
        <v>0</v>
      </c>
      <c r="AJ337" s="134">
        <f t="shared" si="560"/>
        <v>0</v>
      </c>
      <c r="AK337" s="134">
        <f t="shared" si="561"/>
        <v>0</v>
      </c>
      <c r="AL337" s="470" t="s">
        <v>1266</v>
      </c>
    </row>
    <row r="338" spans="2:38" hidden="1" x14ac:dyDescent="0.25">
      <c r="B338" s="49" t="s">
        <v>644</v>
      </c>
      <c r="C338" s="168" t="s">
        <v>2668</v>
      </c>
      <c r="D338" s="119">
        <f t="shared" si="562"/>
        <v>11</v>
      </c>
      <c r="E338" s="370">
        <f t="array" ref="E338">IF(U338="YES",IF(T338="YES",MIN(IF(TMK[Load Capability Reference]=CONCATENATE(P338,Q338,S338,R338),TMK[Lowest A-PTX])),MIN(IF(TMK[Load Capability Reference]=CONCATENATE(P338,Q338,S338,R338),IF(TMK[Equipment ID]&lt;&gt;O338,TMK[Lowest A-PTX])))),IF(T338="YES",MIN(IF(TMK[Load Capability Reference]=CONCATENATE(P338,Q338,S338,R338),TMK[Lowest A-No PTX])),MIN(IF(TMK[Load Capability Reference]=CONCATENATE(P338,Q338,S338,R338),IF(TMK[Equipment ID]&lt;&gt;O338,TMK[Lowest A-No PTX])))))</f>
        <v>303.16535199999998</v>
      </c>
      <c r="F338" s="119">
        <f>IFERROR(IFERROR(VLOOKUP(CONCATENATE(P338,Q338,O338,S338,"Protection"),TMK[[OC Protection Reference]:[Forward A]],23,0),VLOOKUP(O338,AEL_Protection_Data[],12,0)),"N/A")</f>
        <v>480</v>
      </c>
      <c r="G338" s="119">
        <f t="shared" si="547"/>
        <v>240</v>
      </c>
      <c r="H338" s="29">
        <f t="shared" si="548"/>
        <v>4.5726141319818359</v>
      </c>
      <c r="I338" s="119">
        <f t="shared" si="549"/>
        <v>270</v>
      </c>
      <c r="J338" s="29">
        <f t="shared" si="563"/>
        <v>5.1441908984795655</v>
      </c>
      <c r="K338" s="6" t="str">
        <f>IF(U338="Yes",UPPER(IF(ISNUMBER(SEARCH("winding",VLOOKUP(CONCATENATE(P338,Q338,S338,E338),TMK[[Limiting Equipment Reference-PTX]:[Summ Equipment]],7,0))),"Power Transformer Rating at "&amp;ROUND(E338*S338*SQRT(3)/1000,2)&amp;" MVA",VLOOKUP(CONCATENATE(P338,Q338,S338,E338),TMK[[Limiting Equipment Reference-No PTX]:[Summ Equipment]],8,0))),UPPER(VLOOKUP(CONCATENATE(P338,Q338,S338,E338),TMK[[Limiting Equipment Reference-No PTX]:[Summ Equipment]],8,0)))</f>
        <v>CABLE-1-3C 300 MM² AL XLPE</v>
      </c>
      <c r="L338" s="146" t="s">
        <v>1266</v>
      </c>
      <c r="M338" s="509" t="s">
        <v>1162</v>
      </c>
      <c r="O338" s="118" t="str">
        <f t="shared" si="564"/>
        <v>CD1-T601</v>
      </c>
      <c r="P338" s="49" t="s">
        <v>1276</v>
      </c>
      <c r="Q338" s="49" t="s">
        <v>112</v>
      </c>
      <c r="R338" s="386"/>
      <c r="S338" s="43">
        <v>11</v>
      </c>
      <c r="T338" s="146" t="s">
        <v>1266</v>
      </c>
      <c r="U338" s="146" t="s">
        <v>1266</v>
      </c>
      <c r="V338" s="487"/>
      <c r="X338" s="495" t="s">
        <v>644</v>
      </c>
      <c r="Y338" s="431" t="s">
        <v>2668</v>
      </c>
      <c r="Z338" s="432">
        <v>420</v>
      </c>
      <c r="AA338" s="441" t="str">
        <f t="shared" si="565"/>
        <v>q</v>
      </c>
      <c r="AB338" s="134">
        <f t="shared" si="553"/>
        <v>0</v>
      </c>
      <c r="AC338" s="134">
        <f t="shared" si="554"/>
        <v>0</v>
      </c>
      <c r="AD338" s="134">
        <f t="shared" si="555"/>
        <v>116.83464800000002</v>
      </c>
      <c r="AE338" s="134">
        <f t="shared" si="556"/>
        <v>2.225999010624681</v>
      </c>
      <c r="AF338" s="432">
        <v>480</v>
      </c>
      <c r="AG338" s="436" t="str">
        <f t="shared" si="566"/>
        <v>u</v>
      </c>
      <c r="AH338" s="134">
        <f t="shared" si="558"/>
        <v>0</v>
      </c>
      <c r="AI338" s="134">
        <f t="shared" si="559"/>
        <v>0</v>
      </c>
      <c r="AJ338" s="134">
        <f t="shared" si="560"/>
        <v>0</v>
      </c>
      <c r="AK338" s="134">
        <f t="shared" si="561"/>
        <v>0</v>
      </c>
      <c r="AL338" s="470" t="s">
        <v>1266</v>
      </c>
    </row>
    <row r="339" spans="2:38" hidden="1" x14ac:dyDescent="0.25">
      <c r="B339" s="49" t="s">
        <v>645</v>
      </c>
      <c r="C339" s="168" t="s">
        <v>2669</v>
      </c>
      <c r="D339" s="119">
        <f>ROUNDDOWN(S339,0)</f>
        <v>11</v>
      </c>
      <c r="E339" s="370">
        <f t="array" ref="E339">IF(U339="YES",IF(T339="YES",MIN(IF(TMK[Load Capability Reference]=CONCATENATE(P339,Q339,S339,R339),TMK[Lowest A-PTX])),MIN(IF(TMK[Load Capability Reference]=CONCATENATE(P339,Q339,S339,R339),IF(TMK[Equipment ID]&lt;&gt;O339,TMK[Lowest A-PTX])))),IF(T339="YES",MIN(IF(TMK[Load Capability Reference]=CONCATENATE(P339,Q339,S339,R339),TMK[Lowest A-No PTX])),MIN(IF(TMK[Load Capability Reference]=CONCATENATE(P339,Q339,S339,R339),IF(TMK[Equipment ID]&lt;&gt;O339,TMK[Lowest A-No PTX])))))</f>
        <v>239.55119999999999</v>
      </c>
      <c r="F339" s="119">
        <f>IFERROR(IFERROR(VLOOKUP(CONCATENATE(P339,Q339,O339,S339,"Protection"),TMK[[OC Protection Reference]:[Forward A]],23,0),VLOOKUP(O339,AEL_Protection_Data[],12,0)),"N/A")</f>
        <v>480</v>
      </c>
      <c r="G339" s="119">
        <f t="shared" si="547"/>
        <v>190</v>
      </c>
      <c r="H339" s="29">
        <f t="shared" si="548"/>
        <v>3.6199861878189532</v>
      </c>
      <c r="I339" s="119">
        <f t="shared" si="549"/>
        <v>215</v>
      </c>
      <c r="J339" s="29">
        <f t="shared" si="563"/>
        <v>4.0963001599003945</v>
      </c>
      <c r="K339" s="6" t="str">
        <f>IF(U339="Yes",UPPER(IF(ISNUMBER(SEARCH("winding",VLOOKUP(CONCATENATE(P339,Q339,S339,E339),TMK[[Limiting Equipment Reference-PTX]:[Summ Equipment]],7,0))),"Power Transformer Rating at "&amp;ROUND(E339*S339*SQRT(3)/1000,2)&amp;" MVA",VLOOKUP(CONCATENATE(P339,Q339,S339,E339),TMK[[Limiting Equipment Reference-No PTX]:[Summ Equipment]],8,0))),UPPER(VLOOKUP(CONCATENATE(P339,Q339,S339,E339),TMK[[Limiting Equipment Reference-No PTX]:[Summ Equipment]],8,0)))</f>
        <v>CABLE-1-3C 185 MM² AL PILC</v>
      </c>
      <c r="L339" s="146" t="s">
        <v>1266</v>
      </c>
      <c r="M339" s="509" t="s">
        <v>1162</v>
      </c>
      <c r="O339" s="118" t="str">
        <f t="shared" si="564"/>
        <v>CD1-T602</v>
      </c>
      <c r="P339" s="49" t="s">
        <v>1276</v>
      </c>
      <c r="Q339" s="49" t="s">
        <v>123</v>
      </c>
      <c r="R339" s="386"/>
      <c r="S339" s="43">
        <v>11</v>
      </c>
      <c r="T339" s="146" t="s">
        <v>1266</v>
      </c>
      <c r="U339" s="146" t="s">
        <v>1266</v>
      </c>
      <c r="V339" s="487"/>
      <c r="X339" s="495" t="s">
        <v>645</v>
      </c>
      <c r="Y339" s="431" t="s">
        <v>2669</v>
      </c>
      <c r="Z339" s="432">
        <v>367</v>
      </c>
      <c r="AA339" s="441" t="str">
        <f t="shared" si="565"/>
        <v>q</v>
      </c>
      <c r="AB339" s="134">
        <f t="shared" si="553"/>
        <v>0</v>
      </c>
      <c r="AC339" s="134">
        <f t="shared" si="554"/>
        <v>0</v>
      </c>
      <c r="AD339" s="134">
        <f t="shared" si="555"/>
        <v>127.44880000000001</v>
      </c>
      <c r="AE339" s="134">
        <f t="shared" si="556"/>
        <v>2.4282257666005274</v>
      </c>
      <c r="AF339" s="432">
        <v>480</v>
      </c>
      <c r="AG339" s="436" t="str">
        <f t="shared" si="566"/>
        <v>u</v>
      </c>
      <c r="AH339" s="134">
        <f t="shared" si="558"/>
        <v>0</v>
      </c>
      <c r="AI339" s="134">
        <f t="shared" si="559"/>
        <v>0</v>
      </c>
      <c r="AJ339" s="134">
        <f t="shared" si="560"/>
        <v>0</v>
      </c>
      <c r="AK339" s="134">
        <f t="shared" si="561"/>
        <v>0</v>
      </c>
      <c r="AL339" s="470" t="s">
        <v>1266</v>
      </c>
    </row>
    <row r="340" spans="2:38" hidden="1" x14ac:dyDescent="0.25">
      <c r="B340" s="49" t="s">
        <v>646</v>
      </c>
      <c r="C340" s="168" t="s">
        <v>2670</v>
      </c>
      <c r="D340" s="119">
        <f t="shared" ref="D340:D351" si="567">ROUNDDOWN(S340,0)</f>
        <v>11</v>
      </c>
      <c r="E340" s="370">
        <f t="array" ref="E340">IF(U340="YES",IF(T340="YES",MIN(IF(TMK[Load Capability Reference]=CONCATENATE(P340,Q340,S340,R340),TMK[Lowest A-PTX])),MIN(IF(TMK[Load Capability Reference]=CONCATENATE(P340,Q340,S340,R340),IF(TMK[Equipment ID]&lt;&gt;O340,TMK[Lowest A-PTX])))),IF(T340="YES",MIN(IF(TMK[Load Capability Reference]=CONCATENATE(P340,Q340,S340,R340),TMK[Lowest A-No PTX])),MIN(IF(TMK[Load Capability Reference]=CONCATENATE(P340,Q340,S340,R340),IF(TMK[Equipment ID]&lt;&gt;O340,TMK[Lowest A-No PTX])))))</f>
        <v>342.01637400000004</v>
      </c>
      <c r="F340" s="119">
        <f>IFERROR(IFERROR(VLOOKUP(CONCATENATE(P340,Q340,O340,S340,"Protection"),TMK[[OC Protection Reference]:[Forward A]],23,0),VLOOKUP(O340,AEL_Protection_Data[],12,0)),"N/A")</f>
        <v>480</v>
      </c>
      <c r="G340" s="119">
        <f t="shared" si="547"/>
        <v>270</v>
      </c>
      <c r="H340" s="29">
        <f t="shared" si="548"/>
        <v>5.1441908984795655</v>
      </c>
      <c r="I340" s="119">
        <f t="shared" si="549"/>
        <v>305</v>
      </c>
      <c r="J340" s="29">
        <f t="shared" si="563"/>
        <v>5.8110304593935824</v>
      </c>
      <c r="K340" s="6" t="str">
        <f>IF(U340="Yes",UPPER(IF(ISNUMBER(SEARCH("winding",VLOOKUP(CONCATENATE(P340,Q340,S340,E340),TMK[[Limiting Equipment Reference-PTX]:[Summ Equipment]],7,0))),"Power Transformer Rating at "&amp;ROUND(E340*S340*SQRT(3)/1000,2)&amp;" MVA",VLOOKUP(CONCATENATE(P340,Q340,S340,E340),TMK[[Limiting Equipment Reference-No PTX]:[Summ Equipment]],8,0))),UPPER(VLOOKUP(CONCATENATE(P340,Q340,S340,E340),TMK[[Limiting Equipment Reference-No PTX]:[Summ Equipment]],8,0)))</f>
        <v>CABLE-3-1C 400 MM² AL XLPE</v>
      </c>
      <c r="L340" s="146" t="s">
        <v>1266</v>
      </c>
      <c r="M340" s="509" t="s">
        <v>1162</v>
      </c>
      <c r="O340" s="118" t="str">
        <f t="shared" si="564"/>
        <v>CD1-T603</v>
      </c>
      <c r="P340" s="49" t="s">
        <v>1276</v>
      </c>
      <c r="Q340" s="49" t="s">
        <v>131</v>
      </c>
      <c r="R340" s="386"/>
      <c r="S340" s="43">
        <v>11</v>
      </c>
      <c r="T340" s="146" t="s">
        <v>1266</v>
      </c>
      <c r="U340" s="146" t="s">
        <v>1266</v>
      </c>
      <c r="V340" s="487"/>
      <c r="X340" s="495" t="s">
        <v>646</v>
      </c>
      <c r="Y340" s="431" t="s">
        <v>2670</v>
      </c>
      <c r="Z340" s="432">
        <v>367</v>
      </c>
      <c r="AA340" s="441" t="str">
        <f t="shared" si="565"/>
        <v>q</v>
      </c>
      <c r="AB340" s="134">
        <f t="shared" si="553"/>
        <v>0</v>
      </c>
      <c r="AC340" s="134">
        <f t="shared" si="554"/>
        <v>0</v>
      </c>
      <c r="AD340" s="134">
        <f t="shared" si="555"/>
        <v>24.983625999999958</v>
      </c>
      <c r="AE340" s="134">
        <f t="shared" si="556"/>
        <v>0.47600200548228599</v>
      </c>
      <c r="AF340" s="432">
        <v>480</v>
      </c>
      <c r="AG340" s="436" t="str">
        <f t="shared" si="566"/>
        <v>u</v>
      </c>
      <c r="AH340" s="134">
        <f t="shared" si="558"/>
        <v>0</v>
      </c>
      <c r="AI340" s="134">
        <f t="shared" si="559"/>
        <v>0</v>
      </c>
      <c r="AJ340" s="134">
        <f t="shared" si="560"/>
        <v>0</v>
      </c>
      <c r="AK340" s="134">
        <f t="shared" si="561"/>
        <v>0</v>
      </c>
      <c r="AL340" s="470" t="s">
        <v>1266</v>
      </c>
    </row>
    <row r="341" spans="2:38" hidden="1" x14ac:dyDescent="0.25">
      <c r="B341" s="49" t="s">
        <v>1874</v>
      </c>
      <c r="C341" s="168" t="s">
        <v>963</v>
      </c>
      <c r="D341" s="119">
        <f t="shared" si="567"/>
        <v>11</v>
      </c>
      <c r="E341" s="370">
        <f>E339</f>
        <v>239.55119999999999</v>
      </c>
      <c r="F341" s="119">
        <f>IFERROR(IFERROR(VLOOKUP(CONCATENATE(P341,Q341,O341,S341,"Protection"),TMK[[OC Protection Reference]:[Forward A]],23,0),VLOOKUP(O341,AEL_Protection_Data[],12,0)),"N/A")</f>
        <v>480</v>
      </c>
      <c r="G341" s="119">
        <f t="shared" si="547"/>
        <v>190</v>
      </c>
      <c r="H341" s="29">
        <f t="shared" si="548"/>
        <v>3.6199861878189532</v>
      </c>
      <c r="I341" s="119">
        <f t="shared" si="549"/>
        <v>215</v>
      </c>
      <c r="J341" s="29">
        <f t="shared" si="563"/>
        <v>4.0963001599003945</v>
      </c>
      <c r="K341" s="6" t="str">
        <f>K339</f>
        <v>CABLE-1-3C 185 MM² AL PILC</v>
      </c>
      <c r="L341" s="146" t="s">
        <v>1266</v>
      </c>
      <c r="M341" s="509" t="s">
        <v>1162</v>
      </c>
      <c r="O341" s="118" t="str">
        <f t="shared" si="564"/>
        <v>CD1-T604</v>
      </c>
      <c r="P341" s="49" t="s">
        <v>1276</v>
      </c>
      <c r="Q341" s="49" t="s">
        <v>131</v>
      </c>
      <c r="R341" s="386"/>
      <c r="S341" s="43">
        <v>11</v>
      </c>
      <c r="T341" s="146" t="s">
        <v>1266</v>
      </c>
      <c r="U341" s="146" t="s">
        <v>1266</v>
      </c>
      <c r="V341" s="487" t="s">
        <v>2823</v>
      </c>
      <c r="X341" s="495" t="s">
        <v>1874</v>
      </c>
      <c r="Y341" s="431" t="s">
        <v>963</v>
      </c>
      <c r="Z341" s="432">
        <v>367</v>
      </c>
      <c r="AA341" s="441" t="str">
        <f t="shared" si="565"/>
        <v>q</v>
      </c>
      <c r="AB341" s="134">
        <f t="shared" si="553"/>
        <v>0</v>
      </c>
      <c r="AC341" s="134">
        <f t="shared" si="554"/>
        <v>0</v>
      </c>
      <c r="AD341" s="134">
        <f t="shared" si="555"/>
        <v>127.44880000000001</v>
      </c>
      <c r="AE341" s="134">
        <f t="shared" si="556"/>
        <v>2.4282257666005274</v>
      </c>
      <c r="AF341" s="432">
        <v>480</v>
      </c>
      <c r="AG341" s="436" t="str">
        <f t="shared" si="566"/>
        <v>u</v>
      </c>
      <c r="AH341" s="134">
        <f t="shared" si="558"/>
        <v>0</v>
      </c>
      <c r="AI341" s="134">
        <f t="shared" si="559"/>
        <v>0</v>
      </c>
      <c r="AJ341" s="134">
        <f t="shared" si="560"/>
        <v>0</v>
      </c>
      <c r="AK341" s="134">
        <f t="shared" si="561"/>
        <v>0</v>
      </c>
      <c r="AL341" s="470" t="s">
        <v>1266</v>
      </c>
    </row>
    <row r="342" spans="2:38" hidden="1" x14ac:dyDescent="0.25">
      <c r="B342" s="49" t="s">
        <v>647</v>
      </c>
      <c r="C342" s="168" t="s">
        <v>2671</v>
      </c>
      <c r="D342" s="119">
        <f t="shared" si="567"/>
        <v>11</v>
      </c>
      <c r="E342" s="370">
        <f t="array" ref="E342">IF(U342="YES",IF(T342="YES",MIN(IF(TMK[Load Capability Reference]=CONCATENATE(P342,Q342,S342,R342),TMK[Lowest A-PTX])),MIN(IF(TMK[Load Capability Reference]=CONCATENATE(P342,Q342,S342,R342),IF(TMK[Equipment ID]&lt;&gt;O342,TMK[Lowest A-PTX])))),IF(T342="YES",MIN(IF(TMK[Load Capability Reference]=CONCATENATE(P342,Q342,S342,R342),TMK[Lowest A-No PTX])),MIN(IF(TMK[Load Capability Reference]=CONCATENATE(P342,Q342,S342,R342),IF(TMK[Equipment ID]&lt;&gt;O342,TMK[Lowest A-No PTX])))))</f>
        <v>122.76998999999999</v>
      </c>
      <c r="F342" s="119">
        <f>IFERROR(IFERROR(VLOOKUP(CONCATENATE(P342,Q342,O342,S342,"Protection"),TMK[[OC Protection Reference]:[Forward A]],23,0),VLOOKUP(O342,AEL_Protection_Data[],12,0)),"N/A")</f>
        <v>252</v>
      </c>
      <c r="G342" s="119">
        <f t="shared" si="547"/>
        <v>95</v>
      </c>
      <c r="H342" s="29">
        <f t="shared" si="548"/>
        <v>1.8099930939094766</v>
      </c>
      <c r="I342" s="119">
        <f t="shared" si="549"/>
        <v>110</v>
      </c>
      <c r="J342" s="29">
        <f t="shared" si="563"/>
        <v>2.0957814771583414</v>
      </c>
      <c r="K342" s="6" t="str">
        <f>IF(U342="Yes",UPPER(IF(ISNUMBER(SEARCH("winding",VLOOKUP(CONCATENATE(P342,Q342,S342,E342),TMK[[Limiting Equipment Reference-PTX]:[Summ Equipment]],7,0))),"Power Transformer Rating at "&amp;ROUND(E342*S342*SQRT(3)/1000,2)&amp;" MVA",VLOOKUP(CONCATENATE(P342,Q342,S342,E342),TMK[[Limiting Equipment Reference-No PTX]:[Summ Equipment]],8,0))),UPPER(VLOOKUP(CONCATENATE(P342,Q342,S342,E342),TMK[[Limiting Equipment Reference-No PTX]:[Summ Equipment]],8,0)))</f>
        <v>CABLE-1-3C 95 MM² AL PILC</v>
      </c>
      <c r="L342" s="146" t="s">
        <v>1267</v>
      </c>
      <c r="M342" s="509" t="s">
        <v>1266</v>
      </c>
      <c r="O342" s="118" t="str">
        <f t="shared" si="564"/>
        <v>CD1-T605</v>
      </c>
      <c r="P342" s="49" t="s">
        <v>1276</v>
      </c>
      <c r="Q342" s="49" t="s">
        <v>137</v>
      </c>
      <c r="R342" s="386"/>
      <c r="S342" s="43">
        <v>11</v>
      </c>
      <c r="T342" s="146" t="s">
        <v>1266</v>
      </c>
      <c r="U342" s="146" t="s">
        <v>1266</v>
      </c>
      <c r="V342" s="487"/>
      <c r="X342" s="495" t="s">
        <v>647</v>
      </c>
      <c r="Y342" s="431" t="s">
        <v>2671</v>
      </c>
      <c r="Z342" s="432">
        <v>253</v>
      </c>
      <c r="AA342" s="441" t="str">
        <f t="shared" si="565"/>
        <v>q</v>
      </c>
      <c r="AB342" s="134">
        <f t="shared" si="553"/>
        <v>0</v>
      </c>
      <c r="AC342" s="134">
        <f t="shared" si="554"/>
        <v>0</v>
      </c>
      <c r="AD342" s="134">
        <f t="shared" si="555"/>
        <v>130.23000999999999</v>
      </c>
      <c r="AE342" s="134">
        <f t="shared" si="556"/>
        <v>2.481214933892232</v>
      </c>
      <c r="AF342" s="432">
        <v>252</v>
      </c>
      <c r="AG342" s="436" t="str">
        <f t="shared" si="566"/>
        <v>u</v>
      </c>
      <c r="AH342" s="134">
        <f t="shared" si="558"/>
        <v>0</v>
      </c>
      <c r="AI342" s="134">
        <f t="shared" si="559"/>
        <v>0</v>
      </c>
      <c r="AJ342" s="134">
        <f t="shared" si="560"/>
        <v>0</v>
      </c>
      <c r="AK342" s="134">
        <f t="shared" si="561"/>
        <v>0</v>
      </c>
      <c r="AL342" s="470" t="s">
        <v>2860</v>
      </c>
    </row>
    <row r="343" spans="2:38" hidden="1" x14ac:dyDescent="0.25">
      <c r="B343" s="49" t="s">
        <v>622</v>
      </c>
      <c r="C343" s="168" t="s">
        <v>2641</v>
      </c>
      <c r="D343" s="119">
        <f t="shared" si="567"/>
        <v>11</v>
      </c>
      <c r="E343" s="370">
        <f t="array" ref="E343">IF(U343="YES",IF(T343="YES",MIN(IF(TMK[Load Capability Reference]=CONCATENATE(P343,Q343,S343,R343),TMK[Lowest A-PTX])),MIN(IF(TMK[Load Capability Reference]=CONCATENATE(P343,Q343,S343,R343),IF(TMK[Equipment ID]&lt;&gt;O343,TMK[Lowest A-PTX])))),IF(T343="YES",MIN(IF(TMK[Load Capability Reference]=CONCATENATE(P343,Q343,S343,R343),TMK[Lowest A-No PTX])),MIN(IF(TMK[Load Capability Reference]=CONCATENATE(P343,Q343,S343,R343),IF(TMK[Equipment ID]&lt;&gt;O343,TMK[Lowest A-No PTX])))))</f>
        <v>1049.727762162956</v>
      </c>
      <c r="F343" s="119">
        <f>IFERROR(IFERROR(VLOOKUP(CONCATENATE(P343,Q343,O343,S343,"Protection"),TMK[[OC Protection Reference]:[Forward A]],23,0),VLOOKUP(O343,AEL_Protection_Data[],12,0)),"N/A")</f>
        <v>1440</v>
      </c>
      <c r="G343" s="119">
        <f t="shared" si="547"/>
        <v>835</v>
      </c>
      <c r="H343" s="29">
        <f t="shared" si="548"/>
        <v>15.908886667520138</v>
      </c>
      <c r="I343" s="119">
        <f t="shared" si="549"/>
        <v>940</v>
      </c>
      <c r="J343" s="29">
        <f t="shared" si="563"/>
        <v>17.90940535026219</v>
      </c>
      <c r="K343" s="6" t="str">
        <f>IF(U343="Yes",UPPER(IF(ISNUMBER(SEARCH("winding",VLOOKUP(CONCATENATE(P343,Q343,S343,E343),TMK[[Limiting Equipment Reference-PTX]:[Summ Equipment]],7,0))),"Power Transformer Rating at "&amp;ROUND(E343*S343*SQRT(3)/1000,2)&amp;" MVA",VLOOKUP(CONCATENATE(P343,Q343,S343,E343),TMK[[Limiting Equipment Reference-No PTX]:[Summ Equipment]],8,0))),UPPER(VLOOKUP(CONCATENATE(P343,Q343,S343,E343),TMK[[Limiting Equipment Reference-No PTX]:[Summ Equipment]],8,0)))</f>
        <v>POWER TRANSFORMER RATING AT 20 MVA</v>
      </c>
      <c r="L343" s="146" t="s">
        <v>1266</v>
      </c>
      <c r="M343" s="509" t="s">
        <v>1162</v>
      </c>
      <c r="O343" s="118" t="str">
        <f t="shared" si="564"/>
        <v>CD1-T606</v>
      </c>
      <c r="P343" s="49" t="s">
        <v>1246</v>
      </c>
      <c r="Q343" s="49" t="s">
        <v>88</v>
      </c>
      <c r="R343" s="386" t="s">
        <v>378</v>
      </c>
      <c r="S343" s="43">
        <v>11</v>
      </c>
      <c r="T343" s="146" t="s">
        <v>1266</v>
      </c>
      <c r="U343" s="146" t="s">
        <v>1267</v>
      </c>
      <c r="V343" s="487"/>
      <c r="X343" s="495" t="s">
        <v>622</v>
      </c>
      <c r="Y343" s="431" t="s">
        <v>2941</v>
      </c>
      <c r="Z343" s="432"/>
      <c r="AA343" s="441" t="str">
        <f t="shared" si="565"/>
        <v>p</v>
      </c>
      <c r="AB343" s="134">
        <f t="shared" si="553"/>
        <v>0</v>
      </c>
      <c r="AC343" s="134">
        <f t="shared" si="554"/>
        <v>0</v>
      </c>
      <c r="AD343" s="134">
        <f t="shared" si="555"/>
        <v>0</v>
      </c>
      <c r="AE343" s="134">
        <f t="shared" si="556"/>
        <v>0</v>
      </c>
      <c r="AF343" s="432">
        <v>1440</v>
      </c>
      <c r="AG343" s="436" t="str">
        <f t="shared" si="566"/>
        <v>u</v>
      </c>
      <c r="AH343" s="134">
        <f t="shared" si="558"/>
        <v>0</v>
      </c>
      <c r="AI343" s="134">
        <f t="shared" si="559"/>
        <v>0</v>
      </c>
      <c r="AJ343" s="134">
        <f t="shared" si="560"/>
        <v>0</v>
      </c>
      <c r="AK343" s="134">
        <f t="shared" si="561"/>
        <v>0</v>
      </c>
      <c r="AL343" s="470" t="s">
        <v>1266</v>
      </c>
    </row>
    <row r="344" spans="2:38" hidden="1" x14ac:dyDescent="0.25">
      <c r="B344" s="49" t="s">
        <v>2539</v>
      </c>
      <c r="C344" s="168" t="s">
        <v>2568</v>
      </c>
      <c r="D344" s="119">
        <f t="shared" si="567"/>
        <v>11</v>
      </c>
      <c r="E344" s="370">
        <v>1250</v>
      </c>
      <c r="F344" s="119">
        <f>IFERROR(IFERROR(VLOOKUP(CONCATENATE(P344,Q344,O344,S344,"Protection"),TMK[[OC Protection Reference]:[Forward A]],23,0),VLOOKUP(O344,AEL_Protection_Data[],12,0)),"N/A")</f>
        <v>1440</v>
      </c>
      <c r="G344" s="119">
        <f t="shared" si="547"/>
        <v>1000</v>
      </c>
      <c r="H344" s="29">
        <f t="shared" si="548"/>
        <v>19.05255888325765</v>
      </c>
      <c r="I344" s="119">
        <f t="shared" si="549"/>
        <v>1125</v>
      </c>
      <c r="J344" s="29">
        <f t="shared" si="563"/>
        <v>21.434128743664857</v>
      </c>
      <c r="K344" s="6" t="s">
        <v>2678</v>
      </c>
      <c r="L344" s="146" t="s">
        <v>1266</v>
      </c>
      <c r="M344" s="509" t="s">
        <v>1162</v>
      </c>
      <c r="O344" s="118" t="str">
        <f t="shared" si="564"/>
        <v>CD1-T607</v>
      </c>
      <c r="P344" s="49" t="s">
        <v>1246</v>
      </c>
      <c r="Q344" s="49" t="s">
        <v>88</v>
      </c>
      <c r="R344" s="386"/>
      <c r="S344" s="43">
        <v>11</v>
      </c>
      <c r="T344" s="146" t="s">
        <v>1266</v>
      </c>
      <c r="U344" s="146" t="s">
        <v>1266</v>
      </c>
      <c r="V344" s="487" t="s">
        <v>2823</v>
      </c>
      <c r="X344" s="495" t="s">
        <v>2539</v>
      </c>
      <c r="Y344" s="431" t="s">
        <v>2568</v>
      </c>
      <c r="Z344" s="432">
        <v>1250</v>
      </c>
      <c r="AA344" s="441" t="str">
        <f t="shared" si="565"/>
        <v>u</v>
      </c>
      <c r="AB344" s="134">
        <f t="shared" si="553"/>
        <v>0</v>
      </c>
      <c r="AC344" s="134">
        <f t="shared" si="554"/>
        <v>0</v>
      </c>
      <c r="AD344" s="134">
        <f t="shared" si="555"/>
        <v>0</v>
      </c>
      <c r="AE344" s="134">
        <f t="shared" si="556"/>
        <v>0</v>
      </c>
      <c r="AF344" s="432">
        <v>1440</v>
      </c>
      <c r="AG344" s="436" t="str">
        <f t="shared" si="566"/>
        <v>u</v>
      </c>
      <c r="AH344" s="134">
        <f t="shared" si="558"/>
        <v>0</v>
      </c>
      <c r="AI344" s="134">
        <f t="shared" si="559"/>
        <v>0</v>
      </c>
      <c r="AJ344" s="134">
        <f t="shared" si="560"/>
        <v>0</v>
      </c>
      <c r="AK344" s="134">
        <f t="shared" si="561"/>
        <v>0</v>
      </c>
      <c r="AL344" s="470" t="s">
        <v>1266</v>
      </c>
    </row>
    <row r="345" spans="2:38" hidden="1" x14ac:dyDescent="0.25">
      <c r="B345" s="49" t="s">
        <v>631</v>
      </c>
      <c r="C345" s="168" t="s">
        <v>2642</v>
      </c>
      <c r="D345" s="119">
        <f t="shared" ref="D345:D347" si="568">ROUNDDOWN(S345,0)</f>
        <v>11</v>
      </c>
      <c r="E345" s="370">
        <f t="array" ref="E345">IF(U345="YES",IF(T345="YES",MIN(IF(TMK[Load Capability Reference]=CONCATENATE(P345,Q345,S345,R345),TMK[Lowest A-PTX])),MIN(IF(TMK[Load Capability Reference]=CONCATENATE(P345,Q345,S345,R345),IF(TMK[Equipment ID]&lt;&gt;O345,TMK[Lowest A-PTX])))),IF(T345="YES",MIN(IF(TMK[Load Capability Reference]=CONCATENATE(P345,Q345,S345,R345),TMK[Lowest A-No PTX])),MIN(IF(TMK[Load Capability Reference]=CONCATENATE(P345,Q345,S345,R345),IF(TMK[Equipment ID]&lt;&gt;O345,TMK[Lowest A-No PTX])))))</f>
        <v>1049.727762162956</v>
      </c>
      <c r="F345" s="119">
        <f>IFERROR(IFERROR(VLOOKUP(CONCATENATE(P345,Q345,O345,S345,"Protection"),TMK[[OC Protection Reference]:[Forward A]],23,0),VLOOKUP(O345,AEL_Protection_Data[],12,0)),"N/A")</f>
        <v>1440</v>
      </c>
      <c r="G345" s="119">
        <f t="shared" si="547"/>
        <v>835</v>
      </c>
      <c r="H345" s="29">
        <f t="shared" si="548"/>
        <v>15.908886667520138</v>
      </c>
      <c r="I345" s="119">
        <f t="shared" si="549"/>
        <v>940</v>
      </c>
      <c r="J345" s="29">
        <f t="shared" ref="J345:J347" si="569">I345*S345*SQRT(3)/1000</f>
        <v>17.90940535026219</v>
      </c>
      <c r="K345" s="6" t="str">
        <f>IF(U345="Yes",UPPER(IF(ISNUMBER(SEARCH("winding",VLOOKUP(CONCATENATE(P345,Q345,S345,E345),TMK[[Limiting Equipment Reference-PTX]:[Summ Equipment]],7,0))),"Power Transformer Rating at "&amp;ROUND(E345*S345*SQRT(3)/1000,2)&amp;" MVA",VLOOKUP(CONCATENATE(P345,Q345,S345,E345),TMK[[Limiting Equipment Reference-No PTX]:[Summ Equipment]],8,0))),UPPER(VLOOKUP(CONCATENATE(P345,Q345,S345,E345),TMK[[Limiting Equipment Reference-No PTX]:[Summ Equipment]],8,0)))</f>
        <v>POWER TRANSFORMER RATING AT 20 MVA</v>
      </c>
      <c r="L345" s="146" t="s">
        <v>1266</v>
      </c>
      <c r="M345" s="509" t="s">
        <v>1162</v>
      </c>
      <c r="O345" s="118" t="str">
        <f t="shared" si="564"/>
        <v>CD1-T608</v>
      </c>
      <c r="P345" s="49" t="s">
        <v>1246</v>
      </c>
      <c r="Q345" s="49" t="s">
        <v>88</v>
      </c>
      <c r="R345" s="386" t="s">
        <v>307</v>
      </c>
      <c r="S345" s="43">
        <v>11</v>
      </c>
      <c r="T345" s="146" t="s">
        <v>1266</v>
      </c>
      <c r="U345" s="146" t="s">
        <v>1267</v>
      </c>
      <c r="V345" s="487"/>
      <c r="X345" s="495" t="s">
        <v>631</v>
      </c>
      <c r="Y345" s="431" t="s">
        <v>2942</v>
      </c>
      <c r="Z345" s="432"/>
      <c r="AA345" s="441" t="str">
        <f t="shared" si="565"/>
        <v>p</v>
      </c>
      <c r="AB345" s="134">
        <f t="shared" si="553"/>
        <v>0</v>
      </c>
      <c r="AC345" s="134">
        <f t="shared" si="554"/>
        <v>0</v>
      </c>
      <c r="AD345" s="134">
        <f t="shared" si="555"/>
        <v>0</v>
      </c>
      <c r="AE345" s="134">
        <f t="shared" si="556"/>
        <v>0</v>
      </c>
      <c r="AF345" s="432">
        <v>1440</v>
      </c>
      <c r="AG345" s="436" t="str">
        <f t="shared" si="566"/>
        <v>u</v>
      </c>
      <c r="AH345" s="134">
        <f t="shared" si="558"/>
        <v>0</v>
      </c>
      <c r="AI345" s="134">
        <f t="shared" si="559"/>
        <v>0</v>
      </c>
      <c r="AJ345" s="134">
        <f t="shared" si="560"/>
        <v>0</v>
      </c>
      <c r="AK345" s="134">
        <f t="shared" si="561"/>
        <v>0</v>
      </c>
      <c r="AL345" s="470" t="s">
        <v>1266</v>
      </c>
    </row>
    <row r="346" spans="2:38" hidden="1" x14ac:dyDescent="0.25">
      <c r="B346" s="49" t="s">
        <v>648</v>
      </c>
      <c r="C346" s="168" t="s">
        <v>2943</v>
      </c>
      <c r="D346" s="119">
        <f t="shared" si="568"/>
        <v>11</v>
      </c>
      <c r="E346" s="370">
        <f t="array" ref="E346">IF(U346="YES",IF(T346="YES",MIN(IF(TMK[Load Capability Reference]=CONCATENATE(P346,Q346,S346,R346),TMK[Lowest A-PTX])),MIN(IF(TMK[Load Capability Reference]=CONCATENATE(P346,Q346,S346,R346),IF(TMK[Equipment ID]&lt;&gt;O346,TMK[Lowest A-PTX])))),IF(T346="YES",MIN(IF(TMK[Load Capability Reference]=CONCATENATE(P346,Q346,S346,R346),TMK[Lowest A-No PTX])),MIN(IF(TMK[Load Capability Reference]=CONCATENATE(P346,Q346,S346,R346),IF(TMK[Equipment ID]&lt;&gt;O346,TMK[Lowest A-No PTX])))))</f>
        <v>303.16535199999998</v>
      </c>
      <c r="F346" s="119">
        <f>IFERROR(IFERROR(VLOOKUP(CONCATENATE(P346,Q346,O346,S346,"Protection"),TMK[[OC Protection Reference]:[Forward A]],23,0),VLOOKUP(O346,AEL_Protection_Data[],12,0)),"N/A")</f>
        <v>480</v>
      </c>
      <c r="G346" s="119">
        <f t="shared" si="547"/>
        <v>240</v>
      </c>
      <c r="H346" s="29">
        <f t="shared" si="548"/>
        <v>4.5726141319818359</v>
      </c>
      <c r="I346" s="119">
        <f t="shared" si="549"/>
        <v>270</v>
      </c>
      <c r="J346" s="29">
        <f t="shared" si="569"/>
        <v>5.1441908984795655</v>
      </c>
      <c r="K346" s="6" t="str">
        <f>IF(U346="Yes",UPPER(IF(ISNUMBER(SEARCH("winding",VLOOKUP(CONCATENATE(P346,Q346,S346,E346),TMK[[Limiting Equipment Reference-PTX]:[Summ Equipment]],7,0))),"Power Transformer Rating at "&amp;ROUND(E346*S346*SQRT(3)/1000,2)&amp;" MVA",VLOOKUP(CONCATENATE(P346,Q346,S346,E346),TMK[[Limiting Equipment Reference-No PTX]:[Summ Equipment]],8,0))),UPPER(VLOOKUP(CONCATENATE(P346,Q346,S346,E346),TMK[[Limiting Equipment Reference-No PTX]:[Summ Equipment]],8,0)))</f>
        <v>CABLE-1-3C 300 MM² AL XLPE</v>
      </c>
      <c r="L346" s="146" t="s">
        <v>1266</v>
      </c>
      <c r="M346" s="509" t="s">
        <v>1162</v>
      </c>
      <c r="O346" s="118" t="str">
        <f t="shared" si="564"/>
        <v>CD1-T609</v>
      </c>
      <c r="P346" s="49" t="s">
        <v>1276</v>
      </c>
      <c r="Q346" s="49" t="s">
        <v>141</v>
      </c>
      <c r="R346" s="386"/>
      <c r="S346" s="43">
        <v>11</v>
      </c>
      <c r="T346" s="146" t="s">
        <v>1266</v>
      </c>
      <c r="U346" s="146" t="s">
        <v>1266</v>
      </c>
      <c r="V346" s="487"/>
      <c r="X346" s="495" t="s">
        <v>648</v>
      </c>
      <c r="Y346" s="431" t="s">
        <v>2943</v>
      </c>
      <c r="Z346" s="432">
        <v>476</v>
      </c>
      <c r="AA346" s="441" t="str">
        <f t="shared" si="565"/>
        <v>q</v>
      </c>
      <c r="AB346" s="134">
        <f t="shared" si="553"/>
        <v>0</v>
      </c>
      <c r="AC346" s="134">
        <f t="shared" si="554"/>
        <v>0</v>
      </c>
      <c r="AD346" s="134">
        <f t="shared" si="555"/>
        <v>172.83464800000002</v>
      </c>
      <c r="AE346" s="134">
        <f t="shared" si="556"/>
        <v>3.2929423080871092</v>
      </c>
      <c r="AF346" s="432">
        <v>480</v>
      </c>
      <c r="AG346" s="436" t="str">
        <f t="shared" si="566"/>
        <v>u</v>
      </c>
      <c r="AH346" s="134">
        <f t="shared" si="558"/>
        <v>0</v>
      </c>
      <c r="AI346" s="134">
        <f t="shared" si="559"/>
        <v>0</v>
      </c>
      <c r="AJ346" s="134">
        <f t="shared" si="560"/>
        <v>0</v>
      </c>
      <c r="AK346" s="134">
        <f t="shared" si="561"/>
        <v>0</v>
      </c>
      <c r="AL346" s="470" t="s">
        <v>1266</v>
      </c>
    </row>
    <row r="347" spans="2:38" hidden="1" x14ac:dyDescent="0.25">
      <c r="B347" s="49" t="s">
        <v>649</v>
      </c>
      <c r="C347" s="168" t="s">
        <v>2673</v>
      </c>
      <c r="D347" s="119">
        <f t="shared" si="568"/>
        <v>11</v>
      </c>
      <c r="E347" s="370">
        <f t="array" ref="E347">IF(U347="YES",IF(T347="YES",MIN(IF(TMK[Load Capability Reference]=CONCATENATE(P347,Q347,S347,R347),TMK[Lowest A-PTX])),MIN(IF(TMK[Load Capability Reference]=CONCATENATE(P347,Q347,S347,R347),IF(TMK[Equipment ID]&lt;&gt;O347,TMK[Lowest A-PTX])))),IF(T347="YES",MIN(IF(TMK[Load Capability Reference]=CONCATENATE(P347,Q347,S347,R347),TMK[Lowest A-No PTX])),MIN(IF(TMK[Load Capability Reference]=CONCATENATE(P347,Q347,S347,R347),IF(TMK[Equipment ID]&lt;&gt;O347,TMK[Lowest A-No PTX])))))</f>
        <v>179.6634</v>
      </c>
      <c r="F347" s="119">
        <f>IFERROR(IFERROR(VLOOKUP(CONCATENATE(P347,Q347,O347,S347,"Protection"),TMK[[OC Protection Reference]:[Forward A]],23,0),VLOOKUP(O347,AEL_Protection_Data[],12,0)),"N/A")</f>
        <v>480</v>
      </c>
      <c r="G347" s="119">
        <f t="shared" si="547"/>
        <v>140</v>
      </c>
      <c r="H347" s="29">
        <f t="shared" si="548"/>
        <v>2.667358243656071</v>
      </c>
      <c r="I347" s="119">
        <f t="shared" si="549"/>
        <v>160</v>
      </c>
      <c r="J347" s="29">
        <f t="shared" si="569"/>
        <v>3.0484094213212236</v>
      </c>
      <c r="K347" s="6" t="str">
        <f>IF(U347="Yes",UPPER(IF(ISNUMBER(SEARCH("winding",VLOOKUP(CONCATENATE(P347,Q347,S347,E347),TMK[[Limiting Equipment Reference-PTX]:[Summ Equipment]],7,0))),"Power Transformer Rating at "&amp;ROUND(E347*S347*SQRT(3)/1000,2)&amp;" MVA",VLOOKUP(CONCATENATE(P347,Q347,S347,E347),TMK[[Limiting Equipment Reference-No PTX]:[Summ Equipment]],8,0))),UPPER(VLOOKUP(CONCATENATE(P347,Q347,S347,E347),TMK[[Limiting Equipment Reference-No PTX]:[Summ Equipment]],8,0)))</f>
        <v>CABLE-1-3C 185 MM² AL PILC</v>
      </c>
      <c r="L347" s="146" t="s">
        <v>1266</v>
      </c>
      <c r="M347" s="509" t="s">
        <v>1162</v>
      </c>
      <c r="O347" s="118" t="str">
        <f t="shared" si="564"/>
        <v>CD1-T610</v>
      </c>
      <c r="P347" s="49" t="s">
        <v>1276</v>
      </c>
      <c r="Q347" s="49" t="s">
        <v>144</v>
      </c>
      <c r="R347" s="386"/>
      <c r="S347" s="43">
        <v>11</v>
      </c>
      <c r="T347" s="146" t="s">
        <v>1266</v>
      </c>
      <c r="U347" s="146" t="s">
        <v>1266</v>
      </c>
      <c r="V347" s="487"/>
      <c r="X347" s="495" t="s">
        <v>649</v>
      </c>
      <c r="Y347" s="431" t="s">
        <v>2673</v>
      </c>
      <c r="Z347" s="432">
        <v>367</v>
      </c>
      <c r="AA347" s="441" t="str">
        <f t="shared" si="565"/>
        <v>q</v>
      </c>
      <c r="AB347" s="134">
        <f t="shared" si="553"/>
        <v>0</v>
      </c>
      <c r="AC347" s="134">
        <f t="shared" si="554"/>
        <v>0</v>
      </c>
      <c r="AD347" s="134">
        <f t="shared" si="555"/>
        <v>187.3366</v>
      </c>
      <c r="AE347" s="134">
        <f t="shared" si="556"/>
        <v>3.569241602489285</v>
      </c>
      <c r="AF347" s="432">
        <v>480</v>
      </c>
      <c r="AG347" s="436" t="str">
        <f t="shared" si="566"/>
        <v>u</v>
      </c>
      <c r="AH347" s="134">
        <f t="shared" si="558"/>
        <v>0</v>
      </c>
      <c r="AI347" s="134">
        <f t="shared" si="559"/>
        <v>0</v>
      </c>
      <c r="AJ347" s="134">
        <f t="shared" si="560"/>
        <v>0</v>
      </c>
      <c r="AK347" s="134">
        <f t="shared" si="561"/>
        <v>0</v>
      </c>
      <c r="AL347" s="470" t="s">
        <v>1266</v>
      </c>
    </row>
    <row r="348" spans="2:38" hidden="1" x14ac:dyDescent="0.25">
      <c r="B348" s="49" t="s">
        <v>650</v>
      </c>
      <c r="C348" s="168" t="s">
        <v>2674</v>
      </c>
      <c r="D348" s="119">
        <f t="shared" si="567"/>
        <v>11</v>
      </c>
      <c r="E348" s="370">
        <f t="array" ref="E348">IF(U348="YES",IF(T348="YES",MIN(IF(TMK[Load Capability Reference]=CONCATENATE(P348,Q348,S348,R348),TMK[Lowest A-PTX])),MIN(IF(TMK[Load Capability Reference]=CONCATENATE(P348,Q348,S348,R348),IF(TMK[Equipment ID]&lt;&gt;O348,TMK[Lowest A-PTX])))),IF(T348="YES",MIN(IF(TMK[Load Capability Reference]=CONCATENATE(P348,Q348,S348,R348),TMK[Lowest A-No PTX])),MIN(IF(TMK[Load Capability Reference]=CONCATENATE(P348,Q348,S348,R348),IF(TMK[Equipment ID]&lt;&gt;O348,TMK[Lowest A-No PTX])))))</f>
        <v>179.6634</v>
      </c>
      <c r="F348" s="119">
        <f>IFERROR(IFERROR(VLOOKUP(CONCATENATE(P348,Q348,O348,S348,"Protection"),TMK[[OC Protection Reference]:[Forward A]],23,0),VLOOKUP(O348,AEL_Protection_Data[],12,0)),"N/A")</f>
        <v>480</v>
      </c>
      <c r="G348" s="119">
        <f t="shared" si="547"/>
        <v>140</v>
      </c>
      <c r="H348" s="29">
        <f t="shared" si="548"/>
        <v>2.667358243656071</v>
      </c>
      <c r="I348" s="119">
        <f t="shared" si="549"/>
        <v>160</v>
      </c>
      <c r="J348" s="29">
        <f t="shared" si="563"/>
        <v>3.0484094213212236</v>
      </c>
      <c r="K348" s="6" t="str">
        <f>IF(U348="Yes",UPPER(IF(ISNUMBER(SEARCH("winding",VLOOKUP(CONCATENATE(P348,Q348,S348,E348),TMK[[Limiting Equipment Reference-PTX]:[Summ Equipment]],7,0))),"Power Transformer Rating at "&amp;ROUND(E348*S348*SQRT(3)/1000,2)&amp;" MVA",VLOOKUP(CONCATENATE(P348,Q348,S348,E348),TMK[[Limiting Equipment Reference-No PTX]:[Summ Equipment]],8,0))),UPPER(VLOOKUP(CONCATENATE(P348,Q348,S348,E348),TMK[[Limiting Equipment Reference-No PTX]:[Summ Equipment]],8,0)))</f>
        <v>CABLE-1-3C 185 MM² AL PILC</v>
      </c>
      <c r="L348" s="146" t="s">
        <v>1266</v>
      </c>
      <c r="M348" s="509" t="s">
        <v>1162</v>
      </c>
      <c r="O348" s="118" t="str">
        <f t="shared" si="564"/>
        <v>CD1-T611</v>
      </c>
      <c r="P348" s="49" t="s">
        <v>1276</v>
      </c>
      <c r="Q348" s="49" t="s">
        <v>147</v>
      </c>
      <c r="R348" s="386"/>
      <c r="S348" s="43">
        <v>11</v>
      </c>
      <c r="T348" s="146" t="s">
        <v>1266</v>
      </c>
      <c r="U348" s="146" t="s">
        <v>1266</v>
      </c>
      <c r="V348" s="487"/>
      <c r="X348" s="495" t="s">
        <v>650</v>
      </c>
      <c r="Y348" s="431" t="s">
        <v>2674</v>
      </c>
      <c r="Z348" s="432">
        <v>367</v>
      </c>
      <c r="AA348" s="441" t="str">
        <f t="shared" si="565"/>
        <v>q</v>
      </c>
      <c r="AB348" s="134">
        <f t="shared" si="553"/>
        <v>0</v>
      </c>
      <c r="AC348" s="134">
        <f t="shared" si="554"/>
        <v>0</v>
      </c>
      <c r="AD348" s="134">
        <f t="shared" si="555"/>
        <v>187.3366</v>
      </c>
      <c r="AE348" s="134">
        <f t="shared" si="556"/>
        <v>3.569241602489285</v>
      </c>
      <c r="AF348" s="432">
        <v>480</v>
      </c>
      <c r="AG348" s="436" t="str">
        <f t="shared" si="566"/>
        <v>u</v>
      </c>
      <c r="AH348" s="134">
        <f t="shared" si="558"/>
        <v>0</v>
      </c>
      <c r="AI348" s="134">
        <f t="shared" si="559"/>
        <v>0</v>
      </c>
      <c r="AJ348" s="134">
        <f t="shared" si="560"/>
        <v>0</v>
      </c>
      <c r="AK348" s="134">
        <f t="shared" si="561"/>
        <v>0</v>
      </c>
      <c r="AL348" s="470" t="s">
        <v>1266</v>
      </c>
    </row>
    <row r="349" spans="2:38" hidden="1" x14ac:dyDescent="0.25">
      <c r="B349" s="49" t="s">
        <v>651</v>
      </c>
      <c r="C349" s="168" t="s">
        <v>2675</v>
      </c>
      <c r="D349" s="119">
        <f t="shared" si="567"/>
        <v>11</v>
      </c>
      <c r="E349" s="370">
        <f t="array" ref="E349">IF(U349="YES",IF(T349="YES",MIN(IF(TMK[Load Capability Reference]=CONCATENATE(P349,Q349,S349,R349),TMK[Lowest A-PTX])),MIN(IF(TMK[Load Capability Reference]=CONCATENATE(P349,Q349,S349,R349),IF(TMK[Equipment ID]&lt;&gt;O349,TMK[Lowest A-PTX])))),IF(T349="YES",MIN(IF(TMK[Load Capability Reference]=CONCATENATE(P349,Q349,S349,R349),TMK[Lowest A-No PTX])),MIN(IF(TMK[Load Capability Reference]=CONCATENATE(P349,Q349,S349,R349),IF(TMK[Equipment ID]&lt;&gt;O349,TMK[Lowest A-No PTX])))))</f>
        <v>122.76998999999999</v>
      </c>
      <c r="F349" s="119">
        <f>IFERROR(IFERROR(VLOOKUP(CONCATENATE(P349,Q349,O349,S349,"Protection"),TMK[[OC Protection Reference]:[Forward A]],23,0),VLOOKUP(O349,AEL_Protection_Data[],12,0)),"N/A")</f>
        <v>480</v>
      </c>
      <c r="G349" s="119">
        <f t="shared" si="547"/>
        <v>95</v>
      </c>
      <c r="H349" s="29">
        <f t="shared" si="548"/>
        <v>1.8099930939094766</v>
      </c>
      <c r="I349" s="119">
        <f t="shared" si="549"/>
        <v>110</v>
      </c>
      <c r="J349" s="29">
        <f t="shared" si="563"/>
        <v>2.0957814771583414</v>
      </c>
      <c r="K349" s="6" t="str">
        <f>IF(U349="Yes",UPPER(IF(ISNUMBER(SEARCH("winding",VLOOKUP(CONCATENATE(P349,Q349,S349,E349),TMK[[Limiting Equipment Reference-PTX]:[Summ Equipment]],7,0))),"Power Transformer Rating at "&amp;ROUND(E349*S349*SQRT(3)/1000,2)&amp;" MVA",VLOOKUP(CONCATENATE(P349,Q349,S349,E349),TMK[[Limiting Equipment Reference-No PTX]:[Summ Equipment]],8,0))),UPPER(VLOOKUP(CONCATENATE(P349,Q349,S349,E349),TMK[[Limiting Equipment Reference-No PTX]:[Summ Equipment]],8,0)))</f>
        <v>CABLE-1-3C 95 MM² AL PILC</v>
      </c>
      <c r="L349" s="146" t="s">
        <v>1266</v>
      </c>
      <c r="M349" s="509" t="s">
        <v>1162</v>
      </c>
      <c r="O349" s="118" t="str">
        <f t="shared" si="564"/>
        <v>CD1-T612</v>
      </c>
      <c r="P349" s="49" t="s">
        <v>1276</v>
      </c>
      <c r="Q349" s="49" t="s">
        <v>149</v>
      </c>
      <c r="R349" s="386"/>
      <c r="S349" s="43">
        <v>11</v>
      </c>
      <c r="T349" s="146" t="s">
        <v>1266</v>
      </c>
      <c r="U349" s="146" t="s">
        <v>1266</v>
      </c>
      <c r="V349" s="487"/>
      <c r="X349" s="495" t="s">
        <v>651</v>
      </c>
      <c r="Y349" s="431" t="s">
        <v>2675</v>
      </c>
      <c r="Z349" s="432">
        <v>253</v>
      </c>
      <c r="AA349" s="441" t="str">
        <f t="shared" si="565"/>
        <v>q</v>
      </c>
      <c r="AB349" s="134">
        <f t="shared" si="553"/>
        <v>0</v>
      </c>
      <c r="AC349" s="134">
        <f t="shared" si="554"/>
        <v>0</v>
      </c>
      <c r="AD349" s="134">
        <f t="shared" si="555"/>
        <v>130.23000999999999</v>
      </c>
      <c r="AE349" s="134">
        <f t="shared" si="556"/>
        <v>2.481214933892232</v>
      </c>
      <c r="AF349" s="432">
        <v>480</v>
      </c>
      <c r="AG349" s="436" t="str">
        <f t="shared" si="566"/>
        <v>u</v>
      </c>
      <c r="AH349" s="134">
        <f t="shared" si="558"/>
        <v>0</v>
      </c>
      <c r="AI349" s="134">
        <f t="shared" si="559"/>
        <v>0</v>
      </c>
      <c r="AJ349" s="134">
        <f t="shared" si="560"/>
        <v>0</v>
      </c>
      <c r="AK349" s="134">
        <f t="shared" si="561"/>
        <v>0</v>
      </c>
      <c r="AL349" s="470" t="s">
        <v>1266</v>
      </c>
    </row>
    <row r="350" spans="2:38" hidden="1" x14ac:dyDescent="0.25">
      <c r="B350" s="49" t="s">
        <v>652</v>
      </c>
      <c r="C350" s="168" t="s">
        <v>2676</v>
      </c>
      <c r="D350" s="119">
        <f t="shared" si="567"/>
        <v>11</v>
      </c>
      <c r="E350" s="370">
        <f t="array" ref="E350">IF(U350="YES",IF(T350="YES",MIN(IF(TMK[Load Capability Reference]=CONCATENATE(P350,Q350,S350,R350),TMK[Lowest A-PTX])),MIN(IF(TMK[Load Capability Reference]=CONCATENATE(P350,Q350,S350,R350),IF(TMK[Equipment ID]&lt;&gt;O350,TMK[Lowest A-PTX])))),IF(T350="YES",MIN(IF(TMK[Load Capability Reference]=CONCATENATE(P350,Q350,S350,R350),TMK[Lowest A-No PTX])),MIN(IF(TMK[Load Capability Reference]=CONCATENATE(P350,Q350,S350,R350),IF(TMK[Equipment ID]&lt;&gt;O350,TMK[Lowest A-No PTX])))))</f>
        <v>179.6634</v>
      </c>
      <c r="F350" s="119">
        <f>IFERROR(IFERROR(VLOOKUP(CONCATENATE(P350,Q350,O350,S350,"Protection"),TMK[[OC Protection Reference]:[Forward A]],23,0),VLOOKUP(O350,AEL_Protection_Data[],12,0)),"N/A")</f>
        <v>360</v>
      </c>
      <c r="G350" s="119">
        <f t="shared" si="547"/>
        <v>140</v>
      </c>
      <c r="H350" s="29">
        <f t="shared" si="548"/>
        <v>2.667358243656071</v>
      </c>
      <c r="I350" s="119">
        <f t="shared" si="549"/>
        <v>160</v>
      </c>
      <c r="J350" s="29">
        <f t="shared" si="563"/>
        <v>3.0484094213212236</v>
      </c>
      <c r="K350" s="6" t="str">
        <f>IF(U350="Yes",UPPER(IF(ISNUMBER(SEARCH("winding",VLOOKUP(CONCATENATE(P350,Q350,S350,E350),TMK[[Limiting Equipment Reference-PTX]:[Summ Equipment]],7,0))),"Power Transformer Rating at "&amp;ROUND(E350*S350*SQRT(3)/1000,2)&amp;" MVA",VLOOKUP(CONCATENATE(P350,Q350,S350,E350),TMK[[Limiting Equipment Reference-No PTX]:[Summ Equipment]],8,0))),UPPER(VLOOKUP(CONCATENATE(P350,Q350,S350,E350),TMK[[Limiting Equipment Reference-No PTX]:[Summ Equipment]],8,0)))</f>
        <v>CABLE-1-3C 185 MM² AL PILC</v>
      </c>
      <c r="L350" s="146" t="s">
        <v>1267</v>
      </c>
      <c r="M350" s="509" t="s">
        <v>1266</v>
      </c>
      <c r="O350" s="118" t="str">
        <f t="shared" si="564"/>
        <v>CD1-T613</v>
      </c>
      <c r="P350" s="49" t="s">
        <v>1276</v>
      </c>
      <c r="Q350" s="49" t="s">
        <v>152</v>
      </c>
      <c r="R350" s="386"/>
      <c r="S350" s="43">
        <v>11</v>
      </c>
      <c r="T350" s="146" t="s">
        <v>1266</v>
      </c>
      <c r="U350" s="146" t="s">
        <v>1266</v>
      </c>
      <c r="V350" s="487"/>
      <c r="X350" s="495" t="s">
        <v>652</v>
      </c>
      <c r="Y350" s="431" t="s">
        <v>2676</v>
      </c>
      <c r="Z350" s="432">
        <v>367</v>
      </c>
      <c r="AA350" s="441" t="str">
        <f t="shared" si="565"/>
        <v>q</v>
      </c>
      <c r="AB350" s="134">
        <f t="shared" si="553"/>
        <v>0</v>
      </c>
      <c r="AC350" s="134">
        <f t="shared" si="554"/>
        <v>0</v>
      </c>
      <c r="AD350" s="134">
        <f t="shared" si="555"/>
        <v>187.3366</v>
      </c>
      <c r="AE350" s="134">
        <f t="shared" si="556"/>
        <v>3.569241602489285</v>
      </c>
      <c r="AF350" s="432">
        <v>360</v>
      </c>
      <c r="AG350" s="436" t="str">
        <f t="shared" si="566"/>
        <v>u</v>
      </c>
      <c r="AH350" s="134">
        <f t="shared" si="558"/>
        <v>0</v>
      </c>
      <c r="AI350" s="134">
        <f t="shared" si="559"/>
        <v>0</v>
      </c>
      <c r="AJ350" s="134">
        <f t="shared" si="560"/>
        <v>0</v>
      </c>
      <c r="AK350" s="134">
        <f t="shared" si="561"/>
        <v>0</v>
      </c>
      <c r="AL350" s="470" t="s">
        <v>2860</v>
      </c>
    </row>
    <row r="351" spans="2:38" ht="15.75" hidden="1" thickBot="1" x14ac:dyDescent="0.3">
      <c r="B351" s="374" t="s">
        <v>653</v>
      </c>
      <c r="C351" s="375" t="s">
        <v>2677</v>
      </c>
      <c r="D351" s="377">
        <f t="shared" si="567"/>
        <v>11</v>
      </c>
      <c r="E351" s="384">
        <f t="array" ref="E351">IF(U351="YES",IF(T351="YES",MIN(IF(TMK[Load Capability Reference]=CONCATENATE(P351,Q351,S351,R351),TMK[Lowest A-PTX])),MIN(IF(TMK[Load Capability Reference]=CONCATENATE(P351,Q351,S351,R351),IF(TMK[Equipment ID]&lt;&gt;O351,TMK[Lowest A-PTX])))),IF(T351="YES",MIN(IF(TMK[Load Capability Reference]=CONCATENATE(P351,Q351,S351,R351),TMK[Lowest A-No PTX])),MIN(IF(TMK[Load Capability Reference]=CONCATENATE(P351,Q351,S351,R351),IF(TMK[Equipment ID]&lt;&gt;O351,TMK[Lowest A-No PTX])))))</f>
        <v>321.26477599999998</v>
      </c>
      <c r="F351" s="377">
        <f>IFERROR(IFERROR(VLOOKUP(CONCATENATE(P351,Q351,O351,S351,"Protection"),TMK[[OC Protection Reference]:[Forward A]],23,0),VLOOKUP(O351,AEL_Protection_Data[],12,0)),"N/A")</f>
        <v>480</v>
      </c>
      <c r="G351" s="377">
        <f t="shared" si="547"/>
        <v>255</v>
      </c>
      <c r="H351" s="185">
        <f t="shared" si="548"/>
        <v>4.8584025152307007</v>
      </c>
      <c r="I351" s="377">
        <f t="shared" si="549"/>
        <v>285</v>
      </c>
      <c r="J351" s="185">
        <f t="shared" si="563"/>
        <v>5.4299792817284294</v>
      </c>
      <c r="K351" s="191" t="str">
        <f>IF(U351="Yes",UPPER(IF(ISNUMBER(SEARCH("winding",VLOOKUP(CONCATENATE(P351,Q351,S351,E351),TMK[[Limiting Equipment Reference-PTX]:[Summ Equipment]],7,0))),"Power Transformer Rating at "&amp;ROUND(E351*S351*SQRT(3)/1000,2)&amp;" MVA",VLOOKUP(CONCATENATE(P351,Q351,S351,E351),TMK[[Limiting Equipment Reference-No PTX]:[Summ Equipment]],8,0))),UPPER(VLOOKUP(CONCATENATE(P351,Q351,S351,E351),TMK[[Limiting Equipment Reference-No PTX]:[Summ Equipment]],8,0)))</f>
        <v>CABLE-1-3C 300 MM² AL XLPE</v>
      </c>
      <c r="L351" s="379" t="s">
        <v>1266</v>
      </c>
      <c r="M351" s="511" t="s">
        <v>1162</v>
      </c>
      <c r="O351" s="514" t="str">
        <f t="shared" si="564"/>
        <v>CD1-T614</v>
      </c>
      <c r="P351" s="374" t="s">
        <v>1276</v>
      </c>
      <c r="Q351" s="374" t="s">
        <v>154</v>
      </c>
      <c r="R351" s="387"/>
      <c r="S351" s="175">
        <v>11</v>
      </c>
      <c r="T351" s="379" t="s">
        <v>1266</v>
      </c>
      <c r="U351" s="379" t="s">
        <v>1266</v>
      </c>
      <c r="V351" s="488"/>
      <c r="X351" s="503" t="s">
        <v>653</v>
      </c>
      <c r="Y351" s="433" t="s">
        <v>2677</v>
      </c>
      <c r="Z351" s="434">
        <v>476</v>
      </c>
      <c r="AA351" s="442" t="str">
        <f t="shared" si="565"/>
        <v>q</v>
      </c>
      <c r="AB351" s="451">
        <f t="shared" si="553"/>
        <v>0</v>
      </c>
      <c r="AC351" s="451">
        <f t="shared" si="554"/>
        <v>0</v>
      </c>
      <c r="AD351" s="451">
        <f t="shared" si="555"/>
        <v>154.73522400000002</v>
      </c>
      <c r="AE351" s="451">
        <f t="shared" si="556"/>
        <v>2.9481019665740624</v>
      </c>
      <c r="AF351" s="434">
        <v>480</v>
      </c>
      <c r="AG351" s="437" t="str">
        <f t="shared" si="566"/>
        <v>u</v>
      </c>
      <c r="AH351" s="451">
        <f t="shared" si="558"/>
        <v>0</v>
      </c>
      <c r="AI351" s="451">
        <f t="shared" si="559"/>
        <v>0</v>
      </c>
      <c r="AJ351" s="451">
        <f t="shared" si="560"/>
        <v>0</v>
      </c>
      <c r="AK351" s="451">
        <f t="shared" si="561"/>
        <v>0</v>
      </c>
      <c r="AL351" s="471" t="s">
        <v>1266</v>
      </c>
    </row>
    <row r="352" spans="2:38" hidden="1" x14ac:dyDescent="0.25">
      <c r="X352" s="427" t="s">
        <v>2205</v>
      </c>
      <c r="AB352" s="449">
        <f>SUM(AB335:AB351)</f>
        <v>0</v>
      </c>
      <c r="AC352" s="449">
        <f t="shared" ref="AC352:AE352" si="570">SUM(AC335:AC351)</f>
        <v>0</v>
      </c>
      <c r="AD352" s="449">
        <f t="shared" si="570"/>
        <v>1663.5902140000001</v>
      </c>
      <c r="AE352" s="449">
        <f t="shared" si="570"/>
        <v>31.695650509846192</v>
      </c>
      <c r="AH352" s="449">
        <f>SUM(AH335:AH351)</f>
        <v>0</v>
      </c>
      <c r="AI352" s="449">
        <f t="shared" ref="AI352:AK352" si="571">SUM(AI335:AI351)</f>
        <v>0</v>
      </c>
      <c r="AJ352" s="449">
        <f t="shared" si="571"/>
        <v>0</v>
      </c>
      <c r="AK352" s="449">
        <f t="shared" si="571"/>
        <v>0</v>
      </c>
    </row>
    <row r="353" spans="1:39" ht="27" hidden="1" thickBot="1" x14ac:dyDescent="0.3">
      <c r="B353" s="551" t="s">
        <v>2679</v>
      </c>
      <c r="C353" s="552"/>
      <c r="D353" s="552"/>
      <c r="E353" s="552"/>
      <c r="F353" s="552"/>
      <c r="G353" s="552"/>
      <c r="H353" s="552"/>
      <c r="I353" s="552"/>
      <c r="J353" s="552"/>
      <c r="K353" s="552"/>
      <c r="L353" s="552"/>
      <c r="M353" s="553"/>
      <c r="O353" s="551" t="s">
        <v>2391</v>
      </c>
      <c r="P353" s="552"/>
      <c r="Q353" s="552"/>
      <c r="R353" s="552"/>
      <c r="S353" s="552"/>
      <c r="T353" s="552"/>
      <c r="U353" s="552"/>
      <c r="V353" s="553"/>
      <c r="X353" s="586" t="str">
        <f>B353&amp;"-OLD"</f>
        <v>CLANDEBOYE NO. 2 (D1462)-OLD</v>
      </c>
      <c r="Y353" s="587"/>
      <c r="Z353" s="587"/>
      <c r="AA353" s="587"/>
      <c r="AB353" s="587"/>
      <c r="AC353" s="587"/>
      <c r="AD353" s="587"/>
      <c r="AE353" s="587"/>
      <c r="AF353" s="587"/>
      <c r="AG353" s="587"/>
      <c r="AH353" s="587"/>
      <c r="AI353" s="587"/>
      <c r="AJ353" s="587"/>
      <c r="AK353" s="587"/>
      <c r="AL353" s="588"/>
      <c r="AM353" s="481"/>
    </row>
    <row r="354" spans="1:39" ht="15.75" hidden="1" thickBot="1" x14ac:dyDescent="0.3">
      <c r="B354" s="571" t="str">
        <f>B28</f>
        <v>CB ID</v>
      </c>
      <c r="C354" s="545" t="str">
        <f>C28</f>
        <v>DESIGNATION</v>
      </c>
      <c r="D354" s="382" t="str">
        <f>D28</f>
        <v>Rated</v>
      </c>
      <c r="E354" s="572" t="str">
        <f>E28</f>
        <v>LOAD
CAPABILITY</v>
      </c>
      <c r="F354" s="572" t="str">
        <f>F28</f>
        <v>OC
PICKUP</v>
      </c>
      <c r="G354" s="559" t="str">
        <f>G6</f>
        <v>SCADA ALARM</v>
      </c>
      <c r="H354" s="560"/>
      <c r="I354" s="560"/>
      <c r="J354" s="561"/>
      <c r="K354" s="574" t="str">
        <f>K28</f>
        <v>LIMITING EQUIPMENT</v>
      </c>
      <c r="L354" s="575" t="str">
        <f>L28</f>
        <v>RECLOSING</v>
      </c>
      <c r="M354" s="576"/>
      <c r="O354" s="554" t="str">
        <f t="shared" ref="O354:V354" si="572">O28</f>
        <v>OC Pick up
Reference ID</v>
      </c>
      <c r="P354" s="557" t="str">
        <f t="shared" si="572"/>
        <v>Supply Level</v>
      </c>
      <c r="Q354" s="566" t="str">
        <f t="shared" si="572"/>
        <v>Station/Feeder</v>
      </c>
      <c r="R354" s="567" t="str">
        <f t="shared" si="572"/>
        <v>Refered
to PTX</v>
      </c>
      <c r="S354" s="569" t="str">
        <f t="shared" si="572"/>
        <v>Voltage</v>
      </c>
      <c r="T354" s="539" t="str">
        <f t="shared" si="572"/>
        <v>Include
CB</v>
      </c>
      <c r="U354" s="539" t="str">
        <f t="shared" si="572"/>
        <v>Include
PTX</v>
      </c>
      <c r="V354" s="542" t="str">
        <f t="shared" si="572"/>
        <v>Notes</v>
      </c>
      <c r="X354" s="585" t="s">
        <v>1260</v>
      </c>
      <c r="Y354" s="545" t="s">
        <v>1261</v>
      </c>
      <c r="Z354" s="559" t="s">
        <v>2749</v>
      </c>
      <c r="AA354" s="560"/>
      <c r="AB354" s="560"/>
      <c r="AC354" s="560"/>
      <c r="AD354" s="560"/>
      <c r="AE354" s="561"/>
      <c r="AF354" s="559" t="s">
        <v>1268</v>
      </c>
      <c r="AG354" s="560"/>
      <c r="AH354" s="560"/>
      <c r="AI354" s="560"/>
      <c r="AJ354" s="560"/>
      <c r="AK354" s="561"/>
      <c r="AL354" s="546" t="s">
        <v>2857</v>
      </c>
      <c r="AM354" s="466"/>
    </row>
    <row r="355" spans="1:39" ht="15.75" hidden="1" thickBot="1" x14ac:dyDescent="0.3">
      <c r="B355" s="557"/>
      <c r="C355" s="540"/>
      <c r="D355" s="362" t="str">
        <f>D29</f>
        <v>Voltage</v>
      </c>
      <c r="E355" s="573"/>
      <c r="F355" s="573"/>
      <c r="G355" s="544" t="str">
        <f>G7</f>
        <v>Pre-Emergency</v>
      </c>
      <c r="H355" s="544"/>
      <c r="I355" s="544" t="str">
        <f>I7</f>
        <v>Emergency</v>
      </c>
      <c r="J355" s="544"/>
      <c r="K355" s="540"/>
      <c r="L355" s="545" t="str">
        <f>L29</f>
        <v>AVAILABLE</v>
      </c>
      <c r="M355" s="546" t="str">
        <f>M29</f>
        <v>UTILISED</v>
      </c>
      <c r="O355" s="555"/>
      <c r="P355" s="557"/>
      <c r="Q355" s="557"/>
      <c r="R355" s="567"/>
      <c r="S355" s="569"/>
      <c r="T355" s="540"/>
      <c r="U355" s="540"/>
      <c r="V355" s="542"/>
      <c r="X355" s="555"/>
      <c r="Y355" s="540"/>
      <c r="Z355" s="589"/>
      <c r="AA355" s="590"/>
      <c r="AB355" s="590"/>
      <c r="AC355" s="590"/>
      <c r="AD355" s="590"/>
      <c r="AE355" s="591"/>
      <c r="AF355" s="589"/>
      <c r="AG355" s="590"/>
      <c r="AH355" s="590"/>
      <c r="AI355" s="590"/>
      <c r="AJ355" s="590"/>
      <c r="AK355" s="591"/>
      <c r="AL355" s="577"/>
      <c r="AM355" s="466"/>
    </row>
    <row r="356" spans="1:39" ht="15.75" hidden="1" thickBot="1" x14ac:dyDescent="0.3">
      <c r="B356" s="558"/>
      <c r="C356" s="541"/>
      <c r="D356" s="345" t="str">
        <f>D30</f>
        <v>(kV)</v>
      </c>
      <c r="E356" s="345" t="str">
        <f>E30</f>
        <v>(A)</v>
      </c>
      <c r="F356" s="345" t="str">
        <f>F30</f>
        <v>(A)</v>
      </c>
      <c r="G356" s="406" t="str">
        <f>G8</f>
        <v>(A)</v>
      </c>
      <c r="H356" s="407" t="str">
        <f>H8</f>
        <v>(MVA)</v>
      </c>
      <c r="I356" s="406" t="str">
        <f>I8</f>
        <v>(A)</v>
      </c>
      <c r="J356" s="407" t="str">
        <f>J8</f>
        <v>(MVA)</v>
      </c>
      <c r="K356" s="541"/>
      <c r="L356" s="541"/>
      <c r="M356" s="547"/>
      <c r="O356" s="556"/>
      <c r="P356" s="558"/>
      <c r="Q356" s="558"/>
      <c r="R356" s="568"/>
      <c r="S356" s="570"/>
      <c r="T356" s="541"/>
      <c r="U356" s="541"/>
      <c r="V356" s="543"/>
      <c r="X356" s="556"/>
      <c r="Y356" s="541"/>
      <c r="Z356" s="428" t="s">
        <v>26</v>
      </c>
      <c r="AA356" s="439" t="s">
        <v>2861</v>
      </c>
      <c r="AB356" s="450" t="s">
        <v>2959</v>
      </c>
      <c r="AC356" s="450" t="s">
        <v>2960</v>
      </c>
      <c r="AD356" s="450" t="s">
        <v>2957</v>
      </c>
      <c r="AE356" s="450" t="s">
        <v>2958</v>
      </c>
      <c r="AF356" s="428" t="s">
        <v>26</v>
      </c>
      <c r="AG356" s="439" t="s">
        <v>2861</v>
      </c>
      <c r="AH356" s="450" t="s">
        <v>2959</v>
      </c>
      <c r="AI356" s="450" t="s">
        <v>2960</v>
      </c>
      <c r="AJ356" s="450" t="s">
        <v>2957</v>
      </c>
      <c r="AK356" s="450" t="s">
        <v>2958</v>
      </c>
      <c r="AL356" s="547"/>
      <c r="AM356" s="466"/>
    </row>
    <row r="357" spans="1:39" hidden="1" x14ac:dyDescent="0.25">
      <c r="B357" s="38" t="s">
        <v>635</v>
      </c>
      <c r="C357" s="3" t="s">
        <v>2680</v>
      </c>
      <c r="D357" s="61">
        <f t="shared" ref="D357:D360" si="573">ROUNDDOWN(S357,0)</f>
        <v>33</v>
      </c>
      <c r="E357" s="369">
        <f t="array" ref="E357">IF(U357="YES",IF(T357="YES",MIN(IF(TMK[Load Capability Reference]=CONCATENATE(P357,Q357,S357,R357),TMK[Lowest A-PTX])),MIN(IF(TMK[Load Capability Reference]=CONCATENATE(P357,Q357,S357,R357),IF(TMK[Equipment ID]&lt;&gt;O357,TMK[Lowest A-PTX])))),IF(T357="YES",MIN(IF(TMK[Load Capability Reference]=CONCATENATE(P357,Q357,S357,R357),TMK[Lowest A-No PTX])),MIN(IF(TMK[Load Capability Reference]=CONCATENATE(P357,Q357,S357,R357),IF(TMK[Equipment ID]&lt;&gt;O357,TMK[Lowest A-No PTX])))))</f>
        <v>407.19406000000004</v>
      </c>
      <c r="F357" s="61">
        <f>IFERROR(IFERROR(VLOOKUP(CONCATENATE(P357,Q357,O357,S357,"Protection"),TMK[[OC Protection Reference]:[Forward A]],23,0),VLOOKUP(O357,AEL_Protection_Data[],12,0)),"N/A")</f>
        <v>540</v>
      </c>
      <c r="G357" s="61">
        <f t="shared" ref="G357:G372" si="574">IFERROR(FLOOR(MIN(E357:F357)*$D$3,5),"")</f>
        <v>325</v>
      </c>
      <c r="H357" s="5">
        <f t="shared" ref="H357:H372" si="575">G357*S357*SQRT(3)/1000</f>
        <v>18.91061731957738</v>
      </c>
      <c r="I357" s="61">
        <f t="shared" ref="I357:I372" si="576">IFERROR(FLOOR(MIN(E357:F357)*$D$2,5),"")</f>
        <v>365</v>
      </c>
      <c r="J357" s="5">
        <f t="shared" ref="J357:J372" si="577">I357*S357*SQRT(3)/1000</f>
        <v>21.238077912756136</v>
      </c>
      <c r="K357" s="3" t="str">
        <f>IF(U357="Yes",UPPER(IF(ISNUMBER(SEARCH("winding",VLOOKUP(CONCATENATE(P357,Q357,S357,E357),TMK[[Limiting Equipment Reference-PTX]:[Summ Equipment]],7,0))),"Power Transformer Rating at "&amp;ROUND(E357*S357*SQRT(3)/1000,2)&amp;" MVA",VLOOKUP(CONCATENATE(P357,Q357,S357,E357),TMK[[Limiting Equipment Reference-No PTX]:[Summ Equipment]],8,0))),UPPER(VLOOKUP(CONCATENATE(P357,Q357,S357,E357),TMK[[Limiting Equipment Reference-No PTX]:[Summ Equipment]],8,0)))</f>
        <v>CABLE-3-1C 400 MM² AL XLPE</v>
      </c>
      <c r="L357" s="4" t="s">
        <v>1266</v>
      </c>
      <c r="M357" s="508" t="s">
        <v>1162</v>
      </c>
      <c r="O357" s="10" t="str">
        <f t="shared" ref="O357:O372" si="578">"CD2-"&amp;B357</f>
        <v>CD2-T662</v>
      </c>
      <c r="P357" s="38" t="s">
        <v>1245</v>
      </c>
      <c r="Q357" s="38" t="s">
        <v>89</v>
      </c>
      <c r="R357" s="389" t="s">
        <v>2694</v>
      </c>
      <c r="S357" s="139">
        <v>33.594000000000001</v>
      </c>
      <c r="T357" s="4" t="s">
        <v>1266</v>
      </c>
      <c r="U357" s="4" t="s">
        <v>1266</v>
      </c>
      <c r="V357" s="486"/>
      <c r="X357" s="494" t="s">
        <v>635</v>
      </c>
      <c r="Y357" s="429" t="s">
        <v>2944</v>
      </c>
      <c r="Z357" s="430">
        <v>420</v>
      </c>
      <c r="AA357" s="440" t="str">
        <f t="shared" ref="AA357:AA358" si="579">IF(Z357&gt;E357,"q",IF(Z357&lt;E357,"p","u"))</f>
        <v>q</v>
      </c>
      <c r="AB357" s="453">
        <f t="shared" ref="AB357:AB372" si="580">IF(Z357="",0,IF(Z357-E357&lt;0,ABS(Z357-E357),0))</f>
        <v>0</v>
      </c>
      <c r="AC357" s="453">
        <f t="shared" ref="AC357:AC372" si="581">AB357*$S357*SQRT(3)/1000</f>
        <v>0</v>
      </c>
      <c r="AD357" s="453">
        <f t="shared" ref="AD357:AD372" si="582">IF(Z357="",0,IF(Z357-E357&gt;0,ABS(Z357-E357),0))</f>
        <v>12.805939999999964</v>
      </c>
      <c r="AE357" s="453">
        <f t="shared" ref="AE357:AE372" si="583">AD357*$S357*SQRT(3)/1000</f>
        <v>0.74513301771528628</v>
      </c>
      <c r="AF357" s="430"/>
      <c r="AG357" s="435" t="str">
        <f t="shared" ref="AG357:AG358" si="584">IF(AF357&gt;F357,"q",IF(AF357&lt;F357,"p","u"))</f>
        <v>p</v>
      </c>
      <c r="AH357" s="453">
        <f t="shared" ref="AH357:AH372" si="585">IF(AF357="",0,IF(AF357-F357&lt;0,ABS(AF357-F357),0))</f>
        <v>0</v>
      </c>
      <c r="AI357" s="453">
        <f t="shared" ref="AI357:AI372" si="586">AH357*$S357*SQRT(3)/1000</f>
        <v>0</v>
      </c>
      <c r="AJ357" s="453">
        <f t="shared" ref="AJ357:AJ372" si="587">IF(AF357="",0,IF(AF357-F357&gt;0,ABS(AF357-F357),0))</f>
        <v>0</v>
      </c>
      <c r="AK357" s="453">
        <f t="shared" ref="AK357:AK372" si="588">AJ357*$S357*SQRT(3)/1000</f>
        <v>0</v>
      </c>
      <c r="AL357" s="469" t="s">
        <v>1266</v>
      </c>
    </row>
    <row r="358" spans="1:39" hidden="1" x14ac:dyDescent="0.25">
      <c r="A358" s="517"/>
      <c r="B358" s="49" t="s">
        <v>638</v>
      </c>
      <c r="C358" s="168" t="s">
        <v>2681</v>
      </c>
      <c r="D358" s="119">
        <f t="shared" si="573"/>
        <v>33</v>
      </c>
      <c r="E358" s="370">
        <f t="array" ref="E358">IF(U358="YES",IF(T358="YES",MIN(IF(TMK[Load Capability Reference]=CONCATENATE(P358,Q358,S358,R358),TMK[Lowest A-PTX])),MIN(IF(TMK[Load Capability Reference]=CONCATENATE(P358,Q358,S358,R358),IF(TMK[Equipment ID]&lt;&gt;O358,TMK[Lowest A-PTX])))),IF(T358="YES",MIN(IF(TMK[Load Capability Reference]=CONCATENATE(P358,Q358,S358,R358),TMK[Lowest A-No PTX])),MIN(IF(TMK[Load Capability Reference]=CONCATENATE(P358,Q358,S358,R358),IF(TMK[Equipment ID]&lt;&gt;O358,TMK[Lowest A-No PTX])))))</f>
        <v>407.19406000000004</v>
      </c>
      <c r="F358" s="119">
        <f>IFERROR(IFERROR(VLOOKUP(CONCATENATE(P358,Q358,O358,S358,"Protection"),TMK[[OC Protection Reference]:[Forward A]],23,0),VLOOKUP(O358,AEL_Protection_Data[],12,0)),"N/A")</f>
        <v>660</v>
      </c>
      <c r="G358" s="119">
        <f t="shared" si="574"/>
        <v>325</v>
      </c>
      <c r="H358" s="29">
        <f t="shared" si="575"/>
        <v>18.91061731957738</v>
      </c>
      <c r="I358" s="119">
        <f t="shared" si="576"/>
        <v>365</v>
      </c>
      <c r="J358" s="29">
        <f t="shared" si="577"/>
        <v>21.238077912756136</v>
      </c>
      <c r="K358" s="6" t="str">
        <f>IF(U358="Yes",UPPER(IF(ISNUMBER(SEARCH("winding",VLOOKUP(CONCATENATE(P358,Q358,S358,E358),TMK[[Limiting Equipment Reference-PTX]:[Summ Equipment]],7,0))),"Power Transformer Rating at "&amp;ROUND(E358*S358*SQRT(3)/1000,2)&amp;" MVA",VLOOKUP(CONCATENATE(P358,Q358,S358,E358),TMK[[Limiting Equipment Reference-No PTX]:[Summ Equipment]],8,0))),UPPER(VLOOKUP(CONCATENATE(P358,Q358,S358,E358),TMK[[Limiting Equipment Reference-No PTX]:[Summ Equipment]],8,0)))</f>
        <v>CABLE-3-1C 400 MM² AL XLPE</v>
      </c>
      <c r="L358" s="146" t="s">
        <v>1266</v>
      </c>
      <c r="M358" s="509" t="s">
        <v>1162</v>
      </c>
      <c r="N358" s="517"/>
      <c r="O358" s="118" t="str">
        <f t="shared" si="578"/>
        <v>CD2-T663</v>
      </c>
      <c r="P358" s="49" t="s">
        <v>1245</v>
      </c>
      <c r="Q358" s="49" t="s">
        <v>89</v>
      </c>
      <c r="R358" s="386" t="s">
        <v>2695</v>
      </c>
      <c r="S358" s="43">
        <v>33.594000000000001</v>
      </c>
      <c r="T358" s="146" t="s">
        <v>1266</v>
      </c>
      <c r="U358" s="146" t="s">
        <v>1266</v>
      </c>
      <c r="V358" s="487"/>
      <c r="X358" s="495" t="s">
        <v>638</v>
      </c>
      <c r="Y358" s="431" t="s">
        <v>2945</v>
      </c>
      <c r="Z358" s="432">
        <v>420</v>
      </c>
      <c r="AA358" s="441" t="str">
        <f t="shared" si="579"/>
        <v>q</v>
      </c>
      <c r="AB358" s="134">
        <f t="shared" si="580"/>
        <v>0</v>
      </c>
      <c r="AC358" s="134">
        <f t="shared" si="581"/>
        <v>0</v>
      </c>
      <c r="AD358" s="134">
        <f t="shared" si="582"/>
        <v>12.805939999999964</v>
      </c>
      <c r="AE358" s="134">
        <f t="shared" si="583"/>
        <v>0.74513301771528628</v>
      </c>
      <c r="AF358" s="432"/>
      <c r="AG358" s="436" t="str">
        <f t="shared" si="584"/>
        <v>p</v>
      </c>
      <c r="AH358" s="134">
        <f t="shared" si="585"/>
        <v>0</v>
      </c>
      <c r="AI358" s="134">
        <f t="shared" si="586"/>
        <v>0</v>
      </c>
      <c r="AJ358" s="134">
        <f t="shared" si="587"/>
        <v>0</v>
      </c>
      <c r="AK358" s="134">
        <f t="shared" si="588"/>
        <v>0</v>
      </c>
      <c r="AL358" s="470" t="s">
        <v>1266</v>
      </c>
    </row>
    <row r="359" spans="1:39" hidden="1" x14ac:dyDescent="0.25">
      <c r="B359" s="49" t="s">
        <v>654</v>
      </c>
      <c r="C359" s="168" t="s">
        <v>2682</v>
      </c>
      <c r="D359" s="119">
        <f t="shared" si="573"/>
        <v>11</v>
      </c>
      <c r="E359" s="370">
        <f t="array" ref="E359">IF(U359="YES",IF(T359="YES",MIN(IF(TMK[Load Capability Reference]=CONCATENATE(P359,Q359,S359,R359),TMK[Lowest A-PTX])),MIN(IF(TMK[Load Capability Reference]=CONCATENATE(P359,Q359,S359,R359),IF(TMK[Equipment ID]&lt;&gt;O359,TMK[Lowest A-PTX])))),IF(T359="YES",MIN(IF(TMK[Load Capability Reference]=CONCATENATE(P359,Q359,S359,R359),TMK[Lowest A-No PTX])),MIN(IF(TMK[Load Capability Reference]=CONCATENATE(P359,Q359,S359,R359),IF(TMK[Equipment ID]&lt;&gt;O359,TMK[Lowest A-No PTX])))))</f>
        <v>285.06592799999999</v>
      </c>
      <c r="F359" s="119">
        <f>IFERROR(IFERROR(VLOOKUP(CONCATENATE(P359,Q359,O359,S359,"Protection"),TMK[[OC Protection Reference]:[Forward A]],23,0),VLOOKUP(O359,AEL_Protection_Data[],12,0)),"N/A")</f>
        <v>480</v>
      </c>
      <c r="G359" s="119">
        <f t="shared" si="574"/>
        <v>225</v>
      </c>
      <c r="H359" s="29">
        <f t="shared" si="575"/>
        <v>4.2868257487329711</v>
      </c>
      <c r="I359" s="119">
        <f t="shared" si="576"/>
        <v>255</v>
      </c>
      <c r="J359" s="29">
        <f t="shared" si="577"/>
        <v>4.8584025152307007</v>
      </c>
      <c r="K359" s="168" t="str">
        <f>IF(U359="Yes",UPPER(IF(ISNUMBER(SEARCH("winding",VLOOKUP(CONCATENATE(P359,Q359,S359,E359),TMK[[Limiting Equipment Reference-PTX]:[Summ Equipment]],7,0))),"Power Transformer Rating at "&amp;ROUND(E359*S359*SQRT(3)/1000,2)&amp;" MVA",VLOOKUP(CONCATENATE(P359,Q359,S359,E359),TMK[[Limiting Equipment Reference-No PTX]:[Summ Equipment]],8,0))),UPPER(VLOOKUP(CONCATENATE(P359,Q359,S359,E359),TMK[[Limiting Equipment Reference-No PTX]:[Summ Equipment]],8,0)))</f>
        <v>CABLE-1-3C 300 MM² AL XLPE</v>
      </c>
      <c r="L359" s="146" t="s">
        <v>1266</v>
      </c>
      <c r="M359" s="509" t="s">
        <v>1162</v>
      </c>
      <c r="O359" s="118" t="str">
        <f t="shared" si="578"/>
        <v>CD2-T650</v>
      </c>
      <c r="P359" s="49" t="s">
        <v>1276</v>
      </c>
      <c r="Q359" s="49" t="s">
        <v>101</v>
      </c>
      <c r="R359" s="390"/>
      <c r="S359" s="32">
        <v>11</v>
      </c>
      <c r="T359" s="146" t="s">
        <v>1266</v>
      </c>
      <c r="U359" s="146" t="s">
        <v>1266</v>
      </c>
      <c r="V359" s="487"/>
      <c r="X359" s="495" t="s">
        <v>654</v>
      </c>
      <c r="Y359" s="431" t="s">
        <v>2946</v>
      </c>
      <c r="Z359" s="432">
        <v>310</v>
      </c>
      <c r="AA359" s="441" t="str">
        <f t="shared" ref="AA359:AA372" si="589">IF(Z359&gt;E359,"q",IF(Z359&lt;E359,"p","u"))</f>
        <v>q</v>
      </c>
      <c r="AB359" s="134">
        <f t="shared" si="580"/>
        <v>0</v>
      </c>
      <c r="AC359" s="134">
        <f t="shared" si="581"/>
        <v>0</v>
      </c>
      <c r="AD359" s="134">
        <f t="shared" si="582"/>
        <v>24.934072000000015</v>
      </c>
      <c r="AE359" s="134">
        <f t="shared" si="583"/>
        <v>0.47505787497938612</v>
      </c>
      <c r="AF359" s="432">
        <v>420</v>
      </c>
      <c r="AG359" s="436" t="str">
        <f t="shared" ref="AG359:AG372" si="590">IF(AF359&gt;F359,"q",IF(AF359&lt;F359,"p","u"))</f>
        <v>p</v>
      </c>
      <c r="AH359" s="134">
        <f t="shared" si="585"/>
        <v>60</v>
      </c>
      <c r="AI359" s="134">
        <f t="shared" si="586"/>
        <v>1.143153532995459</v>
      </c>
      <c r="AJ359" s="134">
        <f t="shared" si="587"/>
        <v>0</v>
      </c>
      <c r="AK359" s="134">
        <f t="shared" si="588"/>
        <v>0</v>
      </c>
      <c r="AL359" s="470" t="s">
        <v>1266</v>
      </c>
    </row>
    <row r="360" spans="1:39" hidden="1" x14ac:dyDescent="0.25">
      <c r="B360" s="49" t="s">
        <v>655</v>
      </c>
      <c r="C360" s="168" t="s">
        <v>2683</v>
      </c>
      <c r="D360" s="119">
        <f t="shared" si="573"/>
        <v>11</v>
      </c>
      <c r="E360" s="370">
        <f t="array" ref="E360">IF(U360="YES",IF(T360="YES",MIN(IF(TMK[Load Capability Reference]=CONCATENATE(P360,Q360,S360,R360),TMK[Lowest A-PTX])),MIN(IF(TMK[Load Capability Reference]=CONCATENATE(P360,Q360,S360,R360),IF(TMK[Equipment ID]&lt;&gt;O360,TMK[Lowest A-PTX])))),IF(T360="YES",MIN(IF(TMK[Load Capability Reference]=CONCATENATE(P360,Q360,S360,R360),TMK[Lowest A-No PTX])),MIN(IF(TMK[Load Capability Reference]=CONCATENATE(P360,Q360,S360,R360),IF(TMK[Equipment ID]&lt;&gt;O360,TMK[Lowest A-No PTX])))))</f>
        <v>330.31448799999998</v>
      </c>
      <c r="F360" s="119">
        <f>IFERROR(IFERROR(VLOOKUP(CONCATENATE(P360,Q360,O360,S360,"Protection"),TMK[[OC Protection Reference]:[Forward A]],23,0),VLOOKUP(O360,AEL_Protection_Data[],12,0)),"N/A")</f>
        <v>480</v>
      </c>
      <c r="G360" s="119">
        <f t="shared" si="574"/>
        <v>260</v>
      </c>
      <c r="H360" s="29">
        <f t="shared" si="575"/>
        <v>4.9536653096469889</v>
      </c>
      <c r="I360" s="119">
        <f t="shared" si="576"/>
        <v>295</v>
      </c>
      <c r="J360" s="29">
        <f t="shared" si="577"/>
        <v>5.6205048705610059</v>
      </c>
      <c r="K360" s="6" t="str">
        <f>IF(U360="Yes",UPPER(IF(ISNUMBER(SEARCH("winding",VLOOKUP(CONCATENATE(P360,Q360,S360,E360),TMK[[Limiting Equipment Reference-PTX]:[Summ Equipment]],7,0))),"Power Transformer Rating at "&amp;ROUND(E360*S360*SQRT(3)/1000,2)&amp;" MVA",VLOOKUP(CONCATENATE(P360,Q360,S360,E360),TMK[[Limiting Equipment Reference-No PTX]:[Summ Equipment]],8,0))),UPPER(VLOOKUP(CONCATENATE(P360,Q360,S360,E360),TMK[[Limiting Equipment Reference-No PTX]:[Summ Equipment]],8,0)))</f>
        <v>CABLE-1-3C 300 MM² AL XLPE</v>
      </c>
      <c r="L360" s="146" t="s">
        <v>1266</v>
      </c>
      <c r="M360" s="509" t="s">
        <v>1162</v>
      </c>
      <c r="O360" s="118" t="str">
        <f t="shared" si="578"/>
        <v>CD2-T651</v>
      </c>
      <c r="P360" s="49" t="s">
        <v>1276</v>
      </c>
      <c r="Q360" s="49" t="s">
        <v>113</v>
      </c>
      <c r="R360" s="386"/>
      <c r="S360" s="43">
        <v>11</v>
      </c>
      <c r="T360" s="146" t="s">
        <v>1266</v>
      </c>
      <c r="U360" s="146" t="s">
        <v>1266</v>
      </c>
      <c r="V360" s="487"/>
      <c r="X360" s="495" t="s">
        <v>655</v>
      </c>
      <c r="Y360" s="431" t="s">
        <v>2947</v>
      </c>
      <c r="Z360" s="432">
        <v>310</v>
      </c>
      <c r="AA360" s="441" t="str">
        <f t="shared" si="589"/>
        <v>p</v>
      </c>
      <c r="AB360" s="134">
        <f t="shared" si="580"/>
        <v>20.314487999999983</v>
      </c>
      <c r="AC360" s="134">
        <f t="shared" si="581"/>
        <v>0.38704297880323058</v>
      </c>
      <c r="AD360" s="134">
        <f t="shared" si="582"/>
        <v>0</v>
      </c>
      <c r="AE360" s="134">
        <f t="shared" si="583"/>
        <v>0</v>
      </c>
      <c r="AF360" s="432">
        <v>420</v>
      </c>
      <c r="AG360" s="436" t="str">
        <f t="shared" si="590"/>
        <v>p</v>
      </c>
      <c r="AH360" s="134">
        <f t="shared" si="585"/>
        <v>60</v>
      </c>
      <c r="AI360" s="134">
        <f t="shared" si="586"/>
        <v>1.143153532995459</v>
      </c>
      <c r="AJ360" s="134">
        <f t="shared" si="587"/>
        <v>0</v>
      </c>
      <c r="AK360" s="134">
        <f t="shared" si="588"/>
        <v>0</v>
      </c>
      <c r="AL360" s="470" t="s">
        <v>1266</v>
      </c>
    </row>
    <row r="361" spans="1:39" hidden="1" x14ac:dyDescent="0.25">
      <c r="B361" s="49" t="s">
        <v>656</v>
      </c>
      <c r="C361" s="168" t="s">
        <v>2684</v>
      </c>
      <c r="D361" s="119">
        <f>ROUNDDOWN(S361,0)</f>
        <v>11</v>
      </c>
      <c r="E361" s="370">
        <f t="array" ref="E361">IF(U361="YES",IF(T361="YES",MIN(IF(TMK[Load Capability Reference]=CONCATENATE(P361,Q361,S361,R361),TMK[Lowest A-PTX])),MIN(IF(TMK[Load Capability Reference]=CONCATENATE(P361,Q361,S361,R361),IF(TMK[Equipment ID]&lt;&gt;O361,TMK[Lowest A-PTX])))),IF(T361="YES",MIN(IF(TMK[Load Capability Reference]=CONCATENATE(P361,Q361,S361,R361),TMK[Lowest A-No PTX])),MIN(IF(TMK[Load Capability Reference]=CONCATENATE(P361,Q361,S361,R361),IF(TMK[Equipment ID]&lt;&gt;O361,TMK[Lowest A-No PTX])))))</f>
        <v>219.78822599999998</v>
      </c>
      <c r="F361" s="119">
        <f>IFERROR(IFERROR(VLOOKUP(CONCATENATE(P361,Q361,O361,S361,"Protection"),TMK[[OC Protection Reference]:[Forward A]],23,0),VLOOKUP(O361,AEL_Protection_Data[],12,0)),"N/A")</f>
        <v>1200</v>
      </c>
      <c r="G361" s="119">
        <f t="shared" si="574"/>
        <v>175</v>
      </c>
      <c r="H361" s="29">
        <f t="shared" si="575"/>
        <v>3.3341978045700884</v>
      </c>
      <c r="I361" s="119">
        <f t="shared" si="576"/>
        <v>195</v>
      </c>
      <c r="J361" s="29">
        <f t="shared" si="577"/>
        <v>3.7152489822352419</v>
      </c>
      <c r="K361" s="6" t="str">
        <f>IF(U361="Yes",UPPER(IF(ISNUMBER(SEARCH("winding",VLOOKUP(CONCATENATE(P361,Q361,S361,E361),TMK[[Limiting Equipment Reference-PTX]:[Summ Equipment]],7,0))),"Power Transformer Rating at "&amp;ROUND(E361*S361*SQRT(3)/1000,2)&amp;" MVA",VLOOKUP(CONCATENATE(P361,Q361,S361,E361),TMK[[Limiting Equipment Reference-No PTX]:[Summ Equipment]],8,0))),UPPER(VLOOKUP(CONCATENATE(P361,Q361,S361,E361),TMK[[Limiting Equipment Reference-No PTX]:[Summ Equipment]],8,0)))</f>
        <v>CABLE-1-3C 185 MM² XLPE</v>
      </c>
      <c r="L361" s="146" t="s">
        <v>1266</v>
      </c>
      <c r="M361" s="509" t="s">
        <v>1162</v>
      </c>
      <c r="O361" s="118" t="str">
        <f t="shared" si="578"/>
        <v>CD2-T652</v>
      </c>
      <c r="P361" s="49" t="s">
        <v>1276</v>
      </c>
      <c r="Q361" s="49" t="s">
        <v>124</v>
      </c>
      <c r="R361" s="386"/>
      <c r="S361" s="43">
        <v>11</v>
      </c>
      <c r="T361" s="146" t="s">
        <v>1266</v>
      </c>
      <c r="U361" s="146" t="s">
        <v>1266</v>
      </c>
      <c r="V361" s="487"/>
      <c r="X361" s="495" t="s">
        <v>656</v>
      </c>
      <c r="Y361" s="431" t="s">
        <v>2684</v>
      </c>
      <c r="Z361" s="432">
        <v>240</v>
      </c>
      <c r="AA361" s="441" t="str">
        <f t="shared" si="589"/>
        <v>q</v>
      </c>
      <c r="AB361" s="134">
        <f t="shared" si="580"/>
        <v>0</v>
      </c>
      <c r="AC361" s="134">
        <f t="shared" si="581"/>
        <v>0</v>
      </c>
      <c r="AD361" s="134">
        <f t="shared" si="582"/>
        <v>20.21177400000002</v>
      </c>
      <c r="AE361" s="134">
        <f t="shared" si="583"/>
        <v>0.38508601427009637</v>
      </c>
      <c r="AF361" s="432">
        <v>320</v>
      </c>
      <c r="AG361" s="436" t="str">
        <f t="shared" si="590"/>
        <v>p</v>
      </c>
      <c r="AH361" s="134">
        <f t="shared" si="585"/>
        <v>880</v>
      </c>
      <c r="AI361" s="134">
        <f t="shared" si="586"/>
        <v>16.766251817266731</v>
      </c>
      <c r="AJ361" s="134">
        <f t="shared" si="587"/>
        <v>0</v>
      </c>
      <c r="AK361" s="134">
        <f t="shared" si="588"/>
        <v>0</v>
      </c>
      <c r="AL361" s="470" t="s">
        <v>1266</v>
      </c>
    </row>
    <row r="362" spans="1:39" hidden="1" x14ac:dyDescent="0.25">
      <c r="B362" s="49" t="s">
        <v>657</v>
      </c>
      <c r="C362" s="168" t="s">
        <v>2685</v>
      </c>
      <c r="D362" s="119">
        <f t="shared" ref="D362:D372" si="591">ROUNDDOWN(S362,0)</f>
        <v>11</v>
      </c>
      <c r="E362" s="370">
        <f t="array" ref="E362">IF(U362="YES",IF(T362="YES",MIN(IF(TMK[Load Capability Reference]=CONCATENATE(P362,Q362,S362,R362),TMK[Lowest A-PTX])),MIN(IF(TMK[Load Capability Reference]=CONCATENATE(P362,Q362,S362,R362),IF(TMK[Equipment ID]&lt;&gt;O362,TMK[Lowest A-PTX])))),IF(T362="YES",MIN(IF(TMK[Load Capability Reference]=CONCATENATE(P362,Q362,S362,R362),TMK[Lowest A-No PTX])),MIN(IF(TMK[Load Capability Reference]=CONCATENATE(P362,Q362,S362,R362),IF(TMK[Equipment ID]&lt;&gt;O362,TMK[Lowest A-No PTX])))))</f>
        <v>316.73991999999998</v>
      </c>
      <c r="F362" s="119">
        <f>IFERROR(IFERROR(VLOOKUP(CONCATENATE(P362,Q362,O362,S362,"Protection"),TMK[[OC Protection Reference]:[Forward A]],23,0),VLOOKUP(O362,AEL_Protection_Data[],12,0)),"N/A")</f>
        <v>480</v>
      </c>
      <c r="G362" s="119">
        <f t="shared" si="574"/>
        <v>250</v>
      </c>
      <c r="H362" s="29">
        <f t="shared" si="575"/>
        <v>4.7631397208144124</v>
      </c>
      <c r="I362" s="119">
        <f t="shared" si="576"/>
        <v>285</v>
      </c>
      <c r="J362" s="29">
        <f t="shared" si="577"/>
        <v>5.4299792817284294</v>
      </c>
      <c r="K362" s="6" t="str">
        <f>IF(U362="Yes",UPPER(IF(ISNUMBER(SEARCH("winding",VLOOKUP(CONCATENATE(P362,Q362,S362,E362),TMK[[Limiting Equipment Reference-PTX]:[Summ Equipment]],7,0))),"Power Transformer Rating at "&amp;ROUND(E362*S362*SQRT(3)/1000,2)&amp;" MVA",VLOOKUP(CONCATENATE(P362,Q362,S362,E362),TMK[[Limiting Equipment Reference-No PTX]:[Summ Equipment]],8,0))),UPPER(VLOOKUP(CONCATENATE(P362,Q362,S362,E362),TMK[[Limiting Equipment Reference-No PTX]:[Summ Equipment]],8,0)))</f>
        <v>CABLE-1-3C 300 MM² AL XLPE</v>
      </c>
      <c r="L362" s="146" t="s">
        <v>1266</v>
      </c>
      <c r="M362" s="509" t="s">
        <v>1162</v>
      </c>
      <c r="O362" s="118" t="str">
        <f t="shared" si="578"/>
        <v>CD2-T653</v>
      </c>
      <c r="P362" s="49" t="s">
        <v>1276</v>
      </c>
      <c r="Q362" s="49" t="s">
        <v>132</v>
      </c>
      <c r="R362" s="386"/>
      <c r="S362" s="43">
        <v>11</v>
      </c>
      <c r="T362" s="146" t="s">
        <v>1266</v>
      </c>
      <c r="U362" s="146" t="s">
        <v>1266</v>
      </c>
      <c r="V362" s="487"/>
      <c r="X362" s="495" t="s">
        <v>657</v>
      </c>
      <c r="Y362" s="431" t="s">
        <v>2948</v>
      </c>
      <c r="Z362" s="432">
        <v>330</v>
      </c>
      <c r="AA362" s="441" t="str">
        <f t="shared" si="589"/>
        <v>q</v>
      </c>
      <c r="AB362" s="134">
        <f t="shared" si="580"/>
        <v>0</v>
      </c>
      <c r="AC362" s="134">
        <f t="shared" si="581"/>
        <v>0</v>
      </c>
      <c r="AD362" s="134">
        <f t="shared" si="582"/>
        <v>13.260080000000016</v>
      </c>
      <c r="AE362" s="134">
        <f t="shared" si="583"/>
        <v>0.2526384549967074</v>
      </c>
      <c r="AF362" s="432">
        <v>320</v>
      </c>
      <c r="AG362" s="436" t="str">
        <f t="shared" si="590"/>
        <v>p</v>
      </c>
      <c r="AH362" s="134">
        <f t="shared" si="585"/>
        <v>160</v>
      </c>
      <c r="AI362" s="134">
        <f t="shared" si="586"/>
        <v>3.0484094213212236</v>
      </c>
      <c r="AJ362" s="134">
        <f t="shared" si="587"/>
        <v>0</v>
      </c>
      <c r="AK362" s="134">
        <f t="shared" si="588"/>
        <v>0</v>
      </c>
      <c r="AL362" s="470" t="s">
        <v>1266</v>
      </c>
    </row>
    <row r="363" spans="1:39" hidden="1" x14ac:dyDescent="0.25">
      <c r="B363" s="49" t="s">
        <v>658</v>
      </c>
      <c r="C363" s="168" t="s">
        <v>2686</v>
      </c>
      <c r="D363" s="119">
        <f t="shared" si="591"/>
        <v>11</v>
      </c>
      <c r="E363" s="370">
        <f t="array" ref="E363">IF(U363="YES",IF(T363="YES",MIN(IF(TMK[Load Capability Reference]=CONCATENATE(P363,Q363,S363,R363),TMK[Lowest A-PTX])),MIN(IF(TMK[Load Capability Reference]=CONCATENATE(P363,Q363,S363,R363),IF(TMK[Equipment ID]&lt;&gt;O363,TMK[Lowest A-PTX])))),IF(T363="YES",MIN(IF(TMK[Load Capability Reference]=CONCATENATE(P363,Q363,S363,R363),TMK[Lowest A-No PTX])),MIN(IF(TMK[Load Capability Reference]=CONCATENATE(P363,Q363,S363,R363),IF(TMK[Equipment ID]&lt;&gt;O363,TMK[Lowest A-No PTX])))))</f>
        <v>309.19215600000001</v>
      </c>
      <c r="F363" s="119">
        <f>IFERROR(IFERROR(VLOOKUP(CONCATENATE(P363,Q363,O363,S363,"Protection"),TMK[[OC Protection Reference]:[Forward A]],23,0),VLOOKUP(O363,AEL_Protection_Data[],12,0)),"N/A")</f>
        <v>480</v>
      </c>
      <c r="G363" s="119">
        <f t="shared" si="574"/>
        <v>245</v>
      </c>
      <c r="H363" s="29">
        <f t="shared" si="575"/>
        <v>4.6678769263981241</v>
      </c>
      <c r="I363" s="119">
        <f t="shared" si="576"/>
        <v>275</v>
      </c>
      <c r="J363" s="29">
        <f t="shared" si="577"/>
        <v>5.2394536928958528</v>
      </c>
      <c r="K363" s="6" t="str">
        <f>IF(U363="Yes",UPPER(IF(ISNUMBER(SEARCH("winding",VLOOKUP(CONCATENATE(P363,Q363,S363,E363),TMK[[Limiting Equipment Reference-PTX]:[Summ Equipment]],7,0))),"Power Transformer Rating at "&amp;ROUND(E363*S363*SQRT(3)/1000,2)&amp;" MVA",VLOOKUP(CONCATENATE(P363,Q363,S363,E363),TMK[[Limiting Equipment Reference-No PTX]:[Summ Equipment]],8,0))),UPPER(VLOOKUP(CONCATENATE(P363,Q363,S363,E363),TMK[[Limiting Equipment Reference-No PTX]:[Summ Equipment]],8,0)))</f>
        <v>CABLE-1-3C 300 MM² AL XLPE</v>
      </c>
      <c r="L363" s="146" t="s">
        <v>1266</v>
      </c>
      <c r="M363" s="509" t="s">
        <v>1162</v>
      </c>
      <c r="O363" s="118" t="str">
        <f t="shared" si="578"/>
        <v>CD2-T654</v>
      </c>
      <c r="P363" s="49" t="s">
        <v>1276</v>
      </c>
      <c r="Q363" s="49" t="s">
        <v>138</v>
      </c>
      <c r="R363" s="386"/>
      <c r="S363" s="43">
        <v>11</v>
      </c>
      <c r="T363" s="146" t="s">
        <v>1266</v>
      </c>
      <c r="U363" s="146" t="s">
        <v>1266</v>
      </c>
      <c r="V363" s="487"/>
      <c r="X363" s="495" t="s">
        <v>658</v>
      </c>
      <c r="Y363" s="431" t="s">
        <v>2686</v>
      </c>
      <c r="Z363" s="432">
        <v>260</v>
      </c>
      <c r="AA363" s="441" t="str">
        <f t="shared" si="589"/>
        <v>p</v>
      </c>
      <c r="AB363" s="134">
        <f t="shared" si="580"/>
        <v>49.192156000000011</v>
      </c>
      <c r="AC363" s="134">
        <f t="shared" si="581"/>
        <v>0.93723644878439616</v>
      </c>
      <c r="AD363" s="134">
        <f t="shared" si="582"/>
        <v>0</v>
      </c>
      <c r="AE363" s="134">
        <f t="shared" si="583"/>
        <v>0</v>
      </c>
      <c r="AF363" s="432">
        <v>320</v>
      </c>
      <c r="AG363" s="436" t="str">
        <f t="shared" si="590"/>
        <v>p</v>
      </c>
      <c r="AH363" s="134">
        <f t="shared" si="585"/>
        <v>160</v>
      </c>
      <c r="AI363" s="134">
        <f t="shared" si="586"/>
        <v>3.0484094213212236</v>
      </c>
      <c r="AJ363" s="134">
        <f t="shared" si="587"/>
        <v>0</v>
      </c>
      <c r="AK363" s="134">
        <f t="shared" si="588"/>
        <v>0</v>
      </c>
      <c r="AL363" s="470" t="s">
        <v>1266</v>
      </c>
    </row>
    <row r="364" spans="1:39" hidden="1" x14ac:dyDescent="0.25">
      <c r="B364" s="49" t="s">
        <v>640</v>
      </c>
      <c r="C364" s="168" t="s">
        <v>2687</v>
      </c>
      <c r="D364" s="119">
        <f t="shared" si="591"/>
        <v>11</v>
      </c>
      <c r="E364" s="370">
        <f t="array" ref="E364">IF(U364="YES",IF(T364="YES",MIN(IF(TMK[Load Capability Reference]=CONCATENATE(P364,Q364,S364,R364),TMK[Lowest A-PTX])),MIN(IF(TMK[Load Capability Reference]=CONCATENATE(P364,Q364,S364,R364),IF(TMK[Equipment ID]&lt;&gt;O364,TMK[Lowest A-PTX])))),IF(T364="YES",MIN(IF(TMK[Load Capability Reference]=CONCATENATE(P364,Q364,S364,R364),TMK[Lowest A-No PTX])),MIN(IF(TMK[Load Capability Reference]=CONCATENATE(P364,Q364,S364,R364),IF(TMK[Equipment ID]&lt;&gt;O364,TMK[Lowest A-No PTX])))))</f>
        <v>1312.1597027036951</v>
      </c>
      <c r="F364" s="119">
        <f>IFERROR(IFERROR(VLOOKUP(CONCATENATE(P364,Q364,O364,S364,"Protection"),TMK[[OC Protection Reference]:[Forward A]],23,0),VLOOKUP(O364,AEL_Protection_Data[],12,0)),"N/A")</f>
        <v>1600</v>
      </c>
      <c r="G364" s="119">
        <f t="shared" si="574"/>
        <v>1045</v>
      </c>
      <c r="H364" s="29">
        <f t="shared" si="575"/>
        <v>19.909924033004245</v>
      </c>
      <c r="I364" s="119">
        <f t="shared" si="576"/>
        <v>1180</v>
      </c>
      <c r="J364" s="29">
        <f t="shared" si="577"/>
        <v>22.482019482244024</v>
      </c>
      <c r="K364" s="6" t="str">
        <f>IF(U364="Yes",UPPER(IF(ISNUMBER(SEARCH("winding",VLOOKUP(CONCATENATE(P364,Q364,S364,E364),TMK[[Limiting Equipment Reference-PTX]:[Summ Equipment]],7,0))),"Power Transformer Rating at "&amp;ROUND(E364*S364*SQRT(3)/1000,2)&amp;" MVA",VLOOKUP(CONCATENATE(P364,Q364,S364,E364),TMK[[Limiting Equipment Reference-No PTX]:[Summ Equipment]],8,0))),UPPER(VLOOKUP(CONCATENATE(P364,Q364,S364,E364),TMK[[Limiting Equipment Reference-No PTX]:[Summ Equipment]],8,0)))</f>
        <v>POWER TRANSFORMER RATING AT 25 MVA</v>
      </c>
      <c r="L364" s="146" t="s">
        <v>1266</v>
      </c>
      <c r="M364" s="509" t="s">
        <v>1162</v>
      </c>
      <c r="O364" s="118" t="str">
        <f t="shared" si="578"/>
        <v>CD2-T655</v>
      </c>
      <c r="P364" s="49" t="s">
        <v>1246</v>
      </c>
      <c r="Q364" s="49" t="s">
        <v>89</v>
      </c>
      <c r="R364" s="386" t="s">
        <v>2695</v>
      </c>
      <c r="S364" s="43">
        <v>11</v>
      </c>
      <c r="T364" s="146" t="s">
        <v>1266</v>
      </c>
      <c r="U364" s="146" t="s">
        <v>1267</v>
      </c>
      <c r="V364" s="487"/>
      <c r="X364" s="495" t="s">
        <v>640</v>
      </c>
      <c r="Y364" s="431" t="s">
        <v>2952</v>
      </c>
      <c r="Z364" s="432">
        <v>1500</v>
      </c>
      <c r="AA364" s="441" t="str">
        <f t="shared" si="589"/>
        <v>q</v>
      </c>
      <c r="AB364" s="134">
        <f t="shared" si="580"/>
        <v>0</v>
      </c>
      <c r="AC364" s="134">
        <f t="shared" si="581"/>
        <v>0</v>
      </c>
      <c r="AD364" s="134">
        <f t="shared" si="582"/>
        <v>187.84029729630493</v>
      </c>
      <c r="AE364" s="134">
        <f t="shared" si="583"/>
        <v>3.5788383248864721</v>
      </c>
      <c r="AF364" s="432">
        <v>1440</v>
      </c>
      <c r="AG364" s="436" t="str">
        <f t="shared" si="590"/>
        <v>p</v>
      </c>
      <c r="AH364" s="134">
        <f t="shared" si="585"/>
        <v>160</v>
      </c>
      <c r="AI364" s="134">
        <f t="shared" si="586"/>
        <v>3.0484094213212236</v>
      </c>
      <c r="AJ364" s="134">
        <f t="shared" si="587"/>
        <v>0</v>
      </c>
      <c r="AK364" s="134">
        <f t="shared" si="588"/>
        <v>0</v>
      </c>
      <c r="AL364" s="470" t="s">
        <v>1266</v>
      </c>
    </row>
    <row r="365" spans="1:39" hidden="1" x14ac:dyDescent="0.25">
      <c r="B365" s="49" t="s">
        <v>2541</v>
      </c>
      <c r="C365" s="168" t="s">
        <v>2568</v>
      </c>
      <c r="D365" s="119">
        <f t="shared" si="591"/>
        <v>11</v>
      </c>
      <c r="E365" s="370">
        <v>1250</v>
      </c>
      <c r="F365" s="119">
        <f>IFERROR(IFERROR(VLOOKUP(CONCATENATE(P365,Q365,O365,S365,"Protection"),TMK[[OC Protection Reference]:[Forward A]],23,0),VLOOKUP(O365,AEL_Protection_Data[],12,0)),"N/A")</f>
        <v>1400</v>
      </c>
      <c r="G365" s="119">
        <f t="shared" si="574"/>
        <v>1000</v>
      </c>
      <c r="H365" s="29">
        <f t="shared" si="575"/>
        <v>19.05255888325765</v>
      </c>
      <c r="I365" s="119">
        <f t="shared" si="576"/>
        <v>1125</v>
      </c>
      <c r="J365" s="29">
        <f t="shared" si="577"/>
        <v>21.434128743664857</v>
      </c>
      <c r="K365" s="6" t="s">
        <v>2696</v>
      </c>
      <c r="L365" s="146" t="s">
        <v>1266</v>
      </c>
      <c r="M365" s="509" t="s">
        <v>1162</v>
      </c>
      <c r="O365" s="118" t="str">
        <f t="shared" si="578"/>
        <v>CD2-T656</v>
      </c>
      <c r="P365" s="49" t="s">
        <v>1246</v>
      </c>
      <c r="Q365" s="49" t="s">
        <v>89</v>
      </c>
      <c r="R365" s="386"/>
      <c r="S365" s="43">
        <v>11</v>
      </c>
      <c r="T365" s="146" t="s">
        <v>1266</v>
      </c>
      <c r="U365" s="146" t="s">
        <v>1266</v>
      </c>
      <c r="V365" s="487" t="s">
        <v>2823</v>
      </c>
      <c r="X365" s="495" t="s">
        <v>2541</v>
      </c>
      <c r="Y365" s="431" t="s">
        <v>2568</v>
      </c>
      <c r="Z365" s="432">
        <v>1250</v>
      </c>
      <c r="AA365" s="441" t="str">
        <f t="shared" si="589"/>
        <v>u</v>
      </c>
      <c r="AB365" s="134">
        <f t="shared" si="580"/>
        <v>0</v>
      </c>
      <c r="AC365" s="134">
        <f t="shared" si="581"/>
        <v>0</v>
      </c>
      <c r="AD365" s="134">
        <f t="shared" si="582"/>
        <v>0</v>
      </c>
      <c r="AE365" s="134">
        <f t="shared" si="583"/>
        <v>0</v>
      </c>
      <c r="AF365" s="432"/>
      <c r="AG365" s="436" t="str">
        <f t="shared" si="590"/>
        <v>p</v>
      </c>
      <c r="AH365" s="134">
        <f t="shared" si="585"/>
        <v>0</v>
      </c>
      <c r="AI365" s="134">
        <f t="shared" si="586"/>
        <v>0</v>
      </c>
      <c r="AJ365" s="134">
        <f t="shared" si="587"/>
        <v>0</v>
      </c>
      <c r="AK365" s="134">
        <f t="shared" si="588"/>
        <v>0</v>
      </c>
      <c r="AL365" s="470" t="s">
        <v>1266</v>
      </c>
    </row>
    <row r="366" spans="1:39" hidden="1" x14ac:dyDescent="0.25">
      <c r="B366" s="49" t="s">
        <v>637</v>
      </c>
      <c r="C366" s="168" t="s">
        <v>2688</v>
      </c>
      <c r="D366" s="119">
        <f t="shared" si="591"/>
        <v>11</v>
      </c>
      <c r="E366" s="370">
        <f t="array" ref="E366">IF(U366="YES",IF(T366="YES",MIN(IF(TMK[Load Capability Reference]=CONCATENATE(P366,Q366,S366,R366),TMK[Lowest A-PTX])),MIN(IF(TMK[Load Capability Reference]=CONCATENATE(P366,Q366,S366,R366),IF(TMK[Equipment ID]&lt;&gt;O366,TMK[Lowest A-PTX])))),IF(T366="YES",MIN(IF(TMK[Load Capability Reference]=CONCATENATE(P366,Q366,S366,R366),TMK[Lowest A-No PTX])),MIN(IF(TMK[Load Capability Reference]=CONCATENATE(P366,Q366,S366,R366),IF(TMK[Equipment ID]&lt;&gt;O366,TMK[Lowest A-No PTX])))))</f>
        <v>1312.1597027036951</v>
      </c>
      <c r="F366" s="119">
        <f>IFERROR(IFERROR(VLOOKUP(CONCATENATE(P366,Q366,O366,S366,"Protection"),TMK[[OC Protection Reference]:[Forward A]],23,0),VLOOKUP(O366,AEL_Protection_Data[],12,0)),"N/A")</f>
        <v>1400</v>
      </c>
      <c r="G366" s="119">
        <f t="shared" si="574"/>
        <v>1045</v>
      </c>
      <c r="H366" s="29">
        <f t="shared" si="575"/>
        <v>19.909924033004245</v>
      </c>
      <c r="I366" s="119">
        <f t="shared" si="576"/>
        <v>1180</v>
      </c>
      <c r="J366" s="29">
        <f t="shared" ref="J366:J367" si="592">I366*S366*SQRT(3)/1000</f>
        <v>22.482019482244024</v>
      </c>
      <c r="K366" s="6" t="str">
        <f>IF(U366="Yes",UPPER(IF(ISNUMBER(SEARCH("winding",VLOOKUP(CONCATENATE(P366,Q366,S366,E366),TMK[[Limiting Equipment Reference-PTX]:[Summ Equipment]],7,0))),"Power Transformer Rating at "&amp;ROUND(E366*S366*SQRT(3)/1000,2)&amp;" MVA",VLOOKUP(CONCATENATE(P366,Q366,S366,E366),TMK[[Limiting Equipment Reference-No PTX]:[Summ Equipment]],8,0))),UPPER(VLOOKUP(CONCATENATE(P366,Q366,S366,E366),TMK[[Limiting Equipment Reference-No PTX]:[Summ Equipment]],8,0)))</f>
        <v>POWER TRANSFORMER RATING AT 25 MVA</v>
      </c>
      <c r="L366" s="146" t="s">
        <v>1266</v>
      </c>
      <c r="M366" s="509" t="s">
        <v>1162</v>
      </c>
      <c r="O366" s="118" t="str">
        <f t="shared" si="578"/>
        <v>CD2-T657</v>
      </c>
      <c r="P366" s="49" t="s">
        <v>1246</v>
      </c>
      <c r="Q366" s="49" t="s">
        <v>89</v>
      </c>
      <c r="R366" s="386" t="s">
        <v>2694</v>
      </c>
      <c r="S366" s="43">
        <v>11</v>
      </c>
      <c r="T366" s="146" t="s">
        <v>1266</v>
      </c>
      <c r="U366" s="146" t="s">
        <v>1267</v>
      </c>
      <c r="V366" s="487"/>
      <c r="X366" s="495" t="s">
        <v>637</v>
      </c>
      <c r="Y366" s="431" t="s">
        <v>2953</v>
      </c>
      <c r="Z366" s="432">
        <v>1500</v>
      </c>
      <c r="AA366" s="441" t="str">
        <f t="shared" si="589"/>
        <v>q</v>
      </c>
      <c r="AB366" s="134">
        <f t="shared" si="580"/>
        <v>0</v>
      </c>
      <c r="AC366" s="134">
        <f t="shared" si="581"/>
        <v>0</v>
      </c>
      <c r="AD366" s="134">
        <f t="shared" si="582"/>
        <v>187.84029729630493</v>
      </c>
      <c r="AE366" s="134">
        <f t="shared" si="583"/>
        <v>3.5788383248864721</v>
      </c>
      <c r="AF366" s="432">
        <v>1440</v>
      </c>
      <c r="AG366" s="436" t="str">
        <f t="shared" si="590"/>
        <v>q</v>
      </c>
      <c r="AH366" s="134">
        <f t="shared" si="585"/>
        <v>0</v>
      </c>
      <c r="AI366" s="134">
        <f t="shared" si="586"/>
        <v>0</v>
      </c>
      <c r="AJ366" s="134">
        <f t="shared" si="587"/>
        <v>40</v>
      </c>
      <c r="AK366" s="134">
        <f t="shared" si="588"/>
        <v>0.7621023553303059</v>
      </c>
      <c r="AL366" s="470" t="s">
        <v>1266</v>
      </c>
    </row>
    <row r="367" spans="1:39" hidden="1" x14ac:dyDescent="0.25">
      <c r="B367" s="49" t="s">
        <v>659</v>
      </c>
      <c r="C367" s="168" t="s">
        <v>2667</v>
      </c>
      <c r="D367" s="119">
        <f t="shared" si="591"/>
        <v>11</v>
      </c>
      <c r="E367" s="370">
        <f t="array" ref="E367">IF(U367="YES",IF(T367="YES",MIN(IF(TMK[Load Capability Reference]=CONCATENATE(P367,Q367,S367,R367),TMK[Lowest A-PTX])),MIN(IF(TMK[Load Capability Reference]=CONCATENATE(P367,Q367,S367,R367),IF(TMK[Equipment ID]&lt;&gt;O367,TMK[Lowest A-PTX])))),IF(T367="YES",MIN(IF(TMK[Load Capability Reference]=CONCATENATE(P367,Q367,S367,R367),TMK[Lowest A-No PTX])),MIN(IF(TMK[Load Capability Reference]=CONCATENATE(P367,Q367,S367,R367),IF(TMK[Equipment ID]&lt;&gt;O367,TMK[Lowest A-No PTX])))))</f>
        <v>285.06592799999999</v>
      </c>
      <c r="F367" s="119">
        <f>IFERROR(IFERROR(VLOOKUP(CONCATENATE(P367,Q367,O367,S367,"Protection"),TMK[[OC Protection Reference]:[Forward A]],23,0),VLOOKUP(O367,AEL_Protection_Data[],12,0)),"N/A")</f>
        <v>480</v>
      </c>
      <c r="G367" s="119">
        <f t="shared" si="574"/>
        <v>225</v>
      </c>
      <c r="H367" s="29">
        <f t="shared" si="575"/>
        <v>4.2868257487329711</v>
      </c>
      <c r="I367" s="119">
        <f t="shared" si="576"/>
        <v>255</v>
      </c>
      <c r="J367" s="29">
        <f t="shared" si="592"/>
        <v>4.8584025152307007</v>
      </c>
      <c r="K367" s="6" t="str">
        <f>IF(U367="Yes",UPPER(IF(ISNUMBER(SEARCH("winding",VLOOKUP(CONCATENATE(P367,Q367,S367,E367),TMK[[Limiting Equipment Reference-PTX]:[Summ Equipment]],7,0))),"Power Transformer Rating at "&amp;ROUND(E367*S367*SQRT(3)/1000,2)&amp;" MVA",VLOOKUP(CONCATENATE(P367,Q367,S367,E367),TMK[[Limiting Equipment Reference-No PTX]:[Summ Equipment]],8,0))),UPPER(VLOOKUP(CONCATENATE(P367,Q367,S367,E367),TMK[[Limiting Equipment Reference-No PTX]:[Summ Equipment]],8,0)))</f>
        <v>CABLE-1-3C 300 MM² AL XLPE</v>
      </c>
      <c r="L367" s="146" t="s">
        <v>1266</v>
      </c>
      <c r="M367" s="509" t="s">
        <v>1162</v>
      </c>
      <c r="O367" s="118" t="str">
        <f t="shared" si="578"/>
        <v>CD2-T658</v>
      </c>
      <c r="P367" s="49" t="s">
        <v>1276</v>
      </c>
      <c r="Q367" s="49" t="s">
        <v>142</v>
      </c>
      <c r="R367" s="386"/>
      <c r="S367" s="43">
        <v>11</v>
      </c>
      <c r="T367" s="146" t="s">
        <v>1266</v>
      </c>
      <c r="U367" s="146" t="s">
        <v>1267</v>
      </c>
      <c r="V367" s="487"/>
      <c r="X367" s="495" t="s">
        <v>659</v>
      </c>
      <c r="Y367" s="431" t="s">
        <v>2940</v>
      </c>
      <c r="Z367" s="432">
        <v>310</v>
      </c>
      <c r="AA367" s="441" t="str">
        <f t="shared" si="589"/>
        <v>q</v>
      </c>
      <c r="AB367" s="134">
        <f t="shared" si="580"/>
        <v>0</v>
      </c>
      <c r="AC367" s="134">
        <f t="shared" si="581"/>
        <v>0</v>
      </c>
      <c r="AD367" s="134">
        <f t="shared" si="582"/>
        <v>24.934072000000015</v>
      </c>
      <c r="AE367" s="134">
        <f t="shared" si="583"/>
        <v>0.47505787497938612</v>
      </c>
      <c r="AF367" s="432">
        <v>420</v>
      </c>
      <c r="AG367" s="436" t="str">
        <f t="shared" si="590"/>
        <v>p</v>
      </c>
      <c r="AH367" s="134">
        <f t="shared" si="585"/>
        <v>60</v>
      </c>
      <c r="AI367" s="134">
        <f t="shared" si="586"/>
        <v>1.143153532995459</v>
      </c>
      <c r="AJ367" s="134">
        <f t="shared" si="587"/>
        <v>0</v>
      </c>
      <c r="AK367" s="134">
        <f t="shared" si="588"/>
        <v>0</v>
      </c>
      <c r="AL367" s="470" t="s">
        <v>1266</v>
      </c>
    </row>
    <row r="368" spans="1:39" hidden="1" x14ac:dyDescent="0.25">
      <c r="B368" s="49" t="s">
        <v>660</v>
      </c>
      <c r="C368" s="168" t="s">
        <v>2689</v>
      </c>
      <c r="D368" s="119">
        <f t="shared" si="591"/>
        <v>11</v>
      </c>
      <c r="E368" s="370">
        <f t="array" ref="E368">IF(U368="YES",IF(T368="YES",MIN(IF(TMK[Load Capability Reference]=CONCATENATE(P368,Q368,S368,R368),TMK[Lowest A-PTX])),MIN(IF(TMK[Load Capability Reference]=CONCATENATE(P368,Q368,S368,R368),IF(TMK[Equipment ID]&lt;&gt;O368,TMK[Lowest A-PTX])))),IF(T368="YES",MIN(IF(TMK[Load Capability Reference]=CONCATENATE(P368,Q368,S368,R368),TMK[Lowest A-No PTX])),MIN(IF(TMK[Load Capability Reference]=CONCATENATE(P368,Q368,S368,R368),IF(TMK[Equipment ID]&lt;&gt;O368,TMK[Lowest A-No PTX])))))</f>
        <v>306.03713399999998</v>
      </c>
      <c r="F368" s="119">
        <f>IFERROR(IFERROR(VLOOKUP(CONCATENATE(P368,Q368,O368,S368,"Protection"),TMK[[OC Protection Reference]:[Forward A]],23,0),VLOOKUP(O368,AEL_Protection_Data[],12,0)),"N/A")</f>
        <v>480</v>
      </c>
      <c r="G368" s="119">
        <f t="shared" si="574"/>
        <v>240</v>
      </c>
      <c r="H368" s="29">
        <f t="shared" si="575"/>
        <v>4.5726141319818359</v>
      </c>
      <c r="I368" s="119">
        <f t="shared" si="576"/>
        <v>275</v>
      </c>
      <c r="J368" s="29">
        <f t="shared" si="577"/>
        <v>5.2394536928958528</v>
      </c>
      <c r="K368" s="6" t="str">
        <f>IF(U368="Yes",UPPER(IF(ISNUMBER(SEARCH("winding",VLOOKUP(CONCATENATE(P368,Q368,S368,E368),TMK[[Limiting Equipment Reference-PTX]:[Summ Equipment]],7,0))),"Power Transformer Rating at "&amp;ROUND(E368*S368*SQRT(3)/1000,2)&amp;" MVA",VLOOKUP(CONCATENATE(P368,Q368,S368,E368),TMK[[Limiting Equipment Reference-No PTX]:[Summ Equipment]],8,0))),UPPER(VLOOKUP(CONCATENATE(P368,Q368,S368,E368),TMK[[Limiting Equipment Reference-No PTX]:[Summ Equipment]],8,0)))</f>
        <v>CABLE-1-3C 300 MM² AL XLPE</v>
      </c>
      <c r="L368" s="146" t="s">
        <v>1266</v>
      </c>
      <c r="M368" s="509" t="s">
        <v>1162</v>
      </c>
      <c r="O368" s="118" t="str">
        <f t="shared" si="578"/>
        <v>CD2-T659</v>
      </c>
      <c r="P368" s="49" t="s">
        <v>1276</v>
      </c>
      <c r="Q368" s="49" t="s">
        <v>145</v>
      </c>
      <c r="R368" s="386"/>
      <c r="S368" s="43">
        <v>11</v>
      </c>
      <c r="T368" s="146" t="s">
        <v>1266</v>
      </c>
      <c r="U368" s="146" t="s">
        <v>1266</v>
      </c>
      <c r="V368" s="487"/>
      <c r="X368" s="495" t="s">
        <v>660</v>
      </c>
      <c r="Y368" s="431" t="s">
        <v>2949</v>
      </c>
      <c r="Z368" s="432">
        <v>270</v>
      </c>
      <c r="AA368" s="441" t="str">
        <f t="shared" si="589"/>
        <v>p</v>
      </c>
      <c r="AB368" s="134">
        <f t="shared" si="580"/>
        <v>36.03713399999998</v>
      </c>
      <c r="AC368" s="134">
        <f t="shared" si="581"/>
        <v>0.68659961751884591</v>
      </c>
      <c r="AD368" s="134">
        <f t="shared" si="582"/>
        <v>0</v>
      </c>
      <c r="AE368" s="134">
        <f t="shared" si="583"/>
        <v>0</v>
      </c>
      <c r="AF368" s="432">
        <v>320</v>
      </c>
      <c r="AG368" s="436" t="str">
        <f t="shared" si="590"/>
        <v>p</v>
      </c>
      <c r="AH368" s="134">
        <f t="shared" si="585"/>
        <v>160</v>
      </c>
      <c r="AI368" s="134">
        <f t="shared" si="586"/>
        <v>3.0484094213212236</v>
      </c>
      <c r="AJ368" s="134">
        <f t="shared" si="587"/>
        <v>0</v>
      </c>
      <c r="AK368" s="134">
        <f t="shared" si="588"/>
        <v>0</v>
      </c>
      <c r="AL368" s="470" t="s">
        <v>1266</v>
      </c>
    </row>
    <row r="369" spans="1:39" hidden="1" x14ac:dyDescent="0.25">
      <c r="B369" s="49" t="s">
        <v>661</v>
      </c>
      <c r="C369" s="168" t="s">
        <v>2690</v>
      </c>
      <c r="D369" s="119">
        <f t="shared" si="591"/>
        <v>11</v>
      </c>
      <c r="E369" s="370">
        <f t="array" ref="E369">IF(U369="YES",IF(T369="YES",MIN(IF(TMK[Load Capability Reference]=CONCATENATE(P369,Q369,S369,R369),TMK[Lowest A-PTX])),MIN(IF(TMK[Load Capability Reference]=CONCATENATE(P369,Q369,S369,R369),IF(TMK[Equipment ID]&lt;&gt;O369,TMK[Lowest A-PTX])))),IF(T369="YES",MIN(IF(TMK[Load Capability Reference]=CONCATENATE(P369,Q369,S369,R369),TMK[Lowest A-No PTX])),MIN(IF(TMK[Load Capability Reference]=CONCATENATE(P369,Q369,S369,R369),IF(TMK[Equipment ID]&lt;&gt;O369,TMK[Lowest A-No PTX])))))</f>
        <v>285.06592799999999</v>
      </c>
      <c r="F369" s="119">
        <f>IFERROR(IFERROR(VLOOKUP(CONCATENATE(P369,Q369,O369,S369,"Protection"),TMK[[OC Protection Reference]:[Forward A]],23,0),VLOOKUP(O369,AEL_Protection_Data[],12,0)),"N/A")</f>
        <v>480</v>
      </c>
      <c r="G369" s="119">
        <f t="shared" si="574"/>
        <v>225</v>
      </c>
      <c r="H369" s="29">
        <f t="shared" si="575"/>
        <v>4.2868257487329711</v>
      </c>
      <c r="I369" s="119">
        <f t="shared" si="576"/>
        <v>255</v>
      </c>
      <c r="J369" s="29">
        <f t="shared" si="577"/>
        <v>4.8584025152307007</v>
      </c>
      <c r="K369" s="6" t="str">
        <f>IF(U369="Yes",UPPER(IF(ISNUMBER(SEARCH("winding",VLOOKUP(CONCATENATE(P369,Q369,S369,E369),TMK[[Limiting Equipment Reference-PTX]:[Summ Equipment]],7,0))),"Power Transformer Rating at "&amp;ROUND(E369*S369*SQRT(3)/1000,2)&amp;" MVA",VLOOKUP(CONCATENATE(P369,Q369,S369,E369),TMK[[Limiting Equipment Reference-No PTX]:[Summ Equipment]],8,0))),UPPER(VLOOKUP(CONCATENATE(P369,Q369,S369,E369),TMK[[Limiting Equipment Reference-No PTX]:[Summ Equipment]],8,0)))</f>
        <v>CABLE-1-3C 300 MM² AL XLPE</v>
      </c>
      <c r="L369" s="146" t="s">
        <v>1266</v>
      </c>
      <c r="M369" s="509" t="s">
        <v>1162</v>
      </c>
      <c r="O369" s="118" t="str">
        <f t="shared" si="578"/>
        <v>CD2-T660</v>
      </c>
      <c r="P369" s="49" t="s">
        <v>1276</v>
      </c>
      <c r="Q369" s="49" t="s">
        <v>148</v>
      </c>
      <c r="R369" s="386"/>
      <c r="S369" s="43">
        <v>11</v>
      </c>
      <c r="T369" s="146" t="s">
        <v>1266</v>
      </c>
      <c r="U369" s="146" t="s">
        <v>1266</v>
      </c>
      <c r="V369" s="487"/>
      <c r="X369" s="495" t="s">
        <v>661</v>
      </c>
      <c r="Y369" s="431" t="s">
        <v>2690</v>
      </c>
      <c r="Z369" s="432">
        <v>310</v>
      </c>
      <c r="AA369" s="441" t="str">
        <f t="shared" si="589"/>
        <v>q</v>
      </c>
      <c r="AB369" s="134">
        <f t="shared" si="580"/>
        <v>0</v>
      </c>
      <c r="AC369" s="134">
        <f t="shared" si="581"/>
        <v>0</v>
      </c>
      <c r="AD369" s="134">
        <f t="shared" si="582"/>
        <v>24.934072000000015</v>
      </c>
      <c r="AE369" s="134">
        <f t="shared" si="583"/>
        <v>0.47505787497938612</v>
      </c>
      <c r="AF369" s="432">
        <v>320</v>
      </c>
      <c r="AG369" s="436" t="str">
        <f t="shared" si="590"/>
        <v>p</v>
      </c>
      <c r="AH369" s="134">
        <f t="shared" si="585"/>
        <v>160</v>
      </c>
      <c r="AI369" s="134">
        <f t="shared" si="586"/>
        <v>3.0484094213212236</v>
      </c>
      <c r="AJ369" s="134">
        <f t="shared" si="587"/>
        <v>0</v>
      </c>
      <c r="AK369" s="134">
        <f t="shared" si="588"/>
        <v>0</v>
      </c>
      <c r="AL369" s="470" t="s">
        <v>1266</v>
      </c>
    </row>
    <row r="370" spans="1:39" hidden="1" x14ac:dyDescent="0.25">
      <c r="B370" s="49" t="s">
        <v>662</v>
      </c>
      <c r="C370" s="168" t="s">
        <v>2691</v>
      </c>
      <c r="D370" s="119">
        <f t="shared" si="591"/>
        <v>11</v>
      </c>
      <c r="E370" s="370">
        <f t="array" ref="E370">IF(U370="YES",IF(T370="YES",MIN(IF(TMK[Load Capability Reference]=CONCATENATE(P370,Q370,S370,R370),TMK[Lowest A-PTX])),MIN(IF(TMK[Load Capability Reference]=CONCATENATE(P370,Q370,S370,R370),IF(TMK[Equipment ID]&lt;&gt;O370,TMK[Lowest A-PTX])))),IF(T370="YES",MIN(IF(TMK[Load Capability Reference]=CONCATENATE(P370,Q370,S370,R370),TMK[Lowest A-No PTX])),MIN(IF(TMK[Load Capability Reference]=CONCATENATE(P370,Q370,S370,R370),IF(TMK[Equipment ID]&lt;&gt;O370,TMK[Lowest A-No PTX])))))</f>
        <v>285.06592799999999</v>
      </c>
      <c r="F370" s="119">
        <f>IFERROR(IFERROR(VLOOKUP(CONCATENATE(P370,Q370,O370,S370,"Protection"),TMK[[OC Protection Reference]:[Forward A]],23,0),VLOOKUP(O370,AEL_Protection_Data[],12,0)),"N/A")</f>
        <v>480</v>
      </c>
      <c r="G370" s="119">
        <f t="shared" si="574"/>
        <v>225</v>
      </c>
      <c r="H370" s="29">
        <f t="shared" si="575"/>
        <v>4.2868257487329711</v>
      </c>
      <c r="I370" s="119">
        <f t="shared" si="576"/>
        <v>255</v>
      </c>
      <c r="J370" s="29">
        <f t="shared" si="577"/>
        <v>4.8584025152307007</v>
      </c>
      <c r="K370" s="6" t="str">
        <f>IF(U370="Yes",UPPER(IF(ISNUMBER(SEARCH("winding",VLOOKUP(CONCATENATE(P370,Q370,S370,E370),TMK[[Limiting Equipment Reference-PTX]:[Summ Equipment]],7,0))),"Power Transformer Rating at "&amp;ROUND(E370*S370*SQRT(3)/1000,2)&amp;" MVA",VLOOKUP(CONCATENATE(P370,Q370,S370,E370),TMK[[Limiting Equipment Reference-No PTX]:[Summ Equipment]],8,0))),UPPER(VLOOKUP(CONCATENATE(P370,Q370,S370,E370),TMK[[Limiting Equipment Reference-No PTX]:[Summ Equipment]],8,0)))</f>
        <v>CABLE-1-3C 300 MM² AL XLPE</v>
      </c>
      <c r="L370" s="146" t="s">
        <v>1266</v>
      </c>
      <c r="M370" s="509" t="s">
        <v>1162</v>
      </c>
      <c r="O370" s="118" t="str">
        <f t="shared" si="578"/>
        <v>CD2-T661</v>
      </c>
      <c r="P370" s="49" t="s">
        <v>1276</v>
      </c>
      <c r="Q370" s="49" t="s">
        <v>150</v>
      </c>
      <c r="R370" s="386"/>
      <c r="S370" s="43">
        <v>11</v>
      </c>
      <c r="T370" s="146" t="s">
        <v>1266</v>
      </c>
      <c r="U370" s="146" t="s">
        <v>1266</v>
      </c>
      <c r="V370" s="487"/>
      <c r="X370" s="495" t="s">
        <v>662</v>
      </c>
      <c r="Y370" s="431" t="s">
        <v>2691</v>
      </c>
      <c r="Z370" s="432">
        <v>310</v>
      </c>
      <c r="AA370" s="441" t="str">
        <f t="shared" si="589"/>
        <v>q</v>
      </c>
      <c r="AB370" s="134">
        <f t="shared" si="580"/>
        <v>0</v>
      </c>
      <c r="AC370" s="134">
        <f t="shared" si="581"/>
        <v>0</v>
      </c>
      <c r="AD370" s="134">
        <f t="shared" si="582"/>
        <v>24.934072000000015</v>
      </c>
      <c r="AE370" s="134">
        <f t="shared" si="583"/>
        <v>0.47505787497938612</v>
      </c>
      <c r="AF370" s="432">
        <v>420</v>
      </c>
      <c r="AG370" s="436" t="str">
        <f t="shared" si="590"/>
        <v>p</v>
      </c>
      <c r="AH370" s="134">
        <f t="shared" si="585"/>
        <v>60</v>
      </c>
      <c r="AI370" s="134">
        <f t="shared" si="586"/>
        <v>1.143153532995459</v>
      </c>
      <c r="AJ370" s="134">
        <f t="shared" si="587"/>
        <v>0</v>
      </c>
      <c r="AK370" s="134">
        <f t="shared" si="588"/>
        <v>0</v>
      </c>
      <c r="AL370" s="470" t="s">
        <v>1266</v>
      </c>
    </row>
    <row r="371" spans="1:39" hidden="1" x14ac:dyDescent="0.25">
      <c r="B371" s="49" t="s">
        <v>507</v>
      </c>
      <c r="C371" s="168" t="s">
        <v>2692</v>
      </c>
      <c r="D371" s="119">
        <f t="shared" si="591"/>
        <v>11</v>
      </c>
      <c r="E371" s="370">
        <f t="array" ref="E371">IF(U371="YES",IF(T371="YES",MIN(IF(TMK[Load Capability Reference]=CONCATENATE(P371,Q371,S371,R371),TMK[Lowest A-PTX])),MIN(IF(TMK[Load Capability Reference]=CONCATENATE(P371,Q371,S371,R371),IF(TMK[Equipment ID]&lt;&gt;O371,TMK[Lowest A-PTX])))),IF(T371="YES",MIN(IF(TMK[Load Capability Reference]=CONCATENATE(P371,Q371,S371,R371),TMK[Lowest A-No PTX])),MIN(IF(TMK[Load Capability Reference]=CONCATENATE(P371,Q371,S371,R371),IF(TMK[Equipment ID]&lt;&gt;O371,TMK[Lowest A-No PTX])))))</f>
        <v>630</v>
      </c>
      <c r="F371" s="119">
        <f>IFERROR(IFERROR(VLOOKUP(CONCATENATE(P371,Q371,O371,S371,"Protection"),TMK[[OC Protection Reference]:[Forward A]],23,0),VLOOKUP(O371,AEL_Protection_Data[],12,0)),"N/A")</f>
        <v>600</v>
      </c>
      <c r="G371" s="119">
        <f t="shared" si="574"/>
        <v>480</v>
      </c>
      <c r="H371" s="29">
        <f t="shared" si="575"/>
        <v>9.1452282639636717</v>
      </c>
      <c r="I371" s="119">
        <f t="shared" si="576"/>
        <v>540</v>
      </c>
      <c r="J371" s="29">
        <f t="shared" si="577"/>
        <v>10.288381796959131</v>
      </c>
      <c r="K371" s="6" t="str">
        <f>IF(U371="Yes",UPPER(IF(ISNUMBER(SEARCH("winding",VLOOKUP(CONCATENATE(P371,Q371,S371,E371),TMK[[Limiting Equipment Reference-PTX]:[Summ Equipment]],7,0))),"Power Transformer Rating at "&amp;ROUND(E371*S371*SQRT(3)/1000,2)&amp;" MVA",VLOOKUP(CONCATENATE(P371,Q371,S371,E371),TMK[[Limiting Equipment Reference-No PTX]:[Summ Equipment]],8,0))),UPPER(VLOOKUP(CONCATENATE(P371,Q371,S371,E371),TMK[[Limiting Equipment Reference-No PTX]:[Summ Equipment]],8,0)))</f>
        <v>RMU SWITCH-T708</v>
      </c>
      <c r="L371" s="146" t="s">
        <v>1266</v>
      </c>
      <c r="M371" s="509" t="s">
        <v>1162</v>
      </c>
      <c r="O371" s="118" t="str">
        <f t="shared" si="578"/>
        <v>CD2-CB2</v>
      </c>
      <c r="P371" s="49" t="s">
        <v>1276</v>
      </c>
      <c r="Q371" s="49" t="s">
        <v>1446</v>
      </c>
      <c r="R371" s="386"/>
      <c r="S371" s="43">
        <v>11</v>
      </c>
      <c r="T371" s="146" t="s">
        <v>1266</v>
      </c>
      <c r="U371" s="146" t="s">
        <v>1266</v>
      </c>
      <c r="V371" s="487"/>
      <c r="X371" s="495" t="s">
        <v>507</v>
      </c>
      <c r="Y371" s="431" t="s">
        <v>2950</v>
      </c>
      <c r="Z371" s="432">
        <v>617</v>
      </c>
      <c r="AA371" s="441" t="str">
        <f t="shared" si="589"/>
        <v>p</v>
      </c>
      <c r="AB371" s="134">
        <f t="shared" si="580"/>
        <v>13</v>
      </c>
      <c r="AC371" s="134">
        <f t="shared" si="581"/>
        <v>0.24768326548234945</v>
      </c>
      <c r="AD371" s="134">
        <f t="shared" si="582"/>
        <v>0</v>
      </c>
      <c r="AE371" s="134">
        <f t="shared" si="583"/>
        <v>0</v>
      </c>
      <c r="AF371" s="432">
        <v>600</v>
      </c>
      <c r="AG371" s="436" t="str">
        <f t="shared" si="590"/>
        <v>u</v>
      </c>
      <c r="AH371" s="134">
        <f t="shared" si="585"/>
        <v>0</v>
      </c>
      <c r="AI371" s="134">
        <f t="shared" si="586"/>
        <v>0</v>
      </c>
      <c r="AJ371" s="134">
        <f t="shared" si="587"/>
        <v>0</v>
      </c>
      <c r="AK371" s="134">
        <f t="shared" si="588"/>
        <v>0</v>
      </c>
      <c r="AL371" s="470" t="s">
        <v>1266</v>
      </c>
    </row>
    <row r="372" spans="1:39" ht="15.75" hidden="1" thickBot="1" x14ac:dyDescent="0.3">
      <c r="B372" s="374" t="s">
        <v>1596</v>
      </c>
      <c r="C372" s="375" t="s">
        <v>2693</v>
      </c>
      <c r="D372" s="377">
        <f t="shared" si="591"/>
        <v>11</v>
      </c>
      <c r="E372" s="384">
        <f t="array" ref="E372">IF(U372="YES",IF(T372="YES",MIN(IF(TMK[Load Capability Reference]=CONCATENATE(P372,Q372,S372,R372),TMK[Lowest A-PTX])),MIN(IF(TMK[Load Capability Reference]=CONCATENATE(P372,Q372,S372,R372),IF(TMK[Equipment ID]&lt;&gt;O372,TMK[Lowest A-PTX])))),IF(T372="YES",MIN(IF(TMK[Load Capability Reference]=CONCATENATE(P372,Q372,S372,R372),TMK[Lowest A-No PTX])),MIN(IF(TMK[Load Capability Reference]=CONCATENATE(P372,Q372,S372,R372),IF(TMK[Equipment ID]&lt;&gt;O372,TMK[Lowest A-No PTX])))))</f>
        <v>630</v>
      </c>
      <c r="F372" s="377">
        <f>IFERROR(IFERROR(VLOOKUP(CONCATENATE(P372,Q372,O372,S372,"Protection"),TMK[[OC Protection Reference]:[Forward A]],23,0),VLOOKUP(O372,AEL_Protection_Data[],12,0)),"N/A")</f>
        <v>600</v>
      </c>
      <c r="G372" s="377">
        <f t="shared" si="574"/>
        <v>480</v>
      </c>
      <c r="H372" s="185">
        <f t="shared" si="575"/>
        <v>9.1452282639636717</v>
      </c>
      <c r="I372" s="377">
        <f t="shared" si="576"/>
        <v>540</v>
      </c>
      <c r="J372" s="185">
        <f t="shared" si="577"/>
        <v>10.288381796959131</v>
      </c>
      <c r="K372" s="191" t="str">
        <f>IF(U372="Yes",UPPER(IF(ISNUMBER(SEARCH("winding",VLOOKUP(CONCATENATE(P372,Q372,S372,E372),TMK[[Limiting Equipment Reference-PTX]:[Summ Equipment]],7,0))),"Power Transformer Rating at "&amp;ROUND(E372*S372*SQRT(3)/1000,2)&amp;" MVA",VLOOKUP(CONCATENATE(P372,Q372,S372,E372),TMK[[Limiting Equipment Reference-No PTX]:[Summ Equipment]],8,0))),UPPER(VLOOKUP(CONCATENATE(P372,Q372,S372,E372),TMK[[Limiting Equipment Reference-No PTX]:[Summ Equipment]],8,0)))</f>
        <v>RMU SWITCH-T737</v>
      </c>
      <c r="L372" s="379" t="s">
        <v>1266</v>
      </c>
      <c r="M372" s="511" t="s">
        <v>1162</v>
      </c>
      <c r="O372" s="514" t="str">
        <f t="shared" si="578"/>
        <v>CD2-CB15</v>
      </c>
      <c r="P372" s="374" t="s">
        <v>1276</v>
      </c>
      <c r="Q372" s="374" t="s">
        <v>1447</v>
      </c>
      <c r="R372" s="387"/>
      <c r="S372" s="175">
        <v>11</v>
      </c>
      <c r="T372" s="379" t="s">
        <v>1266</v>
      </c>
      <c r="U372" s="379" t="s">
        <v>1266</v>
      </c>
      <c r="V372" s="488"/>
      <c r="X372" s="503" t="s">
        <v>1596</v>
      </c>
      <c r="Y372" s="433" t="s">
        <v>2951</v>
      </c>
      <c r="Z372" s="434">
        <v>617</v>
      </c>
      <c r="AA372" s="442" t="str">
        <f t="shared" si="589"/>
        <v>p</v>
      </c>
      <c r="AB372" s="451">
        <f t="shared" si="580"/>
        <v>13</v>
      </c>
      <c r="AC372" s="451">
        <f t="shared" si="581"/>
        <v>0.24768326548234945</v>
      </c>
      <c r="AD372" s="451">
        <f t="shared" si="582"/>
        <v>0</v>
      </c>
      <c r="AE372" s="451">
        <f t="shared" si="583"/>
        <v>0</v>
      </c>
      <c r="AF372" s="434">
        <v>600</v>
      </c>
      <c r="AG372" s="437" t="str">
        <f t="shared" si="590"/>
        <v>u</v>
      </c>
      <c r="AH372" s="451">
        <f t="shared" si="585"/>
        <v>0</v>
      </c>
      <c r="AI372" s="451">
        <f t="shared" si="586"/>
        <v>0</v>
      </c>
      <c r="AJ372" s="451">
        <f t="shared" si="587"/>
        <v>0</v>
      </c>
      <c r="AK372" s="451">
        <f t="shared" si="588"/>
        <v>0</v>
      </c>
      <c r="AL372" s="471" t="s">
        <v>1266</v>
      </c>
    </row>
    <row r="373" spans="1:39" hidden="1" x14ac:dyDescent="0.25">
      <c r="X373" s="427" t="s">
        <v>2206</v>
      </c>
      <c r="AB373" s="449">
        <f>SUM(AB357:AB372)</f>
        <v>131.54377799999997</v>
      </c>
      <c r="AC373" s="449">
        <f t="shared" ref="AC373:AE373" si="593">SUM(AC357:AC372)</f>
        <v>2.5062455760711715</v>
      </c>
      <c r="AD373" s="449">
        <f t="shared" si="593"/>
        <v>534.50061659260984</v>
      </c>
      <c r="AE373" s="449">
        <f t="shared" si="593"/>
        <v>11.185898654387866</v>
      </c>
      <c r="AH373" s="449">
        <f>SUM(AH357:AH372)</f>
        <v>1920</v>
      </c>
      <c r="AI373" s="449">
        <f t="shared" ref="AI373:AK373" si="594">SUM(AI357:AI372)</f>
        <v>36.580913055854687</v>
      </c>
      <c r="AJ373" s="449">
        <f t="shared" si="594"/>
        <v>40</v>
      </c>
      <c r="AK373" s="449">
        <f t="shared" si="594"/>
        <v>0.7621023553303059</v>
      </c>
    </row>
    <row r="374" spans="1:39" ht="27" hidden="1" thickBot="1" x14ac:dyDescent="0.3">
      <c r="B374" s="551" t="s">
        <v>2697</v>
      </c>
      <c r="C374" s="552"/>
      <c r="D374" s="552"/>
      <c r="E374" s="552"/>
      <c r="F374" s="552"/>
      <c r="G374" s="552"/>
      <c r="H374" s="552"/>
      <c r="I374" s="552"/>
      <c r="J374" s="552"/>
      <c r="K374" s="552"/>
      <c r="L374" s="552"/>
      <c r="M374" s="553"/>
      <c r="O374" s="551" t="s">
        <v>2391</v>
      </c>
      <c r="P374" s="552"/>
      <c r="Q374" s="552"/>
      <c r="R374" s="552"/>
      <c r="S374" s="552"/>
      <c r="T374" s="552"/>
      <c r="U374" s="552"/>
      <c r="V374" s="553"/>
      <c r="X374" s="586" t="str">
        <f>B374&amp;"-OLD"</f>
        <v>TWIZEL (E120)-OLD</v>
      </c>
      <c r="Y374" s="587"/>
      <c r="Z374" s="587"/>
      <c r="AA374" s="587"/>
      <c r="AB374" s="587"/>
      <c r="AC374" s="587"/>
      <c r="AD374" s="587"/>
      <c r="AE374" s="587"/>
      <c r="AF374" s="587"/>
      <c r="AG374" s="587"/>
      <c r="AH374" s="587"/>
      <c r="AI374" s="587"/>
      <c r="AJ374" s="587"/>
      <c r="AK374" s="587"/>
      <c r="AL374" s="588"/>
      <c r="AM374" s="481"/>
    </row>
    <row r="375" spans="1:39" ht="15.75" hidden="1" thickBot="1" x14ac:dyDescent="0.3">
      <c r="B375" s="571" t="str">
        <f t="shared" ref="B375:G375" si="595">B6</f>
        <v>CB ID</v>
      </c>
      <c r="C375" s="545" t="str">
        <f t="shared" si="595"/>
        <v>DESIGNATION</v>
      </c>
      <c r="D375" s="382" t="str">
        <f t="shared" si="595"/>
        <v>Rated</v>
      </c>
      <c r="E375" s="572" t="str">
        <f t="shared" si="595"/>
        <v>LOAD
CAPABILITY</v>
      </c>
      <c r="F375" s="572" t="str">
        <f t="shared" si="595"/>
        <v>OC
PICKUP</v>
      </c>
      <c r="G375" s="559" t="str">
        <f t="shared" si="595"/>
        <v>SCADA ALARM</v>
      </c>
      <c r="H375" s="560"/>
      <c r="I375" s="560"/>
      <c r="J375" s="561"/>
      <c r="K375" s="574" t="str">
        <f>K6</f>
        <v>LIMITING EQUIPMENT</v>
      </c>
      <c r="L375" s="575" t="str">
        <f>L6</f>
        <v>RECLOSING</v>
      </c>
      <c r="M375" s="576"/>
      <c r="O375" s="554" t="str">
        <f t="shared" ref="O375:V375" si="596">O6</f>
        <v>OC Pick up
Reference ID</v>
      </c>
      <c r="P375" s="557" t="str">
        <f t="shared" si="596"/>
        <v>Supply Level</v>
      </c>
      <c r="Q375" s="566" t="str">
        <f t="shared" si="596"/>
        <v>Station/Feeder</v>
      </c>
      <c r="R375" s="567" t="str">
        <f t="shared" si="596"/>
        <v>Refered
to PTX</v>
      </c>
      <c r="S375" s="569" t="str">
        <f t="shared" si="596"/>
        <v>Voltage</v>
      </c>
      <c r="T375" s="539" t="str">
        <f t="shared" si="596"/>
        <v>Include
CB</v>
      </c>
      <c r="U375" s="539" t="str">
        <f t="shared" si="596"/>
        <v>Include
PTX</v>
      </c>
      <c r="V375" s="542" t="str">
        <f t="shared" si="596"/>
        <v>Notes</v>
      </c>
      <c r="X375" s="585" t="s">
        <v>1260</v>
      </c>
      <c r="Y375" s="545" t="s">
        <v>1261</v>
      </c>
      <c r="Z375" s="559" t="s">
        <v>2749</v>
      </c>
      <c r="AA375" s="560"/>
      <c r="AB375" s="560"/>
      <c r="AC375" s="560"/>
      <c r="AD375" s="560"/>
      <c r="AE375" s="561"/>
      <c r="AF375" s="559" t="s">
        <v>1268</v>
      </c>
      <c r="AG375" s="560"/>
      <c r="AH375" s="560"/>
      <c r="AI375" s="560"/>
      <c r="AJ375" s="560"/>
      <c r="AK375" s="561"/>
      <c r="AL375" s="546" t="s">
        <v>2857</v>
      </c>
      <c r="AM375" s="466"/>
    </row>
    <row r="376" spans="1:39" ht="15.75" hidden="1" thickBot="1" x14ac:dyDescent="0.3">
      <c r="B376" s="557"/>
      <c r="C376" s="540"/>
      <c r="D376" s="362" t="str">
        <f>D7</f>
        <v>Voltage</v>
      </c>
      <c r="E376" s="573"/>
      <c r="F376" s="573"/>
      <c r="G376" s="544" t="str">
        <f>G7</f>
        <v>Pre-Emergency</v>
      </c>
      <c r="H376" s="544"/>
      <c r="I376" s="544" t="str">
        <f>I7</f>
        <v>Emergency</v>
      </c>
      <c r="J376" s="544"/>
      <c r="K376" s="540"/>
      <c r="L376" s="545" t="str">
        <f>L7</f>
        <v>AVAILABLE</v>
      </c>
      <c r="M376" s="546" t="str">
        <f>M7</f>
        <v>UTILISED</v>
      </c>
      <c r="O376" s="555"/>
      <c r="P376" s="557"/>
      <c r="Q376" s="557"/>
      <c r="R376" s="567"/>
      <c r="S376" s="569"/>
      <c r="T376" s="540"/>
      <c r="U376" s="540"/>
      <c r="V376" s="542"/>
      <c r="X376" s="555"/>
      <c r="Y376" s="540"/>
      <c r="Z376" s="589"/>
      <c r="AA376" s="590"/>
      <c r="AB376" s="590"/>
      <c r="AC376" s="590"/>
      <c r="AD376" s="590"/>
      <c r="AE376" s="591"/>
      <c r="AF376" s="589"/>
      <c r="AG376" s="590"/>
      <c r="AH376" s="590"/>
      <c r="AI376" s="590"/>
      <c r="AJ376" s="590"/>
      <c r="AK376" s="591"/>
      <c r="AL376" s="577"/>
      <c r="AM376" s="466"/>
    </row>
    <row r="377" spans="1:39" ht="15.75" hidden="1" thickBot="1" x14ac:dyDescent="0.3">
      <c r="B377" s="558"/>
      <c r="C377" s="541"/>
      <c r="D377" s="345" t="str">
        <f>D8</f>
        <v>(kV)</v>
      </c>
      <c r="E377" s="345" t="str">
        <f>E8</f>
        <v>(A)</v>
      </c>
      <c r="F377" s="345" t="str">
        <f>F8</f>
        <v>(A)</v>
      </c>
      <c r="G377" s="406" t="str">
        <f>G8</f>
        <v>(A)</v>
      </c>
      <c r="H377" s="407" t="str">
        <f>H8</f>
        <v>(MVA)</v>
      </c>
      <c r="I377" s="406" t="str">
        <f>I8</f>
        <v>(A)</v>
      </c>
      <c r="J377" s="407" t="str">
        <f>J8</f>
        <v>(MVA)</v>
      </c>
      <c r="K377" s="541"/>
      <c r="L377" s="541"/>
      <c r="M377" s="547"/>
      <c r="O377" s="556"/>
      <c r="P377" s="558"/>
      <c r="Q377" s="558"/>
      <c r="R377" s="568"/>
      <c r="S377" s="570"/>
      <c r="T377" s="541"/>
      <c r="U377" s="541"/>
      <c r="V377" s="543"/>
      <c r="X377" s="556"/>
      <c r="Y377" s="541"/>
      <c r="Z377" s="428" t="s">
        <v>26</v>
      </c>
      <c r="AA377" s="439" t="s">
        <v>2861</v>
      </c>
      <c r="AB377" s="450" t="s">
        <v>2959</v>
      </c>
      <c r="AC377" s="450" t="s">
        <v>2960</v>
      </c>
      <c r="AD377" s="450" t="s">
        <v>2957</v>
      </c>
      <c r="AE377" s="450" t="s">
        <v>2958</v>
      </c>
      <c r="AF377" s="428" t="s">
        <v>26</v>
      </c>
      <c r="AG377" s="439" t="s">
        <v>2861</v>
      </c>
      <c r="AH377" s="450" t="s">
        <v>2959</v>
      </c>
      <c r="AI377" s="450" t="s">
        <v>2960</v>
      </c>
      <c r="AJ377" s="450" t="s">
        <v>2957</v>
      </c>
      <c r="AK377" s="450" t="s">
        <v>2958</v>
      </c>
      <c r="AL377" s="547"/>
      <c r="AM377" s="466"/>
    </row>
    <row r="378" spans="1:39" hidden="1" x14ac:dyDescent="0.25">
      <c r="B378" s="38" t="s">
        <v>5</v>
      </c>
      <c r="C378" s="3" t="s">
        <v>2700</v>
      </c>
      <c r="D378" s="61">
        <f t="shared" ref="D378:D380" si="597">ROUNDDOWN(S378,0)</f>
        <v>33</v>
      </c>
      <c r="E378" s="369">
        <f t="array" ref="E378">IF(U378="YES",IF(T378="YES",MIN(IF(TWZ[Load Capability Reference]=CONCATENATE(P378,Q378,S378,R378),TWZ[Lowest A-PTX])),MIN(IF(TWZ[Load Capability Reference]=CONCATENATE(P378,Q378,S378,R378),IF(TWZ[Equipment ID]&lt;&gt;O378,TWZ[Lowest A-PTX])))),IF(T378="YES",MIN(IF(TWZ[Load Capability Reference]=CONCATENATE(P378,Q378,S378,R378),TWZ[Lowest A-No PTX])),MIN(IF(TWZ[Load Capability Reference]=CONCATENATE(P378,Q378,S378,R378),IF(TWZ[Equipment ID]&lt;&gt;O378,TWZ[Lowest A-No PTX])))))</f>
        <v>120</v>
      </c>
      <c r="F378" s="61">
        <f>IFERROR(IFERROR(VLOOKUP(CONCATENATE(P378,Q378,O378,S378,"Protection"),TWZ[[OC Protection Reference]:[Forward A]],23,0),VLOOKUP(O378,AEL_Protection_Data[],12,0)),"N/A")</f>
        <v>252</v>
      </c>
      <c r="G378" s="61">
        <f t="shared" ref="G378:G387" si="598">IFERROR(FLOOR(MIN(E378:F378)*$D$3,5),"")</f>
        <v>95</v>
      </c>
      <c r="H378" s="5">
        <f t="shared" ref="H378:H387" si="599">G378*S378*SQRT(3)/1000</f>
        <v>5.4299792817284294</v>
      </c>
      <c r="I378" s="61">
        <f t="shared" ref="I378:I383" si="600">IFERROR(FLOOR(MIN(E378:F378)*$D$2,5),"")</f>
        <v>105</v>
      </c>
      <c r="J378" s="5">
        <f t="shared" ref="J378:J387" si="601">I378*S378*SQRT(3)/1000</f>
        <v>6.0015560482261598</v>
      </c>
      <c r="K378" s="3" t="str">
        <f>IF(U378="Yes",UPPER(IF(ISNUMBER(SEARCH("winding",VLOOKUP(CONCATENATE(P378,Q378,S378,E378),TWZ[[Limiting Equipment Reference-PTX]:[Summ Equipment]],7,0))),"Power Transformer Rating at "&amp;ROUND(E378*S378*SQRT(3)/1000,2)&amp;" MVA",VLOOKUP(CONCATENATE(P378,Q378,S378,E378),TWZ[[Limiting Equipment Reference-No PTX]:[Summ Equipment]],8,0))),UPPER(VLOOKUP(CONCATENATE(P378,Q378,S378,E378),TWZ[[Limiting Equipment Reference-No PTX]:[Summ Equipment]],8,0)))</f>
        <v>CIRCUIT BREAKER-TWZ-CB6312-OTHER EQUIPMENT</v>
      </c>
      <c r="L378" s="4" t="s">
        <v>1266</v>
      </c>
      <c r="M378" s="508" t="s">
        <v>1162</v>
      </c>
      <c r="O378" s="10" t="str">
        <f>"TWZ-"&amp;B378</f>
        <v>TWZ-CB6312</v>
      </c>
      <c r="P378" s="38" t="s">
        <v>4</v>
      </c>
      <c r="Q378" s="38" t="s">
        <v>78</v>
      </c>
      <c r="R378" s="389"/>
      <c r="S378" s="139">
        <v>33</v>
      </c>
      <c r="T378" s="4" t="s">
        <v>1267</v>
      </c>
      <c r="U378" s="4" t="s">
        <v>1266</v>
      </c>
      <c r="V378" s="486"/>
      <c r="X378" s="494" t="s">
        <v>5</v>
      </c>
      <c r="Y378" s="429" t="s">
        <v>2869</v>
      </c>
      <c r="Z378" s="430"/>
      <c r="AA378" s="440" t="str">
        <f t="shared" ref="AA378:AA379" si="602">IF(Z378&gt;E378,"q",IF(Z378&lt;E378,"p","u"))</f>
        <v>p</v>
      </c>
      <c r="AB378" s="453">
        <f t="shared" ref="AB378:AB387" si="603">IF(Z378="",0,IF(Z378-E378&lt;0,ABS(Z378-E378),0))</f>
        <v>0</v>
      </c>
      <c r="AC378" s="453">
        <f t="shared" ref="AC378:AC387" si="604">AB378*$S378*SQRT(3)/1000</f>
        <v>0</v>
      </c>
      <c r="AD378" s="453">
        <f t="shared" ref="AD378:AD387" si="605">IF(Z378="",0,IF(Z378-E378&gt;0,ABS(Z378-E378),0))</f>
        <v>0</v>
      </c>
      <c r="AE378" s="453">
        <f t="shared" ref="AE378:AE387" si="606">AD378*$S378*SQRT(3)/1000</f>
        <v>0</v>
      </c>
      <c r="AF378" s="430"/>
      <c r="AG378" s="435" t="str">
        <f t="shared" ref="AG378:AG379" si="607">IF(AF378&gt;F378,"q",IF(AF378&lt;F378,"p","u"))</f>
        <v>p</v>
      </c>
      <c r="AH378" s="453">
        <f t="shared" ref="AH378:AH387" si="608">IF(AF378="",0,IF(AF378-F378&lt;0,ABS(AF378-F378),0))</f>
        <v>0</v>
      </c>
      <c r="AI378" s="453">
        <f t="shared" ref="AI378:AI387" si="609">AH378*$S378*SQRT(3)/1000</f>
        <v>0</v>
      </c>
      <c r="AJ378" s="453">
        <f t="shared" ref="AJ378:AJ387" si="610">IF(AF378="",0,IF(AF378-F378&gt;0,ABS(AF378-F378),0))</f>
        <v>0</v>
      </c>
      <c r="AK378" s="453">
        <f t="shared" ref="AK378:AK387" si="611">AJ378*$S378*SQRT(3)/1000</f>
        <v>0</v>
      </c>
      <c r="AL378" s="469" t="s">
        <v>1266</v>
      </c>
    </row>
    <row r="379" spans="1:39" hidden="1" x14ac:dyDescent="0.25">
      <c r="A379" s="517"/>
      <c r="B379" s="49" t="s">
        <v>241</v>
      </c>
      <c r="C379" s="168" t="s">
        <v>2701</v>
      </c>
      <c r="D379" s="119">
        <f t="shared" si="597"/>
        <v>33</v>
      </c>
      <c r="E379" s="370">
        <f t="array" ref="E379">IF(U379="YES",IF(T379="YES",MIN(IF(TWZ[Load Capability Reference]=CONCATENATE(P379,Q379,S379,R379),TWZ[Lowest A-PTX])),MIN(IF(TWZ[Load Capability Reference]=CONCATENATE(P379,Q379,S379,R379),IF(TWZ[Equipment ID]&lt;&gt;O379,TWZ[Lowest A-PTX])))),IF(T379="YES",MIN(IF(TWZ[Load Capability Reference]=CONCATENATE(P379,Q379,S379,R379),TWZ[Lowest A-No PTX])),MIN(IF(TWZ[Load Capability Reference]=CONCATENATE(P379,Q379,S379,R379),IF(TWZ[Equipment ID]&lt;&gt;O379,TWZ[Lowest A-No PTX])))))</f>
        <v>296</v>
      </c>
      <c r="F379" s="119">
        <f>IFERROR(IFERROR(VLOOKUP(CONCATENATE(P379,Q379,O379,S379,"Protection"),TWZ[[OC Protection Reference]:[Forward A]],23,0),VLOOKUP(O379,AEL_Protection_Data[],12,0)),"N/A")</f>
        <v>150</v>
      </c>
      <c r="G379" s="119">
        <f t="shared" si="598"/>
        <v>120</v>
      </c>
      <c r="H379" s="29">
        <f t="shared" si="599"/>
        <v>6.8589211979727533</v>
      </c>
      <c r="I379" s="119">
        <f t="shared" si="600"/>
        <v>135</v>
      </c>
      <c r="J379" s="29">
        <f t="shared" si="601"/>
        <v>7.7162863477193477</v>
      </c>
      <c r="K379" s="6" t="str">
        <f>IF(U379="Yes",UPPER(IF(ISNUMBER(SEARCH("winding",VLOOKUP(CONCATENATE(P379,Q379,S379,E379),TWZ[[Limiting Equipment Reference-PTX]:[Summ Equipment]],7,0))),"Power Transformer Rating at "&amp;ROUND(E379*S379*SQRT(3)/1000,2)&amp;" MVA",VLOOKUP(CONCATENATE(P379,Q379,S379,E379),TWZ[[Limiting Equipment Reference-No PTX]:[Summ Equipment]],8,0))),UPPER(VLOOKUP(CONCATENATE(P379,Q379,S379,E379),TWZ[[Limiting Equipment Reference-No PTX]:[Summ Equipment]],8,0)))</f>
        <v>OH LINE-WAXWING</v>
      </c>
      <c r="L379" s="146" t="s">
        <v>1266</v>
      </c>
      <c r="M379" s="509" t="s">
        <v>1162</v>
      </c>
      <c r="N379" s="517"/>
      <c r="O379" s="118" t="str">
        <f t="shared" ref="O379:O387" si="612">"TVS-"&amp;B379</f>
        <v>TVS-Z68</v>
      </c>
      <c r="P379" s="49" t="s">
        <v>1245</v>
      </c>
      <c r="Q379" s="49" t="s">
        <v>78</v>
      </c>
      <c r="R379" s="386"/>
      <c r="S379" s="43">
        <v>33</v>
      </c>
      <c r="T379" s="146" t="s">
        <v>1267</v>
      </c>
      <c r="U379" s="146" t="s">
        <v>1266</v>
      </c>
      <c r="V379" s="487"/>
      <c r="X379" s="495" t="s">
        <v>241</v>
      </c>
      <c r="Y379" s="431" t="s">
        <v>2954</v>
      </c>
      <c r="Z379" s="432">
        <v>109</v>
      </c>
      <c r="AA379" s="441" t="str">
        <f t="shared" si="602"/>
        <v>p</v>
      </c>
      <c r="AB379" s="134">
        <f t="shared" si="603"/>
        <v>187</v>
      </c>
      <c r="AC379" s="134">
        <f t="shared" si="604"/>
        <v>10.68848553350754</v>
      </c>
      <c r="AD379" s="134">
        <f t="shared" si="605"/>
        <v>0</v>
      </c>
      <c r="AE379" s="134">
        <f t="shared" si="606"/>
        <v>0</v>
      </c>
      <c r="AF379" s="432">
        <v>250</v>
      </c>
      <c r="AG379" s="436" t="str">
        <f t="shared" si="607"/>
        <v>q</v>
      </c>
      <c r="AH379" s="134">
        <f t="shared" si="608"/>
        <v>0</v>
      </c>
      <c r="AI379" s="134">
        <f t="shared" si="609"/>
        <v>0</v>
      </c>
      <c r="AJ379" s="134">
        <f t="shared" si="610"/>
        <v>100</v>
      </c>
      <c r="AK379" s="134">
        <f t="shared" si="611"/>
        <v>5.715767664977295</v>
      </c>
      <c r="AL379" s="470" t="s">
        <v>1266</v>
      </c>
    </row>
    <row r="380" spans="1:39" hidden="1" x14ac:dyDescent="0.25">
      <c r="B380" s="49" t="s">
        <v>268</v>
      </c>
      <c r="C380" s="168" t="s">
        <v>2702</v>
      </c>
      <c r="D380" s="119">
        <f t="shared" si="597"/>
        <v>11</v>
      </c>
      <c r="E380" s="370">
        <f t="array" ref="E380">IF(U380="YES",IF(T380="YES",MIN(IF(TWZ[Load Capability Reference]=CONCATENATE(P380,Q380,S380,R380),TWZ[Lowest A-PTX])),MIN(IF(TWZ[Load Capability Reference]=CONCATENATE(P380,Q380,S380,R380),IF(TWZ[Equipment ID]&lt;&gt;O380,TWZ[Lowest A-PTX])))),IF(T380="YES",MIN(IF(TWZ[Load Capability Reference]=CONCATENATE(P380,Q380,S380,R380),TWZ[Lowest A-No PTX])),MIN(IF(TWZ[Load Capability Reference]=CONCATENATE(P380,Q380,S380,R380),IF(TWZ[Equipment ID]&lt;&gt;O380,TWZ[Lowest A-No PTX])))))</f>
        <v>189</v>
      </c>
      <c r="F380" s="119">
        <f>IFERROR(IFERROR(VLOOKUP(CONCATENATE(P380,Q380,O380,S380,"Protection"),TWZ[[OC Protection Reference]:[Forward A]],23,0),VLOOKUP(O380,AEL_Protection_Data[],12,0)),"N/A")</f>
        <v>152</v>
      </c>
      <c r="G380" s="119">
        <f t="shared" si="598"/>
        <v>120</v>
      </c>
      <c r="H380" s="29">
        <f t="shared" si="599"/>
        <v>2.2863070659909179</v>
      </c>
      <c r="I380" s="119">
        <f t="shared" si="600"/>
        <v>135</v>
      </c>
      <c r="J380" s="29">
        <f t="shared" si="601"/>
        <v>2.5720954492397827</v>
      </c>
      <c r="K380" s="6" t="str">
        <f>IF(U380="Yes",UPPER(IF(ISNUMBER(SEARCH("winding",VLOOKUP(CONCATENATE(P380,Q380,S380,E380),TWZ[[Limiting Equipment Reference-PTX]:[Summ Equipment]],7,0))),"Power Transformer Rating at "&amp;ROUND(E380*S380*SQRT(3)/1000,2)&amp;" MVA",VLOOKUP(CONCATENATE(P380,Q380,S380,E380),TWZ[[Limiting Equipment Reference-No PTX]:[Summ Equipment]],8,0))),UPPER(VLOOKUP(CONCATENATE(P380,Q380,S380,E380),TWZ[[Limiting Equipment Reference-No PTX]:[Summ Equipment]],8,0)))</f>
        <v>OH LINE - MINK</v>
      </c>
      <c r="L380" s="146" t="s">
        <v>1266</v>
      </c>
      <c r="M380" s="509" t="s">
        <v>1162</v>
      </c>
      <c r="O380" s="118" t="str">
        <f t="shared" si="612"/>
        <v>TVS-Z1</v>
      </c>
      <c r="P380" s="49" t="s">
        <v>1276</v>
      </c>
      <c r="Q380" s="49" t="s">
        <v>102</v>
      </c>
      <c r="R380" s="386"/>
      <c r="S380" s="43">
        <v>11</v>
      </c>
      <c r="T380" s="146" t="s">
        <v>1266</v>
      </c>
      <c r="U380" s="146" t="s">
        <v>1266</v>
      </c>
      <c r="V380" s="487"/>
      <c r="X380" s="495" t="s">
        <v>268</v>
      </c>
      <c r="Y380" s="431" t="s">
        <v>2702</v>
      </c>
      <c r="Z380" s="432">
        <v>300</v>
      </c>
      <c r="AA380" s="441" t="str">
        <f t="shared" ref="AA380:AA387" si="613">IF(Z380&gt;E380,"q",IF(Z380&lt;E380,"p","u"))</f>
        <v>q</v>
      </c>
      <c r="AB380" s="134">
        <f t="shared" si="603"/>
        <v>0</v>
      </c>
      <c r="AC380" s="134">
        <f t="shared" si="604"/>
        <v>0</v>
      </c>
      <c r="AD380" s="134">
        <f t="shared" si="605"/>
        <v>111</v>
      </c>
      <c r="AE380" s="134">
        <f t="shared" si="606"/>
        <v>2.1148340360415991</v>
      </c>
      <c r="AF380" s="432">
        <v>150</v>
      </c>
      <c r="AG380" s="436" t="str">
        <f t="shared" ref="AG380:AG387" si="614">IF(AF380&gt;F380,"q",IF(AF380&lt;F380,"p","u"))</f>
        <v>p</v>
      </c>
      <c r="AH380" s="134">
        <f t="shared" si="608"/>
        <v>2</v>
      </c>
      <c r="AI380" s="134">
        <f t="shared" si="609"/>
        <v>3.8105117766515297E-2</v>
      </c>
      <c r="AJ380" s="134">
        <f t="shared" si="610"/>
        <v>0</v>
      </c>
      <c r="AK380" s="134">
        <f t="shared" si="611"/>
        <v>0</v>
      </c>
      <c r="AL380" s="470" t="s">
        <v>1266</v>
      </c>
    </row>
    <row r="381" spans="1:39" hidden="1" x14ac:dyDescent="0.25">
      <c r="B381" s="49" t="s">
        <v>280</v>
      </c>
      <c r="C381" s="168" t="s">
        <v>2703</v>
      </c>
      <c r="D381" s="119">
        <f>ROUNDDOWN(S381,0)</f>
        <v>11</v>
      </c>
      <c r="E381" s="370">
        <f t="array" ref="E381">IF(U381="YES",IF(T381="YES",MIN(IF(TWZ[Load Capability Reference]=CONCATENATE(P381,Q381,S381,R381),TWZ[Lowest A-PTX])),MIN(IF(TWZ[Load Capability Reference]=CONCATENATE(P381,Q381,S381,R381),IF(TWZ[Equipment ID]&lt;&gt;O381,TWZ[Lowest A-PTX])))),IF(T381="YES",MIN(IF(TWZ[Load Capability Reference]=CONCATENATE(P381,Q381,S381,R381),TWZ[Lowest A-No PTX])),MIN(IF(TWZ[Load Capability Reference]=CONCATENATE(P381,Q381,S381,R381),IF(TWZ[Equipment ID]&lt;&gt;O381,TWZ[Lowest A-No PTX])))))</f>
        <v>189</v>
      </c>
      <c r="F381" s="119">
        <f>IFERROR(IFERROR(VLOOKUP(CONCATENATE(P381,Q381,O381,S381,"Protection"),TWZ[[OC Protection Reference]:[Forward A]],23,0),VLOOKUP(O381,AEL_Protection_Data[],12,0)),"N/A")</f>
        <v>152</v>
      </c>
      <c r="G381" s="119">
        <f t="shared" si="598"/>
        <v>120</v>
      </c>
      <c r="H381" s="29">
        <f t="shared" si="599"/>
        <v>2.2863070659909179</v>
      </c>
      <c r="I381" s="119">
        <f t="shared" si="600"/>
        <v>135</v>
      </c>
      <c r="J381" s="29">
        <f t="shared" si="601"/>
        <v>2.5720954492397827</v>
      </c>
      <c r="K381" s="6" t="str">
        <f>IF(U381="Yes",UPPER(IF(ISNUMBER(SEARCH("winding",VLOOKUP(CONCATENATE(P381,Q381,S381,E381),TWZ[[Limiting Equipment Reference-PTX]:[Summ Equipment]],7,0))),"Power Transformer Rating at "&amp;ROUND(E381*S381*SQRT(3)/1000,2)&amp;" MVA",VLOOKUP(CONCATENATE(P381,Q381,S381,E381),TWZ[[Limiting Equipment Reference-No PTX]:[Summ Equipment]],8,0))),UPPER(VLOOKUP(CONCATENATE(P381,Q381,S381,E381),TWZ[[Limiting Equipment Reference-No PTX]:[Summ Equipment]],8,0)))</f>
        <v>OH LINE-MINK</v>
      </c>
      <c r="L381" s="146" t="s">
        <v>1266</v>
      </c>
      <c r="M381" s="509" t="s">
        <v>1162</v>
      </c>
      <c r="O381" s="118" t="str">
        <f t="shared" si="612"/>
        <v>TVS-Z2</v>
      </c>
      <c r="P381" s="49" t="s">
        <v>1276</v>
      </c>
      <c r="Q381" s="49" t="s">
        <v>114</v>
      </c>
      <c r="R381" s="386"/>
      <c r="S381" s="43">
        <v>11</v>
      </c>
      <c r="T381" s="146" t="s">
        <v>1266</v>
      </c>
      <c r="U381" s="146" t="s">
        <v>1266</v>
      </c>
      <c r="V381" s="487"/>
      <c r="X381" s="495" t="s">
        <v>280</v>
      </c>
      <c r="Y381" s="431" t="s">
        <v>2703</v>
      </c>
      <c r="Z381" s="432">
        <v>160</v>
      </c>
      <c r="AA381" s="441" t="str">
        <f t="shared" si="613"/>
        <v>p</v>
      </c>
      <c r="AB381" s="134">
        <f t="shared" si="603"/>
        <v>29</v>
      </c>
      <c r="AC381" s="134">
        <f t="shared" si="604"/>
        <v>0.55252420761447185</v>
      </c>
      <c r="AD381" s="134">
        <f t="shared" si="605"/>
        <v>0</v>
      </c>
      <c r="AE381" s="134">
        <f t="shared" si="606"/>
        <v>0</v>
      </c>
      <c r="AF381" s="432">
        <v>150</v>
      </c>
      <c r="AG381" s="436" t="str">
        <f t="shared" si="614"/>
        <v>p</v>
      </c>
      <c r="AH381" s="134">
        <f t="shared" si="608"/>
        <v>2</v>
      </c>
      <c r="AI381" s="134">
        <f t="shared" si="609"/>
        <v>3.8105117766515297E-2</v>
      </c>
      <c r="AJ381" s="134">
        <f t="shared" si="610"/>
        <v>0</v>
      </c>
      <c r="AK381" s="134">
        <f t="shared" si="611"/>
        <v>0</v>
      </c>
      <c r="AL381" s="470" t="s">
        <v>1266</v>
      </c>
    </row>
    <row r="382" spans="1:39" hidden="1" x14ac:dyDescent="0.25">
      <c r="B382" s="49" t="s">
        <v>284</v>
      </c>
      <c r="C382" s="168" t="s">
        <v>2704</v>
      </c>
      <c r="D382" s="119">
        <f t="shared" ref="D382:D387" si="615">ROUNDDOWN(S382,0)</f>
        <v>11</v>
      </c>
      <c r="E382" s="370">
        <f t="array" ref="E382">IF(U382="YES",IF(T382="YES",MIN(IF(TWZ[Load Capability Reference]=CONCATENATE(P382,Q382,S382,R382),TWZ[Lowest A-PTX])),MIN(IF(TWZ[Load Capability Reference]=CONCATENATE(P382,Q382,S382,R382),IF(TWZ[Equipment ID]&lt;&gt;O382,TWZ[Lowest A-PTX])))),IF(T382="YES",MIN(IF(TWZ[Load Capability Reference]=CONCATENATE(P382,Q382,S382,R382),TWZ[Lowest A-No PTX])),MIN(IF(TWZ[Load Capability Reference]=CONCATENATE(P382,Q382,S382,R382),IF(TWZ[Equipment ID]&lt;&gt;O382,TWZ[Lowest A-No PTX])))))</f>
        <v>85.387499999999974</v>
      </c>
      <c r="F382" s="119">
        <f>IFERROR(IFERROR(VLOOKUP(CONCATENATE(P382,Q382,O382,S382,"Protection"),TWZ[[OC Protection Reference]:[Forward A]],23,0),VLOOKUP(O382,AEL_Protection_Data[],12,0)),"N/A")</f>
        <v>150</v>
      </c>
      <c r="G382" s="119">
        <f t="shared" si="598"/>
        <v>65</v>
      </c>
      <c r="H382" s="29">
        <f t="shared" si="599"/>
        <v>1.2384163274117472</v>
      </c>
      <c r="I382" s="119">
        <f t="shared" si="600"/>
        <v>75</v>
      </c>
      <c r="J382" s="29">
        <f t="shared" si="601"/>
        <v>1.4289419162443238</v>
      </c>
      <c r="K382" s="6" t="str">
        <f>IF(U382="Yes",UPPER(IF(ISNUMBER(SEARCH("winding",VLOOKUP(CONCATENATE(P382,Q382,S382,E382),TWZ[[Limiting Equipment Reference-PTX]:[Summ Equipment]],7,0))),"Power Transformer Rating at "&amp;ROUND(E382*S382*SQRT(3)/1000,2)&amp;" MVA",VLOOKUP(CONCATENATE(P382,Q382,S382,E382),TWZ[[Limiting Equipment Reference-No PTX]:[Summ Equipment]],8,0))),UPPER(VLOOKUP(CONCATENATE(P382,Q382,S382,E382),TWZ[[Limiting Equipment Reference-No PTX]:[Summ Equipment]],8,0)))</f>
        <v>CABLE-1-3C 35 MM² AL PILC</v>
      </c>
      <c r="L382" s="146" t="s">
        <v>1266</v>
      </c>
      <c r="M382" s="509" t="s">
        <v>1162</v>
      </c>
      <c r="O382" s="118" t="str">
        <f t="shared" si="612"/>
        <v>TVS-Z3</v>
      </c>
      <c r="P382" s="49" t="s">
        <v>1276</v>
      </c>
      <c r="Q382" s="49" t="s">
        <v>125</v>
      </c>
      <c r="R382" s="386"/>
      <c r="S382" s="43">
        <v>11</v>
      </c>
      <c r="T382" s="146" t="s">
        <v>1266</v>
      </c>
      <c r="U382" s="146" t="s">
        <v>1266</v>
      </c>
      <c r="V382" s="487"/>
      <c r="X382" s="495" t="s">
        <v>284</v>
      </c>
      <c r="Y382" s="431" t="s">
        <v>2704</v>
      </c>
      <c r="Z382" s="432">
        <v>295</v>
      </c>
      <c r="AA382" s="441" t="str">
        <f t="shared" si="613"/>
        <v>q</v>
      </c>
      <c r="AB382" s="134">
        <f t="shared" si="603"/>
        <v>0</v>
      </c>
      <c r="AC382" s="134">
        <f t="shared" si="604"/>
        <v>0</v>
      </c>
      <c r="AD382" s="134">
        <f t="shared" si="605"/>
        <v>209.61250000000001</v>
      </c>
      <c r="AE382" s="134">
        <f t="shared" si="606"/>
        <v>3.9936544989168441</v>
      </c>
      <c r="AF382" s="432">
        <v>150</v>
      </c>
      <c r="AG382" s="436" t="str">
        <f t="shared" si="614"/>
        <v>u</v>
      </c>
      <c r="AH382" s="134">
        <f t="shared" si="608"/>
        <v>0</v>
      </c>
      <c r="AI382" s="134">
        <f t="shared" si="609"/>
        <v>0</v>
      </c>
      <c r="AJ382" s="134">
        <f t="shared" si="610"/>
        <v>0</v>
      </c>
      <c r="AK382" s="134">
        <f t="shared" si="611"/>
        <v>0</v>
      </c>
      <c r="AL382" s="470" t="s">
        <v>1266</v>
      </c>
    </row>
    <row r="383" spans="1:39" hidden="1" x14ac:dyDescent="0.25">
      <c r="B383" s="49" t="s">
        <v>286</v>
      </c>
      <c r="C383" s="168" t="s">
        <v>2705</v>
      </c>
      <c r="D383" s="119">
        <f t="shared" si="615"/>
        <v>11</v>
      </c>
      <c r="E383" s="370">
        <f t="array" ref="E383">IF(U383="YES",IF(T383="YES",MIN(IF(TWZ[Load Capability Reference]=CONCATENATE(P383,Q383,S383,R383),TWZ[Lowest A-PTX])),MIN(IF(TWZ[Load Capability Reference]=CONCATENATE(P383,Q383,S383,R383),IF(TWZ[Equipment ID]&lt;&gt;O383,TWZ[Lowest A-PTX])))),IF(T383="YES",MIN(IF(TWZ[Load Capability Reference]=CONCATENATE(P383,Q383,S383,R383),TWZ[Lowest A-No PTX])),MIN(IF(TWZ[Load Capability Reference]=CONCATENATE(P383,Q383,S383,R383),IF(TWZ[Equipment ID]&lt;&gt;O383,TWZ[Lowest A-No PTX])))))</f>
        <v>189</v>
      </c>
      <c r="F383" s="119">
        <f>IFERROR(IFERROR(VLOOKUP(CONCATENATE(P383,Q383,O383,S383,"Protection"),TWZ[[OC Protection Reference]:[Forward A]],23,0),VLOOKUP(O383,AEL_Protection_Data[],12,0)),"N/A")</f>
        <v>152</v>
      </c>
      <c r="G383" s="119">
        <f t="shared" si="598"/>
        <v>120</v>
      </c>
      <c r="H383" s="29">
        <f t="shared" si="599"/>
        <v>2.2863070659909179</v>
      </c>
      <c r="I383" s="119">
        <f t="shared" si="600"/>
        <v>135</v>
      </c>
      <c r="J383" s="29">
        <f t="shared" si="601"/>
        <v>2.5720954492397827</v>
      </c>
      <c r="K383" s="6" t="str">
        <f>IF(U383="Yes",UPPER(IF(ISNUMBER(SEARCH("winding",VLOOKUP(CONCATENATE(P383,Q383,S383,E383),TWZ[[Limiting Equipment Reference-PTX]:[Summ Equipment]],7,0))),"Power Transformer Rating at "&amp;ROUND(E383*S383*SQRT(3)/1000,2)&amp;" MVA",VLOOKUP(CONCATENATE(P383,Q383,S383,E383),TWZ[[Limiting Equipment Reference-No PTX]:[Summ Equipment]],8,0))),UPPER(VLOOKUP(CONCATENATE(P383,Q383,S383,E383),TWZ[[Limiting Equipment Reference-No PTX]:[Summ Equipment]],8,0)))</f>
        <v>OH LINE - MINK</v>
      </c>
      <c r="L383" s="146" t="s">
        <v>1267</v>
      </c>
      <c r="M383" s="509" t="s">
        <v>1267</v>
      </c>
      <c r="O383" s="118" t="str">
        <f t="shared" si="612"/>
        <v>TVS-Z4</v>
      </c>
      <c r="P383" s="49" t="s">
        <v>1276</v>
      </c>
      <c r="Q383" s="49" t="s">
        <v>133</v>
      </c>
      <c r="R383" s="386"/>
      <c r="S383" s="43">
        <v>11</v>
      </c>
      <c r="T383" s="146" t="s">
        <v>1266</v>
      </c>
      <c r="U383" s="146" t="s">
        <v>1266</v>
      </c>
      <c r="V383" s="487"/>
      <c r="X383" s="495" t="s">
        <v>286</v>
      </c>
      <c r="Y383" s="431" t="s">
        <v>2705</v>
      </c>
      <c r="Z383" s="432">
        <v>295</v>
      </c>
      <c r="AA383" s="441" t="str">
        <f t="shared" si="613"/>
        <v>q</v>
      </c>
      <c r="AB383" s="134">
        <f t="shared" si="603"/>
        <v>0</v>
      </c>
      <c r="AC383" s="134">
        <f t="shared" si="604"/>
        <v>0</v>
      </c>
      <c r="AD383" s="134">
        <f t="shared" si="605"/>
        <v>106</v>
      </c>
      <c r="AE383" s="134">
        <f t="shared" si="606"/>
        <v>2.0195712416253109</v>
      </c>
      <c r="AF383" s="432">
        <v>150</v>
      </c>
      <c r="AG383" s="436" t="str">
        <f t="shared" si="614"/>
        <v>p</v>
      </c>
      <c r="AH383" s="134">
        <f t="shared" si="608"/>
        <v>2</v>
      </c>
      <c r="AI383" s="134">
        <f t="shared" si="609"/>
        <v>3.8105117766515297E-2</v>
      </c>
      <c r="AJ383" s="134">
        <f t="shared" si="610"/>
        <v>0</v>
      </c>
      <c r="AK383" s="134">
        <f t="shared" si="611"/>
        <v>0</v>
      </c>
      <c r="AL383" s="470" t="s">
        <v>1267</v>
      </c>
    </row>
    <row r="384" spans="1:39" hidden="1" x14ac:dyDescent="0.25">
      <c r="B384" s="49" t="s">
        <v>2698</v>
      </c>
      <c r="C384" s="168" t="s">
        <v>963</v>
      </c>
      <c r="D384" s="119">
        <f t="shared" ref="D384" si="616">ROUNDDOWN(S384,0)</f>
        <v>11</v>
      </c>
      <c r="E384" s="370" t="s">
        <v>1162</v>
      </c>
      <c r="F384" s="400" t="str">
        <f>IFERROR(IFERROR(VLOOKUP(CONCATENATE(P384,Q384,O384,S384,"Protection"),TWZ[[OC Protection Reference]:[Forward A]],23,0),VLOOKUP(O384,AEL_Protection_Data[],12,0)),"N/A")</f>
        <v>N/A</v>
      </c>
      <c r="G384" s="400">
        <f t="shared" si="598"/>
        <v>0</v>
      </c>
      <c r="H384" s="405">
        <f t="shared" si="599"/>
        <v>0</v>
      </c>
      <c r="I384" s="400" t="s">
        <v>1162</v>
      </c>
      <c r="J384" s="405" t="s">
        <v>1162</v>
      </c>
      <c r="K384" s="331" t="s">
        <v>1162</v>
      </c>
      <c r="L384" s="146" t="s">
        <v>1266</v>
      </c>
      <c r="M384" s="509" t="s">
        <v>1162</v>
      </c>
      <c r="O384" s="118" t="str">
        <f t="shared" si="612"/>
        <v>TVS-Z5</v>
      </c>
      <c r="P384" s="49" t="s">
        <v>1276</v>
      </c>
      <c r="Q384" s="49" t="s">
        <v>1404</v>
      </c>
      <c r="R384" s="386"/>
      <c r="S384" s="43">
        <v>11</v>
      </c>
      <c r="T384" s="146" t="s">
        <v>1266</v>
      </c>
      <c r="U384" s="146" t="s">
        <v>1266</v>
      </c>
      <c r="V384" s="487" t="s">
        <v>2828</v>
      </c>
      <c r="X384" s="495" t="s">
        <v>2698</v>
      </c>
      <c r="Y384" s="431" t="s">
        <v>963</v>
      </c>
      <c r="Z384" s="432"/>
      <c r="AA384" s="441" t="str">
        <f t="shared" si="613"/>
        <v>p</v>
      </c>
      <c r="AB384" s="134">
        <f t="shared" si="603"/>
        <v>0</v>
      </c>
      <c r="AC384" s="134">
        <f t="shared" si="604"/>
        <v>0</v>
      </c>
      <c r="AD384" s="134">
        <f t="shared" si="605"/>
        <v>0</v>
      </c>
      <c r="AE384" s="134">
        <f t="shared" si="606"/>
        <v>0</v>
      </c>
      <c r="AF384" s="432"/>
      <c r="AG384" s="436" t="str">
        <f t="shared" si="614"/>
        <v>p</v>
      </c>
      <c r="AH384" s="134">
        <f t="shared" si="608"/>
        <v>0</v>
      </c>
      <c r="AI384" s="134">
        <f t="shared" si="609"/>
        <v>0</v>
      </c>
      <c r="AJ384" s="134">
        <f t="shared" si="610"/>
        <v>0</v>
      </c>
      <c r="AK384" s="134">
        <f t="shared" si="611"/>
        <v>0</v>
      </c>
      <c r="AL384" s="470" t="s">
        <v>1266</v>
      </c>
    </row>
    <row r="385" spans="2:38" hidden="1" x14ac:dyDescent="0.25">
      <c r="B385" s="49" t="s">
        <v>248</v>
      </c>
      <c r="C385" s="168" t="s">
        <v>2641</v>
      </c>
      <c r="D385" s="119">
        <f t="shared" si="615"/>
        <v>11</v>
      </c>
      <c r="E385" s="370">
        <f t="array" ref="E385">IF(U385="YES",IF(T385="YES",MIN(IF(TWZ[Load Capability Reference]=CONCATENATE(P385,Q385,S385,R385),TWZ[Lowest A-PTX])),MIN(IF(TWZ[Load Capability Reference]=CONCATENATE(P385,Q385,S385,R385),IF(TWZ[Equipment ID]&lt;&gt;O385,TWZ[Lowest A-PTX])))),IF(T385="YES",MIN(IF(TWZ[Load Capability Reference]=CONCATENATE(P385,Q385,S385,R385),TWZ[Lowest A-No PTX])),MIN(IF(TWZ[Load Capability Reference]=CONCATENATE(P385,Q385,S385,R385),IF(TWZ[Equipment ID]&lt;&gt;O385,TWZ[Lowest A-No PTX])))))</f>
        <v>328.03992567592377</v>
      </c>
      <c r="F385" s="119" t="str">
        <f>IFERROR(IFERROR(VLOOKUP(CONCATENATE(P385,Q385,O385,S385,"Protection"),TWZ[[OC Protection Reference]:[Forward A]],23,0),VLOOKUP(O385,AEL_Protection_Data[],12,0)),"N/A")</f>
        <v>N/A</v>
      </c>
      <c r="G385" s="119">
        <f t="shared" si="598"/>
        <v>260</v>
      </c>
      <c r="H385" s="29">
        <f t="shared" si="599"/>
        <v>4.9536653096469889</v>
      </c>
      <c r="I385" s="119">
        <f>IFERROR(FLOOR(MIN(E385:F385)*$D$2,5),"")</f>
        <v>295</v>
      </c>
      <c r="J385" s="29">
        <f t="shared" si="601"/>
        <v>5.6205048705610059</v>
      </c>
      <c r="K385" s="6" t="str">
        <f>IF(U385="Yes",UPPER(IF(ISNUMBER(SEARCH("winding",VLOOKUP(CONCATENATE(P385,Q385,S385,E385),TWZ[[Limiting Equipment Reference-PTX]:[Summ Equipment]],7,0))),"Power Transformer Rating at "&amp;ROUND(E385*S385*SQRT(3)/1000,2)&amp;" MVA",VLOOKUP(CONCATENATE(P385,Q385,S385,E385),TWZ[[Limiting Equipment Reference-No PTX]:[Summ Equipment]],8,0))),UPPER(VLOOKUP(CONCATENATE(P385,Q385,S385,E385),TWZ[[Limiting Equipment Reference-No PTX]:[Summ Equipment]],8,0)))</f>
        <v>POWER TRANSFORMER RATING AT 6.25 MVA</v>
      </c>
      <c r="L385" s="146" t="s">
        <v>1266</v>
      </c>
      <c r="M385" s="509" t="s">
        <v>1162</v>
      </c>
      <c r="O385" s="118" t="str">
        <f t="shared" si="612"/>
        <v>TVS-Z6</v>
      </c>
      <c r="P385" s="49" t="s">
        <v>1246</v>
      </c>
      <c r="Q385" s="49" t="s">
        <v>236</v>
      </c>
      <c r="R385" s="386"/>
      <c r="S385" s="43">
        <v>11</v>
      </c>
      <c r="T385" s="146" t="s">
        <v>1266</v>
      </c>
      <c r="U385" s="146" t="s">
        <v>1267</v>
      </c>
      <c r="V385" s="487"/>
      <c r="X385" s="495" t="s">
        <v>248</v>
      </c>
      <c r="Y385" s="431" t="s">
        <v>2955</v>
      </c>
      <c r="Z385" s="432">
        <v>327</v>
      </c>
      <c r="AA385" s="441" t="str">
        <f t="shared" si="613"/>
        <v>p</v>
      </c>
      <c r="AB385" s="134">
        <f t="shared" si="603"/>
        <v>1.0399256759237687</v>
      </c>
      <c r="AC385" s="134">
        <f t="shared" si="604"/>
        <v>1.9813245174749115E-2</v>
      </c>
      <c r="AD385" s="134">
        <f t="shared" si="605"/>
        <v>0</v>
      </c>
      <c r="AE385" s="134">
        <f t="shared" si="606"/>
        <v>0</v>
      </c>
      <c r="AF385" s="432"/>
      <c r="AG385" s="436" t="str">
        <f t="shared" si="614"/>
        <v>p</v>
      </c>
      <c r="AH385" s="134">
        <f t="shared" si="608"/>
        <v>0</v>
      </c>
      <c r="AI385" s="134">
        <f t="shared" si="609"/>
        <v>0</v>
      </c>
      <c r="AJ385" s="134">
        <f t="shared" si="610"/>
        <v>0</v>
      </c>
      <c r="AK385" s="134">
        <f t="shared" si="611"/>
        <v>0</v>
      </c>
      <c r="AL385" s="470" t="s">
        <v>1266</v>
      </c>
    </row>
    <row r="386" spans="2:38" hidden="1" x14ac:dyDescent="0.25">
      <c r="B386" s="49" t="s">
        <v>2699</v>
      </c>
      <c r="C386" s="168" t="s">
        <v>2642</v>
      </c>
      <c r="D386" s="119">
        <f t="shared" si="615"/>
        <v>11</v>
      </c>
      <c r="E386" s="370" t="s">
        <v>1162</v>
      </c>
      <c r="F386" s="400" t="str">
        <f>IFERROR(IFERROR(VLOOKUP(CONCATENATE(P386,Q386,O386,S386,"Protection"),TWZ[[OC Protection Reference]:[Forward A]],23,0),VLOOKUP(O386,AEL_Protection_Data[],12,0)),"N/A")</f>
        <v>N/A</v>
      </c>
      <c r="G386" s="400">
        <f t="shared" si="598"/>
        <v>0</v>
      </c>
      <c r="H386" s="405">
        <f t="shared" si="599"/>
        <v>0</v>
      </c>
      <c r="I386" s="400" t="s">
        <v>1162</v>
      </c>
      <c r="J386" s="405" t="s">
        <v>1162</v>
      </c>
      <c r="K386" s="331" t="s">
        <v>1162</v>
      </c>
      <c r="L386" s="146" t="s">
        <v>1266</v>
      </c>
      <c r="M386" s="509" t="s">
        <v>1162</v>
      </c>
      <c r="O386" s="118" t="str">
        <f t="shared" si="612"/>
        <v>TVS-Z7</v>
      </c>
      <c r="P386" s="49" t="s">
        <v>1246</v>
      </c>
      <c r="Q386" s="49" t="s">
        <v>236</v>
      </c>
      <c r="R386" s="386"/>
      <c r="S386" s="43">
        <v>11</v>
      </c>
      <c r="T386" s="146" t="s">
        <v>1266</v>
      </c>
      <c r="U386" s="146" t="s">
        <v>1266</v>
      </c>
      <c r="V386" s="487" t="s">
        <v>2828</v>
      </c>
      <c r="X386" s="495" t="s">
        <v>2699</v>
      </c>
      <c r="Y386" s="431" t="s">
        <v>2956</v>
      </c>
      <c r="Z386" s="432">
        <v>327</v>
      </c>
      <c r="AA386" s="441" t="str">
        <f t="shared" si="613"/>
        <v>p</v>
      </c>
      <c r="AB386" s="134"/>
      <c r="AC386" s="134">
        <f t="shared" si="604"/>
        <v>0</v>
      </c>
      <c r="AD386" s="134"/>
      <c r="AE386" s="134">
        <f t="shared" si="606"/>
        <v>0</v>
      </c>
      <c r="AF386" s="432"/>
      <c r="AG386" s="436" t="str">
        <f t="shared" si="614"/>
        <v>p</v>
      </c>
      <c r="AH386" s="134">
        <f t="shared" si="608"/>
        <v>0</v>
      </c>
      <c r="AI386" s="134">
        <f t="shared" si="609"/>
        <v>0</v>
      </c>
      <c r="AJ386" s="134">
        <f t="shared" si="610"/>
        <v>0</v>
      </c>
      <c r="AK386" s="134">
        <f t="shared" si="611"/>
        <v>0</v>
      </c>
      <c r="AL386" s="470" t="s">
        <v>1266</v>
      </c>
    </row>
    <row r="387" spans="2:38" ht="15.75" hidden="1" thickBot="1" x14ac:dyDescent="0.3">
      <c r="B387" s="374" t="s">
        <v>1367</v>
      </c>
      <c r="C387" s="375" t="s">
        <v>2706</v>
      </c>
      <c r="D387" s="377">
        <f t="shared" si="615"/>
        <v>11</v>
      </c>
      <c r="E387" s="384">
        <f t="array" ref="E387">IF(U387="YES",IF(T387="YES",MIN(IF(TWZ[Load Capability Reference]=CONCATENATE(P387,Q387,S387,R387),TWZ[Lowest A-PTX])),MIN(IF(TWZ[Load Capability Reference]=CONCATENATE(P387,Q387,S387,R387),IF(TWZ[Equipment ID]&lt;&gt;O387,TWZ[Lowest A-PTX])))),IF(T387="YES",MIN(IF(TWZ[Load Capability Reference]=CONCATENATE(P387,Q387,S387,R387),TWZ[Lowest A-No PTX])),MIN(IF(TWZ[Load Capability Reference]=CONCATENATE(P387,Q387,S387,R387),IF(TWZ[Equipment ID]&lt;&gt;O387,TWZ[Lowest A-No PTX])))))</f>
        <v>251.59999999999997</v>
      </c>
      <c r="F387" s="377">
        <f>IFERROR(IFERROR(VLOOKUP(CONCATENATE(P387,Q387,O387,S387,"Protection"),TWZ[[OC Protection Reference]:[Forward A]],23,0),VLOOKUP(O387,AEL_Protection_Data[],12,0)),"N/A")</f>
        <v>30</v>
      </c>
      <c r="G387" s="377">
        <f t="shared" si="598"/>
        <v>20</v>
      </c>
      <c r="H387" s="185">
        <f t="shared" si="599"/>
        <v>0.38105117766515295</v>
      </c>
      <c r="I387" s="377">
        <f>IFERROR(FLOOR(MIN(E387:F387)*$D$2,5),"")</f>
        <v>25</v>
      </c>
      <c r="J387" s="185">
        <f t="shared" si="601"/>
        <v>0.47631397208144127</v>
      </c>
      <c r="K387" s="191" t="str">
        <f>IF(U387="Yes",UPPER(IF(ISNUMBER(SEARCH("winding",VLOOKUP(CONCATENATE(P387,Q387,S387,E387),TWZ[[Limiting Equipment Reference-PTX]:[Summ Equipment]],7,0))),"Power Transformer Rating at "&amp;ROUND(E387*S387*SQRT(3)/1000,2)&amp;" MVA",VLOOKUP(CONCATENATE(P387,Q387,S387,E387),TWZ[[Limiting Equipment Reference-No PTX]:[Summ Equipment]],8,0))),UPPER(VLOOKUP(CONCATENATE(P387,Q387,S387,E387),TWZ[[Limiting Equipment Reference-No PTX]:[Summ Equipment]],8,0)))</f>
        <v>CABLE - 1-3C 95 MM² CU XLPE</v>
      </c>
      <c r="L387" s="379" t="s">
        <v>1266</v>
      </c>
      <c r="M387" s="511" t="s">
        <v>1162</v>
      </c>
      <c r="O387" s="514" t="str">
        <f t="shared" si="612"/>
        <v>TVS-Z9</v>
      </c>
      <c r="P387" s="374" t="s">
        <v>1276</v>
      </c>
      <c r="Q387" s="374" t="s">
        <v>1366</v>
      </c>
      <c r="R387" s="387"/>
      <c r="S387" s="175">
        <v>11</v>
      </c>
      <c r="T387" s="379" t="s">
        <v>1266</v>
      </c>
      <c r="U387" s="379" t="s">
        <v>1266</v>
      </c>
      <c r="V387" s="488"/>
      <c r="X387" s="503" t="s">
        <v>1367</v>
      </c>
      <c r="Y387" s="433" t="s">
        <v>2706</v>
      </c>
      <c r="Z387" s="434">
        <v>30</v>
      </c>
      <c r="AA387" s="442" t="str">
        <f t="shared" si="613"/>
        <v>p</v>
      </c>
      <c r="AB387" s="451">
        <f t="shared" si="603"/>
        <v>221.59999999999997</v>
      </c>
      <c r="AC387" s="451">
        <f t="shared" si="604"/>
        <v>4.2220470485298938</v>
      </c>
      <c r="AD387" s="451">
        <f t="shared" si="605"/>
        <v>0</v>
      </c>
      <c r="AE387" s="451">
        <f t="shared" si="606"/>
        <v>0</v>
      </c>
      <c r="AF387" s="434"/>
      <c r="AG387" s="437" t="str">
        <f t="shared" si="614"/>
        <v>p</v>
      </c>
      <c r="AH387" s="451">
        <f t="shared" si="608"/>
        <v>0</v>
      </c>
      <c r="AI387" s="451">
        <f t="shared" si="609"/>
        <v>0</v>
      </c>
      <c r="AJ387" s="451">
        <f t="shared" si="610"/>
        <v>0</v>
      </c>
      <c r="AK387" s="451">
        <f t="shared" si="611"/>
        <v>0</v>
      </c>
      <c r="AL387" s="471" t="s">
        <v>1266</v>
      </c>
    </row>
    <row r="388" spans="2:38" hidden="1" x14ac:dyDescent="0.25">
      <c r="X388" s="427" t="s">
        <v>70</v>
      </c>
      <c r="AB388" s="449">
        <f>SUM(AB378:AB387)</f>
        <v>438.63992567592373</v>
      </c>
      <c r="AC388" s="449">
        <f t="shared" ref="AC388:AE388" si="617">SUM(AC378:AC387)</f>
        <v>15.482870034826654</v>
      </c>
      <c r="AD388" s="449">
        <f t="shared" si="617"/>
        <v>426.61250000000001</v>
      </c>
      <c r="AE388" s="449">
        <f t="shared" si="617"/>
        <v>8.1280597765837541</v>
      </c>
      <c r="AF388" s="449"/>
      <c r="AG388" s="449"/>
      <c r="AH388" s="449">
        <f t="shared" ref="AH388:AK388" si="618">SUM(AH378:AH387)</f>
        <v>6</v>
      </c>
      <c r="AI388" s="449">
        <f t="shared" si="618"/>
        <v>0.1143153532995459</v>
      </c>
      <c r="AJ388" s="449">
        <f t="shared" si="618"/>
        <v>100</v>
      </c>
      <c r="AK388" s="449">
        <f t="shared" si="618"/>
        <v>5.715767664977295</v>
      </c>
    </row>
  </sheetData>
  <autoFilter ref="B6:AL388" xr:uid="{00000000-0001-0000-0300-000000000000}">
    <filterColumn colId="0">
      <filters>
        <filter val="CB9"/>
      </filters>
    </filterColumn>
    <filterColumn colId="5" showButton="0"/>
    <filterColumn colId="6" showButton="0"/>
    <filterColumn colId="7" showButton="0"/>
    <filterColumn colId="10" showButton="0"/>
    <filterColumn colId="24" showButton="0"/>
    <filterColumn colId="25" showButton="0"/>
    <filterColumn colId="26" showButton="0"/>
    <filterColumn colId="27" showButton="0"/>
    <filterColumn colId="28" showButton="0"/>
    <filterColumn colId="30" showButton="0"/>
    <filterColumn colId="31" showButton="0"/>
    <filterColumn colId="32" showButton="0"/>
    <filterColumn colId="33" showButton="0"/>
    <filterColumn colId="34" showButton="0"/>
  </autoFilter>
  <sortState xmlns:xlrd2="http://schemas.microsoft.com/office/spreadsheetml/2017/richdata2" ref="B248:C277">
    <sortCondition ref="B248:B277"/>
  </sortState>
  <mergeCells count="681">
    <mergeCell ref="AO6:AT6"/>
    <mergeCell ref="AU6:AZ6"/>
    <mergeCell ref="AN5:AZ5"/>
    <mergeCell ref="AN6:AN7"/>
    <mergeCell ref="X374:AL374"/>
    <mergeCell ref="X375:X377"/>
    <mergeCell ref="Y375:Y377"/>
    <mergeCell ref="AL375:AL377"/>
    <mergeCell ref="X331:AL331"/>
    <mergeCell ref="X332:X334"/>
    <mergeCell ref="Y332:Y334"/>
    <mergeCell ref="AL332:AL334"/>
    <mergeCell ref="X353:AL353"/>
    <mergeCell ref="X354:X356"/>
    <mergeCell ref="Y354:Y356"/>
    <mergeCell ref="AL354:AL356"/>
    <mergeCell ref="Z375:AE376"/>
    <mergeCell ref="Z354:AE355"/>
    <mergeCell ref="Z332:AE333"/>
    <mergeCell ref="AF332:AK333"/>
    <mergeCell ref="AF354:AK355"/>
    <mergeCell ref="AF375:AK376"/>
    <mergeCell ref="X308:AL308"/>
    <mergeCell ref="X309:X311"/>
    <mergeCell ref="Y309:Y311"/>
    <mergeCell ref="AL309:AL311"/>
    <mergeCell ref="X325:AL325"/>
    <mergeCell ref="X326:X328"/>
    <mergeCell ref="Y326:Y328"/>
    <mergeCell ref="AL326:AL328"/>
    <mergeCell ref="Z326:AE327"/>
    <mergeCell ref="Z309:AE310"/>
    <mergeCell ref="AF309:AK310"/>
    <mergeCell ref="AF326:AK327"/>
    <mergeCell ref="X284:AL284"/>
    <mergeCell ref="X285:X287"/>
    <mergeCell ref="Y285:Y287"/>
    <mergeCell ref="AL285:AL287"/>
    <mergeCell ref="X298:AL298"/>
    <mergeCell ref="X299:X301"/>
    <mergeCell ref="Y299:Y301"/>
    <mergeCell ref="AL299:AL301"/>
    <mergeCell ref="Z299:AE300"/>
    <mergeCell ref="Z285:AE286"/>
    <mergeCell ref="AF285:AK286"/>
    <mergeCell ref="AF299:AK300"/>
    <mergeCell ref="X258:AL258"/>
    <mergeCell ref="X259:X261"/>
    <mergeCell ref="Y259:Y261"/>
    <mergeCell ref="AL259:AL261"/>
    <mergeCell ref="X267:AL267"/>
    <mergeCell ref="X268:X270"/>
    <mergeCell ref="Y268:Y270"/>
    <mergeCell ref="AL268:AL270"/>
    <mergeCell ref="AF259:AK260"/>
    <mergeCell ref="Z259:AE260"/>
    <mergeCell ref="AF268:AK269"/>
    <mergeCell ref="Z268:AE269"/>
    <mergeCell ref="X243:AL243"/>
    <mergeCell ref="X244:X246"/>
    <mergeCell ref="Y244:Y246"/>
    <mergeCell ref="AL244:AL246"/>
    <mergeCell ref="X251:AL251"/>
    <mergeCell ref="X252:X254"/>
    <mergeCell ref="Y252:Y254"/>
    <mergeCell ref="AL252:AL254"/>
    <mergeCell ref="AF244:AK245"/>
    <mergeCell ref="Z244:AE245"/>
    <mergeCell ref="Z252:AE253"/>
    <mergeCell ref="AF252:AK253"/>
    <mergeCell ref="X219:AL219"/>
    <mergeCell ref="X220:X222"/>
    <mergeCell ref="Y220:Y222"/>
    <mergeCell ref="AL220:AL222"/>
    <mergeCell ref="X230:AL230"/>
    <mergeCell ref="X231:X233"/>
    <mergeCell ref="Y231:Y233"/>
    <mergeCell ref="AL231:AL233"/>
    <mergeCell ref="Z220:AE221"/>
    <mergeCell ref="AF220:AK221"/>
    <mergeCell ref="AF231:AK232"/>
    <mergeCell ref="Z231:AE232"/>
    <mergeCell ref="X188:AL188"/>
    <mergeCell ref="X189:X191"/>
    <mergeCell ref="Y189:Y191"/>
    <mergeCell ref="AL189:AL191"/>
    <mergeCell ref="X200:AL200"/>
    <mergeCell ref="X201:X203"/>
    <mergeCell ref="Y201:Y203"/>
    <mergeCell ref="AL201:AL203"/>
    <mergeCell ref="AF189:AK190"/>
    <mergeCell ref="Z189:AE190"/>
    <mergeCell ref="AF201:AK202"/>
    <mergeCell ref="Z201:AE202"/>
    <mergeCell ref="X141:AL141"/>
    <mergeCell ref="X142:X144"/>
    <mergeCell ref="Y142:Y144"/>
    <mergeCell ref="AL142:AL144"/>
    <mergeCell ref="X163:AL163"/>
    <mergeCell ref="X164:X166"/>
    <mergeCell ref="Y164:Y166"/>
    <mergeCell ref="AL164:AL166"/>
    <mergeCell ref="AF142:AK143"/>
    <mergeCell ref="Z142:AE143"/>
    <mergeCell ref="AF164:AK165"/>
    <mergeCell ref="Z164:AE165"/>
    <mergeCell ref="X80:AL80"/>
    <mergeCell ref="X81:X83"/>
    <mergeCell ref="Y81:Y83"/>
    <mergeCell ref="AL81:AL83"/>
    <mergeCell ref="X116:AL116"/>
    <mergeCell ref="X117:X119"/>
    <mergeCell ref="Y117:Y119"/>
    <mergeCell ref="AL117:AL119"/>
    <mergeCell ref="AF81:AK82"/>
    <mergeCell ref="Z81:AE82"/>
    <mergeCell ref="Z117:AE118"/>
    <mergeCell ref="AF117:AK118"/>
    <mergeCell ref="X50:AL50"/>
    <mergeCell ref="X51:X53"/>
    <mergeCell ref="Y51:Y53"/>
    <mergeCell ref="AL51:AL53"/>
    <mergeCell ref="X66:AL66"/>
    <mergeCell ref="X67:X69"/>
    <mergeCell ref="Y67:Y69"/>
    <mergeCell ref="AL67:AL69"/>
    <mergeCell ref="AF51:AK52"/>
    <mergeCell ref="Z51:AE52"/>
    <mergeCell ref="AF67:AK68"/>
    <mergeCell ref="Z67:AE68"/>
    <mergeCell ref="X27:AL27"/>
    <mergeCell ref="X28:X30"/>
    <mergeCell ref="Y28:Y30"/>
    <mergeCell ref="AL28:AL30"/>
    <mergeCell ref="X37:AL37"/>
    <mergeCell ref="X38:X40"/>
    <mergeCell ref="Y38:Y40"/>
    <mergeCell ref="AL38:AL40"/>
    <mergeCell ref="AF28:AK29"/>
    <mergeCell ref="Z28:AE29"/>
    <mergeCell ref="AF38:AK39"/>
    <mergeCell ref="Z38:AE39"/>
    <mergeCell ref="X6:X8"/>
    <mergeCell ref="Y6:Y8"/>
    <mergeCell ref="AL6:AL8"/>
    <mergeCell ref="X5:AL5"/>
    <mergeCell ref="X16:AL16"/>
    <mergeCell ref="X17:X19"/>
    <mergeCell ref="Y17:Y19"/>
    <mergeCell ref="AL17:AL19"/>
    <mergeCell ref="Z6:AE7"/>
    <mergeCell ref="AF6:AK7"/>
    <mergeCell ref="Z17:AE18"/>
    <mergeCell ref="AF17:AK18"/>
    <mergeCell ref="B163:M163"/>
    <mergeCell ref="O163:V163"/>
    <mergeCell ref="B164:B166"/>
    <mergeCell ref="C164:C166"/>
    <mergeCell ref="E164:E165"/>
    <mergeCell ref="F164:F165"/>
    <mergeCell ref="G164:J164"/>
    <mergeCell ref="K164:K166"/>
    <mergeCell ref="L164:M164"/>
    <mergeCell ref="O164:O166"/>
    <mergeCell ref="P164:P166"/>
    <mergeCell ref="Q164:Q166"/>
    <mergeCell ref="R164:R166"/>
    <mergeCell ref="S164:S166"/>
    <mergeCell ref="T164:T166"/>
    <mergeCell ref="U164:U166"/>
    <mergeCell ref="V164:V166"/>
    <mergeCell ref="G165:H165"/>
    <mergeCell ref="I165:J165"/>
    <mergeCell ref="L165:L166"/>
    <mergeCell ref="M165:M166"/>
    <mergeCell ref="O141:V141"/>
    <mergeCell ref="B142:B144"/>
    <mergeCell ref="C142:C144"/>
    <mergeCell ref="E142:E143"/>
    <mergeCell ref="F142:F143"/>
    <mergeCell ref="G142:J142"/>
    <mergeCell ref="K142:K144"/>
    <mergeCell ref="L142:M142"/>
    <mergeCell ref="O142:O144"/>
    <mergeCell ref="P142:P144"/>
    <mergeCell ref="Q142:Q144"/>
    <mergeCell ref="R142:R144"/>
    <mergeCell ref="S142:S144"/>
    <mergeCell ref="T142:T144"/>
    <mergeCell ref="U142:U144"/>
    <mergeCell ref="V142:V144"/>
    <mergeCell ref="G143:H143"/>
    <mergeCell ref="I143:J143"/>
    <mergeCell ref="L143:L144"/>
    <mergeCell ref="M143:M144"/>
    <mergeCell ref="O219:V219"/>
    <mergeCell ref="B220:B222"/>
    <mergeCell ref="C220:C222"/>
    <mergeCell ref="E220:E221"/>
    <mergeCell ref="F220:F221"/>
    <mergeCell ref="K220:K222"/>
    <mergeCell ref="L220:M220"/>
    <mergeCell ref="O220:O222"/>
    <mergeCell ref="P220:P222"/>
    <mergeCell ref="Q220:Q222"/>
    <mergeCell ref="R220:R222"/>
    <mergeCell ref="S220:S222"/>
    <mergeCell ref="T220:T222"/>
    <mergeCell ref="U220:U222"/>
    <mergeCell ref="V220:V222"/>
    <mergeCell ref="L221:L222"/>
    <mergeCell ref="M221:M222"/>
    <mergeCell ref="G220:J220"/>
    <mergeCell ref="G221:H221"/>
    <mergeCell ref="I221:J221"/>
    <mergeCell ref="O267:V267"/>
    <mergeCell ref="S268:S270"/>
    <mergeCell ref="B189:B191"/>
    <mergeCell ref="C189:C191"/>
    <mergeCell ref="E189:E190"/>
    <mergeCell ref="F189:F190"/>
    <mergeCell ref="K189:K191"/>
    <mergeCell ref="L189:M189"/>
    <mergeCell ref="O189:O191"/>
    <mergeCell ref="P189:P191"/>
    <mergeCell ref="L190:L191"/>
    <mergeCell ref="M190:M191"/>
    <mergeCell ref="G189:J189"/>
    <mergeCell ref="G190:H190"/>
    <mergeCell ref="I190:J190"/>
    <mergeCell ref="K201:K203"/>
    <mergeCell ref="L201:M201"/>
    <mergeCell ref="O201:O203"/>
    <mergeCell ref="P201:P203"/>
    <mergeCell ref="Q201:Q203"/>
    <mergeCell ref="R201:R203"/>
    <mergeCell ref="S201:S203"/>
    <mergeCell ref="T201:T203"/>
    <mergeCell ref="L202:L203"/>
    <mergeCell ref="Q231:Q233"/>
    <mergeCell ref="S231:S233"/>
    <mergeCell ref="T231:T233"/>
    <mergeCell ref="S259:S261"/>
    <mergeCell ref="T259:T261"/>
    <mergeCell ref="U259:U261"/>
    <mergeCell ref="V259:V261"/>
    <mergeCell ref="S252:S254"/>
    <mergeCell ref="T252:T254"/>
    <mergeCell ref="O325:V325"/>
    <mergeCell ref="O331:V331"/>
    <mergeCell ref="O243:V243"/>
    <mergeCell ref="O251:V251"/>
    <mergeCell ref="U201:U203"/>
    <mergeCell ref="V201:V203"/>
    <mergeCell ref="B231:B233"/>
    <mergeCell ref="C231:C233"/>
    <mergeCell ref="E231:E232"/>
    <mergeCell ref="F231:F232"/>
    <mergeCell ref="K231:K233"/>
    <mergeCell ref="L231:M231"/>
    <mergeCell ref="L232:L233"/>
    <mergeCell ref="M232:M233"/>
    <mergeCell ref="B259:B261"/>
    <mergeCell ref="C259:C261"/>
    <mergeCell ref="E259:E260"/>
    <mergeCell ref="O298:V298"/>
    <mergeCell ref="R268:R270"/>
    <mergeCell ref="U231:U233"/>
    <mergeCell ref="V231:V233"/>
    <mergeCell ref="O244:O246"/>
    <mergeCell ref="P244:P246"/>
    <mergeCell ref="Q244:Q246"/>
    <mergeCell ref="O353:V353"/>
    <mergeCell ref="O374:V374"/>
    <mergeCell ref="O80:V80"/>
    <mergeCell ref="B5:M5"/>
    <mergeCell ref="B16:M16"/>
    <mergeCell ref="B27:M27"/>
    <mergeCell ref="B37:M37"/>
    <mergeCell ref="B50:M50"/>
    <mergeCell ref="B66:M66"/>
    <mergeCell ref="B230:M230"/>
    <mergeCell ref="B243:M243"/>
    <mergeCell ref="B251:M251"/>
    <mergeCell ref="B258:M258"/>
    <mergeCell ref="B267:M267"/>
    <mergeCell ref="B284:M284"/>
    <mergeCell ref="B298:M298"/>
    <mergeCell ref="B308:M308"/>
    <mergeCell ref="B325:M325"/>
    <mergeCell ref="B331:M331"/>
    <mergeCell ref="B353:M353"/>
    <mergeCell ref="O5:V5"/>
    <mergeCell ref="O50:V50"/>
    <mergeCell ref="O66:V66"/>
    <mergeCell ref="O230:V230"/>
    <mergeCell ref="V51:V53"/>
    <mergeCell ref="P51:P53"/>
    <mergeCell ref="Q51:Q53"/>
    <mergeCell ref="S51:S53"/>
    <mergeCell ref="T51:T53"/>
    <mergeCell ref="U51:U53"/>
    <mergeCell ref="Q189:Q191"/>
    <mergeCell ref="R189:R191"/>
    <mergeCell ref="S189:S191"/>
    <mergeCell ref="T189:T191"/>
    <mergeCell ref="U189:U191"/>
    <mergeCell ref="V189:V191"/>
    <mergeCell ref="Q81:Q83"/>
    <mergeCell ref="R81:R83"/>
    <mergeCell ref="S81:S83"/>
    <mergeCell ref="T81:T83"/>
    <mergeCell ref="O188:V188"/>
    <mergeCell ref="V67:V69"/>
    <mergeCell ref="Q67:Q69"/>
    <mergeCell ref="S67:S69"/>
    <mergeCell ref="Q117:Q119"/>
    <mergeCell ref="R117:R119"/>
    <mergeCell ref="S117:S119"/>
    <mergeCell ref="T117:T119"/>
    <mergeCell ref="L39:L40"/>
    <mergeCell ref="M39:M40"/>
    <mergeCell ref="O16:V16"/>
    <mergeCell ref="O27:V27"/>
    <mergeCell ref="O37:V37"/>
    <mergeCell ref="U38:U40"/>
    <mergeCell ref="V38:V40"/>
    <mergeCell ref="S28:S30"/>
    <mergeCell ref="T28:T30"/>
    <mergeCell ref="U28:U30"/>
    <mergeCell ref="V28:V30"/>
    <mergeCell ref="S38:S40"/>
    <mergeCell ref="T38:T40"/>
    <mergeCell ref="V17:V19"/>
    <mergeCell ref="O28:O30"/>
    <mergeCell ref="L17:M17"/>
    <mergeCell ref="L18:L19"/>
    <mergeCell ref="M18:M19"/>
    <mergeCell ref="L28:M28"/>
    <mergeCell ref="L29:L30"/>
    <mergeCell ref="B28:B30"/>
    <mergeCell ref="C28:C30"/>
    <mergeCell ref="E28:E29"/>
    <mergeCell ref="F28:F29"/>
    <mergeCell ref="K28:K30"/>
    <mergeCell ref="B38:B40"/>
    <mergeCell ref="C38:C40"/>
    <mergeCell ref="E38:E39"/>
    <mergeCell ref="F38:F39"/>
    <mergeCell ref="B51:B53"/>
    <mergeCell ref="C51:C53"/>
    <mergeCell ref="E51:E52"/>
    <mergeCell ref="F51:F52"/>
    <mergeCell ref="K51:K53"/>
    <mergeCell ref="L51:M51"/>
    <mergeCell ref="L52:L53"/>
    <mergeCell ref="M52:M53"/>
    <mergeCell ref="B67:B69"/>
    <mergeCell ref="C67:C69"/>
    <mergeCell ref="E67:E68"/>
    <mergeCell ref="F67:F68"/>
    <mergeCell ref="K67:K69"/>
    <mergeCell ref="B17:B19"/>
    <mergeCell ref="C17:C19"/>
    <mergeCell ref="T67:T69"/>
    <mergeCell ref="U67:U69"/>
    <mergeCell ref="R17:R19"/>
    <mergeCell ref="R28:R30"/>
    <mergeCell ref="R38:R40"/>
    <mergeCell ref="R51:R53"/>
    <mergeCell ref="R67:R69"/>
    <mergeCell ref="Q17:Q19"/>
    <mergeCell ref="S17:S19"/>
    <mergeCell ref="T17:T19"/>
    <mergeCell ref="U17:U19"/>
    <mergeCell ref="K38:K40"/>
    <mergeCell ref="L38:M38"/>
    <mergeCell ref="O38:O40"/>
    <mergeCell ref="P38:P40"/>
    <mergeCell ref="Q38:Q40"/>
    <mergeCell ref="P28:P30"/>
    <mergeCell ref="Q28:Q30"/>
    <mergeCell ref="E17:E18"/>
    <mergeCell ref="F17:F18"/>
    <mergeCell ref="K17:K19"/>
    <mergeCell ref="M29:M30"/>
    <mergeCell ref="V6:V8"/>
    <mergeCell ref="L7:L8"/>
    <mergeCell ref="M7:M8"/>
    <mergeCell ref="B6:B8"/>
    <mergeCell ref="C6:C8"/>
    <mergeCell ref="E6:E7"/>
    <mergeCell ref="F6:F7"/>
    <mergeCell ref="K6:K8"/>
    <mergeCell ref="L6:M6"/>
    <mergeCell ref="O6:O8"/>
    <mergeCell ref="Q6:Q8"/>
    <mergeCell ref="P6:P8"/>
    <mergeCell ref="S6:S8"/>
    <mergeCell ref="T6:T8"/>
    <mergeCell ref="R6:R8"/>
    <mergeCell ref="G6:J6"/>
    <mergeCell ref="G7:H7"/>
    <mergeCell ref="I7:J7"/>
    <mergeCell ref="U6:U8"/>
    <mergeCell ref="C244:C246"/>
    <mergeCell ref="E244:E245"/>
    <mergeCell ref="F244:F245"/>
    <mergeCell ref="K244:K246"/>
    <mergeCell ref="L244:M244"/>
    <mergeCell ref="L245:L246"/>
    <mergeCell ref="M245:M246"/>
    <mergeCell ref="B80:M80"/>
    <mergeCell ref="B188:M188"/>
    <mergeCell ref="B219:M219"/>
    <mergeCell ref="B81:B83"/>
    <mergeCell ref="C81:C83"/>
    <mergeCell ref="E81:E82"/>
    <mergeCell ref="F81:F82"/>
    <mergeCell ref="B200:M200"/>
    <mergeCell ref="B201:B203"/>
    <mergeCell ref="C201:C203"/>
    <mergeCell ref="E201:E202"/>
    <mergeCell ref="F201:F202"/>
    <mergeCell ref="M202:M203"/>
    <mergeCell ref="G201:J201"/>
    <mergeCell ref="G202:H202"/>
    <mergeCell ref="I202:J202"/>
    <mergeCell ref="B141:M141"/>
    <mergeCell ref="F259:F260"/>
    <mergeCell ref="K259:K261"/>
    <mergeCell ref="L259:M259"/>
    <mergeCell ref="L260:L261"/>
    <mergeCell ref="M260:M261"/>
    <mergeCell ref="R231:R233"/>
    <mergeCell ref="R244:R246"/>
    <mergeCell ref="Q259:Q261"/>
    <mergeCell ref="O252:O254"/>
    <mergeCell ref="P252:P254"/>
    <mergeCell ref="Q252:Q254"/>
    <mergeCell ref="R252:R254"/>
    <mergeCell ref="R259:R261"/>
    <mergeCell ref="O258:V258"/>
    <mergeCell ref="G231:J231"/>
    <mergeCell ref="G232:H232"/>
    <mergeCell ref="I232:J232"/>
    <mergeCell ref="G244:J244"/>
    <mergeCell ref="G245:H245"/>
    <mergeCell ref="I245:J245"/>
    <mergeCell ref="L252:M252"/>
    <mergeCell ref="L253:L254"/>
    <mergeCell ref="M253:M254"/>
    <mergeCell ref="S244:S246"/>
    <mergeCell ref="B268:B270"/>
    <mergeCell ref="C268:C270"/>
    <mergeCell ref="E268:E269"/>
    <mergeCell ref="F268:F269"/>
    <mergeCell ref="K268:K270"/>
    <mergeCell ref="L268:M268"/>
    <mergeCell ref="O268:O270"/>
    <mergeCell ref="P268:P270"/>
    <mergeCell ref="Q268:Q270"/>
    <mergeCell ref="L269:L270"/>
    <mergeCell ref="M269:M270"/>
    <mergeCell ref="L81:M81"/>
    <mergeCell ref="B252:B254"/>
    <mergeCell ref="C252:C254"/>
    <mergeCell ref="E252:E253"/>
    <mergeCell ref="F252:F253"/>
    <mergeCell ref="K252:K254"/>
    <mergeCell ref="P17:P19"/>
    <mergeCell ref="O51:O53"/>
    <mergeCell ref="L68:L69"/>
    <mergeCell ref="M68:M69"/>
    <mergeCell ref="L67:M67"/>
    <mergeCell ref="O67:O69"/>
    <mergeCell ref="P67:P69"/>
    <mergeCell ref="G51:J51"/>
    <mergeCell ref="G52:H52"/>
    <mergeCell ref="I52:J52"/>
    <mergeCell ref="G67:J67"/>
    <mergeCell ref="G68:H68"/>
    <mergeCell ref="I68:J68"/>
    <mergeCell ref="G81:J81"/>
    <mergeCell ref="G82:H82"/>
    <mergeCell ref="I82:J82"/>
    <mergeCell ref="O17:O19"/>
    <mergeCell ref="B244:B246"/>
    <mergeCell ref="U81:U83"/>
    <mergeCell ref="V81:V83"/>
    <mergeCell ref="L82:L83"/>
    <mergeCell ref="M82:M83"/>
    <mergeCell ref="U268:U270"/>
    <mergeCell ref="V268:V270"/>
    <mergeCell ref="U252:U254"/>
    <mergeCell ref="V252:V254"/>
    <mergeCell ref="O259:O261"/>
    <mergeCell ref="P259:P261"/>
    <mergeCell ref="O81:O83"/>
    <mergeCell ref="P81:P83"/>
    <mergeCell ref="B116:M116"/>
    <mergeCell ref="O116:V116"/>
    <mergeCell ref="B117:B119"/>
    <mergeCell ref="C117:C119"/>
    <mergeCell ref="E117:E118"/>
    <mergeCell ref="F117:F118"/>
    <mergeCell ref="G117:J117"/>
    <mergeCell ref="K117:K119"/>
    <mergeCell ref="L117:M117"/>
    <mergeCell ref="O117:O119"/>
    <mergeCell ref="P117:P119"/>
    <mergeCell ref="K81:K83"/>
    <mergeCell ref="B285:B287"/>
    <mergeCell ref="C285:C287"/>
    <mergeCell ref="E285:E286"/>
    <mergeCell ref="F285:F286"/>
    <mergeCell ref="K285:K287"/>
    <mergeCell ref="L285:M285"/>
    <mergeCell ref="O285:O287"/>
    <mergeCell ref="O284:V284"/>
    <mergeCell ref="P285:P287"/>
    <mergeCell ref="Q285:Q287"/>
    <mergeCell ref="R285:R287"/>
    <mergeCell ref="S285:S287"/>
    <mergeCell ref="T285:T287"/>
    <mergeCell ref="U285:U287"/>
    <mergeCell ref="V285:V287"/>
    <mergeCell ref="L286:L287"/>
    <mergeCell ref="M286:M287"/>
    <mergeCell ref="G285:J285"/>
    <mergeCell ref="G286:H286"/>
    <mergeCell ref="I286:J286"/>
    <mergeCell ref="C299:C301"/>
    <mergeCell ref="E299:E300"/>
    <mergeCell ref="F299:F300"/>
    <mergeCell ref="K299:K301"/>
    <mergeCell ref="L299:M299"/>
    <mergeCell ref="O299:O301"/>
    <mergeCell ref="P299:P301"/>
    <mergeCell ref="G299:J299"/>
    <mergeCell ref="G300:H300"/>
    <mergeCell ref="I300:J300"/>
    <mergeCell ref="B326:B328"/>
    <mergeCell ref="C326:C328"/>
    <mergeCell ref="E326:E327"/>
    <mergeCell ref="F326:F327"/>
    <mergeCell ref="K326:K328"/>
    <mergeCell ref="L326:M326"/>
    <mergeCell ref="Q299:Q301"/>
    <mergeCell ref="R299:R301"/>
    <mergeCell ref="S299:S301"/>
    <mergeCell ref="L300:L301"/>
    <mergeCell ref="M300:M301"/>
    <mergeCell ref="B309:B311"/>
    <mergeCell ref="C309:C311"/>
    <mergeCell ref="E309:E310"/>
    <mergeCell ref="F309:F310"/>
    <mergeCell ref="K309:K311"/>
    <mergeCell ref="L309:M309"/>
    <mergeCell ref="O309:O311"/>
    <mergeCell ref="P309:P311"/>
    <mergeCell ref="Q309:Q311"/>
    <mergeCell ref="R309:R311"/>
    <mergeCell ref="S309:S311"/>
    <mergeCell ref="L310:L311"/>
    <mergeCell ref="B299:B301"/>
    <mergeCell ref="P326:P328"/>
    <mergeCell ref="Q326:Q328"/>
    <mergeCell ref="R326:R328"/>
    <mergeCell ref="S326:S328"/>
    <mergeCell ref="T326:T328"/>
    <mergeCell ref="U326:U328"/>
    <mergeCell ref="V326:V328"/>
    <mergeCell ref="O326:O328"/>
    <mergeCell ref="L327:L328"/>
    <mergeCell ref="M327:M328"/>
    <mergeCell ref="L333:L334"/>
    <mergeCell ref="M333:M334"/>
    <mergeCell ref="B354:B356"/>
    <mergeCell ref="C354:C356"/>
    <mergeCell ref="E354:E355"/>
    <mergeCell ref="F354:F355"/>
    <mergeCell ref="K354:K356"/>
    <mergeCell ref="L354:M354"/>
    <mergeCell ref="L355:L356"/>
    <mergeCell ref="B332:B334"/>
    <mergeCell ref="C332:C334"/>
    <mergeCell ref="E332:E333"/>
    <mergeCell ref="F332:F333"/>
    <mergeCell ref="K332:K334"/>
    <mergeCell ref="L332:M332"/>
    <mergeCell ref="G354:J354"/>
    <mergeCell ref="L376:L377"/>
    <mergeCell ref="M376:M377"/>
    <mergeCell ref="M355:M356"/>
    <mergeCell ref="B375:B377"/>
    <mergeCell ref="C375:C377"/>
    <mergeCell ref="E375:E376"/>
    <mergeCell ref="F375:F376"/>
    <mergeCell ref="K375:K377"/>
    <mergeCell ref="L375:M375"/>
    <mergeCell ref="B374:M374"/>
    <mergeCell ref="G355:H355"/>
    <mergeCell ref="I355:J355"/>
    <mergeCell ref="G375:J375"/>
    <mergeCell ref="G376:H376"/>
    <mergeCell ref="I376:J376"/>
    <mergeCell ref="P375:P377"/>
    <mergeCell ref="Q375:Q377"/>
    <mergeCell ref="R375:R377"/>
    <mergeCell ref="S375:S377"/>
    <mergeCell ref="T375:T377"/>
    <mergeCell ref="U375:U377"/>
    <mergeCell ref="V375:V377"/>
    <mergeCell ref="O375:O377"/>
    <mergeCell ref="Q332:Q334"/>
    <mergeCell ref="R332:R334"/>
    <mergeCell ref="S332:S334"/>
    <mergeCell ref="T332:T334"/>
    <mergeCell ref="U332:U334"/>
    <mergeCell ref="V332:V334"/>
    <mergeCell ref="O354:O356"/>
    <mergeCell ref="P354:P356"/>
    <mergeCell ref="Q354:Q356"/>
    <mergeCell ref="R354:R356"/>
    <mergeCell ref="S354:S356"/>
    <mergeCell ref="T354:T356"/>
    <mergeCell ref="U354:U356"/>
    <mergeCell ref="V354:V356"/>
    <mergeCell ref="O332:O334"/>
    <mergeCell ref="P332:P334"/>
    <mergeCell ref="C1:D1"/>
    <mergeCell ref="G17:J17"/>
    <mergeCell ref="G18:H18"/>
    <mergeCell ref="I18:J18"/>
    <mergeCell ref="G28:J28"/>
    <mergeCell ref="G29:H29"/>
    <mergeCell ref="I29:J29"/>
    <mergeCell ref="G38:J38"/>
    <mergeCell ref="G39:H39"/>
    <mergeCell ref="I39:J39"/>
    <mergeCell ref="E2:J2"/>
    <mergeCell ref="G326:J326"/>
    <mergeCell ref="G327:H327"/>
    <mergeCell ref="I327:J327"/>
    <mergeCell ref="G332:J332"/>
    <mergeCell ref="G333:H333"/>
    <mergeCell ref="I333:J333"/>
    <mergeCell ref="G252:J252"/>
    <mergeCell ref="G253:H253"/>
    <mergeCell ref="I253:J253"/>
    <mergeCell ref="G259:J259"/>
    <mergeCell ref="G260:H260"/>
    <mergeCell ref="I260:J260"/>
    <mergeCell ref="G268:J268"/>
    <mergeCell ref="G269:H269"/>
    <mergeCell ref="I269:J269"/>
    <mergeCell ref="U117:U119"/>
    <mergeCell ref="V117:V119"/>
    <mergeCell ref="G118:H118"/>
    <mergeCell ref="I118:J118"/>
    <mergeCell ref="L118:L119"/>
    <mergeCell ref="M118:M119"/>
    <mergeCell ref="G309:J309"/>
    <mergeCell ref="G310:H310"/>
    <mergeCell ref="I310:J310"/>
    <mergeCell ref="M310:M311"/>
    <mergeCell ref="T299:T301"/>
    <mergeCell ref="U299:U301"/>
    <mergeCell ref="V299:V301"/>
    <mergeCell ref="T309:T311"/>
    <mergeCell ref="U309:U311"/>
    <mergeCell ref="V309:V311"/>
    <mergeCell ref="T268:T270"/>
    <mergeCell ref="O200:V200"/>
    <mergeCell ref="O308:V308"/>
    <mergeCell ref="T244:T246"/>
    <mergeCell ref="U244:U246"/>
    <mergeCell ref="V244:V246"/>
    <mergeCell ref="O231:O233"/>
    <mergeCell ref="P231:P233"/>
  </mergeCells>
  <conditionalFormatting sqref="C1 C2:D3 P1:P3 R1:U3">
    <cfRule type="cellIs" dxfId="1142" priority="419" operator="equal">
      <formula>0</formula>
    </cfRule>
  </conditionalFormatting>
  <conditionalFormatting sqref="D1:J1 D3:J1048576 D2:E2">
    <cfRule type="cellIs" dxfId="1141" priority="416" operator="equal">
      <formula>"N/A"</formula>
    </cfRule>
  </conditionalFormatting>
  <conditionalFormatting sqref="AF9:AF15 AF20:AF26 AF31:AF36 AF41:AF49 AF65 AF115 AF199 AF218 AF229 AF242 AF250 AF257 AF266 AF283 AF297 AF307 AF324 AF352 AF373 AF389:AF1048576">
    <cfRule type="cellIs" dxfId="1140" priority="411" operator="lessThan">
      <formula>$F9</formula>
    </cfRule>
    <cfRule type="cellIs" dxfId="1139" priority="412" operator="greaterThan">
      <formula>$F9</formula>
    </cfRule>
  </conditionalFormatting>
  <conditionalFormatting sqref="Z9:Z16 Z20:Z26 Z31:Z36 Z41:Z49 Z65 Z79 Z115 Z140 Z162 Z187 Z199 Z218 Z229 Z242 Z250 Z257 Z266 Z283 Z297 Z307 Z324 Z352 Z373 Z388:Z1048576">
    <cfRule type="cellIs" dxfId="1138" priority="413" operator="lessThan">
      <formula>$E9</formula>
    </cfRule>
    <cfRule type="cellIs" dxfId="1137" priority="414" operator="greaterThan">
      <formula>$E9</formula>
    </cfRule>
  </conditionalFormatting>
  <conditionalFormatting sqref="AA31:AE36 AG31:AK36 AG389:AK1048576 AA389:AE1048576 AG5:AK5 AA5:AE5 AA8:AE16 AG8:AK16 AA20:AE26 AG20:AK26 AA41:AE49 AG41:AK49 AA65:AE65 AG65:AK65 AA79:AK79 AA115:AE115 AG115:AK115 AA388:AK388 AA373:AE373 AG373:AK373 AA352:AE352 AG352:AK352 AA324:AE324 AG324:AK324 AA307:AE307 AG307:AK307 AA297:AE297 AG297:AK297 AA283:AE283 AG283:AK283 AA266:AE266 AG266:AK266 AA257:AE257 AG257:AK257 AA250:AE250 AG250:AK250 AA242:AE242 AG242:AK242 AA229:AE229 AG229:AK229 AA218:AE218 AG218:AK218 AA199:AE199 AG199:AK199 AA187:AK187 AA162:AK162 AA140:AK140 AO8:AP8 AR8:AS8 AU8:AV8 AX8:AY8">
    <cfRule type="cellIs" dxfId="1136" priority="407" operator="equal">
      <formula>"p"</formula>
    </cfRule>
    <cfRule type="cellIs" dxfId="1135" priority="408" operator="equal">
      <formula>"q"</formula>
    </cfRule>
  </conditionalFormatting>
  <conditionalFormatting sqref="Z27">
    <cfRule type="cellIs" dxfId="1134" priority="402" operator="lessThan">
      <formula>$E27</formula>
    </cfRule>
    <cfRule type="cellIs" dxfId="1133" priority="403" operator="greaterThan">
      <formula>$E27</formula>
    </cfRule>
  </conditionalFormatting>
  <conditionalFormatting sqref="AA27:AE27 AG27:AK27">
    <cfRule type="cellIs" dxfId="1132" priority="400" operator="equal">
      <formula>"p"</formula>
    </cfRule>
    <cfRule type="cellIs" dxfId="1131" priority="401" operator="equal">
      <formula>"q"</formula>
    </cfRule>
  </conditionalFormatting>
  <conditionalFormatting sqref="Z37">
    <cfRule type="cellIs" dxfId="1130" priority="396" operator="lessThan">
      <formula>$E37</formula>
    </cfRule>
    <cfRule type="cellIs" dxfId="1129" priority="397" operator="greaterThan">
      <formula>$E37</formula>
    </cfRule>
  </conditionalFormatting>
  <conditionalFormatting sqref="AA37:AE37 AG37:AK37">
    <cfRule type="cellIs" dxfId="1128" priority="394" operator="equal">
      <formula>"p"</formula>
    </cfRule>
    <cfRule type="cellIs" dxfId="1127" priority="395" operator="equal">
      <formula>"q"</formula>
    </cfRule>
  </conditionalFormatting>
  <conditionalFormatting sqref="AF54:AF64">
    <cfRule type="cellIs" dxfId="1126" priority="388" operator="lessThan">
      <formula>$F54</formula>
    </cfRule>
    <cfRule type="cellIs" dxfId="1125" priority="389" operator="greaterThan">
      <formula>$F54</formula>
    </cfRule>
  </conditionalFormatting>
  <conditionalFormatting sqref="Z54:Z64">
    <cfRule type="cellIs" dxfId="1124" priority="390" operator="lessThan">
      <formula>$E54</formula>
    </cfRule>
    <cfRule type="cellIs" dxfId="1123" priority="391" operator="greaterThan">
      <formula>$E54</formula>
    </cfRule>
  </conditionalFormatting>
  <conditionalFormatting sqref="AG54:AK64 AA54:AE64">
    <cfRule type="cellIs" dxfId="1122" priority="386" operator="equal">
      <formula>"p"</formula>
    </cfRule>
    <cfRule type="cellIs" dxfId="1121" priority="387" operator="equal">
      <formula>"q"</formula>
    </cfRule>
  </conditionalFormatting>
  <conditionalFormatting sqref="Z50">
    <cfRule type="cellIs" dxfId="1120" priority="384" operator="lessThan">
      <formula>$E50</formula>
    </cfRule>
    <cfRule type="cellIs" dxfId="1119" priority="385" operator="greaterThan">
      <formula>$E50</formula>
    </cfRule>
  </conditionalFormatting>
  <conditionalFormatting sqref="AA50:AE50 AG50:AK50">
    <cfRule type="cellIs" dxfId="1118" priority="382" operator="equal">
      <formula>"p"</formula>
    </cfRule>
    <cfRule type="cellIs" dxfId="1117" priority="383" operator="equal">
      <formula>"q"</formula>
    </cfRule>
  </conditionalFormatting>
  <conditionalFormatting sqref="AF70:AF78">
    <cfRule type="cellIs" dxfId="1116" priority="376" operator="lessThan">
      <formula>$F70</formula>
    </cfRule>
    <cfRule type="cellIs" dxfId="1115" priority="377" operator="greaterThan">
      <formula>$F70</formula>
    </cfRule>
  </conditionalFormatting>
  <conditionalFormatting sqref="Z70:Z78">
    <cfRule type="cellIs" dxfId="1114" priority="378" operator="lessThan">
      <formula>$E70</formula>
    </cfRule>
    <cfRule type="cellIs" dxfId="1113" priority="379" operator="greaterThan">
      <formula>$E70</formula>
    </cfRule>
  </conditionalFormatting>
  <conditionalFormatting sqref="AG70:AK78 AA70:AE78">
    <cfRule type="cellIs" dxfId="1112" priority="374" operator="equal">
      <formula>"p"</formula>
    </cfRule>
    <cfRule type="cellIs" dxfId="1111" priority="375" operator="equal">
      <formula>"q"</formula>
    </cfRule>
  </conditionalFormatting>
  <conditionalFormatting sqref="Z66">
    <cfRule type="cellIs" dxfId="1110" priority="372" operator="lessThan">
      <formula>$E66</formula>
    </cfRule>
    <cfRule type="cellIs" dxfId="1109" priority="373" operator="greaterThan">
      <formula>$E66</formula>
    </cfRule>
  </conditionalFormatting>
  <conditionalFormatting sqref="AA66:AE66 AG66:AK66">
    <cfRule type="cellIs" dxfId="1108" priority="370" operator="equal">
      <formula>"p"</formula>
    </cfRule>
    <cfRule type="cellIs" dxfId="1107" priority="371" operator="equal">
      <formula>"q"</formula>
    </cfRule>
  </conditionalFormatting>
  <conditionalFormatting sqref="AF84:AF114">
    <cfRule type="cellIs" dxfId="1106" priority="364" operator="lessThan">
      <formula>$F84</formula>
    </cfRule>
    <cfRule type="cellIs" dxfId="1105" priority="365" operator="greaterThan">
      <formula>$F84</formula>
    </cfRule>
  </conditionalFormatting>
  <conditionalFormatting sqref="Z84:Z114">
    <cfRule type="cellIs" dxfId="1104" priority="366" operator="lessThan">
      <formula>$E84</formula>
    </cfRule>
    <cfRule type="cellIs" dxfId="1103" priority="367" operator="greaterThan">
      <formula>$E84</formula>
    </cfRule>
  </conditionalFormatting>
  <conditionalFormatting sqref="AG84:AK114 AA84:AE114">
    <cfRule type="cellIs" dxfId="1102" priority="362" operator="equal">
      <formula>"p"</formula>
    </cfRule>
    <cfRule type="cellIs" dxfId="1101" priority="363" operator="equal">
      <formula>"q"</formula>
    </cfRule>
  </conditionalFormatting>
  <conditionalFormatting sqref="Z80">
    <cfRule type="cellIs" dxfId="1100" priority="360" operator="lessThan">
      <formula>$E80</formula>
    </cfRule>
    <cfRule type="cellIs" dxfId="1099" priority="361" operator="greaterThan">
      <formula>$E80</formula>
    </cfRule>
  </conditionalFormatting>
  <conditionalFormatting sqref="AA80:AE80 AG80:AK80">
    <cfRule type="cellIs" dxfId="1098" priority="358" operator="equal">
      <formula>"p"</formula>
    </cfRule>
    <cfRule type="cellIs" dxfId="1097" priority="359" operator="equal">
      <formula>"q"</formula>
    </cfRule>
  </conditionalFormatting>
  <conditionalFormatting sqref="AF120:AF139">
    <cfRule type="cellIs" dxfId="1096" priority="352" operator="lessThan">
      <formula>$F120</formula>
    </cfRule>
    <cfRule type="cellIs" dxfId="1095" priority="353" operator="greaterThan">
      <formula>$F120</formula>
    </cfRule>
  </conditionalFormatting>
  <conditionalFormatting sqref="Z120:Z139">
    <cfRule type="cellIs" dxfId="1094" priority="354" operator="lessThan">
      <formula>$E120</formula>
    </cfRule>
    <cfRule type="cellIs" dxfId="1093" priority="355" operator="greaterThan">
      <formula>$E120</formula>
    </cfRule>
  </conditionalFormatting>
  <conditionalFormatting sqref="AG120:AK139 AA120:AE139">
    <cfRule type="cellIs" dxfId="1092" priority="350" operator="equal">
      <formula>"p"</formula>
    </cfRule>
    <cfRule type="cellIs" dxfId="1091" priority="351" operator="equal">
      <formula>"q"</formula>
    </cfRule>
  </conditionalFormatting>
  <conditionalFormatting sqref="Z116">
    <cfRule type="cellIs" dxfId="1090" priority="348" operator="lessThan">
      <formula>$E116</formula>
    </cfRule>
    <cfRule type="cellIs" dxfId="1089" priority="349" operator="greaterThan">
      <formula>$E116</formula>
    </cfRule>
  </conditionalFormatting>
  <conditionalFormatting sqref="AA116:AE116 AG116:AK116">
    <cfRule type="cellIs" dxfId="1088" priority="346" operator="equal">
      <formula>"p"</formula>
    </cfRule>
    <cfRule type="cellIs" dxfId="1087" priority="347" operator="equal">
      <formula>"q"</formula>
    </cfRule>
  </conditionalFormatting>
  <conditionalFormatting sqref="AF145:AF161">
    <cfRule type="cellIs" dxfId="1086" priority="340" operator="lessThan">
      <formula>$F145</formula>
    </cfRule>
    <cfRule type="cellIs" dxfId="1085" priority="341" operator="greaterThan">
      <formula>$F145</formula>
    </cfRule>
  </conditionalFormatting>
  <conditionalFormatting sqref="Z145:Z161">
    <cfRule type="cellIs" dxfId="1084" priority="342" operator="lessThan">
      <formula>$E145</formula>
    </cfRule>
    <cfRule type="cellIs" dxfId="1083" priority="343" operator="greaterThan">
      <formula>$E145</formula>
    </cfRule>
  </conditionalFormatting>
  <conditionalFormatting sqref="AG145:AK161 AA145:AE161">
    <cfRule type="cellIs" dxfId="1082" priority="338" operator="equal">
      <formula>"p"</formula>
    </cfRule>
    <cfRule type="cellIs" dxfId="1081" priority="339" operator="equal">
      <formula>"q"</formula>
    </cfRule>
  </conditionalFormatting>
  <conditionalFormatting sqref="Z141">
    <cfRule type="cellIs" dxfId="1080" priority="336" operator="lessThan">
      <formula>$E141</formula>
    </cfRule>
    <cfRule type="cellIs" dxfId="1079" priority="337" operator="greaterThan">
      <formula>$E141</formula>
    </cfRule>
  </conditionalFormatting>
  <conditionalFormatting sqref="AA141:AE141 AG141:AK141">
    <cfRule type="cellIs" dxfId="1078" priority="334" operator="equal">
      <formula>"p"</formula>
    </cfRule>
    <cfRule type="cellIs" dxfId="1077" priority="335" operator="equal">
      <formula>"q"</formula>
    </cfRule>
  </conditionalFormatting>
  <conditionalFormatting sqref="AF167:AF186">
    <cfRule type="cellIs" dxfId="1076" priority="328" operator="lessThan">
      <formula>$F167</formula>
    </cfRule>
    <cfRule type="cellIs" dxfId="1075" priority="329" operator="greaterThan">
      <formula>$F167</formula>
    </cfRule>
  </conditionalFormatting>
  <conditionalFormatting sqref="Z167:Z186">
    <cfRule type="cellIs" dxfId="1074" priority="330" operator="lessThan">
      <formula>$E167</formula>
    </cfRule>
    <cfRule type="cellIs" dxfId="1073" priority="331" operator="greaterThan">
      <formula>$E167</formula>
    </cfRule>
  </conditionalFormatting>
  <conditionalFormatting sqref="AG167:AK186 AA167:AE186">
    <cfRule type="cellIs" dxfId="1072" priority="326" operator="equal">
      <formula>"p"</formula>
    </cfRule>
    <cfRule type="cellIs" dxfId="1071" priority="327" operator="equal">
      <formula>"q"</formula>
    </cfRule>
  </conditionalFormatting>
  <conditionalFormatting sqref="Z163">
    <cfRule type="cellIs" dxfId="1070" priority="324" operator="lessThan">
      <formula>$E163</formula>
    </cfRule>
    <cfRule type="cellIs" dxfId="1069" priority="325" operator="greaterThan">
      <formula>$E163</formula>
    </cfRule>
  </conditionalFormatting>
  <conditionalFormatting sqref="AA163:AE163 AG163:AK163">
    <cfRule type="cellIs" dxfId="1068" priority="322" operator="equal">
      <formula>"p"</formula>
    </cfRule>
    <cfRule type="cellIs" dxfId="1067" priority="323" operator="equal">
      <formula>"q"</formula>
    </cfRule>
  </conditionalFormatting>
  <conditionalFormatting sqref="AF192:AF198">
    <cfRule type="cellIs" dxfId="1066" priority="316" operator="lessThan">
      <formula>$F192</formula>
    </cfRule>
    <cfRule type="cellIs" dxfId="1065" priority="317" operator="greaterThan">
      <formula>$F192</formula>
    </cfRule>
  </conditionalFormatting>
  <conditionalFormatting sqref="Z192:Z198">
    <cfRule type="cellIs" dxfId="1064" priority="318" operator="lessThan">
      <formula>$E192</formula>
    </cfRule>
    <cfRule type="cellIs" dxfId="1063" priority="319" operator="greaterThan">
      <formula>$E192</formula>
    </cfRule>
  </conditionalFormatting>
  <conditionalFormatting sqref="AG192:AK198 AA192:AE198">
    <cfRule type="cellIs" dxfId="1062" priority="314" operator="equal">
      <formula>"p"</formula>
    </cfRule>
    <cfRule type="cellIs" dxfId="1061" priority="315" operator="equal">
      <formula>"q"</formula>
    </cfRule>
  </conditionalFormatting>
  <conditionalFormatting sqref="Z188">
    <cfRule type="cellIs" dxfId="1060" priority="312" operator="lessThan">
      <formula>$E188</formula>
    </cfRule>
    <cfRule type="cellIs" dxfId="1059" priority="313" operator="greaterThan">
      <formula>$E188</formula>
    </cfRule>
  </conditionalFormatting>
  <conditionalFormatting sqref="AA188:AE188 AG188:AK188">
    <cfRule type="cellIs" dxfId="1058" priority="310" operator="equal">
      <formula>"p"</formula>
    </cfRule>
    <cfRule type="cellIs" dxfId="1057" priority="311" operator="equal">
      <formula>"q"</formula>
    </cfRule>
  </conditionalFormatting>
  <conditionalFormatting sqref="AF204:AF217">
    <cfRule type="cellIs" dxfId="1056" priority="304" operator="lessThan">
      <formula>$F204</formula>
    </cfRule>
    <cfRule type="cellIs" dxfId="1055" priority="305" operator="greaterThan">
      <formula>$F204</formula>
    </cfRule>
  </conditionalFormatting>
  <conditionalFormatting sqref="Z204:Z217">
    <cfRule type="cellIs" dxfId="1054" priority="306" operator="lessThan">
      <formula>$E204</formula>
    </cfRule>
    <cfRule type="cellIs" dxfId="1053" priority="307" operator="greaterThan">
      <formula>$E204</formula>
    </cfRule>
  </conditionalFormatting>
  <conditionalFormatting sqref="AG204:AK217 AA204:AE217">
    <cfRule type="cellIs" dxfId="1052" priority="302" operator="equal">
      <formula>"p"</formula>
    </cfRule>
    <cfRule type="cellIs" dxfId="1051" priority="303" operator="equal">
      <formula>"q"</formula>
    </cfRule>
  </conditionalFormatting>
  <conditionalFormatting sqref="Z200">
    <cfRule type="cellIs" dxfId="1050" priority="300" operator="lessThan">
      <formula>$E200</formula>
    </cfRule>
    <cfRule type="cellIs" dxfId="1049" priority="301" operator="greaterThan">
      <formula>$E200</formula>
    </cfRule>
  </conditionalFormatting>
  <conditionalFormatting sqref="AA200:AE200 AG200:AK200">
    <cfRule type="cellIs" dxfId="1048" priority="298" operator="equal">
      <formula>"p"</formula>
    </cfRule>
    <cfRule type="cellIs" dxfId="1047" priority="299" operator="equal">
      <formula>"q"</formula>
    </cfRule>
  </conditionalFormatting>
  <conditionalFormatting sqref="AF223:AF228">
    <cfRule type="cellIs" dxfId="1046" priority="292" operator="lessThan">
      <formula>$F223</formula>
    </cfRule>
    <cfRule type="cellIs" dxfId="1045" priority="293" operator="greaterThan">
      <formula>$F223</formula>
    </cfRule>
  </conditionalFormatting>
  <conditionalFormatting sqref="Z223:Z228">
    <cfRule type="cellIs" dxfId="1044" priority="294" operator="lessThan">
      <formula>$E223</formula>
    </cfRule>
    <cfRule type="cellIs" dxfId="1043" priority="295" operator="greaterThan">
      <formula>$E223</formula>
    </cfRule>
  </conditionalFormatting>
  <conditionalFormatting sqref="AG223:AK228 AA223:AE228">
    <cfRule type="cellIs" dxfId="1042" priority="290" operator="equal">
      <formula>"p"</formula>
    </cfRule>
    <cfRule type="cellIs" dxfId="1041" priority="291" operator="equal">
      <formula>"q"</formula>
    </cfRule>
  </conditionalFormatting>
  <conditionalFormatting sqref="Z219">
    <cfRule type="cellIs" dxfId="1040" priority="288" operator="lessThan">
      <formula>$E219</formula>
    </cfRule>
    <cfRule type="cellIs" dxfId="1039" priority="289" operator="greaterThan">
      <formula>$E219</formula>
    </cfRule>
  </conditionalFormatting>
  <conditionalFormatting sqref="AA219:AE219 AG219:AK219">
    <cfRule type="cellIs" dxfId="1038" priority="286" operator="equal">
      <formula>"p"</formula>
    </cfRule>
    <cfRule type="cellIs" dxfId="1037" priority="287" operator="equal">
      <formula>"q"</formula>
    </cfRule>
  </conditionalFormatting>
  <conditionalFormatting sqref="AF234:AF241">
    <cfRule type="cellIs" dxfId="1036" priority="280" operator="lessThan">
      <formula>$F234</formula>
    </cfRule>
    <cfRule type="cellIs" dxfId="1035" priority="281" operator="greaterThan">
      <formula>$F234</formula>
    </cfRule>
  </conditionalFormatting>
  <conditionalFormatting sqref="Z234:Z241">
    <cfRule type="cellIs" dxfId="1034" priority="282" operator="lessThan">
      <formula>$E234</formula>
    </cfRule>
    <cfRule type="cellIs" dxfId="1033" priority="283" operator="greaterThan">
      <formula>$E234</formula>
    </cfRule>
  </conditionalFormatting>
  <conditionalFormatting sqref="AG234:AK241 AA234:AE241">
    <cfRule type="cellIs" dxfId="1032" priority="278" operator="equal">
      <formula>"p"</formula>
    </cfRule>
    <cfRule type="cellIs" dxfId="1031" priority="279" operator="equal">
      <formula>"q"</formula>
    </cfRule>
  </conditionalFormatting>
  <conditionalFormatting sqref="Z230">
    <cfRule type="cellIs" dxfId="1030" priority="276" operator="lessThan">
      <formula>$E230</formula>
    </cfRule>
    <cfRule type="cellIs" dxfId="1029" priority="277" operator="greaterThan">
      <formula>$E230</formula>
    </cfRule>
  </conditionalFormatting>
  <conditionalFormatting sqref="AA230:AE230 AG230:AK230">
    <cfRule type="cellIs" dxfId="1028" priority="274" operator="equal">
      <formula>"p"</formula>
    </cfRule>
    <cfRule type="cellIs" dxfId="1027" priority="275" operator="equal">
      <formula>"q"</formula>
    </cfRule>
  </conditionalFormatting>
  <conditionalFormatting sqref="AF247:AF249">
    <cfRule type="cellIs" dxfId="1026" priority="268" operator="lessThan">
      <formula>$F247</formula>
    </cfRule>
    <cfRule type="cellIs" dxfId="1025" priority="269" operator="greaterThan">
      <formula>$F247</formula>
    </cfRule>
  </conditionalFormatting>
  <conditionalFormatting sqref="Z247:Z249">
    <cfRule type="cellIs" dxfId="1024" priority="270" operator="lessThan">
      <formula>$E247</formula>
    </cfRule>
    <cfRule type="cellIs" dxfId="1023" priority="271" operator="greaterThan">
      <formula>$E247</formula>
    </cfRule>
  </conditionalFormatting>
  <conditionalFormatting sqref="AG247:AK249 AA247:AE249">
    <cfRule type="cellIs" dxfId="1022" priority="266" operator="equal">
      <formula>"p"</formula>
    </cfRule>
    <cfRule type="cellIs" dxfId="1021" priority="267" operator="equal">
      <formula>"q"</formula>
    </cfRule>
  </conditionalFormatting>
  <conditionalFormatting sqref="Z243">
    <cfRule type="cellIs" dxfId="1020" priority="264" operator="lessThan">
      <formula>$E243</formula>
    </cfRule>
    <cfRule type="cellIs" dxfId="1019" priority="265" operator="greaterThan">
      <formula>$E243</formula>
    </cfRule>
  </conditionalFormatting>
  <conditionalFormatting sqref="AA243:AE243 AG243:AK243">
    <cfRule type="cellIs" dxfId="1018" priority="262" operator="equal">
      <formula>"p"</formula>
    </cfRule>
    <cfRule type="cellIs" dxfId="1017" priority="263" operator="equal">
      <formula>"q"</formula>
    </cfRule>
  </conditionalFormatting>
  <conditionalFormatting sqref="AF255:AF256">
    <cfRule type="cellIs" dxfId="1016" priority="256" operator="lessThan">
      <formula>$F255</formula>
    </cfRule>
    <cfRule type="cellIs" dxfId="1015" priority="257" operator="greaterThan">
      <formula>$F255</formula>
    </cfRule>
  </conditionalFormatting>
  <conditionalFormatting sqref="Z255:Z256">
    <cfRule type="cellIs" dxfId="1014" priority="258" operator="lessThan">
      <formula>$E255</formula>
    </cfRule>
    <cfRule type="cellIs" dxfId="1013" priority="259" operator="greaterThan">
      <formula>$E255</formula>
    </cfRule>
  </conditionalFormatting>
  <conditionalFormatting sqref="AG255:AK256 AA255:AE256">
    <cfRule type="cellIs" dxfId="1012" priority="254" operator="equal">
      <formula>"p"</formula>
    </cfRule>
    <cfRule type="cellIs" dxfId="1011" priority="255" operator="equal">
      <formula>"q"</formula>
    </cfRule>
  </conditionalFormatting>
  <conditionalFormatting sqref="Z251">
    <cfRule type="cellIs" dxfId="1010" priority="252" operator="lessThan">
      <formula>$E251</formula>
    </cfRule>
    <cfRule type="cellIs" dxfId="1009" priority="253" operator="greaterThan">
      <formula>$E251</formula>
    </cfRule>
  </conditionalFormatting>
  <conditionalFormatting sqref="AA251:AE251 AG251:AK251">
    <cfRule type="cellIs" dxfId="1008" priority="250" operator="equal">
      <formula>"p"</formula>
    </cfRule>
    <cfRule type="cellIs" dxfId="1007" priority="251" operator="equal">
      <formula>"q"</formula>
    </cfRule>
  </conditionalFormatting>
  <conditionalFormatting sqref="AF262:AF265">
    <cfRule type="cellIs" dxfId="1006" priority="244" operator="lessThan">
      <formula>$F262</formula>
    </cfRule>
    <cfRule type="cellIs" dxfId="1005" priority="245" operator="greaterThan">
      <formula>$F262</formula>
    </cfRule>
  </conditionalFormatting>
  <conditionalFormatting sqref="Z262:Z265">
    <cfRule type="cellIs" dxfId="1004" priority="246" operator="lessThan">
      <formula>$E262</formula>
    </cfRule>
    <cfRule type="cellIs" dxfId="1003" priority="247" operator="greaterThan">
      <formula>$E262</formula>
    </cfRule>
  </conditionalFormatting>
  <conditionalFormatting sqref="AG262:AK265 AA262:AE265">
    <cfRule type="cellIs" dxfId="1002" priority="242" operator="equal">
      <formula>"p"</formula>
    </cfRule>
    <cfRule type="cellIs" dxfId="1001" priority="243" operator="equal">
      <formula>"q"</formula>
    </cfRule>
  </conditionalFormatting>
  <conditionalFormatting sqref="Z258">
    <cfRule type="cellIs" dxfId="1000" priority="240" operator="lessThan">
      <formula>$E258</formula>
    </cfRule>
    <cfRule type="cellIs" dxfId="999" priority="241" operator="greaterThan">
      <formula>$E258</formula>
    </cfRule>
  </conditionalFormatting>
  <conditionalFormatting sqref="AA258:AE258 AG258:AK258">
    <cfRule type="cellIs" dxfId="998" priority="238" operator="equal">
      <formula>"p"</formula>
    </cfRule>
    <cfRule type="cellIs" dxfId="997" priority="239" operator="equal">
      <formula>"q"</formula>
    </cfRule>
  </conditionalFormatting>
  <conditionalFormatting sqref="AF271:AF282">
    <cfRule type="cellIs" dxfId="996" priority="232" operator="lessThan">
      <formula>$F271</formula>
    </cfRule>
    <cfRule type="cellIs" dxfId="995" priority="233" operator="greaterThan">
      <formula>$F271</formula>
    </cfRule>
  </conditionalFormatting>
  <conditionalFormatting sqref="Z271:Z282">
    <cfRule type="cellIs" dxfId="994" priority="234" operator="lessThan">
      <formula>$E271</formula>
    </cfRule>
    <cfRule type="cellIs" dxfId="993" priority="235" operator="greaterThan">
      <formula>$E271</formula>
    </cfRule>
  </conditionalFormatting>
  <conditionalFormatting sqref="AG271:AK282 AA271:AE282">
    <cfRule type="cellIs" dxfId="992" priority="230" operator="equal">
      <formula>"p"</formula>
    </cfRule>
    <cfRule type="cellIs" dxfId="991" priority="231" operator="equal">
      <formula>"q"</formula>
    </cfRule>
  </conditionalFormatting>
  <conditionalFormatting sqref="Z267">
    <cfRule type="cellIs" dxfId="990" priority="228" operator="lessThan">
      <formula>$E267</formula>
    </cfRule>
    <cfRule type="cellIs" dxfId="989" priority="229" operator="greaterThan">
      <formula>$E267</formula>
    </cfRule>
  </conditionalFormatting>
  <conditionalFormatting sqref="AA267:AE267 AG267:AK267">
    <cfRule type="cellIs" dxfId="988" priority="226" operator="equal">
      <formula>"p"</formula>
    </cfRule>
    <cfRule type="cellIs" dxfId="987" priority="227" operator="equal">
      <formula>"q"</formula>
    </cfRule>
  </conditionalFormatting>
  <conditionalFormatting sqref="AF288:AF296">
    <cfRule type="cellIs" dxfId="986" priority="220" operator="lessThan">
      <formula>$F288</formula>
    </cfRule>
    <cfRule type="cellIs" dxfId="985" priority="221" operator="greaterThan">
      <formula>$F288</formula>
    </cfRule>
  </conditionalFormatting>
  <conditionalFormatting sqref="Z288:Z296">
    <cfRule type="cellIs" dxfId="984" priority="222" operator="lessThan">
      <formula>$E288</formula>
    </cfRule>
    <cfRule type="cellIs" dxfId="983" priority="223" operator="greaterThan">
      <formula>$E288</formula>
    </cfRule>
  </conditionalFormatting>
  <conditionalFormatting sqref="AG288:AK296 AA288:AE296">
    <cfRule type="cellIs" dxfId="982" priority="218" operator="equal">
      <formula>"p"</formula>
    </cfRule>
    <cfRule type="cellIs" dxfId="981" priority="219" operator="equal">
      <formula>"q"</formula>
    </cfRule>
  </conditionalFormatting>
  <conditionalFormatting sqref="Z284">
    <cfRule type="cellIs" dxfId="980" priority="216" operator="lessThan">
      <formula>$E284</formula>
    </cfRule>
    <cfRule type="cellIs" dxfId="979" priority="217" operator="greaterThan">
      <formula>$E284</formula>
    </cfRule>
  </conditionalFormatting>
  <conditionalFormatting sqref="AA284:AE284 AG284:AK284">
    <cfRule type="cellIs" dxfId="978" priority="214" operator="equal">
      <formula>"p"</formula>
    </cfRule>
    <cfRule type="cellIs" dxfId="977" priority="215" operator="equal">
      <formula>"q"</formula>
    </cfRule>
  </conditionalFormatting>
  <conditionalFormatting sqref="AF302:AF306">
    <cfRule type="cellIs" dxfId="976" priority="208" operator="lessThan">
      <formula>$F302</formula>
    </cfRule>
    <cfRule type="cellIs" dxfId="975" priority="209" operator="greaterThan">
      <formula>$F302</formula>
    </cfRule>
  </conditionalFormatting>
  <conditionalFormatting sqref="Z302:Z306">
    <cfRule type="cellIs" dxfId="974" priority="210" operator="lessThan">
      <formula>$E302</formula>
    </cfRule>
    <cfRule type="cellIs" dxfId="973" priority="211" operator="greaterThan">
      <formula>$E302</formula>
    </cfRule>
  </conditionalFormatting>
  <conditionalFormatting sqref="AG302:AK306 AA302:AE306">
    <cfRule type="cellIs" dxfId="972" priority="206" operator="equal">
      <formula>"p"</formula>
    </cfRule>
    <cfRule type="cellIs" dxfId="971" priority="207" operator="equal">
      <formula>"q"</formula>
    </cfRule>
  </conditionalFormatting>
  <conditionalFormatting sqref="Z298">
    <cfRule type="cellIs" dxfId="970" priority="204" operator="lessThan">
      <formula>$E298</formula>
    </cfRule>
    <cfRule type="cellIs" dxfId="969" priority="205" operator="greaterThan">
      <formula>$E298</formula>
    </cfRule>
  </conditionalFormatting>
  <conditionalFormatting sqref="AA298:AE298 AG298:AK298">
    <cfRule type="cellIs" dxfId="968" priority="202" operator="equal">
      <formula>"p"</formula>
    </cfRule>
    <cfRule type="cellIs" dxfId="967" priority="203" operator="equal">
      <formula>"q"</formula>
    </cfRule>
  </conditionalFormatting>
  <conditionalFormatting sqref="AF312:AF323">
    <cfRule type="cellIs" dxfId="966" priority="196" operator="lessThan">
      <formula>$F312</formula>
    </cfRule>
    <cfRule type="cellIs" dxfId="965" priority="197" operator="greaterThan">
      <formula>$F312</formula>
    </cfRule>
  </conditionalFormatting>
  <conditionalFormatting sqref="Z312:Z323">
    <cfRule type="cellIs" dxfId="964" priority="198" operator="lessThan">
      <formula>$E312</formula>
    </cfRule>
    <cfRule type="cellIs" dxfId="963" priority="199" operator="greaterThan">
      <formula>$E312</formula>
    </cfRule>
  </conditionalFormatting>
  <conditionalFormatting sqref="AG312:AK323 AA312:AE323">
    <cfRule type="cellIs" dxfId="962" priority="194" operator="equal">
      <formula>"p"</formula>
    </cfRule>
    <cfRule type="cellIs" dxfId="961" priority="195" operator="equal">
      <formula>"q"</formula>
    </cfRule>
  </conditionalFormatting>
  <conditionalFormatting sqref="Z308">
    <cfRule type="cellIs" dxfId="960" priority="192" operator="lessThan">
      <formula>$E308</formula>
    </cfRule>
    <cfRule type="cellIs" dxfId="959" priority="193" operator="greaterThan">
      <formula>$E308</formula>
    </cfRule>
  </conditionalFormatting>
  <conditionalFormatting sqref="AA308:AE308 AG308:AK308">
    <cfRule type="cellIs" dxfId="958" priority="190" operator="equal">
      <formula>"p"</formula>
    </cfRule>
    <cfRule type="cellIs" dxfId="957" priority="191" operator="equal">
      <formula>"q"</formula>
    </cfRule>
  </conditionalFormatting>
  <conditionalFormatting sqref="AF329">
    <cfRule type="cellIs" dxfId="956" priority="184" operator="lessThan">
      <formula>$F329</formula>
    </cfRule>
    <cfRule type="cellIs" dxfId="955" priority="185" operator="greaterThan">
      <formula>$F329</formula>
    </cfRule>
  </conditionalFormatting>
  <conditionalFormatting sqref="Z329">
    <cfRule type="cellIs" dxfId="954" priority="186" operator="lessThan">
      <formula>$E329</formula>
    </cfRule>
    <cfRule type="cellIs" dxfId="953" priority="187" operator="greaterThan">
      <formula>$E329</formula>
    </cfRule>
  </conditionalFormatting>
  <conditionalFormatting sqref="AG329:AK329 AA329:AE329">
    <cfRule type="cellIs" dxfId="952" priority="182" operator="equal">
      <formula>"p"</formula>
    </cfRule>
    <cfRule type="cellIs" dxfId="951" priority="183" operator="equal">
      <formula>"q"</formula>
    </cfRule>
  </conditionalFormatting>
  <conditionalFormatting sqref="Z325">
    <cfRule type="cellIs" dxfId="950" priority="180" operator="lessThan">
      <formula>$E325</formula>
    </cfRule>
    <cfRule type="cellIs" dxfId="949" priority="181" operator="greaterThan">
      <formula>$E325</formula>
    </cfRule>
  </conditionalFormatting>
  <conditionalFormatting sqref="AA325:AE325 AG325:AK325">
    <cfRule type="cellIs" dxfId="948" priority="178" operator="equal">
      <formula>"p"</formula>
    </cfRule>
    <cfRule type="cellIs" dxfId="947" priority="179" operator="equal">
      <formula>"q"</formula>
    </cfRule>
  </conditionalFormatting>
  <conditionalFormatting sqref="AF335:AF351">
    <cfRule type="cellIs" dxfId="946" priority="172" operator="lessThan">
      <formula>$F335</formula>
    </cfRule>
    <cfRule type="cellIs" dxfId="945" priority="173" operator="greaterThan">
      <formula>$F335</formula>
    </cfRule>
  </conditionalFormatting>
  <conditionalFormatting sqref="Z335:Z351">
    <cfRule type="cellIs" dxfId="944" priority="174" operator="lessThan">
      <formula>$E335</formula>
    </cfRule>
    <cfRule type="cellIs" dxfId="943" priority="175" operator="greaterThan">
      <formula>$E335</formula>
    </cfRule>
  </conditionalFormatting>
  <conditionalFormatting sqref="AG335:AK351 AA335:AE351">
    <cfRule type="cellIs" dxfId="942" priority="170" operator="equal">
      <formula>"p"</formula>
    </cfRule>
    <cfRule type="cellIs" dxfId="941" priority="171" operator="equal">
      <formula>"q"</formula>
    </cfRule>
  </conditionalFormatting>
  <conditionalFormatting sqref="Z331">
    <cfRule type="cellIs" dxfId="940" priority="168" operator="lessThan">
      <formula>$E331</formula>
    </cfRule>
    <cfRule type="cellIs" dxfId="939" priority="169" operator="greaterThan">
      <formula>$E331</formula>
    </cfRule>
  </conditionalFormatting>
  <conditionalFormatting sqref="AA331:AE331 AG331:AK331">
    <cfRule type="cellIs" dxfId="938" priority="166" operator="equal">
      <formula>"p"</formula>
    </cfRule>
    <cfRule type="cellIs" dxfId="937" priority="167" operator="equal">
      <formula>"q"</formula>
    </cfRule>
  </conditionalFormatting>
  <conditionalFormatting sqref="AF357:AF372">
    <cfRule type="cellIs" dxfId="936" priority="160" operator="lessThan">
      <formula>$F357</formula>
    </cfRule>
    <cfRule type="cellIs" dxfId="935" priority="161" operator="greaterThan">
      <formula>$F357</formula>
    </cfRule>
  </conditionalFormatting>
  <conditionalFormatting sqref="Z357:Z372">
    <cfRule type="cellIs" dxfId="934" priority="162" operator="lessThan">
      <formula>$E357</formula>
    </cfRule>
    <cfRule type="cellIs" dxfId="933" priority="163" operator="greaterThan">
      <formula>$E357</formula>
    </cfRule>
  </conditionalFormatting>
  <conditionalFormatting sqref="AG357:AK372 AA357:AE372">
    <cfRule type="cellIs" dxfId="932" priority="158" operator="equal">
      <formula>"p"</formula>
    </cfRule>
    <cfRule type="cellIs" dxfId="931" priority="159" operator="equal">
      <formula>"q"</formula>
    </cfRule>
  </conditionalFormatting>
  <conditionalFormatting sqref="Z353">
    <cfRule type="cellIs" dxfId="930" priority="156" operator="lessThan">
      <formula>$E353</formula>
    </cfRule>
    <cfRule type="cellIs" dxfId="929" priority="157" operator="greaterThan">
      <formula>$E353</formula>
    </cfRule>
  </conditionalFormatting>
  <conditionalFormatting sqref="AA353:AE353 AG353:AK353">
    <cfRule type="cellIs" dxfId="928" priority="154" operator="equal">
      <formula>"p"</formula>
    </cfRule>
    <cfRule type="cellIs" dxfId="927" priority="155" operator="equal">
      <formula>"q"</formula>
    </cfRule>
  </conditionalFormatting>
  <conditionalFormatting sqref="AF378:AF387">
    <cfRule type="cellIs" dxfId="926" priority="148" operator="lessThan">
      <formula>$F378</formula>
    </cfRule>
    <cfRule type="cellIs" dxfId="925" priority="149" operator="greaterThan">
      <formula>$F378</formula>
    </cfRule>
  </conditionalFormatting>
  <conditionalFormatting sqref="Z378:Z387">
    <cfRule type="cellIs" dxfId="924" priority="150" operator="lessThan">
      <formula>$E378</formula>
    </cfRule>
    <cfRule type="cellIs" dxfId="923" priority="151" operator="greaterThan">
      <formula>$E378</formula>
    </cfRule>
  </conditionalFormatting>
  <conditionalFormatting sqref="AG378:AK387 AA378:AE387">
    <cfRule type="cellIs" dxfId="922" priority="146" operator="equal">
      <formula>"p"</formula>
    </cfRule>
    <cfRule type="cellIs" dxfId="921" priority="147" operator="equal">
      <formula>"q"</formula>
    </cfRule>
  </conditionalFormatting>
  <conditionalFormatting sqref="Z374">
    <cfRule type="cellIs" dxfId="920" priority="144" operator="lessThan">
      <formula>$E374</formula>
    </cfRule>
    <cfRule type="cellIs" dxfId="919" priority="145" operator="greaterThan">
      <formula>$E374</formula>
    </cfRule>
  </conditionalFormatting>
  <conditionalFormatting sqref="AA374:AE374 AG374:AK374">
    <cfRule type="cellIs" dxfId="918" priority="142" operator="equal">
      <formula>"p"</formula>
    </cfRule>
    <cfRule type="cellIs" dxfId="917" priority="143" operator="equal">
      <formula>"q"</formula>
    </cfRule>
  </conditionalFormatting>
  <conditionalFormatting sqref="AA19">
    <cfRule type="cellIs" dxfId="916" priority="138" operator="equal">
      <formula>"p"</formula>
    </cfRule>
    <cfRule type="cellIs" dxfId="915" priority="139" operator="equal">
      <formula>"q"</formula>
    </cfRule>
  </conditionalFormatting>
  <conditionalFormatting sqref="AA69">
    <cfRule type="cellIs" dxfId="914" priority="122" operator="equal">
      <formula>"p"</formula>
    </cfRule>
    <cfRule type="cellIs" dxfId="913" priority="123" operator="equal">
      <formula>"q"</formula>
    </cfRule>
  </conditionalFormatting>
  <conditionalFormatting sqref="AA30">
    <cfRule type="cellIs" dxfId="912" priority="134" operator="equal">
      <formula>"p"</formula>
    </cfRule>
    <cfRule type="cellIs" dxfId="911" priority="135" operator="equal">
      <formula>"q"</formula>
    </cfRule>
  </conditionalFormatting>
  <conditionalFormatting sqref="AA40">
    <cfRule type="cellIs" dxfId="910" priority="130" operator="equal">
      <formula>"p"</formula>
    </cfRule>
    <cfRule type="cellIs" dxfId="909" priority="131" operator="equal">
      <formula>"q"</formula>
    </cfRule>
  </conditionalFormatting>
  <conditionalFormatting sqref="AA53">
    <cfRule type="cellIs" dxfId="908" priority="126" operator="equal">
      <formula>"p"</formula>
    </cfRule>
    <cfRule type="cellIs" dxfId="907" priority="127" operator="equal">
      <formula>"q"</formula>
    </cfRule>
  </conditionalFormatting>
  <conditionalFormatting sqref="AA83">
    <cfRule type="cellIs" dxfId="906" priority="118" operator="equal">
      <formula>"p"</formula>
    </cfRule>
    <cfRule type="cellIs" dxfId="905" priority="119" operator="equal">
      <formula>"q"</formula>
    </cfRule>
  </conditionalFormatting>
  <conditionalFormatting sqref="AA119">
    <cfRule type="cellIs" dxfId="904" priority="114" operator="equal">
      <formula>"p"</formula>
    </cfRule>
    <cfRule type="cellIs" dxfId="903" priority="115" operator="equal">
      <formula>"q"</formula>
    </cfRule>
  </conditionalFormatting>
  <conditionalFormatting sqref="AA144">
    <cfRule type="cellIs" dxfId="902" priority="110" operator="equal">
      <formula>"p"</formula>
    </cfRule>
    <cfRule type="cellIs" dxfId="901" priority="111" operator="equal">
      <formula>"q"</formula>
    </cfRule>
  </conditionalFormatting>
  <conditionalFormatting sqref="AA166">
    <cfRule type="cellIs" dxfId="900" priority="106" operator="equal">
      <formula>"p"</formula>
    </cfRule>
    <cfRule type="cellIs" dxfId="899" priority="107" operator="equal">
      <formula>"q"</formula>
    </cfRule>
  </conditionalFormatting>
  <conditionalFormatting sqref="AA191">
    <cfRule type="cellIs" dxfId="898" priority="102" operator="equal">
      <formula>"p"</formula>
    </cfRule>
    <cfRule type="cellIs" dxfId="897" priority="103" operator="equal">
      <formula>"q"</formula>
    </cfRule>
  </conditionalFormatting>
  <conditionalFormatting sqref="AA203">
    <cfRule type="cellIs" dxfId="896" priority="98" operator="equal">
      <formula>"p"</formula>
    </cfRule>
    <cfRule type="cellIs" dxfId="895" priority="99" operator="equal">
      <formula>"q"</formula>
    </cfRule>
  </conditionalFormatting>
  <conditionalFormatting sqref="AA222">
    <cfRule type="cellIs" dxfId="894" priority="94" operator="equal">
      <formula>"p"</formula>
    </cfRule>
    <cfRule type="cellIs" dxfId="893" priority="95" operator="equal">
      <formula>"q"</formula>
    </cfRule>
  </conditionalFormatting>
  <conditionalFormatting sqref="AA233">
    <cfRule type="cellIs" dxfId="892" priority="90" operator="equal">
      <formula>"p"</formula>
    </cfRule>
    <cfRule type="cellIs" dxfId="891" priority="91" operator="equal">
      <formula>"q"</formula>
    </cfRule>
  </conditionalFormatting>
  <conditionalFormatting sqref="AA246">
    <cfRule type="cellIs" dxfId="890" priority="86" operator="equal">
      <formula>"p"</formula>
    </cfRule>
    <cfRule type="cellIs" dxfId="889" priority="87" operator="equal">
      <formula>"q"</formula>
    </cfRule>
  </conditionalFormatting>
  <conditionalFormatting sqref="AA254">
    <cfRule type="cellIs" dxfId="888" priority="82" operator="equal">
      <formula>"p"</formula>
    </cfRule>
    <cfRule type="cellIs" dxfId="887" priority="83" operator="equal">
      <formula>"q"</formula>
    </cfRule>
  </conditionalFormatting>
  <conditionalFormatting sqref="AA261">
    <cfRule type="cellIs" dxfId="886" priority="78" operator="equal">
      <formula>"p"</formula>
    </cfRule>
    <cfRule type="cellIs" dxfId="885" priority="79" operator="equal">
      <formula>"q"</formula>
    </cfRule>
  </conditionalFormatting>
  <conditionalFormatting sqref="AA270">
    <cfRule type="cellIs" dxfId="884" priority="74" operator="equal">
      <formula>"p"</formula>
    </cfRule>
    <cfRule type="cellIs" dxfId="883" priority="75" operator="equal">
      <formula>"q"</formula>
    </cfRule>
  </conditionalFormatting>
  <conditionalFormatting sqref="AA287">
    <cfRule type="cellIs" dxfId="882" priority="70" operator="equal">
      <formula>"p"</formula>
    </cfRule>
    <cfRule type="cellIs" dxfId="881" priority="71" operator="equal">
      <formula>"q"</formula>
    </cfRule>
  </conditionalFormatting>
  <conditionalFormatting sqref="AA301">
    <cfRule type="cellIs" dxfId="880" priority="66" operator="equal">
      <formula>"p"</formula>
    </cfRule>
    <cfRule type="cellIs" dxfId="879" priority="67" operator="equal">
      <formula>"q"</formula>
    </cfRule>
  </conditionalFormatting>
  <conditionalFormatting sqref="AA311">
    <cfRule type="cellIs" dxfId="878" priority="62" operator="equal">
      <formula>"p"</formula>
    </cfRule>
    <cfRule type="cellIs" dxfId="877" priority="63" operator="equal">
      <formula>"q"</formula>
    </cfRule>
  </conditionalFormatting>
  <conditionalFormatting sqref="AA328">
    <cfRule type="cellIs" dxfId="876" priority="58" operator="equal">
      <formula>"p"</formula>
    </cfRule>
    <cfRule type="cellIs" dxfId="875" priority="59" operator="equal">
      <formula>"q"</formula>
    </cfRule>
  </conditionalFormatting>
  <conditionalFormatting sqref="AA334">
    <cfRule type="cellIs" dxfId="874" priority="54" operator="equal">
      <formula>"p"</formula>
    </cfRule>
    <cfRule type="cellIs" dxfId="873" priority="55" operator="equal">
      <formula>"q"</formula>
    </cfRule>
  </conditionalFormatting>
  <conditionalFormatting sqref="AA356">
    <cfRule type="cellIs" dxfId="872" priority="50" operator="equal">
      <formula>"p"</formula>
    </cfRule>
    <cfRule type="cellIs" dxfId="871" priority="51" operator="equal">
      <formula>"q"</formula>
    </cfRule>
  </conditionalFormatting>
  <conditionalFormatting sqref="AA377">
    <cfRule type="cellIs" dxfId="870" priority="46" operator="equal">
      <formula>"p"</formula>
    </cfRule>
    <cfRule type="cellIs" dxfId="869" priority="47" operator="equal">
      <formula>"q"</formula>
    </cfRule>
  </conditionalFormatting>
  <conditionalFormatting sqref="AB389:AE1048576 AB5:AE5 AB8:AE16 AB31:AE37 AB70:AE78 AB120:AE139 AB145:AE161 AB167:AE186 AB378:AE387 AB20:AE27 AB41:AE50 AB54:AE66 AB80:AE80 AB79:AK79 AB84:AE116 AB388:AK388 AB357:AE374 AB335:AE353 AB329:AE331 AB312:AE325 AB302:AE308 AB288:AE298 AB271:AE284 AB262:AE267 AB255:AE258 AB247:AE251 AB234:AE243 AB223:AE230 AB204:AE219 AB192:AE200 AB188:AE188 AB187:AK187 AB163:AE163 AB162:AK162 AB141:AE141 AB140:AK140 AO8:AP8 AR8:AS8 AU8:AV8 AX8:AY8">
    <cfRule type="cellIs" dxfId="868" priority="43" operator="equal">
      <formula>0</formula>
    </cfRule>
  </conditionalFormatting>
  <conditionalFormatting sqref="AH5:AK5 AH389:AK1048576 AH8:AK16 AH31:AK37 AH70:AK78 AH120:AK139 AH145:AK161 AH167:AK186 AH378:AK387 AH20:AK27 AH41:AK50 AH54:AK66 AH80:AK80 AH84:AK116 AH357:AK374 AH335:AK353 AH329:AK331 AH312:AK325 AH302:AK308 AH288:AK298 AH271:AK284 AH262:AK267 AH255:AK258 AH247:AK251 AH234:AK243 AH223:AK230 AH204:AK219 AH192:AK200 AH188:AK188 AH163:AK163 AH141:AK141">
    <cfRule type="cellIs" dxfId="867" priority="42" operator="equal">
      <formula>0</formula>
    </cfRule>
  </conditionalFormatting>
  <conditionalFormatting sqref="AH49:AK49">
    <cfRule type="cellIs" dxfId="866" priority="41" operator="equal">
      <formula>0</formula>
    </cfRule>
  </conditionalFormatting>
  <conditionalFormatting sqref="AI8:AI14">
    <cfRule type="cellIs" dxfId="865" priority="40" operator="equal">
      <formula>0</formula>
    </cfRule>
  </conditionalFormatting>
  <conditionalFormatting sqref="AH8:AK8">
    <cfRule type="cellIs" dxfId="864" priority="39" operator="equal">
      <formula>0</formula>
    </cfRule>
  </conditionalFormatting>
  <conditionalFormatting sqref="AK9:AK14">
    <cfRule type="cellIs" dxfId="863" priority="38" operator="equal">
      <formula>0</formula>
    </cfRule>
  </conditionalFormatting>
  <conditionalFormatting sqref="AH8:AK8">
    <cfRule type="cellIs" dxfId="862" priority="37" operator="equal">
      <formula>0</formula>
    </cfRule>
  </conditionalFormatting>
  <conditionalFormatting sqref="AB377:AE377 AG377:AK377 AB356:AE356 AG356:AK356 AB334:AE334 AG334:AK334 AB328:AE328 AG328:AK328 AB311:AE311 AG311:AK311 AB301:AE301 AG301:AK301 AB287:AE287 AG287:AK287 AB270:AE270 AG270:AK270 AB261:AE261 AG261:AK261 AB254:AE254 AG254:AK254 AB246:AE246 AG246:AK246 AB233:AE233 AG233:AK233 AB222:AE222 AG222:AK222 AB203:AE203 AG203:AK203 AB191:AE191 AG191:AK191 AB166:AE166 AG166:AK166 AB144:AE144 AG144:AK144 AB119:AE119 AG119:AK119 AB83:AE83 AG83:AK83 AB69:AE69 AG69:AK69 AB53:AE53 AG53:AK53 AB40:AE40 AG40:AK40 AB30:AE30 AG30:AK30 AB19:AE19 AG19:AK19">
    <cfRule type="cellIs" dxfId="861" priority="35" operator="equal">
      <formula>"p"</formula>
    </cfRule>
    <cfRule type="cellIs" dxfId="860" priority="36" operator="equal">
      <formula>"q"</formula>
    </cfRule>
  </conditionalFormatting>
  <conditionalFormatting sqref="AB377:AE377 AB356:AE356 AB334:AE334 AB328:AE328 AB311:AE311 AB301:AE301 AB287:AE287 AB270:AE270 AB261:AE261 AB254:AE254 AB246:AE246 AB233:AE233 AB222:AE222 AB203:AE203 AB191:AE191 AB166:AE166 AB144:AE144 AB119:AE119 AB83:AE83 AB69:AE69 AB53:AE53 AB40:AE40 AB30:AE30 AB19:AE19">
    <cfRule type="cellIs" dxfId="859" priority="34" operator="equal">
      <formula>0</formula>
    </cfRule>
  </conditionalFormatting>
  <conditionalFormatting sqref="AH377:AK377 AH356:AK356 AH334:AK334 AH328:AK328 AH311:AK311 AH301:AK301 AH287:AK287 AH270:AK270 AH261:AK261 AH254:AK254 AH246:AK246 AH233:AK233 AH222:AK222 AH203:AK203 AH191:AK191 AH166:AK166 AH144:AK144 AH119:AK119 AH83:AK83 AH69:AK69 AH53:AK53 AH40:AK40 AH30:AK30 AH19:AK19">
    <cfRule type="cellIs" dxfId="858" priority="33" operator="equal">
      <formula>0</formula>
    </cfRule>
  </conditionalFormatting>
  <conditionalFormatting sqref="AI377 AI356 AI334 AI328 AI311 AI301 AI287 AI270 AI261 AI254 AI246 AI233 AI222 AI203 AI191 AI166 AI144 AI119 AI83 AI69 AI53 AI40 AI30 AI19">
    <cfRule type="cellIs" dxfId="857" priority="32" operator="equal">
      <formula>0</formula>
    </cfRule>
  </conditionalFormatting>
  <conditionalFormatting sqref="AH377:AK377 AH356:AK356 AH334:AK334 AH328:AK328 AH311:AK311 AH301:AK301 AH287:AK287 AH270:AK270 AH261:AK261 AH254:AK254 AH246:AK246 AH233:AK233 AH222:AK222 AH203:AK203 AH191:AK191 AH166:AK166 AH144:AK144 AH119:AK119 AH83:AK83 AH69:AK69 AH53:AK53 AH40:AK40 AH30:AK30 AH19:AK19">
    <cfRule type="cellIs" dxfId="856" priority="31" operator="equal">
      <formula>0</formula>
    </cfRule>
  </conditionalFormatting>
  <conditionalFormatting sqref="AH377:AK377 AH356:AK356 AH334:AK334 AH328:AK328 AH311:AK311 AH301:AK301 AH287:AK287 AH270:AK270 AH261:AK261 AH254:AK254 AH246:AK246 AH233:AK233 AH222:AK222 AH203:AK203 AH191:AK191 AH166:AK166 AH144:AK144 AH119:AK119 AH83:AK83 AH69:AK69 AH53:AK53 AH40:AK40 AH30:AK30 AH19:AK19">
    <cfRule type="cellIs" dxfId="855" priority="30" operator="equal">
      <formula>0</formula>
    </cfRule>
  </conditionalFormatting>
  <conditionalFormatting sqref="AM4 AQ8:AQ32 AT8:AT32 AW8:AW32 AZ8:AZ32">
    <cfRule type="cellIs" dxfId="854" priority="14" operator="lessThan">
      <formula>0</formula>
    </cfRule>
    <cfRule type="cellIs" dxfId="853" priority="15" operator="greaterThan">
      <formula>0</formula>
    </cfRule>
  </conditionalFormatting>
  <conditionalFormatting sqref="AO9:AZ32 AQ8 AT8 AW8 AZ8">
    <cfRule type="cellIs" dxfId="852" priority="3" operator="equal">
      <formula>0</formula>
    </cfRule>
  </conditionalFormatting>
  <dataValidations count="1">
    <dataValidation type="list" allowBlank="1" showInputMessage="1" showErrorMessage="1" sqref="T9:U14 T20:U25 T31:U36 T41:U48 T54:U64 T234:U241 T247:U249 T255:U256 T262:U265 T120:U139 T271:U282 T288:U296 T302:U306 T312:U323 T329:U329 T335:U351 T357:U372 T378:U387 T84:U114 T192:U198 T204:U217 T223:U229 T167:U186 T145:U161 T70:U78" xr:uid="{00000000-0002-0000-0300-000000000000}">
      <formula1>"YES, NO"</formula1>
    </dataValidation>
  </dataValidations>
  <hyperlinks>
    <hyperlink ref="E2" r:id="rId1" xr:uid="{00000000-0004-0000-0300-000000000000}"/>
  </hyperlinks>
  <printOptions horizontalCentered="1"/>
  <pageMargins left="0" right="0" top="0.19685039370078741" bottom="0" header="0" footer="0"/>
  <pageSetup paperSize="8" fitToHeight="0" orientation="portrait" r:id="rId2"/>
  <ignoredErrors>
    <ignoredError sqref="AD9:AD14 AJ9:AJ14 X365:AL365 X20:AL25 Y388:AL388 X27:AL48 Y26:AL26 X50:AL64 Y49:AL49 X66:AL78 Y65:AL65 X80:AL86 Y79:AL79 X116:AL139 Y115:AL115 X141:AL161 Y140:AL140 X163:AL186 Y162:AL162 X188:AL198 Y187:AL187 X200:AL217 Y199:AL199 X219:AL228 Y218:AL218 X230:AL241 Y229:AL229 X243:AL249 Y242:AL242 X251:AL256 Y250:AL250 X258:AL265 Y257:AL257 X267:AL282 Y266:AL266 X284:AL296 Y283:AL283 X298:AL306 Y297:AL297 X308:AL323 Y307:AL307 X325:AL329 Y324:AL324 X331:AL336 Y330:AL330 X353:AL356 Y352:AL352 X374:AL387 Y373:AL373 AQ11:AZ32 AR9:AZ9 AQ10:AZ10 AQ8:AQ9 X90:AL90 X87:Y87 AA87:AL87 X88:Y88 AA88:AL88 X89:Y89 AA89:AL89 X93:AL93 X91:Y91 AA91:AL91 X92:Y92 AA92:AL92 X96:AL96 X94:Y94 AA94:AL94 X95:Y95 AA95:AL95 X100:AL100 X97:Y97 AA97:AL97 X98:Y98 AA98:AL98 X99:Y99 AA99:AL99 X103:AL103 X101:Y101 AA101:AL101 X102:Y102 AA102:AL102 X105:AL106 X104:Y104 AA104:AL104 X109:AL109 X107:Y107 AA107:AL107 X108:Y108 AA108:AL108 X112:AL114 X110:Y110 AA110:AL110 X111:Y111 AA111:AL111 X357:Y357 AA357:AL357 X358:Y358 AA358:AL358 X359:Y359 AA359:AL359 X360:Y360 AA360:AL360 X361:Y361 AA361:AL361 X362:Y362 AA362:AL362 X363:Y363 AA363:AL363 X364:Y364 AA364:AL364 X371:AL372 X366:Y366 AA366:AL366 X367:Y367 AA367:AL367 X368:Y368 AA368:AL368 X369:Y369 AA369:AL369 X370:Y370 AA370:AL370 X339:AL351 X337:Y337 AA337:AL337 X338:Y338 AA338:AL338" formula="1"/>
  </ignoredErrors>
  <drawing r:id="rId3"/>
  <legacyDrawing r:id="rId4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300-000001000000}">
          <x14:formula1>
            <xm:f>'Dropdown List'!$A$2:$A$8</xm:f>
          </x14:formula1>
          <xm:sqref>P9:P14 P20:P25 P41:P43 P31:P36 P54:P60 P70:P78 P247:P249 P255:P256 P262:P265 P234:P241 P271:P282 P288:P296 P302:P306 P312:P323 P329 P335:P351 P357:P372 P378:P387 P84:P114 P192:P198 P204:P217 P223:P229 P120:P139 P145:P161 P167:P186</xm:sqref>
        </x14:dataValidation>
        <x14:dataValidation type="list" allowBlank="1" showInputMessage="1" showErrorMessage="1" xr:uid="{00000000-0002-0000-0300-000002000000}">
          <x14:formula1>
            <xm:f>'Dropdown List'!$A$27:$A$36</xm:f>
          </x14:formula1>
          <xm:sqref>Q20:Q25 Q9:Q14</xm:sqref>
        </x14:dataValidation>
        <x14:dataValidation type="list" allowBlank="1" showInputMessage="1" showErrorMessage="1" xr:uid="{00000000-0002-0000-0300-000003000000}">
          <x14:formula1>
            <xm:f>'Dropdown List'!$B$27:$B$42</xm:f>
          </x14:formula1>
          <xm:sqref>Q41:Q48 Q54:Q64 Q31:Q36</xm:sqref>
        </x14:dataValidation>
        <x14:dataValidation type="list" allowBlank="1" showInputMessage="1" showErrorMessage="1" xr:uid="{00000000-0002-0000-0300-000004000000}">
          <x14:formula1>
            <xm:f>'Dropdown List'!$C$27:$C$34</xm:f>
          </x14:formula1>
          <xm:sqref>Q70:Q78</xm:sqref>
        </x14:dataValidation>
        <x14:dataValidation type="list" allowBlank="1" showInputMessage="1" showErrorMessage="1" xr:uid="{00000000-0002-0000-0300-000005000000}">
          <x14:formula1>
            <xm:f>'Dropdown List'!$E$27:$E$43</xm:f>
          </x14:formula1>
          <xm:sqref>Q247:Q249 Q255:Q256 Q262:Q265 Q234:Q241</xm:sqref>
        </x14:dataValidation>
        <x14:dataValidation type="list" allowBlank="1" showInputMessage="1" showErrorMessage="1" xr:uid="{00000000-0002-0000-0300-000006000000}">
          <x14:formula1>
            <xm:f>'Dropdown List'!$F$27:$F$80</xm:f>
          </x14:formula1>
          <xm:sqref>Q271:Q282 Q288:Q296 Q302:Q306 Q312:Q323 Q329 Q335:Q351 Q357:Q372</xm:sqref>
        </x14:dataValidation>
        <x14:dataValidation type="list" allowBlank="1" showInputMessage="1" showErrorMessage="1" xr:uid="{00000000-0002-0000-0300-000007000000}">
          <x14:formula1>
            <xm:f>'Dropdown List'!$G$27:$G$35</xm:f>
          </x14:formula1>
          <xm:sqref>Q378:Q387</xm:sqref>
        </x14:dataValidation>
        <x14:dataValidation type="list" allowBlank="1" showInputMessage="1" showErrorMessage="1" xr:uid="{00000000-0002-0000-0300-000008000000}">
          <x14:formula1>
            <xm:f>'Dropdown List'!$D$27:$D$123</xm:f>
          </x14:formula1>
          <xm:sqref>Q84:Q114 Q145:Q161 Q192:Q198 Q204:Q217 Q223:Q229 Q120:Q139 Q167:Q186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V387"/>
  <sheetViews>
    <sheetView showGridLines="0" zoomScaleNormal="100" workbookViewId="0">
      <selection activeCell="D3" sqref="D3"/>
    </sheetView>
  </sheetViews>
  <sheetFormatPr defaultColWidth="9.140625" defaultRowHeight="15" x14ac:dyDescent="0.25"/>
  <cols>
    <col min="1" max="1" width="1.7109375" style="212" customWidth="1"/>
    <col min="2" max="2" width="7.5703125" style="211" bestFit="1" customWidth="1"/>
    <col min="3" max="3" width="36.5703125" style="212" bestFit="1" customWidth="1"/>
    <col min="4" max="4" width="7.85546875" style="270" bestFit="1" customWidth="1"/>
    <col min="5" max="5" width="11.140625" style="270" customWidth="1"/>
    <col min="6" max="6" width="7.5703125" style="270" bestFit="1" customWidth="1"/>
    <col min="7" max="7" width="7.5703125" style="270" customWidth="1"/>
    <col min="8" max="8" width="7.5703125" style="404" customWidth="1"/>
    <col min="9" max="9" width="5.42578125" style="270" bestFit="1" customWidth="1"/>
    <col min="10" max="10" width="5.5703125" style="404" bestFit="1" customWidth="1"/>
    <col min="11" max="11" width="47.5703125" style="212" bestFit="1" customWidth="1"/>
    <col min="12" max="12" width="10.7109375" style="212" bestFit="1" customWidth="1"/>
    <col min="13" max="13" width="9" style="1" bestFit="1" customWidth="1"/>
    <col min="14" max="14" width="2.28515625" style="1" bestFit="1" customWidth="1"/>
    <col min="15" max="15" width="16.28515625" style="1" bestFit="1" customWidth="1"/>
    <col min="16" max="16" width="19.85546875" style="1" bestFit="1" customWidth="1"/>
    <col min="17" max="17" width="27.5703125" style="1" bestFit="1" customWidth="1"/>
    <col min="18" max="18" width="7.85546875" style="211" customWidth="1"/>
    <col min="19" max="19" width="7.85546875" style="363" bestFit="1" customWidth="1"/>
    <col min="20" max="21" width="7.5703125" style="1" bestFit="1" customWidth="1"/>
    <col min="22" max="22" width="61.28515625" style="1" bestFit="1" customWidth="1"/>
    <col min="23" max="16384" width="9.140625" style="1"/>
  </cols>
  <sheetData>
    <row r="1" spans="1:22" ht="15.75" thickBot="1" x14ac:dyDescent="0.3">
      <c r="A1" s="1"/>
      <c r="B1" s="393"/>
      <c r="C1" s="562" t="s">
        <v>2753</v>
      </c>
      <c r="D1" s="563"/>
      <c r="E1" s="44"/>
      <c r="F1" s="44"/>
      <c r="G1" s="44"/>
      <c r="H1" s="403"/>
      <c r="I1" s="44"/>
      <c r="J1" s="403"/>
      <c r="K1" s="1"/>
      <c r="L1" s="2"/>
      <c r="M1" s="2"/>
      <c r="N1" s="340"/>
      <c r="P1" s="342"/>
      <c r="R1" s="391"/>
      <c r="S1" s="367"/>
      <c r="T1" s="342"/>
      <c r="U1" s="342"/>
      <c r="V1" s="40"/>
    </row>
    <row r="2" spans="1:22" ht="15.75" thickBot="1" x14ac:dyDescent="0.3">
      <c r="A2" s="1"/>
      <c r="B2" s="393"/>
      <c r="C2" s="341" t="s">
        <v>2752</v>
      </c>
      <c r="D2" s="409">
        <v>0.9</v>
      </c>
      <c r="E2" s="411" t="s">
        <v>2754</v>
      </c>
      <c r="F2" s="44"/>
      <c r="G2" s="44"/>
      <c r="H2" s="403"/>
      <c r="I2" s="44"/>
      <c r="J2" s="403"/>
      <c r="K2" s="1"/>
      <c r="L2" s="2"/>
      <c r="M2" s="2"/>
      <c r="N2" s="340"/>
      <c r="P2" s="343"/>
      <c r="R2" s="392"/>
      <c r="S2" s="368"/>
      <c r="T2" s="343"/>
      <c r="U2" s="343"/>
      <c r="V2" s="40"/>
    </row>
    <row r="3" spans="1:22" ht="15.75" thickBot="1" x14ac:dyDescent="0.3">
      <c r="A3" s="1"/>
      <c r="B3" s="393"/>
      <c r="C3" s="408" t="s">
        <v>2751</v>
      </c>
      <c r="D3" s="410">
        <v>0.8</v>
      </c>
      <c r="E3" s="44"/>
      <c r="F3" s="44"/>
      <c r="G3" s="44"/>
      <c r="H3" s="403"/>
      <c r="I3" s="44"/>
      <c r="J3" s="403"/>
      <c r="K3" s="1"/>
      <c r="L3" s="2"/>
      <c r="M3" s="2"/>
      <c r="N3" s="340"/>
      <c r="P3" s="343"/>
      <c r="R3" s="392"/>
      <c r="S3" s="368"/>
      <c r="T3" s="343"/>
      <c r="U3" s="343"/>
      <c r="V3" s="40"/>
    </row>
    <row r="4" spans="1:22" ht="15.75" thickBot="1" x14ac:dyDescent="0.3">
      <c r="A4" s="1"/>
      <c r="B4" s="40"/>
      <c r="D4" s="44"/>
      <c r="E4" s="44"/>
      <c r="F4" s="44"/>
      <c r="G4" s="44"/>
      <c r="H4" s="403"/>
      <c r="I4" s="44"/>
      <c r="J4" s="403"/>
      <c r="K4" s="1"/>
      <c r="L4" s="2"/>
      <c r="M4" s="2"/>
      <c r="N4" s="340"/>
      <c r="P4" s="40"/>
      <c r="Q4" s="40"/>
      <c r="R4" s="385"/>
      <c r="S4" s="33"/>
      <c r="T4" s="2"/>
      <c r="U4" s="2"/>
      <c r="V4" s="40"/>
    </row>
    <row r="5" spans="1:22" ht="26.25" thickBot="1" x14ac:dyDescent="0.3">
      <c r="A5" s="1"/>
      <c r="B5" s="584" t="s">
        <v>2390</v>
      </c>
      <c r="C5" s="582"/>
      <c r="D5" s="582"/>
      <c r="E5" s="582"/>
      <c r="F5" s="582"/>
      <c r="G5" s="582"/>
      <c r="H5" s="582"/>
      <c r="I5" s="582"/>
      <c r="J5" s="582"/>
      <c r="K5" s="582"/>
      <c r="L5" s="582"/>
      <c r="M5" s="583"/>
      <c r="N5" s="344"/>
      <c r="O5" s="551" t="s">
        <v>2391</v>
      </c>
      <c r="P5" s="552"/>
      <c r="Q5" s="552"/>
      <c r="R5" s="552"/>
      <c r="S5" s="552"/>
      <c r="T5" s="552"/>
      <c r="U5" s="552"/>
      <c r="V5" s="553"/>
    </row>
    <row r="6" spans="1:22" ht="15.75" customHeight="1" thickBot="1" x14ac:dyDescent="0.3">
      <c r="A6" s="1"/>
      <c r="B6" s="571" t="s">
        <v>1260</v>
      </c>
      <c r="C6" s="545" t="s">
        <v>1261</v>
      </c>
      <c r="D6" s="382" t="s">
        <v>2402</v>
      </c>
      <c r="E6" s="572" t="s">
        <v>2749</v>
      </c>
      <c r="F6" s="572" t="s">
        <v>1268</v>
      </c>
      <c r="G6" s="559" t="s">
        <v>2750</v>
      </c>
      <c r="H6" s="560"/>
      <c r="I6" s="560"/>
      <c r="J6" s="561"/>
      <c r="K6" s="574" t="s">
        <v>2401</v>
      </c>
      <c r="L6" s="575" t="s">
        <v>2637</v>
      </c>
      <c r="M6" s="576"/>
      <c r="N6" s="412"/>
      <c r="O6" s="566" t="s">
        <v>2392</v>
      </c>
      <c r="P6" s="557" t="s">
        <v>1184</v>
      </c>
      <c r="Q6" s="566" t="s">
        <v>1481</v>
      </c>
      <c r="R6" s="567" t="s">
        <v>2618</v>
      </c>
      <c r="S6" s="569" t="s">
        <v>41</v>
      </c>
      <c r="T6" s="539" t="s">
        <v>2601</v>
      </c>
      <c r="U6" s="539" t="s">
        <v>2600</v>
      </c>
      <c r="V6" s="557" t="s">
        <v>2393</v>
      </c>
    </row>
    <row r="7" spans="1:22" ht="15" customHeight="1" thickBot="1" x14ac:dyDescent="0.3">
      <c r="A7" s="1"/>
      <c r="B7" s="557"/>
      <c r="C7" s="540"/>
      <c r="D7" s="362" t="s">
        <v>41</v>
      </c>
      <c r="E7" s="573"/>
      <c r="F7" s="573"/>
      <c r="G7" s="544" t="s">
        <v>2751</v>
      </c>
      <c r="H7" s="544"/>
      <c r="I7" s="544" t="s">
        <v>2752</v>
      </c>
      <c r="J7" s="544"/>
      <c r="K7" s="540"/>
      <c r="L7" s="545" t="s">
        <v>1262</v>
      </c>
      <c r="M7" s="545" t="s">
        <v>1263</v>
      </c>
      <c r="N7" s="412"/>
      <c r="O7" s="557"/>
      <c r="P7" s="557"/>
      <c r="Q7" s="557"/>
      <c r="R7" s="567"/>
      <c r="S7" s="569"/>
      <c r="T7" s="540"/>
      <c r="U7" s="540"/>
      <c r="V7" s="557"/>
    </row>
    <row r="8" spans="1:22" s="271" customFormat="1" ht="12.75" customHeight="1" thickBot="1" x14ac:dyDescent="0.3">
      <c r="B8" s="558"/>
      <c r="C8" s="541"/>
      <c r="D8" s="345" t="s">
        <v>27</v>
      </c>
      <c r="E8" s="345" t="s">
        <v>26</v>
      </c>
      <c r="F8" s="345" t="s">
        <v>26</v>
      </c>
      <c r="G8" s="406" t="s">
        <v>26</v>
      </c>
      <c r="H8" s="407" t="s">
        <v>28</v>
      </c>
      <c r="I8" s="406" t="s">
        <v>26</v>
      </c>
      <c r="J8" s="407" t="s">
        <v>28</v>
      </c>
      <c r="K8" s="541"/>
      <c r="L8" s="541"/>
      <c r="M8" s="541"/>
      <c r="N8" s="412"/>
      <c r="O8" s="558"/>
      <c r="P8" s="558"/>
      <c r="Q8" s="558"/>
      <c r="R8" s="568"/>
      <c r="S8" s="570"/>
      <c r="T8" s="541"/>
      <c r="U8" s="541"/>
      <c r="V8" s="558"/>
    </row>
    <row r="9" spans="1:22" s="271" customFormat="1" x14ac:dyDescent="0.25">
      <c r="B9" s="7" t="s">
        <v>2394</v>
      </c>
      <c r="C9" s="6" t="s">
        <v>2403</v>
      </c>
      <c r="D9" s="57">
        <f t="shared" ref="D9:D14" si="0">ROUNDDOWN(S9,0)</f>
        <v>110</v>
      </c>
      <c r="E9" s="57">
        <f t="array" ref="E9">IF(U9="YES",IF(T9="YES",MIN(IF(ABY[Load Capability Reference]=CONCATENATE(P9,Q9,S9,R9),ABY[Lowest A-PTX])),MIN(IF(ABY[Load Capability Reference]=CONCATENATE(P9,Q9,S9,R9),IF(ABY[Equipment ID]&lt;&gt;O9,ABY[Lowest A-PTX])))),IF(T9="YES",MIN(IF(ABY[Load Capability Reference]=CONCATENATE(P9,Q9,S9,R9),ABY[Lowest A-No PTX])),MIN(IF(ABY[Load Capability Reference]=CONCATENATE(P9,Q9,S9,R9),IF(ABY[Equipment ID]&lt;&gt;O9,ABY[Lowest A-No PTX])))))</f>
        <v>105</v>
      </c>
      <c r="F9" s="57">
        <f>IFERROR(IFERROR(VLOOKUP(CONCATENATE(P9,Q9,O9,S9,"Protection"),ABY[[OC Protection Reference]:[Forward A]],23,0),VLOOKUP(O9,AEL_Protection_Data[],12,0)),"N/A")</f>
        <v>199</v>
      </c>
      <c r="G9" s="57">
        <f>IFERROR(FLOOR(MIN(E9:F9)*$D$3,5),"")</f>
        <v>80</v>
      </c>
      <c r="H9" s="9">
        <f>G9*S9*SQRT(3)/1000</f>
        <v>15.242047106606121</v>
      </c>
      <c r="I9" s="57">
        <f t="shared" ref="I9:I14" si="1">IFERROR(FLOOR(MIN(E9:F9)*$D$2,5),"")</f>
        <v>90</v>
      </c>
      <c r="J9" s="9">
        <f>I9*S9*SQRT(3)/1000</f>
        <v>17.147302994931884</v>
      </c>
      <c r="K9" s="6" t="str">
        <f>IF(U9="Yes",UPPER(IF(ISNUMBER(SEARCH("winding",VLOOKUP(CONCATENATE(P9,Q9,S9,E9),ABY[[Limiting Equipment Reference-PTX]:[Summ Equipment]],7,0))),"Power Transformer Rating at "&amp;ROUND(E9*S9*SQRT(3)/1000,2)&amp;" MVA",VLOOKUP(CONCATENATE(P9,Q9,S9,E9),ABY[[Limiting Equipment Reference-No PTX]:[Summ Equipment]],8,0))),UPPER(VLOOKUP(CONCATENATE(P9,Q9,S9,E9),ABY[[Limiting Equipment Reference-No PTX]:[Summ Equipment]],8,0)))</f>
        <v>POWER TRANSFORMER RATING AT 20.01 MVA</v>
      </c>
      <c r="L9" s="8" t="s">
        <v>1266</v>
      </c>
      <c r="M9" s="8" t="s">
        <v>1162</v>
      </c>
      <c r="N9" s="356"/>
      <c r="O9" s="7" t="str">
        <f>"ABY-"&amp;B9</f>
        <v>ABY-CB62</v>
      </c>
      <c r="P9" s="7" t="s">
        <v>4</v>
      </c>
      <c r="Q9" s="7" t="s">
        <v>365</v>
      </c>
      <c r="R9" s="386"/>
      <c r="S9" s="43">
        <v>110</v>
      </c>
      <c r="T9" s="8" t="s">
        <v>1267</v>
      </c>
      <c r="U9" s="8" t="s">
        <v>1267</v>
      </c>
      <c r="V9" s="7"/>
    </row>
    <row r="10" spans="1:22" x14ac:dyDescent="0.25">
      <c r="A10" s="1"/>
      <c r="B10" s="7" t="s">
        <v>309</v>
      </c>
      <c r="C10" s="6" t="s">
        <v>2403</v>
      </c>
      <c r="D10" s="57">
        <f t="shared" si="0"/>
        <v>11</v>
      </c>
      <c r="E10" s="57">
        <f t="array" ref="E10">IF(U10="YES",IF(T10="YES",MIN(IF(ABY[Load Capability Reference]=CONCATENATE(P10,Q10,S10,R10),ABY[Lowest A-PTX])),MIN(IF(ABY[Load Capability Reference]=CONCATENATE(P10,Q10,S10,R10),IF(ABY[Equipment ID]&lt;&gt;O10,ABY[Lowest A-PTX])))),IF(T10="YES",MIN(IF(ABY[Load Capability Reference]=CONCATENATE(P10,Q10,S10,R10),ABY[Lowest A-No PTX])),MIN(IF(ABY[Load Capability Reference]=CONCATENATE(P10,Q10,S10,R10),IF(ABY[Equipment ID]&lt;&gt;O10,ABY[Lowest A-No PTX])))))</f>
        <v>600</v>
      </c>
      <c r="F10" s="57">
        <f>IFERROR(IFERROR(VLOOKUP(CONCATENATE(P10,Q10,O10,S10,"Protection"),ABY[[OC Protection Reference]:[Forward A]],23,0),VLOOKUP(O10,AEL_Protection_Data[],12,0)),"N/A")</f>
        <v>1635</v>
      </c>
      <c r="G10" s="57">
        <f t="shared" ref="G10:G14" si="2">IFERROR(FLOOR(MIN(E10:F10)*$D$3,5),"")</f>
        <v>480</v>
      </c>
      <c r="H10" s="9">
        <f t="shared" ref="H10:H14" si="3">G10*S10*SQRT(3)/1000</f>
        <v>9.1452282639636717</v>
      </c>
      <c r="I10" s="57">
        <f t="shared" si="1"/>
        <v>540</v>
      </c>
      <c r="J10" s="9">
        <f t="shared" ref="J10:J14" si="4">I10*S10*SQRT(3)/1000</f>
        <v>10.288381796959131</v>
      </c>
      <c r="K10" s="6" t="str">
        <f>IF(U10="Yes",UPPER(IF(ISNUMBER(SEARCH("winding",VLOOKUP(CONCATENATE(P10,Q10,S10,E10),ABY[[Limiting Equipment Reference-PTX]:[Summ Equipment]],7,0))),"Power Transformer Rating at "&amp;ROUND(E10*S10*SQRT(3)/1000,2)&amp;" MVA",VLOOKUP(CONCATENATE(P10,Q10,S10,E10),ABY[[Limiting Equipment Reference-No PTX]:[Summ Equipment]],8,0))),UPPER(VLOOKUP(CONCATENATE(P10,Q10,S10,E10),ABY[[Limiting Equipment Reference-No PTX]:[Summ Equipment]],8,0)))</f>
        <v>CIRCUIT BREAKER-ABY-CB2712-OTHER EQUIPMENT</v>
      </c>
      <c r="L10" s="8" t="s">
        <v>1266</v>
      </c>
      <c r="M10" s="8" t="s">
        <v>1162</v>
      </c>
      <c r="N10" s="356"/>
      <c r="O10" s="7" t="str">
        <f>"ABY-"&amp;B10</f>
        <v>ABY-CB2712</v>
      </c>
      <c r="P10" s="7" t="s">
        <v>4</v>
      </c>
      <c r="Q10" s="7" t="s">
        <v>365</v>
      </c>
      <c r="R10" s="386"/>
      <c r="S10" s="43">
        <v>11</v>
      </c>
      <c r="T10" s="8" t="s">
        <v>1267</v>
      </c>
      <c r="U10" s="8" t="s">
        <v>1267</v>
      </c>
      <c r="V10" s="7"/>
    </row>
    <row r="11" spans="1:22" x14ac:dyDescent="0.25">
      <c r="A11" s="1"/>
      <c r="B11" s="7" t="s">
        <v>330</v>
      </c>
      <c r="C11" s="6" t="s">
        <v>2404</v>
      </c>
      <c r="D11" s="57">
        <f t="shared" si="0"/>
        <v>33</v>
      </c>
      <c r="E11" s="57">
        <f t="array" ref="E11">IF(U11="YES",IF(T11="YES",MIN(IF(ABY[Load Capability Reference]=CONCATENATE(P11,Q11,S11,R11),ABY[Lowest A-PTX])),MIN(IF(ABY[Load Capability Reference]=CONCATENATE(P11,Q11,S11,R11),IF(ABY[Equipment ID]&lt;&gt;O11,ABY[Lowest A-PTX])))),IF(T11="YES",MIN(IF(ABY[Load Capability Reference]=CONCATENATE(P11,Q11,S11,R11),ABY[Lowest A-No PTX])),MIN(IF(ABY[Load Capability Reference]=CONCATENATE(P11,Q11,S11,R11),IF(ABY[Equipment ID]&lt;&gt;O11,ABY[Lowest A-No PTX])))))</f>
        <v>172.83709311979484</v>
      </c>
      <c r="F11" s="57">
        <f>IFERROR(IFERROR(VLOOKUP(CONCATENATE(P11,Q11,O11,S11,"Protection"),ABY[[OC Protection Reference]:[Forward A]],23,0),VLOOKUP(O11,AEL_Protection_Data[],12,0)),"N/A")</f>
        <v>150</v>
      </c>
      <c r="G11" s="57">
        <f t="shared" si="2"/>
        <v>120</v>
      </c>
      <c r="H11" s="9">
        <f t="shared" si="3"/>
        <v>6.8589211979727533</v>
      </c>
      <c r="I11" s="57">
        <f t="shared" si="1"/>
        <v>135</v>
      </c>
      <c r="J11" s="9">
        <f t="shared" si="4"/>
        <v>7.7162863477193477</v>
      </c>
      <c r="K11" s="6" t="str">
        <f>IF(U11="Yes",UPPER(IF(ISNUMBER(SEARCH("winding",VLOOKUP(CONCATENATE(P11,Q11,S11,E11),ABY[[Limiting Equipment Reference-PTX]:[Summ Equipment]],7,0))),"Power Transformer Rating at "&amp;ROUND(E11*S11*SQRT(3)/1000,2)&amp;" MVA",VLOOKUP(CONCATENATE(P11,Q11,S11,E11),ABY[[Limiting Equipment Reference-No PTX]:[Summ Equipment]],8,0))),UPPER(VLOOKUP(CONCATENATE(P11,Q11,S11,E11),ABY[[Limiting Equipment Reference-No PTX]:[Summ Equipment]],8,0)))</f>
        <v>OH LINE-PETREL</v>
      </c>
      <c r="L11" s="8" t="s">
        <v>1266</v>
      </c>
      <c r="M11" s="8" t="s">
        <v>1162</v>
      </c>
      <c r="N11" s="356"/>
      <c r="O11" s="7" t="str">
        <f t="shared" ref="O11:O14" si="5">"ABY-"&amp;B11</f>
        <v>ABY-CB4242</v>
      </c>
      <c r="P11" s="7" t="s">
        <v>1245</v>
      </c>
      <c r="Q11" s="7" t="s">
        <v>90</v>
      </c>
      <c r="R11" s="386"/>
      <c r="S11" s="43">
        <v>33</v>
      </c>
      <c r="T11" s="8" t="s">
        <v>1266</v>
      </c>
      <c r="U11" s="8" t="s">
        <v>1266</v>
      </c>
      <c r="V11" s="7"/>
    </row>
    <row r="12" spans="1:22" x14ac:dyDescent="0.25">
      <c r="A12" s="1"/>
      <c r="B12" s="7" t="s">
        <v>310</v>
      </c>
      <c r="C12" s="6" t="s">
        <v>2404</v>
      </c>
      <c r="D12" s="57">
        <f t="shared" si="0"/>
        <v>11</v>
      </c>
      <c r="E12" s="57">
        <f t="array" ref="E12">IF(U12="YES",IF(T12="YES",MIN(IF(ABY[Load Capability Reference]=CONCATENATE(P12,Q12,S12,R12),ABY[Lowest A-PTX])),MIN(IF(ABY[Load Capability Reference]=CONCATENATE(P12,Q12,S12,R12),IF(ABY[Equipment ID]&lt;&gt;O12,ABY[Lowest A-PTX])))),IF(T12="YES",MIN(IF(ABY[Load Capability Reference]=CONCATENATE(P12,Q12,S12,R12),ABY[Lowest A-No PTX])),MIN(IF(ABY[Load Capability Reference]=CONCATENATE(P12,Q12,S12,R12),IF(ABY[Equipment ID]&lt;&gt;O12,ABY[Lowest A-No PTX])))))</f>
        <v>450</v>
      </c>
      <c r="F12" s="57">
        <f>IFERROR(IFERROR(VLOOKUP(CONCATENATE(P12,Q12,O12,S12,"Protection"),ABY[[OC Protection Reference]:[Forward A]],23,0),VLOOKUP(O12,AEL_Protection_Data[],12,0)),"N/A")</f>
        <v>450</v>
      </c>
      <c r="G12" s="57">
        <f t="shared" si="2"/>
        <v>360</v>
      </c>
      <c r="H12" s="9">
        <f t="shared" si="3"/>
        <v>6.8589211979727533</v>
      </c>
      <c r="I12" s="57">
        <f t="shared" si="1"/>
        <v>405</v>
      </c>
      <c r="J12" s="9">
        <f t="shared" si="4"/>
        <v>7.7162863477193477</v>
      </c>
      <c r="K12" s="6" t="str">
        <f>IF(U12="Yes",UPPER(IF(ISNUMBER(SEARCH("winding",VLOOKUP(CONCATENATE(P12,Q12,S12,E12),ABY[[Limiting Equipment Reference-PTX]:[Summ Equipment]],7,0))),"Power Transformer Rating at "&amp;ROUND(E12*S12*SQRT(3)/1000,2)&amp;" MVA",VLOOKUP(CONCATENATE(P12,Q12,S12,E12),ABY[[Limiting Equipment Reference-No PTX]:[Summ Equipment]],8,0))),UPPER(VLOOKUP(CONCATENATE(P12,Q12,S12,E12),ABY[[Limiting Equipment Reference-No PTX]:[Summ Equipment]],8,0)))</f>
        <v>CIRCUIT BREAKER-ABY-CB2722-PROTECTION</v>
      </c>
      <c r="L12" s="8" t="s">
        <v>1266</v>
      </c>
      <c r="M12" s="8" t="s">
        <v>1162</v>
      </c>
      <c r="N12" s="356"/>
      <c r="O12" s="7" t="str">
        <f t="shared" si="5"/>
        <v>ABY-CB2722</v>
      </c>
      <c r="P12" s="7" t="s">
        <v>1245</v>
      </c>
      <c r="Q12" s="7" t="s">
        <v>90</v>
      </c>
      <c r="R12" s="386"/>
      <c r="S12" s="43">
        <v>11</v>
      </c>
      <c r="T12" s="8" t="s">
        <v>1267</v>
      </c>
      <c r="U12" s="8" t="s">
        <v>1266</v>
      </c>
      <c r="V12" s="7"/>
    </row>
    <row r="13" spans="1:22" x14ac:dyDescent="0.25">
      <c r="A13" s="1"/>
      <c r="B13" s="7" t="s">
        <v>313</v>
      </c>
      <c r="C13" s="6" t="s">
        <v>1264</v>
      </c>
      <c r="D13" s="57">
        <f t="shared" si="0"/>
        <v>11</v>
      </c>
      <c r="E13" s="57">
        <f t="array" ref="E13">IF(U13="YES",IF(T13="YES",MIN(IF(ABY[Load Capability Reference]=CONCATENATE(P13,Q13,S13,R13),ABY[Lowest A-PTX])),MIN(IF(ABY[Load Capability Reference]=CONCATENATE(P13,Q13,S13,R13),IF(ABY[Equipment ID]&lt;&gt;O13,ABY[Lowest A-PTX])))),IF(T13="YES",MIN(IF(ABY[Load Capability Reference]=CONCATENATE(P13,Q13,S13,R13),ABY[Lowest A-No PTX])),MIN(IF(ABY[Load Capability Reference]=CONCATENATE(P13,Q13,S13,R13),IF(ABY[Equipment ID]&lt;&gt;O13,ABY[Lowest A-No PTX])))))</f>
        <v>241.61245946541547</v>
      </c>
      <c r="F13" s="57">
        <f>IFERROR(IFERROR(VLOOKUP(CONCATENATE(P13,Q13,O13,S13,"Protection"),ABY[[OC Protection Reference]:[Forward A]],23,0),VLOOKUP(O13,AEL_Protection_Data[],12,0)),"N/A")</f>
        <v>225</v>
      </c>
      <c r="G13" s="57">
        <f t="shared" si="2"/>
        <v>180</v>
      </c>
      <c r="H13" s="9">
        <f t="shared" si="3"/>
        <v>3.4294605989863767</v>
      </c>
      <c r="I13" s="57">
        <f t="shared" si="1"/>
        <v>200</v>
      </c>
      <c r="J13" s="9">
        <f t="shared" si="4"/>
        <v>3.8105117766515302</v>
      </c>
      <c r="K13" s="6" t="str">
        <f>IF(U13="Yes",UPPER(IF(ISNUMBER(SEARCH("winding",VLOOKUP(CONCATENATE(P13,Q13,S13,E13),ABY[[Limiting Equipment Reference-PTX]:[Summ Equipment]],7,0))),"Power Transformer Rating at "&amp;ROUND(E13*S13*SQRT(3)/1000,2)&amp;" MVA",VLOOKUP(CONCATENATE(P13,Q13,S13,E13),ABY[[Limiting Equipment Reference-No PTX]:[Summ Equipment]],8,0))),UPPER(VLOOKUP(CONCATENATE(P13,Q13,S13,E13),ABY[[Limiting Equipment Reference-No PTX]:[Summ Equipment]],8,0)))</f>
        <v>OH LINE-19/14 CU</v>
      </c>
      <c r="L13" s="8" t="s">
        <v>1267</v>
      </c>
      <c r="M13" s="8" t="s">
        <v>1267</v>
      </c>
      <c r="N13" s="356"/>
      <c r="O13" s="7" t="str">
        <f t="shared" si="5"/>
        <v>ABY-CB2732</v>
      </c>
      <c r="P13" s="7" t="s">
        <v>1276</v>
      </c>
      <c r="Q13" s="7" t="s">
        <v>103</v>
      </c>
      <c r="R13" s="386"/>
      <c r="S13" s="43">
        <v>11</v>
      </c>
      <c r="T13" s="8" t="s">
        <v>1266</v>
      </c>
      <c r="U13" s="8" t="s">
        <v>1266</v>
      </c>
      <c r="V13" s="7"/>
    </row>
    <row r="14" spans="1:22" ht="15.75" thickBot="1" x14ac:dyDescent="0.3">
      <c r="A14" s="1"/>
      <c r="B14" s="193" t="s">
        <v>314</v>
      </c>
      <c r="C14" s="191" t="s">
        <v>1265</v>
      </c>
      <c r="D14" s="197">
        <f t="shared" si="0"/>
        <v>11</v>
      </c>
      <c r="E14" s="197">
        <f t="array" ref="E14">IF(U14="YES",IF(T14="YES",MIN(IF(ABY[Load Capability Reference]=CONCATENATE(P14,Q14,S14,R14),ABY[Lowest A-PTX])),MIN(IF(ABY[Load Capability Reference]=CONCATENATE(P14,Q14,S14,R14),IF(ABY[Equipment ID]&lt;&gt;O14,ABY[Lowest A-PTX])))),IF(T14="YES",MIN(IF(ABY[Load Capability Reference]=CONCATENATE(P14,Q14,S14,R14),ABY[Lowest A-No PTX])),MIN(IF(ABY[Load Capability Reference]=CONCATENATE(P14,Q14,S14,R14),IF(ABY[Equipment ID]&lt;&gt;O14,ABY[Lowest A-No PTX])))))</f>
        <v>256.85852310343915</v>
      </c>
      <c r="F14" s="197">
        <f>IFERROR(IFERROR(VLOOKUP(CONCATENATE(P14,Q14,O14,S14,"Protection"),ABY[[OC Protection Reference]:[Forward A]],23,0),VLOOKUP(O14,AEL_Protection_Data[],12,0)),"N/A")</f>
        <v>225</v>
      </c>
      <c r="G14" s="197">
        <f t="shared" si="2"/>
        <v>180</v>
      </c>
      <c r="H14" s="155">
        <f t="shared" si="3"/>
        <v>3.4294605989863767</v>
      </c>
      <c r="I14" s="197">
        <f t="shared" si="1"/>
        <v>200</v>
      </c>
      <c r="J14" s="155">
        <f t="shared" si="4"/>
        <v>3.8105117766515302</v>
      </c>
      <c r="K14" s="191" t="str">
        <f>IF(U14="Yes",UPPER(IF(ISNUMBER(SEARCH("winding",VLOOKUP(CONCATENATE(P14,Q14,S14,E14),ABY[[Limiting Equipment Reference-PTX]:[Summ Equipment]],7,0))),"Power Transformer Rating at "&amp;ROUND(E14*S14*SQRT(3)/1000,2)&amp;" MVA",VLOOKUP(CONCATENATE(P14,Q14,S14,E14),ABY[[Limiting Equipment Reference-No PTX]:[Summ Equipment]],8,0))),UPPER(VLOOKUP(CONCATENATE(P14,Q14,S14,E14),ABY[[Limiting Equipment Reference-No PTX]:[Summ Equipment]],8,0)))</f>
        <v>OH LINE-DOG</v>
      </c>
      <c r="L14" s="201" t="s">
        <v>1267</v>
      </c>
      <c r="M14" s="201" t="s">
        <v>1267</v>
      </c>
      <c r="N14" s="356"/>
      <c r="O14" s="193" t="str">
        <f t="shared" si="5"/>
        <v>ABY-CB2742</v>
      </c>
      <c r="P14" s="193" t="s">
        <v>1276</v>
      </c>
      <c r="Q14" s="193" t="s">
        <v>115</v>
      </c>
      <c r="R14" s="387"/>
      <c r="S14" s="175">
        <v>11</v>
      </c>
      <c r="T14" s="201" t="s">
        <v>1266</v>
      </c>
      <c r="U14" s="201" t="s">
        <v>1266</v>
      </c>
      <c r="V14" s="193"/>
    </row>
    <row r="15" spans="1:22" ht="15.75" thickBot="1" x14ac:dyDescent="0.3">
      <c r="R15" s="388"/>
    </row>
    <row r="16" spans="1:22" ht="26.25" thickBot="1" x14ac:dyDescent="0.3">
      <c r="B16" s="584" t="s">
        <v>2405</v>
      </c>
      <c r="C16" s="582"/>
      <c r="D16" s="582"/>
      <c r="E16" s="582"/>
      <c r="F16" s="582"/>
      <c r="G16" s="582"/>
      <c r="H16" s="582"/>
      <c r="I16" s="582"/>
      <c r="J16" s="582"/>
      <c r="K16" s="582"/>
      <c r="L16" s="582"/>
      <c r="M16" s="583"/>
      <c r="O16" s="551" t="s">
        <v>2391</v>
      </c>
      <c r="P16" s="552"/>
      <c r="Q16" s="552"/>
      <c r="R16" s="552"/>
      <c r="S16" s="552"/>
      <c r="T16" s="552"/>
      <c r="U16" s="552"/>
      <c r="V16" s="553"/>
    </row>
    <row r="17" spans="2:22" ht="15.75" customHeight="1" thickBot="1" x14ac:dyDescent="0.3">
      <c r="B17" s="571" t="str">
        <f t="shared" ref="B17:M19" si="6">B6</f>
        <v>CB ID</v>
      </c>
      <c r="C17" s="545" t="str">
        <f t="shared" si="6"/>
        <v>DESIGNATION</v>
      </c>
      <c r="D17" s="382" t="str">
        <f t="shared" si="6"/>
        <v>Rated</v>
      </c>
      <c r="E17" s="572" t="str">
        <f t="shared" si="6"/>
        <v>LOAD
CAPABILITY</v>
      </c>
      <c r="F17" s="572" t="str">
        <f t="shared" si="6"/>
        <v>OC
PICKUP</v>
      </c>
      <c r="G17" s="559" t="str">
        <f t="shared" si="6"/>
        <v>SCADA ALARM</v>
      </c>
      <c r="H17" s="560"/>
      <c r="I17" s="560"/>
      <c r="J17" s="561"/>
      <c r="K17" s="574" t="str">
        <f t="shared" si="6"/>
        <v>LIMITING EQUIPMENT</v>
      </c>
      <c r="L17" s="575" t="str">
        <f t="shared" si="6"/>
        <v>RECLOSING</v>
      </c>
      <c r="M17" s="576"/>
      <c r="O17" s="566" t="str">
        <f t="shared" ref="O17:V17" si="7">O6</f>
        <v>OC Pick up
Reference ID</v>
      </c>
      <c r="P17" s="557" t="str">
        <f t="shared" si="7"/>
        <v>Supply Level</v>
      </c>
      <c r="Q17" s="566" t="str">
        <f t="shared" si="7"/>
        <v>Station/Feeder</v>
      </c>
      <c r="R17" s="578" t="str">
        <f t="shared" ref="R17" si="8">$R$6</f>
        <v>Refered to PTX</v>
      </c>
      <c r="S17" s="579" t="str">
        <f t="shared" si="7"/>
        <v>Voltage</v>
      </c>
      <c r="T17" s="574" t="str">
        <f t="shared" si="7"/>
        <v>Include
CB</v>
      </c>
      <c r="U17" s="539" t="str">
        <f t="shared" si="7"/>
        <v>Include
PTX</v>
      </c>
      <c r="V17" s="557" t="str">
        <f t="shared" si="7"/>
        <v>Notes</v>
      </c>
    </row>
    <row r="18" spans="2:22" ht="15.75" thickBot="1" x14ac:dyDescent="0.3">
      <c r="B18" s="557"/>
      <c r="C18" s="540"/>
      <c r="D18" s="362" t="str">
        <f t="shared" si="6"/>
        <v>Voltage</v>
      </c>
      <c r="E18" s="573"/>
      <c r="F18" s="573"/>
      <c r="G18" s="544" t="str">
        <f t="shared" si="6"/>
        <v>Pre-Emergency</v>
      </c>
      <c r="H18" s="544"/>
      <c r="I18" s="544" t="str">
        <f t="shared" si="6"/>
        <v>Emergency</v>
      </c>
      <c r="J18" s="544"/>
      <c r="K18" s="540"/>
      <c r="L18" s="545" t="str">
        <f t="shared" si="6"/>
        <v>AVAILABLE</v>
      </c>
      <c r="M18" s="545" t="str">
        <f t="shared" si="6"/>
        <v>UTILISED</v>
      </c>
      <c r="O18" s="557"/>
      <c r="P18" s="557"/>
      <c r="Q18" s="557"/>
      <c r="R18" s="567"/>
      <c r="S18" s="569"/>
      <c r="T18" s="539"/>
      <c r="U18" s="540"/>
      <c r="V18" s="557"/>
    </row>
    <row r="19" spans="2:22" ht="15.75" thickBot="1" x14ac:dyDescent="0.3">
      <c r="B19" s="558"/>
      <c r="C19" s="541"/>
      <c r="D19" s="345" t="str">
        <f t="shared" si="6"/>
        <v>(kV)</v>
      </c>
      <c r="E19" s="345" t="str">
        <f t="shared" si="6"/>
        <v>(A)</v>
      </c>
      <c r="F19" s="345" t="str">
        <f t="shared" si="6"/>
        <v>(A)</v>
      </c>
      <c r="G19" s="406" t="str">
        <f t="shared" si="6"/>
        <v>(A)</v>
      </c>
      <c r="H19" s="407" t="str">
        <f t="shared" si="6"/>
        <v>(MVA)</v>
      </c>
      <c r="I19" s="406" t="str">
        <f t="shared" si="6"/>
        <v>(A)</v>
      </c>
      <c r="J19" s="407" t="str">
        <f t="shared" si="6"/>
        <v>(MVA)</v>
      </c>
      <c r="K19" s="541"/>
      <c r="L19" s="541"/>
      <c r="M19" s="541"/>
      <c r="O19" s="558"/>
      <c r="P19" s="558"/>
      <c r="Q19" s="558"/>
      <c r="R19" s="568"/>
      <c r="S19" s="570"/>
      <c r="T19" s="580"/>
      <c r="U19" s="541"/>
      <c r="V19" s="558"/>
    </row>
    <row r="20" spans="2:22" ht="15.75" thickBot="1" x14ac:dyDescent="0.3">
      <c r="B20" s="38" t="s">
        <v>334</v>
      </c>
      <c r="C20" s="3" t="s">
        <v>2462</v>
      </c>
      <c r="D20" s="61">
        <f t="shared" ref="D20:D25" si="9">ROUNDDOWN(S20,0)</f>
        <v>33</v>
      </c>
      <c r="E20" s="61">
        <f t="array" ref="E20">IF(U20="YES",IF(T20="YES",MIN(IF(ABY[Load Capability Reference]=CONCATENATE(P20,Q20,S20,R20),ABY[Lowest A-PTX])),MIN(IF(ABY[Load Capability Reference]=CONCATENATE(P20,Q20,S20,R20),IF(ABY[Equipment ID]&lt;&gt;O20,ABY[Lowest A-PTX])))),IF(T20="YES",MIN(IF(ABY[Load Capability Reference]=CONCATENATE(P20,Q20,S20,R20),ABY[Lowest A-No PTX])),MIN(IF(ABY[Load Capability Reference]=CONCATENATE(P20,Q20,S20,R20),IF(ABY[Equipment ID]&lt;&gt;O20,ABY[Lowest A-No PTX])))))</f>
        <v>247.00000000000003</v>
      </c>
      <c r="F20" s="61">
        <f>IFERROR(IFERROR(VLOOKUP(CONCATENATE(P20,Q20,O20,S20,"Protection"),TWZ[[OC Protection Reference]:[Forward A]],23,0),VLOOKUP(O20,AEL_Protection_Data[],12,0)),"N/A")</f>
        <v>150</v>
      </c>
      <c r="G20" s="61">
        <f t="shared" ref="G20:G25" si="10">IFERROR(FLOOR(MIN(E20:F20)*$D$3,5),"")</f>
        <v>120</v>
      </c>
      <c r="H20" s="5">
        <f t="shared" ref="H20:H25" si="11">G20*S20*SQRT(3)/1000</f>
        <v>6.8589211979727533</v>
      </c>
      <c r="I20" s="61">
        <f t="shared" ref="I20:I25" si="12">IFERROR(FLOOR(MIN(E20:F20)*$D$2,5),"")</f>
        <v>135</v>
      </c>
      <c r="J20" s="5">
        <f t="shared" ref="J20:J25" si="13">I20*S20*SQRT(3)/1000</f>
        <v>7.7162863477193477</v>
      </c>
      <c r="K20" s="3" t="str">
        <f>IF(U20="Yes",UPPER(IF(ISNUMBER(SEARCH("winding",VLOOKUP(CONCATENATE(P20,Q20,S20,E20),ABY[[Limiting Equipment Reference-PTX]:[Summ Equipment]],7,0))),"Power Transformer Rating at "&amp;ROUND(E20*S20*SQRT(3)/1000,2)&amp;" MVA",VLOOKUP(CONCATENATE(P20,Q20,S20,E20),ABY[[Limiting Equipment Reference-No PTX]:[Summ Equipment]],8,0))),UPPER(VLOOKUP(CONCATENATE(P20,Q20,S20,E20),ABY[[Limiting Equipment Reference-No PTX]:[Summ Equipment]],8,0)))</f>
        <v>OH LINE-70 MM² CU</v>
      </c>
      <c r="L20" s="4" t="s">
        <v>1266</v>
      </c>
      <c r="M20" s="4" t="s">
        <v>1162</v>
      </c>
      <c r="O20" s="7" t="str">
        <f>"OPU-"&amp;B20</f>
        <v>OPU-F400</v>
      </c>
      <c r="P20" s="7" t="s">
        <v>1245</v>
      </c>
      <c r="Q20" s="7" t="s">
        <v>346</v>
      </c>
      <c r="R20" s="386"/>
      <c r="S20" s="43">
        <v>33</v>
      </c>
      <c r="T20" s="8" t="s">
        <v>1266</v>
      </c>
      <c r="U20" s="8" t="s">
        <v>1266</v>
      </c>
      <c r="V20" s="7"/>
    </row>
    <row r="21" spans="2:22" x14ac:dyDescent="0.25">
      <c r="B21" s="7" t="s">
        <v>1419</v>
      </c>
      <c r="C21" s="6" t="s">
        <v>2406</v>
      </c>
      <c r="D21" s="57">
        <f t="shared" si="9"/>
        <v>33</v>
      </c>
      <c r="E21" s="323">
        <f t="array" ref="E21">IF(U21="YES",IF(T21="YES",MIN(IF(ABY[Load Capability Reference]=CONCATENATE(P21,Q21,S21,R21),ABY[Lowest A-PTX])),MIN(IF(ABY[Load Capability Reference]=CONCATENATE(P21,Q21,S21,R21),IF(ABY[Equipment ID]&lt;&gt;O21,ABY[Lowest A-PTX])))),IF(T21="YES",MIN(IF(ABY[Load Capability Reference]=CONCATENATE(P21,Q21,S21,R21),ABY[Lowest A-No PTX])),MIN(IF(ABY[Load Capability Reference]=CONCATENATE(P21,Q21,S21,R21),IF(ABY[Equipment ID]&lt;&gt;O21,ABY[Lowest A-No PTX])))))</f>
        <v>150</v>
      </c>
      <c r="F21" s="57">
        <f>IFERROR(IFERROR(VLOOKUP(CONCATENATE(P21,Q21,O21,S21,"Protection"),TWZ[[OC Protection Reference]:[Forward A]],23,0),VLOOKUP(O21,AEL_Protection_Data[],12,0)),"N/A")</f>
        <v>100</v>
      </c>
      <c r="G21" s="57">
        <f t="shared" si="10"/>
        <v>80</v>
      </c>
      <c r="H21" s="9">
        <f t="shared" si="11"/>
        <v>4.5726141319818359</v>
      </c>
      <c r="I21" s="57">
        <f t="shared" si="12"/>
        <v>90</v>
      </c>
      <c r="J21" s="9">
        <f t="shared" si="13"/>
        <v>5.1441908984795655</v>
      </c>
      <c r="K21" s="6" t="str">
        <f>IF(U21="Yes",UPPER(IF(ISNUMBER(SEARCH("winding",VLOOKUP(CONCATENATE(P21,Q21,S21,E21),ABY[[Limiting Equipment Reference-PTX]:[Summ Equipment]],7,0))),"Power Transformer Rating at "&amp;ROUND(E21*S21*SQRT(3)/1000,2)&amp;" MVA",VLOOKUP(CONCATENATE(P21,Q21,S21,E21),ABY[[Limiting Equipment Reference-No PTX]:[Summ Equipment]],8,0))),UPPER(VLOOKUP(CONCATENATE(P21,Q21,S21,E21),ABY[[Limiting Equipment Reference-No PTX]:[Summ Equipment]],8,0)))</f>
        <v>CIRCUIT BREAKER-ABY-CB4242-PROTECTION</v>
      </c>
      <c r="L21" s="8" t="s">
        <v>1266</v>
      </c>
      <c r="M21" s="4" t="s">
        <v>1162</v>
      </c>
      <c r="O21" s="7" t="str">
        <f>"FLE-"&amp;B21</f>
        <v>FLE-F323</v>
      </c>
      <c r="P21" s="7" t="s">
        <v>1245</v>
      </c>
      <c r="Q21" s="7" t="s">
        <v>90</v>
      </c>
      <c r="R21" s="386"/>
      <c r="S21" s="43">
        <v>33</v>
      </c>
      <c r="T21" s="8" t="s">
        <v>1266</v>
      </c>
      <c r="U21" s="8" t="s">
        <v>1267</v>
      </c>
      <c r="V21" s="7"/>
    </row>
    <row r="22" spans="2:22" x14ac:dyDescent="0.25">
      <c r="B22" s="7" t="s">
        <v>349</v>
      </c>
      <c r="C22" s="6" t="s">
        <v>2407</v>
      </c>
      <c r="D22" s="57">
        <f t="shared" si="9"/>
        <v>11</v>
      </c>
      <c r="E22" s="323">
        <f t="array" ref="E22">IF(U22="YES",IF(T22="YES",MIN(IF(ABY[Load Capability Reference]=CONCATENATE(P22,Q22,S22,R22),ABY[Lowest A-PTX])),MIN(IF(ABY[Load Capability Reference]=CONCATENATE(P22,Q22,S22,R22),IF(ABY[Equipment ID]&lt;&gt;O22,ABY[Lowest A-PTX])))),IF(T22="YES",MIN(IF(ABY[Load Capability Reference]=CONCATENATE(P22,Q22,S22,R22),ABY[Lowest A-No PTX])),MIN(IF(ABY[Load Capability Reference]=CONCATENATE(P22,Q22,S22,R22),IF(ABY[Equipment ID]&lt;&gt;O22,ABY[Lowest A-No PTX])))))</f>
        <v>325.08168236638954</v>
      </c>
      <c r="F22" s="57">
        <f>IFERROR(IFERROR(VLOOKUP(CONCATENATE(P22,Q22,O22,S22,"Protection"),TWZ[[OC Protection Reference]:[Forward A]],23,0),VLOOKUP(O22,AEL_Protection_Data[],12,0)),"N/A")</f>
        <v>280</v>
      </c>
      <c r="G22" s="57">
        <f t="shared" si="10"/>
        <v>220</v>
      </c>
      <c r="H22" s="9">
        <f t="shared" si="11"/>
        <v>4.2297061772009652</v>
      </c>
      <c r="I22" s="57">
        <f t="shared" si="12"/>
        <v>250</v>
      </c>
      <c r="J22" s="9">
        <f t="shared" si="13"/>
        <v>4.8064842922738231</v>
      </c>
      <c r="K22" s="6" t="str">
        <f>IF(U22="Yes",UPPER(IF(ISNUMBER(SEARCH("winding",VLOOKUP(CONCATENATE(P22,Q22,S22,E22),ABY[[Limiting Equipment Reference-PTX]:[Summ Equipment]],7,0))),"Power Transformer Rating at "&amp;ROUND(E22*S22*SQRT(3)/1000,2)&amp;" MVA",VLOOKUP(CONCATENATE(P22,Q22,S22,E22),ABY[[Limiting Equipment Reference-No PTX]:[Summ Equipment]],8,0))),UPPER(VLOOKUP(CONCATENATE(P22,Q22,S22,E22),ABY[[Limiting Equipment Reference-No PTX]:[Summ Equipment]],8,0)))</f>
        <v>POWER TRANSFORMER RATING AT 6.25 MVA</v>
      </c>
      <c r="L22" s="8" t="s">
        <v>1267</v>
      </c>
      <c r="M22" s="8" t="s">
        <v>1266</v>
      </c>
      <c r="O22" s="7" t="str">
        <f>"FLE-"&amp;B22</f>
        <v>FLE-F377</v>
      </c>
      <c r="P22" s="7" t="s">
        <v>1246</v>
      </c>
      <c r="Q22" s="7" t="s">
        <v>158</v>
      </c>
      <c r="R22" s="386"/>
      <c r="S22" s="43">
        <v>11.100100000000001</v>
      </c>
      <c r="T22" s="8" t="s">
        <v>1266</v>
      </c>
      <c r="U22" s="8" t="s">
        <v>1267</v>
      </c>
      <c r="V22" s="7"/>
    </row>
    <row r="23" spans="2:22" x14ac:dyDescent="0.25">
      <c r="B23" s="7" t="s">
        <v>354</v>
      </c>
      <c r="C23" s="6" t="s">
        <v>2408</v>
      </c>
      <c r="D23" s="57">
        <f t="shared" si="9"/>
        <v>11</v>
      </c>
      <c r="E23" s="57">
        <f t="array" ref="E23">IF(U23="YES",IF(T23="YES",MIN(IF(ABY[Load Capability Reference]=CONCATENATE(P23,Q23,S23,R23),ABY[Lowest A-PTX])),MIN(IF(ABY[Load Capability Reference]=CONCATENATE(P23,Q23,S23,R23),IF(ABY[Equipment ID]&lt;&gt;O23,ABY[Lowest A-PTX])))),IF(T23="YES",MIN(IF(ABY[Load Capability Reference]=CONCATENATE(P23,Q23,S23,R23),ABY[Lowest A-No PTX])),MIN(IF(ABY[Load Capability Reference]=CONCATENATE(P23,Q23,S23,R23),IF(ABY[Equipment ID]&lt;&gt;O23,ABY[Lowest A-No PTX])))))</f>
        <v>188.62660722014468</v>
      </c>
      <c r="F23" s="57">
        <f>IFERROR(IFERROR(VLOOKUP(CONCATENATE(P23,Q23,O23,S23,"Protection"),TWZ[[OC Protection Reference]:[Forward A]],23,0),VLOOKUP(O23,AEL_Protection_Data[],12,0)),"N/A")</f>
        <v>192</v>
      </c>
      <c r="G23" s="57">
        <f t="shared" si="10"/>
        <v>150</v>
      </c>
      <c r="H23" s="9">
        <f t="shared" si="11"/>
        <v>2.8838905753642945</v>
      </c>
      <c r="I23" s="57">
        <f t="shared" si="12"/>
        <v>165</v>
      </c>
      <c r="J23" s="9">
        <f t="shared" si="13"/>
        <v>3.1722796329007239</v>
      </c>
      <c r="K23" s="6" t="str">
        <f>IF(U23="Yes",UPPER(IF(ISNUMBER(SEARCH("winding",VLOOKUP(CONCATENATE(P23,Q23,S23,E23),ABY[[Limiting Equipment Reference-PTX]:[Summ Equipment]],7,0))),"Power Transformer Rating at "&amp;ROUND(E23*S23*SQRT(3)/1000,2)&amp;" MVA",VLOOKUP(CONCATENATE(P23,Q23,S23,E23),ABY[[Limiting Equipment Reference-No PTX]:[Summ Equipment]],8,0))),UPPER(VLOOKUP(CONCATENATE(P23,Q23,S23,E23),ABY[[Limiting Equipment Reference-No PTX]:[Summ Equipment]],8,0)))</f>
        <v>OH LINE-MINK</v>
      </c>
      <c r="L23" s="8" t="s">
        <v>1267</v>
      </c>
      <c r="M23" s="8" t="s">
        <v>1267</v>
      </c>
      <c r="O23" s="7" t="str">
        <f>"FLE-"&amp;B23</f>
        <v>FLE-F374</v>
      </c>
      <c r="P23" s="7" t="s">
        <v>1276</v>
      </c>
      <c r="Q23" s="7" t="s">
        <v>166</v>
      </c>
      <c r="R23" s="386"/>
      <c r="S23" s="43">
        <v>11.100100000000001</v>
      </c>
      <c r="T23" s="8" t="s">
        <v>1266</v>
      </c>
      <c r="U23" s="8" t="s">
        <v>1266</v>
      </c>
      <c r="V23" s="7"/>
    </row>
    <row r="24" spans="2:22" x14ac:dyDescent="0.25">
      <c r="B24" s="39" t="s">
        <v>355</v>
      </c>
      <c r="C24" s="14" t="s">
        <v>2409</v>
      </c>
      <c r="D24" s="128">
        <f t="shared" si="9"/>
        <v>11</v>
      </c>
      <c r="E24" s="128">
        <f t="array" ref="E24">IF(U24="YES",IF(T24="YES",MIN(IF(ABY[Load Capability Reference]=CONCATENATE(P24,Q24,S24,R24),ABY[Lowest A-PTX])),MIN(IF(ABY[Load Capability Reference]=CONCATENATE(P24,Q24,S24,R24),IF(ABY[Equipment ID]&lt;&gt;O24,ABY[Lowest A-PTX])))),IF(T24="YES",MIN(IF(ABY[Load Capability Reference]=CONCATENATE(P24,Q24,S24,R24),ABY[Lowest A-No PTX])),MIN(IF(ABY[Load Capability Reference]=CONCATENATE(P24,Q24,S24,R24),IF(ABY[Equipment ID]&lt;&gt;O24,ABY[Lowest A-No PTX])))))</f>
        <v>246.99999999999997</v>
      </c>
      <c r="F24" s="128">
        <f>IFERROR(IFERROR(VLOOKUP(CONCATENATE(P24,Q24,O24,S24,"Protection"),TWZ[[OC Protection Reference]:[Forward A]],23,0),VLOOKUP(O24,AEL_Protection_Data[],12,0)),"N/A")</f>
        <v>192</v>
      </c>
      <c r="G24" s="128">
        <f t="shared" si="10"/>
        <v>150</v>
      </c>
      <c r="H24" s="16">
        <f t="shared" si="11"/>
        <v>2.8838905753642945</v>
      </c>
      <c r="I24" s="128">
        <f t="shared" si="12"/>
        <v>170</v>
      </c>
      <c r="J24" s="16">
        <f t="shared" si="13"/>
        <v>3.2684093187462002</v>
      </c>
      <c r="K24" s="14" t="str">
        <f>IF(U24="Yes",UPPER(IF(ISNUMBER(SEARCH("winding",VLOOKUP(CONCATENATE(P24,Q24,S24,E24),ABY[[Limiting Equipment Reference-PTX]:[Summ Equipment]],7,0))),"Power Transformer Rating at "&amp;ROUND(E24*S24*SQRT(3)/1000,2)&amp;" MVA",VLOOKUP(CONCATENATE(P24,Q24,S24,E24),ABY[[Limiting Equipment Reference-No PTX]:[Summ Equipment]],8,0))),UPPER(VLOOKUP(CONCATENATE(P24,Q24,S24,E24),ABY[[Limiting Equipment Reference-No PTX]:[Summ Equipment]],8,0)))</f>
        <v>OH LINE-70 MM² CU</v>
      </c>
      <c r="L24" s="15" t="s">
        <v>1267</v>
      </c>
      <c r="M24" s="15" t="s">
        <v>1266</v>
      </c>
      <c r="O24" s="7" t="str">
        <f>"FLE-"&amp;B24</f>
        <v>FLE-F380</v>
      </c>
      <c r="P24" s="7" t="s">
        <v>1276</v>
      </c>
      <c r="Q24" s="7" t="s">
        <v>174</v>
      </c>
      <c r="R24" s="386"/>
      <c r="S24" s="43">
        <v>11.100100000000001</v>
      </c>
      <c r="T24" s="8" t="s">
        <v>1266</v>
      </c>
      <c r="U24" s="8" t="s">
        <v>1266</v>
      </c>
      <c r="V24" s="7"/>
    </row>
    <row r="25" spans="2:22" ht="15.75" thickBot="1" x14ac:dyDescent="0.3">
      <c r="B25" s="193" t="s">
        <v>356</v>
      </c>
      <c r="C25" s="191" t="s">
        <v>2410</v>
      </c>
      <c r="D25" s="197">
        <f t="shared" si="9"/>
        <v>11</v>
      </c>
      <c r="E25" s="197">
        <f t="array" ref="E25">IF(U25="YES",IF(T25="YES",MIN(IF(ABY[Load Capability Reference]=CONCATENATE(P25,Q25,S25,R25),ABY[Lowest A-PTX])),MIN(IF(ABY[Load Capability Reference]=CONCATENATE(P25,Q25,S25,R25),IF(ABY[Equipment ID]&lt;&gt;O25,ABY[Lowest A-PTX])))),IF(T25="YES",MIN(IF(ABY[Load Capability Reference]=CONCATENATE(P25,Q25,S25,R25),ABY[Lowest A-No PTX])),MIN(IF(ABY[Load Capability Reference]=CONCATENATE(P25,Q25,S25,R25),IF(ABY[Equipment ID]&lt;&gt;O25,ABY[Lowest A-No PTX])))))</f>
        <v>170.76499999999999</v>
      </c>
      <c r="F25" s="197">
        <f>IFERROR(IFERROR(VLOOKUP(CONCATENATE(P25,Q25,O25,S25,"Protection"),TWZ[[OC Protection Reference]:[Forward A]],23,0),VLOOKUP(O25,AEL_Protection_Data[],12,0)),"N/A")</f>
        <v>192</v>
      </c>
      <c r="G25" s="197">
        <f t="shared" si="10"/>
        <v>135</v>
      </c>
      <c r="H25" s="155">
        <f t="shared" si="11"/>
        <v>2.5955015178278651</v>
      </c>
      <c r="I25" s="197">
        <f t="shared" si="12"/>
        <v>150</v>
      </c>
      <c r="J25" s="155">
        <f t="shared" si="13"/>
        <v>2.8838905753642945</v>
      </c>
      <c r="K25" s="191" t="str">
        <f>IF(U25="Yes",UPPER(IF(ISNUMBER(SEARCH("winding",VLOOKUP(CONCATENATE(P25,Q25,S25,E25),ABY[[Limiting Equipment Reference-PTX]:[Summ Equipment]],7,0))),"Power Transformer Rating at "&amp;ROUND(E25*S25*SQRT(3)/1000,2)&amp;" MVA",VLOOKUP(CONCATENATE(P25,Q25,S25,E25),ABY[[Limiting Equipment Reference-No PTX]:[Summ Equipment]],8,0))),UPPER(VLOOKUP(CONCATENATE(P25,Q25,S25,E25),ABY[[Limiting Equipment Reference-No PTX]:[Summ Equipment]],8,0)))</f>
        <v>CABLE-1-3C 95 MM² AL PILC</v>
      </c>
      <c r="L25" s="201" t="s">
        <v>1267</v>
      </c>
      <c r="M25" s="201" t="s">
        <v>1266</v>
      </c>
      <c r="O25" s="193" t="str">
        <f>"FLE-"&amp;B25</f>
        <v>FLE-F383</v>
      </c>
      <c r="P25" s="193" t="s">
        <v>1276</v>
      </c>
      <c r="Q25" s="193" t="s">
        <v>180</v>
      </c>
      <c r="R25" s="387"/>
      <c r="S25" s="175">
        <v>11.100100000000001</v>
      </c>
      <c r="T25" s="201" t="s">
        <v>1266</v>
      </c>
      <c r="U25" s="201" t="s">
        <v>1266</v>
      </c>
      <c r="V25" s="193"/>
    </row>
    <row r="26" spans="2:22" ht="15.75" thickBot="1" x14ac:dyDescent="0.3">
      <c r="R26" s="388"/>
    </row>
    <row r="27" spans="2:22" ht="26.25" thickBot="1" x14ac:dyDescent="0.3">
      <c r="B27" s="584" t="s">
        <v>2475</v>
      </c>
      <c r="C27" s="582"/>
      <c r="D27" s="582"/>
      <c r="E27" s="582"/>
      <c r="F27" s="582"/>
      <c r="G27" s="582"/>
      <c r="H27" s="582"/>
      <c r="I27" s="582"/>
      <c r="J27" s="582"/>
      <c r="K27" s="582"/>
      <c r="L27" s="582"/>
      <c r="M27" s="583"/>
      <c r="O27" s="551" t="s">
        <v>2391</v>
      </c>
      <c r="P27" s="552"/>
      <c r="Q27" s="552"/>
      <c r="R27" s="552"/>
      <c r="S27" s="552"/>
      <c r="T27" s="552"/>
      <c r="U27" s="552"/>
      <c r="V27" s="553"/>
    </row>
    <row r="28" spans="2:22" ht="15.75" customHeight="1" thickBot="1" x14ac:dyDescent="0.3">
      <c r="B28" s="571" t="str">
        <f t="shared" ref="B28:M30" si="14">B6</f>
        <v>CB ID</v>
      </c>
      <c r="C28" s="545" t="str">
        <f t="shared" si="14"/>
        <v>DESIGNATION</v>
      </c>
      <c r="D28" s="382" t="str">
        <f t="shared" si="14"/>
        <v>Rated</v>
      </c>
      <c r="E28" s="572" t="str">
        <f t="shared" si="14"/>
        <v>LOAD
CAPABILITY</v>
      </c>
      <c r="F28" s="572" t="str">
        <f t="shared" si="14"/>
        <v>OC
PICKUP</v>
      </c>
      <c r="G28" s="559" t="str">
        <f t="shared" si="14"/>
        <v>SCADA ALARM</v>
      </c>
      <c r="H28" s="560"/>
      <c r="I28" s="560"/>
      <c r="J28" s="561"/>
      <c r="K28" s="574" t="str">
        <f t="shared" si="14"/>
        <v>LIMITING EQUIPMENT</v>
      </c>
      <c r="L28" s="575" t="str">
        <f t="shared" si="14"/>
        <v>RECLOSING</v>
      </c>
      <c r="M28" s="576"/>
      <c r="O28" s="566" t="str">
        <f t="shared" ref="O28:V28" si="15">O6</f>
        <v>OC Pick up
Reference ID</v>
      </c>
      <c r="P28" s="557" t="str">
        <f t="shared" si="15"/>
        <v>Supply Level</v>
      </c>
      <c r="Q28" s="566" t="str">
        <f t="shared" si="15"/>
        <v>Station/Feeder</v>
      </c>
      <c r="R28" s="567" t="str">
        <f t="shared" ref="R28" si="16">$R$6</f>
        <v>Refered to PTX</v>
      </c>
      <c r="S28" s="569" t="str">
        <f t="shared" si="15"/>
        <v>Voltage</v>
      </c>
      <c r="T28" s="539" t="str">
        <f t="shared" si="15"/>
        <v>Include
CB</v>
      </c>
      <c r="U28" s="539" t="str">
        <f t="shared" si="15"/>
        <v>Include
PTX</v>
      </c>
      <c r="V28" s="557" t="str">
        <f t="shared" si="15"/>
        <v>Notes</v>
      </c>
    </row>
    <row r="29" spans="2:22" ht="15.75" customHeight="1" thickBot="1" x14ac:dyDescent="0.3">
      <c r="B29" s="557"/>
      <c r="C29" s="540"/>
      <c r="D29" s="362" t="str">
        <f t="shared" si="14"/>
        <v>Voltage</v>
      </c>
      <c r="E29" s="573"/>
      <c r="F29" s="573"/>
      <c r="G29" s="544" t="str">
        <f t="shared" si="14"/>
        <v>Pre-Emergency</v>
      </c>
      <c r="H29" s="544"/>
      <c r="I29" s="544" t="str">
        <f t="shared" si="14"/>
        <v>Emergency</v>
      </c>
      <c r="J29" s="544"/>
      <c r="K29" s="540"/>
      <c r="L29" s="545" t="str">
        <f t="shared" si="14"/>
        <v>AVAILABLE</v>
      </c>
      <c r="M29" s="545" t="str">
        <f t="shared" si="14"/>
        <v>UTILISED</v>
      </c>
      <c r="O29" s="557"/>
      <c r="P29" s="557"/>
      <c r="Q29" s="557"/>
      <c r="R29" s="567"/>
      <c r="S29" s="569"/>
      <c r="T29" s="540"/>
      <c r="U29" s="540"/>
      <c r="V29" s="557"/>
    </row>
    <row r="30" spans="2:22" ht="15.75" thickBot="1" x14ac:dyDescent="0.3">
      <c r="B30" s="558"/>
      <c r="C30" s="541"/>
      <c r="D30" s="345" t="str">
        <f t="shared" si="14"/>
        <v>(kV)</v>
      </c>
      <c r="E30" s="345" t="str">
        <f t="shared" si="14"/>
        <v>(A)</v>
      </c>
      <c r="F30" s="345" t="str">
        <f t="shared" si="14"/>
        <v>(A)</v>
      </c>
      <c r="G30" s="406" t="str">
        <f t="shared" si="14"/>
        <v>(A)</v>
      </c>
      <c r="H30" s="407" t="str">
        <f t="shared" si="14"/>
        <v>(MVA)</v>
      </c>
      <c r="I30" s="406" t="str">
        <f t="shared" si="14"/>
        <v>(A)</v>
      </c>
      <c r="J30" s="407" t="str">
        <f t="shared" si="14"/>
        <v>(MVA)</v>
      </c>
      <c r="K30" s="541"/>
      <c r="L30" s="541"/>
      <c r="M30" s="541"/>
      <c r="O30" s="558"/>
      <c r="P30" s="558"/>
      <c r="Q30" s="558"/>
      <c r="R30" s="568"/>
      <c r="S30" s="570"/>
      <c r="T30" s="541"/>
      <c r="U30" s="541"/>
      <c r="V30" s="558"/>
    </row>
    <row r="31" spans="2:22" x14ac:dyDescent="0.25">
      <c r="B31" s="38" t="s">
        <v>705</v>
      </c>
      <c r="C31" s="3" t="s">
        <v>2477</v>
      </c>
      <c r="D31" s="61">
        <f t="shared" ref="D31:D36" si="17">ROUNDDOWN(S31,0)</f>
        <v>110</v>
      </c>
      <c r="E31" s="365">
        <f t="array" ref="E31">IF(U31="YES",IF(T31="YES",MIN(IF(BPD[Load Capability Reference]=CONCATENATE(P31,Q31,S31,R31),BPD[Lowest A-PTX])),MIN(IF(BPD[Load Capability Reference]=CONCATENATE(P31,Q31,S31,R31),IF(BPD[Equipment ID]&lt;&gt;O31,BPD[Lowest A-PTX])))),IF(T31="YES",MIN(IF(BPD[Load Capability Reference]=CONCATENATE(P31,Q31,S31,R31),BPD[Lowest A-No PTX])),MIN(IF(BPD[Load Capability Reference]=CONCATENATE(P31,Q31,S31,R31),IF(BPD[Equipment ID]&lt;&gt;O31,BPD[Lowest A-No PTX])))))</f>
        <v>209.9455524325912</v>
      </c>
      <c r="F31" s="61">
        <f>IFERROR(IFERROR(VLOOKUP(CONCATENATE(P31,Q31,O31,S31,"Protection"),TWZ[[OC Protection Reference]:[Forward A]],23,0),VLOOKUP(O31,AEL_Protection_Data[],12,0)),"N/A")</f>
        <v>292</v>
      </c>
      <c r="G31" s="61">
        <f t="shared" ref="G31:G36" si="18">IFERROR(FLOOR(MIN(E31:F31)*$D$3,5),"")</f>
        <v>165</v>
      </c>
      <c r="H31" s="5">
        <f t="shared" ref="H31:H36" si="19">G31*S31*SQRT(3)/1000</f>
        <v>31.436722157375119</v>
      </c>
      <c r="I31" s="61">
        <f t="shared" ref="I31:I36" si="20">IFERROR(FLOOR(MIN(E31:F31)*$D$2,5),"")</f>
        <v>185</v>
      </c>
      <c r="J31" s="5">
        <f t="shared" ref="J31:J36" si="21">I31*S31*SQRT(3)/1000</f>
        <v>35.247233934026646</v>
      </c>
      <c r="K31" s="3" t="str">
        <f>IF(U31="Yes",UPPER(IF(ISNUMBER(SEARCH("winding",VLOOKUP(CONCATENATE(P31,Q31,S31,E31),BPD[[Limiting Equipment Reference-PTX]:[Summ Equipment]],7,0))),"Power Transformer Rating at "&amp;ROUND(E31*S31*SQRT(3)/1000,2)&amp;" MVA",VLOOKUP(CONCATENATE(P31,Q31,S31,E31),BPD[[Limiting Equipment Reference-No PTX]:[Summ Equipment]],8,0))),UPPER(VLOOKUP(CONCATENATE(P31,Q31,S31,E31),BPD[[Limiting Equipment Reference-No PTX]:[Summ Equipment]],8,0)))</f>
        <v>POWER TRANSFORMER RATING AT 40 MVA</v>
      </c>
      <c r="L31" s="4" t="s">
        <v>1266</v>
      </c>
      <c r="M31" s="4" t="s">
        <v>1162</v>
      </c>
      <c r="O31" s="3" t="str">
        <f>"BPD-T1-"&amp;B31</f>
        <v>BPD-T1-CB442</v>
      </c>
      <c r="P31" s="38" t="s">
        <v>1246</v>
      </c>
      <c r="Q31" s="38" t="s">
        <v>80</v>
      </c>
      <c r="R31" s="389" t="s">
        <v>378</v>
      </c>
      <c r="S31" s="139">
        <v>110</v>
      </c>
      <c r="T31" s="4" t="s">
        <v>1267</v>
      </c>
      <c r="U31" s="4" t="s">
        <v>1267</v>
      </c>
      <c r="V31" s="38"/>
    </row>
    <row r="32" spans="2:22" x14ac:dyDescent="0.25">
      <c r="B32" s="49" t="s">
        <v>736</v>
      </c>
      <c r="C32" s="168" t="s">
        <v>2491</v>
      </c>
      <c r="D32" s="119">
        <f t="shared" si="17"/>
        <v>33</v>
      </c>
      <c r="E32" s="366">
        <f t="array" ref="E32">IF(U32="YES",IF(T32="YES",MIN(IF(BPD[Load Capability Reference]=CONCATENATE(P32,Q32,S32,R32),BPD[Lowest A-PTX])),MIN(IF(BPD[Load Capability Reference]=CONCATENATE(P32,Q32,S32,R32),IF(BPD[Equipment ID]&lt;&gt;O32,BPD[Lowest A-PTX])))),IF(T32="YES",MIN(IF(BPD[Load Capability Reference]=CONCATENATE(P32,Q32,S32,R32),BPD[Lowest A-No PTX])),MIN(IF(BPD[Load Capability Reference]=CONCATENATE(P32,Q32,S32,R32),IF(BPD[Equipment ID]&lt;&gt;O32,BPD[Lowest A-No PTX])))))</f>
        <v>800</v>
      </c>
      <c r="F32" s="119">
        <f>IFERROR(IFERROR(VLOOKUP(CONCATENATE(P32,Q32,O32,S32,"Protection"),TWZ[[OC Protection Reference]:[Forward A]],23,0),VLOOKUP(O32,AEL_Protection_Data[],12,0)),"N/A")</f>
        <v>492</v>
      </c>
      <c r="G32" s="119">
        <f t="shared" si="18"/>
        <v>390</v>
      </c>
      <c r="H32" s="29">
        <f t="shared" si="19"/>
        <v>22.291493893411452</v>
      </c>
      <c r="I32" s="119">
        <f t="shared" si="20"/>
        <v>440</v>
      </c>
      <c r="J32" s="29">
        <f t="shared" si="21"/>
        <v>25.149377725900095</v>
      </c>
      <c r="K32" s="168" t="str">
        <f>IF(U32="Yes",UPPER(IF(ISNUMBER(SEARCH("winding",VLOOKUP(CONCATENATE(P32,Q32,S32,E32),BPD[[Limiting Equipment Reference-PTX]:[Summ Equipment]],7,0))),"Power Transformer Rating at "&amp;ROUND(E32*S32*SQRT(3)/1000,2)&amp;" MVA",VLOOKUP(CONCATENATE(P32,Q32,S32,E32),BPD[[Limiting Equipment Reference-No PTX]:[Summ Equipment]],8,0))),UPPER(VLOOKUP(CONCATENATE(P32,Q32,S32,E32),BPD[[Limiting Equipment Reference-No PTX]:[Summ Equipment]],8,0)))</f>
        <v>AIR BREAK SWITCH-3604 ABS</v>
      </c>
      <c r="L32" s="146" t="s">
        <v>1266</v>
      </c>
      <c r="M32" s="146" t="s">
        <v>1162</v>
      </c>
      <c r="O32" s="168" t="str">
        <f t="shared" ref="O32:O34" si="22">"BPD-T1-"&amp;B32</f>
        <v>BPD-T1-CB3602</v>
      </c>
      <c r="P32" s="7" t="s">
        <v>1245</v>
      </c>
      <c r="Q32" s="49" t="s">
        <v>733</v>
      </c>
      <c r="R32" s="390" t="s">
        <v>378</v>
      </c>
      <c r="S32" s="32">
        <v>33</v>
      </c>
      <c r="T32" s="146" t="s">
        <v>1266</v>
      </c>
      <c r="U32" s="146" t="s">
        <v>1267</v>
      </c>
      <c r="V32" s="49"/>
    </row>
    <row r="33" spans="2:22" x14ac:dyDescent="0.25">
      <c r="B33" s="7" t="s">
        <v>587</v>
      </c>
      <c r="C33" s="6" t="s">
        <v>2463</v>
      </c>
      <c r="D33" s="57">
        <f t="shared" si="17"/>
        <v>11</v>
      </c>
      <c r="E33" s="323">
        <f t="array" ref="E33">IF(U33="YES",IF(T33="YES",MIN(IF(BPD[Load Capability Reference]=CONCATENATE(P33,Q33,S33,R33),BPD[Lowest A-PTX])),MIN(IF(BPD[Load Capability Reference]=CONCATENATE(P33,Q33,S33,R33),IF(BPD[Equipment ID]&lt;&gt;O33,BPD[Lowest A-PTX])))),IF(T33="YES",MIN(IF(BPD[Load Capability Reference]=CONCATENATE(P33,Q33,S33,R33),BPD[Lowest A-No PTX])),MIN(IF(BPD[Load Capability Reference]=CONCATENATE(P33,Q33,S33,R33),IF(BPD[Equipment ID]&lt;&gt;O33,BPD[Lowest A-No PTX])))))</f>
        <v>1543.7172972984647</v>
      </c>
      <c r="F33" s="57">
        <f>IFERROR(IFERROR(VLOOKUP(CONCATENATE(P33,Q33,O33,S33,"Protection"),TWZ[[OC Protection Reference]:[Forward A]],23,0),VLOOKUP(O33,AEL_Protection_Data[],12,0)),"N/A")</f>
        <v>2208</v>
      </c>
      <c r="G33" s="57">
        <f t="shared" si="18"/>
        <v>1230</v>
      </c>
      <c r="H33" s="9">
        <f t="shared" si="19"/>
        <v>23.903340374935048</v>
      </c>
      <c r="I33" s="57">
        <f t="shared" si="20"/>
        <v>1385</v>
      </c>
      <c r="J33" s="9">
        <f t="shared" si="21"/>
        <v>26.915549934378085</v>
      </c>
      <c r="K33" s="6" t="str">
        <f>IF(U33="Yes",UPPER(IF(ISNUMBER(SEARCH("winding",VLOOKUP(CONCATENATE(P33,Q33,S33,E33),BPD[[Limiting Equipment Reference-PTX]:[Summ Equipment]],7,0))),"Power Transformer Rating at "&amp;ROUND(E33*S33*SQRT(3)/1000,2)&amp;" MVA",VLOOKUP(CONCATENATE(P33,Q33,S33,E33),BPD[[Limiting Equipment Reference-No PTX]:[Summ Equipment]],8,0))),UPPER(VLOOKUP(CONCATENATE(P33,Q33,S33,E33),BPD[[Limiting Equipment Reference-No PTX]:[Summ Equipment]],8,0)))</f>
        <v>POWER TRANSFORMER RATING AT 30 MVA</v>
      </c>
      <c r="L33" s="8" t="s">
        <v>1266</v>
      </c>
      <c r="M33" s="8" t="s">
        <v>1162</v>
      </c>
      <c r="O33" s="6" t="str">
        <f t="shared" si="22"/>
        <v>BPD-T1-CB35</v>
      </c>
      <c r="P33" s="7" t="s">
        <v>1246</v>
      </c>
      <c r="Q33" s="7" t="s">
        <v>80</v>
      </c>
      <c r="R33" s="386" t="s">
        <v>378</v>
      </c>
      <c r="S33" s="43">
        <v>11.22</v>
      </c>
      <c r="T33" s="8" t="s">
        <v>1267</v>
      </c>
      <c r="U33" s="8" t="s">
        <v>1267</v>
      </c>
      <c r="V33" s="7"/>
    </row>
    <row r="34" spans="2:22" x14ac:dyDescent="0.25">
      <c r="B34" s="7" t="s">
        <v>2464</v>
      </c>
      <c r="C34" s="6" t="s">
        <v>2465</v>
      </c>
      <c r="D34" s="57">
        <f t="shared" si="17"/>
        <v>11</v>
      </c>
      <c r="E34" s="323">
        <v>1250</v>
      </c>
      <c r="F34" s="57">
        <v>1000</v>
      </c>
      <c r="G34" s="57">
        <f t="shared" si="18"/>
        <v>800</v>
      </c>
      <c r="H34" s="9">
        <f t="shared" si="19"/>
        <v>15.546888048738241</v>
      </c>
      <c r="I34" s="57">
        <f t="shared" si="20"/>
        <v>900</v>
      </c>
      <c r="J34" s="9">
        <f t="shared" si="21"/>
        <v>17.490249054830521</v>
      </c>
      <c r="K34" s="6" t="s">
        <v>2494</v>
      </c>
      <c r="L34" s="8" t="s">
        <v>1266</v>
      </c>
      <c r="M34" s="8" t="s">
        <v>1162</v>
      </c>
      <c r="O34" s="6" t="str">
        <f t="shared" si="22"/>
        <v>BPD-T1-CB31</v>
      </c>
      <c r="P34" s="7" t="s">
        <v>1246</v>
      </c>
      <c r="Q34" s="7" t="s">
        <v>80</v>
      </c>
      <c r="R34" s="386"/>
      <c r="S34" s="43">
        <v>11.22</v>
      </c>
      <c r="T34" s="8" t="s">
        <v>1266</v>
      </c>
      <c r="U34" s="8" t="s">
        <v>1267</v>
      </c>
      <c r="V34" s="7" t="s">
        <v>2823</v>
      </c>
    </row>
    <row r="35" spans="2:22" x14ac:dyDescent="0.25">
      <c r="B35" s="7" t="s">
        <v>502</v>
      </c>
      <c r="C35" s="6" t="s">
        <v>2469</v>
      </c>
      <c r="D35" s="57">
        <f t="shared" si="17"/>
        <v>11</v>
      </c>
      <c r="E35" s="323">
        <f t="array" ref="E35">IF(U35="YES",IF(T35="YES",MIN(IF(BPD[Load Capability Reference]=CONCATENATE(P35,Q35,S35,R35),BPD[Lowest A-PTX])),MIN(IF(BPD[Load Capability Reference]=CONCATENATE(P35,Q35,S35,R35),IF(BPD[Equipment ID]&lt;&gt;O35,BPD[Lowest A-PTX])))),IF(T35="YES",MIN(IF(BPD[Load Capability Reference]=CONCATENATE(P35,Q35,S35,R35),BPD[Lowest A-No PTX])),MIN(IF(BPD[Load Capability Reference]=CONCATENATE(P35,Q35,S35,R35),IF(BPD[Equipment ID]&lt;&gt;O35,BPD[Lowest A-No PTX])))))</f>
        <v>386.92827157178004</v>
      </c>
      <c r="F35" s="57">
        <f>IFERROR(IFERROR(VLOOKUP(CONCATENATE(P35,Q35,O35,S35,"Protection"),TWZ[[OC Protection Reference]:[Forward A]],23,0),VLOOKUP(O35,AEL_Protection_Data[],12,0)),"N/A")</f>
        <v>400</v>
      </c>
      <c r="G35" s="57">
        <f t="shared" si="18"/>
        <v>305</v>
      </c>
      <c r="H35" s="9">
        <f t="shared" si="19"/>
        <v>5.9272510685814552</v>
      </c>
      <c r="I35" s="57">
        <f t="shared" si="20"/>
        <v>345</v>
      </c>
      <c r="J35" s="9">
        <f t="shared" si="21"/>
        <v>6.7045954710183668</v>
      </c>
      <c r="K35" s="6" t="str">
        <f>IF(U35="Yes",UPPER(IF(ISNUMBER(SEARCH("winding",VLOOKUP(CONCATENATE(P35,Q35,S35,E35),BPD[[Limiting Equipment Reference-PTX]:[Summ Equipment]],7,0))),"Power Transformer Rating at "&amp;ROUND(E35*S35*SQRT(3)/1000,2)&amp;" MVA",VLOOKUP(CONCATENATE(P35,Q35,S35,E35),BPD[[Limiting Equipment Reference-No PTX]:[Summ Equipment]],8,0))),UPPER(VLOOKUP(CONCATENATE(P35,Q35,S35,E35),BPD[[Limiting Equipment Reference-No PTX]:[Summ Equipment]],8,0)))</f>
        <v>OH LINE-JAGUAR</v>
      </c>
      <c r="L35" s="8" t="s">
        <v>1267</v>
      </c>
      <c r="M35" s="8" t="s">
        <v>1267</v>
      </c>
      <c r="O35" s="6" t="str">
        <f>"BPD-T1-"&amp;B35</f>
        <v>BPD-T1-CB1</v>
      </c>
      <c r="P35" s="7" t="s">
        <v>1276</v>
      </c>
      <c r="Q35" s="7" t="s">
        <v>1355</v>
      </c>
      <c r="R35" s="386" t="s">
        <v>378</v>
      </c>
      <c r="S35" s="43">
        <v>11.22</v>
      </c>
      <c r="T35" s="8" t="s">
        <v>1266</v>
      </c>
      <c r="U35" s="8" t="s">
        <v>1266</v>
      </c>
      <c r="V35" s="7"/>
    </row>
    <row r="36" spans="2:22" ht="15.75" thickBot="1" x14ac:dyDescent="0.3">
      <c r="B36" s="7" t="s">
        <v>507</v>
      </c>
      <c r="C36" s="6" t="s">
        <v>2470</v>
      </c>
      <c r="D36" s="57">
        <f t="shared" si="17"/>
        <v>11</v>
      </c>
      <c r="E36" s="323">
        <f t="array" ref="E36">IF(U36="YES",IF(T36="YES",MIN(IF(BPD[Load Capability Reference]=CONCATENATE(P36,Q36,S36,R36),BPD[Lowest A-PTX])),MIN(IF(BPD[Load Capability Reference]=CONCATENATE(P36,Q36,S36,R36),IF(BPD[Equipment ID]&lt;&gt;O36,BPD[Lowest A-PTX])))),IF(T36="YES",MIN(IF(BPD[Load Capability Reference]=CONCATENATE(P36,Q36,S36,R36),BPD[Lowest A-No PTX])),MIN(IF(BPD[Load Capability Reference]=CONCATENATE(P36,Q36,S36,R36),IF(BPD[Equipment ID]&lt;&gt;O36,BPD[Lowest A-No PTX])))))</f>
        <v>386.92827157178004</v>
      </c>
      <c r="F36" s="57">
        <f>IFERROR(IFERROR(VLOOKUP(CONCATENATE(P36,Q36,O36,S36,"Protection"),TWZ[[OC Protection Reference]:[Forward A]],23,0),VLOOKUP(O36,AEL_Protection_Data[],12,0)),"N/A")</f>
        <v>400</v>
      </c>
      <c r="G36" s="57">
        <f t="shared" si="18"/>
        <v>305</v>
      </c>
      <c r="H36" s="9">
        <f t="shared" si="19"/>
        <v>5.9272510685814552</v>
      </c>
      <c r="I36" s="57">
        <f t="shared" si="20"/>
        <v>345</v>
      </c>
      <c r="J36" s="9">
        <f t="shared" si="21"/>
        <v>6.7045954710183668</v>
      </c>
      <c r="K36" s="6" t="str">
        <f>IF(U36="Yes",UPPER(IF(ISNUMBER(SEARCH("winding",VLOOKUP(CONCATENATE(P36,Q36,S36,E36),BPD[[Limiting Equipment Reference-PTX]:[Summ Equipment]],7,0))),"Power Transformer Rating at "&amp;ROUND(E36*S36*SQRT(3)/1000,2)&amp;" MVA",VLOOKUP(CONCATENATE(P36,Q36,S36,E36),BPD[[Limiting Equipment Reference-No PTX]:[Summ Equipment]],8,0))),UPPER(VLOOKUP(CONCATENATE(P36,Q36,S36,E36),BPD[[Limiting Equipment Reference-No PTX]:[Summ Equipment]],8,0)))</f>
        <v>OH LINE-JAGUAR</v>
      </c>
      <c r="L36" s="8" t="s">
        <v>1267</v>
      </c>
      <c r="M36" s="8" t="s">
        <v>1267</v>
      </c>
      <c r="O36" s="6" t="str">
        <f t="shared" ref="O36" si="23">"BPD-T1-"&amp;B36</f>
        <v>BPD-T1-CB2</v>
      </c>
      <c r="P36" s="193" t="s">
        <v>1276</v>
      </c>
      <c r="Q36" s="7" t="s">
        <v>1354</v>
      </c>
      <c r="R36" s="386" t="s">
        <v>378</v>
      </c>
      <c r="S36" s="43">
        <v>11.22</v>
      </c>
      <c r="T36" s="8" t="s">
        <v>1266</v>
      </c>
      <c r="U36" s="8" t="s">
        <v>1266</v>
      </c>
      <c r="V36" s="7"/>
    </row>
    <row r="37" spans="2:22" ht="26.25" thickBot="1" x14ac:dyDescent="0.3">
      <c r="B37" s="584" t="s">
        <v>2476</v>
      </c>
      <c r="C37" s="582"/>
      <c r="D37" s="582"/>
      <c r="E37" s="582"/>
      <c r="F37" s="582"/>
      <c r="G37" s="582"/>
      <c r="H37" s="582"/>
      <c r="I37" s="582"/>
      <c r="J37" s="582"/>
      <c r="K37" s="582"/>
      <c r="L37" s="582"/>
      <c r="M37" s="583"/>
      <c r="O37" s="551" t="s">
        <v>2391</v>
      </c>
      <c r="P37" s="552"/>
      <c r="Q37" s="552"/>
      <c r="R37" s="552"/>
      <c r="S37" s="552"/>
      <c r="T37" s="552"/>
      <c r="U37" s="552"/>
      <c r="V37" s="553"/>
    </row>
    <row r="38" spans="2:22" ht="15.75" customHeight="1" thickBot="1" x14ac:dyDescent="0.3">
      <c r="B38" s="571" t="str">
        <f t="shared" ref="B38:M40" si="24">B6</f>
        <v>CB ID</v>
      </c>
      <c r="C38" s="545" t="str">
        <f t="shared" si="24"/>
        <v>DESIGNATION</v>
      </c>
      <c r="D38" s="382" t="str">
        <f t="shared" si="24"/>
        <v>Rated</v>
      </c>
      <c r="E38" s="572" t="str">
        <f t="shared" si="24"/>
        <v>LOAD
CAPABILITY</v>
      </c>
      <c r="F38" s="572" t="str">
        <f t="shared" si="24"/>
        <v>OC
PICKUP</v>
      </c>
      <c r="G38" s="559" t="str">
        <f t="shared" si="24"/>
        <v>SCADA ALARM</v>
      </c>
      <c r="H38" s="560"/>
      <c r="I38" s="560"/>
      <c r="J38" s="561"/>
      <c r="K38" s="574" t="str">
        <f t="shared" si="24"/>
        <v>LIMITING EQUIPMENT</v>
      </c>
      <c r="L38" s="575" t="str">
        <f t="shared" si="24"/>
        <v>RECLOSING</v>
      </c>
      <c r="M38" s="576"/>
      <c r="O38" s="566" t="str">
        <f t="shared" ref="O38:V38" si="25">O6</f>
        <v>OC Pick up
Reference ID</v>
      </c>
      <c r="P38" s="557" t="str">
        <f t="shared" si="25"/>
        <v>Supply Level</v>
      </c>
      <c r="Q38" s="566" t="str">
        <f t="shared" si="25"/>
        <v>Station/Feeder</v>
      </c>
      <c r="R38" s="567" t="str">
        <f t="shared" ref="R38" si="26">$R$6</f>
        <v>Refered to PTX</v>
      </c>
      <c r="S38" s="569" t="str">
        <f t="shared" si="25"/>
        <v>Voltage</v>
      </c>
      <c r="T38" s="539" t="str">
        <f t="shared" si="25"/>
        <v>Include
CB</v>
      </c>
      <c r="U38" s="539" t="str">
        <f t="shared" si="25"/>
        <v>Include
PTX</v>
      </c>
      <c r="V38" s="557" t="str">
        <f t="shared" si="25"/>
        <v>Notes</v>
      </c>
    </row>
    <row r="39" spans="2:22" ht="15.75" thickBot="1" x14ac:dyDescent="0.3">
      <c r="B39" s="557"/>
      <c r="C39" s="540"/>
      <c r="D39" s="362" t="str">
        <f t="shared" si="24"/>
        <v>Voltage</v>
      </c>
      <c r="E39" s="573"/>
      <c r="F39" s="573"/>
      <c r="G39" s="544" t="str">
        <f t="shared" si="24"/>
        <v>Pre-Emergency</v>
      </c>
      <c r="H39" s="544"/>
      <c r="I39" s="544" t="str">
        <f t="shared" si="24"/>
        <v>Emergency</v>
      </c>
      <c r="J39" s="544"/>
      <c r="K39" s="540"/>
      <c r="L39" s="545" t="str">
        <f t="shared" si="24"/>
        <v>AVAILABLE</v>
      </c>
      <c r="M39" s="545" t="str">
        <f t="shared" si="24"/>
        <v>UTILISED</v>
      </c>
      <c r="O39" s="557"/>
      <c r="P39" s="557"/>
      <c r="Q39" s="557"/>
      <c r="R39" s="567"/>
      <c r="S39" s="569"/>
      <c r="T39" s="540"/>
      <c r="U39" s="540"/>
      <c r="V39" s="557"/>
    </row>
    <row r="40" spans="2:22" ht="15.75" thickBot="1" x14ac:dyDescent="0.3">
      <c r="B40" s="558"/>
      <c r="C40" s="541"/>
      <c r="D40" s="345" t="str">
        <f t="shared" si="24"/>
        <v>(kV)</v>
      </c>
      <c r="E40" s="345" t="str">
        <f t="shared" si="24"/>
        <v>(A)</v>
      </c>
      <c r="F40" s="345" t="str">
        <f t="shared" si="24"/>
        <v>(A)</v>
      </c>
      <c r="G40" s="406" t="str">
        <f t="shared" si="24"/>
        <v>(A)</v>
      </c>
      <c r="H40" s="407" t="str">
        <f t="shared" si="24"/>
        <v>(MVA)</v>
      </c>
      <c r="I40" s="406" t="str">
        <f t="shared" si="24"/>
        <v>(A)</v>
      </c>
      <c r="J40" s="407" t="str">
        <f t="shared" si="24"/>
        <v>(MVA)</v>
      </c>
      <c r="K40" s="541"/>
      <c r="L40" s="541"/>
      <c r="M40" s="541"/>
      <c r="O40" s="558"/>
      <c r="P40" s="558"/>
      <c r="Q40" s="558"/>
      <c r="R40" s="568"/>
      <c r="S40" s="570"/>
      <c r="T40" s="541"/>
      <c r="U40" s="541"/>
      <c r="V40" s="558"/>
    </row>
    <row r="41" spans="2:22" x14ac:dyDescent="0.25">
      <c r="B41" s="38" t="s">
        <v>706</v>
      </c>
      <c r="C41" s="3" t="s">
        <v>2490</v>
      </c>
      <c r="D41" s="61">
        <f t="shared" ref="D41:D48" si="27">ROUNDDOWN(S41,0)</f>
        <v>110</v>
      </c>
      <c r="E41" s="365">
        <f t="array" ref="E41">IF(U41="YES",IF(T41="YES",MIN(IF(BPD[Load Capability Reference]=CONCATENATE(P41,Q41,S41,R41),BPD[Lowest A-PTX])),MIN(IF(BPD[Load Capability Reference]=CONCATENATE(P41,Q41,S41,R41),IF(BPD[Equipment ID]&lt;&gt;O41,BPD[Lowest A-PTX])))),IF(T41="YES",MIN(IF(BPD[Load Capability Reference]=CONCATENATE(P41,Q41,S41,R41),BPD[Lowest A-No PTX])),MIN(IF(BPD[Load Capability Reference]=CONCATENATE(P41,Q41,S41,R41),IF(BPD[Equipment ID]&lt;&gt;O41,BPD[Lowest A-No PTX])))))</f>
        <v>104.9727762162956</v>
      </c>
      <c r="F41" s="61">
        <f>IFERROR(IFERROR(VLOOKUP(CONCATENATE(P41,Q41,O41,S41,"Protection"),TWZ[[OC Protection Reference]:[Forward A]],23,0),VLOOKUP(O41,AEL_Protection_Data[],12,0)),"N/A")</f>
        <v>146</v>
      </c>
      <c r="G41" s="61">
        <f t="shared" ref="G41:G48" si="28">IFERROR(FLOOR(MIN(E41:F41)*$D$3,5),"")</f>
        <v>80</v>
      </c>
      <c r="H41" s="5">
        <f t="shared" ref="H41:H48" si="29">G41*S41*SQRT(3)/1000</f>
        <v>15.242047106606121</v>
      </c>
      <c r="I41" s="61">
        <f t="shared" ref="I41:I48" si="30">IFERROR(FLOOR(MIN(E41:F41)*$D$2,5),"")</f>
        <v>90</v>
      </c>
      <c r="J41" s="5">
        <f t="shared" ref="J41:J48" si="31">I41*S41*SQRT(3)/1000</f>
        <v>17.147302994931884</v>
      </c>
      <c r="K41" s="3" t="str">
        <f>IF(U41="Yes",UPPER(IF(ISNUMBER(SEARCH("winding",VLOOKUP(CONCATENATE(P41,Q41,S41,E41),BPD[[Limiting Equipment Reference-PTX]:[Summ Equipment]],7,0))),"Power Transformer Rating at "&amp;ROUND(E41*S41*SQRT(3)/1000,2)&amp;" MVA",VLOOKUP(CONCATENATE(P41,Q41,S41,E41),BPD[[Limiting Equipment Reference-No PTX]:[Summ Equipment]],8,0))),UPPER(VLOOKUP(CONCATENATE(P41,Q41,S41,E41),BPD[[Limiting Equipment Reference-No PTX]:[Summ Equipment]],8,0)))</f>
        <v>POWER TRANSFORMER RATING AT 20 MVA</v>
      </c>
      <c r="L41" s="4" t="s">
        <v>1266</v>
      </c>
      <c r="M41" s="4" t="s">
        <v>1162</v>
      </c>
      <c r="O41" s="3" t="str">
        <f>"BPD-T2-"&amp;B41</f>
        <v>BPD-T2-CB482</v>
      </c>
      <c r="P41" s="38" t="s">
        <v>1246</v>
      </c>
      <c r="Q41" s="38" t="s">
        <v>80</v>
      </c>
      <c r="R41" s="389" t="s">
        <v>307</v>
      </c>
      <c r="S41" s="139">
        <v>110</v>
      </c>
      <c r="T41" s="4" t="s">
        <v>1266</v>
      </c>
      <c r="U41" s="4" t="s">
        <v>1267</v>
      </c>
      <c r="V41" s="38"/>
    </row>
    <row r="42" spans="2:22" x14ac:dyDescent="0.25">
      <c r="B42" s="49" t="s">
        <v>731</v>
      </c>
      <c r="C42" s="168" t="s">
        <v>2492</v>
      </c>
      <c r="D42" s="119">
        <f t="shared" si="27"/>
        <v>33</v>
      </c>
      <c r="E42" s="366" t="e">
        <f t="array" ref="E42">IF(U42="YES",IF(T42="YES",MIN(IF(BPD[Load Capability Reference]=CONCATENATE(P42,Q42,S42,R42),BPD[Lowest A-PTX])),MIN(IF(BPD[Load Capability Reference]=CONCATENATE(P42,Q42,S42,R42),IF(BPD[Equipment ID]&lt;&gt;O42,BPD[Lowest A-PTX])))),IF(T42="YES",MIN(IF(BPD[Load Capability Reference]=CONCATENATE(P42,Q42,S42,R42),BPD[Lowest A-No PTX])),MIN(IF(BPD[Load Capability Reference]=CONCATENATE(P42,Q42,S42,R42),IF(BPD[Equipment ID]&lt;&gt;O42,BPD[Lowest A-No PTX])))))</f>
        <v>#N/A</v>
      </c>
      <c r="F42" s="119">
        <f>IFERROR(IFERROR(VLOOKUP(CONCATENATE(P42,Q42,O42,S42,"Protection"),TWZ[[OC Protection Reference]:[Forward A]],23,0),VLOOKUP(O42,AEL_Protection_Data[],12,0)),"N/A")</f>
        <v>370</v>
      </c>
      <c r="G42" s="119" t="str">
        <f t="shared" si="28"/>
        <v/>
      </c>
      <c r="H42" s="29" t="e">
        <f t="shared" si="29"/>
        <v>#VALUE!</v>
      </c>
      <c r="I42" s="119" t="str">
        <f t="shared" si="30"/>
        <v/>
      </c>
      <c r="J42" s="29" t="e">
        <f t="shared" si="31"/>
        <v>#VALUE!</v>
      </c>
      <c r="K42" s="168" t="e">
        <f>IF(U42="Yes",UPPER(IF(ISNUMBER(SEARCH("winding",VLOOKUP(CONCATENATE(P42,Q42,S42,E42),BPD[[Limiting Equipment Reference-PTX]:[Summ Equipment]],7,0))),"Power Transformer Rating at "&amp;ROUND(E42*S42*SQRT(3)/1000,2)&amp;" MVA",VLOOKUP(CONCATENATE(P42,Q42,S42,E42),BPD[[Limiting Equipment Reference-No PTX]:[Summ Equipment]],8,0))),UPPER(VLOOKUP(CONCATENATE(P42,Q42,S42,E42),BPD[[Limiting Equipment Reference-No PTX]:[Summ Equipment]],8,0)))</f>
        <v>#N/A</v>
      </c>
      <c r="L42" s="146" t="s">
        <v>1266</v>
      </c>
      <c r="M42" s="146" t="s">
        <v>1162</v>
      </c>
      <c r="O42" s="168" t="str">
        <f t="shared" ref="O42:O48" si="32">"BPD-T2-"&amp;B42</f>
        <v>BPD-T2-CB522</v>
      </c>
      <c r="P42" s="49" t="s">
        <v>1245</v>
      </c>
      <c r="Q42" s="49" t="s">
        <v>126</v>
      </c>
      <c r="R42" s="390"/>
      <c r="S42" s="32">
        <v>33</v>
      </c>
      <c r="T42" s="146" t="s">
        <v>1266</v>
      </c>
      <c r="U42" s="146" t="s">
        <v>1267</v>
      </c>
      <c r="V42" s="49"/>
    </row>
    <row r="43" spans="2:22" x14ac:dyDescent="0.25">
      <c r="B43" s="7" t="s">
        <v>588</v>
      </c>
      <c r="C43" s="6" t="s">
        <v>2466</v>
      </c>
      <c r="D43" s="57">
        <f t="shared" si="27"/>
        <v>11</v>
      </c>
      <c r="E43" s="323">
        <f t="array" ref="E43">IF(U43="YES",IF(T43="YES",MIN(IF(BPD[Load Capability Reference]=CONCATENATE(P43,Q43,S43,R43),BPD[Lowest A-PTX])),MIN(IF(BPD[Load Capability Reference]=CONCATENATE(P43,Q43,S43,R43),IF(BPD[Equipment ID]&lt;&gt;O43,BPD[Lowest A-PTX])))),IF(T43="YES",MIN(IF(BPD[Load Capability Reference]=CONCATENATE(P43,Q43,S43,R43),BPD[Lowest A-No PTX])),MIN(IF(BPD[Load Capability Reference]=CONCATENATE(P43,Q43,S43,R43),IF(BPD[Equipment ID]&lt;&gt;O43,BPD[Lowest A-No PTX])))))</f>
        <v>771.85864864923235</v>
      </c>
      <c r="F43" s="57">
        <f>IFERROR(IFERROR(VLOOKUP(CONCATENATE(P43,Q43,O43,S43,"Protection"),TWZ[[OC Protection Reference]:[Forward A]],23,0),VLOOKUP(O43,AEL_Protection_Data[],12,0)),"N/A")</f>
        <v>1100</v>
      </c>
      <c r="G43" s="57">
        <f t="shared" si="28"/>
        <v>615</v>
      </c>
      <c r="H43" s="9">
        <f t="shared" si="29"/>
        <v>11.951670187467524</v>
      </c>
      <c r="I43" s="57">
        <f t="shared" si="30"/>
        <v>690</v>
      </c>
      <c r="J43" s="9">
        <f t="shared" si="31"/>
        <v>13.409190942036734</v>
      </c>
      <c r="K43" s="6" t="str">
        <f>IF(U43="Yes",UPPER(IF(ISNUMBER(SEARCH("winding",VLOOKUP(CONCATENATE(P43,Q43,S43,E43),BPD[[Limiting Equipment Reference-PTX]:[Summ Equipment]],7,0))),"Power Transformer Rating at "&amp;ROUND(E43*S43*SQRT(3)/1000,2)&amp;" MVA",VLOOKUP(CONCATENATE(P43,Q43,S43,E43),BPD[[Limiting Equipment Reference-No PTX]:[Summ Equipment]],8,0))),UPPER(VLOOKUP(CONCATENATE(P43,Q43,S43,E43),BPD[[Limiting Equipment Reference-No PTX]:[Summ Equipment]],8,0)))</f>
        <v>POWER TRANSFORMER RATING AT 15 MVA</v>
      </c>
      <c r="L43" s="8" t="s">
        <v>1266</v>
      </c>
      <c r="M43" s="8" t="s">
        <v>1162</v>
      </c>
      <c r="O43" s="6" t="str">
        <f t="shared" si="32"/>
        <v>BPD-T2-CB36</v>
      </c>
      <c r="P43" s="7" t="s">
        <v>1246</v>
      </c>
      <c r="Q43" s="7" t="s">
        <v>80</v>
      </c>
      <c r="R43" s="386" t="s">
        <v>307</v>
      </c>
      <c r="S43" s="43">
        <v>11.22</v>
      </c>
      <c r="T43" s="8" t="s">
        <v>1266</v>
      </c>
      <c r="U43" s="8" t="s">
        <v>1267</v>
      </c>
      <c r="V43" s="7"/>
    </row>
    <row r="44" spans="2:22" x14ac:dyDescent="0.25">
      <c r="B44" s="7" t="s">
        <v>373</v>
      </c>
      <c r="C44" s="6" t="s">
        <v>2467</v>
      </c>
      <c r="D44" s="57">
        <f t="shared" si="27"/>
        <v>11</v>
      </c>
      <c r="E44" s="323">
        <v>1250</v>
      </c>
      <c r="F44" s="57">
        <f>IFERROR(IFERROR(VLOOKUP(CONCATENATE(P44,Q44,O44,S44,"Protection"),TWZ[[OC Protection Reference]:[Forward A]],23,0),VLOOKUP(O44,AEL_Protection_Data[],12,0)),"N/A")</f>
        <v>1000</v>
      </c>
      <c r="G44" s="57">
        <f t="shared" si="28"/>
        <v>800</v>
      </c>
      <c r="H44" s="9">
        <f t="shared" si="29"/>
        <v>15.546888048738241</v>
      </c>
      <c r="I44" s="57">
        <f t="shared" si="30"/>
        <v>900</v>
      </c>
      <c r="J44" s="9">
        <f t="shared" si="31"/>
        <v>17.490249054830521</v>
      </c>
      <c r="K44" s="6" t="s">
        <v>2494</v>
      </c>
      <c r="L44" s="8" t="s">
        <v>1266</v>
      </c>
      <c r="M44" s="8" t="s">
        <v>1162</v>
      </c>
      <c r="O44" s="6" t="str">
        <f t="shared" si="32"/>
        <v>BPD-T2-CB32</v>
      </c>
      <c r="P44" s="7" t="s">
        <v>1246</v>
      </c>
      <c r="Q44" s="7" t="s">
        <v>80</v>
      </c>
      <c r="R44" s="386"/>
      <c r="S44" s="43">
        <v>11.22</v>
      </c>
      <c r="T44" s="8" t="s">
        <v>1266</v>
      </c>
      <c r="U44" s="8" t="s">
        <v>1267</v>
      </c>
      <c r="V44" s="7" t="s">
        <v>2823</v>
      </c>
    </row>
    <row r="45" spans="2:22" x14ac:dyDescent="0.25">
      <c r="B45" s="7" t="s">
        <v>1596</v>
      </c>
      <c r="C45" s="6" t="s">
        <v>2468</v>
      </c>
      <c r="D45" s="57">
        <f t="shared" si="27"/>
        <v>11</v>
      </c>
      <c r="E45" s="323">
        <v>200</v>
      </c>
      <c r="F45" s="57">
        <f>IFERROR(IFERROR(VLOOKUP(CONCATENATE(P45,Q45,O45,S45,"Protection"),TWZ[[OC Protection Reference]:[Forward A]],23,0),VLOOKUP(O45,AEL_Protection_Data[],12,0)),"N/A")</f>
        <v>60</v>
      </c>
      <c r="G45" s="57">
        <f t="shared" si="28"/>
        <v>45</v>
      </c>
      <c r="H45" s="9">
        <f t="shared" si="29"/>
        <v>0.87451245274152622</v>
      </c>
      <c r="I45" s="57">
        <f t="shared" si="30"/>
        <v>50</v>
      </c>
      <c r="J45" s="9">
        <f t="shared" si="31"/>
        <v>0.97168050304614006</v>
      </c>
      <c r="K45" s="6" t="s">
        <v>2493</v>
      </c>
      <c r="L45" s="8" t="s">
        <v>1266</v>
      </c>
      <c r="M45" s="8" t="s">
        <v>1162</v>
      </c>
      <c r="O45" s="6" t="str">
        <f t="shared" si="32"/>
        <v>BPD-T2-CB15</v>
      </c>
      <c r="P45" s="7" t="s">
        <v>1276</v>
      </c>
      <c r="Q45" s="7" t="s">
        <v>2474</v>
      </c>
      <c r="R45" s="386"/>
      <c r="S45" s="43">
        <v>11.22</v>
      </c>
      <c r="T45" s="8" t="s">
        <v>1266</v>
      </c>
      <c r="U45" s="8" t="s">
        <v>1266</v>
      </c>
      <c r="V45" s="7" t="s">
        <v>2823</v>
      </c>
    </row>
    <row r="46" spans="2:22" x14ac:dyDescent="0.25">
      <c r="B46" s="7" t="s">
        <v>607</v>
      </c>
      <c r="C46" s="6" t="s">
        <v>2471</v>
      </c>
      <c r="D46" s="57">
        <f t="shared" si="27"/>
        <v>11</v>
      </c>
      <c r="E46" s="57">
        <f t="array" ref="E46">IF(U46="YES",IF(T46="YES",MIN(IF(BPD[Load Capability Reference]=CONCATENATE(P46,Q46,S46,R46),BPD[Lowest A-PTX])),MIN(IF(BPD[Load Capability Reference]=CONCATENATE(P46,Q46,S46,R46),IF(BPD[Equipment ID]&lt;&gt;O46,BPD[Lowest A-PTX])))),IF(T46="YES",MIN(IF(BPD[Load Capability Reference]=CONCATENATE(P46,Q46,S46,R46),BPD[Lowest A-No PTX])),MIN(IF(BPD[Load Capability Reference]=CONCATENATE(P46,Q46,S46,R46),IF(BPD[Equipment ID]&lt;&gt;O46,BPD[Lowest A-No PTX])))))</f>
        <v>239.70000000000002</v>
      </c>
      <c r="F46" s="57">
        <f>IFERROR(IFERROR(VLOOKUP(CONCATENATE(P46,Q46,O46,S46,"Protection"),TWZ[[OC Protection Reference]:[Forward A]],23,0),VLOOKUP(O46,AEL_Protection_Data[],12,0)),"N/A")</f>
        <v>400</v>
      </c>
      <c r="G46" s="57">
        <f t="shared" si="28"/>
        <v>190</v>
      </c>
      <c r="H46" s="9">
        <f t="shared" si="29"/>
        <v>3.6923859115753324</v>
      </c>
      <c r="I46" s="57">
        <f t="shared" si="30"/>
        <v>215</v>
      </c>
      <c r="J46" s="9">
        <f t="shared" si="31"/>
        <v>4.1782261630984028</v>
      </c>
      <c r="K46" s="6" t="str">
        <f>IF(U46="Yes",UPPER(IF(ISNUMBER(SEARCH("winding",VLOOKUP(CONCATENATE(P46,Q46,S46,E46),BPD[[Limiting Equipment Reference-PTX]:[Summ Equipment]],7,0))),"Power Transformer Rating at "&amp;ROUND(E46*S46*SQRT(3)/1000,2)&amp;" MVA",VLOOKUP(CONCATENATE(P46,Q46,S46,E46),BPD[[Limiting Equipment Reference-No PTX]:[Summ Equipment]],8,0))),UPPER(VLOOKUP(CONCATENATE(P46,Q46,S46,E46),BPD[[Limiting Equipment Reference-No PTX]:[Summ Equipment]],8,0)))</f>
        <v>CABLE - 3C 95MM2 AL XLPE CWS HDPE</v>
      </c>
      <c r="L46" s="8" t="s">
        <v>1267</v>
      </c>
      <c r="M46" s="8" t="s">
        <v>1267</v>
      </c>
      <c r="O46" s="6" t="str">
        <f t="shared" si="32"/>
        <v>BPD-T2-CB11</v>
      </c>
      <c r="P46" s="7" t="s">
        <v>1276</v>
      </c>
      <c r="Q46" s="7" t="s">
        <v>224</v>
      </c>
      <c r="R46" s="386" t="s">
        <v>307</v>
      </c>
      <c r="S46" s="43">
        <v>11.22</v>
      </c>
      <c r="T46" s="8" t="s">
        <v>1266</v>
      </c>
      <c r="U46" s="8" t="s">
        <v>1266</v>
      </c>
      <c r="V46" s="7"/>
    </row>
    <row r="47" spans="2:22" x14ac:dyDescent="0.25">
      <c r="B47" s="7" t="s">
        <v>610</v>
      </c>
      <c r="C47" s="6" t="s">
        <v>2472</v>
      </c>
      <c r="D47" s="57">
        <f t="shared" si="27"/>
        <v>11</v>
      </c>
      <c r="E47" s="57">
        <f t="array" ref="E47">IF(U47="YES",IF(T47="YES",MIN(IF(BPD[Load Capability Reference]=CONCATENATE(P47,Q47,S47,R47),BPD[Lowest A-PTX])),MIN(IF(BPD[Load Capability Reference]=CONCATENATE(P47,Q47,S47,R47),IF(BPD[Equipment ID]&lt;&gt;O47,BPD[Lowest A-PTX])))),IF(T47="YES",MIN(IF(BPD[Load Capability Reference]=CONCATENATE(P47,Q47,S47,R47),BPD[Lowest A-No PTX])),MIN(IF(BPD[Load Capability Reference]=CONCATENATE(P47,Q47,S47,R47),IF(BPD[Equipment ID]&lt;&gt;O47,BPD[Lowest A-No PTX])))))</f>
        <v>339.15</v>
      </c>
      <c r="F47" s="57">
        <f>IFERROR(IFERROR(VLOOKUP(CONCATENATE(P47,Q47,O47,S47,"Protection"),TWZ[[OC Protection Reference]:[Forward A]],23,0),VLOOKUP(O47,AEL_Protection_Data[],12,0)),"N/A")</f>
        <v>400</v>
      </c>
      <c r="G47" s="57">
        <f t="shared" si="28"/>
        <v>270</v>
      </c>
      <c r="H47" s="9">
        <f t="shared" si="29"/>
        <v>5.2470747164491565</v>
      </c>
      <c r="I47" s="57">
        <f t="shared" si="30"/>
        <v>305</v>
      </c>
      <c r="J47" s="9">
        <f t="shared" si="31"/>
        <v>5.9272510685814552</v>
      </c>
      <c r="K47" s="6" t="str">
        <f>IF(U47="Yes",UPPER(IF(ISNUMBER(SEARCH("winding",VLOOKUP(CONCATENATE(P47,Q47,S47,E47),BPD[[Limiting Equipment Reference-PTX]:[Summ Equipment]],7,0))),"Power Transformer Rating at "&amp;ROUND(E47*S47*SQRT(3)/1000,2)&amp;" MVA",VLOOKUP(CONCATENATE(P47,Q47,S47,E47),BPD[[Limiting Equipment Reference-No PTX]:[Summ Equipment]],8,0))),UPPER(VLOOKUP(CONCATENATE(P47,Q47,S47,E47),BPD[[Limiting Equipment Reference-No PTX]:[Summ Equipment]],8,0)))</f>
        <v>CABLE-3C 300MM² AL XLPE MDPE</v>
      </c>
      <c r="L47" s="8" t="s">
        <v>1267</v>
      </c>
      <c r="M47" s="8" t="s">
        <v>1267</v>
      </c>
      <c r="O47" s="6" t="str">
        <f t="shared" si="32"/>
        <v>BPD-T2-CB12</v>
      </c>
      <c r="P47" s="7" t="s">
        <v>1276</v>
      </c>
      <c r="Q47" s="7" t="s">
        <v>91</v>
      </c>
      <c r="R47" s="386" t="s">
        <v>307</v>
      </c>
      <c r="S47" s="43">
        <v>11.22</v>
      </c>
      <c r="T47" s="8" t="s">
        <v>1266</v>
      </c>
      <c r="U47" s="8" t="s">
        <v>1266</v>
      </c>
      <c r="V47" s="7"/>
    </row>
    <row r="48" spans="2:22" ht="15.75" thickBot="1" x14ac:dyDescent="0.3">
      <c r="B48" s="193" t="s">
        <v>611</v>
      </c>
      <c r="C48" s="191" t="s">
        <v>2473</v>
      </c>
      <c r="D48" s="197">
        <f t="shared" si="27"/>
        <v>11</v>
      </c>
      <c r="E48" s="197">
        <f t="array" ref="E48">IF(U48="YES",IF(T48="YES",MIN(IF(BPD[Load Capability Reference]=CONCATENATE(P48,Q48,S48,R48),BPD[Lowest A-PTX])),MIN(IF(BPD[Load Capability Reference]=CONCATENATE(P48,Q48,S48,R48),IF(BPD[Equipment ID]&lt;&gt;O48,BPD[Lowest A-PTX])))),IF(T48="YES",MIN(IF(BPD[Load Capability Reference]=CONCATENATE(P48,Q48,S48,R48),BPD[Lowest A-No PTX])),MIN(IF(BPD[Load Capability Reference]=CONCATENATE(P48,Q48,S48,R48),IF(BPD[Equipment ID]&lt;&gt;O48,BPD[Lowest A-No PTX])))))</f>
        <v>339.15</v>
      </c>
      <c r="F48" s="197">
        <f>IFERROR(IFERROR(VLOOKUP(CONCATENATE(P48,Q48,O48,S48,"Protection"),TWZ[[OC Protection Reference]:[Forward A]],23,0),VLOOKUP(O48,AEL_Protection_Data[],12,0)),"N/A")</f>
        <v>400</v>
      </c>
      <c r="G48" s="197">
        <f t="shared" si="28"/>
        <v>270</v>
      </c>
      <c r="H48" s="155">
        <f t="shared" si="29"/>
        <v>5.2470747164491565</v>
      </c>
      <c r="I48" s="197">
        <f t="shared" si="30"/>
        <v>305</v>
      </c>
      <c r="J48" s="155">
        <f t="shared" si="31"/>
        <v>5.9272510685814552</v>
      </c>
      <c r="K48" s="191" t="str">
        <f>IF(U48="Yes",UPPER(IF(ISNUMBER(SEARCH("winding",VLOOKUP(CONCATENATE(P48,Q48,S48,E48),BPD[[Limiting Equipment Reference-PTX]:[Summ Equipment]],7,0))),"Power Transformer Rating at "&amp;ROUND(E48*S48*SQRT(3)/1000,2)&amp;" MVA",VLOOKUP(CONCATENATE(P48,Q48,S48,E48),BPD[[Limiting Equipment Reference-No PTX]:[Summ Equipment]],8,0))),UPPER(VLOOKUP(CONCATENATE(P48,Q48,S48,E48),BPD[[Limiting Equipment Reference-No PTX]:[Summ Equipment]],8,0)))</f>
        <v>CABLE-3C 300MM² AL XLPE MDPE</v>
      </c>
      <c r="L48" s="201" t="s">
        <v>1267</v>
      </c>
      <c r="M48" s="201" t="s">
        <v>1267</v>
      </c>
      <c r="O48" s="191" t="str">
        <f t="shared" si="32"/>
        <v>BPD-T2-CB13</v>
      </c>
      <c r="P48" s="193" t="s">
        <v>1276</v>
      </c>
      <c r="Q48" s="193" t="s">
        <v>104</v>
      </c>
      <c r="R48" s="387" t="s">
        <v>307</v>
      </c>
      <c r="S48" s="175">
        <v>11.22</v>
      </c>
      <c r="T48" s="201" t="s">
        <v>1266</v>
      </c>
      <c r="U48" s="201" t="s">
        <v>1266</v>
      </c>
      <c r="V48" s="193"/>
    </row>
    <row r="49" spans="2:22" ht="15.75" thickBot="1" x14ac:dyDescent="0.3">
      <c r="R49" s="388"/>
    </row>
    <row r="50" spans="2:22" ht="26.25" thickBot="1" x14ac:dyDescent="0.3">
      <c r="B50" s="584" t="s">
        <v>2499</v>
      </c>
      <c r="C50" s="582"/>
      <c r="D50" s="582"/>
      <c r="E50" s="582"/>
      <c r="F50" s="582"/>
      <c r="G50" s="582"/>
      <c r="H50" s="582"/>
      <c r="I50" s="582"/>
      <c r="J50" s="582"/>
      <c r="K50" s="582"/>
      <c r="L50" s="582"/>
      <c r="M50" s="583"/>
      <c r="O50" s="551" t="s">
        <v>2391</v>
      </c>
      <c r="P50" s="552"/>
      <c r="Q50" s="552"/>
      <c r="R50" s="552"/>
      <c r="S50" s="552"/>
      <c r="T50" s="552"/>
      <c r="U50" s="552"/>
      <c r="V50" s="553"/>
    </row>
    <row r="51" spans="2:22" ht="15.75" customHeight="1" thickBot="1" x14ac:dyDescent="0.3">
      <c r="B51" s="571" t="str">
        <f t="shared" ref="B51:M53" si="33">B6</f>
        <v>CB ID</v>
      </c>
      <c r="C51" s="545" t="str">
        <f t="shared" si="33"/>
        <v>DESIGNATION</v>
      </c>
      <c r="D51" s="382" t="str">
        <f t="shared" si="33"/>
        <v>Rated</v>
      </c>
      <c r="E51" s="572" t="str">
        <f t="shared" si="33"/>
        <v>LOAD
CAPABILITY</v>
      </c>
      <c r="F51" s="572" t="str">
        <f t="shared" si="33"/>
        <v>OC
PICKUP</v>
      </c>
      <c r="G51" s="559" t="str">
        <f t="shared" si="33"/>
        <v>SCADA ALARM</v>
      </c>
      <c r="H51" s="560"/>
      <c r="I51" s="560"/>
      <c r="J51" s="561"/>
      <c r="K51" s="574" t="str">
        <f t="shared" si="33"/>
        <v>LIMITING EQUIPMENT</v>
      </c>
      <c r="L51" s="575" t="str">
        <f t="shared" si="33"/>
        <v>RECLOSING</v>
      </c>
      <c r="M51" s="576"/>
      <c r="O51" s="566" t="str">
        <f t="shared" ref="O51:V51" si="34">O6</f>
        <v>OC Pick up
Reference ID</v>
      </c>
      <c r="P51" s="557" t="str">
        <f t="shared" si="34"/>
        <v>Supply Level</v>
      </c>
      <c r="Q51" s="566" t="str">
        <f t="shared" si="34"/>
        <v>Station/Feeder</v>
      </c>
      <c r="R51" s="567" t="str">
        <f t="shared" ref="R51" si="35">$R$6</f>
        <v>Refered to PTX</v>
      </c>
      <c r="S51" s="569" t="str">
        <f t="shared" si="34"/>
        <v>Voltage</v>
      </c>
      <c r="T51" s="539" t="str">
        <f t="shared" si="34"/>
        <v>Include
CB</v>
      </c>
      <c r="U51" s="539" t="str">
        <f t="shared" si="34"/>
        <v>Include
PTX</v>
      </c>
      <c r="V51" s="557" t="str">
        <f t="shared" si="34"/>
        <v>Notes</v>
      </c>
    </row>
    <row r="52" spans="2:22" ht="15.75" thickBot="1" x14ac:dyDescent="0.3">
      <c r="B52" s="557"/>
      <c r="C52" s="540"/>
      <c r="D52" s="362" t="str">
        <f t="shared" si="33"/>
        <v>Voltage</v>
      </c>
      <c r="E52" s="573"/>
      <c r="F52" s="573"/>
      <c r="G52" s="544" t="str">
        <f t="shared" si="33"/>
        <v>Pre-Emergency</v>
      </c>
      <c r="H52" s="544"/>
      <c r="I52" s="544" t="str">
        <f t="shared" si="33"/>
        <v>Emergency</v>
      </c>
      <c r="J52" s="544"/>
      <c r="K52" s="540"/>
      <c r="L52" s="545" t="str">
        <f t="shared" si="33"/>
        <v>AVAILABLE</v>
      </c>
      <c r="M52" s="545" t="str">
        <f t="shared" si="33"/>
        <v>UTILISED</v>
      </c>
      <c r="O52" s="557"/>
      <c r="P52" s="557"/>
      <c r="Q52" s="557"/>
      <c r="R52" s="567"/>
      <c r="S52" s="569"/>
      <c r="T52" s="540"/>
      <c r="U52" s="540"/>
      <c r="V52" s="557"/>
    </row>
    <row r="53" spans="2:22" ht="15.75" thickBot="1" x14ac:dyDescent="0.3">
      <c r="B53" s="558"/>
      <c r="C53" s="541"/>
      <c r="D53" s="345" t="str">
        <f t="shared" si="33"/>
        <v>(kV)</v>
      </c>
      <c r="E53" s="345" t="str">
        <f t="shared" si="33"/>
        <v>(A)</v>
      </c>
      <c r="F53" s="345" t="str">
        <f t="shared" si="33"/>
        <v>(A)</v>
      </c>
      <c r="G53" s="406" t="str">
        <f t="shared" si="33"/>
        <v>(A)</v>
      </c>
      <c r="H53" s="407" t="str">
        <f t="shared" si="33"/>
        <v>(MVA)</v>
      </c>
      <c r="I53" s="406" t="str">
        <f t="shared" si="33"/>
        <v>(A)</v>
      </c>
      <c r="J53" s="407" t="str">
        <f t="shared" si="33"/>
        <v>(MVA)</v>
      </c>
      <c r="K53" s="541"/>
      <c r="L53" s="541"/>
      <c r="M53" s="541"/>
      <c r="O53" s="558"/>
      <c r="P53" s="558"/>
      <c r="Q53" s="558"/>
      <c r="R53" s="568"/>
      <c r="S53" s="570"/>
      <c r="T53" s="541"/>
      <c r="U53" s="541"/>
      <c r="V53" s="558"/>
    </row>
    <row r="54" spans="2:22" x14ac:dyDescent="0.25">
      <c r="B54" s="38" t="s">
        <v>1608</v>
      </c>
      <c r="C54" s="3" t="s">
        <v>2500</v>
      </c>
      <c r="D54" s="61">
        <f t="shared" ref="D54:D64" si="36">ROUNDDOWN(S54,0)</f>
        <v>33</v>
      </c>
      <c r="E54" s="369">
        <f t="array" ref="E54">IF(U54="YES",IF(T54="YES",MIN(IF(BPD[Load Capability Reference]=CONCATENATE(P54,Q54,S54,R54),BPD[Lowest A-PTX])),MIN(IF(BPD[Load Capability Reference]=CONCATENATE(P54,Q54,S54,R54),IF(BPD[Equipment ID]&lt;&gt;O54,BPD[Lowest A-PTX])))),IF(T54="YES",MIN(IF(BPD[Load Capability Reference]=CONCATENATE(P54,Q54,S54,R54),BPD[Lowest A-No PTX])),MIN(IF(BPD[Load Capability Reference]=CONCATENATE(P54,Q54,S54,R54),IF(BPD[Equipment ID]&lt;&gt;O54,BPD[Lowest A-No PTX])))))</f>
        <v>582.79308811233284</v>
      </c>
      <c r="F54" s="61" t="str">
        <f>IFERROR(IFERROR(VLOOKUP(CONCATENATE(P54,Q54,O54,S54,"Protection"),TWZ[[OC Protection Reference]:[Forward A]],23,0),VLOOKUP(O54,AEL_Protection_Data[],12,0)),"N/A")</f>
        <v>N/A</v>
      </c>
      <c r="G54" s="61">
        <f t="shared" ref="G54:G64" si="37">IFERROR(FLOOR(MIN(E54:F54)*$D$3,5),"")</f>
        <v>465</v>
      </c>
      <c r="H54" s="5">
        <f t="shared" ref="H54:H64" si="38">G54*S54*SQRT(3)/1000</f>
        <v>26.578319642144418</v>
      </c>
      <c r="I54" s="61">
        <f>IFERROR(FLOOR(MIN(E54:F54)*$D$2,5),"")</f>
        <v>520</v>
      </c>
      <c r="J54" s="5">
        <f t="shared" ref="J54:J64" si="39">I54*S54*SQRT(3)/1000</f>
        <v>29.721991857881935</v>
      </c>
      <c r="K54" s="3" t="str">
        <f>IF(U54="Yes",UPPER(IF(ISNUMBER(SEARCH("winding",VLOOKUP(CONCATENATE(P54,Q54,S54,E54),BPD[[Limiting Equipment Reference-PTX]:[Summ Equipment]],7,0))),"Power Transformer Rating at "&amp;ROUND(E54*S54*SQRT(3)/1000,2)&amp;" MVA",VLOOKUP(CONCATENATE(P54,Q54,S54,E54),BPD[[Limiting Equipment Reference-No PTX]:[Summ Equipment]],8,0))),UPPER(VLOOKUP(CONCATENATE(P54,Q54,S54,E54),BPD[[Limiting Equipment Reference-No PTX]:[Summ Equipment]],8,0)))</f>
        <v>OH LINE-JAGUAR</v>
      </c>
      <c r="L54" s="4" t="s">
        <v>1266</v>
      </c>
      <c r="M54" s="4" t="s">
        <v>1162</v>
      </c>
      <c r="O54" s="3" t="str">
        <f>"CNR-"&amp;B54</f>
        <v>CNR-CB642</v>
      </c>
      <c r="P54" s="38" t="s">
        <v>1245</v>
      </c>
      <c r="Q54" s="38" t="s">
        <v>1381</v>
      </c>
      <c r="R54" s="389"/>
      <c r="S54" s="139">
        <v>33</v>
      </c>
      <c r="T54" s="4" t="s">
        <v>1266</v>
      </c>
      <c r="U54" s="4" t="s">
        <v>1267</v>
      </c>
      <c r="V54" s="38"/>
    </row>
    <row r="55" spans="2:22" x14ac:dyDescent="0.25">
      <c r="B55" s="49" t="s">
        <v>587</v>
      </c>
      <c r="C55" s="168" t="s">
        <v>2501</v>
      </c>
      <c r="D55" s="119">
        <f t="shared" si="36"/>
        <v>11</v>
      </c>
      <c r="E55" s="370">
        <f t="array" ref="E55">IF(U55="YES",IF(T55="YES",MIN(IF(BPD[Load Capability Reference]=CONCATENATE(P55,Q55,S55,R55),BPD[Lowest A-PTX])),MIN(IF(BPD[Load Capability Reference]=CONCATENATE(P55,Q55,S55,R55),IF(BPD[Equipment ID]&lt;&gt;O55,BPD[Lowest A-PTX])))),IF(T55="YES",MIN(IF(BPD[Load Capability Reference]=CONCATENATE(P55,Q55,S55,R55),BPD[Lowest A-No PTX])),MIN(IF(BPD[Load Capability Reference]=CONCATENATE(P55,Q55,S55,R55),IF(BPD[Equipment ID]&lt;&gt;O55,BPD[Lowest A-No PTX])))))</f>
        <v>787.29582162221698</v>
      </c>
      <c r="F55" s="119">
        <f>IFERROR(IFERROR(VLOOKUP(CONCATENATE(P55,Q55,O55,S55,"Protection"),TWZ[[OC Protection Reference]:[Forward A]],23,0),VLOOKUP(O55,AEL_Protection_Data[],12,0)),"N/A")</f>
        <v>1104</v>
      </c>
      <c r="G55" s="119">
        <f t="shared" si="37"/>
        <v>625</v>
      </c>
      <c r="H55" s="29">
        <f t="shared" si="38"/>
        <v>11.907849302036031</v>
      </c>
      <c r="I55" s="119">
        <f>IFERROR(FLOOR(MIN(E55:F55)*$D$2,5),"")</f>
        <v>705</v>
      </c>
      <c r="J55" s="29">
        <f t="shared" si="39"/>
        <v>13.432054012696643</v>
      </c>
      <c r="K55" s="6" t="str">
        <f>IF(U55="Yes",UPPER(IF(ISNUMBER(SEARCH("winding",VLOOKUP(CONCATENATE(P55,Q55,S55,E55),BPD[[Limiting Equipment Reference-PTX]:[Summ Equipment]],7,0))),"Power Transformer Rating at "&amp;ROUND(E55*S55*SQRT(3)/1000,2)&amp;" MVA",VLOOKUP(CONCATENATE(P55,Q55,S55,E55),BPD[[Limiting Equipment Reference-No PTX]:[Summ Equipment]],8,0))),UPPER(VLOOKUP(CONCATENATE(P55,Q55,S55,E55),BPD[[Limiting Equipment Reference-No PTX]:[Summ Equipment]],8,0)))</f>
        <v>POWER TRANSFORMER RATING AT 15 MVA</v>
      </c>
      <c r="L55" s="146" t="s">
        <v>1266</v>
      </c>
      <c r="M55" s="146" t="s">
        <v>1162</v>
      </c>
      <c r="O55" s="168" t="str">
        <f t="shared" ref="O55:O56" si="40">"CNR-"&amp;B55</f>
        <v>CNR-CB35</v>
      </c>
      <c r="P55" s="49" t="s">
        <v>1277</v>
      </c>
      <c r="Q55" s="49" t="s">
        <v>159</v>
      </c>
      <c r="R55" s="386"/>
      <c r="S55" s="43">
        <v>11</v>
      </c>
      <c r="T55" s="146" t="s">
        <v>1266</v>
      </c>
      <c r="U55" s="146" t="s">
        <v>1267</v>
      </c>
      <c r="V55" s="49"/>
    </row>
    <row r="56" spans="2:22" x14ac:dyDescent="0.25">
      <c r="B56" s="49" t="s">
        <v>588</v>
      </c>
      <c r="C56" s="168" t="s">
        <v>2502</v>
      </c>
      <c r="D56" s="119">
        <f t="shared" si="36"/>
        <v>11</v>
      </c>
      <c r="E56" s="366">
        <v>125</v>
      </c>
      <c r="F56" s="119">
        <f>IFERROR(IFERROR(VLOOKUP(CONCATENATE(P56,Q56,O56,S56,"Protection"),TWZ[[OC Protection Reference]:[Forward A]],23,0),VLOOKUP(O56,AEL_Protection_Data[],12,0)),"N/A")</f>
        <v>144</v>
      </c>
      <c r="G56" s="119">
        <f t="shared" si="37"/>
        <v>100</v>
      </c>
      <c r="H56" s="29">
        <f t="shared" si="38"/>
        <v>1.9052558883257651</v>
      </c>
      <c r="I56" s="119">
        <v>85</v>
      </c>
      <c r="J56" s="29">
        <f t="shared" si="39"/>
        <v>1.6194675050769001</v>
      </c>
      <c r="K56" s="6" t="s">
        <v>2503</v>
      </c>
      <c r="L56" s="146" t="s">
        <v>1266</v>
      </c>
      <c r="M56" s="146" t="s">
        <v>1162</v>
      </c>
      <c r="O56" s="6" t="str">
        <f t="shared" si="40"/>
        <v>CNR-CB36</v>
      </c>
      <c r="P56" s="49" t="s">
        <v>1277</v>
      </c>
      <c r="Q56" s="49" t="s">
        <v>159</v>
      </c>
      <c r="R56" s="386"/>
      <c r="S56" s="43">
        <v>11</v>
      </c>
      <c r="T56" s="8" t="s">
        <v>1266</v>
      </c>
      <c r="U56" s="8" t="s">
        <v>1266</v>
      </c>
      <c r="V56" s="7" t="s">
        <v>2513</v>
      </c>
    </row>
    <row r="57" spans="2:22" x14ac:dyDescent="0.25">
      <c r="B57" s="49"/>
      <c r="C57" s="168"/>
      <c r="D57" s="119">
        <f t="shared" si="36"/>
        <v>11</v>
      </c>
      <c r="E57" s="366">
        <v>125</v>
      </c>
      <c r="F57" s="119">
        <f>F56</f>
        <v>144</v>
      </c>
      <c r="G57" s="119">
        <f t="shared" si="37"/>
        <v>100</v>
      </c>
      <c r="H57" s="29">
        <f t="shared" si="38"/>
        <v>1.9052558883257651</v>
      </c>
      <c r="I57" s="119">
        <v>35</v>
      </c>
      <c r="J57" s="29">
        <f t="shared" si="39"/>
        <v>0.66683956091401775</v>
      </c>
      <c r="K57" s="6" t="s">
        <v>2504</v>
      </c>
      <c r="L57" s="146" t="s">
        <v>1266</v>
      </c>
      <c r="M57" s="146" t="s">
        <v>1162</v>
      </c>
      <c r="O57" s="6"/>
      <c r="P57" s="49" t="s">
        <v>1277</v>
      </c>
      <c r="Q57" s="49" t="s">
        <v>159</v>
      </c>
      <c r="R57" s="386"/>
      <c r="S57" s="43">
        <v>11</v>
      </c>
      <c r="T57" s="8" t="s">
        <v>1266</v>
      </c>
      <c r="U57" s="8" t="s">
        <v>1266</v>
      </c>
      <c r="V57" s="7" t="s">
        <v>2513</v>
      </c>
    </row>
    <row r="58" spans="2:22" x14ac:dyDescent="0.25">
      <c r="B58" s="49"/>
      <c r="C58" s="168"/>
      <c r="D58" s="119">
        <f t="shared" si="36"/>
        <v>11</v>
      </c>
      <c r="E58" s="366">
        <v>125</v>
      </c>
      <c r="F58" s="119">
        <f>F57</f>
        <v>144</v>
      </c>
      <c r="G58" s="119">
        <f t="shared" si="37"/>
        <v>100</v>
      </c>
      <c r="H58" s="29">
        <f t="shared" si="38"/>
        <v>1.9052558883257651</v>
      </c>
      <c r="I58" s="119">
        <v>25</v>
      </c>
      <c r="J58" s="29">
        <f t="shared" si="39"/>
        <v>0.47631397208144127</v>
      </c>
      <c r="K58" s="6" t="s">
        <v>2505</v>
      </c>
      <c r="L58" s="146" t="s">
        <v>1266</v>
      </c>
      <c r="M58" s="146" t="s">
        <v>1162</v>
      </c>
      <c r="O58" s="6"/>
      <c r="P58" s="49" t="s">
        <v>1277</v>
      </c>
      <c r="Q58" s="49" t="s">
        <v>159</v>
      </c>
      <c r="R58" s="386"/>
      <c r="S58" s="43">
        <v>11</v>
      </c>
      <c r="T58" s="8" t="s">
        <v>1266</v>
      </c>
      <c r="U58" s="8" t="s">
        <v>1266</v>
      </c>
      <c r="V58" s="7" t="s">
        <v>2513</v>
      </c>
    </row>
    <row r="59" spans="2:22" x14ac:dyDescent="0.25">
      <c r="B59" s="49" t="s">
        <v>2464</v>
      </c>
      <c r="C59" s="168" t="s">
        <v>2506</v>
      </c>
      <c r="D59" s="119">
        <f t="shared" si="36"/>
        <v>11</v>
      </c>
      <c r="E59" s="366">
        <f t="array" ref="E59">IF(U59="YES",IF(T59="YES",MIN(IF(BPD[Load Capability Reference]=CONCATENATE(P59,Q59,S59,R59),BPD[Lowest A-PTX])),MIN(IF(BPD[Load Capability Reference]=CONCATENATE(P59,Q59,S59,R59),IF(BPD[Equipment ID]&lt;&gt;O59,BPD[Lowest A-PTX])))),IF(T59="YES",MIN(IF(BPD[Load Capability Reference]=CONCATENATE(P59,Q59,S59,R59),BPD[Lowest A-No PTX])),MIN(IF(BPD[Load Capability Reference]=CONCATENATE(P59,Q59,S59,R59),IF(BPD[Equipment ID]&lt;&gt;O59,BPD[Lowest A-No PTX])))))</f>
        <v>1104</v>
      </c>
      <c r="F59" s="119">
        <f>IFERROR(IFERROR(VLOOKUP(CONCATENATE(P59,Q59,O59,S59,"Protection"),TWZ[[OC Protection Reference]:[Forward A]],23,0),VLOOKUP(O59,AEL_Protection_Data[],12,0)),"N/A")</f>
        <v>1200</v>
      </c>
      <c r="G59" s="119">
        <f t="shared" si="37"/>
        <v>880</v>
      </c>
      <c r="H59" s="29">
        <f t="shared" si="38"/>
        <v>16.766251817266731</v>
      </c>
      <c r="I59" s="119">
        <f t="shared" ref="I59:I64" si="41">IFERROR(FLOOR(MIN(E59:F59)*$D$2,5),"")</f>
        <v>990</v>
      </c>
      <c r="J59" s="29">
        <f t="shared" si="39"/>
        <v>18.862033294425075</v>
      </c>
      <c r="K59" s="6" t="str">
        <f>IF(U59="Yes",UPPER(IF(ISNUMBER(SEARCH("winding",VLOOKUP(CONCATENATE(P59,Q59,S59,E59),BPD[[Limiting Equipment Reference-PTX]:[Summ Equipment]],7,0))),"Power Transformer Rating at "&amp;ROUND(E59*S59*SQRT(3)/1000,2)&amp;" MVA",VLOOKUP(CONCATENATE(P59,Q59,S59,E59),BPD[[Limiting Equipment Reference-No PTX]:[Summ Equipment]],8,0))),UPPER(VLOOKUP(CONCATENATE(P59,Q59,S59,E59),BPD[[Limiting Equipment Reference-No PTX]:[Summ Equipment]],8,0)))</f>
        <v>CIRCUIT BREAKER-CNR-CB35-PROTECTION</v>
      </c>
      <c r="L59" s="146" t="s">
        <v>1266</v>
      </c>
      <c r="M59" s="146" t="s">
        <v>1162</v>
      </c>
      <c r="O59" s="168" t="str">
        <f t="shared" ref="O59:O64" si="42">"CNR-"&amp;B59</f>
        <v>CNR-CB31</v>
      </c>
      <c r="P59" s="49" t="s">
        <v>1277</v>
      </c>
      <c r="Q59" s="49" t="s">
        <v>159</v>
      </c>
      <c r="R59" s="386"/>
      <c r="S59" s="43">
        <v>11</v>
      </c>
      <c r="T59" s="8" t="s">
        <v>1266</v>
      </c>
      <c r="U59" s="8" t="s">
        <v>1266</v>
      </c>
      <c r="V59" s="7"/>
    </row>
    <row r="60" spans="2:22" x14ac:dyDescent="0.25">
      <c r="B60" s="7" t="s">
        <v>373</v>
      </c>
      <c r="C60" s="6" t="s">
        <v>2507</v>
      </c>
      <c r="D60" s="57">
        <f t="shared" si="36"/>
        <v>11</v>
      </c>
      <c r="E60" s="323">
        <f t="array" ref="E60">IF(U60="YES",IF(T60="YES",MIN(IF(BPD[Load Capability Reference]=CONCATENATE(P60,Q60,S60,R60),BPD[Lowest A-PTX])),MIN(IF(BPD[Load Capability Reference]=CONCATENATE(P60,Q60,S60,R60),IF(BPD[Equipment ID]&lt;&gt;O60,BPD[Lowest A-PTX])))),IF(T60="YES",MIN(IF(BPD[Load Capability Reference]=CONCATENATE(P60,Q60,S60,R60),BPD[Lowest A-No PTX])),MIN(IF(BPD[Load Capability Reference]=CONCATENATE(P60,Q60,S60,R60),IF(BPD[Equipment ID]&lt;&gt;O60,BPD[Lowest A-No PTX])))))</f>
        <v>1104</v>
      </c>
      <c r="F60" s="57">
        <f>IFERROR(IFERROR(VLOOKUP(CONCATENATE(P60,Q60,O60,S60,"Protection"),TWZ[[OC Protection Reference]:[Forward A]],23,0),VLOOKUP(O60,AEL_Protection_Data[],12,0)),"N/A")</f>
        <v>1200</v>
      </c>
      <c r="G60" s="57">
        <f t="shared" si="37"/>
        <v>880</v>
      </c>
      <c r="H60" s="9">
        <f t="shared" si="38"/>
        <v>16.766251817266731</v>
      </c>
      <c r="I60" s="57">
        <f t="shared" si="41"/>
        <v>990</v>
      </c>
      <c r="J60" s="9">
        <f t="shared" si="39"/>
        <v>18.862033294425075</v>
      </c>
      <c r="K60" s="6" t="str">
        <f>IF(U60="Yes",UPPER(IF(ISNUMBER(SEARCH("winding",VLOOKUP(CONCATENATE(P60,Q60,S60,E60),BPD[[Limiting Equipment Reference-PTX]:[Summ Equipment]],7,0))),"Power Transformer Rating at "&amp;ROUND(E60*S60*SQRT(3)/1000,2)&amp;" MVA",VLOOKUP(CONCATENATE(P60,Q60,S60,E60),BPD[[Limiting Equipment Reference-No PTX]:[Summ Equipment]],8,0))),UPPER(VLOOKUP(CONCATENATE(P60,Q60,S60,E60),BPD[[Limiting Equipment Reference-No PTX]:[Summ Equipment]],8,0)))</f>
        <v>CIRCUIT BREAKER-CNR-CB35-PROTECTION</v>
      </c>
      <c r="L60" s="8" t="s">
        <v>1266</v>
      </c>
      <c r="M60" s="8" t="s">
        <v>1162</v>
      </c>
      <c r="O60" s="168" t="str">
        <f t="shared" si="42"/>
        <v>CNR-CB32</v>
      </c>
      <c r="P60" s="49" t="s">
        <v>1277</v>
      </c>
      <c r="Q60" s="49" t="s">
        <v>159</v>
      </c>
      <c r="R60" s="386"/>
      <c r="S60" s="43">
        <v>11</v>
      </c>
      <c r="T60" s="8" t="s">
        <v>1266</v>
      </c>
      <c r="U60" s="8" t="s">
        <v>1266</v>
      </c>
      <c r="V60" s="7"/>
    </row>
    <row r="61" spans="2:22" x14ac:dyDescent="0.25">
      <c r="B61" s="7" t="s">
        <v>522</v>
      </c>
      <c r="C61" s="6" t="s">
        <v>2508</v>
      </c>
      <c r="D61" s="57">
        <f t="shared" si="36"/>
        <v>11</v>
      </c>
      <c r="E61" s="57">
        <f t="array" ref="E61">IF(U61="YES",IF(T61="YES",MIN(IF(BPD[Load Capability Reference]=CONCATENATE(P61,Q61,S61,R61),BPD[Lowest A-PTX])),MIN(IF(BPD[Load Capability Reference]=CONCATENATE(P61,Q61,S61,R61),IF(BPD[Equipment ID]&lt;&gt;O61,BPD[Lowest A-PTX])))),IF(T61="YES",MIN(IF(BPD[Load Capability Reference]=CONCATENATE(P61,Q61,S61,R61),BPD[Lowest A-No PTX])),MIN(IF(BPD[Load Capability Reference]=CONCATENATE(P61,Q61,S61,R61),IF(BPD[Equipment ID]&lt;&gt;O61,BPD[Lowest A-No PTX])))))</f>
        <v>378.90719999999999</v>
      </c>
      <c r="F61" s="57">
        <f>IFERROR(IFERROR(VLOOKUP(CONCATENATE(P61,Q61,O61,S61,"Protection"),TWZ[[OC Protection Reference]:[Forward A]],23,0),VLOOKUP(O61,AEL_Protection_Data[],12,0)),"N/A")</f>
        <v>402</v>
      </c>
      <c r="G61" s="57">
        <f t="shared" si="37"/>
        <v>300</v>
      </c>
      <c r="H61" s="9">
        <f t="shared" si="38"/>
        <v>5.715767664977295</v>
      </c>
      <c r="I61" s="57">
        <f t="shared" si="41"/>
        <v>340</v>
      </c>
      <c r="J61" s="9">
        <f t="shared" si="39"/>
        <v>6.4778700203076003</v>
      </c>
      <c r="K61" s="6" t="str">
        <f>IF(U61="Yes",UPPER(IF(ISNUMBER(SEARCH("winding",VLOOKUP(CONCATENATE(P61,Q61,S61,E61),BPD[[Limiting Equipment Reference-PTX]:[Summ Equipment]],7,0))),"Power Transformer Rating at "&amp;ROUND(E61*S61*SQRT(3)/1000,2)&amp;" MVA",VLOOKUP(CONCATENATE(P61,Q61,S61,E61),BPD[[Limiting Equipment Reference-No PTX]:[Summ Equipment]],8,0))),UPPER(VLOOKUP(CONCATENATE(P61,Q61,S61,E61),BPD[[Limiting Equipment Reference-No PTX]:[Summ Equipment]],8,0)))</f>
        <v>CABLE-3-1C 400MM² AL XLPE CWS MDPE</v>
      </c>
      <c r="L61" s="8" t="s">
        <v>1266</v>
      </c>
      <c r="M61" s="8" t="s">
        <v>1162</v>
      </c>
      <c r="O61" s="6" t="str">
        <f t="shared" si="42"/>
        <v>CNR-CB8</v>
      </c>
      <c r="P61" s="7" t="s">
        <v>1276</v>
      </c>
      <c r="Q61" s="7" t="s">
        <v>167</v>
      </c>
      <c r="R61" s="386"/>
      <c r="S61" s="43">
        <v>11</v>
      </c>
      <c r="T61" s="8" t="s">
        <v>1266</v>
      </c>
      <c r="U61" s="8" t="s">
        <v>1266</v>
      </c>
      <c r="V61" s="7"/>
    </row>
    <row r="62" spans="2:22" x14ac:dyDescent="0.25">
      <c r="B62" s="7" t="s">
        <v>526</v>
      </c>
      <c r="C62" s="6" t="s">
        <v>2509</v>
      </c>
      <c r="D62" s="57">
        <f t="shared" si="36"/>
        <v>11</v>
      </c>
      <c r="E62" s="57">
        <f t="array" ref="E62">IF(U62="YES",IF(T62="YES",MIN(IF(BPD[Load Capability Reference]=CONCATENATE(P62,Q62,S62,R62),BPD[Lowest A-PTX])),MIN(IF(BPD[Load Capability Reference]=CONCATENATE(P62,Q62,S62,R62),IF(BPD[Equipment ID]&lt;&gt;O62,BPD[Lowest A-PTX])))),IF(T62="YES",MIN(IF(BPD[Load Capability Reference]=CONCATENATE(P62,Q62,S62,R62),BPD[Lowest A-No PTX])),MIN(IF(BPD[Load Capability Reference]=CONCATENATE(P62,Q62,S62,R62),IF(BPD[Equipment ID]&lt;&gt;O62,BPD[Lowest A-No PTX])))))</f>
        <v>394.69499999999994</v>
      </c>
      <c r="F62" s="57">
        <f>IFERROR(IFERROR(VLOOKUP(CONCATENATE(P62,Q62,O62,S62,"Protection"),TWZ[[OC Protection Reference]:[Forward A]],23,0),VLOOKUP(O62,AEL_Protection_Data[],12,0)),"N/A")</f>
        <v>402</v>
      </c>
      <c r="G62" s="57">
        <f t="shared" si="37"/>
        <v>315</v>
      </c>
      <c r="H62" s="9">
        <f t="shared" si="38"/>
        <v>6.0015560482261598</v>
      </c>
      <c r="I62" s="57">
        <f t="shared" si="41"/>
        <v>355</v>
      </c>
      <c r="J62" s="9">
        <f t="shared" si="39"/>
        <v>6.763658403556466</v>
      </c>
      <c r="K62" s="6" t="str">
        <f>IF(U62="Yes",UPPER(IF(ISNUMBER(SEARCH("winding",VLOOKUP(CONCATENATE(P62,Q62,S62,E62),BPD[[Limiting Equipment Reference-PTX]:[Summ Equipment]],7,0))),"Power Transformer Rating at "&amp;ROUND(E62*S62*SQRT(3)/1000,2)&amp;" MVA",VLOOKUP(CONCATENATE(P62,Q62,S62,E62),BPD[[Limiting Equipment Reference-No PTX]:[Summ Equipment]],8,0))),UPPER(VLOOKUP(CONCATENATE(P62,Q62,S62,E62),BPD[[Limiting Equipment Reference-No PTX]:[Summ Equipment]],8,0)))</f>
        <v>CABLE-3-1C 400MM² AL XLPE CWS MDPE</v>
      </c>
      <c r="L62" s="8" t="s">
        <v>1266</v>
      </c>
      <c r="M62" s="8" t="s">
        <v>1162</v>
      </c>
      <c r="O62" s="6" t="str">
        <f t="shared" si="42"/>
        <v>CNR-CB9</v>
      </c>
      <c r="P62" s="7" t="s">
        <v>1276</v>
      </c>
      <c r="Q62" s="7" t="s">
        <v>175</v>
      </c>
      <c r="R62" s="386"/>
      <c r="S62" s="43">
        <v>11</v>
      </c>
      <c r="T62" s="8" t="s">
        <v>1266</v>
      </c>
      <c r="U62" s="8" t="s">
        <v>1266</v>
      </c>
      <c r="V62" s="7"/>
    </row>
    <row r="63" spans="2:22" x14ac:dyDescent="0.25">
      <c r="B63" s="39" t="s">
        <v>607</v>
      </c>
      <c r="C63" s="14" t="s">
        <v>2510</v>
      </c>
      <c r="D63" s="128">
        <f t="shared" si="36"/>
        <v>11</v>
      </c>
      <c r="E63" s="128">
        <f t="array" ref="E63">IF(U63="YES",IF(T63="YES",MIN(IF(BPD[Load Capability Reference]=CONCATENATE(P63,Q63,S63,R63),BPD[Lowest A-PTX])),MIN(IF(BPD[Load Capability Reference]=CONCATENATE(P63,Q63,S63,R63),IF(BPD[Equipment ID]&lt;&gt;O63,BPD[Lowest A-PTX])))),IF(T63="YES",MIN(IF(BPD[Load Capability Reference]=CONCATENATE(P63,Q63,S63,R63),BPD[Lowest A-No PTX])),MIN(IF(BPD[Load Capability Reference]=CONCATENATE(P63,Q63,S63,R63),IF(BPD[Equipment ID]&lt;&gt;O63,BPD[Lowest A-No PTX])))))</f>
        <v>378.90719999999999</v>
      </c>
      <c r="F63" s="128">
        <f>IFERROR(IFERROR(VLOOKUP(CONCATENATE(P63,Q63,O63,S63,"Protection"),TWZ[[OC Protection Reference]:[Forward A]],23,0),VLOOKUP(O63,AEL_Protection_Data[],12,0)),"N/A")</f>
        <v>402</v>
      </c>
      <c r="G63" s="128">
        <f t="shared" si="37"/>
        <v>300</v>
      </c>
      <c r="H63" s="16">
        <f t="shared" si="38"/>
        <v>5.715767664977295</v>
      </c>
      <c r="I63" s="128">
        <f t="shared" si="41"/>
        <v>340</v>
      </c>
      <c r="J63" s="16">
        <f t="shared" si="39"/>
        <v>6.4778700203076003</v>
      </c>
      <c r="K63" s="14" t="str">
        <f>IF(U63="Yes",UPPER(IF(ISNUMBER(SEARCH("winding",VLOOKUP(CONCATENATE(P63,Q63,S63,E63),BPD[[Limiting Equipment Reference-PTX]:[Summ Equipment]],7,0))),"Power Transformer Rating at "&amp;ROUND(E63*S63*SQRT(3)/1000,2)&amp;" MVA",VLOOKUP(CONCATENATE(P63,Q63,S63,E63),BPD[[Limiting Equipment Reference-No PTX]:[Summ Equipment]],8,0))),UPPER(VLOOKUP(CONCATENATE(P63,Q63,S63,E63),BPD[[Limiting Equipment Reference-No PTX]:[Summ Equipment]],8,0)))</f>
        <v>CABLE-3-1C 400MM² AL XLPE CWS MDPE</v>
      </c>
      <c r="L63" s="15" t="s">
        <v>1266</v>
      </c>
      <c r="M63" s="15" t="s">
        <v>1162</v>
      </c>
      <c r="O63" s="6" t="str">
        <f t="shared" si="42"/>
        <v>CNR-CB11</v>
      </c>
      <c r="P63" s="7" t="s">
        <v>1276</v>
      </c>
      <c r="Q63" s="7" t="s">
        <v>181</v>
      </c>
      <c r="R63" s="386"/>
      <c r="S63" s="43">
        <v>11</v>
      </c>
      <c r="T63" s="8" t="s">
        <v>1266</v>
      </c>
      <c r="U63" s="8" t="s">
        <v>1266</v>
      </c>
      <c r="V63" s="7"/>
    </row>
    <row r="64" spans="2:22" ht="15.75" thickBot="1" x14ac:dyDescent="0.3">
      <c r="B64" s="193" t="s">
        <v>610</v>
      </c>
      <c r="C64" s="191" t="s">
        <v>2511</v>
      </c>
      <c r="D64" s="197">
        <f t="shared" si="36"/>
        <v>11</v>
      </c>
      <c r="E64" s="197">
        <f t="array" ref="E64">IF(U64="YES",IF(T64="YES",MIN(IF(BPD[Load Capability Reference]=CONCATENATE(P64,Q64,S64,R64),BPD[Lowest A-PTX])),MIN(IF(BPD[Load Capability Reference]=CONCATENATE(P64,Q64,S64,R64),IF(BPD[Equipment ID]&lt;&gt;O64,BPD[Lowest A-PTX])))),IF(T64="YES",MIN(IF(BPD[Load Capability Reference]=CONCATENATE(P64,Q64,S64,R64),BPD[Lowest A-No PTX])),MIN(IF(BPD[Load Capability Reference]=CONCATENATE(P64,Q64,S64,R64),IF(BPD[Equipment ID]&lt;&gt;O64,BPD[Lowest A-No PTX])))))</f>
        <v>394.69499999999994</v>
      </c>
      <c r="F64" s="197">
        <f>IFERROR(IFERROR(VLOOKUP(CONCATENATE(P64,Q64,O64,S64,"Protection"),TWZ[[OC Protection Reference]:[Forward A]],23,0),VLOOKUP(O64,AEL_Protection_Data[],12,0)),"N/A")</f>
        <v>402</v>
      </c>
      <c r="G64" s="197">
        <f t="shared" si="37"/>
        <v>315</v>
      </c>
      <c r="H64" s="155">
        <f t="shared" si="38"/>
        <v>6.0015560482261598</v>
      </c>
      <c r="I64" s="197">
        <f t="shared" si="41"/>
        <v>355</v>
      </c>
      <c r="J64" s="155">
        <f t="shared" si="39"/>
        <v>6.763658403556466</v>
      </c>
      <c r="K64" s="191" t="str">
        <f>IF(U64="Yes",UPPER(IF(ISNUMBER(SEARCH("winding",VLOOKUP(CONCATENATE(P64,Q64,S64,E64),BPD[[Limiting Equipment Reference-PTX]:[Summ Equipment]],7,0))),"Power Transformer Rating at "&amp;ROUND(E64*S64*SQRT(3)/1000,2)&amp;" MVA",VLOOKUP(CONCATENATE(P64,Q64,S64,E64),BPD[[Limiting Equipment Reference-No PTX]:[Summ Equipment]],8,0))),UPPER(VLOOKUP(CONCATENATE(P64,Q64,S64,E64),BPD[[Limiting Equipment Reference-No PTX]:[Summ Equipment]],8,0)))</f>
        <v>CABLE-3-1C 400MM² AL XLPE CWS MDPE</v>
      </c>
      <c r="L64" s="201" t="s">
        <v>1266</v>
      </c>
      <c r="M64" s="201" t="s">
        <v>1162</v>
      </c>
      <c r="O64" s="191" t="str">
        <f t="shared" si="42"/>
        <v>CNR-CB12</v>
      </c>
      <c r="P64" s="193" t="s">
        <v>1276</v>
      </c>
      <c r="Q64" s="193" t="s">
        <v>184</v>
      </c>
      <c r="R64" s="387"/>
      <c r="S64" s="175">
        <v>11</v>
      </c>
      <c r="T64" s="201" t="s">
        <v>1266</v>
      </c>
      <c r="U64" s="201" t="s">
        <v>1266</v>
      </c>
      <c r="V64" s="193"/>
    </row>
    <row r="65" spans="2:22" ht="15.75" thickBot="1" x14ac:dyDescent="0.3">
      <c r="B65" s="1"/>
      <c r="R65" s="388"/>
    </row>
    <row r="66" spans="2:22" ht="26.25" thickBot="1" x14ac:dyDescent="0.3">
      <c r="B66" s="551" t="s">
        <v>2563</v>
      </c>
      <c r="C66" s="552"/>
      <c r="D66" s="552"/>
      <c r="E66" s="552"/>
      <c r="F66" s="552"/>
      <c r="G66" s="552"/>
      <c r="H66" s="552"/>
      <c r="I66" s="552"/>
      <c r="J66" s="552"/>
      <c r="K66" s="552"/>
      <c r="L66" s="552"/>
      <c r="M66" s="553"/>
      <c r="O66" s="551" t="s">
        <v>2391</v>
      </c>
      <c r="P66" s="552"/>
      <c r="Q66" s="552"/>
      <c r="R66" s="552"/>
      <c r="S66" s="552"/>
      <c r="T66" s="552"/>
      <c r="U66" s="552"/>
      <c r="V66" s="553"/>
    </row>
    <row r="67" spans="2:22" ht="15.75" customHeight="1" thickBot="1" x14ac:dyDescent="0.3">
      <c r="B67" s="571" t="str">
        <f t="shared" ref="B67:M69" si="43">B6</f>
        <v>CB ID</v>
      </c>
      <c r="C67" s="545" t="str">
        <f t="shared" si="43"/>
        <v>DESIGNATION</v>
      </c>
      <c r="D67" s="382" t="str">
        <f t="shared" si="43"/>
        <v>Rated</v>
      </c>
      <c r="E67" s="572" t="str">
        <f t="shared" si="43"/>
        <v>LOAD
CAPABILITY</v>
      </c>
      <c r="F67" s="572" t="str">
        <f t="shared" si="43"/>
        <v>OC
PICKUP</v>
      </c>
      <c r="G67" s="559" t="str">
        <f t="shared" si="43"/>
        <v>SCADA ALARM</v>
      </c>
      <c r="H67" s="560"/>
      <c r="I67" s="560"/>
      <c r="J67" s="561"/>
      <c r="K67" s="574" t="str">
        <f t="shared" si="43"/>
        <v>LIMITING EQUIPMENT</v>
      </c>
      <c r="L67" s="575" t="str">
        <f t="shared" si="43"/>
        <v>RECLOSING</v>
      </c>
      <c r="M67" s="576"/>
      <c r="O67" s="566" t="str">
        <f t="shared" ref="O67:V67" si="44">O6</f>
        <v>OC Pick up
Reference ID</v>
      </c>
      <c r="P67" s="557" t="str">
        <f t="shared" si="44"/>
        <v>Supply Level</v>
      </c>
      <c r="Q67" s="566" t="str">
        <f t="shared" si="44"/>
        <v>Station/Feeder</v>
      </c>
      <c r="R67" s="567" t="str">
        <f t="shared" ref="R67" si="45">$R$6</f>
        <v>Refered to PTX</v>
      </c>
      <c r="S67" s="569" t="str">
        <f t="shared" si="44"/>
        <v>Voltage</v>
      </c>
      <c r="T67" s="539" t="str">
        <f t="shared" si="44"/>
        <v>Include
CB</v>
      </c>
      <c r="U67" s="539" t="str">
        <f t="shared" si="44"/>
        <v>Include
PTX</v>
      </c>
      <c r="V67" s="557" t="str">
        <f t="shared" si="44"/>
        <v>Notes</v>
      </c>
    </row>
    <row r="68" spans="2:22" ht="15.75" thickBot="1" x14ac:dyDescent="0.3">
      <c r="B68" s="557"/>
      <c r="C68" s="540"/>
      <c r="D68" s="362" t="str">
        <f t="shared" si="43"/>
        <v>Voltage</v>
      </c>
      <c r="E68" s="573"/>
      <c r="F68" s="573"/>
      <c r="G68" s="544" t="str">
        <f t="shared" si="43"/>
        <v>Pre-Emergency</v>
      </c>
      <c r="H68" s="544"/>
      <c r="I68" s="544" t="str">
        <f t="shared" si="43"/>
        <v>Emergency</v>
      </c>
      <c r="J68" s="544"/>
      <c r="K68" s="540"/>
      <c r="L68" s="545" t="str">
        <f t="shared" si="43"/>
        <v>AVAILABLE</v>
      </c>
      <c r="M68" s="545" t="str">
        <f t="shared" si="43"/>
        <v>UTILISED</v>
      </c>
      <c r="O68" s="557"/>
      <c r="P68" s="557"/>
      <c r="Q68" s="557"/>
      <c r="R68" s="567"/>
      <c r="S68" s="569"/>
      <c r="T68" s="540"/>
      <c r="U68" s="540"/>
      <c r="V68" s="557"/>
    </row>
    <row r="69" spans="2:22" ht="15.75" thickBot="1" x14ac:dyDescent="0.3">
      <c r="B69" s="558"/>
      <c r="C69" s="541"/>
      <c r="D69" s="345" t="str">
        <f t="shared" si="43"/>
        <v>(kV)</v>
      </c>
      <c r="E69" s="345" t="str">
        <f t="shared" si="43"/>
        <v>(A)</v>
      </c>
      <c r="F69" s="345" t="str">
        <f t="shared" si="43"/>
        <v>(A)</v>
      </c>
      <c r="G69" s="406" t="str">
        <f t="shared" si="43"/>
        <v>(A)</v>
      </c>
      <c r="H69" s="407" t="str">
        <f t="shared" si="43"/>
        <v>(MVA)</v>
      </c>
      <c r="I69" s="406" t="str">
        <f t="shared" si="43"/>
        <v>(A)</v>
      </c>
      <c r="J69" s="407" t="str">
        <f t="shared" si="43"/>
        <v>(MVA)</v>
      </c>
      <c r="K69" s="541"/>
      <c r="L69" s="541"/>
      <c r="M69" s="541"/>
      <c r="O69" s="558"/>
      <c r="P69" s="558"/>
      <c r="Q69" s="558"/>
      <c r="R69" s="568"/>
      <c r="S69" s="570"/>
      <c r="T69" s="541"/>
      <c r="U69" s="541"/>
      <c r="V69" s="558"/>
    </row>
    <row r="70" spans="2:22" x14ac:dyDescent="0.25">
      <c r="B70" s="38" t="s">
        <v>502</v>
      </c>
      <c r="C70" s="3" t="s">
        <v>2564</v>
      </c>
      <c r="D70" s="61">
        <f t="shared" ref="D70:D78" si="46">ROUNDDOWN(S70,0)</f>
        <v>11</v>
      </c>
      <c r="E70" s="369">
        <f t="array" ref="E70">IF(U70="YES",IF(T70="YES",MIN(IF(STU[Load Capability Reference]=CONCATENATE(P70,Q70,S70,R70),STU[Lowest A-PTX])),MIN(IF(STU[Load Capability Reference]=CONCATENATE(P70,Q70,S70,R70),IF(STU[Equipment ID]&lt;&gt;O70,STU[Lowest A-PTX])))),IF(T70="YES",MIN(IF(STU[Load Capability Reference]=CONCATENATE(P70,Q70,S70,R70),STU[Lowest A-No PTX])),MIN(IF(STU[Load Capability Reference]=CONCATENATE(P70,Q70,S70,R70),IF(STU[Equipment ID]&lt;&gt;O70,STU[Lowest A-No PTX])))))</f>
        <v>352.93876800000004</v>
      </c>
      <c r="F70" s="61">
        <f>IFERROR(IFERROR(VLOOKUP(CONCATENATE(P70,Q70,O70,S70,"Protection"),TWZ[[OC Protection Reference]:[Forward A]],23,0),VLOOKUP(O70,AEL_Protection_Data[],12,0)),"N/A")</f>
        <v>360</v>
      </c>
      <c r="G70" s="61">
        <f t="shared" ref="G70:G78" si="47">IFERROR(FLOOR(MIN(E70:F70)*$D$3,5),"")</f>
        <v>280</v>
      </c>
      <c r="H70" s="5">
        <f t="shared" ref="H70:H78" si="48">G70*S70*SQRT(3)/1000</f>
        <v>5.4307413840837606</v>
      </c>
      <c r="I70" s="61">
        <f t="shared" ref="I70:I78" si="49">IFERROR(FLOOR(MIN(E70:F70)*$D$2,5),"")</f>
        <v>315</v>
      </c>
      <c r="J70" s="5">
        <f t="shared" ref="J70:J78" si="50">I70*S70*SQRT(3)/1000</f>
        <v>6.1095840570942306</v>
      </c>
      <c r="K70" s="3" t="str">
        <f>IF(U70="Yes",UPPER(IF(ISNUMBER(SEARCH("winding",VLOOKUP(CONCATENATE(P70,Q70,S70,E70),STU[[Limiting Equipment Reference-PTX]:[Summ Equipment]],7,0))),"Power Transformer Rating at "&amp;ROUND(E70*S70*SQRT(3)/1000,2)&amp;" MVA",VLOOKUP(CONCATENATE(P70,Q70,S70,E70),STU[[Limiting Equipment Reference-No PTX]:[Summ Equipment]],8,0))),UPPER(VLOOKUP(CONCATENATE(P70,Q70,S70,E70),STU[[Limiting Equipment Reference-No PTX]:[Summ Equipment]],8,0)))</f>
        <v>CABLE-3C-300MM² AL XLPE HDPE</v>
      </c>
      <c r="L70" s="4" t="s">
        <v>1266</v>
      </c>
      <c r="M70" s="4" t="s">
        <v>1162</v>
      </c>
      <c r="O70" s="3" t="str">
        <f>"STU-"&amp;B70</f>
        <v>STU-CB1</v>
      </c>
      <c r="P70" s="38" t="s">
        <v>1276</v>
      </c>
      <c r="Q70" s="38" t="s">
        <v>92</v>
      </c>
      <c r="R70" s="389"/>
      <c r="S70" s="139">
        <v>11.198</v>
      </c>
      <c r="T70" s="4" t="s">
        <v>1266</v>
      </c>
      <c r="U70" s="4" t="s">
        <v>1266</v>
      </c>
      <c r="V70" s="38"/>
    </row>
    <row r="71" spans="2:22" x14ac:dyDescent="0.25">
      <c r="B71" s="49" t="s">
        <v>507</v>
      </c>
      <c r="C71" s="168" t="s">
        <v>2565</v>
      </c>
      <c r="D71" s="119">
        <f t="shared" si="46"/>
        <v>11</v>
      </c>
      <c r="E71" s="370">
        <f t="array" ref="E71">IF(U71="YES",IF(T71="YES",MIN(IF(STU[Load Capability Reference]=CONCATENATE(P71,Q71,S71,R71),STU[Lowest A-PTX])),MIN(IF(STU[Load Capability Reference]=CONCATENATE(P71,Q71,S71,R71),IF(STU[Equipment ID]&lt;&gt;O71,STU[Lowest A-PTX])))),IF(T71="YES",MIN(IF(STU[Load Capability Reference]=CONCATENATE(P71,Q71,S71,R71),STU[Lowest A-No PTX])),MIN(IF(STU[Load Capability Reference]=CONCATENATE(P71,Q71,S71,R71),IF(STU[Equipment ID]&lt;&gt;O71,STU[Lowest A-No PTX])))))</f>
        <v>352.93876800000004</v>
      </c>
      <c r="F71" s="119">
        <f>IFERROR(IFERROR(VLOOKUP(CONCATENATE(P71,Q71,O71,S71,"Protection"),TWZ[[OC Protection Reference]:[Forward A]],23,0),VLOOKUP(O71,AEL_Protection_Data[],12,0)),"N/A")</f>
        <v>300</v>
      </c>
      <c r="G71" s="119">
        <f t="shared" si="47"/>
        <v>240</v>
      </c>
      <c r="H71" s="29">
        <f t="shared" si="48"/>
        <v>4.6549211863575088</v>
      </c>
      <c r="I71" s="119">
        <f t="shared" si="49"/>
        <v>270</v>
      </c>
      <c r="J71" s="29">
        <f t="shared" si="50"/>
        <v>5.236786334652197</v>
      </c>
      <c r="K71" s="6" t="str">
        <f>IF(U71="Yes",UPPER(IF(ISNUMBER(SEARCH("winding",VLOOKUP(CONCATENATE(P71,Q71,S71,E71),STU[[Limiting Equipment Reference-PTX]:[Summ Equipment]],7,0))),"Power Transformer Rating at "&amp;ROUND(E71*S71*SQRT(3)/1000,2)&amp;" MVA",VLOOKUP(CONCATENATE(P71,Q71,S71,E71),STU[[Limiting Equipment Reference-No PTX]:[Summ Equipment]],8,0))),UPPER(VLOOKUP(CONCATENATE(P71,Q71,S71,E71),STU[[Limiting Equipment Reference-No PTX]:[Summ Equipment]],8,0)))</f>
        <v>CABLE-3C-300MM² AL XLPE HDPE</v>
      </c>
      <c r="L71" s="146" t="s">
        <v>1266</v>
      </c>
      <c r="M71" s="146" t="s">
        <v>1162</v>
      </c>
      <c r="O71" s="168" t="str">
        <f t="shared" ref="O71:O78" si="51">"STU-"&amp;B71</f>
        <v>STU-CB2</v>
      </c>
      <c r="P71" s="49" t="s">
        <v>1276</v>
      </c>
      <c r="Q71" s="49" t="s">
        <v>105</v>
      </c>
      <c r="R71" s="386"/>
      <c r="S71" s="43">
        <v>11.198</v>
      </c>
      <c r="T71" s="146" t="s">
        <v>1266</v>
      </c>
      <c r="U71" s="146" t="s">
        <v>1266</v>
      </c>
      <c r="V71" s="49"/>
    </row>
    <row r="72" spans="2:22" x14ac:dyDescent="0.25">
      <c r="B72" s="49" t="s">
        <v>511</v>
      </c>
      <c r="C72" s="168" t="s">
        <v>2569</v>
      </c>
      <c r="D72" s="119">
        <f t="shared" si="46"/>
        <v>11</v>
      </c>
      <c r="E72" s="366">
        <f t="array" ref="E72">IF(U72="YES",IF(T72="YES",MIN(IF(STU[Load Capability Reference]=CONCATENATE(P72,Q72,S72,R72),STU[Lowest A-PTX])),MIN(IF(STU[Load Capability Reference]=CONCATENATE(P72,Q72,S72,R72),IF(STU[Equipment ID]&lt;&gt;O72,STU[Lowest A-PTX])))),IF(T72="YES",MIN(IF(STU[Load Capability Reference]=CONCATENATE(P72,Q72,S72,R72),STU[Lowest A-No PTX])),MIN(IF(STU[Load Capability Reference]=CONCATENATE(P72,Q72,S72,R72),IF(STU[Equipment ID]&lt;&gt;O72,STU[Lowest A-No PTX])))))</f>
        <v>352.93876800000004</v>
      </c>
      <c r="F72" s="119">
        <f>IFERROR(IFERROR(VLOOKUP(CONCATENATE(P72,Q72,O72,S72,"Protection"),TWZ[[OC Protection Reference]:[Forward A]],23,0),VLOOKUP(O72,AEL_Protection_Data[],12,0)),"N/A")</f>
        <v>300</v>
      </c>
      <c r="G72" s="119">
        <f t="shared" si="47"/>
        <v>240</v>
      </c>
      <c r="H72" s="29">
        <f t="shared" si="48"/>
        <v>4.6549211863575088</v>
      </c>
      <c r="I72" s="119">
        <f t="shared" si="49"/>
        <v>270</v>
      </c>
      <c r="J72" s="29">
        <f t="shared" si="50"/>
        <v>5.236786334652197</v>
      </c>
      <c r="K72" s="6" t="str">
        <f>IF(U72="Yes",UPPER(IF(ISNUMBER(SEARCH("winding",VLOOKUP(CONCATENATE(P72,Q72,S72,E72),STU[[Limiting Equipment Reference-PTX]:[Summ Equipment]],7,0))),"Power Transformer Rating at "&amp;ROUND(E72*S72*SQRT(3)/1000,2)&amp;" MVA",VLOOKUP(CONCATENATE(P72,Q72,S72,E72),STU[[Limiting Equipment Reference-No PTX]:[Summ Equipment]],8,0))),UPPER(VLOOKUP(CONCATENATE(P72,Q72,S72,E72),STU[[Limiting Equipment Reference-No PTX]:[Summ Equipment]],8,0)))</f>
        <v>CABLE-3C-300MM² AL XLPE HDPE</v>
      </c>
      <c r="L72" s="146" t="s">
        <v>1266</v>
      </c>
      <c r="M72" s="146" t="s">
        <v>1162</v>
      </c>
      <c r="O72" s="6" t="str">
        <f t="shared" si="51"/>
        <v>STU-CB3</v>
      </c>
      <c r="P72" s="49" t="s">
        <v>1276</v>
      </c>
      <c r="Q72" s="49" t="s">
        <v>116</v>
      </c>
      <c r="R72" s="386"/>
      <c r="S72" s="43">
        <v>11.198</v>
      </c>
      <c r="T72" s="8" t="s">
        <v>1266</v>
      </c>
      <c r="U72" s="8" t="s">
        <v>1266</v>
      </c>
      <c r="V72" s="7"/>
    </row>
    <row r="73" spans="2:22" x14ac:dyDescent="0.25">
      <c r="B73" s="49" t="s">
        <v>498</v>
      </c>
      <c r="C73" s="168" t="s">
        <v>2566</v>
      </c>
      <c r="D73" s="119">
        <f t="shared" si="46"/>
        <v>11</v>
      </c>
      <c r="E73" s="366">
        <f t="array" ref="E73">IF(U73="YES",IF(T73="YES",MIN(IF(STU[Load Capability Reference]=CONCATENATE(P73,Q73,S73,R73),STU[Lowest A-PTX])),MIN(IF(STU[Load Capability Reference]=CONCATENATE(P73,Q73,S73,R73),IF(STU[Equipment ID]&lt;&gt;O73,STU[Lowest A-PTX])))),IF(T73="YES",MIN(IF(STU[Load Capability Reference]=CONCATENATE(P73,Q73,S73,R73),STU[Lowest A-No PTX])),MIN(IF(STU[Load Capability Reference]=CONCATENATE(P73,Q73,S73,R73),IF(STU[Equipment ID]&lt;&gt;O73,STU[Lowest A-No PTX])))))</f>
        <v>524</v>
      </c>
      <c r="F73" s="119">
        <f>IFERROR(IFERROR(VLOOKUP(CONCATENATE(P73,Q73,O73,S73,"Protection"),TWZ[[OC Protection Reference]:[Forward A]],23,0),VLOOKUP(O73,AEL_Protection_Data[],12,0)),"N/A")</f>
        <v>900</v>
      </c>
      <c r="G73" s="119">
        <f t="shared" si="47"/>
        <v>415</v>
      </c>
      <c r="H73" s="29">
        <f t="shared" si="48"/>
        <v>8.0491345514098587</v>
      </c>
      <c r="I73" s="119">
        <f t="shared" si="49"/>
        <v>470</v>
      </c>
      <c r="J73" s="29">
        <f t="shared" si="50"/>
        <v>9.1158873232834559</v>
      </c>
      <c r="K73" s="6" t="str">
        <f>IF(U73="Yes",UPPER(IF(ISNUMBER(SEARCH("winding",VLOOKUP(CONCATENATE(P73,Q73,S73,E73),STU[[Limiting Equipment Reference-PTX]:[Summ Equipment]],7,0))),"Power Transformer Rating at "&amp;ROUND(E73*S73*SQRT(3)/1000,2)&amp;" MVA",VLOOKUP(CONCATENATE(P73,Q73,S73,E73),STU[[Limiting Equipment Reference-No PTX]:[Summ Equipment]],8,0))),UPPER(VLOOKUP(CONCATENATE(P73,Q73,S73,E73),STU[[Limiting Equipment Reference-No PTX]:[Summ Equipment]],8,0)))</f>
        <v>POWER TRANSFORMER RATING AT 10.16 MVA</v>
      </c>
      <c r="L73" s="146" t="s">
        <v>1266</v>
      </c>
      <c r="M73" s="146" t="s">
        <v>1162</v>
      </c>
      <c r="O73" s="6" t="str">
        <f t="shared" si="51"/>
        <v>STU-CB4</v>
      </c>
      <c r="P73" s="49" t="s">
        <v>4</v>
      </c>
      <c r="Q73" s="49" t="s">
        <v>74</v>
      </c>
      <c r="R73" s="386" t="s">
        <v>761</v>
      </c>
      <c r="S73" s="43">
        <v>11.198</v>
      </c>
      <c r="T73" s="8" t="s">
        <v>1266</v>
      </c>
      <c r="U73" s="8" t="s">
        <v>1267</v>
      </c>
      <c r="V73" s="7"/>
    </row>
    <row r="74" spans="2:22" x14ac:dyDescent="0.25">
      <c r="B74" s="49" t="s">
        <v>592</v>
      </c>
      <c r="C74" s="168" t="s">
        <v>2568</v>
      </c>
      <c r="D74" s="119">
        <f t="shared" si="46"/>
        <v>11</v>
      </c>
      <c r="E74" s="366">
        <f t="array" ref="E74">IF(U74="YES",IF(T74="YES",MIN(IF(STU[Load Capability Reference]=CONCATENATE(P74,Q74,S74,R74),STU[Lowest A-PTX])),MIN(IF(STU[Load Capability Reference]=CONCATENATE(P74,Q74,S74,R74),IF(STU[Equipment ID]&lt;&gt;O74,STU[Lowest A-PTX])))),IF(T74="YES",MIN(IF(STU[Load Capability Reference]=CONCATENATE(P74,Q74,S74,R74),STU[Lowest A-No PTX])),MIN(IF(STU[Load Capability Reference]=CONCATENATE(P74,Q74,S74,R74),IF(STU[Equipment ID]&lt;&gt;O74,STU[Lowest A-No PTX])))))</f>
        <v>744</v>
      </c>
      <c r="F74" s="119">
        <f>IFERROR(IFERROR(VLOOKUP(CONCATENATE(P74,Q74,O74,S74,"Protection"),TWZ[[OC Protection Reference]:[Forward A]],23,0),VLOOKUP(O74,AEL_Protection_Data[],12,0)),"N/A")</f>
        <v>744</v>
      </c>
      <c r="G74" s="119">
        <f t="shared" si="47"/>
        <v>595</v>
      </c>
      <c r="H74" s="29">
        <f t="shared" si="48"/>
        <v>11.540325441177991</v>
      </c>
      <c r="I74" s="119">
        <f t="shared" si="49"/>
        <v>665</v>
      </c>
      <c r="J74" s="29">
        <f t="shared" si="50"/>
        <v>12.898010787198931</v>
      </c>
      <c r="K74" s="6" t="str">
        <f>IF(U74="Yes",UPPER(IF(ISNUMBER(SEARCH("winding",VLOOKUP(CONCATENATE(P74,Q74,S74,E74),STU[[Limiting Equipment Reference-PTX]:[Summ Equipment]],7,0))),"Power Transformer Rating at "&amp;ROUND(E74*S74*SQRT(3)/1000,2)&amp;" MVA",VLOOKUP(CONCATENATE(P74,Q74,S74,E74),STU[[Limiting Equipment Reference-No PTX]:[Summ Equipment]],8,0))),UPPER(VLOOKUP(CONCATENATE(P74,Q74,S74,E74),STU[[Limiting Equipment Reference-No PTX]:[Summ Equipment]],8,0)))</f>
        <v>CIRCUIT BREAKER-STU-CB5-PROTECTION</v>
      </c>
      <c r="L74" s="146" t="s">
        <v>1266</v>
      </c>
      <c r="M74" s="146" t="s">
        <v>1162</v>
      </c>
      <c r="O74" s="6" t="str">
        <f t="shared" si="51"/>
        <v>STU-CB5</v>
      </c>
      <c r="P74" s="49" t="s">
        <v>4</v>
      </c>
      <c r="Q74" s="49" t="s">
        <v>81</v>
      </c>
      <c r="R74" s="386"/>
      <c r="S74" s="43">
        <v>11.198</v>
      </c>
      <c r="T74" s="8" t="s">
        <v>1267</v>
      </c>
      <c r="U74" s="8" t="s">
        <v>1266</v>
      </c>
      <c r="V74" s="7"/>
    </row>
    <row r="75" spans="2:22" x14ac:dyDescent="0.25">
      <c r="B75" s="49" t="s">
        <v>500</v>
      </c>
      <c r="C75" s="168" t="s">
        <v>2567</v>
      </c>
      <c r="D75" s="119">
        <f t="shared" si="46"/>
        <v>11</v>
      </c>
      <c r="E75" s="366">
        <f t="array" ref="E75">IF(U75="YES",IF(T75="YES",MIN(IF(STU[Load Capability Reference]=CONCATENATE(P75,Q75,S75,R75),STU[Lowest A-PTX])),MIN(IF(STU[Load Capability Reference]=CONCATENATE(P75,Q75,S75,R75),IF(STU[Equipment ID]&lt;&gt;O75,STU[Lowest A-PTX])))),IF(T75="YES",MIN(IF(STU[Load Capability Reference]=CONCATENATE(P75,Q75,S75,R75),STU[Lowest A-No PTX])),MIN(IF(STU[Load Capability Reference]=CONCATENATE(P75,Q75,S75,R75),IF(STU[Equipment ID]&lt;&gt;O75,STU[Lowest A-No PTX])))))</f>
        <v>524</v>
      </c>
      <c r="F75" s="119">
        <f>IFERROR(IFERROR(VLOOKUP(CONCATENATE(P75,Q75,O75,S75,"Protection"),TWZ[[OC Protection Reference]:[Forward A]],23,0),VLOOKUP(O75,AEL_Protection_Data[],12,0)),"N/A")</f>
        <v>900</v>
      </c>
      <c r="G75" s="119">
        <f t="shared" si="47"/>
        <v>415</v>
      </c>
      <c r="H75" s="29">
        <f t="shared" si="48"/>
        <v>8.0491345514098587</v>
      </c>
      <c r="I75" s="119">
        <f t="shared" si="49"/>
        <v>470</v>
      </c>
      <c r="J75" s="29">
        <f t="shared" si="50"/>
        <v>9.1158873232834559</v>
      </c>
      <c r="K75" s="6" t="str">
        <f>IF(U75="Yes",UPPER(IF(ISNUMBER(SEARCH("winding",VLOOKUP(CONCATENATE(P75,Q75,S75,E75),STU[[Limiting Equipment Reference-PTX]:[Summ Equipment]],7,0))),"Power Transformer Rating at "&amp;ROUND(E75*S75*SQRT(3)/1000,2)&amp;" MVA",VLOOKUP(CONCATENATE(P75,Q75,S75,E75),STU[[Limiting Equipment Reference-No PTX]:[Summ Equipment]],8,0))),UPPER(VLOOKUP(CONCATENATE(P75,Q75,S75,E75),STU[[Limiting Equipment Reference-No PTX]:[Summ Equipment]],8,0)))</f>
        <v>POWER TRANSFORMER RATING AT 10.16 MVA</v>
      </c>
      <c r="L75" s="146" t="s">
        <v>1266</v>
      </c>
      <c r="M75" s="146" t="s">
        <v>1162</v>
      </c>
      <c r="O75" s="168" t="str">
        <f t="shared" si="51"/>
        <v>STU-CB6</v>
      </c>
      <c r="P75" s="49" t="s">
        <v>4</v>
      </c>
      <c r="Q75" s="49" t="s">
        <v>74</v>
      </c>
      <c r="R75" s="386" t="s">
        <v>765</v>
      </c>
      <c r="S75" s="43">
        <v>11.198</v>
      </c>
      <c r="T75" s="8" t="s">
        <v>1266</v>
      </c>
      <c r="U75" s="8" t="s">
        <v>1267</v>
      </c>
      <c r="V75" s="7"/>
    </row>
    <row r="76" spans="2:22" x14ac:dyDescent="0.25">
      <c r="B76" s="7" t="s">
        <v>512</v>
      </c>
      <c r="C76" s="6" t="s">
        <v>2570</v>
      </c>
      <c r="D76" s="57">
        <f t="shared" si="46"/>
        <v>11</v>
      </c>
      <c r="E76" s="323">
        <f t="array" ref="E76">IF(U76="YES",IF(T76="YES",MIN(IF(STU[Load Capability Reference]=CONCATENATE(P76,Q76,S76,R76),STU[Lowest A-PTX])),MIN(IF(STU[Load Capability Reference]=CONCATENATE(P76,Q76,S76,R76),IF(STU[Equipment ID]&lt;&gt;O76,STU[Lowest A-PTX])))),IF(T76="YES",MIN(IF(STU[Load Capability Reference]=CONCATENATE(P76,Q76,S76,R76),STU[Lowest A-No PTX])),MIN(IF(STU[Load Capability Reference]=CONCATENATE(P76,Q76,S76,R76),IF(STU[Equipment ID]&lt;&gt;O76,STU[Lowest A-No PTX])))))</f>
        <v>352.93876800000004</v>
      </c>
      <c r="F76" s="57">
        <f>IFERROR(IFERROR(VLOOKUP(CONCATENATE(P76,Q76,O76,S76,"Protection"),TWZ[[OC Protection Reference]:[Forward A]],23,0),VLOOKUP(O76,AEL_Protection_Data[],12,0)),"N/A")</f>
        <v>360</v>
      </c>
      <c r="G76" s="57">
        <f t="shared" si="47"/>
        <v>280</v>
      </c>
      <c r="H76" s="9">
        <f t="shared" si="48"/>
        <v>5.4307413840837606</v>
      </c>
      <c r="I76" s="57">
        <f t="shared" si="49"/>
        <v>315</v>
      </c>
      <c r="J76" s="9">
        <f t="shared" si="50"/>
        <v>6.1095840570942306</v>
      </c>
      <c r="K76" s="6" t="str">
        <f>IF(U76="Yes",UPPER(IF(ISNUMBER(SEARCH("winding",VLOOKUP(CONCATENATE(P76,Q76,S76,E76),STU[[Limiting Equipment Reference-PTX]:[Summ Equipment]],7,0))),"Power Transformer Rating at "&amp;ROUND(E76*S76*SQRT(3)/1000,2)&amp;" MVA",VLOOKUP(CONCATENATE(P76,Q76,S76,E76),STU[[Limiting Equipment Reference-No PTX]:[Summ Equipment]],8,0))),UPPER(VLOOKUP(CONCATENATE(P76,Q76,S76,E76),STU[[Limiting Equipment Reference-No PTX]:[Summ Equipment]],8,0)))</f>
        <v>CABLE-3C-300MM² AL XLPE HDPE</v>
      </c>
      <c r="L76" s="8" t="s">
        <v>1266</v>
      </c>
      <c r="M76" s="8" t="s">
        <v>1162</v>
      </c>
      <c r="O76" s="168" t="str">
        <f t="shared" si="51"/>
        <v>STU-CB7</v>
      </c>
      <c r="P76" s="49" t="s">
        <v>1276</v>
      </c>
      <c r="Q76" s="49" t="s">
        <v>127</v>
      </c>
      <c r="R76" s="386"/>
      <c r="S76" s="43">
        <v>11.198</v>
      </c>
      <c r="T76" s="8" t="s">
        <v>1266</v>
      </c>
      <c r="U76" s="8" t="s">
        <v>1266</v>
      </c>
      <c r="V76" s="7"/>
    </row>
    <row r="77" spans="2:22" x14ac:dyDescent="0.25">
      <c r="B77" s="7" t="s">
        <v>522</v>
      </c>
      <c r="C77" s="6" t="s">
        <v>2571</v>
      </c>
      <c r="D77" s="57">
        <f t="shared" si="46"/>
        <v>11</v>
      </c>
      <c r="E77" s="57">
        <f t="array" ref="E77">IF(U77="YES",IF(T77="YES",MIN(IF(STU[Load Capability Reference]=CONCATENATE(P77,Q77,S77,R77),STU[Lowest A-PTX])),MIN(IF(STU[Load Capability Reference]=CONCATENATE(P77,Q77,S77,R77),IF(STU[Equipment ID]&lt;&gt;O77,STU[Lowest A-PTX])))),IF(T77="YES",MIN(IF(STU[Load Capability Reference]=CONCATENATE(P77,Q77,S77,R77),STU[Lowest A-No PTX])),MIN(IF(STU[Load Capability Reference]=CONCATENATE(P77,Q77,S77,R77),IF(STU[Equipment ID]&lt;&gt;O77,STU[Lowest A-No PTX])))))</f>
        <v>247</v>
      </c>
      <c r="F77" s="57">
        <f>IFERROR(IFERROR(VLOOKUP(CONCATENATE(P77,Q77,O77,S77,"Protection"),TWZ[[OC Protection Reference]:[Forward A]],23,0),VLOOKUP(O77,AEL_Protection_Data[],12,0)),"N/A")</f>
        <v>360</v>
      </c>
      <c r="G77" s="57">
        <f t="shared" si="47"/>
        <v>195</v>
      </c>
      <c r="H77" s="9">
        <f t="shared" si="48"/>
        <v>3.7821234639154762</v>
      </c>
      <c r="I77" s="57">
        <f t="shared" si="49"/>
        <v>220</v>
      </c>
      <c r="J77" s="9">
        <f t="shared" si="50"/>
        <v>4.2670110874943834</v>
      </c>
      <c r="K77" s="6" t="str">
        <f>IF(U77="Yes",UPPER(IF(ISNUMBER(SEARCH("winding",VLOOKUP(CONCATENATE(P77,Q77,S77,E77),STU[[Limiting Equipment Reference-PTX]:[Summ Equipment]],7,0))),"Power Transformer Rating at "&amp;ROUND(E77*S77*SQRT(3)/1000,2)&amp;" MVA",VLOOKUP(CONCATENATE(P77,Q77,S77,E77),STU[[Limiting Equipment Reference-No PTX]:[Summ Equipment]],8,0))),UPPER(VLOOKUP(CONCATENATE(P77,Q77,S77,E77),STU[[Limiting Equipment Reference-No PTX]:[Summ Equipment]],8,0)))</f>
        <v>OH LINE-70MM² CU</v>
      </c>
      <c r="L77" s="8" t="s">
        <v>1266</v>
      </c>
      <c r="M77" s="8" t="s">
        <v>1162</v>
      </c>
      <c r="O77" s="6" t="str">
        <f t="shared" si="51"/>
        <v>STU-CB8</v>
      </c>
      <c r="P77" s="7" t="s">
        <v>1276</v>
      </c>
      <c r="Q77" s="7" t="s">
        <v>134</v>
      </c>
      <c r="R77" s="386"/>
      <c r="S77" s="43">
        <v>11.198</v>
      </c>
      <c r="T77" s="8" t="s">
        <v>1266</v>
      </c>
      <c r="U77" s="8" t="s">
        <v>1266</v>
      </c>
      <c r="V77" s="7"/>
    </row>
    <row r="78" spans="2:22" ht="15.75" thickBot="1" x14ac:dyDescent="0.3">
      <c r="B78" s="193" t="s">
        <v>526</v>
      </c>
      <c r="C78" s="191" t="s">
        <v>2572</v>
      </c>
      <c r="D78" s="197">
        <f t="shared" si="46"/>
        <v>11</v>
      </c>
      <c r="E78" s="197">
        <f t="array" ref="E78">IF(U78="YES",IF(T78="YES",MIN(IF(STU[Load Capability Reference]=CONCATENATE(P78,Q78,S78,R78),STU[Lowest A-PTX])),MIN(IF(STU[Load Capability Reference]=CONCATENATE(P78,Q78,S78,R78),IF(STU[Equipment ID]&lt;&gt;O78,STU[Lowest A-PTX])))),IF(T78="YES",MIN(IF(STU[Load Capability Reference]=CONCATENATE(P78,Q78,S78,R78),STU[Lowest A-No PTX])),MIN(IF(STU[Load Capability Reference]=CONCATENATE(P78,Q78,S78,R78),IF(STU[Equipment ID]&lt;&gt;O78,STU[Lowest A-No PTX])))))</f>
        <v>352.93876800000004</v>
      </c>
      <c r="F78" s="197">
        <f>IFERROR(IFERROR(VLOOKUP(CONCATENATE(P78,Q78,O78,S78,"Protection"),TWZ[[OC Protection Reference]:[Forward A]],23,0),VLOOKUP(O78,AEL_Protection_Data[],12,0)),"N/A")</f>
        <v>300</v>
      </c>
      <c r="G78" s="197">
        <f t="shared" si="47"/>
        <v>240</v>
      </c>
      <c r="H78" s="155">
        <f t="shared" si="48"/>
        <v>4.6549211863575088</v>
      </c>
      <c r="I78" s="197">
        <f t="shared" si="49"/>
        <v>270</v>
      </c>
      <c r="J78" s="155">
        <f t="shared" si="50"/>
        <v>5.236786334652197</v>
      </c>
      <c r="K78" s="191" t="str">
        <f>IF(U78="Yes",UPPER(IF(ISNUMBER(SEARCH("winding",VLOOKUP(CONCATENATE(P78,Q78,S78,E78),STU[[Limiting Equipment Reference-PTX]:[Summ Equipment]],7,0))),"Power Transformer Rating at "&amp;ROUND(E78*S78*SQRT(3)/1000,2)&amp;" MVA",VLOOKUP(CONCATENATE(P78,Q78,S78,E78),STU[[Limiting Equipment Reference-No PTX]:[Summ Equipment]],8,0))),UPPER(VLOOKUP(CONCATENATE(P78,Q78,S78,E78),STU[[Limiting Equipment Reference-No PTX]:[Summ Equipment]],8,0)))</f>
        <v>CABLE-3C-300MM² AL XLPE HDPE</v>
      </c>
      <c r="L78" s="201" t="s">
        <v>1266</v>
      </c>
      <c r="M78" s="201" t="s">
        <v>1162</v>
      </c>
      <c r="O78" s="191" t="str">
        <f t="shared" si="51"/>
        <v>STU-CB9</v>
      </c>
      <c r="P78" s="193" t="s">
        <v>1276</v>
      </c>
      <c r="Q78" s="193" t="s">
        <v>139</v>
      </c>
      <c r="R78" s="387"/>
      <c r="S78" s="175">
        <v>11.198</v>
      </c>
      <c r="T78" s="201" t="s">
        <v>1266</v>
      </c>
      <c r="U78" s="201" t="s">
        <v>1266</v>
      </c>
      <c r="V78" s="193"/>
    </row>
    <row r="79" spans="2:22" ht="15.75" thickBot="1" x14ac:dyDescent="0.3">
      <c r="R79" s="388"/>
    </row>
    <row r="80" spans="2:22" ht="26.25" thickBot="1" x14ac:dyDescent="0.3">
      <c r="B80" s="551" t="s">
        <v>2707</v>
      </c>
      <c r="C80" s="552"/>
      <c r="D80" s="552"/>
      <c r="E80" s="552"/>
      <c r="F80" s="552"/>
      <c r="G80" s="552"/>
      <c r="H80" s="552"/>
      <c r="I80" s="552"/>
      <c r="J80" s="552"/>
      <c r="K80" s="552"/>
      <c r="L80" s="552"/>
      <c r="M80" s="553"/>
      <c r="O80" s="551" t="s">
        <v>2391</v>
      </c>
      <c r="P80" s="552"/>
      <c r="Q80" s="552"/>
      <c r="R80" s="552"/>
      <c r="S80" s="552"/>
      <c r="T80" s="552"/>
      <c r="U80" s="552"/>
      <c r="V80" s="553"/>
    </row>
    <row r="81" spans="1:22" ht="15.75" customHeight="1" thickBot="1" x14ac:dyDescent="0.3">
      <c r="B81" s="571" t="str">
        <f t="shared" ref="B81:J83" si="52">B6</f>
        <v>CB ID</v>
      </c>
      <c r="C81" s="545" t="str">
        <f t="shared" si="52"/>
        <v>DESIGNATION</v>
      </c>
      <c r="D81" s="382" t="str">
        <f t="shared" si="52"/>
        <v>Rated</v>
      </c>
      <c r="E81" s="572" t="str">
        <f t="shared" si="52"/>
        <v>LOAD
CAPABILITY</v>
      </c>
      <c r="F81" s="572" t="str">
        <f t="shared" si="52"/>
        <v>OC
PICKUP</v>
      </c>
      <c r="G81" s="559" t="str">
        <f t="shared" si="52"/>
        <v>SCADA ALARM</v>
      </c>
      <c r="H81" s="560"/>
      <c r="I81" s="560"/>
      <c r="J81" s="561"/>
      <c r="K81" s="574" t="str">
        <f>K6</f>
        <v>LIMITING EQUIPMENT</v>
      </c>
      <c r="L81" s="575" t="str">
        <f>L6</f>
        <v>RECLOSING</v>
      </c>
      <c r="M81" s="576"/>
      <c r="O81" s="566" t="str">
        <f t="shared" ref="O81:V81" si="53">O6</f>
        <v>OC Pick up
Reference ID</v>
      </c>
      <c r="P81" s="557" t="str">
        <f t="shared" si="53"/>
        <v>Supply Level</v>
      </c>
      <c r="Q81" s="566" t="str">
        <f t="shared" si="53"/>
        <v>Station/Feeder</v>
      </c>
      <c r="R81" s="567" t="str">
        <f t="shared" si="53"/>
        <v>Refered to PTX</v>
      </c>
      <c r="S81" s="569" t="str">
        <f t="shared" si="53"/>
        <v>Voltage</v>
      </c>
      <c r="T81" s="539" t="str">
        <f t="shared" si="53"/>
        <v>Include
CB</v>
      </c>
      <c r="U81" s="539" t="str">
        <f t="shared" si="53"/>
        <v>Include
PTX</v>
      </c>
      <c r="V81" s="557" t="str">
        <f t="shared" si="53"/>
        <v>Notes</v>
      </c>
    </row>
    <row r="82" spans="1:22" ht="15.75" thickBot="1" x14ac:dyDescent="0.3">
      <c r="B82" s="557"/>
      <c r="C82" s="540"/>
      <c r="D82" s="362" t="str">
        <f>D7</f>
        <v>Voltage</v>
      </c>
      <c r="E82" s="573"/>
      <c r="F82" s="573"/>
      <c r="G82" s="544" t="str">
        <f t="shared" si="52"/>
        <v>Pre-Emergency</v>
      </c>
      <c r="H82" s="544"/>
      <c r="I82" s="544" t="str">
        <f t="shared" si="52"/>
        <v>Emergency</v>
      </c>
      <c r="J82" s="544"/>
      <c r="K82" s="540"/>
      <c r="L82" s="545" t="str">
        <f>L7</f>
        <v>AVAILABLE</v>
      </c>
      <c r="M82" s="545" t="str">
        <f>M7</f>
        <v>UTILISED</v>
      </c>
      <c r="O82" s="557"/>
      <c r="P82" s="557"/>
      <c r="Q82" s="557"/>
      <c r="R82" s="567"/>
      <c r="S82" s="569"/>
      <c r="T82" s="540"/>
      <c r="U82" s="540"/>
      <c r="V82" s="557"/>
    </row>
    <row r="83" spans="1:22" ht="15.75" thickBot="1" x14ac:dyDescent="0.3">
      <c r="B83" s="558"/>
      <c r="C83" s="541"/>
      <c r="D83" s="345" t="str">
        <f>D8</f>
        <v>(kV)</v>
      </c>
      <c r="E83" s="345" t="str">
        <f>E8</f>
        <v>(A)</v>
      </c>
      <c r="F83" s="345" t="str">
        <f>F8</f>
        <v>(A)</v>
      </c>
      <c r="G83" s="406" t="str">
        <f t="shared" si="52"/>
        <v>(A)</v>
      </c>
      <c r="H83" s="407" t="str">
        <f t="shared" si="52"/>
        <v>(MVA)</v>
      </c>
      <c r="I83" s="406" t="str">
        <f t="shared" si="52"/>
        <v>(A)</v>
      </c>
      <c r="J83" s="407" t="str">
        <f t="shared" si="52"/>
        <v>(MVA)</v>
      </c>
      <c r="K83" s="541"/>
      <c r="L83" s="541"/>
      <c r="M83" s="541"/>
      <c r="O83" s="558"/>
      <c r="P83" s="558"/>
      <c r="Q83" s="558"/>
      <c r="R83" s="568"/>
      <c r="S83" s="570"/>
      <c r="T83" s="541"/>
      <c r="U83" s="541"/>
      <c r="V83" s="558"/>
    </row>
    <row r="84" spans="1:22" x14ac:dyDescent="0.25">
      <c r="A84" s="2"/>
      <c r="B84" s="124" t="s">
        <v>802</v>
      </c>
      <c r="C84" s="168" t="s">
        <v>1104</v>
      </c>
      <c r="D84" s="61">
        <f t="shared" ref="D84:D87" si="54">ROUNDDOWN(S84,0)</f>
        <v>11</v>
      </c>
      <c r="E84" s="369">
        <f t="array" ref="E84">IF(U84="YES",IF(T84="YES",MIN(IF(TIM[Load Capability Reference]=CONCATENATE(P84,Q84,S84,R84),TIM[Lowest A-PTX])),MIN(IF(TIM[Load Capability Reference]=CONCATENATE(P84,Q84,S84,R84),IF(TIM[Equipment ID]&lt;&gt;O84,TIM[Lowest A-PTX])))),IF(T84="YES",MIN(IF(TIM[Load Capability Reference]=CONCATENATE(P84,Q84,S84,R84),TIM[Lowest A-No PTX])),MIN(IF(TIM[Load Capability Reference]=CONCATENATE(P84,Q84,S84,R84),IF(TIM[Equipment ID]&lt;&gt;O84,TIM[Lowest A-No PTX])))))</f>
        <v>276.28703999999993</v>
      </c>
      <c r="F84" s="61">
        <f>IFERROR(IFERROR(VLOOKUP(CONCATENATE(P84,Q84,O84,S84,"Protection"),TWZ[[OC Protection Reference]:[Forward A]],23,0),VLOOKUP(O84,AEL_Protection_Data[],12,0)),"N/A")</f>
        <v>400</v>
      </c>
      <c r="G84" s="61">
        <f t="shared" ref="G84:G114" si="55">IFERROR(FLOOR(MIN(E84:F84)*$D$3,5),"")</f>
        <v>220</v>
      </c>
      <c r="H84" s="5">
        <f t="shared" ref="H84:H114" si="56">G84*S84*SQRT(3)/1000</f>
        <v>4.1915629543166828</v>
      </c>
      <c r="I84" s="61">
        <f t="shared" ref="I84:I114" si="57">IFERROR(FLOOR(MIN(E84:F84)*$D$2,5),"")</f>
        <v>245</v>
      </c>
      <c r="J84" s="5">
        <f t="shared" ref="J84:J114" si="58">I84*S84*SQRT(3)/1000</f>
        <v>4.6678769263981241</v>
      </c>
      <c r="K84" s="3" t="str">
        <f>IF(U84="Yes",UPPER(IF(ISNUMBER(SEARCH("winding",VLOOKUP(CONCATENATE(P84,Q84,S84,E84),TIM[[Limiting Equipment Reference-PTX]:[Summ Equipment]],7,0))),"Power Transformer Rating at "&amp;ROUND(E84*S84*SQRT(3)/1000,2)&amp;" MVA",VLOOKUP(CONCATENATE(P84,Q84,S84,E84),TIM[[Limiting Equipment Reference-No PTX]:[Summ Equipment]],8,0))),UPPER(VLOOKUP(CONCATENATE(P84,Q84,S84,E84),TIM[[Limiting Equipment Reference-No PTX]:[Summ Equipment]],8,0)))</f>
        <v>CABLE - 3C 240MM² AL PILC</v>
      </c>
      <c r="L84" s="4" t="s">
        <v>1267</v>
      </c>
      <c r="M84" s="4" t="s">
        <v>1266</v>
      </c>
      <c r="N84" s="398"/>
      <c r="O84" s="3" t="str">
        <f>"TIM-"&amp;B84</f>
        <v>TIM-CB2662</v>
      </c>
      <c r="P84" s="38" t="s">
        <v>1276</v>
      </c>
      <c r="Q84" s="38" t="s">
        <v>1305</v>
      </c>
      <c r="R84" s="389"/>
      <c r="S84" s="139">
        <v>11</v>
      </c>
      <c r="T84" s="4" t="s">
        <v>1266</v>
      </c>
      <c r="U84" s="4" t="s">
        <v>1266</v>
      </c>
      <c r="V84" s="38"/>
    </row>
    <row r="85" spans="1:22" x14ac:dyDescent="0.25">
      <c r="A85" s="2"/>
      <c r="B85" s="124" t="s">
        <v>804</v>
      </c>
      <c r="C85" s="168" t="s">
        <v>1107</v>
      </c>
      <c r="D85" s="119">
        <f t="shared" si="54"/>
        <v>11</v>
      </c>
      <c r="E85" s="370">
        <f t="array" ref="E85">IF(U85="YES",IF(T85="YES",MIN(IF(TIM[Load Capability Reference]=CONCATENATE(P85,Q85,S85,R85),TIM[Lowest A-PTX])),MIN(IF(TIM[Load Capability Reference]=CONCATENATE(P85,Q85,S85,R85),IF(TIM[Equipment ID]&lt;&gt;O85,TIM[Lowest A-PTX])))),IF(T85="YES",MIN(IF(TIM[Load Capability Reference]=CONCATENATE(P85,Q85,S85,R85),TIM[Lowest A-No PTX])),MIN(IF(TIM[Load Capability Reference]=CONCATENATE(P85,Q85,S85,R85),IF(TIM[Equipment ID]&lt;&gt;O85,TIM[Lowest A-No PTX])))))</f>
        <v>276.28703999999993</v>
      </c>
      <c r="F85" s="119">
        <f>IFERROR(IFERROR(VLOOKUP(CONCATENATE(P85,Q85,O85,S85,"Protection"),TWZ[[OC Protection Reference]:[Forward A]],23,0),VLOOKUP(O85,AEL_Protection_Data[],12,0)),"N/A")</f>
        <v>400</v>
      </c>
      <c r="G85" s="119">
        <f t="shared" si="55"/>
        <v>220</v>
      </c>
      <c r="H85" s="29">
        <f t="shared" si="56"/>
        <v>4.1915629543166828</v>
      </c>
      <c r="I85" s="119">
        <f t="shared" si="57"/>
        <v>245</v>
      </c>
      <c r="J85" s="29">
        <f t="shared" si="58"/>
        <v>4.6678769263981241</v>
      </c>
      <c r="K85" s="6" t="str">
        <f>IF(U85="Yes",UPPER(IF(ISNUMBER(SEARCH("winding",VLOOKUP(CONCATENATE(P85,Q85,S85,E85),TIM[[Limiting Equipment Reference-PTX]:[Summ Equipment]],7,0))),"Power Transformer Rating at "&amp;ROUND(E85*S85*SQRT(3)/1000,2)&amp;" MVA",VLOOKUP(CONCATENATE(P85,Q85,S85,E85),TIM[[Limiting Equipment Reference-No PTX]:[Summ Equipment]],8,0))),UPPER(VLOOKUP(CONCATENATE(P85,Q85,S85,E85),TIM[[Limiting Equipment Reference-No PTX]:[Summ Equipment]],8,0)))</f>
        <v>CABLE - 3C 240MM² AL PILC</v>
      </c>
      <c r="L85" s="146" t="s">
        <v>1267</v>
      </c>
      <c r="M85" s="146" t="s">
        <v>1266</v>
      </c>
      <c r="N85" s="399"/>
      <c r="O85" s="168" t="str">
        <f t="shared" ref="O85:O114" si="59">"TIM-"&amp;B85</f>
        <v>TIM-CB2672</v>
      </c>
      <c r="P85" s="49" t="s">
        <v>1276</v>
      </c>
      <c r="Q85" s="49" t="s">
        <v>1306</v>
      </c>
      <c r="R85" s="386"/>
      <c r="S85" s="43">
        <v>11</v>
      </c>
      <c r="T85" s="146" t="s">
        <v>1266</v>
      </c>
      <c r="U85" s="146" t="s">
        <v>1266</v>
      </c>
      <c r="V85" s="49"/>
    </row>
    <row r="86" spans="1:22" x14ac:dyDescent="0.25">
      <c r="A86" s="2"/>
      <c r="B86" s="124" t="s">
        <v>806</v>
      </c>
      <c r="C86" s="168" t="s">
        <v>1656</v>
      </c>
      <c r="D86" s="119">
        <f t="shared" si="54"/>
        <v>11</v>
      </c>
      <c r="E86" s="370">
        <f t="array" ref="E86">IF(U86="YES",IF(T86="YES",MIN(IF(TIM[Load Capability Reference]=CONCATENATE(P86,Q86,S86,R86),TIM[Lowest A-PTX])),MIN(IF(TIM[Load Capability Reference]=CONCATENATE(P86,Q86,S86,R86),IF(TIM[Equipment ID]&lt;&gt;O86,TIM[Lowest A-PTX])))),IF(T86="YES",MIN(IF(TIM[Load Capability Reference]=CONCATENATE(P86,Q86,S86,R86),TIM[Lowest A-No PTX])),MIN(IF(TIM[Load Capability Reference]=CONCATENATE(P86,Q86,S86,R86),IF(TIM[Equipment ID]&lt;&gt;O86,TIM[Lowest A-No PTX])))))</f>
        <v>345</v>
      </c>
      <c r="F86" s="119">
        <f>IFERROR(IFERROR(VLOOKUP(CONCATENATE(P86,Q86,O86,S86,"Protection"),TWZ[[OC Protection Reference]:[Forward A]],23,0),VLOOKUP(O86,AEL_Protection_Data[],12,0)),"N/A")</f>
        <v>400</v>
      </c>
      <c r="G86" s="119">
        <f t="shared" si="55"/>
        <v>275</v>
      </c>
      <c r="H86" s="29">
        <f t="shared" si="56"/>
        <v>5.2394536928958528</v>
      </c>
      <c r="I86" s="119">
        <f t="shared" si="57"/>
        <v>310</v>
      </c>
      <c r="J86" s="29">
        <f t="shared" si="58"/>
        <v>5.9062932538098716</v>
      </c>
      <c r="K86" s="168" t="str">
        <f>IF(U86="Yes",UPPER(IF(ISNUMBER(SEARCH("winding",VLOOKUP(CONCATENATE(P86,Q86,S86,E86),TIM[[Limiting Equipment Reference-PTX]:[Summ Equipment]],7,0))),"Power Transformer Rating at "&amp;ROUND(E86*S86*SQRT(3)/1000,2)&amp;" MVA",VLOOKUP(CONCATENATE(P86,Q86,S86,E86),TIM[[Limiting Equipment Reference-No PTX]:[Summ Equipment]],8,0))),UPPER(VLOOKUP(CONCATENATE(P86,Q86,S86,E86),TIM[[Limiting Equipment Reference-No PTX]:[Summ Equipment]],8,0)))</f>
        <v>CABLE-3X 1C 400MM2 AL XLPE HDPE</v>
      </c>
      <c r="L86" s="146" t="s">
        <v>1267</v>
      </c>
      <c r="M86" s="146" t="s">
        <v>1266</v>
      </c>
      <c r="O86" s="168" t="str">
        <f t="shared" si="59"/>
        <v>TIM-CB2682</v>
      </c>
      <c r="P86" s="49" t="s">
        <v>1276</v>
      </c>
      <c r="Q86" s="49" t="s">
        <v>1308</v>
      </c>
      <c r="R86" s="390"/>
      <c r="S86" s="32">
        <v>11</v>
      </c>
      <c r="T86" s="146" t="s">
        <v>1267</v>
      </c>
      <c r="U86" s="146" t="s">
        <v>1266</v>
      </c>
      <c r="V86" s="49"/>
    </row>
    <row r="87" spans="1:22" x14ac:dyDescent="0.25">
      <c r="A87" s="2"/>
      <c r="B87" s="124" t="s">
        <v>808</v>
      </c>
      <c r="C87" s="168" t="s">
        <v>2814</v>
      </c>
      <c r="D87" s="119">
        <f t="shared" si="54"/>
        <v>11</v>
      </c>
      <c r="E87" s="370">
        <f t="array" ref="E87">IF(U87="YES",IF(T87="YES",MIN(IF(TIM[Load Capability Reference]=CONCATENATE(P87,Q87,S87,R87),TIM[Lowest A-PTX])),MIN(IF(TIM[Load Capability Reference]=CONCATENATE(P87,Q87,S87,R87),IF(TIM[Equipment ID]&lt;&gt;O87,TIM[Lowest A-PTX])))),IF(T87="YES",MIN(IF(TIM[Load Capability Reference]=CONCATENATE(P87,Q87,S87,R87),TIM[Lowest A-No PTX])),MIN(IF(TIM[Load Capability Reference]=CONCATENATE(P87,Q87,S87,R87),IF(TIM[Equipment ID]&lt;&gt;O87,TIM[Lowest A-No PTX])))))</f>
        <v>806.26499999999987</v>
      </c>
      <c r="F87" s="119">
        <f>IFERROR(IFERROR(VLOOKUP(CONCATENATE(P87,Q87,O87,S87,"Protection"),TWZ[[OC Protection Reference]:[Forward A]],23,0),VLOOKUP(O87,AEL_Protection_Data[],12,0)),"N/A")</f>
        <v>1184</v>
      </c>
      <c r="G87" s="119">
        <f t="shared" si="55"/>
        <v>645</v>
      </c>
      <c r="H87" s="29">
        <f t="shared" si="56"/>
        <v>12.288900479701184</v>
      </c>
      <c r="I87" s="119">
        <f t="shared" si="57"/>
        <v>725</v>
      </c>
      <c r="J87" s="29">
        <f t="shared" si="58"/>
        <v>13.813105190361796</v>
      </c>
      <c r="K87" s="6" t="str">
        <f>IF(U87="Yes",UPPER(IF(ISNUMBER(SEARCH("winding",VLOOKUP(CONCATENATE(P87,Q87,S87,E87),TIM[[Limiting Equipment Reference-PTX]:[Summ Equipment]],7,0))),"Power Transformer Rating at "&amp;ROUND(E87*S87*SQRT(3)/1000,2)&amp;" MVA",VLOOKUP(CONCATENATE(P87,Q87,S87,E87),TIM[[Limiting Equipment Reference-No PTX]:[Summ Equipment]],8,0))),UPPER(VLOOKUP(CONCATENATE(P87,Q87,S87,E87),TIM[[Limiting Equipment Reference-No PTX]:[Summ Equipment]],8,0)))</f>
        <v>CABLE-3/1C 1200MM² AL XLPE CWS MDPE</v>
      </c>
      <c r="L87" s="146" t="s">
        <v>1267</v>
      </c>
      <c r="M87" s="146" t="s">
        <v>1266</v>
      </c>
      <c r="O87" s="168" t="str">
        <f t="shared" si="59"/>
        <v>TIM-CB2692</v>
      </c>
      <c r="P87" s="49" t="s">
        <v>1245</v>
      </c>
      <c r="Q87" s="49" t="s">
        <v>1317</v>
      </c>
      <c r="R87" s="386"/>
      <c r="S87" s="43">
        <v>11</v>
      </c>
      <c r="T87" s="146" t="s">
        <v>1266</v>
      </c>
      <c r="U87" s="146" t="s">
        <v>1266</v>
      </c>
      <c r="V87" s="49" t="s">
        <v>2817</v>
      </c>
    </row>
    <row r="88" spans="1:22" x14ac:dyDescent="0.25">
      <c r="A88" s="2"/>
      <c r="B88" s="124" t="s">
        <v>813</v>
      </c>
      <c r="C88" s="168" t="s">
        <v>1661</v>
      </c>
      <c r="D88" s="119">
        <f>ROUNDDOWN(S88,0)</f>
        <v>11</v>
      </c>
      <c r="E88" s="370">
        <f t="array" ref="E88">IF(U88="YES",IF(T88="YES",MIN(IF(TIM[Load Capability Reference]=CONCATENATE(P88,Q88,S88,R88),TIM[Lowest A-PTX])),MIN(IF(TIM[Load Capability Reference]=CONCATENATE(P88,Q88,S88,R88),IF(TIM[Equipment ID]&lt;&gt;O88,TIM[Lowest A-PTX])))),IF(T88="YES",MIN(IF(TIM[Load Capability Reference]=CONCATENATE(P88,Q88,S88,R88),TIM[Lowest A-No PTX])),MIN(IF(TIM[Load Capability Reference]=CONCATENATE(P88,Q88,S88,R88),IF(TIM[Equipment ID]&lt;&gt;O88,TIM[Lowest A-No PTX])))))</f>
        <v>188.03207500000005</v>
      </c>
      <c r="F88" s="119">
        <f>IFERROR(IFERROR(VLOOKUP(CONCATENATE(P88,Q88,O88,S88,"Protection"),TWZ[[OC Protection Reference]:[Forward A]],23,0),VLOOKUP(O88,AEL_Protection_Data[],12,0)),"N/A")</f>
        <v>400</v>
      </c>
      <c r="G88" s="119">
        <f t="shared" si="55"/>
        <v>150</v>
      </c>
      <c r="H88" s="29">
        <f t="shared" si="56"/>
        <v>2.8578838324886475</v>
      </c>
      <c r="I88" s="119">
        <f t="shared" si="57"/>
        <v>165</v>
      </c>
      <c r="J88" s="29">
        <f t="shared" si="58"/>
        <v>3.1436722157375119</v>
      </c>
      <c r="K88" s="6" t="str">
        <f>IF(U88="Yes",UPPER(IF(ISNUMBER(SEARCH("winding",VLOOKUP(CONCATENATE(P88,Q88,S88,E88),TIM[[Limiting Equipment Reference-PTX]:[Summ Equipment]],7,0))),"Power Transformer Rating at "&amp;ROUND(E88*S88*SQRT(3)/1000,2)&amp;" MVA",VLOOKUP(CONCATENATE(P88,Q88,S88,E88),TIM[[Limiting Equipment Reference-No PTX]:[Summ Equipment]],8,0))),UPPER(VLOOKUP(CONCATENATE(P88,Q88,S88,E88),TIM[[Limiting Equipment Reference-No PTX]:[Summ Equipment]],8,0)))</f>
        <v>CABLE-3C 150MM² AL PILC STA</v>
      </c>
      <c r="L88" s="146" t="s">
        <v>1267</v>
      </c>
      <c r="M88" s="146" t="s">
        <v>1266</v>
      </c>
      <c r="O88" s="168" t="str">
        <f t="shared" si="59"/>
        <v>TIM-CB2702</v>
      </c>
      <c r="P88" s="49" t="s">
        <v>1276</v>
      </c>
      <c r="Q88" s="49" t="s">
        <v>117</v>
      </c>
      <c r="R88" s="386"/>
      <c r="S88" s="43">
        <v>11</v>
      </c>
      <c r="T88" s="146" t="s">
        <v>1266</v>
      </c>
      <c r="U88" s="146" t="s">
        <v>1266</v>
      </c>
      <c r="V88" s="49"/>
    </row>
    <row r="89" spans="1:22" x14ac:dyDescent="0.25">
      <c r="A89" s="2"/>
      <c r="B89" s="124" t="s">
        <v>309</v>
      </c>
      <c r="C89" s="168" t="s">
        <v>1663</v>
      </c>
      <c r="D89" s="119">
        <f t="shared" ref="D89:D114" si="60">ROUNDDOWN(S89,0)</f>
        <v>11</v>
      </c>
      <c r="E89" s="370">
        <f t="array" ref="E89">IF(U89="YES",IF(T89="YES",MIN(IF(TIM[Load Capability Reference]=CONCATENATE(P89,Q89,S89,R89),TIM[Lowest A-PTX])),MIN(IF(TIM[Load Capability Reference]=CONCATENATE(P89,Q89,S89,R89),IF(TIM[Equipment ID]&lt;&gt;O89,TIM[Lowest A-PTX])))),IF(T89="YES",MIN(IF(TIM[Load Capability Reference]=CONCATENATE(P89,Q89,S89,R89),TIM[Lowest A-No PTX])),MIN(IF(TIM[Load Capability Reference]=CONCATENATE(P89,Q89,S89,R89),IF(TIM[Equipment ID]&lt;&gt;O89,TIM[Lowest A-No PTX])))))</f>
        <v>368.45256000000001</v>
      </c>
      <c r="F89" s="119">
        <f>IFERROR(IFERROR(VLOOKUP(CONCATENATE(P89,Q89,O89,S89,"Protection"),TWZ[[OC Protection Reference]:[Forward A]],23,0),VLOOKUP(O89,AEL_Protection_Data[],12,0)),"N/A")</f>
        <v>400</v>
      </c>
      <c r="G89" s="119">
        <f t="shared" si="55"/>
        <v>290</v>
      </c>
      <c r="H89" s="29">
        <f t="shared" si="56"/>
        <v>5.5252420761447185</v>
      </c>
      <c r="I89" s="119">
        <f t="shared" si="57"/>
        <v>330</v>
      </c>
      <c r="J89" s="29">
        <f t="shared" si="58"/>
        <v>6.2873444314750238</v>
      </c>
      <c r="K89" s="6" t="str">
        <f>IF(U89="Yes",UPPER(IF(ISNUMBER(SEARCH("winding",VLOOKUP(CONCATENATE(P89,Q89,S89,E89),TIM[[Limiting Equipment Reference-PTX]:[Summ Equipment]],7,0))),"Power Transformer Rating at "&amp;ROUND(E89*S89*SQRT(3)/1000,2)&amp;" MVA",VLOOKUP(CONCATENATE(P89,Q89,S89,E89),TIM[[Limiting Equipment Reference-No PTX]:[Summ Equipment]],8,0))),UPPER(VLOOKUP(CONCATENATE(P89,Q89,S89,E89),TIM[[Limiting Equipment Reference-No PTX]:[Summ Equipment]],8,0)))</f>
        <v>CABLE-3C 300MM² AL XLPE MDPE</v>
      </c>
      <c r="L89" s="146" t="s">
        <v>1267</v>
      </c>
      <c r="M89" s="146" t="s">
        <v>1266</v>
      </c>
      <c r="O89" s="168" t="str">
        <f t="shared" si="59"/>
        <v>TIM-CB2712</v>
      </c>
      <c r="P89" s="49" t="s">
        <v>1276</v>
      </c>
      <c r="Q89" s="49" t="s">
        <v>128</v>
      </c>
      <c r="R89" s="386"/>
      <c r="S89" s="43">
        <v>11</v>
      </c>
      <c r="T89" s="146" t="s">
        <v>1266</v>
      </c>
      <c r="U89" s="146" t="s">
        <v>1266</v>
      </c>
      <c r="V89" s="49"/>
    </row>
    <row r="90" spans="1:22" x14ac:dyDescent="0.25">
      <c r="A90" s="2"/>
      <c r="B90" s="124" t="s">
        <v>2742</v>
      </c>
      <c r="C90" s="168" t="s">
        <v>746</v>
      </c>
      <c r="D90" s="119">
        <f t="shared" si="60"/>
        <v>11</v>
      </c>
      <c r="E90" s="370">
        <v>2500</v>
      </c>
      <c r="F90" s="119">
        <f>IFERROR(IFERROR(VLOOKUP(CONCATENATE(P90,Q90,O90,S90,"Protection"),TWZ[[OC Protection Reference]:[Forward A]],23,0),VLOOKUP(O90,AEL_Protection_Data[],12,0)),"N/A")</f>
        <v>2496</v>
      </c>
      <c r="G90" s="119">
        <f t="shared" si="55"/>
        <v>1995</v>
      </c>
      <c r="H90" s="29">
        <f t="shared" si="56"/>
        <v>38.009854972099014</v>
      </c>
      <c r="I90" s="119">
        <f t="shared" si="57"/>
        <v>2245</v>
      </c>
      <c r="J90" s="29">
        <f t="shared" si="58"/>
        <v>42.772994692913421</v>
      </c>
      <c r="K90" s="6" t="s">
        <v>2710</v>
      </c>
      <c r="L90" s="146" t="s">
        <v>1267</v>
      </c>
      <c r="M90" s="146" t="s">
        <v>1266</v>
      </c>
      <c r="O90" s="168" t="str">
        <f t="shared" si="59"/>
        <v>TIM-CB2728</v>
      </c>
      <c r="P90" s="49" t="s">
        <v>4</v>
      </c>
      <c r="Q90" s="49" t="s">
        <v>75</v>
      </c>
      <c r="R90" s="386"/>
      <c r="S90" s="43">
        <v>11</v>
      </c>
      <c r="T90" s="146" t="s">
        <v>1267</v>
      </c>
      <c r="U90" s="146" t="s">
        <v>1266</v>
      </c>
      <c r="V90" s="49" t="s">
        <v>2818</v>
      </c>
    </row>
    <row r="91" spans="1:22" x14ac:dyDescent="0.25">
      <c r="A91" s="2"/>
      <c r="B91" s="124" t="s">
        <v>313</v>
      </c>
      <c r="C91" s="168" t="s">
        <v>1681</v>
      </c>
      <c r="D91" s="119">
        <f t="shared" si="60"/>
        <v>11</v>
      </c>
      <c r="E91" s="370">
        <f t="array" ref="E91">IF(U91="YES",IF(T91="YES",MIN(IF(TIM[Load Capability Reference]=CONCATENATE(P91,Q91,S91,R91),TIM[Lowest A-PTX])),MIN(IF(TIM[Load Capability Reference]=CONCATENATE(P91,Q91,S91,R91),IF(TIM[Equipment ID]&lt;&gt;O91,TIM[Lowest A-PTX])))),IF(T91="YES",MIN(IF(TIM[Load Capability Reference]=CONCATENATE(P91,Q91,S91,R91),TIM[Lowest A-No PTX])),MIN(IF(TIM[Load Capability Reference]=CONCATENATE(P91,Q91,S91,R91),IF(TIM[Equipment ID]&lt;&gt;O91,TIM[Lowest A-No PTX])))))</f>
        <v>1120.5439999999999</v>
      </c>
      <c r="F91" s="119">
        <f>IFERROR(IFERROR(VLOOKUP(CONCATENATE(P91,Q91,O91,S91,"Protection"),TWZ[[OC Protection Reference]:[Forward A]],23,0),VLOOKUP(O91,AEL_Protection_Data[],12,0)),"N/A")</f>
        <v>1068</v>
      </c>
      <c r="G91" s="119">
        <f t="shared" si="55"/>
        <v>850</v>
      </c>
      <c r="H91" s="29">
        <f t="shared" si="56"/>
        <v>16.194675050769</v>
      </c>
      <c r="I91" s="119">
        <f t="shared" si="57"/>
        <v>960</v>
      </c>
      <c r="J91" s="29">
        <f t="shared" si="58"/>
        <v>18.290456527927343</v>
      </c>
      <c r="K91" s="6" t="str">
        <f>IF(U91="Yes",UPPER(IF(ISNUMBER(SEARCH("winding",VLOOKUP(CONCATENATE(P91,Q91,S91,E91),TIM[[Limiting Equipment Reference-PTX]:[Summ Equipment]],7,0))),"Power Transformer Rating at "&amp;ROUND(E91*S91*SQRT(3)/1000,2)&amp;" MVA",VLOOKUP(CONCATENATE(P91,Q91,S91,E91),TIM[[Limiting Equipment Reference-No PTX]:[Summ Equipment]],8,0))),UPPER(VLOOKUP(CONCATENATE(P91,Q91,S91,E91),TIM[[Limiting Equipment Reference-No PTX]:[Summ Equipment]],8,0)))</f>
        <v xml:space="preserve">CABLE-2 X 3/1C 630MM² CU </v>
      </c>
      <c r="L91" s="146" t="s">
        <v>1267</v>
      </c>
      <c r="M91" s="146" t="s">
        <v>1266</v>
      </c>
      <c r="O91" s="168" t="str">
        <f t="shared" si="59"/>
        <v>TIM-CB2732</v>
      </c>
      <c r="P91" s="49" t="s">
        <v>1245</v>
      </c>
      <c r="Q91" s="49" t="s">
        <v>135</v>
      </c>
      <c r="R91" s="386"/>
      <c r="S91" s="43">
        <v>11</v>
      </c>
      <c r="T91" s="146" t="s">
        <v>1266</v>
      </c>
      <c r="U91" s="146" t="s">
        <v>1267</v>
      </c>
      <c r="V91" s="49"/>
    </row>
    <row r="92" spans="1:22" x14ac:dyDescent="0.25">
      <c r="A92" s="2"/>
      <c r="B92" s="123" t="s">
        <v>314</v>
      </c>
      <c r="C92" s="6" t="s">
        <v>1665</v>
      </c>
      <c r="D92" s="119">
        <f t="shared" si="60"/>
        <v>11</v>
      </c>
      <c r="E92" s="370">
        <f t="array" ref="E92">IF(U92="YES",IF(T92="YES",MIN(IF(TIM[Load Capability Reference]=CONCATENATE(P92,Q92,S92,R92),TIM[Lowest A-PTX])),MIN(IF(TIM[Load Capability Reference]=CONCATENATE(P92,Q92,S92,R92),IF(TIM[Equipment ID]&lt;&gt;O92,TIM[Lowest A-PTX])))),IF(T92="YES",MIN(IF(TIM[Load Capability Reference]=CONCATENATE(P92,Q92,S92,R92),TIM[Lowest A-No PTX])),MIN(IF(TIM[Load Capability Reference]=CONCATENATE(P92,Q92,S92,R92),IF(TIM[Equipment ID]&lt;&gt;O92,TIM[Lowest A-No PTX])))))</f>
        <v>394.49356799999993</v>
      </c>
      <c r="F92" s="119">
        <f>IFERROR(IFERROR(VLOOKUP(CONCATENATE(P92,Q92,O92,S92,"Protection"),TWZ[[OC Protection Reference]:[Forward A]],23,0),VLOOKUP(O92,AEL_Protection_Data[],12,0)),"N/A")</f>
        <v>400</v>
      </c>
      <c r="G92" s="119">
        <f t="shared" si="55"/>
        <v>315</v>
      </c>
      <c r="H92" s="29">
        <f t="shared" si="56"/>
        <v>6.0015560482261598</v>
      </c>
      <c r="I92" s="119">
        <f t="shared" si="57"/>
        <v>355</v>
      </c>
      <c r="J92" s="29">
        <f t="shared" si="58"/>
        <v>6.763658403556466</v>
      </c>
      <c r="K92" s="6" t="str">
        <f>IF(U92="Yes",UPPER(IF(ISNUMBER(SEARCH("winding",VLOOKUP(CONCATENATE(P92,Q92,S92,E92),TIM[[Limiting Equipment Reference-PTX]:[Summ Equipment]],7,0))),"Power Transformer Rating at "&amp;ROUND(E92*S92*SQRT(3)/1000,2)&amp;" MVA",VLOOKUP(CONCATENATE(P92,Q92,S92,E92),TIM[[Limiting Equipment Reference-No PTX]:[Summ Equipment]],8,0))),UPPER(VLOOKUP(CONCATENATE(P92,Q92,S92,E92),TIM[[Limiting Equipment Reference-No PTX]:[Summ Equipment]],8,0)))</f>
        <v>CABLE-3C 300MM² AL XLPE MDPE</v>
      </c>
      <c r="L92" s="146" t="s">
        <v>1267</v>
      </c>
      <c r="M92" s="146" t="s">
        <v>1266</v>
      </c>
      <c r="O92" s="168" t="str">
        <f t="shared" si="59"/>
        <v>TIM-CB2742</v>
      </c>
      <c r="P92" s="49" t="s">
        <v>1276</v>
      </c>
      <c r="Q92" s="49" t="s">
        <v>1309</v>
      </c>
      <c r="R92" s="386"/>
      <c r="S92" s="43">
        <v>11</v>
      </c>
      <c r="T92" s="146" t="s">
        <v>1266</v>
      </c>
      <c r="U92" s="146" t="s">
        <v>1266</v>
      </c>
      <c r="V92" s="49"/>
    </row>
    <row r="93" spans="1:22" x14ac:dyDescent="0.25">
      <c r="A93" s="2"/>
      <c r="B93" s="124" t="s">
        <v>2743</v>
      </c>
      <c r="C93" s="168" t="s">
        <v>1649</v>
      </c>
      <c r="D93" s="119">
        <f t="shared" si="60"/>
        <v>11</v>
      </c>
      <c r="E93" s="370">
        <f t="array" ref="E93">IF(U93="YES",IF(T93="YES",MIN(IF(TIM[Load Capability Reference]=CONCATENATE(P93,Q93,S93,R93),TIM[Lowest A-PTX])),MIN(IF(TIM[Load Capability Reference]=CONCATENATE(P93,Q93,S93,R93),IF(TIM[Equipment ID]&lt;&gt;O93,TIM[Lowest A-PTX])))),IF(T93="YES",MIN(IF(TIM[Load Capability Reference]=CONCATENATE(P93,Q93,S93,R93),TIM[Lowest A-No PTX])),MIN(IF(TIM[Load Capability Reference]=CONCATENATE(P93,Q93,S93,R93),IF(TIM[Equipment ID]&lt;&gt;O93,TIM[Lowest A-No PTX])))))</f>
        <v>1544</v>
      </c>
      <c r="F93" s="119">
        <f>IFERROR(IFERROR(VLOOKUP(CONCATENATE(P93,Q93,O93,S93,"Protection"),TWZ[[OC Protection Reference]:[Forward A]],23,0),VLOOKUP(O93,AEL_Protection_Data[],12,0)),"N/A")</f>
        <v>1800</v>
      </c>
      <c r="G93" s="119">
        <f t="shared" si="55"/>
        <v>1235</v>
      </c>
      <c r="H93" s="29">
        <f t="shared" si="56"/>
        <v>23.529910220823197</v>
      </c>
      <c r="I93" s="119">
        <f t="shared" si="57"/>
        <v>1385</v>
      </c>
      <c r="J93" s="29">
        <f t="shared" si="58"/>
        <v>26.387794053311847</v>
      </c>
      <c r="K93" s="6" t="str">
        <f>IF(U93="Yes",UPPER(IF(ISNUMBER(SEARCH("winding",VLOOKUP(CONCATENATE(P93,Q93,S93,E93),TIM[[Limiting Equipment Reference-PTX]:[Summ Equipment]],7,0))),"Power Transformer Rating at "&amp;ROUND(E93*S93*SQRT(3)/1000,2)&amp;" MVA",VLOOKUP(CONCATENATE(P93,Q93,S93,E93),TIM[[Limiting Equipment Reference-No PTX]:[Summ Equipment]],8,0))),UPPER(VLOOKUP(CONCATENATE(P93,Q93,S93,E93),TIM[[Limiting Equipment Reference-No PTX]:[Summ Equipment]],8,0)))</f>
        <v>CIRCUIT BREAKER-TIM-CB2752-PROTECTION</v>
      </c>
      <c r="L93" s="146" t="s">
        <v>1267</v>
      </c>
      <c r="M93" s="146" t="s">
        <v>1266</v>
      </c>
      <c r="O93" s="168" t="str">
        <f t="shared" si="59"/>
        <v>TIM-CB2752</v>
      </c>
      <c r="P93" s="49" t="s">
        <v>4</v>
      </c>
      <c r="Q93" s="49" t="s">
        <v>75</v>
      </c>
      <c r="R93" s="386" t="s">
        <v>2694</v>
      </c>
      <c r="S93" s="43">
        <v>11</v>
      </c>
      <c r="T93" s="146" t="s">
        <v>1267</v>
      </c>
      <c r="U93" s="146" t="s">
        <v>1267</v>
      </c>
      <c r="V93" s="49"/>
    </row>
    <row r="94" spans="1:22" x14ac:dyDescent="0.25">
      <c r="A94" s="2"/>
      <c r="B94" s="124" t="s">
        <v>830</v>
      </c>
      <c r="C94" s="168" t="s">
        <v>1667</v>
      </c>
      <c r="D94" s="119">
        <f t="shared" si="60"/>
        <v>11</v>
      </c>
      <c r="E94" s="370">
        <f t="array" ref="E94">IF(U94="YES",IF(T94="YES",MIN(IF(TIM[Load Capability Reference]=CONCATENATE(P94,Q94,S94,R94),TIM[Lowest A-PTX])),MIN(IF(TIM[Load Capability Reference]=CONCATENATE(P94,Q94,S94,R94),IF(TIM[Equipment ID]&lt;&gt;O94,TIM[Lowest A-PTX])))),IF(T94="YES",MIN(IF(TIM[Load Capability Reference]=CONCATENATE(P94,Q94,S94,R94),TIM[Lowest A-No PTX])),MIN(IF(TIM[Load Capability Reference]=CONCATENATE(P94,Q94,S94,R94),IF(TIM[Equipment ID]&lt;&gt;O94,TIM[Lowest A-No PTX])))))</f>
        <v>280.02959999999996</v>
      </c>
      <c r="F94" s="119">
        <f>IFERROR(IFERROR(VLOOKUP(CONCATENATE(P94,Q94,O94,S94,"Protection"),TWZ[[OC Protection Reference]:[Forward A]],23,0),VLOOKUP(O94,AEL_Protection_Data[],12,0)),"N/A")</f>
        <v>400</v>
      </c>
      <c r="G94" s="119">
        <f t="shared" si="55"/>
        <v>220</v>
      </c>
      <c r="H94" s="29">
        <f t="shared" si="56"/>
        <v>4.1915629543166828</v>
      </c>
      <c r="I94" s="119">
        <f t="shared" si="57"/>
        <v>250</v>
      </c>
      <c r="J94" s="29">
        <f t="shared" si="58"/>
        <v>4.7631397208144124</v>
      </c>
      <c r="K94" s="6" t="str">
        <f>IF(U94="Yes",UPPER(IF(ISNUMBER(SEARCH("winding",VLOOKUP(CONCATENATE(P94,Q94,S94,E94),TIM[[Limiting Equipment Reference-PTX]:[Summ Equipment]],7,0))),"Power Transformer Rating at "&amp;ROUND(E94*S94*SQRT(3)/1000,2)&amp;" MVA",VLOOKUP(CONCATENATE(P94,Q94,S94,E94),TIM[[Limiting Equipment Reference-No PTX]:[Summ Equipment]],8,0))),UPPER(VLOOKUP(CONCATENATE(P94,Q94,S94,E94),TIM[[Limiting Equipment Reference-No PTX]:[Summ Equipment]],8,0)))</f>
        <v>CABLE-3C 240MM²  AL PILC STA</v>
      </c>
      <c r="L94" s="146" t="s">
        <v>1267</v>
      </c>
      <c r="M94" s="146" t="s">
        <v>1266</v>
      </c>
      <c r="O94" s="168" t="str">
        <f t="shared" si="59"/>
        <v>TIM-CB2762</v>
      </c>
      <c r="P94" s="49" t="s">
        <v>1276</v>
      </c>
      <c r="Q94" s="49" t="s">
        <v>143</v>
      </c>
      <c r="R94" s="386"/>
      <c r="S94" s="43">
        <v>11</v>
      </c>
      <c r="T94" s="146" t="s">
        <v>1266</v>
      </c>
      <c r="U94" s="146" t="s">
        <v>1266</v>
      </c>
      <c r="V94" s="49"/>
    </row>
    <row r="95" spans="1:22" x14ac:dyDescent="0.25">
      <c r="A95" s="2"/>
      <c r="B95" s="124" t="s">
        <v>834</v>
      </c>
      <c r="C95" s="168" t="s">
        <v>2760</v>
      </c>
      <c r="D95" s="119">
        <f t="shared" si="60"/>
        <v>11</v>
      </c>
      <c r="E95" s="370">
        <f t="array" ref="E95">IF(U95="YES",IF(T95="YES",MIN(IF(TIM[Load Capability Reference]=CONCATENATE(P95,Q95,S95,R95),TIM[Lowest A-PTX])),MIN(IF(TIM[Load Capability Reference]=CONCATENATE(P95,Q95,S95,R95),IF(TIM[Equipment ID]&lt;&gt;O95,TIM[Lowest A-PTX])))),IF(T95="YES",MIN(IF(TIM[Load Capability Reference]=CONCATENATE(P95,Q95,S95,R95),TIM[Lowest A-No PTX])),MIN(IF(TIM[Load Capability Reference]=CONCATENATE(P95,Q95,S95,R95),IF(TIM[Equipment ID]&lt;&gt;O95,TIM[Lowest A-No PTX])))))</f>
        <v>412.56599999999986</v>
      </c>
      <c r="F95" s="119">
        <f>IFERROR(IFERROR(VLOOKUP(CONCATENATE(P95,Q95,O95,S95,"Protection"),TWZ[[OC Protection Reference]:[Forward A]],23,0),VLOOKUP(O95,AEL_Protection_Data[],12,0)),"N/A")</f>
        <v>600</v>
      </c>
      <c r="G95" s="119">
        <f t="shared" si="55"/>
        <v>330</v>
      </c>
      <c r="H95" s="29">
        <f t="shared" si="56"/>
        <v>6.2873444314750238</v>
      </c>
      <c r="I95" s="119">
        <f t="shared" si="57"/>
        <v>370</v>
      </c>
      <c r="J95" s="29">
        <f t="shared" si="58"/>
        <v>7.0494467868053299</v>
      </c>
      <c r="K95" s="6" t="str">
        <f>IF(U95="Yes",UPPER(IF(ISNUMBER(SEARCH("winding",VLOOKUP(CONCATENATE(P95,Q95,S95,E95),TIM[[Limiting Equipment Reference-PTX]:[Summ Equipment]],7,0))),"Power Transformer Rating at "&amp;ROUND(E95*S95*SQRT(3)/1000,2)&amp;" MVA",VLOOKUP(CONCATENATE(P95,Q95,S95,E95),TIM[[Limiting Equipment Reference-No PTX]:[Summ Equipment]],8,0))),UPPER(VLOOKUP(CONCATENATE(P95,Q95,S95,E95),TIM[[Limiting Equipment Reference-No PTX]:[Summ Equipment]],8,0)))</f>
        <v>CABLE-3C 400MM² CU PILC SWA</v>
      </c>
      <c r="L95" s="146" t="s">
        <v>1267</v>
      </c>
      <c r="M95" s="146" t="s">
        <v>1266</v>
      </c>
      <c r="O95" s="168" t="str">
        <f t="shared" si="59"/>
        <v>TIM-CB2772</v>
      </c>
      <c r="P95" s="49" t="s">
        <v>1245</v>
      </c>
      <c r="Q95" s="49" t="s">
        <v>1321</v>
      </c>
      <c r="R95" s="386"/>
      <c r="S95" s="43">
        <v>11</v>
      </c>
      <c r="T95" s="146" t="s">
        <v>1266</v>
      </c>
      <c r="U95" s="146" t="s">
        <v>1266</v>
      </c>
      <c r="V95" s="49"/>
    </row>
    <row r="96" spans="1:22" x14ac:dyDescent="0.25">
      <c r="A96" s="2"/>
      <c r="B96" s="124" t="s">
        <v>2744</v>
      </c>
      <c r="C96" s="168" t="s">
        <v>746</v>
      </c>
      <c r="D96" s="119">
        <f t="shared" si="60"/>
        <v>11</v>
      </c>
      <c r="E96" s="370">
        <v>2500</v>
      </c>
      <c r="F96" s="119">
        <f>IFERROR(IFERROR(VLOOKUP(CONCATENATE(P96,Q96,O96,S96,"Protection"),TWZ[[OC Protection Reference]:[Forward A]],23,0),VLOOKUP(O96,AEL_Protection_Data[],12,0)),"N/A")</f>
        <v>2496</v>
      </c>
      <c r="G96" s="119">
        <f t="shared" si="55"/>
        <v>1995</v>
      </c>
      <c r="H96" s="29">
        <f t="shared" si="56"/>
        <v>38.009854972099014</v>
      </c>
      <c r="I96" s="119">
        <f t="shared" si="57"/>
        <v>2245</v>
      </c>
      <c r="J96" s="29">
        <f t="shared" si="58"/>
        <v>42.772994692913421</v>
      </c>
      <c r="K96" s="6" t="s">
        <v>2711</v>
      </c>
      <c r="L96" s="146" t="s">
        <v>1267</v>
      </c>
      <c r="M96" s="146" t="s">
        <v>1266</v>
      </c>
      <c r="O96" s="168" t="str">
        <f t="shared" si="59"/>
        <v>TIM-CB2788</v>
      </c>
      <c r="P96" s="49" t="s">
        <v>4</v>
      </c>
      <c r="Q96" s="49" t="s">
        <v>75</v>
      </c>
      <c r="R96" s="386"/>
      <c r="S96" s="43">
        <v>11</v>
      </c>
      <c r="T96" s="146" t="s">
        <v>1267</v>
      </c>
      <c r="U96" s="146" t="s">
        <v>1266</v>
      </c>
      <c r="V96" s="49" t="s">
        <v>2818</v>
      </c>
    </row>
    <row r="97" spans="1:22" x14ac:dyDescent="0.25">
      <c r="A97" s="2"/>
      <c r="B97" s="124" t="s">
        <v>838</v>
      </c>
      <c r="C97" s="168" t="s">
        <v>2761</v>
      </c>
      <c r="D97" s="119">
        <f t="shared" si="60"/>
        <v>11</v>
      </c>
      <c r="E97" s="370">
        <f t="array" ref="E97">IF(U97="YES",IF(T97="YES",MIN(IF(TIM[Load Capability Reference]=CONCATENATE(P97,Q97,S97,R97),TIM[Lowest A-PTX])),MIN(IF(TIM[Load Capability Reference]=CONCATENATE(P97,Q97,S97,R97),IF(TIM[Equipment ID]&lt;&gt;O97,TIM[Lowest A-PTX])))),IF(T97="YES",MIN(IF(TIM[Load Capability Reference]=CONCATENATE(P97,Q97,S97,R97),TIM[Lowest A-No PTX])),MIN(IF(TIM[Load Capability Reference]=CONCATENATE(P97,Q97,S97,R97),IF(TIM[Equipment ID]&lt;&gt;O97,TIM[Lowest A-No PTX])))))</f>
        <v>412.56599999999986</v>
      </c>
      <c r="F97" s="119">
        <f>IFERROR(IFERROR(VLOOKUP(CONCATENATE(P97,Q97,O97,S97,"Protection"),TWZ[[OC Protection Reference]:[Forward A]],23,0),VLOOKUP(O97,AEL_Protection_Data[],12,0)),"N/A")</f>
        <v>600</v>
      </c>
      <c r="G97" s="119">
        <f t="shared" si="55"/>
        <v>330</v>
      </c>
      <c r="H97" s="29">
        <f t="shared" si="56"/>
        <v>6.2873444314750238</v>
      </c>
      <c r="I97" s="119">
        <f t="shared" si="57"/>
        <v>370</v>
      </c>
      <c r="J97" s="29">
        <f t="shared" si="58"/>
        <v>7.0494467868053299</v>
      </c>
      <c r="K97" s="6" t="str">
        <f>IF(U97="Yes",UPPER(IF(ISNUMBER(SEARCH("winding",VLOOKUP(CONCATENATE(P97,Q97,S97,E97),TIM[[Limiting Equipment Reference-PTX]:[Summ Equipment]],7,0))),"Power Transformer Rating at "&amp;ROUND(E97*S97*SQRT(3)/1000,2)&amp;" MVA",VLOOKUP(CONCATENATE(P97,Q97,S97,E97),TIM[[Limiting Equipment Reference-No PTX]:[Summ Equipment]],8,0))),UPPER(VLOOKUP(CONCATENATE(P97,Q97,S97,E97),TIM[[Limiting Equipment Reference-No PTX]:[Summ Equipment]],8,0)))</f>
        <v>CABLE-3C 400MM² CU PILC SWA</v>
      </c>
      <c r="L97" s="146" t="s">
        <v>1267</v>
      </c>
      <c r="M97" s="146" t="s">
        <v>1266</v>
      </c>
      <c r="O97" s="168" t="str">
        <f t="shared" si="59"/>
        <v>TIM-CB2812</v>
      </c>
      <c r="P97" s="49" t="s">
        <v>1245</v>
      </c>
      <c r="Q97" s="49" t="s">
        <v>1320</v>
      </c>
      <c r="R97" s="386"/>
      <c r="S97" s="43">
        <v>11</v>
      </c>
      <c r="T97" s="146" t="s">
        <v>1266</v>
      </c>
      <c r="U97" s="146" t="s">
        <v>1266</v>
      </c>
      <c r="V97" s="49"/>
    </row>
    <row r="98" spans="1:22" x14ac:dyDescent="0.25">
      <c r="A98" s="2"/>
      <c r="B98" s="124" t="s">
        <v>841</v>
      </c>
      <c r="C98" s="168" t="s">
        <v>2762</v>
      </c>
      <c r="D98" s="119">
        <f t="shared" si="60"/>
        <v>11</v>
      </c>
      <c r="E98" s="370">
        <f t="array" ref="E98">IF(U98="YES",IF(T98="YES",MIN(IF(TIM[Load Capability Reference]=CONCATENATE(P98,Q98,S98,R98),TIM[Lowest A-PTX])),MIN(IF(TIM[Load Capability Reference]=CONCATENATE(P98,Q98,S98,R98),IF(TIM[Equipment ID]&lt;&gt;O98,TIM[Lowest A-PTX])))),IF(T98="YES",MIN(IF(TIM[Load Capability Reference]=CONCATENATE(P98,Q98,S98,R98),TIM[Lowest A-No PTX])),MIN(IF(TIM[Load Capability Reference]=CONCATENATE(P98,Q98,S98,R98),IF(TIM[Equipment ID]&lt;&gt;O98,TIM[Lowest A-No PTX])))))</f>
        <v>412.56599999999986</v>
      </c>
      <c r="F98" s="119">
        <f>IFERROR(IFERROR(VLOOKUP(CONCATENATE(P98,Q98,O98,S98,"Protection"),TWZ[[OC Protection Reference]:[Forward A]],23,0),VLOOKUP(O98,AEL_Protection_Data[],12,0)),"N/A")</f>
        <v>600</v>
      </c>
      <c r="G98" s="119">
        <f t="shared" si="55"/>
        <v>330</v>
      </c>
      <c r="H98" s="29">
        <f t="shared" si="56"/>
        <v>6.2873444314750238</v>
      </c>
      <c r="I98" s="119">
        <f t="shared" si="57"/>
        <v>370</v>
      </c>
      <c r="J98" s="29">
        <f t="shared" si="58"/>
        <v>7.0494467868053299</v>
      </c>
      <c r="K98" s="6" t="str">
        <f>IF(U98="Yes",UPPER(IF(ISNUMBER(SEARCH("winding",VLOOKUP(CONCATENATE(P98,Q98,S98,E98),TIM[[Limiting Equipment Reference-PTX]:[Summ Equipment]],7,0))),"Power Transformer Rating at "&amp;ROUND(E98*S98*SQRT(3)/1000,2)&amp;" MVA",VLOOKUP(CONCATENATE(P98,Q98,S98,E98),TIM[[Limiting Equipment Reference-No PTX]:[Summ Equipment]],8,0))),UPPER(VLOOKUP(CONCATENATE(P98,Q98,S98,E98),TIM[[Limiting Equipment Reference-No PTX]:[Summ Equipment]],8,0)))</f>
        <v>CABLE-3C 400MM² CU PILC SWA</v>
      </c>
      <c r="L98" s="146" t="s">
        <v>1267</v>
      </c>
      <c r="M98" s="146" t="s">
        <v>1266</v>
      </c>
      <c r="O98" s="168" t="str">
        <f t="shared" si="59"/>
        <v>TIM-CB2822</v>
      </c>
      <c r="P98" s="49" t="s">
        <v>1245</v>
      </c>
      <c r="Q98" s="49" t="s">
        <v>1319</v>
      </c>
      <c r="R98" s="386"/>
      <c r="S98" s="43">
        <v>11</v>
      </c>
      <c r="T98" s="146" t="s">
        <v>1266</v>
      </c>
      <c r="U98" s="146" t="s">
        <v>1266</v>
      </c>
      <c r="V98" s="49"/>
    </row>
    <row r="99" spans="1:22" x14ac:dyDescent="0.25">
      <c r="A99" s="2"/>
      <c r="B99" s="124" t="s">
        <v>844</v>
      </c>
      <c r="C99" s="168" t="s">
        <v>1669</v>
      </c>
      <c r="D99" s="119">
        <f t="shared" si="60"/>
        <v>11</v>
      </c>
      <c r="E99" s="370">
        <f t="array" ref="E99">IF(U99="YES",IF(T99="YES",MIN(IF(TIM[Load Capability Reference]=CONCATENATE(P99,Q99,S99,R99),TIM[Lowest A-PTX])),MIN(IF(TIM[Load Capability Reference]=CONCATENATE(P99,Q99,S99,R99),IF(TIM[Equipment ID]&lt;&gt;O99,TIM[Lowest A-PTX])))),IF(T99="YES",MIN(IF(TIM[Load Capability Reference]=CONCATENATE(P99,Q99,S99,R99),TIM[Lowest A-No PTX])),MIN(IF(TIM[Load Capability Reference]=CONCATENATE(P99,Q99,S99,R99),IF(TIM[Equipment ID]&lt;&gt;O99,TIM[Lowest A-No PTX])))))</f>
        <v>280.02959999999996</v>
      </c>
      <c r="F99" s="119">
        <f>IFERROR(IFERROR(VLOOKUP(CONCATENATE(P99,Q99,O99,S99,"Protection"),TWZ[[OC Protection Reference]:[Forward A]],23,0),VLOOKUP(O99,AEL_Protection_Data[],12,0)),"N/A")</f>
        <v>400</v>
      </c>
      <c r="G99" s="119">
        <f t="shared" si="55"/>
        <v>220</v>
      </c>
      <c r="H99" s="29">
        <f t="shared" si="56"/>
        <v>4.1915629543166828</v>
      </c>
      <c r="I99" s="119">
        <f t="shared" si="57"/>
        <v>250</v>
      </c>
      <c r="J99" s="29">
        <f t="shared" si="58"/>
        <v>4.7631397208144124</v>
      </c>
      <c r="K99" s="6" t="str">
        <f>IF(U99="Yes",UPPER(IF(ISNUMBER(SEARCH("winding",VLOOKUP(CONCATENATE(P99,Q99,S99,E99),TIM[[Limiting Equipment Reference-PTX]:[Summ Equipment]],7,0))),"Power Transformer Rating at "&amp;ROUND(E99*S99*SQRT(3)/1000,2)&amp;" MVA",VLOOKUP(CONCATENATE(P99,Q99,S99,E99),TIM[[Limiting Equipment Reference-No PTX]:[Summ Equipment]],8,0))),UPPER(VLOOKUP(CONCATENATE(P99,Q99,S99,E99),TIM[[Limiting Equipment Reference-No PTX]:[Summ Equipment]],8,0)))</f>
        <v>CABLE-3C 240MM²  AL PILC STA</v>
      </c>
      <c r="L99" s="146" t="s">
        <v>1267</v>
      </c>
      <c r="M99" s="146" t="s">
        <v>1266</v>
      </c>
      <c r="O99" s="168" t="str">
        <f t="shared" si="59"/>
        <v>TIM-CB2832</v>
      </c>
      <c r="P99" s="49" t="s">
        <v>1276</v>
      </c>
      <c r="Q99" s="49" t="s">
        <v>146</v>
      </c>
      <c r="R99" s="386"/>
      <c r="S99" s="43">
        <v>11</v>
      </c>
      <c r="T99" s="146" t="s">
        <v>1266</v>
      </c>
      <c r="U99" s="146" t="s">
        <v>1266</v>
      </c>
      <c r="V99" s="49"/>
    </row>
    <row r="100" spans="1:22" x14ac:dyDescent="0.25">
      <c r="A100" s="2"/>
      <c r="B100" s="124" t="s">
        <v>2745</v>
      </c>
      <c r="C100" s="168" t="s">
        <v>1652</v>
      </c>
      <c r="D100" s="119">
        <f t="shared" si="60"/>
        <v>11</v>
      </c>
      <c r="E100" s="370">
        <f t="array" ref="E100">IF(U100="YES",IF(T100="YES",MIN(IF(TIM[Load Capability Reference]=CONCATENATE(P100,Q100,S100,R100),TIM[Lowest A-PTX])),MIN(IF(TIM[Load Capability Reference]=CONCATENATE(P100,Q100,S100,R100),IF(TIM[Equipment ID]&lt;&gt;O100,TIM[Lowest A-PTX])))),IF(T100="YES",MIN(IF(TIM[Load Capability Reference]=CONCATENATE(P100,Q100,S100,R100),TIM[Lowest A-No PTX])),MIN(IF(TIM[Load Capability Reference]=CONCATENATE(P100,Q100,S100,R100),IF(TIM[Equipment ID]&lt;&gt;O100,TIM[Lowest A-No PTX])))))</f>
        <v>2466.8602410829467</v>
      </c>
      <c r="F100" s="119">
        <f>IFERROR(IFERROR(VLOOKUP(CONCATENATE(P100,Q100,O100,S100,"Protection"),TWZ[[OC Protection Reference]:[Forward A]],23,0),VLOOKUP(O100,AEL_Protection_Data[],12,0)),"N/A")</f>
        <v>1800</v>
      </c>
      <c r="G100" s="119">
        <f t="shared" si="55"/>
        <v>1440</v>
      </c>
      <c r="H100" s="29">
        <f t="shared" si="56"/>
        <v>27.435684791891013</v>
      </c>
      <c r="I100" s="119">
        <f t="shared" si="57"/>
        <v>1620</v>
      </c>
      <c r="J100" s="29">
        <f t="shared" si="58"/>
        <v>30.865145390877391</v>
      </c>
      <c r="K100" s="6" t="str">
        <f>IF(U100="Yes",UPPER(IF(ISNUMBER(SEARCH("winding",VLOOKUP(CONCATENATE(P100,Q100,S100,E100),TIM[[Limiting Equipment Reference-PTX]:[Summ Equipment]],7,0))),"Power Transformer Rating at "&amp;ROUND(E100*S100*SQRT(3)/1000,2)&amp;" MVA",VLOOKUP(CONCATENATE(P100,Q100,S100,E100),TIM[[Limiting Equipment Reference-No PTX]:[Summ Equipment]],8,0))),UPPER(VLOOKUP(CONCATENATE(P100,Q100,S100,E100),TIM[[Limiting Equipment Reference-No PTX]:[Summ Equipment]],8,0)))</f>
        <v>POWER TRANSFORMER RATING AT 47 MVA</v>
      </c>
      <c r="L100" s="146" t="s">
        <v>1267</v>
      </c>
      <c r="M100" s="146" t="s">
        <v>1266</v>
      </c>
      <c r="O100" s="168" t="str">
        <f t="shared" si="59"/>
        <v>TIM-CB2842</v>
      </c>
      <c r="P100" s="49" t="s">
        <v>4</v>
      </c>
      <c r="Q100" s="49" t="s">
        <v>75</v>
      </c>
      <c r="R100" s="386" t="s">
        <v>2695</v>
      </c>
      <c r="S100" s="43">
        <v>11</v>
      </c>
      <c r="T100" s="146" t="s">
        <v>1266</v>
      </c>
      <c r="U100" s="146" t="s">
        <v>1267</v>
      </c>
      <c r="V100" s="49"/>
    </row>
    <row r="101" spans="1:22" x14ac:dyDescent="0.25">
      <c r="A101" s="2"/>
      <c r="B101" s="124" t="s">
        <v>847</v>
      </c>
      <c r="C101" s="168" t="s">
        <v>1671</v>
      </c>
      <c r="D101" s="119">
        <f t="shared" si="60"/>
        <v>11</v>
      </c>
      <c r="E101" s="370">
        <f t="array" ref="E101">IF(U101="YES",IF(T101="YES",MIN(IF(TIM[Load Capability Reference]=CONCATENATE(P101,Q101,S101,R101),TIM[Lowest A-PTX])),MIN(IF(TIM[Load Capability Reference]=CONCATENATE(P101,Q101,S101,R101),IF(TIM[Equipment ID]&lt;&gt;O101,TIM[Lowest A-PTX])))),IF(T101="YES",MIN(IF(TIM[Load Capability Reference]=CONCATENATE(P101,Q101,S101,R101),TIM[Lowest A-No PTX])),MIN(IF(TIM[Load Capability Reference]=CONCATENATE(P101,Q101,S101,R101),IF(TIM[Equipment ID]&lt;&gt;O101,TIM[Lowest A-No PTX])))))</f>
        <v>260.40668500000004</v>
      </c>
      <c r="F101" s="119">
        <f>IFERROR(IFERROR(VLOOKUP(CONCATENATE(P101,Q101,O101,S101,"Protection"),TWZ[[OC Protection Reference]:[Forward A]],23,0),VLOOKUP(O101,AEL_Protection_Data[],12,0)),"N/A")</f>
        <v>400</v>
      </c>
      <c r="G101" s="119">
        <f t="shared" si="55"/>
        <v>205</v>
      </c>
      <c r="H101" s="29">
        <f t="shared" si="56"/>
        <v>3.905774571067818</v>
      </c>
      <c r="I101" s="119">
        <f t="shared" si="57"/>
        <v>230</v>
      </c>
      <c r="J101" s="29">
        <f t="shared" si="58"/>
        <v>4.3820885431492593</v>
      </c>
      <c r="K101" s="6" t="str">
        <f>IF(U101="Yes",UPPER(IF(ISNUMBER(SEARCH("winding",VLOOKUP(CONCATENATE(P101,Q101,S101,E101),TIM[[Limiting Equipment Reference-PTX]:[Summ Equipment]],7,0))),"Power Transformer Rating at "&amp;ROUND(E101*S101*SQRT(3)/1000,2)&amp;" MVA",VLOOKUP(CONCATENATE(P101,Q101,S101,E101),TIM[[Limiting Equipment Reference-No PTX]:[Summ Equipment]],8,0))),UPPER(VLOOKUP(CONCATENATE(P101,Q101,S101,E101),TIM[[Limiting Equipment Reference-No PTX]:[Summ Equipment]],8,0)))</f>
        <v>CABLE-3C 185MM² AL XLPE HDPE</v>
      </c>
      <c r="L101" s="146" t="s">
        <v>1267</v>
      </c>
      <c r="M101" s="146" t="s">
        <v>1266</v>
      </c>
      <c r="O101" s="168" t="str">
        <f t="shared" si="59"/>
        <v>TIM-CB2852</v>
      </c>
      <c r="P101" s="49" t="s">
        <v>1276</v>
      </c>
      <c r="Q101" s="49" t="s">
        <v>1310</v>
      </c>
      <c r="R101" s="386"/>
      <c r="S101" s="43">
        <v>11</v>
      </c>
      <c r="T101" s="146" t="s">
        <v>1266</v>
      </c>
      <c r="U101" s="146" t="s">
        <v>1266</v>
      </c>
      <c r="V101" s="49"/>
    </row>
    <row r="102" spans="1:22" x14ac:dyDescent="0.25">
      <c r="A102" s="2"/>
      <c r="B102" s="124" t="s">
        <v>855</v>
      </c>
      <c r="C102" s="168" t="s">
        <v>1673</v>
      </c>
      <c r="D102" s="119">
        <f t="shared" si="60"/>
        <v>11</v>
      </c>
      <c r="E102" s="370">
        <f t="array" ref="E102">IF(U102="YES",IF(T102="YES",MIN(IF(TIM[Load Capability Reference]=CONCATENATE(P102,Q102,S102,R102),TIM[Lowest A-PTX])),MIN(IF(TIM[Load Capability Reference]=CONCATENATE(P102,Q102,S102,R102),IF(TIM[Equipment ID]&lt;&gt;O102,TIM[Lowest A-PTX])))),IF(T102="YES",MIN(IF(TIM[Load Capability Reference]=CONCATENATE(P102,Q102,S102,R102),TIM[Lowest A-No PTX])),MIN(IF(TIM[Load Capability Reference]=CONCATENATE(P102,Q102,S102,R102),IF(TIM[Equipment ID]&lt;&gt;O102,TIM[Lowest A-No PTX])))))</f>
        <v>394.49356799999993</v>
      </c>
      <c r="F102" s="119">
        <f>IFERROR(IFERROR(VLOOKUP(CONCATENATE(P102,Q102,O102,S102,"Protection"),TWZ[[OC Protection Reference]:[Forward A]],23,0),VLOOKUP(O102,AEL_Protection_Data[],12,0)),"N/A")</f>
        <v>400</v>
      </c>
      <c r="G102" s="119">
        <f t="shared" si="55"/>
        <v>315</v>
      </c>
      <c r="H102" s="29">
        <f t="shared" si="56"/>
        <v>6.0015560482261598</v>
      </c>
      <c r="I102" s="119">
        <f t="shared" si="57"/>
        <v>355</v>
      </c>
      <c r="J102" s="29">
        <f t="shared" si="58"/>
        <v>6.763658403556466</v>
      </c>
      <c r="K102" s="6" t="str">
        <f>IF(U102="Yes",UPPER(IF(ISNUMBER(SEARCH("winding",VLOOKUP(CONCATENATE(P102,Q102,S102,E102),TIM[[Limiting Equipment Reference-PTX]:[Summ Equipment]],7,0))),"Power Transformer Rating at "&amp;ROUND(E102*S102*SQRT(3)/1000,2)&amp;" MVA",VLOOKUP(CONCATENATE(P102,Q102,S102,E102),TIM[[Limiting Equipment Reference-No PTX]:[Summ Equipment]],8,0))),UPPER(VLOOKUP(CONCATENATE(P102,Q102,S102,E102),TIM[[Limiting Equipment Reference-No PTX]:[Summ Equipment]],8,0)))</f>
        <v>CABLE-3C 300MM² AL XLPE HDPE</v>
      </c>
      <c r="L102" s="146" t="s">
        <v>1267</v>
      </c>
      <c r="M102" s="146" t="s">
        <v>1266</v>
      </c>
      <c r="O102" s="168" t="str">
        <f t="shared" si="59"/>
        <v>TIM-CB2862</v>
      </c>
      <c r="P102" s="49" t="s">
        <v>1276</v>
      </c>
      <c r="Q102" s="49" t="s">
        <v>151</v>
      </c>
      <c r="R102" s="386"/>
      <c r="S102" s="43">
        <v>11</v>
      </c>
      <c r="T102" s="146" t="s">
        <v>1266</v>
      </c>
      <c r="U102" s="146" t="s">
        <v>1266</v>
      </c>
      <c r="V102" s="49"/>
    </row>
    <row r="103" spans="1:22" x14ac:dyDescent="0.25">
      <c r="A103" s="2"/>
      <c r="B103" s="124" t="s">
        <v>2746</v>
      </c>
      <c r="C103" s="168" t="s">
        <v>746</v>
      </c>
      <c r="D103" s="119">
        <f t="shared" si="60"/>
        <v>11</v>
      </c>
      <c r="E103" s="370">
        <v>2500</v>
      </c>
      <c r="F103" s="119">
        <f>IFERROR(IFERROR(VLOOKUP(CONCATENATE(P103,Q103,O103,S103,"Protection"),TWZ[[OC Protection Reference]:[Forward A]],23,0),VLOOKUP(O103,AEL_Protection_Data[],12,0)),"N/A")</f>
        <v>2496</v>
      </c>
      <c r="G103" s="119">
        <f t="shared" si="55"/>
        <v>1995</v>
      </c>
      <c r="H103" s="29">
        <f t="shared" si="56"/>
        <v>38.009854972099014</v>
      </c>
      <c r="I103" s="119">
        <f t="shared" si="57"/>
        <v>2245</v>
      </c>
      <c r="J103" s="29">
        <f t="shared" si="58"/>
        <v>42.772994692913421</v>
      </c>
      <c r="K103" s="6" t="s">
        <v>2712</v>
      </c>
      <c r="L103" s="146" t="s">
        <v>1267</v>
      </c>
      <c r="M103" s="146" t="s">
        <v>1266</v>
      </c>
      <c r="O103" s="168" t="str">
        <f t="shared" si="59"/>
        <v>TIM-CB2878</v>
      </c>
      <c r="P103" s="49" t="s">
        <v>4</v>
      </c>
      <c r="Q103" s="49" t="s">
        <v>75</v>
      </c>
      <c r="R103" s="386"/>
      <c r="S103" s="43">
        <v>11</v>
      </c>
      <c r="T103" s="146" t="s">
        <v>1267</v>
      </c>
      <c r="U103" s="146" t="s">
        <v>1266</v>
      </c>
      <c r="V103" s="49" t="s">
        <v>2818</v>
      </c>
    </row>
    <row r="104" spans="1:22" x14ac:dyDescent="0.25">
      <c r="A104" s="2"/>
      <c r="B104" s="124" t="s">
        <v>859</v>
      </c>
      <c r="C104" s="168" t="s">
        <v>2763</v>
      </c>
      <c r="D104" s="119">
        <f t="shared" si="60"/>
        <v>11</v>
      </c>
      <c r="E104" s="370">
        <f t="array" ref="E104">IF(U104="YES",IF(T104="YES",MIN(IF(TIM[Load Capability Reference]=CONCATENATE(P104,Q104,S104,R104),TIM[Lowest A-PTX])),MIN(IF(TIM[Load Capability Reference]=CONCATENATE(P104,Q104,S104,R104),IF(TIM[Equipment ID]&lt;&gt;O104,TIM[Lowest A-PTX])))),IF(T104="YES",MIN(IF(TIM[Load Capability Reference]=CONCATENATE(P104,Q104,S104,R104),TIM[Lowest A-No PTX])),MIN(IF(TIM[Load Capability Reference]=CONCATENATE(P104,Q104,S104,R104),IF(TIM[Equipment ID]&lt;&gt;O104,TIM[Lowest A-No PTX])))))</f>
        <v>412.56599999999986</v>
      </c>
      <c r="F104" s="119">
        <f>IFERROR(IFERROR(VLOOKUP(CONCATENATE(P104,Q104,O104,S104,"Protection"),TWZ[[OC Protection Reference]:[Forward A]],23,0),VLOOKUP(O104,AEL_Protection_Data[],12,0)),"N/A")</f>
        <v>600</v>
      </c>
      <c r="G104" s="119">
        <f t="shared" si="55"/>
        <v>330</v>
      </c>
      <c r="H104" s="29">
        <f t="shared" si="56"/>
        <v>6.2873444314750238</v>
      </c>
      <c r="I104" s="119">
        <f t="shared" si="57"/>
        <v>370</v>
      </c>
      <c r="J104" s="29">
        <f t="shared" si="58"/>
        <v>7.0494467868053299</v>
      </c>
      <c r="K104" s="6" t="str">
        <f>IF(U104="Yes",UPPER(IF(ISNUMBER(SEARCH("winding",VLOOKUP(CONCATENATE(P104,Q104,S104,E104),TIM[[Limiting Equipment Reference-PTX]:[Summ Equipment]],7,0))),"Power Transformer Rating at "&amp;ROUND(E104*S104*SQRT(3)/1000,2)&amp;" MVA",VLOOKUP(CONCATENATE(P104,Q104,S104,E104),TIM[[Limiting Equipment Reference-No PTX]:[Summ Equipment]],8,0))),UPPER(VLOOKUP(CONCATENATE(P104,Q104,S104,E104),TIM[[Limiting Equipment Reference-No PTX]:[Summ Equipment]],8,0)))</f>
        <v>CABLE-3C 400MM² CU PILC SWA</v>
      </c>
      <c r="L104" s="146" t="s">
        <v>1267</v>
      </c>
      <c r="M104" s="146" t="s">
        <v>1266</v>
      </c>
      <c r="O104" s="168" t="str">
        <f t="shared" si="59"/>
        <v>TIM-CB2912</v>
      </c>
      <c r="P104" s="49" t="s">
        <v>1245</v>
      </c>
      <c r="Q104" s="49" t="s">
        <v>1318</v>
      </c>
      <c r="R104" s="386"/>
      <c r="S104" s="43">
        <v>11</v>
      </c>
      <c r="T104" s="146" t="s">
        <v>1266</v>
      </c>
      <c r="U104" s="146" t="s">
        <v>1266</v>
      </c>
      <c r="V104" s="49"/>
    </row>
    <row r="105" spans="1:22" x14ac:dyDescent="0.25">
      <c r="A105" s="2"/>
      <c r="B105" s="124" t="s">
        <v>862</v>
      </c>
      <c r="C105" s="168" t="s">
        <v>1683</v>
      </c>
      <c r="D105" s="119">
        <f t="shared" si="60"/>
        <v>11</v>
      </c>
      <c r="E105" s="370">
        <f t="array" ref="E105">IF(U105="YES",IF(T105="YES",MIN(IF(TIM[Load Capability Reference]=CONCATENATE(P105,Q105,S105,R105),TIM[Lowest A-PTX])),MIN(IF(TIM[Load Capability Reference]=CONCATENATE(P105,Q105,S105,R105),IF(TIM[Equipment ID]&lt;&gt;O105,TIM[Lowest A-PTX])))),IF(T105="YES",MIN(IF(TIM[Load Capability Reference]=CONCATENATE(P105,Q105,S105,R105),TIM[Lowest A-No PTX])),MIN(IF(TIM[Load Capability Reference]=CONCATENATE(P105,Q105,S105,R105),IF(TIM[Equipment ID]&lt;&gt;O105,TIM[Lowest A-No PTX])))))</f>
        <v>1120.5439999999999</v>
      </c>
      <c r="F105" s="119">
        <f>IFERROR(IFERROR(VLOOKUP(CONCATENATE(P105,Q105,O105,S105,"Protection"),TWZ[[OC Protection Reference]:[Forward A]],23,0),VLOOKUP(O105,AEL_Protection_Data[],12,0)),"N/A")</f>
        <v>1068</v>
      </c>
      <c r="G105" s="119">
        <f t="shared" si="55"/>
        <v>850</v>
      </c>
      <c r="H105" s="29">
        <f t="shared" si="56"/>
        <v>16.194675050769</v>
      </c>
      <c r="I105" s="119">
        <f t="shared" si="57"/>
        <v>960</v>
      </c>
      <c r="J105" s="29">
        <f t="shared" si="58"/>
        <v>18.290456527927343</v>
      </c>
      <c r="K105" s="6" t="str">
        <f>IF(U105="Yes",UPPER(IF(ISNUMBER(SEARCH("winding",VLOOKUP(CONCATENATE(P105,Q105,S105,E105),TIM[[Limiting Equipment Reference-PTX]:[Summ Equipment]],7,0))),"Power Transformer Rating at "&amp;ROUND(E105*S105*SQRT(3)/1000,2)&amp;" MVA",VLOOKUP(CONCATENATE(P105,Q105,S105,E105),TIM[[Limiting Equipment Reference-No PTX]:[Summ Equipment]],8,0))),UPPER(VLOOKUP(CONCATENATE(P105,Q105,S105,E105),TIM[[Limiting Equipment Reference-No PTX]:[Summ Equipment]],8,0)))</f>
        <v xml:space="preserve">CABLE-2 X 3/1C 630MM² CU </v>
      </c>
      <c r="L105" s="146" t="s">
        <v>1267</v>
      </c>
      <c r="M105" s="146" t="s">
        <v>1266</v>
      </c>
      <c r="O105" s="168" t="str">
        <f t="shared" si="59"/>
        <v>TIM-CB2922</v>
      </c>
      <c r="P105" s="49" t="s">
        <v>1245</v>
      </c>
      <c r="Q105" s="49" t="s">
        <v>153</v>
      </c>
      <c r="R105" s="386"/>
      <c r="S105" s="43">
        <v>11</v>
      </c>
      <c r="T105" s="146" t="s">
        <v>1266</v>
      </c>
      <c r="U105" s="146" t="s">
        <v>1267</v>
      </c>
      <c r="V105" s="49"/>
    </row>
    <row r="106" spans="1:22" x14ac:dyDescent="0.25">
      <c r="A106" s="2"/>
      <c r="B106" s="124" t="s">
        <v>2747</v>
      </c>
      <c r="C106" s="168" t="s">
        <v>1654</v>
      </c>
      <c r="D106" s="119">
        <f t="shared" si="60"/>
        <v>11</v>
      </c>
      <c r="E106" s="370">
        <f t="array" ref="E106">IF(U106="YES",IF(T106="YES",MIN(IF(TIM[Load Capability Reference]=CONCATENATE(P106,Q106,S106,R106),TIM[Lowest A-PTX])),MIN(IF(TIM[Load Capability Reference]=CONCATENATE(P106,Q106,S106,R106),IF(TIM[Equipment ID]&lt;&gt;O106,TIM[Lowest A-PTX])))),IF(T106="YES",MIN(IF(TIM[Load Capability Reference]=CONCATENATE(P106,Q106,S106,R106),TIM[Lowest A-No PTX])),MIN(IF(TIM[Load Capability Reference]=CONCATENATE(P106,Q106,S106,R106),IF(TIM[Equipment ID]&lt;&gt;O106,TIM[Lowest A-No PTX])))))</f>
        <v>2534</v>
      </c>
      <c r="F106" s="119">
        <f>IFERROR(IFERROR(VLOOKUP(CONCATENATE(P106,Q106,O106,S106,"Protection"),TWZ[[OC Protection Reference]:[Forward A]],23,0),VLOOKUP(O106,AEL_Protection_Data[],12,0)),"N/A")</f>
        <v>1800</v>
      </c>
      <c r="G106" s="119">
        <f t="shared" si="55"/>
        <v>1440</v>
      </c>
      <c r="H106" s="29">
        <f t="shared" si="56"/>
        <v>27.435684791891013</v>
      </c>
      <c r="I106" s="119">
        <f t="shared" si="57"/>
        <v>1620</v>
      </c>
      <c r="J106" s="29">
        <f t="shared" si="58"/>
        <v>30.865145390877391</v>
      </c>
      <c r="K106" s="6" t="str">
        <f>IF(U106="Yes",UPPER(IF(ISNUMBER(SEARCH("winding",VLOOKUP(CONCATENATE(P106,Q106,S106,E106),TIM[[Limiting Equipment Reference-PTX]:[Summ Equipment]],7,0))),"Power Transformer Rating at "&amp;ROUND(E106*S106*SQRT(3)/1000,2)&amp;" MVA",VLOOKUP(CONCATENATE(P106,Q106,S106,E106),TIM[[Limiting Equipment Reference-No PTX]:[Summ Equipment]],8,0))),UPPER(VLOOKUP(CONCATENATE(P106,Q106,S106,E106),TIM[[Limiting Equipment Reference-No PTX]:[Summ Equipment]],8,0)))</f>
        <v>CABLE-TIM-CBL-T3-CB2752-CABLE</v>
      </c>
      <c r="L106" s="146" t="s">
        <v>1267</v>
      </c>
      <c r="M106" s="146" t="s">
        <v>1266</v>
      </c>
      <c r="O106" s="168" t="str">
        <f t="shared" si="59"/>
        <v>TIM-CB2932</v>
      </c>
      <c r="P106" s="49" t="s">
        <v>4</v>
      </c>
      <c r="Q106" s="49" t="s">
        <v>75</v>
      </c>
      <c r="R106" s="386" t="s">
        <v>765</v>
      </c>
      <c r="S106" s="43">
        <v>11</v>
      </c>
      <c r="T106" s="146" t="s">
        <v>1266</v>
      </c>
      <c r="U106" s="146" t="s">
        <v>1266</v>
      </c>
      <c r="V106" s="49"/>
    </row>
    <row r="107" spans="1:22" x14ac:dyDescent="0.25">
      <c r="A107" s="2"/>
      <c r="B107" s="124" t="s">
        <v>865</v>
      </c>
      <c r="C107" s="168" t="s">
        <v>1675</v>
      </c>
      <c r="D107" s="119">
        <f t="shared" si="60"/>
        <v>11</v>
      </c>
      <c r="E107" s="370">
        <f t="array" ref="E107">IF(U107="YES",IF(T107="YES",MIN(IF(TIM[Load Capability Reference]=CONCATENATE(P107,Q107,S107,R107),TIM[Lowest A-PTX])),MIN(IF(TIM[Load Capability Reference]=CONCATENATE(P107,Q107,S107,R107),IF(TIM[Equipment ID]&lt;&gt;O107,TIM[Lowest A-PTX])))),IF(T107="YES",MIN(IF(TIM[Load Capability Reference]=CONCATENATE(P107,Q107,S107,R107),TIM[Lowest A-No PTX])),MIN(IF(TIM[Load Capability Reference]=CONCATENATE(P107,Q107,S107,R107),IF(TIM[Equipment ID]&lt;&gt;O107,TIM[Lowest A-No PTX])))))</f>
        <v>280.80745999999999</v>
      </c>
      <c r="F107" s="119">
        <f>IFERROR(IFERROR(VLOOKUP(CONCATENATE(P107,Q107,O107,S107,"Protection"),TWZ[[OC Protection Reference]:[Forward A]],23,0),VLOOKUP(O107,AEL_Protection_Data[],12,0)),"N/A")</f>
        <v>400</v>
      </c>
      <c r="G107" s="119">
        <f t="shared" si="55"/>
        <v>220</v>
      </c>
      <c r="H107" s="29">
        <f t="shared" si="56"/>
        <v>4.1915629543166828</v>
      </c>
      <c r="I107" s="119">
        <f t="shared" si="57"/>
        <v>250</v>
      </c>
      <c r="J107" s="29">
        <f t="shared" si="58"/>
        <v>4.7631397208144124</v>
      </c>
      <c r="K107" s="6" t="str">
        <f>IF(U107="Yes",UPPER(IF(ISNUMBER(SEARCH("winding",VLOOKUP(CONCATENATE(P107,Q107,S107,E107),TIM[[Limiting Equipment Reference-PTX]:[Summ Equipment]],7,0))),"Power Transformer Rating at "&amp;ROUND(E107*S107*SQRT(3)/1000,2)&amp;" MVA",VLOOKUP(CONCATENATE(P107,Q107,S107,E107),TIM[[Limiting Equipment Reference-No PTX]:[Summ Equipment]],8,0))),UPPER(VLOOKUP(CONCATENATE(P107,Q107,S107,E107),TIM[[Limiting Equipment Reference-No PTX]:[Summ Equipment]],8,0)))</f>
        <v>CABLE-3C 0.4IN² AL PILC SWA</v>
      </c>
      <c r="L107" s="146" t="s">
        <v>1267</v>
      </c>
      <c r="M107" s="146" t="s">
        <v>1266</v>
      </c>
      <c r="O107" s="168" t="str">
        <f t="shared" si="59"/>
        <v>TIM-CB2942</v>
      </c>
      <c r="P107" s="49" t="s">
        <v>1276</v>
      </c>
      <c r="Q107" s="49" t="s">
        <v>155</v>
      </c>
      <c r="R107" s="386"/>
      <c r="S107" s="43">
        <v>11</v>
      </c>
      <c r="T107" s="146" t="s">
        <v>1266</v>
      </c>
      <c r="U107" s="146" t="s">
        <v>1266</v>
      </c>
      <c r="V107" s="49"/>
    </row>
    <row r="108" spans="1:22" x14ac:dyDescent="0.25">
      <c r="A108" s="2"/>
      <c r="B108" s="124" t="s">
        <v>869</v>
      </c>
      <c r="C108" s="168" t="s">
        <v>1677</v>
      </c>
      <c r="D108" s="119">
        <f t="shared" si="60"/>
        <v>11</v>
      </c>
      <c r="E108" s="370">
        <f t="array" ref="E108">IF(U108="YES",IF(T108="YES",MIN(IF(TIM[Load Capability Reference]=CONCATENATE(P108,Q108,S108,R108),TIM[Lowest A-PTX])),MIN(IF(TIM[Load Capability Reference]=CONCATENATE(P108,Q108,S108,R108),IF(TIM[Equipment ID]&lt;&gt;O108,TIM[Lowest A-PTX])))),IF(T108="YES",MIN(IF(TIM[Load Capability Reference]=CONCATENATE(P108,Q108,S108,R108),TIM[Lowest A-No PTX])),MIN(IF(TIM[Load Capability Reference]=CONCATENATE(P108,Q108,S108,R108),IF(TIM[Equipment ID]&lt;&gt;O108,TIM[Lowest A-No PTX])))))</f>
        <v>280.02959999999996</v>
      </c>
      <c r="F108" s="119">
        <f>IFERROR(IFERROR(VLOOKUP(CONCATENATE(P108,Q108,O108,S108,"Protection"),TWZ[[OC Protection Reference]:[Forward A]],23,0),VLOOKUP(O108,AEL_Protection_Data[],12,0)),"N/A")</f>
        <v>400</v>
      </c>
      <c r="G108" s="119">
        <f t="shared" si="55"/>
        <v>220</v>
      </c>
      <c r="H108" s="29">
        <f t="shared" si="56"/>
        <v>4.1915629543166828</v>
      </c>
      <c r="I108" s="119">
        <f t="shared" si="57"/>
        <v>250</v>
      </c>
      <c r="J108" s="29">
        <f t="shared" si="58"/>
        <v>4.7631397208144124</v>
      </c>
      <c r="K108" s="6" t="str">
        <f>IF(U108="Yes",UPPER(IF(ISNUMBER(SEARCH("winding",VLOOKUP(CONCATENATE(P108,Q108,S108,E108),TIM[[Limiting Equipment Reference-PTX]:[Summ Equipment]],7,0))),"Power Transformer Rating at "&amp;ROUND(E108*S108*SQRT(3)/1000,2)&amp;" MVA",VLOOKUP(CONCATENATE(P108,Q108,S108,E108),TIM[[Limiting Equipment Reference-No PTX]:[Summ Equipment]],8,0))),UPPER(VLOOKUP(CONCATENATE(P108,Q108,S108,E108),TIM[[Limiting Equipment Reference-No PTX]:[Summ Equipment]],8,0)))</f>
        <v>CABLE-3C 240MM² AL PILC STA</v>
      </c>
      <c r="L108" s="146" t="s">
        <v>1267</v>
      </c>
      <c r="M108" s="146" t="s">
        <v>1266</v>
      </c>
      <c r="O108" s="168" t="str">
        <f t="shared" si="59"/>
        <v>TIM-CB2952</v>
      </c>
      <c r="P108" s="49" t="s">
        <v>1276</v>
      </c>
      <c r="Q108" s="49" t="s">
        <v>156</v>
      </c>
      <c r="R108" s="386"/>
      <c r="S108" s="43">
        <v>11</v>
      </c>
      <c r="T108" s="146" t="s">
        <v>1266</v>
      </c>
      <c r="U108" s="146" t="s">
        <v>1266</v>
      </c>
      <c r="V108" s="49"/>
    </row>
    <row r="109" spans="1:22" x14ac:dyDescent="0.25">
      <c r="A109" s="2"/>
      <c r="B109" s="124" t="s">
        <v>2748</v>
      </c>
      <c r="C109" s="168" t="s">
        <v>746</v>
      </c>
      <c r="D109" s="119">
        <f t="shared" si="60"/>
        <v>11</v>
      </c>
      <c r="E109" s="370">
        <v>2500</v>
      </c>
      <c r="F109" s="119">
        <f>IFERROR(IFERROR(VLOOKUP(CONCATENATE(P109,Q109,O109,S109,"Protection"),TWZ[[OC Protection Reference]:[Forward A]],23,0),VLOOKUP(O109,AEL_Protection_Data[],12,0)),"N/A")</f>
        <v>2496</v>
      </c>
      <c r="G109" s="119">
        <f t="shared" si="55"/>
        <v>1995</v>
      </c>
      <c r="H109" s="29">
        <f t="shared" si="56"/>
        <v>38.009854972099014</v>
      </c>
      <c r="I109" s="119">
        <f t="shared" si="57"/>
        <v>2245</v>
      </c>
      <c r="J109" s="29">
        <f t="shared" si="58"/>
        <v>42.772994692913421</v>
      </c>
      <c r="K109" s="6" t="s">
        <v>2713</v>
      </c>
      <c r="L109" s="146" t="s">
        <v>1267</v>
      </c>
      <c r="M109" s="146" t="s">
        <v>1266</v>
      </c>
      <c r="O109" s="168" t="str">
        <f t="shared" si="59"/>
        <v>TIM-CB2968</v>
      </c>
      <c r="P109" s="49" t="s">
        <v>4</v>
      </c>
      <c r="Q109" s="49" t="s">
        <v>75</v>
      </c>
      <c r="R109" s="386"/>
      <c r="S109" s="43">
        <v>11</v>
      </c>
      <c r="T109" s="146" t="s">
        <v>1267</v>
      </c>
      <c r="U109" s="146" t="s">
        <v>1266</v>
      </c>
      <c r="V109" s="49" t="s">
        <v>2818</v>
      </c>
    </row>
    <row r="110" spans="1:22" x14ac:dyDescent="0.25">
      <c r="A110" s="2"/>
      <c r="B110" s="124" t="s">
        <v>873</v>
      </c>
      <c r="C110" s="168" t="s">
        <v>1679</v>
      </c>
      <c r="D110" s="119">
        <f t="shared" si="60"/>
        <v>11</v>
      </c>
      <c r="E110" s="370">
        <f t="array" ref="E110">IF(U110="YES",IF(T110="YES",MIN(IF(TIM[Load Capability Reference]=CONCATENATE(P110,Q110,S110,R110),TIM[Lowest A-PTX])),MIN(IF(TIM[Load Capability Reference]=CONCATENATE(P110,Q110,S110,R110),IF(TIM[Equipment ID]&lt;&gt;O110,TIM[Lowest A-PTX])))),IF(T110="YES",MIN(IF(TIM[Load Capability Reference]=CONCATENATE(P110,Q110,S110,R110),TIM[Lowest A-No PTX])),MIN(IF(TIM[Load Capability Reference]=CONCATENATE(P110,Q110,S110,R110),IF(TIM[Equipment ID]&lt;&gt;O110,TIM[Lowest A-No PTX])))))</f>
        <v>280.80745999999999</v>
      </c>
      <c r="F110" s="119">
        <f>IFERROR(IFERROR(VLOOKUP(CONCATENATE(P110,Q110,O110,S110,"Protection"),TWZ[[OC Protection Reference]:[Forward A]],23,0),VLOOKUP(O110,AEL_Protection_Data[],12,0)),"N/A")</f>
        <v>400</v>
      </c>
      <c r="G110" s="119">
        <f t="shared" si="55"/>
        <v>220</v>
      </c>
      <c r="H110" s="29">
        <f t="shared" si="56"/>
        <v>4.1915629543166828</v>
      </c>
      <c r="I110" s="119">
        <f t="shared" si="57"/>
        <v>250</v>
      </c>
      <c r="J110" s="29">
        <f t="shared" si="58"/>
        <v>4.7631397208144124</v>
      </c>
      <c r="K110" s="6" t="str">
        <f>IF(U110="Yes",UPPER(IF(ISNUMBER(SEARCH("winding",VLOOKUP(CONCATENATE(P110,Q110,S110,E110),TIM[[Limiting Equipment Reference-PTX]:[Summ Equipment]],7,0))),"Power Transformer Rating at "&amp;ROUND(E110*S110*SQRT(3)/1000,2)&amp;" MVA",VLOOKUP(CONCATENATE(P110,Q110,S110,E110),TIM[[Limiting Equipment Reference-No PTX]:[Summ Equipment]],8,0))),UPPER(VLOOKUP(CONCATENATE(P110,Q110,S110,E110),TIM[[Limiting Equipment Reference-No PTX]:[Summ Equipment]],8,0)))</f>
        <v>CABLE-3C 0.4IN² AL PILC SWA</v>
      </c>
      <c r="L110" s="146" t="s">
        <v>1267</v>
      </c>
      <c r="M110" s="146" t="s">
        <v>1266</v>
      </c>
      <c r="O110" s="168" t="str">
        <f t="shared" si="59"/>
        <v>TIM-CB2972</v>
      </c>
      <c r="P110" s="49" t="s">
        <v>1276</v>
      </c>
      <c r="Q110" s="49" t="s">
        <v>157</v>
      </c>
      <c r="R110" s="386"/>
      <c r="S110" s="43">
        <v>11</v>
      </c>
      <c r="T110" s="146" t="s">
        <v>1266</v>
      </c>
      <c r="U110" s="146" t="s">
        <v>1266</v>
      </c>
      <c r="V110" s="49"/>
    </row>
    <row r="111" spans="1:22" x14ac:dyDescent="0.25">
      <c r="A111" s="2"/>
      <c r="B111" s="124" t="s">
        <v>876</v>
      </c>
      <c r="C111" s="168" t="s">
        <v>2815</v>
      </c>
      <c r="D111" s="119">
        <f t="shared" si="60"/>
        <v>11</v>
      </c>
      <c r="E111" s="370">
        <f t="array" ref="E111">IF(U111="YES",IF(T111="YES",MIN(IF(TIM[Load Capability Reference]=CONCATENATE(P111,Q111,S111,R111),TIM[Lowest A-PTX])),MIN(IF(TIM[Load Capability Reference]=CONCATENATE(P111,Q111,S111,R111),IF(TIM[Equipment ID]&lt;&gt;O111,TIM[Lowest A-PTX])))),IF(T111="YES",MIN(IF(TIM[Load Capability Reference]=CONCATENATE(P111,Q111,S111,R111),TIM[Lowest A-No PTX])),MIN(IF(TIM[Load Capability Reference]=CONCATENATE(P111,Q111,S111,R111),IF(TIM[Equipment ID]&lt;&gt;O111,TIM[Lowest A-No PTX])))))</f>
        <v>412.56599999999986</v>
      </c>
      <c r="F111" s="119">
        <f>IFERROR(IFERROR(VLOOKUP(CONCATENATE(P111,Q111,O111,S111,"Protection"),TWZ[[OC Protection Reference]:[Forward A]],23,0),VLOOKUP(O111,AEL_Protection_Data[],12,0)),"N/A")</f>
        <v>1184</v>
      </c>
      <c r="G111" s="119">
        <f t="shared" si="55"/>
        <v>330</v>
      </c>
      <c r="H111" s="29">
        <f t="shared" si="56"/>
        <v>6.2873444314750238</v>
      </c>
      <c r="I111" s="119">
        <f t="shared" si="57"/>
        <v>370</v>
      </c>
      <c r="J111" s="29">
        <f t="shared" si="58"/>
        <v>7.0494467868053299</v>
      </c>
      <c r="K111" s="6" t="str">
        <f>IF(U111="Yes",UPPER(IF(ISNUMBER(SEARCH("winding",VLOOKUP(CONCATENATE(P111,Q111,S111,E111),TIM[[Limiting Equipment Reference-PTX]:[Summ Equipment]],7,0))),"Power Transformer Rating at "&amp;ROUND(E111*S111*SQRT(3)/1000,2)&amp;" MVA",VLOOKUP(CONCATENATE(P111,Q111,S111,E111),TIM[[Limiting Equipment Reference-No PTX]:[Summ Equipment]],8,0))),UPPER(VLOOKUP(CONCATENATE(P111,Q111,S111,E111),TIM[[Limiting Equipment Reference-No PTX]:[Summ Equipment]],8,0)))</f>
        <v>CABLE-3C 400MM² CU PILC SWA</v>
      </c>
      <c r="L111" s="146" t="s">
        <v>1267</v>
      </c>
      <c r="M111" s="146" t="s">
        <v>1266</v>
      </c>
      <c r="O111" s="168" t="str">
        <f t="shared" si="59"/>
        <v>TIM-CB2982</v>
      </c>
      <c r="P111" s="49" t="s">
        <v>1245</v>
      </c>
      <c r="Q111" s="49" t="s">
        <v>1321</v>
      </c>
      <c r="R111" s="386"/>
      <c r="S111" s="43">
        <v>11</v>
      </c>
      <c r="T111" s="146" t="s">
        <v>1266</v>
      </c>
      <c r="U111" s="146" t="s">
        <v>1266</v>
      </c>
      <c r="V111" s="49" t="s">
        <v>2817</v>
      </c>
    </row>
    <row r="112" spans="1:22" x14ac:dyDescent="0.25">
      <c r="A112" s="2"/>
      <c r="B112" s="124" t="s">
        <v>880</v>
      </c>
      <c r="C112" s="168" t="s">
        <v>1659</v>
      </c>
      <c r="D112" s="119">
        <f t="shared" si="60"/>
        <v>11</v>
      </c>
      <c r="E112" s="370">
        <f t="array" ref="E112">IF(U112="YES",IF(T112="YES",MIN(IF(TIM[Load Capability Reference]=CONCATENATE(P112,Q112,S112,R112),TIM[Lowest A-PTX])),MIN(IF(TIM[Load Capability Reference]=CONCATENATE(P112,Q112,S112,R112),IF(TIM[Equipment ID]&lt;&gt;O112,TIM[Lowest A-PTX])))),IF(T112="YES",MIN(IF(TIM[Load Capability Reference]=CONCATENATE(P112,Q112,S112,R112),TIM[Lowest A-No PTX])),MIN(IF(TIM[Load Capability Reference]=CONCATENATE(P112,Q112,S112,R112),IF(TIM[Equipment ID]&lt;&gt;O112,TIM[Lowest A-No PTX])))))</f>
        <v>345</v>
      </c>
      <c r="F112" s="119">
        <f>IFERROR(IFERROR(VLOOKUP(CONCATENATE(P112,Q112,O112,S112,"Protection"),TWZ[[OC Protection Reference]:[Forward A]],23,0),VLOOKUP(O112,AEL_Protection_Data[],12,0)),"N/A")</f>
        <v>400</v>
      </c>
      <c r="G112" s="119">
        <f t="shared" si="55"/>
        <v>275</v>
      </c>
      <c r="H112" s="29">
        <f t="shared" si="56"/>
        <v>5.2394536928958528</v>
      </c>
      <c r="I112" s="119">
        <f t="shared" si="57"/>
        <v>310</v>
      </c>
      <c r="J112" s="29">
        <f t="shared" si="58"/>
        <v>5.9062932538098716</v>
      </c>
      <c r="K112" s="6" t="str">
        <f>IF(U112="Yes",UPPER(IF(ISNUMBER(SEARCH("winding",VLOOKUP(CONCATENATE(P112,Q112,S112,E112),TIM[[Limiting Equipment Reference-PTX]:[Summ Equipment]],7,0))),"Power Transformer Rating at "&amp;ROUND(E112*S112*SQRT(3)/1000,2)&amp;" MVA",VLOOKUP(CONCATENATE(P112,Q112,S112,E112),TIM[[Limiting Equipment Reference-No PTX]:[Summ Equipment]],8,0))),UPPER(VLOOKUP(CONCATENATE(P112,Q112,S112,E112),TIM[[Limiting Equipment Reference-No PTX]:[Summ Equipment]],8,0)))</f>
        <v>CABLE-TIM-CB2992</v>
      </c>
      <c r="L112" s="146" t="s">
        <v>1267</v>
      </c>
      <c r="M112" s="146" t="s">
        <v>1266</v>
      </c>
      <c r="O112" s="168" t="str">
        <f t="shared" si="59"/>
        <v>TIM-CB2992</v>
      </c>
      <c r="P112" s="49" t="s">
        <v>1276</v>
      </c>
      <c r="Q112" s="49" t="s">
        <v>1311</v>
      </c>
      <c r="R112" s="386"/>
      <c r="S112" s="43">
        <v>11</v>
      </c>
      <c r="T112" s="146" t="s">
        <v>1267</v>
      </c>
      <c r="U112" s="146" t="s">
        <v>1266</v>
      </c>
      <c r="V112" s="49"/>
    </row>
    <row r="113" spans="1:22" x14ac:dyDescent="0.25">
      <c r="A113" s="2"/>
      <c r="B113" s="124" t="s">
        <v>882</v>
      </c>
      <c r="C113" s="168" t="s">
        <v>1114</v>
      </c>
      <c r="D113" s="119">
        <f t="shared" si="60"/>
        <v>11</v>
      </c>
      <c r="E113" s="370">
        <f t="array" ref="E113">IF(U113="YES",IF(T113="YES",MIN(IF(TIM[Load Capability Reference]=CONCATENATE(P113,Q113,S113,R113),TIM[Lowest A-PTX])),MIN(IF(TIM[Load Capability Reference]=CONCATENATE(P113,Q113,S113,R113),IF(TIM[Equipment ID]&lt;&gt;O113,TIM[Lowest A-PTX])))),IF(T113="YES",MIN(IF(TIM[Load Capability Reference]=CONCATENATE(P113,Q113,S113,R113),TIM[Lowest A-No PTX])),MIN(IF(TIM[Load Capability Reference]=CONCATENATE(P113,Q113,S113,R113),IF(TIM[Equipment ID]&lt;&gt;O113,TIM[Lowest A-No PTX])))))</f>
        <v>236.00332799999998</v>
      </c>
      <c r="F113" s="119">
        <f>IFERROR(IFERROR(VLOOKUP(CONCATENATE(P113,Q113,O113,S113,"Protection"),TWZ[[OC Protection Reference]:[Forward A]],23,0),VLOOKUP(O113,AEL_Protection_Data[],12,0)),"N/A")</f>
        <v>400</v>
      </c>
      <c r="G113" s="119">
        <f t="shared" si="55"/>
        <v>185</v>
      </c>
      <c r="H113" s="29">
        <f t="shared" si="56"/>
        <v>3.5247233934026649</v>
      </c>
      <c r="I113" s="119">
        <f t="shared" si="57"/>
        <v>210</v>
      </c>
      <c r="J113" s="29">
        <f t="shared" si="58"/>
        <v>4.0010373654841063</v>
      </c>
      <c r="K113" s="6" t="str">
        <f>IF(U113="Yes",UPPER(IF(ISNUMBER(SEARCH("winding",VLOOKUP(CONCATENATE(P113,Q113,S113,E113),TIM[[Limiting Equipment Reference-PTX]:[Summ Equipment]],7,0))),"Power Transformer Rating at "&amp;ROUND(E113*S113*SQRT(3)/1000,2)&amp;" MVA",VLOOKUP(CONCATENATE(P113,Q113,S113,E113),TIM[[Limiting Equipment Reference-No PTX]:[Summ Equipment]],8,0))),UPPER(VLOOKUP(CONCATENATE(P113,Q113,S113,E113),TIM[[Limiting Equipment Reference-No PTX]:[Summ Equipment]],8,0)))</f>
        <v>CABLE - 3C 240MM² AL PILC</v>
      </c>
      <c r="L113" s="146" t="s">
        <v>1267</v>
      </c>
      <c r="M113" s="146" t="s">
        <v>1266</v>
      </c>
      <c r="O113" s="168" t="str">
        <f t="shared" si="59"/>
        <v>TIM-CB3002</v>
      </c>
      <c r="P113" s="49" t="s">
        <v>1276</v>
      </c>
      <c r="Q113" s="49" t="s">
        <v>1307</v>
      </c>
      <c r="R113" s="386"/>
      <c r="S113" s="43">
        <v>11</v>
      </c>
      <c r="T113" s="146" t="s">
        <v>1266</v>
      </c>
      <c r="U113" s="146" t="s">
        <v>1266</v>
      </c>
      <c r="V113" s="49"/>
    </row>
    <row r="114" spans="1:22" ht="15.75" thickBot="1" x14ac:dyDescent="0.3">
      <c r="A114" s="2"/>
      <c r="B114" s="401" t="s">
        <v>884</v>
      </c>
      <c r="C114" s="375" t="s">
        <v>1116</v>
      </c>
      <c r="D114" s="377">
        <f t="shared" si="60"/>
        <v>11</v>
      </c>
      <c r="E114" s="384">
        <f t="array" ref="E114">IF(U114="YES",IF(T114="YES",MIN(IF(TIM[Load Capability Reference]=CONCATENATE(P114,Q114,S114,R114),TIM[Lowest A-PTX])),MIN(IF(TIM[Load Capability Reference]=CONCATENATE(P114,Q114,S114,R114),IF(TIM[Equipment ID]&lt;&gt;O114,TIM[Lowest A-PTX])))),IF(T114="YES",MIN(IF(TIM[Load Capability Reference]=CONCATENATE(P114,Q114,S114,R114),TIM[Lowest A-No PTX])),MIN(IF(TIM[Load Capability Reference]=CONCATENATE(P114,Q114,S114,R114),IF(TIM[Equipment ID]&lt;&gt;O114,TIM[Lowest A-No PTX])))))</f>
        <v>197.4144</v>
      </c>
      <c r="F114" s="377">
        <f>IFERROR(IFERROR(VLOOKUP(CONCATENATE(P114,Q114,O114,S114,"Protection"),TWZ[[OC Protection Reference]:[Forward A]],23,0),VLOOKUP(O114,AEL_Protection_Data[],12,0)),"N/A")</f>
        <v>400</v>
      </c>
      <c r="G114" s="377">
        <f t="shared" si="55"/>
        <v>155</v>
      </c>
      <c r="H114" s="185">
        <f t="shared" si="56"/>
        <v>2.9531466269049358</v>
      </c>
      <c r="I114" s="377">
        <f t="shared" si="57"/>
        <v>175</v>
      </c>
      <c r="J114" s="185">
        <f t="shared" si="58"/>
        <v>3.3341978045700884</v>
      </c>
      <c r="K114" s="191" t="str">
        <f>IF(U114="Yes",UPPER(IF(ISNUMBER(SEARCH("winding",VLOOKUP(CONCATENATE(P114,Q114,S114,E114),TIM[[Limiting Equipment Reference-PTX]:[Summ Equipment]],7,0))),"Power Transformer Rating at "&amp;ROUND(E114*S114*SQRT(3)/1000,2)&amp;" MVA",VLOOKUP(CONCATENATE(P114,Q114,S114,E114),TIM[[Limiting Equipment Reference-No PTX]:[Summ Equipment]],8,0))),UPPER(VLOOKUP(CONCATENATE(P114,Q114,S114,E114),TIM[[Limiting Equipment Reference-No PTX]:[Summ Equipment]],8,0)))</f>
        <v>CABLE - 3C 150MM² AL PILC STA</v>
      </c>
      <c r="L114" s="379" t="s">
        <v>1267</v>
      </c>
      <c r="M114" s="379" t="s">
        <v>1266</v>
      </c>
      <c r="O114" s="375" t="str">
        <f t="shared" si="59"/>
        <v>TIM-CB3012</v>
      </c>
      <c r="P114" s="374" t="s">
        <v>1276</v>
      </c>
      <c r="Q114" s="374" t="s">
        <v>1312</v>
      </c>
      <c r="R114" s="387"/>
      <c r="S114" s="175">
        <v>11</v>
      </c>
      <c r="T114" s="379" t="s">
        <v>1266</v>
      </c>
      <c r="U114" s="379" t="s">
        <v>1266</v>
      </c>
      <c r="V114" s="374"/>
    </row>
    <row r="115" spans="1:22" ht="15.75" thickBot="1" x14ac:dyDescent="0.3"/>
    <row r="116" spans="1:22" ht="26.25" thickBot="1" x14ac:dyDescent="0.3">
      <c r="B116" s="551" t="s">
        <v>2755</v>
      </c>
      <c r="C116" s="552"/>
      <c r="D116" s="552"/>
      <c r="E116" s="552"/>
      <c r="F116" s="552"/>
      <c r="G116" s="552"/>
      <c r="H116" s="552"/>
      <c r="I116" s="552"/>
      <c r="J116" s="552"/>
      <c r="K116" s="552"/>
      <c r="L116" s="552"/>
      <c r="M116" s="553"/>
      <c r="O116" s="551" t="s">
        <v>2391</v>
      </c>
      <c r="P116" s="552"/>
      <c r="Q116" s="552"/>
      <c r="R116" s="552"/>
      <c r="S116" s="552"/>
      <c r="T116" s="552"/>
      <c r="U116" s="552"/>
      <c r="V116" s="553"/>
    </row>
    <row r="117" spans="1:22" ht="15.75" thickBot="1" x14ac:dyDescent="0.3">
      <c r="B117" s="571" t="str">
        <f t="shared" ref="B117:V119" si="61">B6</f>
        <v>CB ID</v>
      </c>
      <c r="C117" s="545" t="str">
        <f t="shared" si="61"/>
        <v>DESIGNATION</v>
      </c>
      <c r="D117" s="382" t="str">
        <f t="shared" si="61"/>
        <v>Rated</v>
      </c>
      <c r="E117" s="572" t="str">
        <f t="shared" si="61"/>
        <v>LOAD
CAPABILITY</v>
      </c>
      <c r="F117" s="572" t="str">
        <f t="shared" si="61"/>
        <v>OC
PICKUP</v>
      </c>
      <c r="G117" s="559" t="str">
        <f t="shared" si="61"/>
        <v>SCADA ALARM</v>
      </c>
      <c r="H117" s="560"/>
      <c r="I117" s="560"/>
      <c r="J117" s="561"/>
      <c r="K117" s="574" t="str">
        <f t="shared" si="61"/>
        <v>LIMITING EQUIPMENT</v>
      </c>
      <c r="L117" s="575" t="str">
        <f t="shared" si="61"/>
        <v>RECLOSING</v>
      </c>
      <c r="M117" s="576"/>
      <c r="O117" s="566" t="str">
        <f t="shared" si="61"/>
        <v>OC Pick up
Reference ID</v>
      </c>
      <c r="P117" s="557" t="str">
        <f t="shared" si="61"/>
        <v>Supply Level</v>
      </c>
      <c r="Q117" s="566" t="str">
        <f t="shared" si="61"/>
        <v>Station/Feeder</v>
      </c>
      <c r="R117" s="567" t="str">
        <f t="shared" si="61"/>
        <v>Refered to PTX</v>
      </c>
      <c r="S117" s="569" t="str">
        <f t="shared" si="61"/>
        <v>Voltage</v>
      </c>
      <c r="T117" s="539" t="str">
        <f t="shared" si="61"/>
        <v>Include
CB</v>
      </c>
      <c r="U117" s="539" t="str">
        <f t="shared" si="61"/>
        <v>Include
PTX</v>
      </c>
      <c r="V117" s="557" t="str">
        <f t="shared" si="61"/>
        <v>Notes</v>
      </c>
    </row>
    <row r="118" spans="1:22" ht="15.75" thickBot="1" x14ac:dyDescent="0.3">
      <c r="B118" s="557"/>
      <c r="C118" s="540"/>
      <c r="D118" s="362" t="str">
        <f t="shared" si="61"/>
        <v>Voltage</v>
      </c>
      <c r="E118" s="573"/>
      <c r="F118" s="573"/>
      <c r="G118" s="544" t="str">
        <f t="shared" si="61"/>
        <v>Pre-Emergency</v>
      </c>
      <c r="H118" s="544"/>
      <c r="I118" s="544" t="str">
        <f t="shared" si="61"/>
        <v>Emergency</v>
      </c>
      <c r="J118" s="544"/>
      <c r="K118" s="540"/>
      <c r="L118" s="545" t="str">
        <f t="shared" si="61"/>
        <v>AVAILABLE</v>
      </c>
      <c r="M118" s="545" t="str">
        <f t="shared" si="61"/>
        <v>UTILISED</v>
      </c>
      <c r="O118" s="557"/>
      <c r="P118" s="557"/>
      <c r="Q118" s="557"/>
      <c r="R118" s="567"/>
      <c r="S118" s="569"/>
      <c r="T118" s="540"/>
      <c r="U118" s="540"/>
      <c r="V118" s="557"/>
    </row>
    <row r="119" spans="1:22" ht="15.75" thickBot="1" x14ac:dyDescent="0.3">
      <c r="B119" s="558"/>
      <c r="C119" s="541"/>
      <c r="D119" s="345" t="str">
        <f t="shared" si="61"/>
        <v>(kV)</v>
      </c>
      <c r="E119" s="345" t="str">
        <f t="shared" si="61"/>
        <v>(A)</v>
      </c>
      <c r="F119" s="345" t="str">
        <f t="shared" si="61"/>
        <v>(A)</v>
      </c>
      <c r="G119" s="406" t="str">
        <f t="shared" si="61"/>
        <v>(A)</v>
      </c>
      <c r="H119" s="407" t="str">
        <f t="shared" si="61"/>
        <v>(MVA)</v>
      </c>
      <c r="I119" s="406" t="str">
        <f t="shared" si="61"/>
        <v>(A)</v>
      </c>
      <c r="J119" s="407" t="str">
        <f t="shared" si="61"/>
        <v>(MVA)</v>
      </c>
      <c r="K119" s="541"/>
      <c r="L119" s="541"/>
      <c r="M119" s="541"/>
      <c r="O119" s="558"/>
      <c r="P119" s="558"/>
      <c r="Q119" s="558"/>
      <c r="R119" s="568"/>
      <c r="S119" s="570"/>
      <c r="T119" s="541"/>
      <c r="U119" s="541"/>
      <c r="V119" s="558"/>
    </row>
    <row r="120" spans="1:22" x14ac:dyDescent="0.25">
      <c r="B120" s="204" t="s">
        <v>507</v>
      </c>
      <c r="C120" s="3" t="s">
        <v>2756</v>
      </c>
      <c r="D120" s="61">
        <f t="shared" ref="D120:D137" si="62">ROUNDDOWN(S120,0)</f>
        <v>11</v>
      </c>
      <c r="E120" s="369">
        <f t="array" ref="E120">IF(U120="YES",IF(T120="YES",MIN(IF(TIM[Load Capability Reference]=CONCATENATE(P120,Q120,S120,R120),TIM[Lowest A-PTX])),MIN(IF(TIM[Load Capability Reference]=CONCATENATE(P120,Q120,S120,R120),IF(TIM[Equipment ID]&lt;&gt;O120,TIM[Lowest A-PTX])))),IF(T120="YES",MIN(IF(TIM[Load Capability Reference]=CONCATENATE(P120,Q120,S120,R120),TIM[Lowest A-No PTX])),MIN(IF(TIM[Load Capability Reference]=CONCATENATE(P120,Q120,S120,R120),IF(TIM[Equipment ID]&lt;&gt;O120,TIM[Lowest A-No PTX])))))</f>
        <v>160.5975</v>
      </c>
      <c r="F120" s="61">
        <f>IFERROR(IFERROR(VLOOKUP(CONCATENATE(P120,Q120,O120,S120,"Protection"),TWZ[[OC Protection Reference]:[Forward A]],23,0),VLOOKUP(O120,AEL_Protection_Data[],12,0)),"N/A")</f>
        <v>304</v>
      </c>
      <c r="G120" s="61">
        <f t="shared" ref="G120:G137" si="63">IFERROR(FLOOR(MIN(E120:F120)*$D$3,5),"")</f>
        <v>125</v>
      </c>
      <c r="H120" s="5">
        <f t="shared" ref="H120:H137" si="64">G120*S120*SQRT(3)/1000</f>
        <v>2.3815698604072062</v>
      </c>
      <c r="I120" s="61">
        <f t="shared" ref="I120:I137" si="65">IFERROR(FLOOR(MIN(E120:F120)*$D$2,5),"")</f>
        <v>140</v>
      </c>
      <c r="J120" s="5">
        <f t="shared" ref="J120:J137" si="66">I120*S120*SQRT(3)/1000</f>
        <v>2.667358243656071</v>
      </c>
      <c r="K120" s="3" t="str">
        <f>IF(U120="Yes",UPPER(IF(ISNUMBER(SEARCH("winding",VLOOKUP(CONCATENATE(P120,Q120,S120,E120),TIM[[Limiting Equipment Reference-PTX]:[Summ Equipment]],7,0))),"Power Transformer Rating at "&amp;ROUND(E120*S120*SQRT(3)/1000,2)&amp;" MVA",VLOOKUP(CONCATENATE(P120,Q120,S120,E120),TIM[[Limiting Equipment Reference-No PTX]:[Summ Equipment]],8,0))),UPPER(VLOOKUP(CONCATENATE(P120,Q120,S120,E120),TIM[[Limiting Equipment Reference-No PTX]:[Summ Equipment]],8,0)))</f>
        <v>CABLE-3C 0.15IN² CU PILC STAS</v>
      </c>
      <c r="L120" s="4" t="s">
        <v>1267</v>
      </c>
      <c r="M120" s="4" t="s">
        <v>1266</v>
      </c>
      <c r="N120" s="398"/>
      <c r="O120" s="3" t="str">
        <f>"GRM-"&amp;B120</f>
        <v>GRM-CB2</v>
      </c>
      <c r="P120" s="38" t="s">
        <v>1276</v>
      </c>
      <c r="Q120" s="38" t="s">
        <v>176</v>
      </c>
      <c r="R120" s="389"/>
      <c r="S120" s="139">
        <v>11</v>
      </c>
      <c r="T120" s="4" t="s">
        <v>1266</v>
      </c>
      <c r="U120" s="4" t="s">
        <v>1266</v>
      </c>
      <c r="V120" s="38"/>
    </row>
    <row r="121" spans="1:22" x14ac:dyDescent="0.25">
      <c r="B121" s="124" t="s">
        <v>511</v>
      </c>
      <c r="C121" s="168" t="s">
        <v>2764</v>
      </c>
      <c r="D121" s="119">
        <f t="shared" si="62"/>
        <v>11</v>
      </c>
      <c r="E121" s="370">
        <f t="array" ref="E121">IF(U121="YES",IF(T121="YES",MIN(IF(TIM[Load Capability Reference]=CONCATENATE(P121,Q121,S121,R121),TIM[Lowest A-PTX])),MIN(IF(TIM[Load Capability Reference]=CONCATENATE(P121,Q121,S121,R121),IF(TIM[Equipment ID]&lt;&gt;O121,TIM[Lowest A-PTX])))),IF(T121="YES",MIN(IF(TIM[Load Capability Reference]=CONCATENATE(P121,Q121,S121,R121),TIM[Lowest A-No PTX])),MIN(IF(TIM[Load Capability Reference]=CONCATENATE(P121,Q121,S121,R121),IF(TIM[Equipment ID]&lt;&gt;O121,TIM[Lowest A-No PTX])))))</f>
        <v>412.56599999999986</v>
      </c>
      <c r="F121" s="119">
        <f>IFERROR(IFERROR(VLOOKUP(CONCATENATE(P121,Q121,O121,S121,"Protection"),TWZ[[OC Protection Reference]:[Forward A]],23,0),VLOOKUP(O121,AEL_Protection_Data[],12,0)),"N/A")</f>
        <v>600</v>
      </c>
      <c r="G121" s="119">
        <f t="shared" si="63"/>
        <v>330</v>
      </c>
      <c r="H121" s="29">
        <f t="shared" si="64"/>
        <v>6.2873444314750238</v>
      </c>
      <c r="I121" s="119">
        <f t="shared" si="65"/>
        <v>370</v>
      </c>
      <c r="J121" s="29">
        <f t="shared" si="66"/>
        <v>7.0494467868053299</v>
      </c>
      <c r="K121" s="6" t="str">
        <f>IF(U121="Yes",UPPER(IF(ISNUMBER(SEARCH("winding",VLOOKUP(CONCATENATE(P121,Q121,S121,E121),TIM[[Limiting Equipment Reference-PTX]:[Summ Equipment]],7,0))),"Power Transformer Rating at "&amp;ROUND(E121*S121*SQRT(3)/1000,2)&amp;" MVA",VLOOKUP(CONCATENATE(P121,Q121,S121,E121),TIM[[Limiting Equipment Reference-No PTX]:[Summ Equipment]],8,0))),UPPER(VLOOKUP(CONCATENATE(P121,Q121,S121,E121),TIM[[Limiting Equipment Reference-No PTX]:[Summ Equipment]],8,0)))</f>
        <v>CABLE-3C 400MM² CU PILC SWA</v>
      </c>
      <c r="L121" s="146" t="s">
        <v>1267</v>
      </c>
      <c r="M121" s="146" t="s">
        <v>1266</v>
      </c>
      <c r="N121" s="399"/>
      <c r="O121" s="168" t="str">
        <f t="shared" ref="O121:O137" si="67">"GRM-"&amp;B121</f>
        <v>GRM-CB3</v>
      </c>
      <c r="P121" s="49" t="s">
        <v>1245</v>
      </c>
      <c r="Q121" s="49" t="s">
        <v>1318</v>
      </c>
      <c r="R121" s="386"/>
      <c r="S121" s="43">
        <v>11</v>
      </c>
      <c r="T121" s="146" t="s">
        <v>1266</v>
      </c>
      <c r="U121" s="146" t="s">
        <v>1266</v>
      </c>
      <c r="V121" s="49"/>
    </row>
    <row r="122" spans="1:22" x14ac:dyDescent="0.25">
      <c r="B122" s="124" t="s">
        <v>498</v>
      </c>
      <c r="C122" s="168" t="s">
        <v>2765</v>
      </c>
      <c r="D122" s="119">
        <f t="shared" si="62"/>
        <v>11</v>
      </c>
      <c r="E122" s="370">
        <f t="array" ref="E122">IF(U122="YES",IF(T122="YES",MIN(IF(TIM[Load Capability Reference]=CONCATENATE(P122,Q122,S122,R122),TIM[Lowest A-PTX])),MIN(IF(TIM[Load Capability Reference]=CONCATENATE(P122,Q122,S122,R122),IF(TIM[Equipment ID]&lt;&gt;O122,TIM[Lowest A-PTX])))),IF(T122="YES",MIN(IF(TIM[Load Capability Reference]=CONCATENATE(P122,Q122,S122,R122),TIM[Lowest A-No PTX])),MIN(IF(TIM[Load Capability Reference]=CONCATENATE(P122,Q122,S122,R122),IF(TIM[Equipment ID]&lt;&gt;O122,TIM[Lowest A-No PTX])))))</f>
        <v>297.464</v>
      </c>
      <c r="F122" s="119">
        <f>IFERROR(IFERROR(VLOOKUP(CONCATENATE(P122,Q122,O122,S122,"Protection"),TWZ[[OC Protection Reference]:[Forward A]],23,0),VLOOKUP(O122,AEL_Protection_Data[],12,0)),"N/A")</f>
        <v>400</v>
      </c>
      <c r="G122" s="119">
        <f t="shared" si="63"/>
        <v>235</v>
      </c>
      <c r="H122" s="29">
        <f t="shared" si="64"/>
        <v>4.4773513375655476</v>
      </c>
      <c r="I122" s="119">
        <f t="shared" si="65"/>
        <v>265</v>
      </c>
      <c r="J122" s="29">
        <f t="shared" si="66"/>
        <v>5.0489281040632772</v>
      </c>
      <c r="K122" s="168" t="str">
        <f>IF(U122="Yes",UPPER(IF(ISNUMBER(SEARCH("winding",VLOOKUP(CONCATENATE(P122,Q122,S122,E122),TIM[[Limiting Equipment Reference-PTX]:[Summ Equipment]],7,0))),"Power Transformer Rating at "&amp;ROUND(E122*S122*SQRT(3)/1000,2)&amp;" MVA",VLOOKUP(CONCATENATE(P122,Q122,S122,E122),TIM[[Limiting Equipment Reference-No PTX]:[Summ Equipment]],8,0))),UPPER(VLOOKUP(CONCATENATE(P122,Q122,S122,E122),TIM[[Limiting Equipment Reference-No PTX]:[Summ Equipment]],8,0)))</f>
        <v xml:space="preserve">CABLE-3C 0.3IN² CU PILC SWA </v>
      </c>
      <c r="L122" s="146" t="s">
        <v>1267</v>
      </c>
      <c r="M122" s="146" t="s">
        <v>1266</v>
      </c>
      <c r="O122" s="168" t="str">
        <f t="shared" si="67"/>
        <v>GRM-CB4</v>
      </c>
      <c r="P122" s="49" t="s">
        <v>1245</v>
      </c>
      <c r="Q122" s="49" t="s">
        <v>1328</v>
      </c>
      <c r="R122" s="390"/>
      <c r="S122" s="32">
        <v>11</v>
      </c>
      <c r="T122" s="146" t="s">
        <v>1266</v>
      </c>
      <c r="U122" s="146" t="s">
        <v>1266</v>
      </c>
      <c r="V122" s="49"/>
    </row>
    <row r="123" spans="1:22" x14ac:dyDescent="0.25">
      <c r="B123" s="124" t="s">
        <v>592</v>
      </c>
      <c r="C123" s="168" t="s">
        <v>2757</v>
      </c>
      <c r="D123" s="119">
        <f t="shared" si="62"/>
        <v>11</v>
      </c>
      <c r="E123" s="370">
        <f t="array" ref="E123">IF(U123="YES",IF(T123="YES",MIN(IF(TIM[Load Capability Reference]=CONCATENATE(P123,Q123,S123,R123),TIM[Lowest A-PTX])),MIN(IF(TIM[Load Capability Reference]=CONCATENATE(P123,Q123,S123,R123),IF(TIM[Equipment ID]&lt;&gt;O123,TIM[Lowest A-PTX])))),IF(T123="YES",MIN(IF(TIM[Load Capability Reference]=CONCATENATE(P123,Q123,S123,R123),TIM[Lowest A-No PTX])),MIN(IF(TIM[Load Capability Reference]=CONCATENATE(P123,Q123,S123,R123),IF(TIM[Equipment ID]&lt;&gt;O123,TIM[Lowest A-No PTX])))))</f>
        <v>233.41499999999996</v>
      </c>
      <c r="F123" s="119">
        <f>IFERROR(IFERROR(VLOOKUP(CONCATENATE(P123,Q123,O123,S123,"Protection"),TWZ[[OC Protection Reference]:[Forward A]],23,0),VLOOKUP(O123,AEL_Protection_Data[],12,0)),"N/A")</f>
        <v>304</v>
      </c>
      <c r="G123" s="119">
        <f t="shared" si="63"/>
        <v>185</v>
      </c>
      <c r="H123" s="29">
        <f t="shared" si="64"/>
        <v>3.5247233934026649</v>
      </c>
      <c r="I123" s="119">
        <f t="shared" si="65"/>
        <v>210</v>
      </c>
      <c r="J123" s="29">
        <f t="shared" si="66"/>
        <v>4.0010373654841063</v>
      </c>
      <c r="K123" s="6" t="str">
        <f>IF(U123="Yes",UPPER(IF(ISNUMBER(SEARCH("winding",VLOOKUP(CONCATENATE(P123,Q123,S123,E123),TIM[[Limiting Equipment Reference-PTX]:[Summ Equipment]],7,0))),"Power Transformer Rating at "&amp;ROUND(E123*S123*SQRT(3)/1000,2)&amp;" MVA",VLOOKUP(CONCATENATE(P123,Q123,S123,E123),TIM[[Limiting Equipment Reference-No PTX]:[Summ Equipment]],8,0))),UPPER(VLOOKUP(CONCATENATE(P123,Q123,S123,E123),TIM[[Limiting Equipment Reference-No PTX]:[Summ Equipment]],8,0)))</f>
        <v>CABLE-3C 300MM² AL PILC SWAS</v>
      </c>
      <c r="L123" s="146" t="s">
        <v>1267</v>
      </c>
      <c r="M123" s="146" t="s">
        <v>1266</v>
      </c>
      <c r="O123" s="168" t="str">
        <f t="shared" si="67"/>
        <v>GRM-CB5</v>
      </c>
      <c r="P123" s="49" t="s">
        <v>1276</v>
      </c>
      <c r="Q123" s="49" t="s">
        <v>182</v>
      </c>
      <c r="R123" s="386"/>
      <c r="S123" s="43">
        <v>11</v>
      </c>
      <c r="T123" s="146" t="s">
        <v>1266</v>
      </c>
      <c r="U123" s="146" t="s">
        <v>1266</v>
      </c>
      <c r="V123" s="49"/>
    </row>
    <row r="124" spans="1:22" x14ac:dyDescent="0.25">
      <c r="B124" s="124" t="s">
        <v>500</v>
      </c>
      <c r="C124" s="168" t="s">
        <v>2758</v>
      </c>
      <c r="D124" s="119">
        <f t="shared" si="62"/>
        <v>11</v>
      </c>
      <c r="E124" s="370">
        <f t="array" ref="E124">IF(U124="YES",IF(T124="YES",MIN(IF(TIM[Load Capability Reference]=CONCATENATE(P124,Q124,S124,R124),TIM[Lowest A-PTX])),MIN(IF(TIM[Load Capability Reference]=CONCATENATE(P124,Q124,S124,R124),IF(TIM[Equipment ID]&lt;&gt;O124,TIM[Lowest A-PTX])))),IF(T124="YES",MIN(IF(TIM[Load Capability Reference]=CONCATENATE(P124,Q124,S124,R124),TIM[Lowest A-No PTX])),MIN(IF(TIM[Load Capability Reference]=CONCATENATE(P124,Q124,S124,R124),IF(TIM[Equipment ID]&lt;&gt;O124,TIM[Lowest A-No PTX])))))</f>
        <v>228</v>
      </c>
      <c r="F124" s="119">
        <f>IFERROR(IFERROR(VLOOKUP(CONCATENATE(P124,Q124,O124,S124,"Protection"),TWZ[[OC Protection Reference]:[Forward A]],23,0),VLOOKUP(O124,AEL_Protection_Data[],12,0)),"N/A")</f>
        <v>304</v>
      </c>
      <c r="G124" s="119">
        <f t="shared" si="63"/>
        <v>180</v>
      </c>
      <c r="H124" s="29">
        <f t="shared" si="64"/>
        <v>3.4294605989863767</v>
      </c>
      <c r="I124" s="119">
        <f t="shared" si="65"/>
        <v>205</v>
      </c>
      <c r="J124" s="29">
        <f t="shared" si="66"/>
        <v>3.905774571067818</v>
      </c>
      <c r="K124" s="6" t="str">
        <f>IF(U124="Yes",UPPER(IF(ISNUMBER(SEARCH("winding",VLOOKUP(CONCATENATE(P124,Q124,S124,E124),TIM[[Limiting Equipment Reference-PTX]:[Summ Equipment]],7,0))),"Power Transformer Rating at "&amp;ROUND(E124*S124*SQRT(3)/1000,2)&amp;" MVA",VLOOKUP(CONCATENATE(P124,Q124,S124,E124),TIM[[Limiting Equipment Reference-No PTX]:[Summ Equipment]],8,0))),UPPER(VLOOKUP(CONCATENATE(P124,Q124,S124,E124),TIM[[Limiting Equipment Reference-No PTX]:[Summ Equipment]],8,0)))</f>
        <v>CABLE-3C 185MM² AL PILC SWAS</v>
      </c>
      <c r="L124" s="146" t="s">
        <v>1267</v>
      </c>
      <c r="M124" s="146" t="s">
        <v>1266</v>
      </c>
      <c r="O124" s="168" t="str">
        <f t="shared" si="67"/>
        <v>GRM-CB6</v>
      </c>
      <c r="P124" s="49" t="s">
        <v>1276</v>
      </c>
      <c r="Q124" s="49" t="s">
        <v>185</v>
      </c>
      <c r="R124" s="386"/>
      <c r="S124" s="43">
        <v>11</v>
      </c>
      <c r="T124" s="146" t="s">
        <v>1266</v>
      </c>
      <c r="U124" s="146" t="s">
        <v>1266</v>
      </c>
      <c r="V124" s="49"/>
    </row>
    <row r="125" spans="1:22" x14ac:dyDescent="0.25">
      <c r="B125" s="124" t="s">
        <v>512</v>
      </c>
      <c r="C125" s="168" t="s">
        <v>2759</v>
      </c>
      <c r="D125" s="119">
        <f t="shared" si="62"/>
        <v>11</v>
      </c>
      <c r="E125" s="370">
        <f t="array" ref="E125">IF(U125="YES",IF(T125="YES",MIN(IF(TIM[Load Capability Reference]=CONCATENATE(P125,Q125,S125,R125),TIM[Lowest A-PTX])),MIN(IF(TIM[Load Capability Reference]=CONCATENATE(P125,Q125,S125,R125),IF(TIM[Equipment ID]&lt;&gt;O125,TIM[Lowest A-PTX])))),IF(T125="YES",MIN(IF(TIM[Load Capability Reference]=CONCATENATE(P125,Q125,S125,R125),TIM[Lowest A-No PTX])),MIN(IF(TIM[Load Capability Reference]=CONCATENATE(P125,Q125,S125,R125),IF(TIM[Equipment ID]&lt;&gt;O125,TIM[Lowest A-No PTX])))))</f>
        <v>235.904</v>
      </c>
      <c r="F125" s="119">
        <f>IFERROR(IFERROR(VLOOKUP(CONCATENATE(P125,Q125,O125,S125,"Protection"),TWZ[[OC Protection Reference]:[Forward A]],23,0),VLOOKUP(O125,AEL_Protection_Data[],12,0)),"N/A")</f>
        <v>304</v>
      </c>
      <c r="G125" s="119">
        <f t="shared" si="63"/>
        <v>185</v>
      </c>
      <c r="H125" s="29">
        <f t="shared" si="64"/>
        <v>3.5247233934026649</v>
      </c>
      <c r="I125" s="119">
        <f t="shared" si="65"/>
        <v>210</v>
      </c>
      <c r="J125" s="29">
        <f t="shared" si="66"/>
        <v>4.0010373654841063</v>
      </c>
      <c r="K125" s="6" t="str">
        <f>IF(U125="Yes",UPPER(IF(ISNUMBER(SEARCH("winding",VLOOKUP(CONCATENATE(P125,Q125,S125,E125),TIM[[Limiting Equipment Reference-PTX]:[Summ Equipment]],7,0))),"Power Transformer Rating at "&amp;ROUND(E125*S125*SQRT(3)/1000,2)&amp;" MVA",VLOOKUP(CONCATENATE(P125,Q125,S125,E125),TIM[[Limiting Equipment Reference-No PTX]:[Summ Equipment]],8,0))),UPPER(VLOOKUP(CONCATENATE(P125,Q125,S125,E125),TIM[[Limiting Equipment Reference-No PTX]:[Summ Equipment]],8,0)))</f>
        <v>CABLE-3C 185MM² AL XLPE HDPE</v>
      </c>
      <c r="L125" s="146" t="s">
        <v>1267</v>
      </c>
      <c r="M125" s="146" t="s">
        <v>1266</v>
      </c>
      <c r="O125" s="168" t="str">
        <f t="shared" si="67"/>
        <v>GRM-CB7</v>
      </c>
      <c r="P125" s="49" t="s">
        <v>1276</v>
      </c>
      <c r="Q125" s="49" t="s">
        <v>187</v>
      </c>
      <c r="R125" s="386"/>
      <c r="S125" s="43">
        <v>11</v>
      </c>
      <c r="T125" s="146" t="s">
        <v>1266</v>
      </c>
      <c r="U125" s="146" t="s">
        <v>1266</v>
      </c>
      <c r="V125" s="49"/>
    </row>
    <row r="126" spans="1:22" x14ac:dyDescent="0.25">
      <c r="B126" s="124" t="s">
        <v>522</v>
      </c>
      <c r="C126" s="168" t="s">
        <v>2766</v>
      </c>
      <c r="D126" s="119">
        <f t="shared" si="62"/>
        <v>11</v>
      </c>
      <c r="E126" s="370">
        <f t="array" ref="E126">IF(U126="YES",IF(T126="YES",MIN(IF(TIM[Load Capability Reference]=CONCATENATE(P126,Q126,S126,R126),TIM[Lowest A-PTX])),MIN(IF(TIM[Load Capability Reference]=CONCATENATE(P126,Q126,S126,R126),IF(TIM[Equipment ID]&lt;&gt;O126,TIM[Lowest A-PTX])))),IF(T126="YES",MIN(IF(TIM[Load Capability Reference]=CONCATENATE(P126,Q126,S126,R126),TIM[Lowest A-No PTX])),MIN(IF(TIM[Load Capability Reference]=CONCATENATE(P126,Q126,S126,R126),IF(TIM[Equipment ID]&lt;&gt;O126,TIM[Lowest A-No PTX])))))</f>
        <v>412.56599999999986</v>
      </c>
      <c r="F126" s="119">
        <f>IFERROR(IFERROR(VLOOKUP(CONCATENATE(P126,Q126,O126,S126,"Protection"),TWZ[[OC Protection Reference]:[Forward A]],23,0),VLOOKUP(O126,AEL_Protection_Data[],12,0)),"N/A")</f>
        <v>600</v>
      </c>
      <c r="G126" s="119">
        <f t="shared" si="63"/>
        <v>330</v>
      </c>
      <c r="H126" s="29">
        <f t="shared" si="64"/>
        <v>6.2873444314750238</v>
      </c>
      <c r="I126" s="119">
        <f t="shared" si="65"/>
        <v>370</v>
      </c>
      <c r="J126" s="29">
        <f t="shared" si="66"/>
        <v>7.0494467868053299</v>
      </c>
      <c r="K126" s="6" t="str">
        <f>IF(U126="Yes",UPPER(IF(ISNUMBER(SEARCH("winding",VLOOKUP(CONCATENATE(P126,Q126,S126,E126),TIM[[Limiting Equipment Reference-PTX]:[Summ Equipment]],7,0))),"Power Transformer Rating at "&amp;ROUND(E126*S126*SQRT(3)/1000,2)&amp;" MVA",VLOOKUP(CONCATENATE(P126,Q126,S126,E126),TIM[[Limiting Equipment Reference-No PTX]:[Summ Equipment]],8,0))),UPPER(VLOOKUP(CONCATENATE(P126,Q126,S126,E126),TIM[[Limiting Equipment Reference-No PTX]:[Summ Equipment]],8,0)))</f>
        <v>CABLE-3C 400MM² CU PILC SWA</v>
      </c>
      <c r="L126" s="146" t="s">
        <v>1267</v>
      </c>
      <c r="M126" s="146" t="s">
        <v>1266</v>
      </c>
      <c r="O126" s="168" t="str">
        <f t="shared" si="67"/>
        <v>GRM-CB8</v>
      </c>
      <c r="P126" s="49" t="s">
        <v>1245</v>
      </c>
      <c r="Q126" s="49" t="s">
        <v>1319</v>
      </c>
      <c r="R126" s="386"/>
      <c r="S126" s="43">
        <v>11</v>
      </c>
      <c r="T126" s="146" t="s">
        <v>1266</v>
      </c>
      <c r="U126" s="146" t="s">
        <v>1266</v>
      </c>
      <c r="V126" s="49"/>
    </row>
    <row r="127" spans="1:22" x14ac:dyDescent="0.25">
      <c r="B127" s="124" t="s">
        <v>526</v>
      </c>
      <c r="C127" s="168" t="s">
        <v>2767</v>
      </c>
      <c r="D127" s="119">
        <f t="shared" si="62"/>
        <v>11</v>
      </c>
      <c r="E127" s="370">
        <f t="array" ref="E127">IF(U127="YES",IF(T127="YES",MIN(IF(TIM[Load Capability Reference]=CONCATENATE(P127,Q127,S127,R127),TIM[Lowest A-PTX])),MIN(IF(TIM[Load Capability Reference]=CONCATENATE(P127,Q127,S127,R127),IF(TIM[Equipment ID]&lt;&gt;O127,TIM[Lowest A-PTX])))),IF(T127="YES",MIN(IF(TIM[Load Capability Reference]=CONCATENATE(P127,Q127,S127,R127),TIM[Lowest A-No PTX])),MIN(IF(TIM[Load Capability Reference]=CONCATENATE(P127,Q127,S127,R127),IF(TIM[Equipment ID]&lt;&gt;O127,TIM[Lowest A-No PTX])))))</f>
        <v>297.464</v>
      </c>
      <c r="F127" s="119">
        <f>IFERROR(IFERROR(VLOOKUP(CONCATENATE(P127,Q127,O127,S127,"Protection"),TWZ[[OC Protection Reference]:[Forward A]],23,0),VLOOKUP(O127,AEL_Protection_Data[],12,0)),"N/A")</f>
        <v>400</v>
      </c>
      <c r="G127" s="119">
        <f t="shared" si="63"/>
        <v>235</v>
      </c>
      <c r="H127" s="29">
        <f t="shared" si="64"/>
        <v>4.4773513375655476</v>
      </c>
      <c r="I127" s="119">
        <f t="shared" si="65"/>
        <v>265</v>
      </c>
      <c r="J127" s="29">
        <f t="shared" si="66"/>
        <v>5.0489281040632772</v>
      </c>
      <c r="K127" s="6" t="str">
        <f>IF(U127="Yes",UPPER(IF(ISNUMBER(SEARCH("winding",VLOOKUP(CONCATENATE(P127,Q127,S127,E127),TIM[[Limiting Equipment Reference-PTX]:[Summ Equipment]],7,0))),"Power Transformer Rating at "&amp;ROUND(E127*S127*SQRT(3)/1000,2)&amp;" MVA",VLOOKUP(CONCATENATE(P127,Q127,S127,E127),TIM[[Limiting Equipment Reference-No PTX]:[Summ Equipment]],8,0))),UPPER(VLOOKUP(CONCATENATE(P127,Q127,S127,E127),TIM[[Limiting Equipment Reference-No PTX]:[Summ Equipment]],8,0)))</f>
        <v>CABLE-3C 0.3IN² CU PILC STAS</v>
      </c>
      <c r="L127" s="146" t="s">
        <v>1267</v>
      </c>
      <c r="M127" s="146" t="s">
        <v>1266</v>
      </c>
      <c r="O127" s="168" t="str">
        <f t="shared" si="67"/>
        <v>GRM-CB9</v>
      </c>
      <c r="P127" s="49" t="s">
        <v>1245</v>
      </c>
      <c r="Q127" s="49" t="s">
        <v>1330</v>
      </c>
      <c r="R127" s="386"/>
      <c r="S127" s="43">
        <v>11</v>
      </c>
      <c r="T127" s="146" t="s">
        <v>1266</v>
      </c>
      <c r="U127" s="146" t="s">
        <v>1266</v>
      </c>
      <c r="V127" s="49"/>
    </row>
    <row r="128" spans="1:22" x14ac:dyDescent="0.25">
      <c r="B128" s="123" t="s">
        <v>1763</v>
      </c>
      <c r="C128" s="6" t="s">
        <v>2768</v>
      </c>
      <c r="D128" s="119">
        <f t="shared" si="62"/>
        <v>11</v>
      </c>
      <c r="E128" s="370">
        <f t="array" ref="E128">IF(U128="YES",IF(T128="YES",MIN(IF(TIM[Load Capability Reference]=CONCATENATE(P128,Q128,S128,R128),TIM[Lowest A-PTX])),MIN(IF(TIM[Load Capability Reference]=CONCATENATE(P128,Q128,S128,R128),IF(TIM[Equipment ID]&lt;&gt;O128,TIM[Lowest A-PTX])))),IF(T128="YES",MIN(IF(TIM[Load Capability Reference]=CONCATENATE(P128,Q128,S128,R128),TIM[Lowest A-No PTX])),MIN(IF(TIM[Load Capability Reference]=CONCATENATE(P128,Q128,S128,R128),IF(TIM[Equipment ID]&lt;&gt;O128,TIM[Lowest A-No PTX])))))</f>
        <v>201.4</v>
      </c>
      <c r="F128" s="119">
        <f>IFERROR(IFERROR(VLOOKUP(CONCATENATE(P128,Q128,O128,S128,"Protection"),TWZ[[OC Protection Reference]:[Forward A]],23,0),VLOOKUP(O128,AEL_Protection_Data[],12,0)),"N/A")</f>
        <v>304</v>
      </c>
      <c r="G128" s="119">
        <f t="shared" si="63"/>
        <v>160</v>
      </c>
      <c r="H128" s="29">
        <f t="shared" si="64"/>
        <v>3.0484094213212236</v>
      </c>
      <c r="I128" s="119">
        <f t="shared" si="65"/>
        <v>180</v>
      </c>
      <c r="J128" s="29">
        <f t="shared" si="66"/>
        <v>3.4294605989863767</v>
      </c>
      <c r="K128" s="6" t="str">
        <f>IF(U128="Yes",UPPER(IF(ISNUMBER(SEARCH("winding",VLOOKUP(CONCATENATE(P128,Q128,S128,E128),TIM[[Limiting Equipment Reference-PTX]:[Summ Equipment]],7,0))),"Power Transformer Rating at "&amp;ROUND(E128*S128*SQRT(3)/1000,2)&amp;" MVA",VLOOKUP(CONCATENATE(P128,Q128,S128,E128),TIM[[Limiting Equipment Reference-No PTX]:[Summ Equipment]],8,0))),UPPER(VLOOKUP(CONCATENATE(P128,Q128,S128,E128),TIM[[Limiting Equipment Reference-No PTX]:[Summ Equipment]],8,0)))</f>
        <v>CABLE-3C 0.25IN² AL PILC STAS</v>
      </c>
      <c r="L128" s="146" t="s">
        <v>1267</v>
      </c>
      <c r="M128" s="146" t="s">
        <v>1266</v>
      </c>
      <c r="O128" s="168" t="str">
        <f t="shared" si="67"/>
        <v>GRM-CB10</v>
      </c>
      <c r="P128" s="49" t="s">
        <v>1276</v>
      </c>
      <c r="Q128" s="49" t="s">
        <v>189</v>
      </c>
      <c r="R128" s="386"/>
      <c r="S128" s="43">
        <v>11</v>
      </c>
      <c r="T128" s="146" t="s">
        <v>1266</v>
      </c>
      <c r="U128" s="146" t="s">
        <v>1266</v>
      </c>
      <c r="V128" s="49"/>
    </row>
    <row r="129" spans="2:22" x14ac:dyDescent="0.25">
      <c r="B129" s="124" t="s">
        <v>610</v>
      </c>
      <c r="C129" s="168" t="s">
        <v>2769</v>
      </c>
      <c r="D129" s="119">
        <f t="shared" si="62"/>
        <v>11</v>
      </c>
      <c r="E129" s="370">
        <f t="array" ref="E129">IF(U129="YES",IF(T129="YES",MIN(IF(TIM[Load Capability Reference]=CONCATENATE(P129,Q129,S129,R129),TIM[Lowest A-PTX])),MIN(IF(TIM[Load Capability Reference]=CONCATENATE(P129,Q129,S129,R129),IF(TIM[Equipment ID]&lt;&gt;O129,TIM[Lowest A-PTX])))),IF(T129="YES",MIN(IF(TIM[Load Capability Reference]=CONCATENATE(P129,Q129,S129,R129),TIM[Lowest A-No PTX])),MIN(IF(TIM[Load Capability Reference]=CONCATENATE(P129,Q129,S129,R129),IF(TIM[Equipment ID]&lt;&gt;O129,TIM[Lowest A-No PTX])))))</f>
        <v>176.10662999999997</v>
      </c>
      <c r="F129" s="119">
        <f>IFERROR(IFERROR(VLOOKUP(CONCATENATE(P129,Q129,O129,S129,"Protection"),TWZ[[OC Protection Reference]:[Forward A]],23,0),VLOOKUP(O129,AEL_Protection_Data[],12,0)),"N/A")</f>
        <v>304</v>
      </c>
      <c r="G129" s="119">
        <f t="shared" si="63"/>
        <v>140</v>
      </c>
      <c r="H129" s="29">
        <f t="shared" si="64"/>
        <v>2.667358243656071</v>
      </c>
      <c r="I129" s="119">
        <f t="shared" si="65"/>
        <v>155</v>
      </c>
      <c r="J129" s="29">
        <f t="shared" si="66"/>
        <v>2.9531466269049358</v>
      </c>
      <c r="K129" s="6" t="str">
        <f>IF(U129="Yes",UPPER(IF(ISNUMBER(SEARCH("winding",VLOOKUP(CONCATENATE(P129,Q129,S129,E129),TIM[[Limiting Equipment Reference-PTX]:[Summ Equipment]],7,0))),"Power Transformer Rating at "&amp;ROUND(E129*S129*SQRT(3)/1000,2)&amp;" MVA",VLOOKUP(CONCATENATE(P129,Q129,S129,E129),TIM[[Limiting Equipment Reference-No PTX]:[Summ Equipment]],8,0))),UPPER(VLOOKUP(CONCATENATE(P129,Q129,S129,E129),TIM[[Limiting Equipment Reference-No PTX]:[Summ Equipment]],8,0)))</f>
        <v>CABLE-3C 300MM² AL PILC</v>
      </c>
      <c r="L129" s="146" t="s">
        <v>1267</v>
      </c>
      <c r="M129" s="146" t="s">
        <v>1266</v>
      </c>
      <c r="O129" s="168" t="str">
        <f t="shared" si="67"/>
        <v>GRM-CB12</v>
      </c>
      <c r="P129" s="49" t="s">
        <v>1276</v>
      </c>
      <c r="Q129" s="49" t="s">
        <v>191</v>
      </c>
      <c r="R129" s="386"/>
      <c r="S129" s="43">
        <v>11</v>
      </c>
      <c r="T129" s="146" t="s">
        <v>1266</v>
      </c>
      <c r="U129" s="146" t="s">
        <v>1266</v>
      </c>
      <c r="V129" s="49"/>
    </row>
    <row r="130" spans="2:22" x14ac:dyDescent="0.25">
      <c r="B130" s="124" t="s">
        <v>611</v>
      </c>
      <c r="C130" s="168" t="s">
        <v>2770</v>
      </c>
      <c r="D130" s="119">
        <f t="shared" si="62"/>
        <v>11</v>
      </c>
      <c r="E130" s="370">
        <f t="array" ref="E130">IF(U130="YES",IF(T130="YES",MIN(IF(TIM[Load Capability Reference]=CONCATENATE(P130,Q130,S130,R130),TIM[Lowest A-PTX])),MIN(IF(TIM[Load Capability Reference]=CONCATENATE(P130,Q130,S130,R130),IF(TIM[Equipment ID]&lt;&gt;O130,TIM[Lowest A-PTX])))),IF(T130="YES",MIN(IF(TIM[Load Capability Reference]=CONCATENATE(P130,Q130,S130,R130),TIM[Lowest A-No PTX])),MIN(IF(TIM[Load Capability Reference]=CONCATENATE(P130,Q130,S130,R130),IF(TIM[Equipment ID]&lt;&gt;O130,TIM[Lowest A-No PTX])))))</f>
        <v>297.464</v>
      </c>
      <c r="F130" s="119">
        <f>IFERROR(IFERROR(VLOOKUP(CONCATENATE(P130,Q130,O130,S130,"Protection"),TWZ[[OC Protection Reference]:[Forward A]],23,0),VLOOKUP(O130,AEL_Protection_Data[],12,0)),"N/A")</f>
        <v>400</v>
      </c>
      <c r="G130" s="119">
        <f t="shared" si="63"/>
        <v>235</v>
      </c>
      <c r="H130" s="29">
        <f t="shared" si="64"/>
        <v>4.4773513375655476</v>
      </c>
      <c r="I130" s="119">
        <f t="shared" si="65"/>
        <v>265</v>
      </c>
      <c r="J130" s="29">
        <f t="shared" si="66"/>
        <v>5.0489281040632772</v>
      </c>
      <c r="K130" s="6" t="str">
        <f>IF(U130="Yes",UPPER(IF(ISNUMBER(SEARCH("winding",VLOOKUP(CONCATENATE(P130,Q130,S130,E130),TIM[[Limiting Equipment Reference-PTX]:[Summ Equipment]],7,0))),"Power Transformer Rating at "&amp;ROUND(E130*S130*SQRT(3)/1000,2)&amp;" MVA",VLOOKUP(CONCATENATE(P130,Q130,S130,E130),TIM[[Limiting Equipment Reference-No PTX]:[Summ Equipment]],8,0))),UPPER(VLOOKUP(CONCATENATE(P130,Q130,S130,E130),TIM[[Limiting Equipment Reference-No PTX]:[Summ Equipment]],8,0)))</f>
        <v>CABLE-3C 0.3IN² CU PILC STAS</v>
      </c>
      <c r="L130" s="146" t="s">
        <v>1267</v>
      </c>
      <c r="M130" s="146" t="s">
        <v>1266</v>
      </c>
      <c r="O130" s="168" t="str">
        <f t="shared" si="67"/>
        <v>GRM-CB13</v>
      </c>
      <c r="P130" s="49" t="s">
        <v>1245</v>
      </c>
      <c r="Q130" s="49" t="s">
        <v>1329</v>
      </c>
      <c r="R130" s="386"/>
      <c r="S130" s="43">
        <v>11</v>
      </c>
      <c r="T130" s="146" t="s">
        <v>1266</v>
      </c>
      <c r="U130" s="146" t="s">
        <v>1266</v>
      </c>
      <c r="V130" s="49"/>
    </row>
    <row r="131" spans="2:22" x14ac:dyDescent="0.25">
      <c r="B131" s="124" t="s">
        <v>1594</v>
      </c>
      <c r="C131" s="168" t="s">
        <v>2771</v>
      </c>
      <c r="D131" s="119">
        <f t="shared" si="62"/>
        <v>11</v>
      </c>
      <c r="E131" s="370">
        <f t="array" ref="E131">IF(U131="YES",IF(T131="YES",MIN(IF(TIM[Load Capability Reference]=CONCATENATE(P131,Q131,S131,R131),TIM[Lowest A-PTX])),MIN(IF(TIM[Load Capability Reference]=CONCATENATE(P131,Q131,S131,R131),IF(TIM[Equipment ID]&lt;&gt;O131,TIM[Lowest A-PTX])))),IF(T131="YES",MIN(IF(TIM[Load Capability Reference]=CONCATENATE(P131,Q131,S131,R131),TIM[Lowest A-No PTX])),MIN(IF(TIM[Load Capability Reference]=CONCATENATE(P131,Q131,S131,R131),IF(TIM[Equipment ID]&lt;&gt;O131,TIM[Lowest A-No PTX])))))</f>
        <v>412.56599999999986</v>
      </c>
      <c r="F131" s="119">
        <f>IFERROR(IFERROR(VLOOKUP(CONCATENATE(P131,Q131,O131,S131,"Protection"),TWZ[[OC Protection Reference]:[Forward A]],23,0),VLOOKUP(O131,AEL_Protection_Data[],12,0)),"N/A")</f>
        <v>600</v>
      </c>
      <c r="G131" s="119">
        <f t="shared" si="63"/>
        <v>330</v>
      </c>
      <c r="H131" s="29">
        <f t="shared" si="64"/>
        <v>6.2873444314750238</v>
      </c>
      <c r="I131" s="119">
        <f t="shared" si="65"/>
        <v>370</v>
      </c>
      <c r="J131" s="29">
        <f t="shared" si="66"/>
        <v>7.0494467868053299</v>
      </c>
      <c r="K131" s="6" t="str">
        <f>IF(U131="Yes",UPPER(IF(ISNUMBER(SEARCH("winding",VLOOKUP(CONCATENATE(P131,Q131,S131,E131),TIM[[Limiting Equipment Reference-PTX]:[Summ Equipment]],7,0))),"Power Transformer Rating at "&amp;ROUND(E131*S131*SQRT(3)/1000,2)&amp;" MVA",VLOOKUP(CONCATENATE(P131,Q131,S131,E131),TIM[[Limiting Equipment Reference-No PTX]:[Summ Equipment]],8,0))),UPPER(VLOOKUP(CONCATENATE(P131,Q131,S131,E131),TIM[[Limiting Equipment Reference-No PTX]:[Summ Equipment]],8,0)))</f>
        <v>CABLE-3C 400MM² CU PILC SWA</v>
      </c>
      <c r="L131" s="146" t="s">
        <v>1267</v>
      </c>
      <c r="M131" s="146" t="s">
        <v>1266</v>
      </c>
      <c r="O131" s="168" t="str">
        <f t="shared" si="67"/>
        <v>GRM-CB14</v>
      </c>
      <c r="P131" s="49" t="s">
        <v>1245</v>
      </c>
      <c r="Q131" s="49" t="s">
        <v>1320</v>
      </c>
      <c r="R131" s="386"/>
      <c r="S131" s="43">
        <v>11</v>
      </c>
      <c r="T131" s="146" t="s">
        <v>1266</v>
      </c>
      <c r="U131" s="146" t="s">
        <v>1266</v>
      </c>
      <c r="V131" s="49"/>
    </row>
    <row r="132" spans="2:22" x14ac:dyDescent="0.25">
      <c r="B132" s="124" t="s">
        <v>1596</v>
      </c>
      <c r="C132" s="168" t="s">
        <v>2772</v>
      </c>
      <c r="D132" s="119">
        <f t="shared" si="62"/>
        <v>11</v>
      </c>
      <c r="E132" s="370">
        <f t="array" ref="E132">IF(U132="YES",IF(T132="YES",MIN(IF(TIM[Load Capability Reference]=CONCATENATE(P132,Q132,S132,R132),TIM[Lowest A-PTX])),MIN(IF(TIM[Load Capability Reference]=CONCATENATE(P132,Q132,S132,R132),IF(TIM[Equipment ID]&lt;&gt;O132,TIM[Lowest A-PTX])))),IF(T132="YES",MIN(IF(TIM[Load Capability Reference]=CONCATENATE(P132,Q132,S132,R132),TIM[Lowest A-No PTX])),MIN(IF(TIM[Load Capability Reference]=CONCATENATE(P132,Q132,S132,R132),IF(TIM[Equipment ID]&lt;&gt;O132,TIM[Lowest A-No PTX])))))</f>
        <v>172.61936999999995</v>
      </c>
      <c r="F132" s="119">
        <f>IFERROR(IFERROR(VLOOKUP(CONCATENATE(P132,Q132,O132,S132,"Protection"),TWZ[[OC Protection Reference]:[Forward A]],23,0),VLOOKUP(O132,AEL_Protection_Data[],12,0)),"N/A")</f>
        <v>304</v>
      </c>
      <c r="G132" s="119">
        <f t="shared" si="63"/>
        <v>135</v>
      </c>
      <c r="H132" s="29">
        <f t="shared" si="64"/>
        <v>2.5720954492397827</v>
      </c>
      <c r="I132" s="119">
        <f t="shared" si="65"/>
        <v>155</v>
      </c>
      <c r="J132" s="29">
        <f t="shared" si="66"/>
        <v>2.9531466269049358</v>
      </c>
      <c r="K132" s="6" t="str">
        <f>IF(U132="Yes",UPPER(IF(ISNUMBER(SEARCH("winding",VLOOKUP(CONCATENATE(P132,Q132,S132,E132),TIM[[Limiting Equipment Reference-PTX]:[Summ Equipment]],7,0))),"Power Transformer Rating at "&amp;ROUND(E132*S132*SQRT(3)/1000,2)&amp;" MVA",VLOOKUP(CONCATENATE(P132,Q132,S132,E132),TIM[[Limiting Equipment Reference-No PTX]:[Summ Equipment]],8,0))),UPPER(VLOOKUP(CONCATENATE(P132,Q132,S132,E132),TIM[[Limiting Equipment Reference-No PTX]:[Summ Equipment]],8,0)))</f>
        <v>CABLE-3C 300MM² AL PILC SWA</v>
      </c>
      <c r="L132" s="146" t="s">
        <v>1267</v>
      </c>
      <c r="M132" s="146" t="s">
        <v>1266</v>
      </c>
      <c r="O132" s="168" t="str">
        <f t="shared" si="67"/>
        <v>GRM-CB15</v>
      </c>
      <c r="P132" s="49" t="s">
        <v>1276</v>
      </c>
      <c r="Q132" s="49" t="s">
        <v>193</v>
      </c>
      <c r="R132" s="386"/>
      <c r="S132" s="43">
        <v>11</v>
      </c>
      <c r="T132" s="146" t="s">
        <v>1266</v>
      </c>
      <c r="U132" s="146" t="s">
        <v>1266</v>
      </c>
      <c r="V132" s="49"/>
    </row>
    <row r="133" spans="2:22" x14ac:dyDescent="0.25">
      <c r="B133" s="124" t="s">
        <v>1768</v>
      </c>
      <c r="C133" s="168" t="s">
        <v>2773</v>
      </c>
      <c r="D133" s="119">
        <f t="shared" si="62"/>
        <v>11</v>
      </c>
      <c r="E133" s="370">
        <f t="array" ref="E133">IF(U133="YES",IF(T133="YES",MIN(IF(TIM[Load Capability Reference]=CONCATENATE(P133,Q133,S133,R133),TIM[Lowest A-PTX])),MIN(IF(TIM[Load Capability Reference]=CONCATENATE(P133,Q133,S133,R133),IF(TIM[Equipment ID]&lt;&gt;O133,TIM[Lowest A-PTX])))),IF(T133="YES",MIN(IF(TIM[Load Capability Reference]=CONCATENATE(P133,Q133,S133,R133),TIM[Lowest A-No PTX])),MIN(IF(TIM[Load Capability Reference]=CONCATENATE(P133,Q133,S133,R133),IF(TIM[Equipment ID]&lt;&gt;O133,TIM[Lowest A-No PTX])))))</f>
        <v>167.96</v>
      </c>
      <c r="F133" s="119">
        <f>IFERROR(IFERROR(VLOOKUP(CONCATENATE(P133,Q133,O133,S133,"Protection"),TWZ[[OC Protection Reference]:[Forward A]],23,0),VLOOKUP(O133,AEL_Protection_Data[],12,0)),"N/A")</f>
        <v>304</v>
      </c>
      <c r="G133" s="119">
        <f t="shared" si="63"/>
        <v>130</v>
      </c>
      <c r="H133" s="29">
        <f t="shared" si="64"/>
        <v>2.4768326548234945</v>
      </c>
      <c r="I133" s="119">
        <f t="shared" si="65"/>
        <v>150</v>
      </c>
      <c r="J133" s="29">
        <f t="shared" si="66"/>
        <v>2.8578838324886475</v>
      </c>
      <c r="K133" s="6" t="str">
        <f>IF(U133="Yes",UPPER(IF(ISNUMBER(SEARCH("winding",VLOOKUP(CONCATENATE(P133,Q133,S133,E133),TIM[[Limiting Equipment Reference-PTX]:[Summ Equipment]],7,0))),"Power Transformer Rating at "&amp;ROUND(E133*S133*SQRT(3)/1000,2)&amp;" MVA",VLOOKUP(CONCATENATE(P133,Q133,S133,E133),TIM[[Limiting Equipment Reference-No PTX]:[Summ Equipment]],8,0))),UPPER(VLOOKUP(CONCATENATE(P133,Q133,S133,E133),TIM[[Limiting Equipment Reference-No PTX]:[Summ Equipment]],8,0)))</f>
        <v>CABLE-3C 0.15IN² CU PILC STAS</v>
      </c>
      <c r="L133" s="146" t="s">
        <v>1267</v>
      </c>
      <c r="M133" s="146" t="s">
        <v>1266</v>
      </c>
      <c r="O133" s="168" t="str">
        <f t="shared" si="67"/>
        <v>GRM-CB16</v>
      </c>
      <c r="P133" s="49" t="s">
        <v>1276</v>
      </c>
      <c r="Q133" s="49" t="s">
        <v>195</v>
      </c>
      <c r="R133" s="386"/>
      <c r="S133" s="43">
        <v>11</v>
      </c>
      <c r="T133" s="146" t="s">
        <v>1266</v>
      </c>
      <c r="U133" s="146" t="s">
        <v>1266</v>
      </c>
      <c r="V133" s="49"/>
    </row>
    <row r="134" spans="2:22" x14ac:dyDescent="0.25">
      <c r="B134" s="124" t="s">
        <v>1770</v>
      </c>
      <c r="C134" s="168" t="s">
        <v>2774</v>
      </c>
      <c r="D134" s="119">
        <f t="shared" si="62"/>
        <v>11</v>
      </c>
      <c r="E134" s="370">
        <f t="array" ref="E134">IF(U134="YES",IF(T134="YES",MIN(IF(TIM[Load Capability Reference]=CONCATENATE(P134,Q134,S134,R134),TIM[Lowest A-PTX])),MIN(IF(TIM[Load Capability Reference]=CONCATENATE(P134,Q134,S134,R134),IF(TIM[Equipment ID]&lt;&gt;O134,TIM[Lowest A-PTX])))),IF(T134="YES",MIN(IF(TIM[Load Capability Reference]=CONCATENATE(P134,Q134,S134,R134),TIM[Lowest A-No PTX])),MIN(IF(TIM[Load Capability Reference]=CONCATENATE(P134,Q134,S134,R134),IF(TIM[Equipment ID]&lt;&gt;O134,TIM[Lowest A-No PTX])))))</f>
        <v>232.56</v>
      </c>
      <c r="F134" s="119">
        <f>IFERROR(IFERROR(VLOOKUP(CONCATENATE(P134,Q134,O134,S134,"Protection"),TWZ[[OC Protection Reference]:[Forward A]],23,0),VLOOKUP(O134,AEL_Protection_Data[],12,0)),"N/A")</f>
        <v>304</v>
      </c>
      <c r="G134" s="119">
        <f t="shared" si="63"/>
        <v>185</v>
      </c>
      <c r="H134" s="29">
        <f t="shared" si="64"/>
        <v>3.5247233934026649</v>
      </c>
      <c r="I134" s="119">
        <f t="shared" si="65"/>
        <v>205</v>
      </c>
      <c r="J134" s="29">
        <f t="shared" si="66"/>
        <v>3.905774571067818</v>
      </c>
      <c r="K134" s="6" t="str">
        <f>IF(U134="Yes",UPPER(IF(ISNUMBER(SEARCH("winding",VLOOKUP(CONCATENATE(P134,Q134,S134,E134),TIM[[Limiting Equipment Reference-PTX]:[Summ Equipment]],7,0))),"Power Transformer Rating at "&amp;ROUND(E134*S134*SQRT(3)/1000,2)&amp;" MVA",VLOOKUP(CONCATENATE(P134,Q134,S134,E134),TIM[[Limiting Equipment Reference-No PTX]:[Summ Equipment]],8,0))),UPPER(VLOOKUP(CONCATENATE(P134,Q134,S134,E134),TIM[[Limiting Equipment Reference-No PTX]:[Summ Equipment]],8,0)))</f>
        <v>CABLE-3C 0.4IN² AL PILC SWA</v>
      </c>
      <c r="L134" s="146" t="s">
        <v>1267</v>
      </c>
      <c r="M134" s="146" t="s">
        <v>1266</v>
      </c>
      <c r="O134" s="168" t="str">
        <f t="shared" si="67"/>
        <v>GRM-CB17</v>
      </c>
      <c r="P134" s="49" t="s">
        <v>1276</v>
      </c>
      <c r="Q134" s="49" t="s">
        <v>197</v>
      </c>
      <c r="R134" s="386"/>
      <c r="S134" s="43">
        <v>11</v>
      </c>
      <c r="T134" s="146" t="s">
        <v>1266</v>
      </c>
      <c r="U134" s="146" t="s">
        <v>1266</v>
      </c>
      <c r="V134" s="49"/>
    </row>
    <row r="135" spans="2:22" x14ac:dyDescent="0.25">
      <c r="B135" s="124" t="s">
        <v>1772</v>
      </c>
      <c r="C135" s="168" t="s">
        <v>2775</v>
      </c>
      <c r="D135" s="119">
        <f t="shared" si="62"/>
        <v>11</v>
      </c>
      <c r="E135" s="370">
        <f t="array" ref="E135">IF(U135="YES",IF(T135="YES",MIN(IF(TIM[Load Capability Reference]=CONCATENATE(P135,Q135,S135,R135),TIM[Lowest A-PTX])),MIN(IF(TIM[Load Capability Reference]=CONCATENATE(P135,Q135,S135,R135),IF(TIM[Equipment ID]&lt;&gt;O135,TIM[Lowest A-PTX])))),IF(T135="YES",MIN(IF(TIM[Load Capability Reference]=CONCATENATE(P135,Q135,S135,R135),TIM[Lowest A-No PTX])),MIN(IF(TIM[Load Capability Reference]=CONCATENATE(P135,Q135,S135,R135),IF(TIM[Equipment ID]&lt;&gt;O135,TIM[Lowest A-No PTX])))))</f>
        <v>297.464</v>
      </c>
      <c r="F135" s="119">
        <f>IFERROR(IFERROR(VLOOKUP(CONCATENATE(P135,Q135,O135,S135,"Protection"),TWZ[[OC Protection Reference]:[Forward A]],23,0),VLOOKUP(O135,AEL_Protection_Data[],12,0)),"N/A")</f>
        <v>400</v>
      </c>
      <c r="G135" s="119">
        <f t="shared" si="63"/>
        <v>235</v>
      </c>
      <c r="H135" s="29">
        <f t="shared" si="64"/>
        <v>4.4773513375655476</v>
      </c>
      <c r="I135" s="119">
        <f t="shared" si="65"/>
        <v>265</v>
      </c>
      <c r="J135" s="29">
        <f t="shared" si="66"/>
        <v>5.0489281040632772</v>
      </c>
      <c r="K135" s="6" t="str">
        <f>IF(U135="Yes",UPPER(IF(ISNUMBER(SEARCH("winding",VLOOKUP(CONCATENATE(P135,Q135,S135,E135),TIM[[Limiting Equipment Reference-PTX]:[Summ Equipment]],7,0))),"Power Transformer Rating at "&amp;ROUND(E135*S135*SQRT(3)/1000,2)&amp;" MVA",VLOOKUP(CONCATENATE(P135,Q135,S135,E135),TIM[[Limiting Equipment Reference-No PTX]:[Summ Equipment]],8,0))),UPPER(VLOOKUP(CONCATENATE(P135,Q135,S135,E135),TIM[[Limiting Equipment Reference-No PTX]:[Summ Equipment]],8,0)))</f>
        <v>CABLE-3C 0.3IN² CU PILC SWAS</v>
      </c>
      <c r="L135" s="146" t="s">
        <v>1267</v>
      </c>
      <c r="M135" s="146" t="s">
        <v>1266</v>
      </c>
      <c r="O135" s="168" t="str">
        <f t="shared" si="67"/>
        <v>GRM-CB18</v>
      </c>
      <c r="P135" s="49" t="s">
        <v>1245</v>
      </c>
      <c r="Q135" s="49" t="s">
        <v>1331</v>
      </c>
      <c r="R135" s="386"/>
      <c r="S135" s="43">
        <v>11</v>
      </c>
      <c r="T135" s="146" t="s">
        <v>1266</v>
      </c>
      <c r="U135" s="146" t="s">
        <v>1266</v>
      </c>
      <c r="V135" s="49"/>
    </row>
    <row r="136" spans="2:22" x14ac:dyDescent="0.25">
      <c r="B136" s="124" t="s">
        <v>1774</v>
      </c>
      <c r="C136" s="168" t="s">
        <v>2776</v>
      </c>
      <c r="D136" s="119">
        <f t="shared" si="62"/>
        <v>11</v>
      </c>
      <c r="E136" s="370">
        <f t="array" ref="E136">IF(U136="YES",IF(T136="YES",MIN(IF(TIM[Load Capability Reference]=CONCATENATE(P136,Q136,S136,R136),TIM[Lowest A-PTX])),MIN(IF(TIM[Load Capability Reference]=CONCATENATE(P136,Q136,S136,R136),IF(TIM[Equipment ID]&lt;&gt;O136,TIM[Lowest A-PTX])))),IF(T136="YES",MIN(IF(TIM[Load Capability Reference]=CONCATENATE(P136,Q136,S136,R136),TIM[Lowest A-No PTX])),MIN(IF(TIM[Load Capability Reference]=CONCATENATE(P136,Q136,S136,R136),IF(TIM[Equipment ID]&lt;&gt;O136,TIM[Lowest A-No PTX])))))</f>
        <v>412.56599999999986</v>
      </c>
      <c r="F136" s="119">
        <f>IFERROR(IFERROR(VLOOKUP(CONCATENATE(P136,Q136,O136,S136,"Protection"),TWZ[[OC Protection Reference]:[Forward A]],23,0),VLOOKUP(O136,AEL_Protection_Data[],12,0)),"N/A")</f>
        <v>600</v>
      </c>
      <c r="G136" s="119">
        <f t="shared" si="63"/>
        <v>330</v>
      </c>
      <c r="H136" s="29">
        <f t="shared" si="64"/>
        <v>6.2873444314750238</v>
      </c>
      <c r="I136" s="119">
        <f t="shared" si="65"/>
        <v>370</v>
      </c>
      <c r="J136" s="29">
        <f t="shared" si="66"/>
        <v>7.0494467868053299</v>
      </c>
      <c r="K136" s="6" t="str">
        <f>IF(U136="Yes",UPPER(IF(ISNUMBER(SEARCH("winding",VLOOKUP(CONCATENATE(P136,Q136,S136,E136),TIM[[Limiting Equipment Reference-PTX]:[Summ Equipment]],7,0))),"Power Transformer Rating at "&amp;ROUND(E136*S136*SQRT(3)/1000,2)&amp;" MVA",VLOOKUP(CONCATENATE(P136,Q136,S136,E136),TIM[[Limiting Equipment Reference-No PTX]:[Summ Equipment]],8,0))),UPPER(VLOOKUP(CONCATENATE(P136,Q136,S136,E136),TIM[[Limiting Equipment Reference-No PTX]:[Summ Equipment]],8,0)))</f>
        <v>CABLE-3C 400MM² CU PILC SWA</v>
      </c>
      <c r="L136" s="146" t="s">
        <v>1267</v>
      </c>
      <c r="M136" s="146" t="s">
        <v>1266</v>
      </c>
      <c r="O136" s="168" t="str">
        <f t="shared" si="67"/>
        <v>GRM-CB19</v>
      </c>
      <c r="P136" s="49" t="s">
        <v>1245</v>
      </c>
      <c r="Q136" s="49" t="s">
        <v>1321</v>
      </c>
      <c r="R136" s="386"/>
      <c r="S136" s="43">
        <v>11</v>
      </c>
      <c r="T136" s="146" t="s">
        <v>1266</v>
      </c>
      <c r="U136" s="146" t="s">
        <v>1266</v>
      </c>
      <c r="V136" s="49"/>
    </row>
    <row r="137" spans="2:22" x14ac:dyDescent="0.25">
      <c r="B137" s="413" t="s">
        <v>1775</v>
      </c>
      <c r="C137" s="149" t="s">
        <v>2777</v>
      </c>
      <c r="D137" s="414">
        <f t="shared" si="62"/>
        <v>11</v>
      </c>
      <c r="E137" s="415">
        <f t="array" ref="E137">IF(U137="YES",IF(T137="YES",MIN(IF(TIM[Load Capability Reference]=CONCATENATE(P137,Q137,S137,R137),TIM[Lowest A-PTX])),MIN(IF(TIM[Load Capability Reference]=CONCATENATE(P137,Q137,S137,R137),IF(TIM[Equipment ID]&lt;&gt;O137,TIM[Lowest A-PTX])))),IF(T137="YES",MIN(IF(TIM[Load Capability Reference]=CONCATENATE(P137,Q137,S137,R137),TIM[Lowest A-No PTX])),MIN(IF(TIM[Load Capability Reference]=CONCATENATE(P137,Q137,S137,R137),IF(TIM[Equipment ID]&lt;&gt;O137,TIM[Lowest A-No PTX])))))</f>
        <v>202.77885599999999</v>
      </c>
      <c r="F137" s="414">
        <f>IFERROR(IFERROR(VLOOKUP(CONCATENATE(P137,Q137,O137,S137,"Protection"),TWZ[[OC Protection Reference]:[Forward A]],23,0),VLOOKUP(O137,AEL_Protection_Data[],12,0)),"N/A")</f>
        <v>304</v>
      </c>
      <c r="G137" s="414">
        <f t="shared" si="63"/>
        <v>160</v>
      </c>
      <c r="H137" s="126">
        <f t="shared" si="64"/>
        <v>3.0484094213212236</v>
      </c>
      <c r="I137" s="414">
        <f t="shared" si="65"/>
        <v>180</v>
      </c>
      <c r="J137" s="126">
        <f t="shared" si="66"/>
        <v>3.4294605989863767</v>
      </c>
      <c r="K137" s="14" t="str">
        <f>IF(U137="Yes",UPPER(IF(ISNUMBER(SEARCH("winding",VLOOKUP(CONCATENATE(P137,Q137,S137,E137),TIM[[Limiting Equipment Reference-PTX]:[Summ Equipment]],7,0))),"Power Transformer Rating at "&amp;ROUND(E137*S137*SQRT(3)/1000,2)&amp;" MVA",VLOOKUP(CONCATENATE(P137,Q137,S137,E137),TIM[[Limiting Equipment Reference-No PTX]:[Summ Equipment]],8,0))),UPPER(VLOOKUP(CONCATENATE(P137,Q137,S137,E137),TIM[[Limiting Equipment Reference-No PTX]:[Summ Equipment]],8,0)))</f>
        <v>CABLE-3C 0.4IN² AL PILC DSTA</v>
      </c>
      <c r="L137" s="151" t="s">
        <v>1267</v>
      </c>
      <c r="M137" s="151" t="s">
        <v>1266</v>
      </c>
      <c r="O137" s="149" t="str">
        <f t="shared" si="67"/>
        <v>GRM-CB20</v>
      </c>
      <c r="P137" s="156" t="s">
        <v>1276</v>
      </c>
      <c r="Q137" s="156" t="s">
        <v>199</v>
      </c>
      <c r="R137" s="416"/>
      <c r="S137" s="138">
        <v>11</v>
      </c>
      <c r="T137" s="151" t="s">
        <v>1266</v>
      </c>
      <c r="U137" s="151" t="s">
        <v>1266</v>
      </c>
      <c r="V137" s="156"/>
    </row>
    <row r="138" spans="2:22" x14ac:dyDescent="0.25">
      <c r="B138" s="123" t="s">
        <v>2464</v>
      </c>
      <c r="C138" s="6" t="s">
        <v>2506</v>
      </c>
      <c r="D138" s="57">
        <f>ROUNDDOWN(S138,0)</f>
        <v>11</v>
      </c>
      <c r="E138" s="417">
        <v>3000</v>
      </c>
      <c r="F138" s="57" t="str">
        <f>IFERROR(IFERROR(VLOOKUP(CONCATENATE(P138,Q138,O138,S138,"Protection"),TWZ[[OC Protection Reference]:[Forward A]],23,0),VLOOKUP(O138,AEL_Protection_Data[],12,0)),"N/A")</f>
        <v>N/A</v>
      </c>
      <c r="G138" s="57">
        <f>IFERROR(FLOOR(MIN(E138:F138)*$D$3,5),"")</f>
        <v>2400</v>
      </c>
      <c r="H138" s="9">
        <f>G138*S138*SQRT(3)/1000</f>
        <v>45.72614131981836</v>
      </c>
      <c r="I138" s="57">
        <f>IFERROR(FLOOR(MIN(E138:F138)*$D$2,5),"")</f>
        <v>2700</v>
      </c>
      <c r="J138" s="9">
        <f>I138*S138*SQRT(3)/1000</f>
        <v>51.441908984795653</v>
      </c>
      <c r="K138" s="6" t="s">
        <v>2780</v>
      </c>
      <c r="L138" s="8" t="s">
        <v>1267</v>
      </c>
      <c r="M138" s="8" t="s">
        <v>1266</v>
      </c>
      <c r="O138" s="6" t="str">
        <f>"GRM-"&amp;B138</f>
        <v>GRM-CB31</v>
      </c>
      <c r="P138" s="7" t="s">
        <v>1276</v>
      </c>
      <c r="Q138" s="7" t="s">
        <v>176</v>
      </c>
      <c r="R138" s="386"/>
      <c r="S138" s="43">
        <v>11</v>
      </c>
      <c r="T138" s="8" t="s">
        <v>1266</v>
      </c>
      <c r="U138" s="8" t="s">
        <v>1266</v>
      </c>
      <c r="V138" s="7" t="s">
        <v>2819</v>
      </c>
    </row>
    <row r="139" spans="2:22" ht="15.75" thickBot="1" x14ac:dyDescent="0.3">
      <c r="B139" s="205" t="s">
        <v>373</v>
      </c>
      <c r="C139" s="191" t="s">
        <v>2507</v>
      </c>
      <c r="D139" s="197">
        <f>ROUNDDOWN(S139,0)</f>
        <v>11</v>
      </c>
      <c r="E139" s="418">
        <v>3000</v>
      </c>
      <c r="F139" s="197" t="str">
        <f>IFERROR(IFERROR(VLOOKUP(CONCATENATE(P139,Q139,O139,S139,"Protection"),TWZ[[OC Protection Reference]:[Forward A]],23,0),VLOOKUP(O139,AEL_Protection_Data[],12,0)),"N/A")</f>
        <v>N/A</v>
      </c>
      <c r="G139" s="197">
        <f>IFERROR(FLOOR(MIN(E139:F139)*$D$3,5),"")</f>
        <v>2400</v>
      </c>
      <c r="H139" s="155">
        <f>G139*S139*SQRT(3)/1000</f>
        <v>45.72614131981836</v>
      </c>
      <c r="I139" s="197">
        <f>IFERROR(FLOOR(MIN(E139:F139)*$D$2,5),"")</f>
        <v>2700</v>
      </c>
      <c r="J139" s="155">
        <f>I139*S139*SQRT(3)/1000</f>
        <v>51.441908984795653</v>
      </c>
      <c r="K139" s="191" t="s">
        <v>2781</v>
      </c>
      <c r="L139" s="201" t="s">
        <v>1267</v>
      </c>
      <c r="M139" s="201" t="s">
        <v>1266</v>
      </c>
      <c r="O139" s="191" t="str">
        <f>"GRM-"&amp;B139</f>
        <v>GRM-CB32</v>
      </c>
      <c r="P139" s="193" t="s">
        <v>1276</v>
      </c>
      <c r="Q139" s="193" t="s">
        <v>176</v>
      </c>
      <c r="R139" s="387"/>
      <c r="S139" s="175">
        <v>11</v>
      </c>
      <c r="T139" s="201" t="s">
        <v>1266</v>
      </c>
      <c r="U139" s="201" t="s">
        <v>1266</v>
      </c>
      <c r="V139" s="193" t="s">
        <v>2819</v>
      </c>
    </row>
    <row r="140" spans="2:22" ht="15.75" thickBot="1" x14ac:dyDescent="0.3"/>
    <row r="141" spans="2:22" ht="26.25" thickBot="1" x14ac:dyDescent="0.3">
      <c r="B141" s="551" t="s">
        <v>2778</v>
      </c>
      <c r="C141" s="552"/>
      <c r="D141" s="552"/>
      <c r="E141" s="552"/>
      <c r="F141" s="552"/>
      <c r="G141" s="552"/>
      <c r="H141" s="552"/>
      <c r="I141" s="552"/>
      <c r="J141" s="552"/>
      <c r="K141" s="552"/>
      <c r="L141" s="552"/>
      <c r="M141" s="553"/>
      <c r="O141" s="551" t="s">
        <v>2391</v>
      </c>
      <c r="P141" s="552"/>
      <c r="Q141" s="552"/>
      <c r="R141" s="552"/>
      <c r="S141" s="552"/>
      <c r="T141" s="552"/>
      <c r="U141" s="552"/>
      <c r="V141" s="553"/>
    </row>
    <row r="142" spans="2:22" ht="15.75" thickBot="1" x14ac:dyDescent="0.3">
      <c r="B142" s="571" t="str">
        <f t="shared" ref="B142:G142" si="68">B6</f>
        <v>CB ID</v>
      </c>
      <c r="C142" s="545" t="str">
        <f t="shared" si="68"/>
        <v>DESIGNATION</v>
      </c>
      <c r="D142" s="382" t="str">
        <f t="shared" si="68"/>
        <v>Rated</v>
      </c>
      <c r="E142" s="572" t="str">
        <f t="shared" si="68"/>
        <v>LOAD
CAPABILITY</v>
      </c>
      <c r="F142" s="572" t="str">
        <f t="shared" si="68"/>
        <v>OC
PICKUP</v>
      </c>
      <c r="G142" s="559" t="str">
        <f t="shared" si="68"/>
        <v>SCADA ALARM</v>
      </c>
      <c r="H142" s="560"/>
      <c r="I142" s="560"/>
      <c r="J142" s="561"/>
      <c r="K142" s="574" t="str">
        <f>K6</f>
        <v>LIMITING EQUIPMENT</v>
      </c>
      <c r="L142" s="575" t="str">
        <f>L6</f>
        <v>RECLOSING</v>
      </c>
      <c r="M142" s="576"/>
      <c r="O142" s="566" t="str">
        <f t="shared" ref="O142:V142" si="69">O6</f>
        <v>OC Pick up
Reference ID</v>
      </c>
      <c r="P142" s="557" t="str">
        <f t="shared" si="69"/>
        <v>Supply Level</v>
      </c>
      <c r="Q142" s="566" t="str">
        <f t="shared" si="69"/>
        <v>Station/Feeder</v>
      </c>
      <c r="R142" s="567" t="str">
        <f t="shared" si="69"/>
        <v>Refered to PTX</v>
      </c>
      <c r="S142" s="569" t="str">
        <f t="shared" si="69"/>
        <v>Voltage</v>
      </c>
      <c r="T142" s="539" t="str">
        <f t="shared" si="69"/>
        <v>Include
CB</v>
      </c>
      <c r="U142" s="539" t="str">
        <f t="shared" si="69"/>
        <v>Include
PTX</v>
      </c>
      <c r="V142" s="557" t="str">
        <f t="shared" si="69"/>
        <v>Notes</v>
      </c>
    </row>
    <row r="143" spans="2:22" ht="15.75" thickBot="1" x14ac:dyDescent="0.3">
      <c r="B143" s="557"/>
      <c r="C143" s="540"/>
      <c r="D143" s="362" t="str">
        <f>D7</f>
        <v>Voltage</v>
      </c>
      <c r="E143" s="573"/>
      <c r="F143" s="573"/>
      <c r="G143" s="544" t="str">
        <f>G7</f>
        <v>Pre-Emergency</v>
      </c>
      <c r="H143" s="544"/>
      <c r="I143" s="544" t="str">
        <f>I7</f>
        <v>Emergency</v>
      </c>
      <c r="J143" s="544"/>
      <c r="K143" s="540"/>
      <c r="L143" s="545" t="str">
        <f>L7</f>
        <v>AVAILABLE</v>
      </c>
      <c r="M143" s="545" t="str">
        <f>M7</f>
        <v>UTILISED</v>
      </c>
      <c r="O143" s="557"/>
      <c r="P143" s="557"/>
      <c r="Q143" s="557"/>
      <c r="R143" s="567"/>
      <c r="S143" s="569"/>
      <c r="T143" s="540"/>
      <c r="U143" s="540"/>
      <c r="V143" s="557"/>
    </row>
    <row r="144" spans="2:22" ht="15.75" thickBot="1" x14ac:dyDescent="0.3">
      <c r="B144" s="558"/>
      <c r="C144" s="541"/>
      <c r="D144" s="345" t="str">
        <f>D8</f>
        <v>(kV)</v>
      </c>
      <c r="E144" s="345" t="str">
        <f>E8</f>
        <v>(A)</v>
      </c>
      <c r="F144" s="345" t="str">
        <f>F8</f>
        <v>(A)</v>
      </c>
      <c r="G144" s="406" t="str">
        <f>G8</f>
        <v>(A)</v>
      </c>
      <c r="H144" s="407" t="str">
        <f>H8</f>
        <v>(MVA)</v>
      </c>
      <c r="I144" s="406" t="str">
        <f>I8</f>
        <v>(A)</v>
      </c>
      <c r="J144" s="407" t="str">
        <f>J8</f>
        <v>(MVA)</v>
      </c>
      <c r="K144" s="541"/>
      <c r="L144" s="541"/>
      <c r="M144" s="541"/>
      <c r="O144" s="558"/>
      <c r="P144" s="558"/>
      <c r="Q144" s="558"/>
      <c r="R144" s="568"/>
      <c r="S144" s="570"/>
      <c r="T144" s="541"/>
      <c r="U144" s="541"/>
      <c r="V144" s="558"/>
    </row>
    <row r="145" spans="2:22" x14ac:dyDescent="0.25">
      <c r="B145" s="204" t="s">
        <v>502</v>
      </c>
      <c r="C145" s="3" t="s">
        <v>2782</v>
      </c>
      <c r="D145" s="61">
        <f t="shared" ref="D145:D161" si="70">ROUNDDOWN(S145,0)</f>
        <v>11</v>
      </c>
      <c r="E145" s="369">
        <f t="array" ref="E145">IF(U145="YES",IF(T145="YES",MIN(IF(TIM[Load Capability Reference]=CONCATENATE(P145,Q145,S145,R145),TIM[Lowest A-PTX])),MIN(IF(TIM[Load Capability Reference]=CONCATENATE(P145,Q145,S145,R145),IF(TIM[Equipment ID]&lt;&gt;O145,TIM[Lowest A-PTX])))),IF(T145="YES",MIN(IF(TIM[Load Capability Reference]=CONCATENATE(P145,Q145,S145,R145),TIM[Lowest A-No PTX])),MIN(IF(TIM[Load Capability Reference]=CONCATENATE(P145,Q145,S145,R145),IF(TIM[Equipment ID]&lt;&gt;O145,TIM[Lowest A-No PTX])))))</f>
        <v>224.43749999999994</v>
      </c>
      <c r="F145" s="61">
        <f>IFERROR(IFERROR(VLOOKUP(CONCATENATE(P145,Q145,O145,S145,"Protection"),TWZ[[OC Protection Reference]:[Forward A]],23,0),VLOOKUP(O145,AEL_Protection_Data[],12,0)),"N/A")</f>
        <v>200</v>
      </c>
      <c r="G145" s="61">
        <f t="shared" ref="G145:G161" si="71">IFERROR(FLOOR(MIN(E145:F145)*$D$3,5),"")</f>
        <v>160</v>
      </c>
      <c r="H145" s="5">
        <f t="shared" ref="H145:H161" si="72">G145*S145*SQRT(3)/1000</f>
        <v>3.0484094213212236</v>
      </c>
      <c r="I145" s="61">
        <f t="shared" ref="I145:I161" si="73">IFERROR(FLOOR(MIN(E145:F145)*$D$2,5),"")</f>
        <v>180</v>
      </c>
      <c r="J145" s="5">
        <f t="shared" ref="J145:J161" si="74">I145*S145*SQRT(3)/1000</f>
        <v>3.4294605989863767</v>
      </c>
      <c r="K145" s="3" t="str">
        <f>IF(U145="Yes",UPPER(IF(ISNUMBER(SEARCH("winding",VLOOKUP(CONCATENATE(P145,Q145,S145,E145),TIM[[Limiting Equipment Reference-PTX]:[Summ Equipment]],7,0))),"Power Transformer Rating at "&amp;ROUND(E145*S145*SQRT(3)/1000,2)&amp;" MVA",VLOOKUP(CONCATENATE(P145,Q145,S145,E145),TIM[[Limiting Equipment Reference-No PTX]:[Summ Equipment]],8,0))),UPPER(VLOOKUP(CONCATENATE(P145,Q145,S145,E145),TIM[[Limiting Equipment Reference-No PTX]:[Summ Equipment]],8,0)))</f>
        <v>CABLE-3C 185MM² AL PILC SWAS</v>
      </c>
      <c r="L145" s="4" t="s">
        <v>1267</v>
      </c>
      <c r="M145" s="4" t="s">
        <v>1266</v>
      </c>
      <c r="N145" s="398"/>
      <c r="O145" s="3" t="str">
        <f>"HNT-"&amp;B145</f>
        <v>HNT-CB1</v>
      </c>
      <c r="P145" s="38" t="s">
        <v>1276</v>
      </c>
      <c r="Q145" s="38" t="s">
        <v>207</v>
      </c>
      <c r="R145" s="389"/>
      <c r="S145" s="139">
        <v>11</v>
      </c>
      <c r="T145" s="4" t="s">
        <v>1266</v>
      </c>
      <c r="U145" s="4" t="s">
        <v>1266</v>
      </c>
      <c r="V145" s="38"/>
    </row>
    <row r="146" spans="2:22" x14ac:dyDescent="0.25">
      <c r="B146" s="124" t="s">
        <v>507</v>
      </c>
      <c r="C146" s="168" t="s">
        <v>2783</v>
      </c>
      <c r="D146" s="119">
        <f t="shared" si="70"/>
        <v>11</v>
      </c>
      <c r="E146" s="370">
        <f t="array" ref="E146">IF(U146="YES",IF(T146="YES",MIN(IF(TIM[Load Capability Reference]=CONCATENATE(P146,Q146,S146,R146),TIM[Lowest A-PTX])),MIN(IF(TIM[Load Capability Reference]=CONCATENATE(P146,Q146,S146,R146),IF(TIM[Equipment ID]&lt;&gt;O146,TIM[Lowest A-PTX])))),IF(T146="YES",MIN(IF(TIM[Load Capability Reference]=CONCATENATE(P146,Q146,S146,R146),TIM[Lowest A-No PTX])),MIN(IF(TIM[Load Capability Reference]=CONCATENATE(P146,Q146,S146,R146),IF(TIM[Equipment ID]&lt;&gt;O146,TIM[Lowest A-No PTX])))))</f>
        <v>110.40609606570446</v>
      </c>
      <c r="F146" s="119">
        <f>IFERROR(IFERROR(VLOOKUP(CONCATENATE(P146,Q146,O146,S146,"Protection"),TWZ[[OC Protection Reference]:[Forward A]],23,0),VLOOKUP(O146,AEL_Protection_Data[],12,0)),"N/A")</f>
        <v>200</v>
      </c>
      <c r="G146" s="119">
        <f t="shared" si="71"/>
        <v>85</v>
      </c>
      <c r="H146" s="29">
        <f t="shared" si="72"/>
        <v>1.6194675050769001</v>
      </c>
      <c r="I146" s="119">
        <f t="shared" si="73"/>
        <v>95</v>
      </c>
      <c r="J146" s="29">
        <f t="shared" si="74"/>
        <v>1.8099930939094766</v>
      </c>
      <c r="K146" s="6" t="str">
        <f>IF(U146="Yes",UPPER(IF(ISNUMBER(SEARCH("winding",VLOOKUP(CONCATENATE(P146,Q146,S146,E146),TIM[[Limiting Equipment Reference-PTX]:[Summ Equipment]],7,0))),"Power Transformer Rating at "&amp;ROUND(E146*S146*SQRT(3)/1000,2)&amp;" MVA",VLOOKUP(CONCATENATE(P146,Q146,S146,E146),TIM[[Limiting Equipment Reference-No PTX]:[Summ Equipment]],8,0))),UPPER(VLOOKUP(CONCATENATE(P146,Q146,S146,E146),TIM[[Limiting Equipment Reference-No PTX]:[Summ Equipment]],8,0)))</f>
        <v>OH LINE-GOPHER</v>
      </c>
      <c r="L146" s="146" t="s">
        <v>1267</v>
      </c>
      <c r="M146" s="146" t="s">
        <v>1266</v>
      </c>
      <c r="N146" s="399"/>
      <c r="O146" s="168" t="str">
        <f t="shared" ref="O146:O161" si="75">"HNT-"&amp;B146</f>
        <v>HNT-CB2</v>
      </c>
      <c r="P146" s="49" t="s">
        <v>1276</v>
      </c>
      <c r="Q146" s="49" t="s">
        <v>210</v>
      </c>
      <c r="R146" s="386"/>
      <c r="S146" s="43">
        <v>11</v>
      </c>
      <c r="T146" s="146" t="s">
        <v>1266</v>
      </c>
      <c r="U146" s="146" t="s">
        <v>1266</v>
      </c>
      <c r="V146" s="49"/>
    </row>
    <row r="147" spans="2:22" x14ac:dyDescent="0.25">
      <c r="B147" s="124" t="s">
        <v>511</v>
      </c>
      <c r="C147" s="168" t="s">
        <v>2784</v>
      </c>
      <c r="D147" s="119">
        <f t="shared" si="70"/>
        <v>11</v>
      </c>
      <c r="E147" s="370">
        <f t="array" ref="E147">IF(U147="YES",IF(T147="YES",MIN(IF(TIM[Load Capability Reference]=CONCATENATE(P147,Q147,S147,R147),TIM[Lowest A-PTX])),MIN(IF(TIM[Load Capability Reference]=CONCATENATE(P147,Q147,S147,R147),IF(TIM[Equipment ID]&lt;&gt;O147,TIM[Lowest A-PTX])))),IF(T147="YES",MIN(IF(TIM[Load Capability Reference]=CONCATENATE(P147,Q147,S147,R147),TIM[Lowest A-No PTX])),MIN(IF(TIM[Load Capability Reference]=CONCATENATE(P147,Q147,S147,R147),IF(TIM[Equipment ID]&lt;&gt;O147,TIM[Lowest A-No PTX])))))</f>
        <v>297.464</v>
      </c>
      <c r="F147" s="119">
        <f>IFERROR(IFERROR(VLOOKUP(CONCATENATE(P147,Q147,O147,S147,"Protection"),TWZ[[OC Protection Reference]:[Forward A]],23,0),VLOOKUP(O147,AEL_Protection_Data[],12,0)),"N/A")</f>
        <v>400</v>
      </c>
      <c r="G147" s="119">
        <f t="shared" si="71"/>
        <v>235</v>
      </c>
      <c r="H147" s="29">
        <f t="shared" si="72"/>
        <v>4.4773513375655476</v>
      </c>
      <c r="I147" s="119">
        <f t="shared" si="73"/>
        <v>265</v>
      </c>
      <c r="J147" s="29">
        <f t="shared" si="74"/>
        <v>5.0489281040632772</v>
      </c>
      <c r="K147" s="168" t="str">
        <f>IF(U147="Yes",UPPER(IF(ISNUMBER(SEARCH("winding",VLOOKUP(CONCATENATE(P147,Q147,S147,E147),TIM[[Limiting Equipment Reference-PTX]:[Summ Equipment]],7,0))),"Power Transformer Rating at "&amp;ROUND(E147*S147*SQRT(3)/1000,2)&amp;" MVA",VLOOKUP(CONCATENATE(P147,Q147,S147,E147),TIM[[Limiting Equipment Reference-No PTX]:[Summ Equipment]],8,0))),UPPER(VLOOKUP(CONCATENATE(P147,Q147,S147,E147),TIM[[Limiting Equipment Reference-No PTX]:[Summ Equipment]],8,0)))</f>
        <v xml:space="preserve">CABLE-3C 0.3IN² CU PILC SWA </v>
      </c>
      <c r="L147" s="146" t="s">
        <v>1267</v>
      </c>
      <c r="M147" s="146" t="s">
        <v>1266</v>
      </c>
      <c r="O147" s="168" t="str">
        <f t="shared" si="75"/>
        <v>HNT-CB3</v>
      </c>
      <c r="P147" s="49" t="s">
        <v>1245</v>
      </c>
      <c r="Q147" s="49" t="s">
        <v>1412</v>
      </c>
      <c r="R147" s="390"/>
      <c r="S147" s="32">
        <v>11</v>
      </c>
      <c r="T147" s="146" t="s">
        <v>1266</v>
      </c>
      <c r="U147" s="146" t="s">
        <v>1266</v>
      </c>
      <c r="V147" s="49"/>
    </row>
    <row r="148" spans="2:22" x14ac:dyDescent="0.25">
      <c r="B148" s="124" t="s">
        <v>498</v>
      </c>
      <c r="C148" s="168" t="s">
        <v>2785</v>
      </c>
      <c r="D148" s="119">
        <f t="shared" si="70"/>
        <v>11</v>
      </c>
      <c r="E148" s="370">
        <f t="array" ref="E148">IF(U148="YES",IF(T148="YES",MIN(IF(TIM[Load Capability Reference]=CONCATENATE(P148,Q148,S148,R148),TIM[Lowest A-PTX])),MIN(IF(TIM[Load Capability Reference]=CONCATENATE(P148,Q148,S148,R148),IF(TIM[Equipment ID]&lt;&gt;O148,TIM[Lowest A-PTX])))),IF(T148="YES",MIN(IF(TIM[Load Capability Reference]=CONCATENATE(P148,Q148,S148,R148),TIM[Lowest A-No PTX])),MIN(IF(TIM[Load Capability Reference]=CONCATENATE(P148,Q148,S148,R148),IF(TIM[Equipment ID]&lt;&gt;O148,TIM[Lowest A-No PTX])))))</f>
        <v>209.304</v>
      </c>
      <c r="F148" s="119">
        <f>IFERROR(IFERROR(VLOOKUP(CONCATENATE(P148,Q148,O148,S148,"Protection"),TWZ[[OC Protection Reference]:[Forward A]],23,0),VLOOKUP(O148,AEL_Protection_Data[],12,0)),"N/A")</f>
        <v>200</v>
      </c>
      <c r="G148" s="119">
        <f t="shared" si="71"/>
        <v>160</v>
      </c>
      <c r="H148" s="29">
        <f t="shared" si="72"/>
        <v>3.0484094213212236</v>
      </c>
      <c r="I148" s="119">
        <f t="shared" si="73"/>
        <v>180</v>
      </c>
      <c r="J148" s="29">
        <f t="shared" si="74"/>
        <v>3.4294605989863767</v>
      </c>
      <c r="K148" s="6" t="str">
        <f>IF(U148="Yes",UPPER(IF(ISNUMBER(SEARCH("winding",VLOOKUP(CONCATENATE(P148,Q148,S148,E148),TIM[[Limiting Equipment Reference-PTX]:[Summ Equipment]],7,0))),"Power Transformer Rating at "&amp;ROUND(E148*S148*SQRT(3)/1000,2)&amp;" MVA",VLOOKUP(CONCATENATE(P148,Q148,S148,E148),TIM[[Limiting Equipment Reference-No PTX]:[Summ Equipment]],8,0))),UPPER(VLOOKUP(CONCATENATE(P148,Q148,S148,E148),TIM[[Limiting Equipment Reference-No PTX]:[Summ Equipment]],8,0)))</f>
        <v>CABLE-3C 0.25IN² AL PILC DSTA</v>
      </c>
      <c r="L148" s="146" t="s">
        <v>1267</v>
      </c>
      <c r="M148" s="146" t="s">
        <v>1266</v>
      </c>
      <c r="O148" s="168" t="str">
        <f t="shared" si="75"/>
        <v>HNT-CB4</v>
      </c>
      <c r="P148" s="49" t="s">
        <v>1276</v>
      </c>
      <c r="Q148" s="49" t="s">
        <v>213</v>
      </c>
      <c r="R148" s="386"/>
      <c r="S148" s="43">
        <v>11</v>
      </c>
      <c r="T148" s="146" t="s">
        <v>1266</v>
      </c>
      <c r="U148" s="146" t="s">
        <v>1266</v>
      </c>
      <c r="V148" s="49"/>
    </row>
    <row r="149" spans="2:22" x14ac:dyDescent="0.25">
      <c r="B149" s="124" t="s">
        <v>592</v>
      </c>
      <c r="C149" s="168" t="s">
        <v>2786</v>
      </c>
      <c r="D149" s="119">
        <f t="shared" si="70"/>
        <v>11</v>
      </c>
      <c r="E149" s="370">
        <f t="array" ref="E149">IF(U149="YES",IF(T149="YES",MIN(IF(TIM[Load Capability Reference]=CONCATENATE(P149,Q149,S149,R149),TIM[Lowest A-PTX])),MIN(IF(TIM[Load Capability Reference]=CONCATENATE(P149,Q149,S149,R149),IF(TIM[Equipment ID]&lt;&gt;O149,TIM[Lowest A-PTX])))),IF(T149="YES",MIN(IF(TIM[Load Capability Reference]=CONCATENATE(P149,Q149,S149,R149),TIM[Lowest A-No PTX])),MIN(IF(TIM[Load Capability Reference]=CONCATENATE(P149,Q149,S149,R149),IF(TIM[Equipment ID]&lt;&gt;O149,TIM[Lowest A-No PTX])))))</f>
        <v>181.51174999999998</v>
      </c>
      <c r="F149" s="119">
        <f>IFERROR(IFERROR(VLOOKUP(CONCATENATE(P149,Q149,O149,S149,"Protection"),TWZ[[OC Protection Reference]:[Forward A]],23,0),VLOOKUP(O149,AEL_Protection_Data[],12,0)),"N/A")</f>
        <v>200</v>
      </c>
      <c r="G149" s="119">
        <f t="shared" si="71"/>
        <v>145</v>
      </c>
      <c r="H149" s="29">
        <f t="shared" si="72"/>
        <v>2.7626210380723593</v>
      </c>
      <c r="I149" s="119">
        <f t="shared" si="73"/>
        <v>160</v>
      </c>
      <c r="J149" s="29">
        <f t="shared" si="74"/>
        <v>3.0484094213212236</v>
      </c>
      <c r="K149" s="6" t="str">
        <f>IF(U149="Yes",UPPER(IF(ISNUMBER(SEARCH("winding",VLOOKUP(CONCATENATE(P149,Q149,S149,E149),TIM[[Limiting Equipment Reference-PTX]:[Summ Equipment]],7,0))),"Power Transformer Rating at "&amp;ROUND(E149*S149*SQRT(3)/1000,2)&amp;" MVA",VLOOKUP(CONCATENATE(P149,Q149,S149,E149),TIM[[Limiting Equipment Reference-No PTX]:[Summ Equipment]],8,0))),UPPER(VLOOKUP(CONCATENATE(P149,Q149,S149,E149),TIM[[Limiting Equipment Reference-No PTX]:[Summ Equipment]],8,0)))</f>
        <v>CABLE-3C 0.25IN² AL PILC SWA</v>
      </c>
      <c r="L149" s="146" t="s">
        <v>1267</v>
      </c>
      <c r="M149" s="146" t="s">
        <v>1266</v>
      </c>
      <c r="O149" s="168" t="str">
        <f t="shared" si="75"/>
        <v>HNT-CB5</v>
      </c>
      <c r="P149" s="49" t="s">
        <v>1276</v>
      </c>
      <c r="Q149" s="49" t="s">
        <v>216</v>
      </c>
      <c r="R149" s="386"/>
      <c r="S149" s="43">
        <v>11</v>
      </c>
      <c r="T149" s="146" t="s">
        <v>1266</v>
      </c>
      <c r="U149" s="146" t="s">
        <v>1266</v>
      </c>
      <c r="V149" s="49"/>
    </row>
    <row r="150" spans="2:22" x14ac:dyDescent="0.25">
      <c r="B150" s="124" t="s">
        <v>500</v>
      </c>
      <c r="C150" s="168" t="s">
        <v>2787</v>
      </c>
      <c r="D150" s="119">
        <f t="shared" si="70"/>
        <v>11</v>
      </c>
      <c r="E150" s="370">
        <f t="array" ref="E150">IF(U150="YES",IF(T150="YES",MIN(IF(TIM[Load Capability Reference]=CONCATENATE(P150,Q150,S150,R150),TIM[Lowest A-PTX])),MIN(IF(TIM[Load Capability Reference]=CONCATENATE(P150,Q150,S150,R150),IF(TIM[Equipment ID]&lt;&gt;O150,TIM[Lowest A-PTX])))),IF(T150="YES",MIN(IF(TIM[Load Capability Reference]=CONCATENATE(P150,Q150,S150,R150),TIM[Lowest A-No PTX])),MIN(IF(TIM[Load Capability Reference]=CONCATENATE(P150,Q150,S150,R150),IF(TIM[Equipment ID]&lt;&gt;O150,TIM[Lowest A-No PTX])))))</f>
        <v>291.76874999999995</v>
      </c>
      <c r="F150" s="119">
        <f>IFERROR(IFERROR(VLOOKUP(CONCATENATE(P150,Q150,O150,S150,"Protection"),TWZ[[OC Protection Reference]:[Forward A]],23,0),VLOOKUP(O150,AEL_Protection_Data[],12,0)),"N/A")</f>
        <v>400</v>
      </c>
      <c r="G150" s="119">
        <f t="shared" si="71"/>
        <v>230</v>
      </c>
      <c r="H150" s="29">
        <f t="shared" si="72"/>
        <v>4.3820885431492593</v>
      </c>
      <c r="I150" s="119">
        <f t="shared" si="73"/>
        <v>260</v>
      </c>
      <c r="J150" s="29">
        <f t="shared" si="74"/>
        <v>4.9536653096469889</v>
      </c>
      <c r="K150" s="6" t="str">
        <f>IF(U150="Yes",UPPER(IF(ISNUMBER(SEARCH("winding",VLOOKUP(CONCATENATE(P150,Q150,S150,E150),TIM[[Limiting Equipment Reference-PTX]:[Summ Equipment]],7,0))),"Power Transformer Rating at "&amp;ROUND(E150*S150*SQRT(3)/1000,2)&amp;" MVA",VLOOKUP(CONCATENATE(P150,Q150,S150,E150),TIM[[Limiting Equipment Reference-No PTX]:[Summ Equipment]],8,0))),UPPER(VLOOKUP(CONCATENATE(P150,Q150,S150,E150),TIM[[Limiting Equipment Reference-No PTX]:[Summ Equipment]],8,0)))</f>
        <v>CABLE-3C 0.3IN² CU PILC SWAS</v>
      </c>
      <c r="L150" s="146" t="s">
        <v>1267</v>
      </c>
      <c r="M150" s="146" t="s">
        <v>1266</v>
      </c>
      <c r="O150" s="168" t="str">
        <f t="shared" si="75"/>
        <v>HNT-CB6</v>
      </c>
      <c r="P150" s="49" t="s">
        <v>1245</v>
      </c>
      <c r="Q150" s="49" t="s">
        <v>1332</v>
      </c>
      <c r="R150" s="386"/>
      <c r="S150" s="43">
        <v>11</v>
      </c>
      <c r="T150" s="146" t="s">
        <v>1266</v>
      </c>
      <c r="U150" s="146" t="s">
        <v>1266</v>
      </c>
      <c r="V150" s="49"/>
    </row>
    <row r="151" spans="2:22" x14ac:dyDescent="0.25">
      <c r="B151" s="124" t="s">
        <v>512</v>
      </c>
      <c r="C151" s="168" t="s">
        <v>2788</v>
      </c>
      <c r="D151" s="119">
        <f t="shared" si="70"/>
        <v>11</v>
      </c>
      <c r="E151" s="370">
        <f t="array" ref="E151">IF(U151="YES",IF(T151="YES",MIN(IF(TIM[Load Capability Reference]=CONCATENATE(P151,Q151,S151,R151),TIM[Lowest A-PTX])),MIN(IF(TIM[Load Capability Reference]=CONCATENATE(P151,Q151,S151,R151),IF(TIM[Equipment ID]&lt;&gt;O151,TIM[Lowest A-PTX])))),IF(T151="YES",MIN(IF(TIM[Load Capability Reference]=CONCATENATE(P151,Q151,S151,R151),TIM[Lowest A-No PTX])),MIN(IF(TIM[Load Capability Reference]=CONCATENATE(P151,Q151,S151,R151),IF(TIM[Equipment ID]&lt;&gt;O151,TIM[Lowest A-No PTX])))))</f>
        <v>160.47399999999999</v>
      </c>
      <c r="F151" s="119">
        <f>IFERROR(IFERROR(VLOOKUP(CONCATENATE(P151,Q151,O151,S151,"Protection"),TWZ[[OC Protection Reference]:[Forward A]],23,0),VLOOKUP(O151,AEL_Protection_Data[],12,0)),"N/A")</f>
        <v>200</v>
      </c>
      <c r="G151" s="119">
        <f t="shared" si="71"/>
        <v>125</v>
      </c>
      <c r="H151" s="29">
        <f t="shared" si="72"/>
        <v>2.3815698604072062</v>
      </c>
      <c r="I151" s="119">
        <f t="shared" si="73"/>
        <v>140</v>
      </c>
      <c r="J151" s="29">
        <f t="shared" si="74"/>
        <v>2.667358243656071</v>
      </c>
      <c r="K151" s="6" t="str">
        <f>IF(U151="Yes",UPPER(IF(ISNUMBER(SEARCH("winding",VLOOKUP(CONCATENATE(P151,Q151,S151,E151),TIM[[Limiting Equipment Reference-PTX]:[Summ Equipment]],7,0))),"Power Transformer Rating at "&amp;ROUND(E151*S151*SQRT(3)/1000,2)&amp;" MVA",VLOOKUP(CONCATENATE(P151,Q151,S151,E151),TIM[[Limiting Equipment Reference-No PTX]:[Summ Equipment]],8,0))),UPPER(VLOOKUP(CONCATENATE(P151,Q151,S151,E151),TIM[[Limiting Equipment Reference-No PTX]:[Summ Equipment]],8,0)))</f>
        <v>CABLE-3C 0.15IN² AL PILC STAS</v>
      </c>
      <c r="L151" s="146" t="s">
        <v>1267</v>
      </c>
      <c r="M151" s="146" t="s">
        <v>1266</v>
      </c>
      <c r="O151" s="168" t="str">
        <f t="shared" si="75"/>
        <v>HNT-CB7</v>
      </c>
      <c r="P151" s="49" t="s">
        <v>1276</v>
      </c>
      <c r="Q151" s="49" t="s">
        <v>218</v>
      </c>
      <c r="R151" s="386"/>
      <c r="S151" s="43">
        <v>11</v>
      </c>
      <c r="T151" s="146" t="s">
        <v>1266</v>
      </c>
      <c r="U151" s="146" t="s">
        <v>1266</v>
      </c>
      <c r="V151" s="49"/>
    </row>
    <row r="152" spans="2:22" x14ac:dyDescent="0.25">
      <c r="B152" s="124" t="s">
        <v>522</v>
      </c>
      <c r="C152" s="168" t="s">
        <v>2789</v>
      </c>
      <c r="D152" s="119">
        <f t="shared" si="70"/>
        <v>11</v>
      </c>
      <c r="E152" s="370">
        <f t="array" ref="E152">IF(U152="YES",IF(T152="YES",MIN(IF(TIM[Load Capability Reference]=CONCATENATE(P152,Q152,S152,R152),TIM[Lowest A-PTX])),MIN(IF(TIM[Load Capability Reference]=CONCATENATE(P152,Q152,S152,R152),IF(TIM[Equipment ID]&lt;&gt;O152,TIM[Lowest A-PTX])))),IF(T152="YES",MIN(IF(TIM[Load Capability Reference]=CONCATENATE(P152,Q152,S152,R152),TIM[Lowest A-No PTX])),MIN(IF(TIM[Load Capability Reference]=CONCATENATE(P152,Q152,S152,R152),IF(TIM[Equipment ID]&lt;&gt;O152,TIM[Lowest A-No PTX])))))</f>
        <v>0</v>
      </c>
      <c r="F152" s="119">
        <f>IFERROR(IFERROR(VLOOKUP(CONCATENATE(P152,Q152,O152,S152,"Protection"),TWZ[[OC Protection Reference]:[Forward A]],23,0),VLOOKUP(O152,AEL_Protection_Data[],12,0)),"N/A")</f>
        <v>200</v>
      </c>
      <c r="G152" s="119">
        <f t="shared" si="71"/>
        <v>0</v>
      </c>
      <c r="H152" s="29">
        <f t="shared" si="72"/>
        <v>0</v>
      </c>
      <c r="I152" s="119">
        <f t="shared" si="73"/>
        <v>0</v>
      </c>
      <c r="J152" s="29">
        <f t="shared" si="74"/>
        <v>0</v>
      </c>
      <c r="K152" s="6" t="e">
        <f>IF(U152="Yes",UPPER(IF(ISNUMBER(SEARCH("winding",VLOOKUP(CONCATENATE(P152,Q152,S152,E152),TIM[[Limiting Equipment Reference-PTX]:[Summ Equipment]],7,0))),"Power Transformer Rating at "&amp;ROUND(E152*S152*SQRT(3)/1000,2)&amp;" MVA",VLOOKUP(CONCATENATE(P152,Q152,S152,E152),TIM[[Limiting Equipment Reference-No PTX]:[Summ Equipment]],8,0))),UPPER(VLOOKUP(CONCATENATE(P152,Q152,S152,E152),TIM[[Limiting Equipment Reference-No PTX]:[Summ Equipment]],8,0)))</f>
        <v>#N/A</v>
      </c>
      <c r="L152" s="146" t="s">
        <v>1267</v>
      </c>
      <c r="M152" s="146" t="s">
        <v>1266</v>
      </c>
      <c r="O152" s="168" t="str">
        <f t="shared" si="75"/>
        <v>HNT-CB8</v>
      </c>
      <c r="P152" s="49" t="s">
        <v>1276</v>
      </c>
      <c r="Q152" s="49" t="s">
        <v>1414</v>
      </c>
      <c r="R152" s="386"/>
      <c r="S152" s="43">
        <v>11</v>
      </c>
      <c r="T152" s="146" t="s">
        <v>1266</v>
      </c>
      <c r="U152" s="146" t="s">
        <v>1266</v>
      </c>
      <c r="V152" s="49"/>
    </row>
    <row r="153" spans="2:22" x14ac:dyDescent="0.25">
      <c r="B153" s="123" t="s">
        <v>526</v>
      </c>
      <c r="C153" s="6" t="s">
        <v>2568</v>
      </c>
      <c r="D153" s="119">
        <f t="shared" si="70"/>
        <v>11</v>
      </c>
      <c r="E153" s="370">
        <v>3000</v>
      </c>
      <c r="F153" s="119" t="str">
        <f>IFERROR(IFERROR(VLOOKUP(CONCATENATE(P153,Q153,O153,S153,"Protection"),TWZ[[OC Protection Reference]:[Forward A]],23,0),VLOOKUP(O153,AEL_Protection_Data[],12,0)),"N/A")</f>
        <v>N/A</v>
      </c>
      <c r="G153" s="119">
        <f t="shared" si="71"/>
        <v>2400</v>
      </c>
      <c r="H153" s="29">
        <f t="shared" si="72"/>
        <v>45.72614131981836</v>
      </c>
      <c r="I153" s="119">
        <f t="shared" si="73"/>
        <v>2700</v>
      </c>
      <c r="J153" s="29">
        <f t="shared" si="74"/>
        <v>51.441908984795653</v>
      </c>
      <c r="K153" s="6" t="s">
        <v>2779</v>
      </c>
      <c r="L153" s="146" t="s">
        <v>1267</v>
      </c>
      <c r="M153" s="146" t="s">
        <v>1266</v>
      </c>
      <c r="O153" s="168" t="str">
        <f t="shared" si="75"/>
        <v>HNT-CB9</v>
      </c>
      <c r="P153" s="49" t="s">
        <v>1276</v>
      </c>
      <c r="Q153" s="49" t="s">
        <v>1415</v>
      </c>
      <c r="R153" s="386"/>
      <c r="S153" s="43">
        <v>11</v>
      </c>
      <c r="T153" s="146" t="s">
        <v>1266</v>
      </c>
      <c r="U153" s="146" t="s">
        <v>1266</v>
      </c>
      <c r="V153" s="49" t="s">
        <v>2821</v>
      </c>
    </row>
    <row r="154" spans="2:22" x14ac:dyDescent="0.25">
      <c r="B154" s="124" t="s">
        <v>1763</v>
      </c>
      <c r="C154" s="168" t="s">
        <v>2790</v>
      </c>
      <c r="D154" s="119">
        <f t="shared" si="70"/>
        <v>11</v>
      </c>
      <c r="E154" s="370">
        <f t="array" ref="E154">IF(U154="YES",IF(T154="YES",MIN(IF(TIM[Load Capability Reference]=CONCATENATE(P154,Q154,S154,R154),TIM[Lowest A-PTX])),MIN(IF(TIM[Load Capability Reference]=CONCATENATE(P154,Q154,S154,R154),IF(TIM[Equipment ID]&lt;&gt;O154,TIM[Lowest A-PTX])))),IF(T154="YES",MIN(IF(TIM[Load Capability Reference]=CONCATENATE(P154,Q154,S154,R154),TIM[Lowest A-No PTX])),MIN(IF(TIM[Load Capability Reference]=CONCATENATE(P154,Q154,S154,R154),IF(TIM[Equipment ID]&lt;&gt;O154,TIM[Lowest A-No PTX])))))</f>
        <v>209.47499999999997</v>
      </c>
      <c r="F154" s="119">
        <f>IFERROR(IFERROR(VLOOKUP(CONCATENATE(P154,Q154,O154,S154,"Protection"),TWZ[[OC Protection Reference]:[Forward A]],23,0),VLOOKUP(O154,AEL_Protection_Data[],12,0)),"N/A")</f>
        <v>200</v>
      </c>
      <c r="G154" s="119">
        <f t="shared" si="71"/>
        <v>160</v>
      </c>
      <c r="H154" s="29">
        <f t="shared" si="72"/>
        <v>3.0484094213212236</v>
      </c>
      <c r="I154" s="119">
        <f t="shared" si="73"/>
        <v>180</v>
      </c>
      <c r="J154" s="29">
        <f t="shared" si="74"/>
        <v>3.4294605989863767</v>
      </c>
      <c r="K154" s="6" t="str">
        <f>IF(U154="Yes",UPPER(IF(ISNUMBER(SEARCH("winding",VLOOKUP(CONCATENATE(P154,Q154,S154,E154),TIM[[Limiting Equipment Reference-PTX]:[Summ Equipment]],7,0))),"Power Transformer Rating at "&amp;ROUND(E154*S154*SQRT(3)/1000,2)&amp;" MVA",VLOOKUP(CONCATENATE(P154,Q154,S154,E154),TIM[[Limiting Equipment Reference-No PTX]:[Summ Equipment]],8,0))),UPPER(VLOOKUP(CONCATENATE(P154,Q154,S154,E154),TIM[[Limiting Equipment Reference-No PTX]:[Summ Equipment]],8,0)))</f>
        <v>CABLE-3C 185MM² AL PILC SWAS</v>
      </c>
      <c r="L154" s="146" t="s">
        <v>1267</v>
      </c>
      <c r="M154" s="146" t="s">
        <v>1266</v>
      </c>
      <c r="O154" s="168" t="str">
        <f t="shared" si="75"/>
        <v>HNT-CB10</v>
      </c>
      <c r="P154" s="49" t="s">
        <v>1276</v>
      </c>
      <c r="Q154" s="49" t="s">
        <v>219</v>
      </c>
      <c r="R154" s="386"/>
      <c r="S154" s="43">
        <v>11</v>
      </c>
      <c r="T154" s="146" t="s">
        <v>1266</v>
      </c>
      <c r="U154" s="146" t="s">
        <v>1266</v>
      </c>
      <c r="V154" s="49"/>
    </row>
    <row r="155" spans="2:22" x14ac:dyDescent="0.25">
      <c r="B155" s="124" t="s">
        <v>607</v>
      </c>
      <c r="C155" s="168" t="s">
        <v>2791</v>
      </c>
      <c r="D155" s="119">
        <f t="shared" si="70"/>
        <v>11</v>
      </c>
      <c r="E155" s="370">
        <f t="array" ref="E155">IF(U155="YES",IF(T155="YES",MIN(IF(TIM[Load Capability Reference]=CONCATENATE(P155,Q155,S155,R155),TIM[Lowest A-PTX])),MIN(IF(TIM[Load Capability Reference]=CONCATENATE(P155,Q155,S155,R155),IF(TIM[Equipment ID]&lt;&gt;O155,TIM[Lowest A-PTX])))),IF(T155="YES",MIN(IF(TIM[Load Capability Reference]=CONCATENATE(P155,Q155,S155,R155),TIM[Lowest A-No PTX])),MIN(IF(TIM[Load Capability Reference]=CONCATENATE(P155,Q155,S155,R155),IF(TIM[Equipment ID]&lt;&gt;O155,TIM[Lowest A-No PTX])))))</f>
        <v>165.59373600000001</v>
      </c>
      <c r="F155" s="119">
        <f>IFERROR(IFERROR(VLOOKUP(CONCATENATE(P155,Q155,O155,S155,"Protection"),TWZ[[OC Protection Reference]:[Forward A]],23,0),VLOOKUP(O155,AEL_Protection_Data[],12,0)),"N/A")</f>
        <v>200</v>
      </c>
      <c r="G155" s="119">
        <f t="shared" si="71"/>
        <v>130</v>
      </c>
      <c r="H155" s="29">
        <f t="shared" si="72"/>
        <v>2.4768326548234945</v>
      </c>
      <c r="I155" s="119">
        <f t="shared" si="73"/>
        <v>145</v>
      </c>
      <c r="J155" s="29">
        <f t="shared" si="74"/>
        <v>2.7626210380723593</v>
      </c>
      <c r="K155" s="6" t="str">
        <f>IF(U155="Yes",UPPER(IF(ISNUMBER(SEARCH("winding",VLOOKUP(CONCATENATE(P155,Q155,S155,E155),TIM[[Limiting Equipment Reference-PTX]:[Summ Equipment]],7,0))),"Power Transformer Rating at "&amp;ROUND(E155*S155*SQRT(3)/1000,2)&amp;" MVA",VLOOKUP(CONCATENATE(P155,Q155,S155,E155),TIM[[Limiting Equipment Reference-No PTX]:[Summ Equipment]],8,0))),UPPER(VLOOKUP(CONCATENATE(P155,Q155,S155,E155),TIM[[Limiting Equipment Reference-No PTX]:[Summ Equipment]],8,0)))</f>
        <v>CABLE-3C 185MM² AL PILC SWAS</v>
      </c>
      <c r="L155" s="146" t="s">
        <v>1267</v>
      </c>
      <c r="M155" s="146" t="s">
        <v>1266</v>
      </c>
      <c r="O155" s="168" t="str">
        <f t="shared" si="75"/>
        <v>HNT-CB11</v>
      </c>
      <c r="P155" s="49" t="s">
        <v>1276</v>
      </c>
      <c r="Q155" s="49" t="s">
        <v>220</v>
      </c>
      <c r="R155" s="386"/>
      <c r="S155" s="43">
        <v>11</v>
      </c>
      <c r="T155" s="146" t="s">
        <v>1266</v>
      </c>
      <c r="U155" s="146" t="s">
        <v>1266</v>
      </c>
      <c r="V155" s="49"/>
    </row>
    <row r="156" spans="2:22" x14ac:dyDescent="0.25">
      <c r="B156" s="124" t="s">
        <v>610</v>
      </c>
      <c r="C156" s="168" t="s">
        <v>2792</v>
      </c>
      <c r="D156" s="119">
        <f t="shared" si="70"/>
        <v>11</v>
      </c>
      <c r="E156" s="370">
        <f t="array" ref="E156">IF(U156="YES",IF(T156="YES",MIN(IF(TIM[Load Capability Reference]=CONCATENATE(P156,Q156,S156,R156),TIM[Lowest A-PTX])),MIN(IF(TIM[Load Capability Reference]=CONCATENATE(P156,Q156,S156,R156),IF(TIM[Equipment ID]&lt;&gt;O156,TIM[Lowest A-PTX])))),IF(T156="YES",MIN(IF(TIM[Load Capability Reference]=CONCATENATE(P156,Q156,S156,R156),TIM[Lowest A-No PTX])),MIN(IF(TIM[Load Capability Reference]=CONCATENATE(P156,Q156,S156,R156),IF(TIM[Equipment ID]&lt;&gt;O156,TIM[Lowest A-No PTX])))))</f>
        <v>297.464</v>
      </c>
      <c r="F156" s="119">
        <f>IFERROR(IFERROR(VLOOKUP(CONCATENATE(P156,Q156,O156,S156,"Protection"),TWZ[[OC Protection Reference]:[Forward A]],23,0),VLOOKUP(O156,AEL_Protection_Data[],12,0)),"N/A")</f>
        <v>400</v>
      </c>
      <c r="G156" s="119">
        <f t="shared" si="71"/>
        <v>235</v>
      </c>
      <c r="H156" s="29">
        <f t="shared" si="72"/>
        <v>4.4773513375655476</v>
      </c>
      <c r="I156" s="119">
        <f t="shared" si="73"/>
        <v>265</v>
      </c>
      <c r="J156" s="29">
        <f t="shared" si="74"/>
        <v>5.0489281040632772</v>
      </c>
      <c r="K156" s="6" t="str">
        <f>IF(U156="Yes",UPPER(IF(ISNUMBER(SEARCH("winding",VLOOKUP(CONCATENATE(P156,Q156,S156,E156),TIM[[Limiting Equipment Reference-PTX]:[Summ Equipment]],7,0))),"Power Transformer Rating at "&amp;ROUND(E156*S156*SQRT(3)/1000,2)&amp;" MVA",VLOOKUP(CONCATENATE(P156,Q156,S156,E156),TIM[[Limiting Equipment Reference-No PTX]:[Summ Equipment]],8,0))),UPPER(VLOOKUP(CONCATENATE(P156,Q156,S156,E156),TIM[[Limiting Equipment Reference-No PTX]:[Summ Equipment]],8,0)))</f>
        <v>CABLE-3C 0.3IN² CU PILC STAS</v>
      </c>
      <c r="L156" s="146" t="s">
        <v>1267</v>
      </c>
      <c r="M156" s="146" t="s">
        <v>1266</v>
      </c>
      <c r="O156" s="168" t="str">
        <f t="shared" si="75"/>
        <v>HNT-CB12</v>
      </c>
      <c r="P156" s="49" t="s">
        <v>1245</v>
      </c>
      <c r="Q156" s="49" t="s">
        <v>1413</v>
      </c>
      <c r="R156" s="386"/>
      <c r="S156" s="43">
        <v>11</v>
      </c>
      <c r="T156" s="146" t="s">
        <v>1266</v>
      </c>
      <c r="U156" s="146" t="s">
        <v>1266</v>
      </c>
      <c r="V156" s="49"/>
    </row>
    <row r="157" spans="2:22" x14ac:dyDescent="0.25">
      <c r="B157" s="124" t="s">
        <v>611</v>
      </c>
      <c r="C157" s="168" t="s">
        <v>2793</v>
      </c>
      <c r="D157" s="119">
        <f t="shared" si="70"/>
        <v>11</v>
      </c>
      <c r="E157" s="370">
        <f t="array" ref="E157">IF(U157="YES",IF(T157="YES",MIN(IF(TIM[Load Capability Reference]=CONCATENATE(P157,Q157,S157,R157),TIM[Lowest A-PTX])),MIN(IF(TIM[Load Capability Reference]=CONCATENATE(P157,Q157,S157,R157),IF(TIM[Equipment ID]&lt;&gt;O157,TIM[Lowest A-PTX])))),IF(T157="YES",MIN(IF(TIM[Load Capability Reference]=CONCATENATE(P157,Q157,S157,R157),TIM[Lowest A-No PTX])),MIN(IF(TIM[Load Capability Reference]=CONCATENATE(P157,Q157,S157,R157),IF(TIM[Equipment ID]&lt;&gt;O157,TIM[Lowest A-No PTX])))))</f>
        <v>203.49</v>
      </c>
      <c r="F157" s="119">
        <f>IFERROR(IFERROR(VLOOKUP(CONCATENATE(P157,Q157,O157,S157,"Protection"),TWZ[[OC Protection Reference]:[Forward A]],23,0),VLOOKUP(O157,AEL_Protection_Data[],12,0)),"N/A")</f>
        <v>200</v>
      </c>
      <c r="G157" s="119">
        <f t="shared" si="71"/>
        <v>160</v>
      </c>
      <c r="H157" s="29">
        <f t="shared" si="72"/>
        <v>3.0484094213212236</v>
      </c>
      <c r="I157" s="119">
        <f t="shared" si="73"/>
        <v>180</v>
      </c>
      <c r="J157" s="29">
        <f t="shared" si="74"/>
        <v>3.4294605989863767</v>
      </c>
      <c r="K157" s="6" t="str">
        <f>IF(U157="Yes",UPPER(IF(ISNUMBER(SEARCH("winding",VLOOKUP(CONCATENATE(P157,Q157,S157,E157),TIM[[Limiting Equipment Reference-PTX]:[Summ Equipment]],7,0))),"Power Transformer Rating at "&amp;ROUND(E157*S157*SQRT(3)/1000,2)&amp;" MVA",VLOOKUP(CONCATENATE(P157,Q157,S157,E157),TIM[[Limiting Equipment Reference-No PTX]:[Summ Equipment]],8,0))),UPPER(VLOOKUP(CONCATENATE(P157,Q157,S157,E157),TIM[[Limiting Equipment Reference-No PTX]:[Summ Equipment]],8,0)))</f>
        <v>CABLE-3C 185MM² AL PILC SWAS</v>
      </c>
      <c r="L157" s="146" t="s">
        <v>1267</v>
      </c>
      <c r="M157" s="146" t="s">
        <v>1266</v>
      </c>
      <c r="O157" s="168" t="str">
        <f t="shared" si="75"/>
        <v>HNT-CB13</v>
      </c>
      <c r="P157" s="49" t="s">
        <v>1276</v>
      </c>
      <c r="Q157" s="49" t="s">
        <v>221</v>
      </c>
      <c r="R157" s="386"/>
      <c r="S157" s="43">
        <v>11</v>
      </c>
      <c r="T157" s="146" t="s">
        <v>1266</v>
      </c>
      <c r="U157" s="146" t="s">
        <v>1266</v>
      </c>
      <c r="V157" s="49"/>
    </row>
    <row r="158" spans="2:22" x14ac:dyDescent="0.25">
      <c r="B158" s="124" t="s">
        <v>1594</v>
      </c>
      <c r="C158" s="168" t="s">
        <v>2794</v>
      </c>
      <c r="D158" s="119">
        <f t="shared" si="70"/>
        <v>11</v>
      </c>
      <c r="E158" s="370">
        <f t="array" ref="E158">IF(U158="YES",IF(T158="YES",MIN(IF(TIM[Load Capability Reference]=CONCATENATE(P158,Q158,S158,R158),TIM[Lowest A-PTX])),MIN(IF(TIM[Load Capability Reference]=CONCATENATE(P158,Q158,S158,R158),IF(TIM[Equipment ID]&lt;&gt;O158,TIM[Lowest A-PTX])))),IF(T158="YES",MIN(IF(TIM[Load Capability Reference]=CONCATENATE(P158,Q158,S158,R158),TIM[Lowest A-No PTX])),MIN(IF(TIM[Load Capability Reference]=CONCATENATE(P158,Q158,S158,R158),IF(TIM[Equipment ID]&lt;&gt;O158,TIM[Lowest A-No PTX])))))</f>
        <v>157.41405</v>
      </c>
      <c r="F158" s="119">
        <f>IFERROR(IFERROR(VLOOKUP(CONCATENATE(P158,Q158,O158,S158,"Protection"),TWZ[[OC Protection Reference]:[Forward A]],23,0),VLOOKUP(O158,AEL_Protection_Data[],12,0)),"N/A")</f>
        <v>200</v>
      </c>
      <c r="G158" s="119">
        <f t="shared" si="71"/>
        <v>125</v>
      </c>
      <c r="H158" s="29">
        <f t="shared" si="72"/>
        <v>2.3815698604072062</v>
      </c>
      <c r="I158" s="119">
        <f t="shared" si="73"/>
        <v>140</v>
      </c>
      <c r="J158" s="29">
        <f t="shared" si="74"/>
        <v>2.667358243656071</v>
      </c>
      <c r="K158" s="6" t="str">
        <f>IF(U158="Yes",UPPER(IF(ISNUMBER(SEARCH("winding",VLOOKUP(CONCATENATE(P158,Q158,S158,E158),TIM[[Limiting Equipment Reference-PTX]:[Summ Equipment]],7,0))),"Power Transformer Rating at "&amp;ROUND(E158*S158*SQRT(3)/1000,2)&amp;" MVA",VLOOKUP(CONCATENATE(P158,Q158,S158,E158),TIM[[Limiting Equipment Reference-No PTX]:[Summ Equipment]],8,0))),UPPER(VLOOKUP(CONCATENATE(P158,Q158,S158,E158),TIM[[Limiting Equipment Reference-No PTX]:[Summ Equipment]],8,0)))</f>
        <v>CABLE-3C 95MM² AL PILC SWAS</v>
      </c>
      <c r="L158" s="146" t="s">
        <v>1267</v>
      </c>
      <c r="M158" s="146" t="s">
        <v>1266</v>
      </c>
      <c r="O158" s="168" t="str">
        <f t="shared" si="75"/>
        <v>HNT-CB14</v>
      </c>
      <c r="P158" s="49" t="s">
        <v>1276</v>
      </c>
      <c r="Q158" s="49" t="s">
        <v>222</v>
      </c>
      <c r="R158" s="386"/>
      <c r="S158" s="43">
        <v>11</v>
      </c>
      <c r="T158" s="146" t="s">
        <v>1266</v>
      </c>
      <c r="U158" s="146" t="s">
        <v>1266</v>
      </c>
      <c r="V158" s="49"/>
    </row>
    <row r="159" spans="2:22" x14ac:dyDescent="0.25">
      <c r="B159" s="124" t="s">
        <v>1596</v>
      </c>
      <c r="C159" s="168" t="s">
        <v>2795</v>
      </c>
      <c r="D159" s="119">
        <f t="shared" si="70"/>
        <v>11</v>
      </c>
      <c r="E159" s="370">
        <f t="array" ref="E159">IF(U159="YES",IF(T159="YES",MIN(IF(TIM[Load Capability Reference]=CONCATENATE(P159,Q159,S159,R159),TIM[Lowest A-PTX])),MIN(IF(TIM[Load Capability Reference]=CONCATENATE(P159,Q159,S159,R159),IF(TIM[Equipment ID]&lt;&gt;O159,TIM[Lowest A-PTX])))),IF(T159="YES",MIN(IF(TIM[Load Capability Reference]=CONCATENATE(P159,Q159,S159,R159),TIM[Lowest A-No PTX])),MIN(IF(TIM[Load Capability Reference]=CONCATENATE(P159,Q159,S159,R159),IF(TIM[Equipment ID]&lt;&gt;O159,TIM[Lowest A-No PTX])))))</f>
        <v>291.76874999999995</v>
      </c>
      <c r="F159" s="119">
        <f>IFERROR(IFERROR(VLOOKUP(CONCATENATE(P159,Q159,O159,S159,"Protection"),TWZ[[OC Protection Reference]:[Forward A]],23,0),VLOOKUP(O159,AEL_Protection_Data[],12,0)),"N/A")</f>
        <v>400</v>
      </c>
      <c r="G159" s="119">
        <f t="shared" si="71"/>
        <v>230</v>
      </c>
      <c r="H159" s="29">
        <f t="shared" si="72"/>
        <v>4.3820885431492593</v>
      </c>
      <c r="I159" s="119">
        <f t="shared" si="73"/>
        <v>260</v>
      </c>
      <c r="J159" s="29">
        <f t="shared" si="74"/>
        <v>4.9536653096469889</v>
      </c>
      <c r="K159" s="6" t="str">
        <f>IF(U159="Yes",UPPER(IF(ISNUMBER(SEARCH("winding",VLOOKUP(CONCATENATE(P159,Q159,S159,E159),TIM[[Limiting Equipment Reference-PTX]:[Summ Equipment]],7,0))),"Power Transformer Rating at "&amp;ROUND(E159*S159*SQRT(3)/1000,2)&amp;" MVA",VLOOKUP(CONCATENATE(P159,Q159,S159,E159),TIM[[Limiting Equipment Reference-No PTX]:[Summ Equipment]],8,0))),UPPER(VLOOKUP(CONCATENATE(P159,Q159,S159,E159),TIM[[Limiting Equipment Reference-No PTX]:[Summ Equipment]],8,0)))</f>
        <v>CABLE-3C 0.3IN² CU PILC SWAS</v>
      </c>
      <c r="L159" s="146" t="s">
        <v>1267</v>
      </c>
      <c r="M159" s="146" t="s">
        <v>1266</v>
      </c>
      <c r="O159" s="168" t="str">
        <f t="shared" si="75"/>
        <v>HNT-CB15</v>
      </c>
      <c r="P159" s="49" t="s">
        <v>1245</v>
      </c>
      <c r="Q159" s="49" t="s">
        <v>1333</v>
      </c>
      <c r="R159" s="386"/>
      <c r="S159" s="43">
        <v>11</v>
      </c>
      <c r="T159" s="146" t="s">
        <v>1266</v>
      </c>
      <c r="U159" s="146" t="s">
        <v>1266</v>
      </c>
      <c r="V159" s="49"/>
    </row>
    <row r="160" spans="2:22" x14ac:dyDescent="0.25">
      <c r="B160" s="124" t="s">
        <v>1768</v>
      </c>
      <c r="C160" s="168" t="s">
        <v>2796</v>
      </c>
      <c r="D160" s="119">
        <f t="shared" si="70"/>
        <v>11</v>
      </c>
      <c r="E160" s="370">
        <f t="array" ref="E160">IF(U160="YES",IF(T160="YES",MIN(IF(TIM[Load Capability Reference]=CONCATENATE(P160,Q160,S160,R160),TIM[Lowest A-PTX])),MIN(IF(TIM[Load Capability Reference]=CONCATENATE(P160,Q160,S160,R160),IF(TIM[Equipment ID]&lt;&gt;O160,TIM[Lowest A-PTX])))),IF(T160="YES",MIN(IF(TIM[Load Capability Reference]=CONCATENATE(P160,Q160,S160,R160),TIM[Lowest A-No PTX])),MIN(IF(TIM[Load Capability Reference]=CONCATENATE(P160,Q160,S160,R160),IF(TIM[Equipment ID]&lt;&gt;O160,TIM[Lowest A-No PTX])))))</f>
        <v>224.43749999999994</v>
      </c>
      <c r="F160" s="119">
        <f>IFERROR(IFERROR(VLOOKUP(CONCATENATE(P160,Q160,O160,S160,"Protection"),TWZ[[OC Protection Reference]:[Forward A]],23,0),VLOOKUP(O160,AEL_Protection_Data[],12,0)),"N/A")</f>
        <v>200</v>
      </c>
      <c r="G160" s="119">
        <f t="shared" si="71"/>
        <v>160</v>
      </c>
      <c r="H160" s="29">
        <f t="shared" si="72"/>
        <v>3.0484094213212236</v>
      </c>
      <c r="I160" s="119">
        <f t="shared" si="73"/>
        <v>180</v>
      </c>
      <c r="J160" s="29">
        <f t="shared" si="74"/>
        <v>3.4294605989863767</v>
      </c>
      <c r="K160" s="6" t="str">
        <f>IF(U160="Yes",UPPER(IF(ISNUMBER(SEARCH("winding",VLOOKUP(CONCATENATE(P160,Q160,S160,E160),TIM[[Limiting Equipment Reference-PTX]:[Summ Equipment]],7,0))),"Power Transformer Rating at "&amp;ROUND(E160*S160*SQRT(3)/1000,2)&amp;" MVA",VLOOKUP(CONCATENATE(P160,Q160,S160,E160),TIM[[Limiting Equipment Reference-No PTX]:[Summ Equipment]],8,0))),UPPER(VLOOKUP(CONCATENATE(P160,Q160,S160,E160),TIM[[Limiting Equipment Reference-No PTX]:[Summ Equipment]],8,0)))</f>
        <v>CABLE-3C 185MM² AL PILC SWAS</v>
      </c>
      <c r="L160" s="146" t="s">
        <v>1267</v>
      </c>
      <c r="M160" s="146" t="s">
        <v>1266</v>
      </c>
      <c r="O160" s="168" t="str">
        <f t="shared" si="75"/>
        <v>HNT-CB16</v>
      </c>
      <c r="P160" s="49" t="s">
        <v>1276</v>
      </c>
      <c r="Q160" s="49" t="s">
        <v>223</v>
      </c>
      <c r="R160" s="386"/>
      <c r="S160" s="43">
        <v>11</v>
      </c>
      <c r="T160" s="146" t="s">
        <v>1266</v>
      </c>
      <c r="U160" s="146" t="s">
        <v>1266</v>
      </c>
      <c r="V160" s="49"/>
    </row>
    <row r="161" spans="2:22" ht="15.75" thickBot="1" x14ac:dyDescent="0.3">
      <c r="B161" s="401" t="s">
        <v>1770</v>
      </c>
      <c r="C161" s="375" t="s">
        <v>963</v>
      </c>
      <c r="D161" s="377">
        <f t="shared" si="70"/>
        <v>11</v>
      </c>
      <c r="E161" s="384">
        <f t="array" ref="E161">IF(U161="YES",IF(T161="YES",MIN(IF(TIM[Load Capability Reference]=CONCATENATE(P161,Q161,S161,R161),TIM[Lowest A-PTX])),MIN(IF(TIM[Load Capability Reference]=CONCATENATE(P161,Q161,S161,R161),IF(TIM[Equipment ID]&lt;&gt;O161,TIM[Lowest A-PTX])))),IF(T161="YES",MIN(IF(TIM[Load Capability Reference]=CONCATENATE(P161,Q161,S161,R161),TIM[Lowest A-No PTX])),MIN(IF(TIM[Load Capability Reference]=CONCATENATE(P161,Q161,S161,R161),IF(TIM[Equipment ID]&lt;&gt;O161,TIM[Lowest A-No PTX])))))</f>
        <v>0</v>
      </c>
      <c r="F161" s="377">
        <f>IFERROR(IFERROR(VLOOKUP(CONCATENATE(P161,Q161,O161,S161,"Protection"),TWZ[[OC Protection Reference]:[Forward A]],23,0),VLOOKUP(O161,AEL_Protection_Data[],12,0)),"N/A")</f>
        <v>200</v>
      </c>
      <c r="G161" s="377">
        <f t="shared" si="71"/>
        <v>0</v>
      </c>
      <c r="H161" s="185">
        <f t="shared" si="72"/>
        <v>0</v>
      </c>
      <c r="I161" s="377">
        <f t="shared" si="73"/>
        <v>0</v>
      </c>
      <c r="J161" s="185">
        <f t="shared" si="74"/>
        <v>0</v>
      </c>
      <c r="K161" s="191" t="e">
        <f>IF(U161="Yes",UPPER(IF(ISNUMBER(SEARCH("winding",VLOOKUP(CONCATENATE(P161,Q161,S161,E161),TIM[[Limiting Equipment Reference-PTX]:[Summ Equipment]],7,0))),"Power Transformer Rating at "&amp;ROUND(E161*S161*SQRT(3)/1000,2)&amp;" MVA",VLOOKUP(CONCATENATE(P161,Q161,S161,E161),TIM[[Limiting Equipment Reference-No PTX]:[Summ Equipment]],8,0))),UPPER(VLOOKUP(CONCATENATE(P161,Q161,S161,E161),TIM[[Limiting Equipment Reference-No PTX]:[Summ Equipment]],8,0)))</f>
        <v>#N/A</v>
      </c>
      <c r="L161" s="379" t="s">
        <v>1267</v>
      </c>
      <c r="M161" s="379" t="s">
        <v>1266</v>
      </c>
      <c r="O161" s="375" t="str">
        <f t="shared" si="75"/>
        <v>HNT-CB17</v>
      </c>
      <c r="P161" s="374" t="s">
        <v>1276</v>
      </c>
      <c r="Q161" s="374" t="s">
        <v>2096</v>
      </c>
      <c r="R161" s="387"/>
      <c r="S161" s="175">
        <v>11</v>
      </c>
      <c r="T161" s="379" t="s">
        <v>1266</v>
      </c>
      <c r="U161" s="379" t="s">
        <v>1266</v>
      </c>
      <c r="V161" s="374"/>
    </row>
    <row r="162" spans="2:22" ht="15.75" thickBot="1" x14ac:dyDescent="0.3"/>
    <row r="163" spans="2:22" ht="26.25" thickBot="1" x14ac:dyDescent="0.3">
      <c r="B163" s="551" t="s">
        <v>2820</v>
      </c>
      <c r="C163" s="552"/>
      <c r="D163" s="552"/>
      <c r="E163" s="552"/>
      <c r="F163" s="552"/>
      <c r="G163" s="552"/>
      <c r="H163" s="552"/>
      <c r="I163" s="552"/>
      <c r="J163" s="552"/>
      <c r="K163" s="552"/>
      <c r="L163" s="552"/>
      <c r="M163" s="553"/>
      <c r="O163" s="551" t="s">
        <v>2391</v>
      </c>
      <c r="P163" s="552"/>
      <c r="Q163" s="552"/>
      <c r="R163" s="552"/>
      <c r="S163" s="552"/>
      <c r="T163" s="552"/>
      <c r="U163" s="552"/>
      <c r="V163" s="553"/>
    </row>
    <row r="164" spans="2:22" ht="15.75" thickBot="1" x14ac:dyDescent="0.3">
      <c r="B164" s="571" t="str">
        <f t="shared" ref="B164:G164" si="76">B6</f>
        <v>CB ID</v>
      </c>
      <c r="C164" s="545" t="str">
        <f t="shared" si="76"/>
        <v>DESIGNATION</v>
      </c>
      <c r="D164" s="382" t="str">
        <f t="shared" si="76"/>
        <v>Rated</v>
      </c>
      <c r="E164" s="572" t="str">
        <f t="shared" si="76"/>
        <v>LOAD
CAPABILITY</v>
      </c>
      <c r="F164" s="572" t="str">
        <f t="shared" si="76"/>
        <v>OC
PICKUP</v>
      </c>
      <c r="G164" s="559" t="str">
        <f t="shared" si="76"/>
        <v>SCADA ALARM</v>
      </c>
      <c r="H164" s="560"/>
      <c r="I164" s="560"/>
      <c r="J164" s="561"/>
      <c r="K164" s="574" t="str">
        <f>K6</f>
        <v>LIMITING EQUIPMENT</v>
      </c>
      <c r="L164" s="575" t="str">
        <f>L6</f>
        <v>RECLOSING</v>
      </c>
      <c r="M164" s="576"/>
      <c r="O164" s="566" t="str">
        <f t="shared" ref="O164:V164" si="77">O6</f>
        <v>OC Pick up
Reference ID</v>
      </c>
      <c r="P164" s="557" t="str">
        <f t="shared" si="77"/>
        <v>Supply Level</v>
      </c>
      <c r="Q164" s="566" t="str">
        <f t="shared" si="77"/>
        <v>Station/Feeder</v>
      </c>
      <c r="R164" s="567" t="str">
        <f t="shared" si="77"/>
        <v>Refered to PTX</v>
      </c>
      <c r="S164" s="569" t="str">
        <f t="shared" si="77"/>
        <v>Voltage</v>
      </c>
      <c r="T164" s="539" t="str">
        <f t="shared" si="77"/>
        <v>Include
CB</v>
      </c>
      <c r="U164" s="539" t="str">
        <f t="shared" si="77"/>
        <v>Include
PTX</v>
      </c>
      <c r="V164" s="557" t="str">
        <f t="shared" si="77"/>
        <v>Notes</v>
      </c>
    </row>
    <row r="165" spans="2:22" ht="15.75" thickBot="1" x14ac:dyDescent="0.3">
      <c r="B165" s="557"/>
      <c r="C165" s="540"/>
      <c r="D165" s="362" t="str">
        <f>D7</f>
        <v>Voltage</v>
      </c>
      <c r="E165" s="573"/>
      <c r="F165" s="573"/>
      <c r="G165" s="544" t="str">
        <f>G7</f>
        <v>Pre-Emergency</v>
      </c>
      <c r="H165" s="544"/>
      <c r="I165" s="544" t="str">
        <f>I7</f>
        <v>Emergency</v>
      </c>
      <c r="J165" s="544"/>
      <c r="K165" s="540"/>
      <c r="L165" s="545" t="str">
        <f>L7</f>
        <v>AVAILABLE</v>
      </c>
      <c r="M165" s="545" t="str">
        <f>M7</f>
        <v>UTILISED</v>
      </c>
      <c r="O165" s="557"/>
      <c r="P165" s="557"/>
      <c r="Q165" s="557"/>
      <c r="R165" s="567"/>
      <c r="S165" s="569"/>
      <c r="T165" s="540"/>
      <c r="U165" s="540"/>
      <c r="V165" s="557"/>
    </row>
    <row r="166" spans="2:22" ht="15.75" thickBot="1" x14ac:dyDescent="0.3">
      <c r="B166" s="558"/>
      <c r="C166" s="541"/>
      <c r="D166" s="345" t="str">
        <f>D8</f>
        <v>(kV)</v>
      </c>
      <c r="E166" s="345" t="str">
        <f>E8</f>
        <v>(A)</v>
      </c>
      <c r="F166" s="345" t="str">
        <f>F8</f>
        <v>(A)</v>
      </c>
      <c r="G166" s="406" t="str">
        <f>G8</f>
        <v>(A)</v>
      </c>
      <c r="H166" s="407" t="str">
        <f>H8</f>
        <v>(MVA)</v>
      </c>
      <c r="I166" s="406" t="str">
        <f>I8</f>
        <v>(A)</v>
      </c>
      <c r="J166" s="407" t="str">
        <f>J8</f>
        <v>(MVA)</v>
      </c>
      <c r="K166" s="541"/>
      <c r="L166" s="541"/>
      <c r="M166" s="541"/>
      <c r="O166" s="558"/>
      <c r="P166" s="558"/>
      <c r="Q166" s="558"/>
      <c r="R166" s="568"/>
      <c r="S166" s="570"/>
      <c r="T166" s="541"/>
      <c r="U166" s="541"/>
      <c r="V166" s="558"/>
    </row>
    <row r="167" spans="2:22" x14ac:dyDescent="0.25">
      <c r="B167" s="204" t="s">
        <v>511</v>
      </c>
      <c r="C167" s="3" t="s">
        <v>2799</v>
      </c>
      <c r="D167" s="61">
        <f t="shared" ref="D167:D186" si="78">ROUNDDOWN(S167,0)</f>
        <v>11</v>
      </c>
      <c r="E167" s="369">
        <f t="array" ref="E167">IF(U167="YES",IF(T167="YES",MIN(IF(TIM[Load Capability Reference]=CONCATENATE(P167,Q167,S167,R167),TIM[Lowest A-PTX])),MIN(IF(TIM[Load Capability Reference]=CONCATENATE(P167,Q167,S167,R167),IF(TIM[Equipment ID]&lt;&gt;O167,TIM[Lowest A-PTX])))),IF(T167="YES",MIN(IF(TIM[Load Capability Reference]=CONCATENATE(P167,Q167,S167,R167),TIM[Lowest A-No PTX])),MIN(IF(TIM[Load Capability Reference]=CONCATENATE(P167,Q167,S167,R167),IF(TIM[Equipment ID]&lt;&gt;O167,TIM[Lowest A-No PTX])))))</f>
        <v>273.32640000000004</v>
      </c>
      <c r="F167" s="61">
        <f>IFERROR(IFERROR(VLOOKUP(CONCATENATE(P167,Q167,O167,S167,"Protection"),TWZ[[OC Protection Reference]:[Forward A]],23,0),VLOOKUP(O167,AEL_Protection_Data[],12,0)),"N/A")</f>
        <v>304</v>
      </c>
      <c r="G167" s="61">
        <f t="shared" ref="G167:G186" si="79">IFERROR(FLOOR(MIN(E167:F167)*$D$3,5),"")</f>
        <v>215</v>
      </c>
      <c r="H167" s="5">
        <f t="shared" ref="H167:H186" si="80">G167*S167*SQRT(3)/1000</f>
        <v>4.0963001599003945</v>
      </c>
      <c r="I167" s="61">
        <f t="shared" ref="I167:I186" si="81">IFERROR(FLOOR(MIN(E167:F167)*$D$2,5),"")</f>
        <v>245</v>
      </c>
      <c r="J167" s="5">
        <f t="shared" ref="J167:J186" si="82">I167*S167*SQRT(3)/1000</f>
        <v>4.6678769263981241</v>
      </c>
      <c r="K167" s="3" t="str">
        <f>IF(U167="Yes",UPPER(IF(ISNUMBER(SEARCH("winding",VLOOKUP(CONCATENATE(P167,Q167,S167,E167),TIM[[Limiting Equipment Reference-PTX]:[Summ Equipment]],7,0))),"Power Transformer Rating at "&amp;ROUND(E167*S167*SQRT(3)/1000,2)&amp;" MVA",VLOOKUP(CONCATENATE(P167,Q167,S167,E167),TIM[[Limiting Equipment Reference-No PTX]:[Summ Equipment]],8,0))),UPPER(VLOOKUP(CONCATENATE(P167,Q167,S167,E167),TIM[[Limiting Equipment Reference-No PTX]:[Summ Equipment]],8,0)))</f>
        <v>CABLE-3/1C 300MM² AL CWS</v>
      </c>
      <c r="L167" s="4" t="s">
        <v>1267</v>
      </c>
      <c r="M167" s="4" t="s">
        <v>1266</v>
      </c>
      <c r="N167" s="398"/>
      <c r="O167" s="3" t="str">
        <f>"NST-"&amp;B167</f>
        <v>NST-CB3</v>
      </c>
      <c r="P167" s="38" t="s">
        <v>1276</v>
      </c>
      <c r="Q167" s="38" t="s">
        <v>171</v>
      </c>
      <c r="R167" s="389"/>
      <c r="S167" s="139">
        <v>11</v>
      </c>
      <c r="T167" s="4" t="s">
        <v>1266</v>
      </c>
      <c r="U167" s="4" t="s">
        <v>1266</v>
      </c>
      <c r="V167" s="38"/>
    </row>
    <row r="168" spans="2:22" x14ac:dyDescent="0.25">
      <c r="B168" s="124" t="s">
        <v>498</v>
      </c>
      <c r="C168" s="168" t="s">
        <v>2800</v>
      </c>
      <c r="D168" s="119">
        <f t="shared" si="78"/>
        <v>11</v>
      </c>
      <c r="E168" s="370">
        <f t="array" ref="E168">IF(U168="YES",IF(T168="YES",MIN(IF(TIM[Load Capability Reference]=CONCATENATE(P168,Q168,S168,R168),TIM[Lowest A-PTX])),MIN(IF(TIM[Load Capability Reference]=CONCATENATE(P168,Q168,S168,R168),IF(TIM[Equipment ID]&lt;&gt;O168,TIM[Lowest A-PTX])))),IF(T168="YES",MIN(IF(TIM[Load Capability Reference]=CONCATENATE(P168,Q168,S168,R168),TIM[Lowest A-No PTX])),MIN(IF(TIM[Load Capability Reference]=CONCATENATE(P168,Q168,S168,R168),IF(TIM[Equipment ID]&lt;&gt;O168,TIM[Lowest A-No PTX])))))</f>
        <v>228.48</v>
      </c>
      <c r="F168" s="119">
        <f>IFERROR(IFERROR(VLOOKUP(CONCATENATE(P168,Q168,O168,S168,"Protection"),TWZ[[OC Protection Reference]:[Forward A]],23,0),VLOOKUP(O168,AEL_Protection_Data[],12,0)),"N/A")</f>
        <v>304</v>
      </c>
      <c r="G168" s="119">
        <f t="shared" si="79"/>
        <v>180</v>
      </c>
      <c r="H168" s="29">
        <f t="shared" si="80"/>
        <v>3.4294605989863767</v>
      </c>
      <c r="I168" s="119">
        <f t="shared" si="81"/>
        <v>205</v>
      </c>
      <c r="J168" s="29">
        <f t="shared" si="82"/>
        <v>3.905774571067818</v>
      </c>
      <c r="K168" s="6" t="str">
        <f>IF(U168="Yes",UPPER(IF(ISNUMBER(SEARCH("winding",VLOOKUP(CONCATENATE(P168,Q168,S168,E168),TIM[[Limiting Equipment Reference-PTX]:[Summ Equipment]],7,0))),"Power Transformer Rating at "&amp;ROUND(E168*S168*SQRT(3)/1000,2)&amp;" MVA",VLOOKUP(CONCATENATE(P168,Q168,S168,E168),TIM[[Limiting Equipment Reference-No PTX]:[Summ Equipment]],8,0))),UPPER(VLOOKUP(CONCATENATE(P168,Q168,S168,E168),TIM[[Limiting Equipment Reference-No PTX]:[Summ Equipment]],8,0)))</f>
        <v>CABLE-3C 185MM²  AL PILC SWAS</v>
      </c>
      <c r="L168" s="146" t="s">
        <v>1267</v>
      </c>
      <c r="M168" s="146" t="s">
        <v>1266</v>
      </c>
      <c r="N168" s="399"/>
      <c r="O168" s="168" t="str">
        <f t="shared" ref="O168:O186" si="83">"NST-"&amp;B168</f>
        <v>NST-CB4</v>
      </c>
      <c r="P168" s="49" t="s">
        <v>1276</v>
      </c>
      <c r="Q168" s="49" t="s">
        <v>177</v>
      </c>
      <c r="R168" s="386"/>
      <c r="S168" s="43">
        <v>11</v>
      </c>
      <c r="T168" s="146" t="s">
        <v>1266</v>
      </c>
      <c r="U168" s="146" t="s">
        <v>1266</v>
      </c>
      <c r="V168" s="49"/>
    </row>
    <row r="169" spans="2:22" x14ac:dyDescent="0.25">
      <c r="B169" s="124" t="s">
        <v>592</v>
      </c>
      <c r="C169" s="168" t="s">
        <v>2801</v>
      </c>
      <c r="D169" s="119">
        <f t="shared" si="78"/>
        <v>11</v>
      </c>
      <c r="E169" s="370">
        <f t="array" ref="E169">IF(U169="YES",IF(T169="YES",MIN(IF(TIM[Load Capability Reference]=CONCATENATE(P169,Q169,S169,R169),TIM[Lowest A-PTX])),MIN(IF(TIM[Load Capability Reference]=CONCATENATE(P169,Q169,S169,R169),IF(TIM[Equipment ID]&lt;&gt;O169,TIM[Lowest A-PTX])))),IF(T169="YES",MIN(IF(TIM[Load Capability Reference]=CONCATENATE(P169,Q169,S169,R169),TIM[Lowest A-No PTX])),MIN(IF(TIM[Load Capability Reference]=CONCATENATE(P169,Q169,S169,R169),IF(TIM[Equipment ID]&lt;&gt;O169,TIM[Lowest A-No PTX])))))</f>
        <v>201.91919999999993</v>
      </c>
      <c r="F169" s="119">
        <f>IFERROR(IFERROR(VLOOKUP(CONCATENATE(P169,Q169,O169,S169,"Protection"),TWZ[[OC Protection Reference]:[Forward A]],23,0),VLOOKUP(O169,AEL_Protection_Data[],12,0)),"N/A")</f>
        <v>304</v>
      </c>
      <c r="G169" s="119">
        <f t="shared" si="79"/>
        <v>160</v>
      </c>
      <c r="H169" s="29">
        <f t="shared" si="80"/>
        <v>3.0484094213212236</v>
      </c>
      <c r="I169" s="119">
        <f t="shared" si="81"/>
        <v>180</v>
      </c>
      <c r="J169" s="29">
        <f t="shared" si="82"/>
        <v>3.4294605989863767</v>
      </c>
      <c r="K169" s="168" t="str">
        <f>IF(U169="Yes",UPPER(IF(ISNUMBER(SEARCH("winding",VLOOKUP(CONCATENATE(P169,Q169,S169,E169),TIM[[Limiting Equipment Reference-PTX]:[Summ Equipment]],7,0))),"Power Transformer Rating at "&amp;ROUND(E169*S169*SQRT(3)/1000,2)&amp;" MVA",VLOOKUP(CONCATENATE(P169,Q169,S169,E169),TIM[[Limiting Equipment Reference-No PTX]:[Summ Equipment]],8,0))),UPPER(VLOOKUP(CONCATENATE(P169,Q169,S169,E169),TIM[[Limiting Equipment Reference-No PTX]:[Summ Equipment]],8,0)))</f>
        <v>CABLE-3C 185MM²  AL PILC SWAS</v>
      </c>
      <c r="L169" s="146" t="s">
        <v>1267</v>
      </c>
      <c r="M169" s="146" t="s">
        <v>1266</v>
      </c>
      <c r="O169" s="168" t="str">
        <f t="shared" si="83"/>
        <v>NST-CB5</v>
      </c>
      <c r="P169" s="49" t="s">
        <v>1276</v>
      </c>
      <c r="Q169" s="49" t="s">
        <v>183</v>
      </c>
      <c r="R169" s="390"/>
      <c r="S169" s="32">
        <v>11</v>
      </c>
      <c r="T169" s="146" t="s">
        <v>1266</v>
      </c>
      <c r="U169" s="146" t="s">
        <v>1266</v>
      </c>
      <c r="V169" s="49"/>
    </row>
    <row r="170" spans="2:22" x14ac:dyDescent="0.25">
      <c r="B170" s="124" t="s">
        <v>500</v>
      </c>
      <c r="C170" s="168" t="s">
        <v>2767</v>
      </c>
      <c r="D170" s="119">
        <f t="shared" si="78"/>
        <v>11</v>
      </c>
      <c r="E170" s="370">
        <f t="array" ref="E170">IF(U170="YES",IF(T170="YES",MIN(IF(TIM[Load Capability Reference]=CONCATENATE(P170,Q170,S170,R170),TIM[Lowest A-PTX])),MIN(IF(TIM[Load Capability Reference]=CONCATENATE(P170,Q170,S170,R170),IF(TIM[Equipment ID]&lt;&gt;O170,TIM[Lowest A-PTX])))),IF(T170="YES",MIN(IF(TIM[Load Capability Reference]=CONCATENATE(P170,Q170,S170,R170),TIM[Lowest A-No PTX])),MIN(IF(TIM[Load Capability Reference]=CONCATENATE(P170,Q170,S170,R170),IF(TIM[Equipment ID]&lt;&gt;O170,TIM[Lowest A-No PTX])))))</f>
        <v>297.464</v>
      </c>
      <c r="F170" s="119">
        <f>IFERROR(IFERROR(VLOOKUP(CONCATENATE(P170,Q170,O170,S170,"Protection"),TWZ[[OC Protection Reference]:[Forward A]],23,0),VLOOKUP(O170,AEL_Protection_Data[],12,0)),"N/A")</f>
        <v>400</v>
      </c>
      <c r="G170" s="119">
        <f t="shared" si="79"/>
        <v>235</v>
      </c>
      <c r="H170" s="29">
        <f t="shared" si="80"/>
        <v>4.4773513375655476</v>
      </c>
      <c r="I170" s="119">
        <f t="shared" si="81"/>
        <v>265</v>
      </c>
      <c r="J170" s="29">
        <f t="shared" si="82"/>
        <v>5.0489281040632772</v>
      </c>
      <c r="K170" s="6" t="str">
        <f>IF(U170="Yes",UPPER(IF(ISNUMBER(SEARCH("winding",VLOOKUP(CONCATENATE(P170,Q170,S170,E170),TIM[[Limiting Equipment Reference-PTX]:[Summ Equipment]],7,0))),"Power Transformer Rating at "&amp;ROUND(E170*S170*SQRT(3)/1000,2)&amp;" MVA",VLOOKUP(CONCATENATE(P170,Q170,S170,E170),TIM[[Limiting Equipment Reference-No PTX]:[Summ Equipment]],8,0))),UPPER(VLOOKUP(CONCATENATE(P170,Q170,S170,E170),TIM[[Limiting Equipment Reference-No PTX]:[Summ Equipment]],8,0)))</f>
        <v>CABLE-3C 0.3IN² CU PILC STAS</v>
      </c>
      <c r="L170" s="146" t="s">
        <v>1267</v>
      </c>
      <c r="M170" s="146" t="s">
        <v>1266</v>
      </c>
      <c r="O170" s="168" t="str">
        <f t="shared" si="83"/>
        <v>NST-CB6</v>
      </c>
      <c r="P170" s="49" t="s">
        <v>1245</v>
      </c>
      <c r="Q170" s="49" t="s">
        <v>1330</v>
      </c>
      <c r="R170" s="386"/>
      <c r="S170" s="43">
        <v>11</v>
      </c>
      <c r="T170" s="146" t="s">
        <v>1266</v>
      </c>
      <c r="U170" s="146" t="s">
        <v>1266</v>
      </c>
      <c r="V170" s="49"/>
    </row>
    <row r="171" spans="2:22" x14ac:dyDescent="0.25">
      <c r="B171" s="124" t="s">
        <v>512</v>
      </c>
      <c r="C171" s="168" t="s">
        <v>2802</v>
      </c>
      <c r="D171" s="119">
        <f t="shared" si="78"/>
        <v>11</v>
      </c>
      <c r="E171" s="370">
        <f t="array" ref="E171">IF(U171="YES",IF(T171="YES",MIN(IF(TIM[Load Capability Reference]=CONCATENATE(P171,Q171,S171,R171),TIM[Lowest A-PTX])),MIN(IF(TIM[Load Capability Reference]=CONCATENATE(P171,Q171,S171,R171),IF(TIM[Equipment ID]&lt;&gt;O171,TIM[Lowest A-PTX])))),IF(T171="YES",MIN(IF(TIM[Load Capability Reference]=CONCATENATE(P171,Q171,S171,R171),TIM[Lowest A-No PTX])),MIN(IF(TIM[Load Capability Reference]=CONCATENATE(P171,Q171,S171,R171),IF(TIM[Equipment ID]&lt;&gt;O171,TIM[Lowest A-No PTX])))))</f>
        <v>291.76874999999995</v>
      </c>
      <c r="F171" s="119">
        <f>IFERROR(IFERROR(VLOOKUP(CONCATENATE(P171,Q171,O171,S171,"Protection"),TWZ[[OC Protection Reference]:[Forward A]],23,0),VLOOKUP(O171,AEL_Protection_Data[],12,0)),"N/A")</f>
        <v>400</v>
      </c>
      <c r="G171" s="119">
        <f t="shared" si="79"/>
        <v>230</v>
      </c>
      <c r="H171" s="29">
        <f t="shared" si="80"/>
        <v>4.3820885431492593</v>
      </c>
      <c r="I171" s="119">
        <f t="shared" si="81"/>
        <v>260</v>
      </c>
      <c r="J171" s="29">
        <f t="shared" si="82"/>
        <v>4.9536653096469889</v>
      </c>
      <c r="K171" s="6" t="str">
        <f>IF(U171="Yes",UPPER(IF(ISNUMBER(SEARCH("winding",VLOOKUP(CONCATENATE(P171,Q171,S171,E171),TIM[[Limiting Equipment Reference-PTX]:[Summ Equipment]],7,0))),"Power Transformer Rating at "&amp;ROUND(E171*S171*SQRT(3)/1000,2)&amp;" MVA",VLOOKUP(CONCATENATE(P171,Q171,S171,E171),TIM[[Limiting Equipment Reference-No PTX]:[Summ Equipment]],8,0))),UPPER(VLOOKUP(CONCATENATE(P171,Q171,S171,E171),TIM[[Limiting Equipment Reference-No PTX]:[Summ Equipment]],8,0)))</f>
        <v>CABLE-3C 0.3IN² CU PILC SWAS</v>
      </c>
      <c r="L171" s="146" t="s">
        <v>1267</v>
      </c>
      <c r="M171" s="146" t="s">
        <v>1266</v>
      </c>
      <c r="O171" s="168" t="str">
        <f t="shared" si="83"/>
        <v>NST-CB7</v>
      </c>
      <c r="P171" s="49" t="s">
        <v>1245</v>
      </c>
      <c r="Q171" s="49" t="s">
        <v>1332</v>
      </c>
      <c r="R171" s="386"/>
      <c r="S171" s="43">
        <v>11</v>
      </c>
      <c r="T171" s="146" t="s">
        <v>1266</v>
      </c>
      <c r="U171" s="146" t="s">
        <v>1266</v>
      </c>
      <c r="V171" s="49"/>
    </row>
    <row r="172" spans="2:22" x14ac:dyDescent="0.25">
      <c r="B172" s="124" t="s">
        <v>522</v>
      </c>
      <c r="C172" s="168" t="s">
        <v>2803</v>
      </c>
      <c r="D172" s="119">
        <f t="shared" si="78"/>
        <v>11</v>
      </c>
      <c r="E172" s="370">
        <f t="array" ref="E172">IF(U172="YES",IF(T172="YES",MIN(IF(TIM[Load Capability Reference]=CONCATENATE(P172,Q172,S172,R172),TIM[Lowest A-PTX])),MIN(IF(TIM[Load Capability Reference]=CONCATENATE(P172,Q172,S172,R172),IF(TIM[Equipment ID]&lt;&gt;O172,TIM[Lowest A-PTX])))),IF(T172="YES",MIN(IF(TIM[Load Capability Reference]=CONCATENATE(P172,Q172,S172,R172),TIM[Lowest A-No PTX])),MIN(IF(TIM[Load Capability Reference]=CONCATENATE(P172,Q172,S172,R172),IF(TIM[Equipment ID]&lt;&gt;O172,TIM[Lowest A-No PTX])))))</f>
        <v>172.52143999999998</v>
      </c>
      <c r="F172" s="119">
        <f>IFERROR(IFERROR(VLOOKUP(CONCATENATE(P172,Q172,O172,S172,"Protection"),TWZ[[OC Protection Reference]:[Forward A]],23,0),VLOOKUP(O172,AEL_Protection_Data[],12,0)),"N/A")</f>
        <v>200</v>
      </c>
      <c r="G172" s="119">
        <f t="shared" si="79"/>
        <v>135</v>
      </c>
      <c r="H172" s="29">
        <f t="shared" si="80"/>
        <v>2.5720954492397827</v>
      </c>
      <c r="I172" s="119">
        <f t="shared" si="81"/>
        <v>155</v>
      </c>
      <c r="J172" s="29">
        <f t="shared" si="82"/>
        <v>2.9531466269049358</v>
      </c>
      <c r="K172" s="6" t="str">
        <f>IF(U172="Yes",UPPER(IF(ISNUMBER(SEARCH("winding",VLOOKUP(CONCATENATE(P172,Q172,S172,E172),TIM[[Limiting Equipment Reference-PTX]:[Summ Equipment]],7,0))),"Power Transformer Rating at "&amp;ROUND(E172*S172*SQRT(3)/1000,2)&amp;" MVA",VLOOKUP(CONCATENATE(P172,Q172,S172,E172),TIM[[Limiting Equipment Reference-No PTX]:[Summ Equipment]],8,0))),UPPER(VLOOKUP(CONCATENATE(P172,Q172,S172,E172),TIM[[Limiting Equipment Reference-No PTX]:[Summ Equipment]],8,0)))</f>
        <v>CABLE-3C 0.15IN² CU PILC STA</v>
      </c>
      <c r="L172" s="146" t="s">
        <v>1267</v>
      </c>
      <c r="M172" s="146" t="s">
        <v>1266</v>
      </c>
      <c r="O172" s="168" t="str">
        <f t="shared" si="83"/>
        <v>NST-CB8</v>
      </c>
      <c r="P172" s="49" t="s">
        <v>1276</v>
      </c>
      <c r="Q172" s="49" t="s">
        <v>186</v>
      </c>
      <c r="R172" s="386"/>
      <c r="S172" s="43">
        <v>11</v>
      </c>
      <c r="T172" s="146" t="s">
        <v>1266</v>
      </c>
      <c r="U172" s="146" t="s">
        <v>1266</v>
      </c>
      <c r="V172" s="49"/>
    </row>
    <row r="173" spans="2:22" x14ac:dyDescent="0.25">
      <c r="B173" s="124" t="s">
        <v>526</v>
      </c>
      <c r="C173" s="168" t="s">
        <v>2804</v>
      </c>
      <c r="D173" s="119">
        <f t="shared" si="78"/>
        <v>11</v>
      </c>
      <c r="E173" s="370">
        <f t="array" ref="E173">IF(U173="YES",IF(T173="YES",MIN(IF(TIM[Load Capability Reference]=CONCATENATE(P173,Q173,S173,R173),TIM[Lowest A-PTX])),MIN(IF(TIM[Load Capability Reference]=CONCATENATE(P173,Q173,S173,R173),IF(TIM[Equipment ID]&lt;&gt;O173,TIM[Lowest A-PTX])))),IF(T173="YES",MIN(IF(TIM[Load Capability Reference]=CONCATENATE(P173,Q173,S173,R173),TIM[Lowest A-No PTX])),MIN(IF(TIM[Load Capability Reference]=CONCATENATE(P173,Q173,S173,R173),IF(TIM[Equipment ID]&lt;&gt;O173,TIM[Lowest A-No PTX])))))</f>
        <v>273.32639999999998</v>
      </c>
      <c r="F173" s="119">
        <f>IFERROR(IFERROR(VLOOKUP(CONCATENATE(P173,Q173,O173,S173,"Protection"),TWZ[[OC Protection Reference]:[Forward A]],23,0),VLOOKUP(O173,AEL_Protection_Data[],12,0)),"N/A")</f>
        <v>304</v>
      </c>
      <c r="G173" s="119">
        <f t="shared" si="79"/>
        <v>215</v>
      </c>
      <c r="H173" s="29">
        <f t="shared" si="80"/>
        <v>4.0963001599003945</v>
      </c>
      <c r="I173" s="119">
        <f t="shared" si="81"/>
        <v>245</v>
      </c>
      <c r="J173" s="29">
        <f t="shared" si="82"/>
        <v>4.6678769263981241</v>
      </c>
      <c r="K173" s="6" t="str">
        <f>IF(U173="Yes",UPPER(IF(ISNUMBER(SEARCH("winding",VLOOKUP(CONCATENATE(P173,Q173,S173,E173),TIM[[Limiting Equipment Reference-PTX]:[Summ Equipment]],7,0))),"Power Transformer Rating at "&amp;ROUND(E173*S173*SQRT(3)/1000,2)&amp;" MVA",VLOOKUP(CONCATENATE(P173,Q173,S173,E173),TIM[[Limiting Equipment Reference-No PTX]:[Summ Equipment]],8,0))),UPPER(VLOOKUP(CONCATENATE(P173,Q173,S173,E173),TIM[[Limiting Equipment Reference-No PTX]:[Summ Equipment]],8,0)))</f>
        <v>CABLE-3C 300MM² AL XLPE MDPE</v>
      </c>
      <c r="L173" s="146" t="s">
        <v>1267</v>
      </c>
      <c r="M173" s="146" t="s">
        <v>1266</v>
      </c>
      <c r="O173" s="168" t="str">
        <f t="shared" si="83"/>
        <v>NST-CB9</v>
      </c>
      <c r="P173" s="49" t="s">
        <v>1276</v>
      </c>
      <c r="Q173" s="49" t="s">
        <v>188</v>
      </c>
      <c r="R173" s="386"/>
      <c r="S173" s="43">
        <v>11</v>
      </c>
      <c r="T173" s="146" t="s">
        <v>1266</v>
      </c>
      <c r="U173" s="146" t="s">
        <v>1266</v>
      </c>
      <c r="V173" s="49"/>
    </row>
    <row r="174" spans="2:22" x14ac:dyDescent="0.25">
      <c r="B174" s="124" t="s">
        <v>1763</v>
      </c>
      <c r="C174" s="168" t="s">
        <v>2805</v>
      </c>
      <c r="D174" s="119">
        <f t="shared" si="78"/>
        <v>11</v>
      </c>
      <c r="E174" s="370">
        <f t="array" ref="E174">IF(U174="YES",IF(T174="YES",MIN(IF(TIM[Load Capability Reference]=CONCATENATE(P174,Q174,S174,R174),TIM[Lowest A-PTX])),MIN(IF(TIM[Load Capability Reference]=CONCATENATE(P174,Q174,S174,R174),IF(TIM[Equipment ID]&lt;&gt;O174,TIM[Lowest A-PTX])))),IF(T174="YES",MIN(IF(TIM[Load Capability Reference]=CONCATENATE(P174,Q174,S174,R174),TIM[Lowest A-No PTX])),MIN(IF(TIM[Load Capability Reference]=CONCATENATE(P174,Q174,S174,R174),IF(TIM[Equipment ID]&lt;&gt;O174,TIM[Lowest A-No PTX])))))</f>
        <v>199.76387199999999</v>
      </c>
      <c r="F174" s="119">
        <f>IFERROR(IFERROR(VLOOKUP(CONCATENATE(P174,Q174,O174,S174,"Protection"),TWZ[[OC Protection Reference]:[Forward A]],23,0),VLOOKUP(O174,AEL_Protection_Data[],12,0)),"N/A")</f>
        <v>304</v>
      </c>
      <c r="G174" s="119">
        <f t="shared" si="79"/>
        <v>155</v>
      </c>
      <c r="H174" s="29">
        <f t="shared" si="80"/>
        <v>2.9531466269049358</v>
      </c>
      <c r="I174" s="119">
        <f t="shared" si="81"/>
        <v>175</v>
      </c>
      <c r="J174" s="29">
        <f t="shared" si="82"/>
        <v>3.3341978045700884</v>
      </c>
      <c r="K174" s="6" t="str">
        <f>IF(U174="Yes",UPPER(IF(ISNUMBER(SEARCH("winding",VLOOKUP(CONCATENATE(P174,Q174,S174,E174),TIM[[Limiting Equipment Reference-PTX]:[Summ Equipment]],7,0))),"Power Transformer Rating at "&amp;ROUND(E174*S174*SQRT(3)/1000,2)&amp;" MVA",VLOOKUP(CONCATENATE(P174,Q174,S174,E174),TIM[[Limiting Equipment Reference-No PTX]:[Summ Equipment]],8,0))),UPPER(VLOOKUP(CONCATENATE(P174,Q174,S174,E174),TIM[[Limiting Equipment Reference-No PTX]:[Summ Equipment]],8,0)))</f>
        <v>CABLE-3C 185MM²  AL PILC SWAS</v>
      </c>
      <c r="L174" s="146" t="s">
        <v>1267</v>
      </c>
      <c r="M174" s="146" t="s">
        <v>1266</v>
      </c>
      <c r="O174" s="168" t="str">
        <f t="shared" si="83"/>
        <v>NST-CB10</v>
      </c>
      <c r="P174" s="49" t="s">
        <v>1276</v>
      </c>
      <c r="Q174" s="49" t="s">
        <v>190</v>
      </c>
      <c r="R174" s="386"/>
      <c r="S174" s="43">
        <v>11</v>
      </c>
      <c r="T174" s="146" t="s">
        <v>1266</v>
      </c>
      <c r="U174" s="146" t="s">
        <v>1266</v>
      </c>
      <c r="V174" s="49"/>
    </row>
    <row r="175" spans="2:22" x14ac:dyDescent="0.25">
      <c r="B175" s="123" t="s">
        <v>607</v>
      </c>
      <c r="C175" s="6" t="s">
        <v>2806</v>
      </c>
      <c r="D175" s="119">
        <f t="shared" si="78"/>
        <v>11</v>
      </c>
      <c r="E175" s="370">
        <f t="array" ref="E175">IF(U175="YES",IF(T175="YES",MIN(IF(TIM[Load Capability Reference]=CONCATENATE(P175,Q175,S175,R175),TIM[Lowest A-PTX])),MIN(IF(TIM[Load Capability Reference]=CONCATENATE(P175,Q175,S175,R175),IF(TIM[Equipment ID]&lt;&gt;O175,TIM[Lowest A-PTX])))),IF(T175="YES",MIN(IF(TIM[Load Capability Reference]=CONCATENATE(P175,Q175,S175,R175),TIM[Lowest A-No PTX])),MIN(IF(TIM[Load Capability Reference]=CONCATENATE(P175,Q175,S175,R175),IF(TIM[Equipment ID]&lt;&gt;O175,TIM[Lowest A-No PTX])))))</f>
        <v>206.86959999999993</v>
      </c>
      <c r="F175" s="119">
        <f>IFERROR(IFERROR(VLOOKUP(CONCATENATE(P175,Q175,O175,S175,"Protection"),TWZ[[OC Protection Reference]:[Forward A]],23,0),VLOOKUP(O175,AEL_Protection_Data[],12,0)),"N/A")</f>
        <v>304</v>
      </c>
      <c r="G175" s="119">
        <f t="shared" si="79"/>
        <v>165</v>
      </c>
      <c r="H175" s="29">
        <f t="shared" si="80"/>
        <v>3.1436722157375119</v>
      </c>
      <c r="I175" s="119">
        <f t="shared" si="81"/>
        <v>185</v>
      </c>
      <c r="J175" s="29">
        <f t="shared" si="82"/>
        <v>3.5247233934026649</v>
      </c>
      <c r="K175" s="6" t="str">
        <f>IF(U175="Yes",UPPER(IF(ISNUMBER(SEARCH("winding",VLOOKUP(CONCATENATE(P175,Q175,S175,E175),TIM[[Limiting Equipment Reference-PTX]:[Summ Equipment]],7,0))),"Power Transformer Rating at "&amp;ROUND(E175*S175*SQRT(3)/1000,2)&amp;" MVA",VLOOKUP(CONCATENATE(P175,Q175,S175,E175),TIM[[Limiting Equipment Reference-No PTX]:[Summ Equipment]],8,0))),UPPER(VLOOKUP(CONCATENATE(P175,Q175,S175,E175),TIM[[Limiting Equipment Reference-No PTX]:[Summ Equipment]],8,0)))</f>
        <v>CABLE-3C 0.25IN² AL PILC STAS</v>
      </c>
      <c r="L175" s="146" t="s">
        <v>1267</v>
      </c>
      <c r="M175" s="146" t="s">
        <v>1266</v>
      </c>
      <c r="O175" s="168" t="str">
        <f t="shared" si="83"/>
        <v>NST-CB11</v>
      </c>
      <c r="P175" s="49" t="s">
        <v>1276</v>
      </c>
      <c r="Q175" s="49" t="s">
        <v>192</v>
      </c>
      <c r="R175" s="386"/>
      <c r="S175" s="43">
        <v>11</v>
      </c>
      <c r="T175" s="146" t="s">
        <v>1266</v>
      </c>
      <c r="U175" s="146" t="s">
        <v>1266</v>
      </c>
      <c r="V175" s="49"/>
    </row>
    <row r="176" spans="2:22" x14ac:dyDescent="0.25">
      <c r="B176" s="124" t="s">
        <v>610</v>
      </c>
      <c r="C176" s="168" t="s">
        <v>2807</v>
      </c>
      <c r="D176" s="119">
        <f t="shared" si="78"/>
        <v>11</v>
      </c>
      <c r="E176" s="370">
        <f t="array" ref="E176">IF(U176="YES",IF(T176="YES",MIN(IF(TIM[Load Capability Reference]=CONCATENATE(P176,Q176,S176,R176),TIM[Lowest A-PTX])),MIN(IF(TIM[Load Capability Reference]=CONCATENATE(P176,Q176,S176,R176),IF(TIM[Equipment ID]&lt;&gt;O176,TIM[Lowest A-PTX])))),IF(T176="YES",MIN(IF(TIM[Load Capability Reference]=CONCATENATE(P176,Q176,S176,R176),TIM[Lowest A-No PTX])),MIN(IF(TIM[Load Capability Reference]=CONCATENATE(P176,Q176,S176,R176),IF(TIM[Equipment ID]&lt;&gt;O176,TIM[Lowest A-No PTX])))))</f>
        <v>206.86959999999993</v>
      </c>
      <c r="F176" s="119">
        <f>IFERROR(IFERROR(VLOOKUP(CONCATENATE(P176,Q176,O176,S176,"Protection"),TWZ[[OC Protection Reference]:[Forward A]],23,0),VLOOKUP(O176,AEL_Protection_Data[],12,0)),"N/A")</f>
        <v>304</v>
      </c>
      <c r="G176" s="119">
        <f t="shared" si="79"/>
        <v>165</v>
      </c>
      <c r="H176" s="29">
        <f t="shared" si="80"/>
        <v>3.1436722157375119</v>
      </c>
      <c r="I176" s="119">
        <f t="shared" si="81"/>
        <v>185</v>
      </c>
      <c r="J176" s="29">
        <f t="shared" si="82"/>
        <v>3.5247233934026649</v>
      </c>
      <c r="K176" s="6" t="str">
        <f>IF(U176="Yes",UPPER(IF(ISNUMBER(SEARCH("winding",VLOOKUP(CONCATENATE(P176,Q176,S176,E176),TIM[[Limiting Equipment Reference-PTX]:[Summ Equipment]],7,0))),"Power Transformer Rating at "&amp;ROUND(E176*S176*SQRT(3)/1000,2)&amp;" MVA",VLOOKUP(CONCATENATE(P176,Q176,S176,E176),TIM[[Limiting Equipment Reference-No PTX]:[Summ Equipment]],8,0))),UPPER(VLOOKUP(CONCATENATE(P176,Q176,S176,E176),TIM[[Limiting Equipment Reference-No PTX]:[Summ Equipment]],8,0)))</f>
        <v>CABLE-3C 0.25IN² AL PILC SWA</v>
      </c>
      <c r="L176" s="146" t="s">
        <v>1267</v>
      </c>
      <c r="M176" s="146" t="s">
        <v>1266</v>
      </c>
      <c r="O176" s="168" t="str">
        <f t="shared" si="83"/>
        <v>NST-CB12</v>
      </c>
      <c r="P176" s="49" t="s">
        <v>1276</v>
      </c>
      <c r="Q176" s="49" t="s">
        <v>194</v>
      </c>
      <c r="R176" s="386"/>
      <c r="S176" s="43">
        <v>11</v>
      </c>
      <c r="T176" s="146" t="s">
        <v>1266</v>
      </c>
      <c r="U176" s="146" t="s">
        <v>1266</v>
      </c>
      <c r="V176" s="49"/>
    </row>
    <row r="177" spans="2:22" x14ac:dyDescent="0.25">
      <c r="B177" s="124" t="s">
        <v>611</v>
      </c>
      <c r="C177" s="168" t="s">
        <v>2808</v>
      </c>
      <c r="D177" s="119">
        <f t="shared" si="78"/>
        <v>11</v>
      </c>
      <c r="E177" s="370">
        <f t="array" ref="E177">IF(U177="YES",IF(T177="YES",MIN(IF(TIM[Load Capability Reference]=CONCATENATE(P177,Q177,S177,R177),TIM[Lowest A-PTX])),MIN(IF(TIM[Load Capability Reference]=CONCATENATE(P177,Q177,S177,R177),IF(TIM[Equipment ID]&lt;&gt;O177,TIM[Lowest A-PTX])))),IF(T177="YES",MIN(IF(TIM[Load Capability Reference]=CONCATENATE(P177,Q177,S177,R177),TIM[Lowest A-No PTX])),MIN(IF(TIM[Load Capability Reference]=CONCATENATE(P177,Q177,S177,R177),IF(TIM[Equipment ID]&lt;&gt;O177,TIM[Lowest A-No PTX])))))</f>
        <v>273.32639999999998</v>
      </c>
      <c r="F177" s="119">
        <f>IFERROR(IFERROR(VLOOKUP(CONCATENATE(P177,Q177,O177,S177,"Protection"),TWZ[[OC Protection Reference]:[Forward A]],23,0),VLOOKUP(O177,AEL_Protection_Data[],12,0)),"N/A")</f>
        <v>304</v>
      </c>
      <c r="G177" s="119">
        <f t="shared" si="79"/>
        <v>215</v>
      </c>
      <c r="H177" s="29">
        <f t="shared" si="80"/>
        <v>4.0963001599003945</v>
      </c>
      <c r="I177" s="119">
        <f t="shared" si="81"/>
        <v>245</v>
      </c>
      <c r="J177" s="29">
        <f t="shared" si="82"/>
        <v>4.6678769263981241</v>
      </c>
      <c r="K177" s="6" t="str">
        <f>IF(U177="Yes",UPPER(IF(ISNUMBER(SEARCH("winding",VLOOKUP(CONCATENATE(P177,Q177,S177,E177),TIM[[Limiting Equipment Reference-PTX]:[Summ Equipment]],7,0))),"Power Transformer Rating at "&amp;ROUND(E177*S177*SQRT(3)/1000,2)&amp;" MVA",VLOOKUP(CONCATENATE(P177,Q177,S177,E177),TIM[[Limiting Equipment Reference-No PTX]:[Summ Equipment]],8,0))),UPPER(VLOOKUP(CONCATENATE(P177,Q177,S177,E177),TIM[[Limiting Equipment Reference-No PTX]:[Summ Equipment]],8,0)))</f>
        <v>CABLE-3C 300MM² AL XLPE MDPE</v>
      </c>
      <c r="L177" s="146" t="s">
        <v>1267</v>
      </c>
      <c r="M177" s="146" t="s">
        <v>1266</v>
      </c>
      <c r="O177" s="168" t="str">
        <f t="shared" si="83"/>
        <v>NST-CB13</v>
      </c>
      <c r="P177" s="49" t="s">
        <v>1276</v>
      </c>
      <c r="Q177" s="49" t="s">
        <v>196</v>
      </c>
      <c r="R177" s="386"/>
      <c r="S177" s="43">
        <v>11</v>
      </c>
      <c r="T177" s="146" t="s">
        <v>1266</v>
      </c>
      <c r="U177" s="146" t="s">
        <v>1266</v>
      </c>
      <c r="V177" s="49"/>
    </row>
    <row r="178" spans="2:22" x14ac:dyDescent="0.25">
      <c r="B178" s="124" t="s">
        <v>1594</v>
      </c>
      <c r="C178" s="168" t="s">
        <v>2809</v>
      </c>
      <c r="D178" s="119">
        <f t="shared" si="78"/>
        <v>11</v>
      </c>
      <c r="E178" s="370">
        <f t="array" ref="E178">IF(U178="YES",IF(T178="YES",MIN(IF(TIM[Load Capability Reference]=CONCATENATE(P178,Q178,S178,R178),TIM[Lowest A-PTX])),MIN(IF(TIM[Load Capability Reference]=CONCATENATE(P178,Q178,S178,R178),IF(TIM[Equipment ID]&lt;&gt;O178,TIM[Lowest A-PTX])))),IF(T178="YES",MIN(IF(TIM[Load Capability Reference]=CONCATENATE(P178,Q178,S178,R178),TIM[Lowest A-No PTX])),MIN(IF(TIM[Load Capability Reference]=CONCATENATE(P178,Q178,S178,R178),IF(TIM[Equipment ID]&lt;&gt;O178,TIM[Lowest A-No PTX])))))</f>
        <v>291.76874999999995</v>
      </c>
      <c r="F178" s="119">
        <f>IFERROR(IFERROR(VLOOKUP(CONCATENATE(P178,Q178,O178,S178,"Protection"),TWZ[[OC Protection Reference]:[Forward A]],23,0),VLOOKUP(O178,AEL_Protection_Data[],12,0)),"N/A")</f>
        <v>400</v>
      </c>
      <c r="G178" s="119">
        <f t="shared" si="79"/>
        <v>230</v>
      </c>
      <c r="H178" s="29">
        <f t="shared" si="80"/>
        <v>4.3820885431492593</v>
      </c>
      <c r="I178" s="119">
        <f t="shared" si="81"/>
        <v>260</v>
      </c>
      <c r="J178" s="29">
        <f t="shared" si="82"/>
        <v>4.9536653096469889</v>
      </c>
      <c r="K178" s="6" t="str">
        <f>IF(U178="Yes",UPPER(IF(ISNUMBER(SEARCH("winding",VLOOKUP(CONCATENATE(P178,Q178,S178,E178),TIM[[Limiting Equipment Reference-PTX]:[Summ Equipment]],7,0))),"Power Transformer Rating at "&amp;ROUND(E178*S178*SQRT(3)/1000,2)&amp;" MVA",VLOOKUP(CONCATENATE(P178,Q178,S178,E178),TIM[[Limiting Equipment Reference-No PTX]:[Summ Equipment]],8,0))),UPPER(VLOOKUP(CONCATENATE(P178,Q178,S178,E178),TIM[[Limiting Equipment Reference-No PTX]:[Summ Equipment]],8,0)))</f>
        <v>CABLE-3C 0.3IN² CU PILC SWAS</v>
      </c>
      <c r="L178" s="146" t="s">
        <v>1267</v>
      </c>
      <c r="M178" s="146" t="s">
        <v>1266</v>
      </c>
      <c r="O178" s="168" t="str">
        <f t="shared" si="83"/>
        <v>NST-CB14</v>
      </c>
      <c r="P178" s="49" t="s">
        <v>1245</v>
      </c>
      <c r="Q178" s="49" t="s">
        <v>1333</v>
      </c>
      <c r="R178" s="386"/>
      <c r="S178" s="43">
        <v>11</v>
      </c>
      <c r="T178" s="146" t="s">
        <v>1266</v>
      </c>
      <c r="U178" s="146" t="s">
        <v>1266</v>
      </c>
      <c r="V178" s="49"/>
    </row>
    <row r="179" spans="2:22" x14ac:dyDescent="0.25">
      <c r="B179" s="124" t="s">
        <v>1596</v>
      </c>
      <c r="C179" s="168" t="s">
        <v>2775</v>
      </c>
      <c r="D179" s="119">
        <f t="shared" si="78"/>
        <v>11</v>
      </c>
      <c r="E179" s="370">
        <f t="array" ref="E179">IF(U179="YES",IF(T179="YES",MIN(IF(TIM[Load Capability Reference]=CONCATENATE(P179,Q179,S179,R179),TIM[Lowest A-PTX])),MIN(IF(TIM[Load Capability Reference]=CONCATENATE(P179,Q179,S179,R179),IF(TIM[Equipment ID]&lt;&gt;O179,TIM[Lowest A-PTX])))),IF(T179="YES",MIN(IF(TIM[Load Capability Reference]=CONCATENATE(P179,Q179,S179,R179),TIM[Lowest A-No PTX])),MIN(IF(TIM[Load Capability Reference]=CONCATENATE(P179,Q179,S179,R179),IF(TIM[Equipment ID]&lt;&gt;O179,TIM[Lowest A-No PTX])))))</f>
        <v>297.464</v>
      </c>
      <c r="F179" s="119">
        <f>IFERROR(IFERROR(VLOOKUP(CONCATENATE(P179,Q179,O179,S179,"Protection"),TWZ[[OC Protection Reference]:[Forward A]],23,0),VLOOKUP(O179,AEL_Protection_Data[],12,0)),"N/A")</f>
        <v>400</v>
      </c>
      <c r="G179" s="119">
        <f t="shared" si="79"/>
        <v>235</v>
      </c>
      <c r="H179" s="29">
        <f t="shared" si="80"/>
        <v>4.4773513375655476</v>
      </c>
      <c r="I179" s="119">
        <f t="shared" si="81"/>
        <v>265</v>
      </c>
      <c r="J179" s="29">
        <f t="shared" si="82"/>
        <v>5.0489281040632772</v>
      </c>
      <c r="K179" s="6" t="str">
        <f>IF(U179="Yes",UPPER(IF(ISNUMBER(SEARCH("winding",VLOOKUP(CONCATENATE(P179,Q179,S179,E179),TIM[[Limiting Equipment Reference-PTX]:[Summ Equipment]],7,0))),"Power Transformer Rating at "&amp;ROUND(E179*S179*SQRT(3)/1000,2)&amp;" MVA",VLOOKUP(CONCATENATE(P179,Q179,S179,E179),TIM[[Limiting Equipment Reference-No PTX]:[Summ Equipment]],8,0))),UPPER(VLOOKUP(CONCATENATE(P179,Q179,S179,E179),TIM[[Limiting Equipment Reference-No PTX]:[Summ Equipment]],8,0)))</f>
        <v>CABLE-3C 0.3IN² CU PILC SWAS</v>
      </c>
      <c r="L179" s="146" t="s">
        <v>1267</v>
      </c>
      <c r="M179" s="146" t="s">
        <v>1266</v>
      </c>
      <c r="O179" s="168" t="str">
        <f t="shared" si="83"/>
        <v>NST-CB15</v>
      </c>
      <c r="P179" s="49" t="s">
        <v>1245</v>
      </c>
      <c r="Q179" s="49" t="s">
        <v>1331</v>
      </c>
      <c r="R179" s="386"/>
      <c r="S179" s="43">
        <v>11</v>
      </c>
      <c r="T179" s="146" t="s">
        <v>1266</v>
      </c>
      <c r="U179" s="146" t="s">
        <v>1266</v>
      </c>
      <c r="V179" s="49"/>
    </row>
    <row r="180" spans="2:22" x14ac:dyDescent="0.25">
      <c r="B180" s="124" t="s">
        <v>1768</v>
      </c>
      <c r="C180" s="168" t="s">
        <v>2810</v>
      </c>
      <c r="D180" s="119">
        <f t="shared" si="78"/>
        <v>11</v>
      </c>
      <c r="E180" s="370">
        <f t="array" ref="E180">IF(U180="YES",IF(T180="YES",MIN(IF(TIM[Load Capability Reference]=CONCATENATE(P180,Q180,S180,R180),TIM[Lowest A-PTX])),MIN(IF(TIM[Load Capability Reference]=CONCATENATE(P180,Q180,S180,R180),IF(TIM[Equipment ID]&lt;&gt;O180,TIM[Lowest A-PTX])))),IF(T180="YES",MIN(IF(TIM[Load Capability Reference]=CONCATENATE(P180,Q180,S180,R180),TIM[Lowest A-No PTX])),MIN(IF(TIM[Load Capability Reference]=CONCATENATE(P180,Q180,S180,R180),IF(TIM[Equipment ID]&lt;&gt;O180,TIM[Lowest A-No PTX])))))</f>
        <v>209.91599999999994</v>
      </c>
      <c r="F180" s="119">
        <f>IFERROR(IFERROR(VLOOKUP(CONCATENATE(P180,Q180,O180,S180,"Protection"),TWZ[[OC Protection Reference]:[Forward A]],23,0),VLOOKUP(O180,AEL_Protection_Data[],12,0)),"N/A")</f>
        <v>304</v>
      </c>
      <c r="G180" s="119">
        <f t="shared" si="79"/>
        <v>165</v>
      </c>
      <c r="H180" s="29">
        <f t="shared" si="80"/>
        <v>3.1436722157375119</v>
      </c>
      <c r="I180" s="119">
        <f t="shared" si="81"/>
        <v>185</v>
      </c>
      <c r="J180" s="29">
        <f t="shared" si="82"/>
        <v>3.5247233934026649</v>
      </c>
      <c r="K180" s="6" t="str">
        <f>IF(U180="Yes",UPPER(IF(ISNUMBER(SEARCH("winding",VLOOKUP(CONCATENATE(P180,Q180,S180,E180),TIM[[Limiting Equipment Reference-PTX]:[Summ Equipment]],7,0))),"Power Transformer Rating at "&amp;ROUND(E180*S180*SQRT(3)/1000,2)&amp;" MVA",VLOOKUP(CONCATENATE(P180,Q180,S180,E180),TIM[[Limiting Equipment Reference-No PTX]:[Summ Equipment]],8,0))),UPPER(VLOOKUP(CONCATENATE(P180,Q180,S180,E180),TIM[[Limiting Equipment Reference-No PTX]:[Summ Equipment]],8,0)))</f>
        <v>CABLE-3C 185MM² AL PILC SWAS</v>
      </c>
      <c r="L180" s="146" t="s">
        <v>1267</v>
      </c>
      <c r="M180" s="146" t="s">
        <v>1266</v>
      </c>
      <c r="O180" s="168" t="str">
        <f t="shared" si="83"/>
        <v>NST-CB16</v>
      </c>
      <c r="P180" s="49" t="s">
        <v>1276</v>
      </c>
      <c r="Q180" s="49" t="s">
        <v>198</v>
      </c>
      <c r="R180" s="386"/>
      <c r="S180" s="43">
        <v>11</v>
      </c>
      <c r="T180" s="146" t="s">
        <v>1266</v>
      </c>
      <c r="U180" s="146" t="s">
        <v>1266</v>
      </c>
      <c r="V180" s="49"/>
    </row>
    <row r="181" spans="2:22" x14ac:dyDescent="0.25">
      <c r="B181" s="124" t="s">
        <v>1770</v>
      </c>
      <c r="C181" s="168" t="s">
        <v>2811</v>
      </c>
      <c r="D181" s="119">
        <f t="shared" si="78"/>
        <v>11</v>
      </c>
      <c r="E181" s="370">
        <f t="array" ref="E181">IF(U181="YES",IF(T181="YES",MIN(IF(TIM[Load Capability Reference]=CONCATENATE(P181,Q181,S181,R181),TIM[Lowest A-PTX])),MIN(IF(TIM[Load Capability Reference]=CONCATENATE(P181,Q181,S181,R181),IF(TIM[Equipment ID]&lt;&gt;O181,TIM[Lowest A-PTX])))),IF(T181="YES",MIN(IF(TIM[Load Capability Reference]=CONCATENATE(P181,Q181,S181,R181),TIM[Lowest A-No PTX])),MIN(IF(TIM[Load Capability Reference]=CONCATENATE(P181,Q181,S181,R181),IF(TIM[Equipment ID]&lt;&gt;O181,TIM[Lowest A-No PTX])))))</f>
        <v>135.83135999999999</v>
      </c>
      <c r="F181" s="119">
        <f>IFERROR(IFERROR(VLOOKUP(CONCATENATE(P181,Q181,O181,S181,"Protection"),TWZ[[OC Protection Reference]:[Forward A]],23,0),VLOOKUP(O181,AEL_Protection_Data[],12,0)),"N/A")</f>
        <v>200</v>
      </c>
      <c r="G181" s="119">
        <f t="shared" si="79"/>
        <v>105</v>
      </c>
      <c r="H181" s="29">
        <f t="shared" si="80"/>
        <v>2.0005186827420531</v>
      </c>
      <c r="I181" s="119">
        <f t="shared" si="81"/>
        <v>120</v>
      </c>
      <c r="J181" s="29">
        <f t="shared" si="82"/>
        <v>2.2863070659909179</v>
      </c>
      <c r="K181" s="6" t="str">
        <f>IF(U181="Yes",UPPER(IF(ISNUMBER(SEARCH("winding",VLOOKUP(CONCATENATE(P181,Q181,S181,E181),TIM[[Limiting Equipment Reference-PTX]:[Summ Equipment]],7,0))),"Power Transformer Rating at "&amp;ROUND(E181*S181*SQRT(3)/1000,2)&amp;" MVA",VLOOKUP(CONCATENATE(P181,Q181,S181,E181),TIM[[Limiting Equipment Reference-No PTX]:[Summ Equipment]],8,0))),UPPER(VLOOKUP(CONCATENATE(P181,Q181,S181,E181),TIM[[Limiting Equipment Reference-No PTX]:[Summ Equipment]],8,0)))</f>
        <v>CABLE-3C 0.075IN² CU PILC STAS</v>
      </c>
      <c r="L181" s="146" t="s">
        <v>1267</v>
      </c>
      <c r="M181" s="146" t="s">
        <v>1266</v>
      </c>
      <c r="O181" s="168" t="str">
        <f t="shared" si="83"/>
        <v>NST-CB17</v>
      </c>
      <c r="P181" s="49" t="s">
        <v>1276</v>
      </c>
      <c r="Q181" s="49" t="s">
        <v>200</v>
      </c>
      <c r="R181" s="386"/>
      <c r="S181" s="43">
        <v>11</v>
      </c>
      <c r="T181" s="146" t="s">
        <v>1266</v>
      </c>
      <c r="U181" s="146" t="s">
        <v>1266</v>
      </c>
      <c r="V181" s="49"/>
    </row>
    <row r="182" spans="2:22" x14ac:dyDescent="0.25">
      <c r="B182" s="124" t="s">
        <v>1772</v>
      </c>
      <c r="C182" s="168" t="s">
        <v>2812</v>
      </c>
      <c r="D182" s="119">
        <f t="shared" si="78"/>
        <v>11</v>
      </c>
      <c r="E182" s="370">
        <f t="array" ref="E182">IF(U182="YES",IF(T182="YES",MIN(IF(TIM[Load Capability Reference]=CONCATENATE(P182,Q182,S182,R182),TIM[Lowest A-PTX])),MIN(IF(TIM[Load Capability Reference]=CONCATENATE(P182,Q182,S182,R182),IF(TIM[Equipment ID]&lt;&gt;O182,TIM[Lowest A-PTX])))),IF(T182="YES",MIN(IF(TIM[Load Capability Reference]=CONCATENATE(P182,Q182,S182,R182),TIM[Lowest A-No PTX])),MIN(IF(TIM[Load Capability Reference]=CONCATENATE(P182,Q182,S182,R182),IF(TIM[Equipment ID]&lt;&gt;O182,TIM[Lowest A-No PTX])))))</f>
        <v>273.32640000000004</v>
      </c>
      <c r="F182" s="119">
        <f>IFERROR(IFERROR(VLOOKUP(CONCATENATE(P182,Q182,O182,S182,"Protection"),TWZ[[OC Protection Reference]:[Forward A]],23,0),VLOOKUP(O182,AEL_Protection_Data[],12,0)),"N/A")</f>
        <v>304</v>
      </c>
      <c r="G182" s="119">
        <f t="shared" si="79"/>
        <v>215</v>
      </c>
      <c r="H182" s="29">
        <f t="shared" si="80"/>
        <v>4.0963001599003945</v>
      </c>
      <c r="I182" s="119">
        <f t="shared" si="81"/>
        <v>245</v>
      </c>
      <c r="J182" s="29">
        <f t="shared" si="82"/>
        <v>4.6678769263981241</v>
      </c>
      <c r="K182" s="6" t="str">
        <f>IF(U182="Yes",UPPER(IF(ISNUMBER(SEARCH("winding",VLOOKUP(CONCATENATE(P182,Q182,S182,E182),TIM[[Limiting Equipment Reference-PTX]:[Summ Equipment]],7,0))),"Power Transformer Rating at "&amp;ROUND(E182*S182*SQRT(3)/1000,2)&amp;" MVA",VLOOKUP(CONCATENATE(P182,Q182,S182,E182),TIM[[Limiting Equipment Reference-No PTX]:[Summ Equipment]],8,0))),UPPER(VLOOKUP(CONCATENATE(P182,Q182,S182,E182),TIM[[Limiting Equipment Reference-No PTX]:[Summ Equipment]],8,0)))</f>
        <v>CABLE-3C 300MM² AL XLPE CWS MDPE</v>
      </c>
      <c r="L182" s="146" t="s">
        <v>1267</v>
      </c>
      <c r="M182" s="146" t="s">
        <v>1266</v>
      </c>
      <c r="O182" s="168" t="str">
        <f t="shared" si="83"/>
        <v>NST-CB18</v>
      </c>
      <c r="P182" s="49" t="s">
        <v>1276</v>
      </c>
      <c r="Q182" s="49" t="s">
        <v>201</v>
      </c>
      <c r="R182" s="386"/>
      <c r="S182" s="43">
        <v>11</v>
      </c>
      <c r="T182" s="146" t="s">
        <v>1266</v>
      </c>
      <c r="U182" s="146" t="s">
        <v>1266</v>
      </c>
      <c r="V182" s="49"/>
    </row>
    <row r="183" spans="2:22" x14ac:dyDescent="0.25">
      <c r="B183" s="124" t="s">
        <v>2464</v>
      </c>
      <c r="C183" s="168" t="s">
        <v>2506</v>
      </c>
      <c r="D183" s="119">
        <f t="shared" si="78"/>
        <v>11</v>
      </c>
      <c r="E183" s="370">
        <v>2500</v>
      </c>
      <c r="F183" s="119">
        <v>1200</v>
      </c>
      <c r="G183" s="119">
        <f t="shared" si="79"/>
        <v>960</v>
      </c>
      <c r="H183" s="29">
        <f t="shared" si="80"/>
        <v>18.290456527927343</v>
      </c>
      <c r="I183" s="119">
        <f t="shared" si="81"/>
        <v>1080</v>
      </c>
      <c r="J183" s="29">
        <f t="shared" si="82"/>
        <v>20.576763593918262</v>
      </c>
      <c r="K183" s="6" t="s">
        <v>2797</v>
      </c>
      <c r="L183" s="146" t="s">
        <v>1267</v>
      </c>
      <c r="M183" s="146" t="s">
        <v>1266</v>
      </c>
      <c r="O183" s="168" t="str">
        <f t="shared" si="83"/>
        <v>NST-CB31</v>
      </c>
      <c r="P183" s="49" t="s">
        <v>1276</v>
      </c>
      <c r="Q183" s="49"/>
      <c r="R183" s="386"/>
      <c r="S183" s="43">
        <v>11</v>
      </c>
      <c r="T183" s="146" t="s">
        <v>1266</v>
      </c>
      <c r="U183" s="146" t="s">
        <v>1266</v>
      </c>
      <c r="V183" s="49" t="s">
        <v>2822</v>
      </c>
    </row>
    <row r="184" spans="2:22" x14ac:dyDescent="0.25">
      <c r="B184" s="124" t="s">
        <v>373</v>
      </c>
      <c r="C184" s="168" t="s">
        <v>2507</v>
      </c>
      <c r="D184" s="119">
        <f t="shared" si="78"/>
        <v>11</v>
      </c>
      <c r="E184" s="370">
        <v>2500</v>
      </c>
      <c r="F184" s="119">
        <v>1200</v>
      </c>
      <c r="G184" s="119">
        <f t="shared" si="79"/>
        <v>960</v>
      </c>
      <c r="H184" s="29">
        <f t="shared" si="80"/>
        <v>18.290456527927343</v>
      </c>
      <c r="I184" s="119">
        <f t="shared" si="81"/>
        <v>1080</v>
      </c>
      <c r="J184" s="29">
        <f t="shared" si="82"/>
        <v>20.576763593918262</v>
      </c>
      <c r="K184" s="6" t="s">
        <v>2798</v>
      </c>
      <c r="L184" s="146" t="s">
        <v>1267</v>
      </c>
      <c r="M184" s="146" t="s">
        <v>1266</v>
      </c>
      <c r="O184" s="168" t="str">
        <f t="shared" si="83"/>
        <v>NST-CB32</v>
      </c>
      <c r="P184" s="49" t="s">
        <v>1276</v>
      </c>
      <c r="Q184" s="49"/>
      <c r="R184" s="386"/>
      <c r="S184" s="43">
        <v>11</v>
      </c>
      <c r="T184" s="146" t="s">
        <v>1266</v>
      </c>
      <c r="U184" s="146" t="s">
        <v>1266</v>
      </c>
      <c r="V184" s="49" t="s">
        <v>2822</v>
      </c>
    </row>
    <row r="185" spans="2:22" x14ac:dyDescent="0.25">
      <c r="B185" s="124" t="s">
        <v>587</v>
      </c>
      <c r="C185" s="168" t="s">
        <v>2813</v>
      </c>
      <c r="D185" s="119">
        <f t="shared" si="78"/>
        <v>11</v>
      </c>
      <c r="E185" s="370">
        <f t="array" ref="E185">IF(U185="YES",IF(T185="YES",MIN(IF(TIM[Load Capability Reference]=CONCATENATE(P185,Q185,S185,R185),TIM[Lowest A-PTX])),MIN(IF(TIM[Load Capability Reference]=CONCATENATE(P185,Q185,S185,R185),IF(TIM[Equipment ID]&lt;&gt;O185,TIM[Lowest A-PTX])))),IF(T185="YES",MIN(IF(TIM[Load Capability Reference]=CONCATENATE(P185,Q185,S185,R185),TIM[Lowest A-No PTX])),MIN(IF(TIM[Load Capability Reference]=CONCATENATE(P185,Q185,S185,R185),IF(TIM[Equipment ID]&lt;&gt;O185,TIM[Lowest A-No PTX])))))</f>
        <v>806.26499999999987</v>
      </c>
      <c r="F185" s="119">
        <f>IFERROR(IFERROR(VLOOKUP(CONCATENATE(P185,Q185,O185,S185,"Protection"),TWZ[[OC Protection Reference]:[Forward A]],23,0),VLOOKUP(O185,AEL_Protection_Data[],12,0)),"N/A")</f>
        <v>1188</v>
      </c>
      <c r="G185" s="119">
        <f t="shared" si="79"/>
        <v>645</v>
      </c>
      <c r="H185" s="29">
        <f t="shared" si="80"/>
        <v>12.288900479701184</v>
      </c>
      <c r="I185" s="119">
        <f t="shared" si="81"/>
        <v>725</v>
      </c>
      <c r="J185" s="29">
        <f t="shared" si="82"/>
        <v>13.813105190361796</v>
      </c>
      <c r="K185" s="6" t="str">
        <f>IF(U185="Yes",UPPER(IF(ISNUMBER(SEARCH("winding",VLOOKUP(CONCATENATE(P185,Q185,S185,E185),TIM[[Limiting Equipment Reference-PTX]:[Summ Equipment]],7,0))),"Power Transformer Rating at "&amp;ROUND(E185*S185*SQRT(3)/1000,2)&amp;" MVA",VLOOKUP(CONCATENATE(P185,Q185,S185,E185),TIM[[Limiting Equipment Reference-No PTX]:[Summ Equipment]],8,0))),UPPER(VLOOKUP(CONCATENATE(P185,Q185,S185,E185),TIM[[Limiting Equipment Reference-No PTX]:[Summ Equipment]],8,0)))</f>
        <v>CABLE-3/1C 1200MM² AL XLPE CWS MDPE</v>
      </c>
      <c r="L185" s="146" t="s">
        <v>1267</v>
      </c>
      <c r="M185" s="146" t="s">
        <v>1266</v>
      </c>
      <c r="O185" s="168" t="str">
        <f t="shared" si="83"/>
        <v>NST-CB35</v>
      </c>
      <c r="P185" s="49" t="s">
        <v>1245</v>
      </c>
      <c r="Q185" s="49" t="s">
        <v>1317</v>
      </c>
      <c r="R185" s="386"/>
      <c r="S185" s="43">
        <v>11</v>
      </c>
      <c r="T185" s="146" t="s">
        <v>1266</v>
      </c>
      <c r="U185" s="146" t="s">
        <v>1266</v>
      </c>
      <c r="V185" s="49"/>
    </row>
    <row r="186" spans="2:22" ht="15.75" thickBot="1" x14ac:dyDescent="0.3">
      <c r="B186" s="401" t="s">
        <v>588</v>
      </c>
      <c r="C186" s="375" t="s">
        <v>2816</v>
      </c>
      <c r="D186" s="377">
        <f t="shared" si="78"/>
        <v>11</v>
      </c>
      <c r="E186" s="384">
        <f t="array" ref="E186">IF(U186="YES",IF(T186="YES",MIN(IF(TIM[Load Capability Reference]=CONCATENATE(P186,Q186,S186,R186),TIM[Lowest A-PTX])),MIN(IF(TIM[Load Capability Reference]=CONCATENATE(P186,Q186,S186,R186),IF(TIM[Equipment ID]&lt;&gt;O186,TIM[Lowest A-PTX])))),IF(T186="YES",MIN(IF(TIM[Load Capability Reference]=CONCATENATE(P186,Q186,S186,R186),TIM[Lowest A-No PTX])),MIN(IF(TIM[Load Capability Reference]=CONCATENATE(P186,Q186,S186,R186),IF(TIM[Equipment ID]&lt;&gt;O186,TIM[Lowest A-No PTX])))))</f>
        <v>806.26499999999987</v>
      </c>
      <c r="F186" s="377">
        <f>IFERROR(IFERROR(VLOOKUP(CONCATENATE(P186,Q186,O186,S186,"Protection"),TWZ[[OC Protection Reference]:[Forward A]],23,0),VLOOKUP(O186,AEL_Protection_Data[],12,0)),"N/A")</f>
        <v>1188</v>
      </c>
      <c r="G186" s="377">
        <f t="shared" si="79"/>
        <v>645</v>
      </c>
      <c r="H186" s="185">
        <f t="shared" si="80"/>
        <v>12.288900479701184</v>
      </c>
      <c r="I186" s="377">
        <f t="shared" si="81"/>
        <v>725</v>
      </c>
      <c r="J186" s="185">
        <f t="shared" si="82"/>
        <v>13.813105190361796</v>
      </c>
      <c r="K186" s="191" t="str">
        <f>IF(U186="Yes",UPPER(IF(ISNUMBER(SEARCH("winding",VLOOKUP(CONCATENATE(P186,Q186,S186,E186),TIM[[Limiting Equipment Reference-PTX]:[Summ Equipment]],7,0))),"Power Transformer Rating at "&amp;ROUND(E186*S186*SQRT(3)/1000,2)&amp;" MVA",VLOOKUP(CONCATENATE(P186,Q186,S186,E186),TIM[[Limiting Equipment Reference-No PTX]:[Summ Equipment]],8,0))),UPPER(VLOOKUP(CONCATENATE(P186,Q186,S186,E186),TIM[[Limiting Equipment Reference-No PTX]:[Summ Equipment]],8,0)))</f>
        <v>CABLE-3/1C 1200MM² AL XLPE CWS MDPE</v>
      </c>
      <c r="L186" s="379" t="s">
        <v>1267</v>
      </c>
      <c r="M186" s="379" t="s">
        <v>1266</v>
      </c>
      <c r="O186" s="375" t="str">
        <f t="shared" si="83"/>
        <v>NST-CB36</v>
      </c>
      <c r="P186" s="374" t="s">
        <v>1245</v>
      </c>
      <c r="Q186" s="374" t="s">
        <v>1324</v>
      </c>
      <c r="R186" s="387"/>
      <c r="S186" s="175">
        <v>11</v>
      </c>
      <c r="T186" s="146" t="s">
        <v>1266</v>
      </c>
      <c r="U186" s="379" t="s">
        <v>1266</v>
      </c>
      <c r="V186" s="374"/>
    </row>
    <row r="187" spans="2:22" ht="15.75" thickBot="1" x14ac:dyDescent="0.3"/>
    <row r="188" spans="2:22" ht="26.25" thickBot="1" x14ac:dyDescent="0.3">
      <c r="B188" s="551" t="s">
        <v>2715</v>
      </c>
      <c r="C188" s="552"/>
      <c r="D188" s="552"/>
      <c r="E188" s="552"/>
      <c r="F188" s="552"/>
      <c r="G188" s="552"/>
      <c r="H188" s="552"/>
      <c r="I188" s="552"/>
      <c r="J188" s="552"/>
      <c r="K188" s="552"/>
      <c r="L188" s="552"/>
      <c r="M188" s="553"/>
      <c r="O188" s="551" t="s">
        <v>2391</v>
      </c>
      <c r="P188" s="552"/>
      <c r="Q188" s="552"/>
      <c r="R188" s="552"/>
      <c r="S188" s="552"/>
      <c r="T188" s="552"/>
      <c r="U188" s="552"/>
      <c r="V188" s="553"/>
    </row>
    <row r="189" spans="2:22" ht="15.75" customHeight="1" thickBot="1" x14ac:dyDescent="0.3">
      <c r="B189" s="571" t="str">
        <f t="shared" ref="B189:G189" si="84">B6</f>
        <v>CB ID</v>
      </c>
      <c r="C189" s="545" t="str">
        <f t="shared" si="84"/>
        <v>DESIGNATION</v>
      </c>
      <c r="D189" s="382" t="str">
        <f t="shared" si="84"/>
        <v>Rated</v>
      </c>
      <c r="E189" s="572" t="str">
        <f t="shared" si="84"/>
        <v>LOAD
CAPABILITY</v>
      </c>
      <c r="F189" s="572" t="str">
        <f t="shared" si="84"/>
        <v>OC
PICKUP</v>
      </c>
      <c r="G189" s="559" t="str">
        <f t="shared" si="84"/>
        <v>SCADA ALARM</v>
      </c>
      <c r="H189" s="560"/>
      <c r="I189" s="560"/>
      <c r="J189" s="561"/>
      <c r="K189" s="574" t="str">
        <f>K6</f>
        <v>LIMITING EQUIPMENT</v>
      </c>
      <c r="L189" s="575" t="str">
        <f>L6</f>
        <v>RECLOSING</v>
      </c>
      <c r="M189" s="576"/>
      <c r="N189" s="412"/>
      <c r="O189" s="566" t="str">
        <f t="shared" ref="O189:V189" si="85">O6</f>
        <v>OC Pick up
Reference ID</v>
      </c>
      <c r="P189" s="557" t="str">
        <f t="shared" si="85"/>
        <v>Supply Level</v>
      </c>
      <c r="Q189" s="566" t="str">
        <f t="shared" si="85"/>
        <v>Station/Feeder</v>
      </c>
      <c r="R189" s="567" t="str">
        <f t="shared" si="85"/>
        <v>Refered to PTX</v>
      </c>
      <c r="S189" s="569" t="str">
        <f t="shared" si="85"/>
        <v>Voltage</v>
      </c>
      <c r="T189" s="539" t="str">
        <f t="shared" si="85"/>
        <v>Include
CB</v>
      </c>
      <c r="U189" s="539" t="str">
        <f t="shared" si="85"/>
        <v>Include
PTX</v>
      </c>
      <c r="V189" s="557" t="str">
        <f t="shared" si="85"/>
        <v>Notes</v>
      </c>
    </row>
    <row r="190" spans="2:22" ht="15.75" thickBot="1" x14ac:dyDescent="0.3">
      <c r="B190" s="557"/>
      <c r="C190" s="540"/>
      <c r="D190" s="362" t="str">
        <f>D7</f>
        <v>Voltage</v>
      </c>
      <c r="E190" s="573"/>
      <c r="F190" s="573"/>
      <c r="G190" s="544" t="str">
        <f>G7</f>
        <v>Pre-Emergency</v>
      </c>
      <c r="H190" s="544"/>
      <c r="I190" s="544" t="str">
        <f>I7</f>
        <v>Emergency</v>
      </c>
      <c r="J190" s="544"/>
      <c r="K190" s="540"/>
      <c r="L190" s="545" t="str">
        <f>L7</f>
        <v>AVAILABLE</v>
      </c>
      <c r="M190" s="545" t="str">
        <f>M7</f>
        <v>UTILISED</v>
      </c>
      <c r="N190" s="412"/>
      <c r="O190" s="557"/>
      <c r="P190" s="557"/>
      <c r="Q190" s="557"/>
      <c r="R190" s="567"/>
      <c r="S190" s="569"/>
      <c r="T190" s="540"/>
      <c r="U190" s="540"/>
      <c r="V190" s="557"/>
    </row>
    <row r="191" spans="2:22" ht="15.75" thickBot="1" x14ac:dyDescent="0.3">
      <c r="B191" s="558"/>
      <c r="C191" s="541"/>
      <c r="D191" s="345" t="str">
        <f>D8</f>
        <v>(kV)</v>
      </c>
      <c r="E191" s="345" t="str">
        <f>E8</f>
        <v>(A)</v>
      </c>
      <c r="F191" s="345" t="str">
        <f>F8</f>
        <v>(A)</v>
      </c>
      <c r="G191" s="406" t="str">
        <f>G8</f>
        <v>(A)</v>
      </c>
      <c r="H191" s="407" t="str">
        <f>H8</f>
        <v>(MVA)</v>
      </c>
      <c r="I191" s="406" t="str">
        <f>I8</f>
        <v>(A)</v>
      </c>
      <c r="J191" s="407" t="str">
        <f>J8</f>
        <v>(MVA)</v>
      </c>
      <c r="K191" s="541"/>
      <c r="L191" s="541"/>
      <c r="M191" s="541"/>
      <c r="N191" s="412"/>
      <c r="O191" s="558"/>
      <c r="P191" s="558"/>
      <c r="Q191" s="558"/>
      <c r="R191" s="568"/>
      <c r="S191" s="570"/>
      <c r="T191" s="541"/>
      <c r="U191" s="541"/>
      <c r="V191" s="558"/>
    </row>
    <row r="192" spans="2:22" x14ac:dyDescent="0.25">
      <c r="B192" s="204">
        <v>2732</v>
      </c>
      <c r="C192" s="3" t="s">
        <v>2641</v>
      </c>
      <c r="D192" s="61">
        <f t="shared" ref="D192:D195" si="86">ROUNDDOWN(S192,0)</f>
        <v>11</v>
      </c>
      <c r="E192" s="369">
        <f t="array" ref="E192">IF(U192="YES",IF(T192="YES",MIN(IF(TIM[Load Capability Reference]=CONCATENATE(P192,Q192,S192,R192),TIM[Lowest A-PTX])),MIN(IF(TIM[Load Capability Reference]=CONCATENATE(P192,Q192,S192,R192),IF(TIM[Equipment ID]&lt;&gt;O192,TIM[Lowest A-PTX])))),IF(T192="YES",MIN(IF(TIM[Load Capability Reference]=CONCATENATE(P192,Q192,S192,R192),TIM[Lowest A-No PTX])),MIN(IF(TIM[Load Capability Reference]=CONCATENATE(P192,Q192,S192,R192),IF(TIM[Equipment ID]&lt;&gt;O192,TIM[Lowest A-No PTX])))))</f>
        <v>1120.5439999999999</v>
      </c>
      <c r="F192" s="61">
        <f>IFERROR(IFERROR(VLOOKUP(CONCATENATE(P192,Q192,O192,S192,"Protection"),TWZ[[OC Protection Reference]:[Forward A]],23,0),VLOOKUP(O192,AEL_Protection_Data[],12,0)),"N/A")</f>
        <v>1068</v>
      </c>
      <c r="G192" s="61">
        <f t="shared" ref="G192:G193" si="87">IFERROR(FLOOR(MIN(E192:F192)*$D$3,5),"")</f>
        <v>850</v>
      </c>
      <c r="H192" s="5">
        <f t="shared" ref="H192:H193" si="88">G192*S192*SQRT(3)/1000</f>
        <v>16.194675050769</v>
      </c>
      <c r="I192" s="61">
        <f>IFERROR(FLOOR(MIN(E192:F192)*$D$2,5),"")</f>
        <v>960</v>
      </c>
      <c r="J192" s="5">
        <f t="shared" ref="J192:J193" si="89">I192*S192*SQRT(3)/1000</f>
        <v>18.290456527927343</v>
      </c>
      <c r="K192" s="3" t="str">
        <f>IF(U192="Yes",UPPER(IF(ISNUMBER(SEARCH("winding",VLOOKUP(CONCATENATE(P192,Q192,S192,E192),TIM[[Limiting Equipment Reference-PTX]:[Summ Equipment]],7,0))),"Power Transformer Rating at "&amp;ROUND(E192*S192*SQRT(3)/1000,2)&amp;" MVA",VLOOKUP(CONCATENATE(P192,Q192,S192,E192),TIM[[Limiting Equipment Reference-No PTX]:[Summ Equipment]],8,0))),UPPER(VLOOKUP(CONCATENATE(P192,Q192,S192,E192),TIM[[Limiting Equipment Reference-No PTX]:[Summ Equipment]],8,0)))</f>
        <v xml:space="preserve">CABLE-2 X 3/1C 630MM² CU </v>
      </c>
      <c r="L192" s="4" t="s">
        <v>1267</v>
      </c>
      <c r="M192" s="4" t="s">
        <v>1266</v>
      </c>
      <c r="N192" s="398"/>
      <c r="O192" s="3" t="str">
        <f t="shared" ref="O192:O193" si="90">"TIM-CB"&amp;B192</f>
        <v>TIM-CB2732</v>
      </c>
      <c r="P192" s="38" t="s">
        <v>1245</v>
      </c>
      <c r="Q192" s="38" t="s">
        <v>135</v>
      </c>
      <c r="R192" s="389"/>
      <c r="S192" s="139">
        <v>11</v>
      </c>
      <c r="T192" s="4" t="s">
        <v>1266</v>
      </c>
      <c r="U192" s="4" t="s">
        <v>1267</v>
      </c>
      <c r="V192" s="38"/>
    </row>
    <row r="193" spans="2:22" x14ac:dyDescent="0.25">
      <c r="B193" s="124">
        <v>2922</v>
      </c>
      <c r="C193" s="149" t="s">
        <v>2642</v>
      </c>
      <c r="D193" s="119">
        <f t="shared" si="86"/>
        <v>11</v>
      </c>
      <c r="E193" s="370">
        <f t="array" ref="E193">IF(U193="YES",IF(T193="YES",MIN(IF(TIM[Load Capability Reference]=CONCATENATE(P193,Q193,S193,R193),TIM[Lowest A-PTX])),MIN(IF(TIM[Load Capability Reference]=CONCATENATE(P193,Q193,S193,R193),IF(TIM[Equipment ID]&lt;&gt;O193,TIM[Lowest A-PTX])))),IF(T193="YES",MIN(IF(TIM[Load Capability Reference]=CONCATENATE(P193,Q193,S193,R193),TIM[Lowest A-No PTX])),MIN(IF(TIM[Load Capability Reference]=CONCATENATE(P193,Q193,S193,R193),IF(TIM[Equipment ID]&lt;&gt;O193,TIM[Lowest A-No PTX])))))</f>
        <v>1120.5439999999999</v>
      </c>
      <c r="F193" s="119">
        <f>IFERROR(IFERROR(VLOOKUP(CONCATENATE(P193,Q193,O193,S193,"Protection"),TWZ[[OC Protection Reference]:[Forward A]],23,0),VLOOKUP(O193,AEL_Protection_Data[],12,0)),"N/A")</f>
        <v>1068</v>
      </c>
      <c r="G193" s="119">
        <f t="shared" si="87"/>
        <v>850</v>
      </c>
      <c r="H193" s="29">
        <f t="shared" si="88"/>
        <v>16.194675050769</v>
      </c>
      <c r="I193" s="119">
        <f>IFERROR(FLOOR(MIN(E193:F193)*$D$2,5),"")</f>
        <v>960</v>
      </c>
      <c r="J193" s="29">
        <f t="shared" si="89"/>
        <v>18.290456527927343</v>
      </c>
      <c r="K193" s="6" t="str">
        <f>IF(U193="Yes",UPPER(IF(ISNUMBER(SEARCH("winding",VLOOKUP(CONCATENATE(P193,Q193,S193,E193),TIM[[Limiting Equipment Reference-PTX]:[Summ Equipment]],7,0))),"Power Transformer Rating at "&amp;ROUND(E193*S193*SQRT(3)/1000,2)&amp;" MVA",VLOOKUP(CONCATENATE(P193,Q193,S193,E193),TIM[[Limiting Equipment Reference-No PTX]:[Summ Equipment]],8,0))),UPPER(VLOOKUP(CONCATENATE(P193,Q193,S193,E193),TIM[[Limiting Equipment Reference-No PTX]:[Summ Equipment]],8,0)))</f>
        <v xml:space="preserve">CABLE-2 X 3/1C 630MM² CU </v>
      </c>
      <c r="L193" s="146" t="s">
        <v>1267</v>
      </c>
      <c r="M193" s="146" t="s">
        <v>1266</v>
      </c>
      <c r="N193" s="399"/>
      <c r="O193" s="168" t="str">
        <f t="shared" si="90"/>
        <v>TIM-CB2922</v>
      </c>
      <c r="P193" s="49" t="s">
        <v>1245</v>
      </c>
      <c r="Q193" s="49" t="s">
        <v>153</v>
      </c>
      <c r="R193" s="386"/>
      <c r="S193" s="43">
        <v>11</v>
      </c>
      <c r="T193" s="146" t="s">
        <v>1266</v>
      </c>
      <c r="U193" s="146" t="s">
        <v>1267</v>
      </c>
      <c r="V193" s="49"/>
    </row>
    <row r="194" spans="2:22" x14ac:dyDescent="0.25">
      <c r="B194" s="124" t="s">
        <v>1031</v>
      </c>
      <c r="C194" s="6" t="s">
        <v>2639</v>
      </c>
      <c r="D194" s="119">
        <f t="shared" si="86"/>
        <v>33</v>
      </c>
      <c r="E194" s="370">
        <f t="array" ref="E194">IF(U194="YES",IF(T194="YES",MIN(IF(TIM[Load Capability Reference]=CONCATENATE(P194,Q194,S194,R194),TIM[Lowest A-PTX])),MIN(IF(TIM[Load Capability Reference]=CONCATENATE(P194,Q194,S194,R194),IF(TIM[Equipment ID]&lt;&gt;O194,TIM[Lowest A-PTX])))),IF(T194="YES",MIN(IF(TIM[Load Capability Reference]=CONCATENATE(P194,Q194,S194,R194),TIM[Lowest A-No PTX])),MIN(IF(TIM[Load Capability Reference]=CONCATENATE(P194,Q194,S194,R194),IF(TIM[Equipment ID]&lt;&gt;O194,TIM[Lowest A-No PTX])))))</f>
        <v>437.38656756789834</v>
      </c>
      <c r="F194" s="119" t="str">
        <f>IFERROR(IFERROR(VLOOKUP(CONCATENATE(P194,Q194,O194,S194,"Protection"),TWZ[[OC Protection Reference]:[Forward A]],23,0),VLOOKUP(O194,AEL_Protection_Data[],12,0)),"N/A")</f>
        <v>N/A</v>
      </c>
      <c r="G194" s="119" t="s">
        <v>1162</v>
      </c>
      <c r="H194" s="29" t="s">
        <v>1162</v>
      </c>
      <c r="I194" s="119" t="s">
        <v>1162</v>
      </c>
      <c r="J194" s="29" t="s">
        <v>1162</v>
      </c>
      <c r="K194" s="168" t="str">
        <f>IF(U194="Yes",UPPER(IF(ISNUMBER(SEARCH("winding",VLOOKUP(CONCATENATE(P194,Q194,S194,E194),TIM[[Limiting Equipment Reference-PTX]:[Summ Equipment]],7,0))),"Power Transformer Rating at "&amp;ROUND(E194*S194*SQRT(3)/1000,2)&amp;" MVA",VLOOKUP(CONCATENATE(P194,Q194,S194,E194),TIM[[Limiting Equipment Reference-No PTX]:[Summ Equipment]],8,0))),UPPER(VLOOKUP(CONCATENATE(P194,Q194,S194,E194),TIM[[Limiting Equipment Reference-No PTX]:[Summ Equipment]],8,0)))</f>
        <v>POWER TRANSFORMER RATING AT 25 MVA</v>
      </c>
      <c r="L194" s="146" t="s">
        <v>1266</v>
      </c>
      <c r="M194" s="146" t="s">
        <v>1162</v>
      </c>
      <c r="O194" s="168" t="str">
        <f>"TIM-"&amp;B194</f>
        <v>TIM-L406</v>
      </c>
      <c r="P194" s="49" t="s">
        <v>1246</v>
      </c>
      <c r="Q194" s="49" t="s">
        <v>160</v>
      </c>
      <c r="R194" s="390"/>
      <c r="S194" s="32">
        <v>33</v>
      </c>
      <c r="T194" s="146" t="s">
        <v>1266</v>
      </c>
      <c r="U194" s="146" t="s">
        <v>1267</v>
      </c>
      <c r="V194" s="49" t="s">
        <v>2824</v>
      </c>
    </row>
    <row r="195" spans="2:22" x14ac:dyDescent="0.25">
      <c r="B195" s="124" t="s">
        <v>1029</v>
      </c>
      <c r="C195" s="168" t="s">
        <v>2640</v>
      </c>
      <c r="D195" s="119">
        <f t="shared" si="86"/>
        <v>33</v>
      </c>
      <c r="E195" s="370">
        <f t="array" ref="E195">IF(U195="YES",IF(T195="YES",MIN(IF(TIM[Load Capability Reference]=CONCATENATE(P195,Q195,S195,R195),TIM[Lowest A-PTX])),MIN(IF(TIM[Load Capability Reference]=CONCATENATE(P195,Q195,S195,R195),IF(TIM[Equipment ID]&lt;&gt;O195,TIM[Lowest A-PTX])))),IF(T195="YES",MIN(IF(TIM[Load Capability Reference]=CONCATENATE(P195,Q195,S195,R195),TIM[Lowest A-No PTX])),MIN(IF(TIM[Load Capability Reference]=CONCATENATE(P195,Q195,S195,R195),IF(TIM[Equipment ID]&lt;&gt;O195,TIM[Lowest A-No PTX])))))</f>
        <v>437.38656756789834</v>
      </c>
      <c r="F195" s="57" t="str">
        <f>IFERROR(IFERROR(VLOOKUP(CONCATENATE(P195,Q195,O195,S195,"Protection"),TWZ[[OC Protection Reference]:[Forward A]],23,0),VLOOKUP(O195,AEL_Protection_Data[],12,0)),"N/A")</f>
        <v>N/A</v>
      </c>
      <c r="G195" s="57" t="s">
        <v>1162</v>
      </c>
      <c r="H195" s="9" t="s">
        <v>1162</v>
      </c>
      <c r="I195" s="57" t="s">
        <v>1162</v>
      </c>
      <c r="J195" s="29" t="s">
        <v>1162</v>
      </c>
      <c r="K195" s="6" t="str">
        <f>IF(U195="Yes",UPPER(IF(ISNUMBER(SEARCH("winding",VLOOKUP(CONCATENATE(P195,Q195,S195,E195),TIM[[Limiting Equipment Reference-PTX]:[Summ Equipment]],7,0))),"Power Transformer Rating at "&amp;ROUND(E195*S195*SQRT(3)/1000,2)&amp;" MVA",VLOOKUP(CONCATENATE(P195,Q195,S195,E195),TIM[[Limiting Equipment Reference-No PTX]:[Summ Equipment]],8,0))),UPPER(VLOOKUP(CONCATENATE(P195,Q195,S195,E195),TIM[[Limiting Equipment Reference-No PTX]:[Summ Equipment]],8,0)))</f>
        <v>POWER TRANSFORMER RATING AT 25 MVA</v>
      </c>
      <c r="L195" s="146" t="s">
        <v>1266</v>
      </c>
      <c r="M195" s="146" t="s">
        <v>1162</v>
      </c>
      <c r="O195" s="168" t="str">
        <f t="shared" ref="O195:O198" si="91">"TIM-"&amp;B195</f>
        <v>TIM-L405</v>
      </c>
      <c r="P195" s="49" t="s">
        <v>1246</v>
      </c>
      <c r="Q195" s="49" t="s">
        <v>165</v>
      </c>
      <c r="R195" s="386"/>
      <c r="S195" s="43">
        <v>33</v>
      </c>
      <c r="T195" s="146" t="s">
        <v>1266</v>
      </c>
      <c r="U195" s="146" t="s">
        <v>1267</v>
      </c>
      <c r="V195" s="49" t="s">
        <v>2824</v>
      </c>
    </row>
    <row r="196" spans="2:22" x14ac:dyDescent="0.25">
      <c r="B196" s="124" t="s">
        <v>2716</v>
      </c>
      <c r="C196" s="168" t="s">
        <v>2719</v>
      </c>
      <c r="D196" s="119">
        <f>ROUNDDOWN(S196,0)</f>
        <v>33</v>
      </c>
      <c r="E196" s="370">
        <f t="array" ref="E196">IF(U196="YES",IF(T196="YES",MIN(IF(TIM[Load Capability Reference]=CONCATENATE(P196,Q196,S196,R196),TIM[Lowest A-PTX])),MIN(IF(TIM[Load Capability Reference]=CONCATENATE(P196,Q196,S196,R196),IF(TIM[Equipment ID]&lt;&gt;O196,TIM[Lowest A-PTX])))),IF(T196="YES",MIN(IF(TIM[Load Capability Reference]=CONCATENATE(P196,Q196,S196,R196),TIM[Lowest A-No PTX])),MIN(IF(TIM[Load Capability Reference]=CONCATENATE(P196,Q196,S196,R196),IF(TIM[Equipment ID]&lt;&gt;O196,TIM[Lowest A-No PTX])))))</f>
        <v>171.44909600000003</v>
      </c>
      <c r="F196" s="119">
        <v>240</v>
      </c>
      <c r="G196" s="119">
        <f t="shared" ref="G196:G198" si="92">IFERROR(FLOOR(MIN(E196:F196)*$D$3,5),"")</f>
        <v>135</v>
      </c>
      <c r="H196" s="29">
        <f t="shared" ref="H196:H198" si="93">G196*S196*SQRT(3)/1000</f>
        <v>7.7162863477193477</v>
      </c>
      <c r="I196" s="119">
        <f>IFERROR(FLOOR(MIN(E196:F196)*$D$2,5),"")</f>
        <v>150</v>
      </c>
      <c r="J196" s="29">
        <f t="shared" ref="J196:J198" si="94">I196*S196*SQRT(3)/1000</f>
        <v>8.5736514974659421</v>
      </c>
      <c r="K196" s="6" t="str">
        <f>IF(U196="Yes",UPPER(IF(ISNUMBER(SEARCH("winding",VLOOKUP(CONCATENATE(P196,Q196,S196,E196),TIM[[Limiting Equipment Reference-PTX]:[Summ Equipment]],7,0))),"Power Transformer Rating at "&amp;ROUND(E196*S196*SQRT(3)/1000,2)&amp;" MVA",VLOOKUP(CONCATENATE(P196,Q196,S196,E196),TIM[[Limiting Equipment Reference-No PTX]:[Summ Equipment]],8,0))),UPPER(VLOOKUP(CONCATENATE(P196,Q196,S196,E196),TIM[[Limiting Equipment Reference-No PTX]:[Summ Equipment]],8,0)))</f>
        <v>CABLE-3/1C 95MM² AL XLPE PVC SCREENED</v>
      </c>
      <c r="L196" s="146" t="s">
        <v>1266</v>
      </c>
      <c r="M196" s="146" t="s">
        <v>1162</v>
      </c>
      <c r="O196" s="168" t="str">
        <f t="shared" si="91"/>
        <v>TIM-L269</v>
      </c>
      <c r="P196" s="49" t="s">
        <v>1245</v>
      </c>
      <c r="Q196" s="49" t="s">
        <v>169</v>
      </c>
      <c r="R196" s="386"/>
      <c r="S196" s="43">
        <v>33</v>
      </c>
      <c r="T196" s="146" t="s">
        <v>1266</v>
      </c>
      <c r="U196" s="146" t="s">
        <v>1266</v>
      </c>
      <c r="V196" s="49" t="s">
        <v>2825</v>
      </c>
    </row>
    <row r="197" spans="2:22" x14ac:dyDescent="0.25">
      <c r="B197" s="124" t="s">
        <v>2717</v>
      </c>
      <c r="C197" s="168" t="s">
        <v>2720</v>
      </c>
      <c r="D197" s="119">
        <f t="shared" ref="D197:D198" si="95">ROUNDDOWN(S197,0)</f>
        <v>33</v>
      </c>
      <c r="E197" s="370">
        <f t="array" ref="E197">IF(U197="YES",IF(T197="YES",MIN(IF(TIM[Load Capability Reference]=CONCATENATE(P197,Q197,S197,R197),TIM[Lowest A-PTX])),MIN(IF(TIM[Load Capability Reference]=CONCATENATE(P197,Q197,S197,R197),IF(TIM[Equipment ID]&lt;&gt;O197,TIM[Lowest A-PTX])))),IF(T197="YES",MIN(IF(TIM[Load Capability Reference]=CONCATENATE(P197,Q197,S197,R197),TIM[Lowest A-No PTX])),MIN(IF(TIM[Load Capability Reference]=CONCATENATE(P197,Q197,S197,R197),IF(TIM[Equipment ID]&lt;&gt;O197,TIM[Lowest A-No PTX])))))</f>
        <v>196.60000000000002</v>
      </c>
      <c r="F197" s="119">
        <v>240</v>
      </c>
      <c r="G197" s="119">
        <f t="shared" si="92"/>
        <v>155</v>
      </c>
      <c r="H197" s="29">
        <f t="shared" si="93"/>
        <v>8.859439880714806</v>
      </c>
      <c r="I197" s="119">
        <f>IFERROR(FLOOR(MIN(E197:F197)*$D$2,5),"")</f>
        <v>175</v>
      </c>
      <c r="J197" s="29">
        <f t="shared" si="94"/>
        <v>10.002593413710265</v>
      </c>
      <c r="K197" s="6" t="str">
        <f>IF(U197="Yes",UPPER(IF(ISNUMBER(SEARCH("winding",VLOOKUP(CONCATENATE(P197,Q197,S197,E197),TIM[[Limiting Equipment Reference-PTX]:[Summ Equipment]],7,0))),"Power Transformer Rating at "&amp;ROUND(E197*S197*SQRT(3)/1000,2)&amp;" MVA",VLOOKUP(CONCATENATE(P197,Q197,S197,E197),TIM[[Limiting Equipment Reference-No PTX]:[Summ Equipment]],8,0))),UPPER(VLOOKUP(CONCATENATE(P197,Q197,S197,E197),TIM[[Limiting Equipment Reference-No PTX]:[Summ Equipment]],8,0)))</f>
        <v>OH LINE-QUAIL</v>
      </c>
      <c r="L197" s="146" t="s">
        <v>1266</v>
      </c>
      <c r="M197" s="146" t="s">
        <v>1162</v>
      </c>
      <c r="O197" s="168" t="str">
        <f t="shared" si="91"/>
        <v>TIM-L413</v>
      </c>
      <c r="P197" s="49" t="s">
        <v>1245</v>
      </c>
      <c r="Q197" s="49" t="s">
        <v>168</v>
      </c>
      <c r="R197" s="386" t="s">
        <v>378</v>
      </c>
      <c r="S197" s="43">
        <v>33</v>
      </c>
      <c r="T197" s="146" t="s">
        <v>1266</v>
      </c>
      <c r="U197" s="146" t="s">
        <v>1266</v>
      </c>
      <c r="V197" s="49" t="s">
        <v>2825</v>
      </c>
    </row>
    <row r="198" spans="2:22" ht="15.75" thickBot="1" x14ac:dyDescent="0.3">
      <c r="B198" s="401" t="s">
        <v>2718</v>
      </c>
      <c r="C198" s="375" t="s">
        <v>2721</v>
      </c>
      <c r="D198" s="377">
        <f t="shared" si="95"/>
        <v>33</v>
      </c>
      <c r="E198" s="384">
        <f t="array" ref="E198">IF(U198="YES",IF(T198="YES",MIN(IF(TIM[Load Capability Reference]=CONCATENATE(P198,Q198,S198,R198),TIM[Lowest A-PTX])),MIN(IF(TIM[Load Capability Reference]=CONCATENATE(P198,Q198,S198,R198),IF(TIM[Equipment ID]&lt;&gt;O198,TIM[Lowest A-PTX])))),IF(T198="YES",MIN(IF(TIM[Load Capability Reference]=CONCATENATE(P198,Q198,S198,R198),TIM[Lowest A-No PTX])),MIN(IF(TIM[Load Capability Reference]=CONCATENATE(P198,Q198,S198,R198),IF(TIM[Equipment ID]&lt;&gt;O198,TIM[Lowest A-No PTX])))))</f>
        <v>188.62660722014468</v>
      </c>
      <c r="F198" s="377">
        <v>240</v>
      </c>
      <c r="G198" s="377">
        <f t="shared" si="92"/>
        <v>150</v>
      </c>
      <c r="H198" s="185">
        <f t="shared" si="93"/>
        <v>8.5736514974659421</v>
      </c>
      <c r="I198" s="377">
        <f>IFERROR(FLOOR(MIN(E198:F198)*$D$2,5),"")</f>
        <v>165</v>
      </c>
      <c r="J198" s="185">
        <f t="shared" si="94"/>
        <v>9.4310166472125374</v>
      </c>
      <c r="K198" s="191" t="str">
        <f>IF(U198="Yes",UPPER(IF(ISNUMBER(SEARCH("winding",VLOOKUP(CONCATENATE(P198,Q198,S198,E198),TIM[[Limiting Equipment Reference-PTX]:[Summ Equipment]],7,0))),"Power Transformer Rating at "&amp;ROUND(E198*S198*SQRT(3)/1000,2)&amp;" MVA",VLOOKUP(CONCATENATE(P198,Q198,S198,E198),TIM[[Limiting Equipment Reference-No PTX]:[Summ Equipment]],8,0))),UPPER(VLOOKUP(CONCATENATE(P198,Q198,S198,E198),TIM[[Limiting Equipment Reference-No PTX]:[Summ Equipment]],8,0)))</f>
        <v>OH LINE-MINK</v>
      </c>
      <c r="L198" s="379" t="s">
        <v>1266</v>
      </c>
      <c r="M198" s="379" t="s">
        <v>1162</v>
      </c>
      <c r="O198" s="375" t="str">
        <f t="shared" si="91"/>
        <v>TIM-L418</v>
      </c>
      <c r="P198" s="374" t="s">
        <v>1245</v>
      </c>
      <c r="Q198" s="374" t="s">
        <v>168</v>
      </c>
      <c r="R198" s="387" t="s">
        <v>307</v>
      </c>
      <c r="S198" s="175">
        <v>33</v>
      </c>
      <c r="T198" s="379" t="s">
        <v>1266</v>
      </c>
      <c r="U198" s="379" t="s">
        <v>1266</v>
      </c>
      <c r="V198" s="374" t="s">
        <v>2825</v>
      </c>
    </row>
    <row r="199" spans="2:22" ht="15.75" thickBot="1" x14ac:dyDescent="0.3"/>
    <row r="200" spans="2:22" ht="26.25" thickBot="1" x14ac:dyDescent="0.3">
      <c r="B200" s="551" t="s">
        <v>2722</v>
      </c>
      <c r="C200" s="552"/>
      <c r="D200" s="552"/>
      <c r="E200" s="552"/>
      <c r="F200" s="552"/>
      <c r="G200" s="552"/>
      <c r="H200" s="552"/>
      <c r="I200" s="552"/>
      <c r="J200" s="552"/>
      <c r="K200" s="552"/>
      <c r="L200" s="552"/>
      <c r="M200" s="553"/>
      <c r="O200" s="551" t="s">
        <v>2391</v>
      </c>
      <c r="P200" s="552"/>
      <c r="Q200" s="552"/>
      <c r="R200" s="552"/>
      <c r="S200" s="552"/>
      <c r="T200" s="552"/>
      <c r="U200" s="552"/>
      <c r="V200" s="553"/>
    </row>
    <row r="201" spans="2:22" ht="15.75" customHeight="1" thickBot="1" x14ac:dyDescent="0.3">
      <c r="B201" s="571" t="str">
        <f t="shared" ref="B201:G201" si="96">B6</f>
        <v>CB ID</v>
      </c>
      <c r="C201" s="545" t="str">
        <f t="shared" si="96"/>
        <v>DESIGNATION</v>
      </c>
      <c r="D201" s="382" t="str">
        <f t="shared" si="96"/>
        <v>Rated</v>
      </c>
      <c r="E201" s="572" t="str">
        <f t="shared" si="96"/>
        <v>LOAD
CAPABILITY</v>
      </c>
      <c r="F201" s="572" t="str">
        <f t="shared" si="96"/>
        <v>OC
PICKUP</v>
      </c>
      <c r="G201" s="559" t="str">
        <f t="shared" si="96"/>
        <v>SCADA ALARM</v>
      </c>
      <c r="H201" s="560"/>
      <c r="I201" s="560"/>
      <c r="J201" s="561"/>
      <c r="K201" s="574" t="str">
        <f>K6</f>
        <v>LIMITING EQUIPMENT</v>
      </c>
      <c r="L201" s="575" t="str">
        <f>L6</f>
        <v>RECLOSING</v>
      </c>
      <c r="M201" s="576"/>
      <c r="O201" s="566" t="str">
        <f t="shared" ref="O201:V201" si="97">O6</f>
        <v>OC Pick up
Reference ID</v>
      </c>
      <c r="P201" s="557" t="str">
        <f t="shared" si="97"/>
        <v>Supply Level</v>
      </c>
      <c r="Q201" s="566" t="str">
        <f t="shared" si="97"/>
        <v>Station/Feeder</v>
      </c>
      <c r="R201" s="567" t="str">
        <f t="shared" si="97"/>
        <v>Refered to PTX</v>
      </c>
      <c r="S201" s="569" t="str">
        <f t="shared" si="97"/>
        <v>Voltage</v>
      </c>
      <c r="T201" s="539" t="str">
        <f t="shared" si="97"/>
        <v>Include
CB</v>
      </c>
      <c r="U201" s="539" t="str">
        <f t="shared" si="97"/>
        <v>Include
PTX</v>
      </c>
      <c r="V201" s="557" t="str">
        <f t="shared" si="97"/>
        <v>Notes</v>
      </c>
    </row>
    <row r="202" spans="2:22" ht="15.75" thickBot="1" x14ac:dyDescent="0.3">
      <c r="B202" s="557"/>
      <c r="C202" s="540"/>
      <c r="D202" s="362" t="str">
        <f>D7</f>
        <v>Voltage</v>
      </c>
      <c r="E202" s="573"/>
      <c r="F202" s="573"/>
      <c r="G202" s="544" t="str">
        <f>G7</f>
        <v>Pre-Emergency</v>
      </c>
      <c r="H202" s="544"/>
      <c r="I202" s="544" t="str">
        <f>I7</f>
        <v>Emergency</v>
      </c>
      <c r="J202" s="544"/>
      <c r="K202" s="540"/>
      <c r="L202" s="545" t="str">
        <f>L7</f>
        <v>AVAILABLE</v>
      </c>
      <c r="M202" s="545" t="str">
        <f>M7</f>
        <v>UTILISED</v>
      </c>
      <c r="O202" s="557"/>
      <c r="P202" s="557"/>
      <c r="Q202" s="557"/>
      <c r="R202" s="567"/>
      <c r="S202" s="569"/>
      <c r="T202" s="540"/>
      <c r="U202" s="540"/>
      <c r="V202" s="557"/>
    </row>
    <row r="203" spans="2:22" ht="15.75" thickBot="1" x14ac:dyDescent="0.3">
      <c r="B203" s="558"/>
      <c r="C203" s="541"/>
      <c r="D203" s="345" t="str">
        <f>D8</f>
        <v>(kV)</v>
      </c>
      <c r="E203" s="345" t="str">
        <f>E8</f>
        <v>(A)</v>
      </c>
      <c r="F203" s="345" t="str">
        <f>F8</f>
        <v>(A)</v>
      </c>
      <c r="G203" s="406" t="str">
        <f>G8</f>
        <v>(A)</v>
      </c>
      <c r="H203" s="407" t="str">
        <f>H8</f>
        <v>(MVA)</v>
      </c>
      <c r="I203" s="406" t="str">
        <f>I8</f>
        <v>(A)</v>
      </c>
      <c r="J203" s="407" t="str">
        <f>J8</f>
        <v>(MVA)</v>
      </c>
      <c r="K203" s="541"/>
      <c r="L203" s="541"/>
      <c r="M203" s="541"/>
      <c r="O203" s="558"/>
      <c r="P203" s="558"/>
      <c r="Q203" s="558"/>
      <c r="R203" s="568"/>
      <c r="S203" s="570"/>
      <c r="T203" s="541"/>
      <c r="U203" s="541"/>
      <c r="V203" s="558"/>
    </row>
    <row r="204" spans="2:22" x14ac:dyDescent="0.25">
      <c r="B204" s="204">
        <v>2332</v>
      </c>
      <c r="C204" s="3" t="s">
        <v>2726</v>
      </c>
      <c r="D204" s="61">
        <f t="shared" ref="D204:D207" si="98">ROUNDDOWN(S204,0)</f>
        <v>33</v>
      </c>
      <c r="E204" s="369">
        <f t="array" ref="E204">IF(U204="YES",IF(T204="YES",MIN(IF(TIM[Load Capability Reference]=CONCATENATE(P204,Q204,S204,R204),TIM[Lowest A-PTX])),MIN(IF(TIM[Load Capability Reference]=CONCATENATE(P204,Q204,S204,R204),IF(TIM[Equipment ID]&lt;&gt;O204,TIM[Lowest A-PTX])))),IF(T204="YES",MIN(IF(TIM[Load Capability Reference]=CONCATENATE(P204,Q204,S204,R204),TIM[Lowest A-No PTX])),MIN(IF(TIM[Load Capability Reference]=CONCATENATE(P204,Q204,S204,R204),IF(TIM[Equipment ID]&lt;&gt;O204,TIM[Lowest A-No PTX])))))</f>
        <v>196.60000000000002</v>
      </c>
      <c r="F204" s="61">
        <f>IFERROR(IFERROR(VLOOKUP(CONCATENATE(P204,Q204,O204,S204,"Protection"),TWZ[[OC Protection Reference]:[Forward A]],23,0),VLOOKUP(O204,AEL_Protection_Data[],12,0)),"N/A")</f>
        <v>320</v>
      </c>
      <c r="G204" s="61">
        <f t="shared" ref="G204:G217" si="99">IFERROR(FLOOR(MIN(E204:F204)*$D$3,5),"")</f>
        <v>155</v>
      </c>
      <c r="H204" s="5">
        <f t="shared" ref="H204:H217" si="100">G204*S204*SQRT(3)/1000</f>
        <v>8.859439880714806</v>
      </c>
      <c r="I204" s="61">
        <f t="shared" ref="I204:I217" si="101">IFERROR(FLOOR(MIN(E204:F204)*$D$2,5),"")</f>
        <v>175</v>
      </c>
      <c r="J204" s="5">
        <f t="shared" ref="J204:J217" si="102">I204*S204*SQRT(3)/1000</f>
        <v>10.002593413710265</v>
      </c>
      <c r="K204" s="3" t="str">
        <f>IF(U204="Yes",UPPER(IF(ISNUMBER(SEARCH("winding",VLOOKUP(CONCATENATE(P204,Q204,S204,E204),TIM[[Limiting Equipment Reference-PTX]:[Summ Equipment]],7,0))),"Power Transformer Rating at "&amp;ROUND(E204*S204*SQRT(3)/1000,2)&amp;" MVA",VLOOKUP(CONCATENATE(P204,Q204,S204,E204),TIM[[Limiting Equipment Reference-No PTX]:[Summ Equipment]],8,0))),UPPER(VLOOKUP(CONCATENATE(P204,Q204,S204,E204),TIM[[Limiting Equipment Reference-No PTX]:[Summ Equipment]],8,0)))</f>
        <v>OH LINE-QUAIL</v>
      </c>
      <c r="L204" s="4" t="s">
        <v>1266</v>
      </c>
      <c r="M204" s="4" t="s">
        <v>1162</v>
      </c>
      <c r="N204" s="398"/>
      <c r="O204" s="3" t="str">
        <f>"PAR-CB"&amp;B204</f>
        <v>PAR-CB2332</v>
      </c>
      <c r="P204" s="38" t="s">
        <v>1245</v>
      </c>
      <c r="Q204" s="38" t="s">
        <v>168</v>
      </c>
      <c r="R204" s="389" t="s">
        <v>378</v>
      </c>
      <c r="S204" s="139">
        <v>33</v>
      </c>
      <c r="T204" s="4" t="s">
        <v>1266</v>
      </c>
      <c r="U204" s="4" t="s">
        <v>1266</v>
      </c>
      <c r="V204" s="38"/>
    </row>
    <row r="205" spans="2:22" x14ac:dyDescent="0.25">
      <c r="B205" s="124">
        <v>2342</v>
      </c>
      <c r="C205" s="168" t="s">
        <v>2639</v>
      </c>
      <c r="D205" s="119">
        <f t="shared" si="98"/>
        <v>33</v>
      </c>
      <c r="E205" s="370">
        <f t="array" ref="E205">IF(U205="YES",IF(T205="YES",MIN(IF(TIM[Load Capability Reference]=CONCATENATE(P205,Q205,S205,R205),TIM[Lowest A-PTX])),MIN(IF(TIM[Load Capability Reference]=CONCATENATE(P205,Q205,S205,R205),IF(TIM[Equipment ID]&lt;&gt;O205,TIM[Lowest A-PTX])))),IF(T205="YES",MIN(IF(TIM[Load Capability Reference]=CONCATENATE(P205,Q205,S205,R205),TIM[Lowest A-No PTX])),MIN(IF(TIM[Load Capability Reference]=CONCATENATE(P205,Q205,S205,R205),IF(TIM[Equipment ID]&lt;&gt;O205,TIM[Lowest A-No PTX])))))</f>
        <v>491.79</v>
      </c>
      <c r="F205" s="119">
        <f>IFERROR(IFERROR(VLOOKUP(CONCATENATE(P205,Q205,O205,S205,"Protection"),TWZ[[OC Protection Reference]:[Forward A]],23,0),VLOOKUP(O205,AEL_Protection_Data[],12,0)),"N/A")</f>
        <v>320</v>
      </c>
      <c r="G205" s="119">
        <f t="shared" si="99"/>
        <v>255</v>
      </c>
      <c r="H205" s="29">
        <f t="shared" si="100"/>
        <v>14.575207545692102</v>
      </c>
      <c r="I205" s="119">
        <f t="shared" si="101"/>
        <v>285</v>
      </c>
      <c r="J205" s="29">
        <f t="shared" si="102"/>
        <v>16.289937845185289</v>
      </c>
      <c r="K205" s="6" t="str">
        <f>IF(U205="Yes",UPPER(IF(ISNUMBER(SEARCH("winding",VLOOKUP(CONCATENATE(P205,Q205,S205,E205),TIM[[Limiting Equipment Reference-PTX]:[Summ Equipment]],7,0))),"Power Transformer Rating at "&amp;ROUND(E205*S205*SQRT(3)/1000,2)&amp;" MVA",VLOOKUP(CONCATENATE(P205,Q205,S205,E205),TIM[[Limiting Equipment Reference-No PTX]:[Summ Equipment]],8,0))),UPPER(VLOOKUP(CONCATENATE(P205,Q205,S205,E205),TIM[[Limiting Equipment Reference-No PTX]:[Summ Equipment]],8,0)))</f>
        <v>CABLE-3/1C 400MM² AL XLPE HDPE SCREENED</v>
      </c>
      <c r="L205" s="146" t="s">
        <v>1266</v>
      </c>
      <c r="M205" s="146" t="s">
        <v>1162</v>
      </c>
      <c r="N205" s="399"/>
      <c r="O205" s="168" t="str">
        <f t="shared" ref="O205:O209" si="103">"PAR-CB"&amp;B205</f>
        <v>PAR-CB2342</v>
      </c>
      <c r="P205" s="49" t="s">
        <v>1246</v>
      </c>
      <c r="Q205" s="49" t="s">
        <v>202</v>
      </c>
      <c r="R205" s="386" t="s">
        <v>378</v>
      </c>
      <c r="S205" s="43">
        <v>33</v>
      </c>
      <c r="T205" s="146" t="s">
        <v>1266</v>
      </c>
      <c r="U205" s="146" t="s">
        <v>1266</v>
      </c>
      <c r="V205" s="49"/>
    </row>
    <row r="206" spans="2:22" x14ac:dyDescent="0.25">
      <c r="B206" s="124">
        <v>2358</v>
      </c>
      <c r="C206" s="168" t="s">
        <v>2727</v>
      </c>
      <c r="D206" s="119">
        <f t="shared" si="98"/>
        <v>33</v>
      </c>
      <c r="E206" s="370">
        <v>400</v>
      </c>
      <c r="F206" s="119">
        <f>IFERROR(IFERROR(VLOOKUP(CONCATENATE(P206,Q206,O206,S206,"Protection"),TWZ[[OC Protection Reference]:[Forward A]],23,0),VLOOKUP(O206,AEL_Protection_Data[],12,0)),"N/A")</f>
        <v>320</v>
      </c>
      <c r="G206" s="119">
        <f t="shared" si="99"/>
        <v>255</v>
      </c>
      <c r="H206" s="29">
        <f t="shared" si="100"/>
        <v>14.575207545692102</v>
      </c>
      <c r="I206" s="119">
        <f t="shared" si="101"/>
        <v>285</v>
      </c>
      <c r="J206" s="29">
        <f t="shared" si="102"/>
        <v>16.289937845185289</v>
      </c>
      <c r="K206" s="6" t="s">
        <v>2723</v>
      </c>
      <c r="L206" s="146" t="s">
        <v>1266</v>
      </c>
      <c r="M206" s="146" t="s">
        <v>1162</v>
      </c>
      <c r="O206" s="168" t="str">
        <f t="shared" si="103"/>
        <v>PAR-CB2358</v>
      </c>
      <c r="P206" s="49" t="s">
        <v>1246</v>
      </c>
      <c r="Q206" s="49" t="s">
        <v>202</v>
      </c>
      <c r="R206" s="390"/>
      <c r="S206" s="32">
        <v>33</v>
      </c>
      <c r="T206" s="146" t="s">
        <v>1266</v>
      </c>
      <c r="U206" s="146" t="s">
        <v>1266</v>
      </c>
      <c r="V206" s="49" t="s">
        <v>2823</v>
      </c>
    </row>
    <row r="207" spans="2:22" x14ac:dyDescent="0.25">
      <c r="B207" s="124">
        <v>2368</v>
      </c>
      <c r="C207" s="168" t="s">
        <v>2728</v>
      </c>
      <c r="D207" s="119">
        <f t="shared" si="98"/>
        <v>33</v>
      </c>
      <c r="E207" s="370">
        <v>400</v>
      </c>
      <c r="F207" s="119">
        <f>IFERROR(IFERROR(VLOOKUP(CONCATENATE(P207,Q207,O207,S207,"Protection"),TWZ[[OC Protection Reference]:[Forward A]],23,0),VLOOKUP(O207,AEL_Protection_Data[],12,0)),"N/A")</f>
        <v>320</v>
      </c>
      <c r="G207" s="119">
        <f t="shared" si="99"/>
        <v>255</v>
      </c>
      <c r="H207" s="29">
        <f t="shared" si="100"/>
        <v>14.575207545692102</v>
      </c>
      <c r="I207" s="119">
        <f t="shared" si="101"/>
        <v>285</v>
      </c>
      <c r="J207" s="29">
        <f t="shared" si="102"/>
        <v>16.289937845185289</v>
      </c>
      <c r="K207" s="6" t="s">
        <v>2724</v>
      </c>
      <c r="L207" s="146" t="s">
        <v>1266</v>
      </c>
      <c r="M207" s="146" t="s">
        <v>1162</v>
      </c>
      <c r="O207" s="168" t="str">
        <f t="shared" si="103"/>
        <v>PAR-CB2368</v>
      </c>
      <c r="P207" s="49" t="s">
        <v>1246</v>
      </c>
      <c r="Q207" s="49" t="s">
        <v>202</v>
      </c>
      <c r="R207" s="386"/>
      <c r="S207" s="43">
        <v>33</v>
      </c>
      <c r="T207" s="146" t="s">
        <v>1266</v>
      </c>
      <c r="U207" s="146" t="s">
        <v>1266</v>
      </c>
      <c r="V207" s="49" t="s">
        <v>2823</v>
      </c>
    </row>
    <row r="208" spans="2:22" x14ac:dyDescent="0.25">
      <c r="B208" s="124">
        <v>2372</v>
      </c>
      <c r="C208" s="168" t="s">
        <v>2640</v>
      </c>
      <c r="D208" s="119">
        <f>ROUNDDOWN(S208,0)</f>
        <v>33</v>
      </c>
      <c r="E208" s="370">
        <f t="array" ref="E208">IF(U208="YES",IF(T208="YES",MIN(IF(TIM[Load Capability Reference]=CONCATENATE(P208,Q208,S208,R208),TIM[Lowest A-PTX])),MIN(IF(TIM[Load Capability Reference]=CONCATENATE(P208,Q208,S208,R208),IF(TIM[Equipment ID]&lt;&gt;O208,TIM[Lowest A-PTX])))),IF(T208="YES",MIN(IF(TIM[Load Capability Reference]=CONCATENATE(P208,Q208,S208,R208),TIM[Lowest A-No PTX])),MIN(IF(TIM[Load Capability Reference]=CONCATENATE(P208,Q208,S208,R208),IF(TIM[Equipment ID]&lt;&gt;O208,TIM[Lowest A-No PTX])))))</f>
        <v>491.79</v>
      </c>
      <c r="F208" s="119">
        <f>IFERROR(IFERROR(VLOOKUP(CONCATENATE(P208,Q208,O208,S208,"Protection"),TWZ[[OC Protection Reference]:[Forward A]],23,0),VLOOKUP(O208,AEL_Protection_Data[],12,0)),"N/A")</f>
        <v>320</v>
      </c>
      <c r="G208" s="119">
        <f t="shared" si="99"/>
        <v>255</v>
      </c>
      <c r="H208" s="29">
        <f t="shared" si="100"/>
        <v>14.575207545692102</v>
      </c>
      <c r="I208" s="119">
        <f t="shared" si="101"/>
        <v>285</v>
      </c>
      <c r="J208" s="29">
        <f t="shared" si="102"/>
        <v>16.289937845185289</v>
      </c>
      <c r="K208" s="6" t="str">
        <f>IF(U208="Yes",UPPER(IF(ISNUMBER(SEARCH("winding",VLOOKUP(CONCATENATE(P208,Q208,S208,E208),TIM[[Limiting Equipment Reference-PTX]:[Summ Equipment]],7,0))),"Power Transformer Rating at "&amp;ROUND(E208*S208*SQRT(3)/1000,2)&amp;" MVA",VLOOKUP(CONCATENATE(P208,Q208,S208,E208),TIM[[Limiting Equipment Reference-No PTX]:[Summ Equipment]],8,0))),UPPER(VLOOKUP(CONCATENATE(P208,Q208,S208,E208),TIM[[Limiting Equipment Reference-No PTX]:[Summ Equipment]],8,0)))</f>
        <v>CABLE-3/1C 400MM² AL XLPE HDPE SCREENED</v>
      </c>
      <c r="L208" s="146" t="s">
        <v>1266</v>
      </c>
      <c r="M208" s="146" t="s">
        <v>1162</v>
      </c>
      <c r="O208" s="168" t="str">
        <f t="shared" si="103"/>
        <v>PAR-CB2372</v>
      </c>
      <c r="P208" s="49" t="s">
        <v>1246</v>
      </c>
      <c r="Q208" s="49" t="s">
        <v>202</v>
      </c>
      <c r="R208" s="386" t="s">
        <v>307</v>
      </c>
      <c r="S208" s="43">
        <v>33</v>
      </c>
      <c r="T208" s="146" t="s">
        <v>1266</v>
      </c>
      <c r="U208" s="146" t="s">
        <v>1266</v>
      </c>
      <c r="V208" s="49"/>
    </row>
    <row r="209" spans="2:22" x14ac:dyDescent="0.25">
      <c r="B209" s="124">
        <v>2382</v>
      </c>
      <c r="C209" s="168" t="s">
        <v>2729</v>
      </c>
      <c r="D209" s="119">
        <f t="shared" ref="D209:D217" si="104">ROUNDDOWN(S209,0)</f>
        <v>33</v>
      </c>
      <c r="E209" s="370">
        <f t="array" ref="E209">IF(U209="YES",IF(T209="YES",MIN(IF(TIM[Load Capability Reference]=CONCATENATE(P209,Q209,S209,R209),TIM[Lowest A-PTX])),MIN(IF(TIM[Load Capability Reference]=CONCATENATE(P209,Q209,S209,R209),IF(TIM[Equipment ID]&lt;&gt;O209,TIM[Lowest A-PTX])))),IF(T209="YES",MIN(IF(TIM[Load Capability Reference]=CONCATENATE(P209,Q209,S209,R209),TIM[Lowest A-No PTX])),MIN(IF(TIM[Load Capability Reference]=CONCATENATE(P209,Q209,S209,R209),IF(TIM[Equipment ID]&lt;&gt;O209,TIM[Lowest A-No PTX])))))</f>
        <v>188.62660722014468</v>
      </c>
      <c r="F209" s="119">
        <f>IFERROR(IFERROR(VLOOKUP(CONCATENATE(P209,Q209,O209,S209,"Protection"),TWZ[[OC Protection Reference]:[Forward A]],23,0),VLOOKUP(O209,AEL_Protection_Data[],12,0)),"N/A")</f>
        <v>320</v>
      </c>
      <c r="G209" s="119">
        <f t="shared" si="99"/>
        <v>150</v>
      </c>
      <c r="H209" s="29">
        <f t="shared" si="100"/>
        <v>8.5736514974659421</v>
      </c>
      <c r="I209" s="119">
        <f t="shared" si="101"/>
        <v>165</v>
      </c>
      <c r="J209" s="29">
        <f t="shared" si="102"/>
        <v>9.4310166472125374</v>
      </c>
      <c r="K209" s="6" t="str">
        <f>IF(U209="Yes",UPPER(IF(ISNUMBER(SEARCH("winding",VLOOKUP(CONCATENATE(P209,Q209,S209,E209),TIM[[Limiting Equipment Reference-PTX]:[Summ Equipment]],7,0))),"Power Transformer Rating at "&amp;ROUND(E209*S209*SQRT(3)/1000,2)&amp;" MVA",VLOOKUP(CONCATENATE(P209,Q209,S209,E209),TIM[[Limiting Equipment Reference-No PTX]:[Summ Equipment]],8,0))),UPPER(VLOOKUP(CONCATENATE(P209,Q209,S209,E209),TIM[[Limiting Equipment Reference-No PTX]:[Summ Equipment]],8,0)))</f>
        <v>OH LINE-MINK</v>
      </c>
      <c r="L209" s="146" t="s">
        <v>1266</v>
      </c>
      <c r="M209" s="146" t="s">
        <v>1162</v>
      </c>
      <c r="O209" s="168" t="str">
        <f t="shared" si="103"/>
        <v>PAR-CB2382</v>
      </c>
      <c r="P209" s="49" t="s">
        <v>1245</v>
      </c>
      <c r="Q209" s="49" t="s">
        <v>168</v>
      </c>
      <c r="R209" s="386" t="s">
        <v>307</v>
      </c>
      <c r="S209" s="43">
        <v>33</v>
      </c>
      <c r="T209" s="146" t="s">
        <v>1266</v>
      </c>
      <c r="U209" s="146" t="s">
        <v>1266</v>
      </c>
      <c r="V209" s="49"/>
    </row>
    <row r="210" spans="2:22" x14ac:dyDescent="0.25">
      <c r="B210" s="124" t="s">
        <v>2464</v>
      </c>
      <c r="C210" s="168" t="s">
        <v>2730</v>
      </c>
      <c r="D210" s="119">
        <f t="shared" si="104"/>
        <v>11</v>
      </c>
      <c r="E210" s="370">
        <v>1250</v>
      </c>
      <c r="F210" s="119">
        <f>IFERROR(IFERROR(VLOOKUP(CONCATENATE(P210,Q210,O210,S210,"Protection"),TWZ[[OC Protection Reference]:[Forward A]],23,0),VLOOKUP(O210,AEL_Protection_Data[],12,0)),"N/A")</f>
        <v>520</v>
      </c>
      <c r="G210" s="119">
        <f t="shared" si="99"/>
        <v>415</v>
      </c>
      <c r="H210" s="29">
        <f t="shared" si="100"/>
        <v>8.0649481752829626</v>
      </c>
      <c r="I210" s="119">
        <f t="shared" si="101"/>
        <v>465</v>
      </c>
      <c r="J210" s="29">
        <f t="shared" si="102"/>
        <v>9.0366286783291034</v>
      </c>
      <c r="K210" s="6" t="s">
        <v>2725</v>
      </c>
      <c r="L210" s="146" t="s">
        <v>1266</v>
      </c>
      <c r="M210" s="146" t="s">
        <v>1162</v>
      </c>
      <c r="O210" s="168" t="str">
        <f>"PAR-"&amp;B210</f>
        <v>PAR-CB31</v>
      </c>
      <c r="P210" s="49" t="s">
        <v>1246</v>
      </c>
      <c r="Q210" s="49" t="s">
        <v>202</v>
      </c>
      <c r="R210" s="386"/>
      <c r="S210" s="43">
        <v>11.22</v>
      </c>
      <c r="T210" s="146" t="s">
        <v>1266</v>
      </c>
      <c r="U210" s="146" t="s">
        <v>1266</v>
      </c>
      <c r="V210" s="49" t="s">
        <v>2823</v>
      </c>
    </row>
    <row r="211" spans="2:22" x14ac:dyDescent="0.25">
      <c r="B211" s="124" t="s">
        <v>587</v>
      </c>
      <c r="C211" s="168" t="s">
        <v>2641</v>
      </c>
      <c r="D211" s="119">
        <f t="shared" si="104"/>
        <v>11</v>
      </c>
      <c r="E211" s="370">
        <f t="array" ref="E211">IF(U211="YES",IF(T211="YES",MIN(IF(TIM[Load Capability Reference]=CONCATENATE(P211,Q211,S211,R211),TIM[Lowest A-PTX])),MIN(IF(TIM[Load Capability Reference]=CONCATENATE(P211,Q211,S211,R211),IF(TIM[Equipment ID]&lt;&gt;O211,TIM[Lowest A-PTX])))),IF(T211="YES",MIN(IF(TIM[Load Capability Reference]=CONCATENATE(P211,Q211,S211,R211),TIM[Lowest A-No PTX])),MIN(IF(TIM[Load Capability Reference]=CONCATENATE(P211,Q211,S211,R211),IF(TIM[Equipment ID]&lt;&gt;O211,TIM[Lowest A-No PTX])))))</f>
        <v>771.85864864923235</v>
      </c>
      <c r="F211" s="119">
        <f>IFERROR(IFERROR(VLOOKUP(CONCATENATE(P211,Q211,O211,S211,"Protection"),TWZ[[OC Protection Reference]:[Forward A]],23,0),VLOOKUP(O211,AEL_Protection_Data[],12,0)),"N/A")</f>
        <v>950</v>
      </c>
      <c r="G211" s="119">
        <f t="shared" si="99"/>
        <v>615</v>
      </c>
      <c r="H211" s="29">
        <f t="shared" si="100"/>
        <v>11.951670187467524</v>
      </c>
      <c r="I211" s="119">
        <f t="shared" si="101"/>
        <v>690</v>
      </c>
      <c r="J211" s="29">
        <f t="shared" si="102"/>
        <v>13.409190942036734</v>
      </c>
      <c r="K211" s="6" t="str">
        <f>IF(U211="Yes",UPPER(IF(ISNUMBER(SEARCH("winding",VLOOKUP(CONCATENATE(P211,Q211,S211,E211),TIM[[Limiting Equipment Reference-PTX]:[Summ Equipment]],7,0))),"Power Transformer Rating at "&amp;ROUND(E211*S211*SQRT(3)/1000,2)&amp;" MVA",VLOOKUP(CONCATENATE(P211,Q211,S211,E211),TIM[[Limiting Equipment Reference-No PTX]:[Summ Equipment]],8,0))),UPPER(VLOOKUP(CONCATENATE(P211,Q211,S211,E211),TIM[[Limiting Equipment Reference-No PTX]:[Summ Equipment]],8,0)))</f>
        <v>POWER TRANSFORMER RATING AT 15 MVA</v>
      </c>
      <c r="L211" s="146" t="s">
        <v>1266</v>
      </c>
      <c r="M211" s="146" t="s">
        <v>1162</v>
      </c>
      <c r="O211" s="168" t="str">
        <f>"PAR-"&amp;B211</f>
        <v>PAR-CB35</v>
      </c>
      <c r="P211" s="49" t="s">
        <v>1246</v>
      </c>
      <c r="Q211" s="49" t="s">
        <v>202</v>
      </c>
      <c r="R211" s="386" t="s">
        <v>378</v>
      </c>
      <c r="S211" s="43">
        <v>11.22</v>
      </c>
      <c r="T211" s="146" t="s">
        <v>1266</v>
      </c>
      <c r="U211" s="146" t="s">
        <v>1267</v>
      </c>
      <c r="V211" s="49"/>
    </row>
    <row r="212" spans="2:22" x14ac:dyDescent="0.25">
      <c r="B212" s="123" t="s">
        <v>588</v>
      </c>
      <c r="C212" s="6" t="s">
        <v>2642</v>
      </c>
      <c r="D212" s="119">
        <f t="shared" si="104"/>
        <v>11</v>
      </c>
      <c r="E212" s="370">
        <f t="array" ref="E212">IF(U212="YES",IF(T212="YES",MIN(IF(TIM[Load Capability Reference]=CONCATENATE(P212,Q212,S212,R212),TIM[Lowest A-PTX])),MIN(IF(TIM[Load Capability Reference]=CONCATENATE(P212,Q212,S212,R212),IF(TIM[Equipment ID]&lt;&gt;O212,TIM[Lowest A-PTX])))),IF(T212="YES",MIN(IF(TIM[Load Capability Reference]=CONCATENATE(P212,Q212,S212,R212),TIM[Lowest A-No PTX])),MIN(IF(TIM[Load Capability Reference]=CONCATENATE(P212,Q212,S212,R212),IF(TIM[Equipment ID]&lt;&gt;O212,TIM[Lowest A-No PTX])))))</f>
        <v>771.85864864923235</v>
      </c>
      <c r="F212" s="119">
        <f>IFERROR(IFERROR(VLOOKUP(CONCATENATE(P212,Q212,O212,S212,"Protection"),TWZ[[OC Protection Reference]:[Forward A]],23,0),VLOOKUP(O212,AEL_Protection_Data[],12,0)),"N/A")</f>
        <v>950</v>
      </c>
      <c r="G212" s="119">
        <f t="shared" si="99"/>
        <v>615</v>
      </c>
      <c r="H212" s="29">
        <f t="shared" si="100"/>
        <v>11.951670187467524</v>
      </c>
      <c r="I212" s="119">
        <f t="shared" si="101"/>
        <v>690</v>
      </c>
      <c r="J212" s="29">
        <f t="shared" si="102"/>
        <v>13.409190942036734</v>
      </c>
      <c r="K212" s="6" t="str">
        <f>IF(U212="Yes",UPPER(IF(ISNUMBER(SEARCH("winding",VLOOKUP(CONCATENATE(P212,Q212,S212,E212),TIM[[Limiting Equipment Reference-PTX]:[Summ Equipment]],7,0))),"Power Transformer Rating at "&amp;ROUND(E212*S212*SQRT(3)/1000,2)&amp;" MVA",VLOOKUP(CONCATENATE(P212,Q212,S212,E212),TIM[[Limiting Equipment Reference-No PTX]:[Summ Equipment]],8,0))),UPPER(VLOOKUP(CONCATENATE(P212,Q212,S212,E212),TIM[[Limiting Equipment Reference-No PTX]:[Summ Equipment]],8,0)))</f>
        <v>POWER TRANSFORMER RATING AT 15 MVA</v>
      </c>
      <c r="L212" s="146" t="s">
        <v>1266</v>
      </c>
      <c r="M212" s="146" t="s">
        <v>1162</v>
      </c>
      <c r="O212" s="168" t="str">
        <f t="shared" ref="O212:O217" si="105">"PAR-"&amp;B212</f>
        <v>PAR-CB36</v>
      </c>
      <c r="P212" s="49" t="s">
        <v>1246</v>
      </c>
      <c r="Q212" s="49" t="s">
        <v>202</v>
      </c>
      <c r="R212" s="386" t="s">
        <v>307</v>
      </c>
      <c r="S212" s="43">
        <v>11.22</v>
      </c>
      <c r="T212" s="146" t="s">
        <v>1266</v>
      </c>
      <c r="U212" s="146" t="s">
        <v>1267</v>
      </c>
      <c r="V212" s="49"/>
    </row>
    <row r="213" spans="2:22" x14ac:dyDescent="0.25">
      <c r="B213" s="124" t="s">
        <v>511</v>
      </c>
      <c r="C213" s="168" t="s">
        <v>2731</v>
      </c>
      <c r="D213" s="119">
        <f t="shared" si="104"/>
        <v>11</v>
      </c>
      <c r="E213" s="370">
        <f t="array" ref="E213">IF(U213="YES",IF(T213="YES",MIN(IF(TIM[Load Capability Reference]=CONCATENATE(P213,Q213,S213,R213),TIM[Lowest A-PTX])),MIN(IF(TIM[Load Capability Reference]=CONCATENATE(P213,Q213,S213,R213),IF(TIM[Equipment ID]&lt;&gt;O213,TIM[Lowest A-PTX])))),IF(T213="YES",MIN(IF(TIM[Load Capability Reference]=CONCATENATE(P213,Q213,S213,R213),TIM[Lowest A-No PTX])),MIN(IF(TIM[Load Capability Reference]=CONCATENATE(P213,Q213,S213,R213),IF(TIM[Equipment ID]&lt;&gt;O213,TIM[Lowest A-No PTX])))))</f>
        <v>0</v>
      </c>
      <c r="F213" s="119">
        <f>IFERROR(IFERROR(VLOOKUP(CONCATENATE(P213,Q213,O213,S213,"Protection"),TWZ[[OC Protection Reference]:[Forward A]],23,0),VLOOKUP(O213,AEL_Protection_Data[],12,0)),"N/A")</f>
        <v>300</v>
      </c>
      <c r="G213" s="119">
        <f t="shared" si="99"/>
        <v>0</v>
      </c>
      <c r="H213" s="29">
        <f t="shared" si="100"/>
        <v>0</v>
      </c>
      <c r="I213" s="119">
        <f t="shared" si="101"/>
        <v>0</v>
      </c>
      <c r="J213" s="29">
        <f t="shared" si="102"/>
        <v>0</v>
      </c>
      <c r="K213" s="6" t="e">
        <f>IF(U213="Yes",UPPER(IF(ISNUMBER(SEARCH("winding",VLOOKUP(CONCATENATE(P213,Q213,S213,E213),TIM[[Limiting Equipment Reference-PTX]:[Summ Equipment]],7,0))),"Power Transformer Rating at "&amp;ROUND(E213*S213*SQRT(3)/1000,2)&amp;" MVA",VLOOKUP(CONCATENATE(P213,Q213,S213,E213),TIM[[Limiting Equipment Reference-No PTX]:[Summ Equipment]],8,0))),UPPER(VLOOKUP(CONCATENATE(P213,Q213,S213,E213),TIM[[Limiting Equipment Reference-No PTX]:[Summ Equipment]],8,0)))</f>
        <v>#N/A</v>
      </c>
      <c r="L213" s="146" t="s">
        <v>1267</v>
      </c>
      <c r="M213" s="146" t="s">
        <v>1266</v>
      </c>
      <c r="O213" s="168" t="str">
        <f t="shared" si="105"/>
        <v>PAR-CB3</v>
      </c>
      <c r="P213" s="49" t="s">
        <v>1276</v>
      </c>
      <c r="Q213" s="49" t="s">
        <v>205</v>
      </c>
      <c r="R213" s="386"/>
      <c r="S213" s="43">
        <v>11.22</v>
      </c>
      <c r="T213" s="146" t="s">
        <v>1266</v>
      </c>
      <c r="U213" s="146" t="s">
        <v>1266</v>
      </c>
      <c r="V213" s="49"/>
    </row>
    <row r="214" spans="2:22" x14ac:dyDescent="0.25">
      <c r="B214" s="124" t="s">
        <v>498</v>
      </c>
      <c r="C214" s="168" t="s">
        <v>2732</v>
      </c>
      <c r="D214" s="119">
        <f t="shared" si="104"/>
        <v>11</v>
      </c>
      <c r="E214" s="370">
        <f t="array" ref="E214">IF(U214="YES",IF(T214="YES",MIN(IF(TIM[Load Capability Reference]=CONCATENATE(P214,Q214,S214,R214),TIM[Lowest A-PTX])),MIN(IF(TIM[Load Capability Reference]=CONCATENATE(P214,Q214,S214,R214),IF(TIM[Equipment ID]&lt;&gt;O214,TIM[Lowest A-PTX])))),IF(T214="YES",MIN(IF(TIM[Load Capability Reference]=CONCATENATE(P214,Q214,S214,R214),TIM[Lowest A-No PTX])),MIN(IF(TIM[Load Capability Reference]=CONCATENATE(P214,Q214,S214,R214),IF(TIM[Equipment ID]&lt;&gt;O214,TIM[Lowest A-No PTX])))))</f>
        <v>256.85852310343915</v>
      </c>
      <c r="F214" s="119">
        <f>IFERROR(IFERROR(VLOOKUP(CONCATENATE(P214,Q214,O214,S214,"Protection"),TWZ[[OC Protection Reference]:[Forward A]],23,0),VLOOKUP(O214,AEL_Protection_Data[],12,0)),"N/A")</f>
        <v>252</v>
      </c>
      <c r="G214" s="119">
        <f t="shared" si="99"/>
        <v>200</v>
      </c>
      <c r="H214" s="29">
        <f t="shared" si="100"/>
        <v>3.8867220121845603</v>
      </c>
      <c r="I214" s="119">
        <f t="shared" si="101"/>
        <v>225</v>
      </c>
      <c r="J214" s="29">
        <f t="shared" si="102"/>
        <v>4.3725622637076302</v>
      </c>
      <c r="K214" s="6" t="str">
        <f>IF(U214="Yes",UPPER(IF(ISNUMBER(SEARCH("winding",VLOOKUP(CONCATENATE(P214,Q214,S214,E214),TIM[[Limiting Equipment Reference-PTX]:[Summ Equipment]],7,0))),"Power Transformer Rating at "&amp;ROUND(E214*S214*SQRT(3)/1000,2)&amp;" MVA",VLOOKUP(CONCATENATE(P214,Q214,S214,E214),TIM[[Limiting Equipment Reference-No PTX]:[Summ Equipment]],8,0))),UPPER(VLOOKUP(CONCATENATE(P214,Q214,S214,E214),TIM[[Limiting Equipment Reference-No PTX]:[Summ Equipment]],8,0)))</f>
        <v>OH LINE-DOG</v>
      </c>
      <c r="L214" s="146" t="s">
        <v>1267</v>
      </c>
      <c r="M214" s="146" t="s">
        <v>1267</v>
      </c>
      <c r="O214" s="168" t="str">
        <f t="shared" si="105"/>
        <v>PAR-CB4</v>
      </c>
      <c r="P214" s="49" t="s">
        <v>1276</v>
      </c>
      <c r="Q214" s="49" t="s">
        <v>208</v>
      </c>
      <c r="R214" s="386"/>
      <c r="S214" s="43">
        <v>11.22</v>
      </c>
      <c r="T214" s="146" t="s">
        <v>1266</v>
      </c>
      <c r="U214" s="146" t="s">
        <v>1266</v>
      </c>
      <c r="V214" s="49"/>
    </row>
    <row r="215" spans="2:22" x14ac:dyDescent="0.25">
      <c r="B215" s="124" t="s">
        <v>592</v>
      </c>
      <c r="C215" s="168" t="s">
        <v>2733</v>
      </c>
      <c r="D215" s="119">
        <f t="shared" si="104"/>
        <v>11</v>
      </c>
      <c r="E215" s="370">
        <f t="array" ref="E215">IF(U215="YES",IF(T215="YES",MIN(IF(TIM[Load Capability Reference]=CONCATENATE(P215,Q215,S215,R215),TIM[Lowest A-PTX])),MIN(IF(TIM[Load Capability Reference]=CONCATENATE(P215,Q215,S215,R215),IF(TIM[Equipment ID]&lt;&gt;O215,TIM[Lowest A-PTX])))),IF(T215="YES",MIN(IF(TIM[Load Capability Reference]=CONCATENATE(P215,Q215,S215,R215),TIM[Lowest A-No PTX])),MIN(IF(TIM[Load Capability Reference]=CONCATENATE(P215,Q215,S215,R215),IF(TIM[Equipment ID]&lt;&gt;O215,TIM[Lowest A-No PTX])))))</f>
        <v>0</v>
      </c>
      <c r="F215" s="119">
        <f>IFERROR(IFERROR(VLOOKUP(CONCATENATE(P215,Q215,O215,S215,"Protection"),TWZ[[OC Protection Reference]:[Forward A]],23,0),VLOOKUP(O215,AEL_Protection_Data[],12,0)),"N/A")</f>
        <v>300</v>
      </c>
      <c r="G215" s="119">
        <f t="shared" si="99"/>
        <v>0</v>
      </c>
      <c r="H215" s="29">
        <f t="shared" si="100"/>
        <v>0</v>
      </c>
      <c r="I215" s="119">
        <f t="shared" si="101"/>
        <v>0</v>
      </c>
      <c r="J215" s="29">
        <f t="shared" si="102"/>
        <v>0</v>
      </c>
      <c r="K215" s="6" t="e">
        <f>IF(U215="Yes",UPPER(IF(ISNUMBER(SEARCH("winding",VLOOKUP(CONCATENATE(P215,Q215,S215,E215),TIM[[Limiting Equipment Reference-PTX]:[Summ Equipment]],7,0))),"Power Transformer Rating at "&amp;ROUND(E215*S215*SQRT(3)/1000,2)&amp;" MVA",VLOOKUP(CONCATENATE(P215,Q215,S215,E215),TIM[[Limiting Equipment Reference-No PTX]:[Summ Equipment]],8,0))),UPPER(VLOOKUP(CONCATENATE(P215,Q215,S215,E215),TIM[[Limiting Equipment Reference-No PTX]:[Summ Equipment]],8,0)))</f>
        <v>#N/A</v>
      </c>
      <c r="L215" s="146" t="s">
        <v>1267</v>
      </c>
      <c r="M215" s="146" t="s">
        <v>1266</v>
      </c>
      <c r="O215" s="168" t="str">
        <f t="shared" si="105"/>
        <v>PAR-CB5</v>
      </c>
      <c r="P215" s="49" t="s">
        <v>1276</v>
      </c>
      <c r="Q215" s="49" t="s">
        <v>211</v>
      </c>
      <c r="R215" s="386"/>
      <c r="S215" s="43">
        <v>11.22</v>
      </c>
      <c r="T215" s="146" t="s">
        <v>1266</v>
      </c>
      <c r="U215" s="146" t="s">
        <v>1266</v>
      </c>
      <c r="V215" s="49"/>
    </row>
    <row r="216" spans="2:22" x14ac:dyDescent="0.25">
      <c r="B216" s="124" t="s">
        <v>500</v>
      </c>
      <c r="C216" s="168" t="s">
        <v>2734</v>
      </c>
      <c r="D216" s="119">
        <f t="shared" si="104"/>
        <v>11</v>
      </c>
      <c r="E216" s="370">
        <f t="array" ref="E216">IF(U216="YES",IF(T216="YES",MIN(IF(TIM[Load Capability Reference]=CONCATENATE(P216,Q216,S216,R216),TIM[Lowest A-PTX])),MIN(IF(TIM[Load Capability Reference]=CONCATENATE(P216,Q216,S216,R216),IF(TIM[Equipment ID]&lt;&gt;O216,TIM[Lowest A-PTX])))),IF(T216="YES",MIN(IF(TIM[Load Capability Reference]=CONCATENATE(P216,Q216,S216,R216),TIM[Lowest A-No PTX])),MIN(IF(TIM[Load Capability Reference]=CONCATENATE(P216,Q216,S216,R216),IF(TIM[Equipment ID]&lt;&gt;O216,TIM[Lowest A-No PTX])))))</f>
        <v>204.03986000083358</v>
      </c>
      <c r="F216" s="119">
        <f>IFERROR(IFERROR(VLOOKUP(CONCATENATE(P216,Q216,O216,S216,"Protection"),TWZ[[OC Protection Reference]:[Forward A]],23,0),VLOOKUP(O216,AEL_Protection_Data[],12,0)),"N/A")</f>
        <v>252</v>
      </c>
      <c r="G216" s="119">
        <f t="shared" si="99"/>
        <v>160</v>
      </c>
      <c r="H216" s="29">
        <f t="shared" si="100"/>
        <v>3.1093776097476482</v>
      </c>
      <c r="I216" s="119">
        <f t="shared" si="101"/>
        <v>180</v>
      </c>
      <c r="J216" s="29">
        <f t="shared" si="102"/>
        <v>3.4980498109661049</v>
      </c>
      <c r="K216" s="6" t="str">
        <f>IF(U216="Yes",UPPER(IF(ISNUMBER(SEARCH("winding",VLOOKUP(CONCATENATE(P216,Q216,S216,E216),TIM[[Limiting Equipment Reference-PTX]:[Summ Equipment]],7,0))),"Power Transformer Rating at "&amp;ROUND(E216*S216*SQRT(3)/1000,2)&amp;" MVA",VLOOKUP(CONCATENATE(P216,Q216,S216,E216),TIM[[Limiting Equipment Reference-No PTX]:[Summ Equipment]],8,0))),UPPER(VLOOKUP(CONCATENATE(P216,Q216,S216,E216),TIM[[Limiting Equipment Reference-No PTX]:[Summ Equipment]],8,0)))</f>
        <v>OH LINE-RANGO</v>
      </c>
      <c r="L216" s="146" t="s">
        <v>1267</v>
      </c>
      <c r="M216" s="146" t="s">
        <v>1267</v>
      </c>
      <c r="O216" s="168" t="str">
        <f t="shared" si="105"/>
        <v>PAR-CB6</v>
      </c>
      <c r="P216" s="49" t="s">
        <v>1276</v>
      </c>
      <c r="Q216" s="49" t="s">
        <v>214</v>
      </c>
      <c r="R216" s="386"/>
      <c r="S216" s="43">
        <v>11.22</v>
      </c>
      <c r="T216" s="146" t="s">
        <v>1266</v>
      </c>
      <c r="U216" s="146" t="s">
        <v>1266</v>
      </c>
      <c r="V216" s="49"/>
    </row>
    <row r="217" spans="2:22" ht="15.75" thickBot="1" x14ac:dyDescent="0.3">
      <c r="B217" s="401" t="s">
        <v>512</v>
      </c>
      <c r="C217" s="375" t="s">
        <v>2735</v>
      </c>
      <c r="D217" s="377">
        <f t="shared" si="104"/>
        <v>11</v>
      </c>
      <c r="E217" s="384">
        <f t="array" ref="E217">IF(U217="YES",IF(T217="YES",MIN(IF(TIM[Load Capability Reference]=CONCATENATE(P217,Q217,S217,R217),TIM[Lowest A-PTX])),MIN(IF(TIM[Load Capability Reference]=CONCATENATE(P217,Q217,S217,R217),IF(TIM[Equipment ID]&lt;&gt;O217,TIM[Lowest A-PTX])))),IF(T217="YES",MIN(IF(TIM[Load Capability Reference]=CONCATENATE(P217,Q217,S217,R217),TIM[Lowest A-No PTX])),MIN(IF(TIM[Load Capability Reference]=CONCATENATE(P217,Q217,S217,R217),IF(TIM[Equipment ID]&lt;&gt;O217,TIM[Lowest A-No PTX])))))</f>
        <v>188.62660722014468</v>
      </c>
      <c r="F217" s="377">
        <f>IFERROR(IFERROR(VLOOKUP(CONCATENATE(P217,Q217,O217,S217,"Protection"),TWZ[[OC Protection Reference]:[Forward A]],23,0),VLOOKUP(O217,AEL_Protection_Data[],12,0)),"N/A")</f>
        <v>252</v>
      </c>
      <c r="G217" s="377">
        <f t="shared" si="99"/>
        <v>150</v>
      </c>
      <c r="H217" s="185">
        <f t="shared" si="100"/>
        <v>2.9150415091384203</v>
      </c>
      <c r="I217" s="377">
        <f t="shared" si="101"/>
        <v>165</v>
      </c>
      <c r="J217" s="185">
        <f t="shared" si="102"/>
        <v>3.2065456600522624</v>
      </c>
      <c r="K217" s="191" t="str">
        <f>IF(U217="Yes",UPPER(IF(ISNUMBER(SEARCH("winding",VLOOKUP(CONCATENATE(P217,Q217,S217,E217),TIM[[Limiting Equipment Reference-PTX]:[Summ Equipment]],7,0))),"Power Transformer Rating at "&amp;ROUND(E217*S217*SQRT(3)/1000,2)&amp;" MVA",VLOOKUP(CONCATENATE(P217,Q217,S217,E217),TIM[[Limiting Equipment Reference-No PTX]:[Summ Equipment]],8,0))),UPPER(VLOOKUP(CONCATENATE(P217,Q217,S217,E217),TIM[[Limiting Equipment Reference-No PTX]:[Summ Equipment]],8,0)))</f>
        <v>OH LINE-MINK</v>
      </c>
      <c r="L217" s="379" t="s">
        <v>1267</v>
      </c>
      <c r="M217" s="379" t="s">
        <v>1267</v>
      </c>
      <c r="O217" s="375" t="str">
        <f t="shared" si="105"/>
        <v>PAR-CB7</v>
      </c>
      <c r="P217" s="374" t="s">
        <v>1276</v>
      </c>
      <c r="Q217" s="374" t="s">
        <v>217</v>
      </c>
      <c r="R217" s="387"/>
      <c r="S217" s="175">
        <v>11.22</v>
      </c>
      <c r="T217" s="379" t="s">
        <v>1266</v>
      </c>
      <c r="U217" s="379" t="s">
        <v>1266</v>
      </c>
      <c r="V217" s="374"/>
    </row>
    <row r="218" spans="2:22" ht="15.75" thickBot="1" x14ac:dyDescent="0.3"/>
    <row r="219" spans="2:22" ht="26.25" thickBot="1" x14ac:dyDescent="0.3">
      <c r="B219" s="551" t="s">
        <v>2736</v>
      </c>
      <c r="C219" s="552"/>
      <c r="D219" s="552"/>
      <c r="E219" s="552"/>
      <c r="F219" s="552"/>
      <c r="G219" s="552"/>
      <c r="H219" s="552"/>
      <c r="I219" s="552"/>
      <c r="J219" s="552"/>
      <c r="K219" s="552"/>
      <c r="L219" s="552"/>
      <c r="M219" s="553"/>
      <c r="O219" s="551" t="s">
        <v>2391</v>
      </c>
      <c r="P219" s="552"/>
      <c r="Q219" s="552"/>
      <c r="R219" s="552"/>
      <c r="S219" s="552"/>
      <c r="T219" s="552"/>
      <c r="U219" s="552"/>
      <c r="V219" s="553"/>
    </row>
    <row r="220" spans="2:22" ht="15.75" customHeight="1" thickBot="1" x14ac:dyDescent="0.3">
      <c r="B220" s="571" t="str">
        <f t="shared" ref="B220:G220" si="106">B6</f>
        <v>CB ID</v>
      </c>
      <c r="C220" s="545" t="str">
        <f t="shared" si="106"/>
        <v>DESIGNATION</v>
      </c>
      <c r="D220" s="382" t="str">
        <f t="shared" si="106"/>
        <v>Rated</v>
      </c>
      <c r="E220" s="572" t="str">
        <f t="shared" si="106"/>
        <v>LOAD
CAPABILITY</v>
      </c>
      <c r="F220" s="572" t="str">
        <f t="shared" si="106"/>
        <v>OC
PICKUP</v>
      </c>
      <c r="G220" s="559" t="str">
        <f t="shared" si="106"/>
        <v>SCADA ALARM</v>
      </c>
      <c r="H220" s="560"/>
      <c r="I220" s="560"/>
      <c r="J220" s="561"/>
      <c r="K220" s="574" t="str">
        <f>K6</f>
        <v>LIMITING EQUIPMENT</v>
      </c>
      <c r="L220" s="575" t="str">
        <f>L6</f>
        <v>RECLOSING</v>
      </c>
      <c r="M220" s="576"/>
      <c r="O220" s="566" t="str">
        <f t="shared" ref="O220:V220" si="107">O6</f>
        <v>OC Pick up
Reference ID</v>
      </c>
      <c r="P220" s="557" t="str">
        <f t="shared" si="107"/>
        <v>Supply Level</v>
      </c>
      <c r="Q220" s="566" t="str">
        <f t="shared" si="107"/>
        <v>Station/Feeder</v>
      </c>
      <c r="R220" s="567" t="str">
        <f t="shared" si="107"/>
        <v>Refered to PTX</v>
      </c>
      <c r="S220" s="569" t="str">
        <f t="shared" si="107"/>
        <v>Voltage</v>
      </c>
      <c r="T220" s="539" t="str">
        <f t="shared" si="107"/>
        <v>Include
CB</v>
      </c>
      <c r="U220" s="539" t="str">
        <f t="shared" si="107"/>
        <v>Include
PTX</v>
      </c>
      <c r="V220" s="557" t="str">
        <f t="shared" si="107"/>
        <v>Notes</v>
      </c>
    </row>
    <row r="221" spans="2:22" ht="15.75" thickBot="1" x14ac:dyDescent="0.3">
      <c r="B221" s="557"/>
      <c r="C221" s="540"/>
      <c r="D221" s="362" t="str">
        <f>D7</f>
        <v>Voltage</v>
      </c>
      <c r="E221" s="573"/>
      <c r="F221" s="573"/>
      <c r="G221" s="544" t="str">
        <f>G7</f>
        <v>Pre-Emergency</v>
      </c>
      <c r="H221" s="544"/>
      <c r="I221" s="544" t="str">
        <f>I7</f>
        <v>Emergency</v>
      </c>
      <c r="J221" s="544"/>
      <c r="K221" s="540"/>
      <c r="L221" s="545" t="str">
        <f>L7</f>
        <v>AVAILABLE</v>
      </c>
      <c r="M221" s="545" t="str">
        <f>M7</f>
        <v>UTILISED</v>
      </c>
      <c r="O221" s="557"/>
      <c r="P221" s="557"/>
      <c r="Q221" s="557"/>
      <c r="R221" s="567"/>
      <c r="S221" s="569"/>
      <c r="T221" s="540"/>
      <c r="U221" s="540"/>
      <c r="V221" s="557"/>
    </row>
    <row r="222" spans="2:22" ht="15.75" thickBot="1" x14ac:dyDescent="0.3">
      <c r="B222" s="558"/>
      <c r="C222" s="541"/>
      <c r="D222" s="345" t="str">
        <f>D8</f>
        <v>(kV)</v>
      </c>
      <c r="E222" s="345" t="str">
        <f>E8</f>
        <v>(A)</v>
      </c>
      <c r="F222" s="345" t="str">
        <f>F8</f>
        <v>(A)</v>
      </c>
      <c r="G222" s="406" t="str">
        <f>G8</f>
        <v>(A)</v>
      </c>
      <c r="H222" s="407" t="str">
        <f>H8</f>
        <v>(MVA)</v>
      </c>
      <c r="I222" s="406" t="str">
        <f>I8</f>
        <v>(A)</v>
      </c>
      <c r="J222" s="407" t="str">
        <f>J8</f>
        <v>(MVA)</v>
      </c>
      <c r="K222" s="541"/>
      <c r="L222" s="541"/>
      <c r="M222" s="541"/>
      <c r="O222" s="558"/>
      <c r="P222" s="558"/>
      <c r="Q222" s="558"/>
      <c r="R222" s="568"/>
      <c r="S222" s="570"/>
      <c r="T222" s="541"/>
      <c r="U222" s="541"/>
      <c r="V222" s="558"/>
    </row>
    <row r="223" spans="2:22" x14ac:dyDescent="0.25">
      <c r="B223" s="204" t="s">
        <v>1091</v>
      </c>
      <c r="C223" s="3" t="s">
        <v>2737</v>
      </c>
      <c r="D223" s="61">
        <f t="shared" ref="D223:D226" si="108">ROUNDDOWN(S223,0)</f>
        <v>33</v>
      </c>
      <c r="E223" s="369">
        <f t="array" ref="E223">IF(U223="YES",IF(T223="YES",MIN(IF(TIM[Load Capability Reference]=CONCATENATE(P223,Q223,S223,R223),TIM[Lowest A-PTX])),MIN(IF(TIM[Load Capability Reference]=CONCATENATE(P223,Q223,S223,R223),IF(TIM[Equipment ID]&lt;&gt;O223,TIM[Lowest A-PTX])))),IF(T223="YES",MIN(IF(TIM[Load Capability Reference]=CONCATENATE(P223,Q223,S223,R223),TIM[Lowest A-No PTX])),MIN(IF(TIM[Load Capability Reference]=CONCATENATE(P223,Q223,S223,R223),IF(TIM[Equipment ID]&lt;&gt;O223,TIM[Lowest A-No PTX])))))</f>
        <v>171.44909600000003</v>
      </c>
      <c r="F223" s="61">
        <f>IFERROR(IFERROR(VLOOKUP(CONCATENATE(P223,Q223,O223,S223,"Protection"),TWZ[[OC Protection Reference]:[Forward A]],23,0),VLOOKUP(O223,AEL_Protection_Data[],12,0)),"N/A")</f>
        <v>134</v>
      </c>
      <c r="G223" s="61">
        <f t="shared" ref="G223:G228" si="109">IFERROR(FLOOR(MIN(E223:F223)*$D$3,5),"")</f>
        <v>105</v>
      </c>
      <c r="H223" s="5">
        <f t="shared" ref="H223:H228" si="110">G223*S223*SQRT(3)/1000</f>
        <v>6.0015560482261598</v>
      </c>
      <c r="I223" s="61">
        <f t="shared" ref="I223:I228" si="111">IFERROR(FLOOR(MIN(E223:F223)*$D$2,5),"")</f>
        <v>120</v>
      </c>
      <c r="J223" s="5">
        <f t="shared" ref="J223:J228" si="112">I223*S223*SQRT(3)/1000</f>
        <v>6.8589211979727533</v>
      </c>
      <c r="K223" s="3" t="str">
        <f>IF(U223="Yes",UPPER(IF(ISNUMBER(SEARCH("winding",VLOOKUP(CONCATENATE(P223,Q223,S223,E223),TIM[[Limiting Equipment Reference-PTX]:[Summ Equipment]],7,0))),"Power Transformer Rating at "&amp;ROUND(E223*S223*SQRT(3)/1000,2)&amp;" MVA",VLOOKUP(CONCATENATE(P223,Q223,S223,E223),TIM[[Limiting Equipment Reference-No PTX]:[Summ Equipment]],8,0))),UPPER(VLOOKUP(CONCATENATE(P223,Q223,S223,E223),TIM[[Limiting Equipment Reference-No PTX]:[Summ Equipment]],8,0)))</f>
        <v>CABLE-3/1C 95MM² AL XLPE PVC SCREENED</v>
      </c>
      <c r="L223" s="4" t="s">
        <v>1266</v>
      </c>
      <c r="M223" s="4" t="s">
        <v>1162</v>
      </c>
      <c r="N223" s="398"/>
      <c r="O223" s="3" t="str">
        <f>"PLP-"&amp;B223</f>
        <v>PLP-L250</v>
      </c>
      <c r="P223" s="38" t="s">
        <v>1245</v>
      </c>
      <c r="Q223" s="38" t="s">
        <v>169</v>
      </c>
      <c r="R223" s="389"/>
      <c r="S223" s="139">
        <v>33</v>
      </c>
      <c r="T223" s="4" t="s">
        <v>1266</v>
      </c>
      <c r="U223" s="4" t="s">
        <v>1266</v>
      </c>
      <c r="V223" s="38"/>
    </row>
    <row r="224" spans="2:22" x14ac:dyDescent="0.25">
      <c r="B224" s="124" t="s">
        <v>502</v>
      </c>
      <c r="C224" s="168" t="s">
        <v>2738</v>
      </c>
      <c r="D224" s="119">
        <f t="shared" si="108"/>
        <v>11</v>
      </c>
      <c r="E224" s="370">
        <f t="array" ref="E224">IF(U224="YES",IF(T224="YES",MIN(IF(TIM[Load Capability Reference]=CONCATENATE(P224,Q224,S224,R224),TIM[Lowest A-PTX])),MIN(IF(TIM[Load Capability Reference]=CONCATENATE(P224,Q224,S224,R224),IF(TIM[Equipment ID]&lt;&gt;O224,TIM[Lowest A-PTX])))),IF(T224="YES",MIN(IF(TIM[Load Capability Reference]=CONCATENATE(P224,Q224,S224,R224),TIM[Lowest A-No PTX])),MIN(IF(TIM[Load Capability Reference]=CONCATENATE(P224,Q224,S224,R224),IF(TIM[Equipment ID]&lt;&gt;O224,TIM[Lowest A-No PTX])))))</f>
        <v>148.00000000000003</v>
      </c>
      <c r="F224" s="119">
        <f>IFERROR(IFERROR(VLOOKUP(CONCATENATE(P224,Q224,O224,S224,"Protection"),TWZ[[OC Protection Reference]:[Forward A]],23,0),VLOOKUP(O224,AEL_Protection_Data[],12,0)),"N/A")</f>
        <v>252</v>
      </c>
      <c r="G224" s="119">
        <f t="shared" si="109"/>
        <v>115</v>
      </c>
      <c r="H224" s="29">
        <f t="shared" si="110"/>
        <v>2.2348651570061224</v>
      </c>
      <c r="I224" s="119">
        <f t="shared" si="111"/>
        <v>130</v>
      </c>
      <c r="J224" s="29">
        <f t="shared" si="112"/>
        <v>2.5263693079199645</v>
      </c>
      <c r="K224" s="6" t="str">
        <f>IF(U224="Yes",UPPER(IF(ISNUMBER(SEARCH("winding",VLOOKUP(CONCATENATE(P224,Q224,S224,E224),TIM[[Limiting Equipment Reference-PTX]:[Summ Equipment]],7,0))),"Power Transformer Rating at "&amp;ROUND(E224*S224*SQRT(3)/1000,2)&amp;" MVA",VLOOKUP(CONCATENATE(P224,Q224,S224,E224),TIM[[Limiting Equipment Reference-No PTX]:[Summ Equipment]],8,0))),UPPER(VLOOKUP(CONCATENATE(P224,Q224,S224,E224),TIM[[Limiting Equipment Reference-No PTX]:[Summ Equipment]],8,0)))</f>
        <v>OH LINE-FERRET</v>
      </c>
      <c r="L224" s="146" t="s">
        <v>1267</v>
      </c>
      <c r="M224" s="146" t="s">
        <v>1267</v>
      </c>
      <c r="N224" s="399"/>
      <c r="O224" s="168" t="str">
        <f t="shared" ref="O224:O228" si="113">"PLP-"&amp;B224</f>
        <v>PLP-CB1</v>
      </c>
      <c r="P224" s="49" t="s">
        <v>1276</v>
      </c>
      <c r="Q224" s="49" t="s">
        <v>206</v>
      </c>
      <c r="R224" s="386"/>
      <c r="S224" s="43">
        <v>11.22</v>
      </c>
      <c r="T224" s="146" t="s">
        <v>1266</v>
      </c>
      <c r="U224" s="146" t="s">
        <v>1266</v>
      </c>
      <c r="V224" s="49"/>
    </row>
    <row r="225" spans="2:22" x14ac:dyDescent="0.25">
      <c r="B225" s="124" t="s">
        <v>507</v>
      </c>
      <c r="C225" s="168" t="s">
        <v>2739</v>
      </c>
      <c r="D225" s="119">
        <f t="shared" si="108"/>
        <v>11</v>
      </c>
      <c r="E225" s="370">
        <f t="array" ref="E225">IF(U225="YES",IF(T225="YES",MIN(IF(TIM[Load Capability Reference]=CONCATENATE(P225,Q225,S225,R225),TIM[Lowest A-PTX])),MIN(IF(TIM[Load Capability Reference]=CONCATENATE(P225,Q225,S225,R225),IF(TIM[Equipment ID]&lt;&gt;O225,TIM[Lowest A-PTX])))),IF(T225="YES",MIN(IF(TIM[Load Capability Reference]=CONCATENATE(P225,Q225,S225,R225),TIM[Lowest A-No PTX])),MIN(IF(TIM[Load Capability Reference]=CONCATENATE(P225,Q225,S225,R225),IF(TIM[Equipment ID]&lt;&gt;O225,TIM[Lowest A-No PTX])))))</f>
        <v>200.00908125000001</v>
      </c>
      <c r="F225" s="119">
        <f>IFERROR(IFERROR(VLOOKUP(CONCATENATE(P225,Q225,O225,S225,"Protection"),TWZ[[OC Protection Reference]:[Forward A]],23,0),VLOOKUP(O225,AEL_Protection_Data[],12,0)),"N/A")</f>
        <v>252</v>
      </c>
      <c r="G225" s="119">
        <f t="shared" si="109"/>
        <v>160</v>
      </c>
      <c r="H225" s="29">
        <f t="shared" si="110"/>
        <v>3.1093776097476482</v>
      </c>
      <c r="I225" s="119">
        <f t="shared" si="111"/>
        <v>180</v>
      </c>
      <c r="J225" s="29">
        <f t="shared" si="112"/>
        <v>3.4980498109661049</v>
      </c>
      <c r="K225" s="6" t="str">
        <f>IF(U225="Yes",UPPER(IF(ISNUMBER(SEARCH("winding",VLOOKUP(CONCATENATE(P225,Q225,S225,E225),TIM[[Limiting Equipment Reference-PTX]:[Summ Equipment]],7,0))),"Power Transformer Rating at "&amp;ROUND(E225*S225*SQRT(3)/1000,2)&amp;" MVA",VLOOKUP(CONCATENATE(P225,Q225,S225,E225),TIM[[Limiting Equipment Reference-No PTX]:[Summ Equipment]],8,0))),UPPER(VLOOKUP(CONCATENATE(P225,Q225,S225,E225),TIM[[Limiting Equipment Reference-No PTX]:[Summ Equipment]],8,0)))</f>
        <v>CABLE-3C 150MM² AL PILC STA</v>
      </c>
      <c r="L225" s="146" t="s">
        <v>1267</v>
      </c>
      <c r="M225" s="146" t="s">
        <v>1267</v>
      </c>
      <c r="O225" s="168" t="str">
        <f t="shared" si="113"/>
        <v>PLP-CB2</v>
      </c>
      <c r="P225" s="49" t="s">
        <v>1276</v>
      </c>
      <c r="Q225" s="49" t="s">
        <v>209</v>
      </c>
      <c r="R225" s="390"/>
      <c r="S225" s="32">
        <v>11.22</v>
      </c>
      <c r="T225" s="146" t="s">
        <v>1266</v>
      </c>
      <c r="U225" s="146" t="s">
        <v>1266</v>
      </c>
      <c r="V225" s="49"/>
    </row>
    <row r="226" spans="2:22" x14ac:dyDescent="0.25">
      <c r="B226" s="124" t="s">
        <v>511</v>
      </c>
      <c r="C226" s="168" t="s">
        <v>2633</v>
      </c>
      <c r="D226" s="119">
        <f t="shared" si="108"/>
        <v>11</v>
      </c>
      <c r="E226" s="370">
        <f t="array" ref="E226">IF(U226="YES",IF(T226="YES",MIN(IF(TIM[Load Capability Reference]=CONCATENATE(P226,Q226,S226,R226),TIM[Lowest A-PTX])),MIN(IF(TIM[Load Capability Reference]=CONCATENATE(P226,Q226,S226,R226),IF(TIM[Equipment ID]&lt;&gt;O226,TIM[Lowest A-PTX])))),IF(T226="YES",MIN(IF(TIM[Load Capability Reference]=CONCATENATE(P226,Q226,S226,R226),TIM[Lowest A-No PTX])),MIN(IF(TIM[Load Capability Reference]=CONCATENATE(P226,Q226,S226,R226),IF(TIM[Equipment ID]&lt;&gt;O226,TIM[Lowest A-No PTX])))))</f>
        <v>321.60777027051347</v>
      </c>
      <c r="F226" s="119">
        <f>IFERROR(IFERROR(VLOOKUP(CONCATENATE(P226,Q226,O226,S226,"Protection"),TWZ[[OC Protection Reference]:[Forward A]],23,0),VLOOKUP(O226,AEL_Protection_Data[],12,0)),"N/A")</f>
        <v>348</v>
      </c>
      <c r="G226" s="119">
        <f t="shared" si="109"/>
        <v>255</v>
      </c>
      <c r="H226" s="29">
        <f t="shared" si="110"/>
        <v>4.9555705655353153</v>
      </c>
      <c r="I226" s="119">
        <f t="shared" si="111"/>
        <v>285</v>
      </c>
      <c r="J226" s="29">
        <f t="shared" si="112"/>
        <v>5.5385788673629994</v>
      </c>
      <c r="K226" s="6" t="str">
        <f>IF(U226="Yes",UPPER(IF(ISNUMBER(SEARCH("winding",VLOOKUP(CONCATENATE(P226,Q226,S226,E226),TIM[[Limiting Equipment Reference-PTX]:[Summ Equipment]],7,0))),"Power Transformer Rating at "&amp;ROUND(E226*S226*SQRT(3)/1000,2)&amp;" MVA",VLOOKUP(CONCATENATE(P226,Q226,S226,E226),TIM[[Limiting Equipment Reference-No PTX]:[Summ Equipment]],8,0))),UPPER(VLOOKUP(CONCATENATE(P226,Q226,S226,E226),TIM[[Limiting Equipment Reference-No PTX]:[Summ Equipment]],8,0)))</f>
        <v>POWER TRANSFORMER RATING AT 6.25 MVA</v>
      </c>
      <c r="L226" s="146" t="s">
        <v>1266</v>
      </c>
      <c r="M226" s="146" t="s">
        <v>1162</v>
      </c>
      <c r="O226" s="168" t="str">
        <f t="shared" si="113"/>
        <v>PLP-CB3</v>
      </c>
      <c r="P226" s="49" t="s">
        <v>1246</v>
      </c>
      <c r="Q226" s="49" t="s">
        <v>203</v>
      </c>
      <c r="R226" s="386"/>
      <c r="S226" s="43">
        <v>11.22</v>
      </c>
      <c r="T226" s="146" t="s">
        <v>1266</v>
      </c>
      <c r="U226" s="146" t="s">
        <v>1267</v>
      </c>
      <c r="V226" s="49"/>
    </row>
    <row r="227" spans="2:22" x14ac:dyDescent="0.25">
      <c r="B227" s="124" t="s">
        <v>498</v>
      </c>
      <c r="C227" s="168" t="s">
        <v>2740</v>
      </c>
      <c r="D227" s="119">
        <f>ROUNDDOWN(S227,0)</f>
        <v>11</v>
      </c>
      <c r="E227" s="370">
        <f t="array" ref="E227">IF(U227="YES",IF(T227="YES",MIN(IF(TIM[Load Capability Reference]=CONCATENATE(P227,Q227,S227,R227),TIM[Lowest A-PTX])),MIN(IF(TIM[Load Capability Reference]=CONCATENATE(P227,Q227,S227,R227),IF(TIM[Equipment ID]&lt;&gt;O227,TIM[Lowest A-PTX])))),IF(T227="YES",MIN(IF(TIM[Load Capability Reference]=CONCATENATE(P227,Q227,S227,R227),TIM[Lowest A-No PTX])),MIN(IF(TIM[Load Capability Reference]=CONCATENATE(P227,Q227,S227,R227),IF(TIM[Equipment ID]&lt;&gt;O227,TIM[Lowest A-No PTX])))))</f>
        <v>189</v>
      </c>
      <c r="F227" s="119">
        <f>IFERROR(IFERROR(VLOOKUP(CONCATENATE(P227,Q227,O227,S227,"Protection"),TWZ[[OC Protection Reference]:[Forward A]],23,0),VLOOKUP(O227,AEL_Protection_Data[],12,0)),"N/A")</f>
        <v>252</v>
      </c>
      <c r="G227" s="119">
        <f t="shared" si="109"/>
        <v>150</v>
      </c>
      <c r="H227" s="29">
        <f t="shared" si="110"/>
        <v>2.9150415091384203</v>
      </c>
      <c r="I227" s="119">
        <f t="shared" si="111"/>
        <v>170</v>
      </c>
      <c r="J227" s="29">
        <f t="shared" si="112"/>
        <v>3.3037137103568766</v>
      </c>
      <c r="K227" s="6" t="str">
        <f>IF(U227="Yes",UPPER(IF(ISNUMBER(SEARCH("winding",VLOOKUP(CONCATENATE(P227,Q227,S227,E227),TIM[[Limiting Equipment Reference-PTX]:[Summ Equipment]],7,0))),"Power Transformer Rating at "&amp;ROUND(E227*S227*SQRT(3)/1000,2)&amp;" MVA",VLOOKUP(CONCATENATE(P227,Q227,S227,E227),TIM[[Limiting Equipment Reference-No PTX]:[Summ Equipment]],8,0))),UPPER(VLOOKUP(CONCATENATE(P227,Q227,S227,E227),TIM[[Limiting Equipment Reference-No PTX]:[Summ Equipment]],8,0)))</f>
        <v xml:space="preserve">OH LINE-MINK </v>
      </c>
      <c r="L227" s="146" t="s">
        <v>1267</v>
      </c>
      <c r="M227" s="146" t="s">
        <v>1267</v>
      </c>
      <c r="O227" s="168" t="str">
        <f t="shared" si="113"/>
        <v>PLP-CB4</v>
      </c>
      <c r="P227" s="49" t="s">
        <v>1276</v>
      </c>
      <c r="Q227" s="49" t="s">
        <v>212</v>
      </c>
      <c r="R227" s="386"/>
      <c r="S227" s="43">
        <v>11.22</v>
      </c>
      <c r="T227" s="146" t="s">
        <v>1266</v>
      </c>
      <c r="U227" s="146" t="s">
        <v>1266</v>
      </c>
      <c r="V227" s="49"/>
    </row>
    <row r="228" spans="2:22" ht="15.75" thickBot="1" x14ac:dyDescent="0.3">
      <c r="B228" s="401" t="s">
        <v>592</v>
      </c>
      <c r="C228" s="375" t="s">
        <v>2741</v>
      </c>
      <c r="D228" s="377">
        <f t="shared" ref="D228" si="114">ROUNDDOWN(S228,0)</f>
        <v>11</v>
      </c>
      <c r="E228" s="384">
        <f t="array" ref="E228">IF(U228="YES",IF(T228="YES",MIN(IF(TIM[Load Capability Reference]=CONCATENATE(P228,Q228,S228,R228),TIM[Lowest A-PTX])),MIN(IF(TIM[Load Capability Reference]=CONCATENATE(P228,Q228,S228,R228),IF(TIM[Equipment ID]&lt;&gt;O228,TIM[Lowest A-PTX])))),IF(T228="YES",MIN(IF(TIM[Load Capability Reference]=CONCATENATE(P228,Q228,S228,R228),TIM[Lowest A-No PTX])),MIN(IF(TIM[Load Capability Reference]=CONCATENATE(P228,Q228,S228,R228),IF(TIM[Equipment ID]&lt;&gt;O228,TIM[Lowest A-No PTX])))))</f>
        <v>131</v>
      </c>
      <c r="F228" s="377">
        <f>IFERROR(IFERROR(VLOOKUP(CONCATENATE(P228,Q228,O228,S228,"Protection"),TWZ[[OC Protection Reference]:[Forward A]],23,0),VLOOKUP(O228,AEL_Protection_Data[],12,0)),"N/A")</f>
        <v>252</v>
      </c>
      <c r="G228" s="377">
        <f t="shared" si="109"/>
        <v>100</v>
      </c>
      <c r="H228" s="185">
        <f t="shared" si="110"/>
        <v>1.9433610060922801</v>
      </c>
      <c r="I228" s="377">
        <f t="shared" si="111"/>
        <v>115</v>
      </c>
      <c r="J228" s="185">
        <f t="shared" si="112"/>
        <v>2.2348651570061224</v>
      </c>
      <c r="K228" s="191" t="str">
        <f>IF(U228="Yes",UPPER(IF(ISNUMBER(SEARCH("winding",VLOOKUP(CONCATENATE(P228,Q228,S228,E228),TIM[[Limiting Equipment Reference-PTX]:[Summ Equipment]],7,0))),"Power Transformer Rating at "&amp;ROUND(E228*S228*SQRT(3)/1000,2)&amp;" MVA",VLOOKUP(CONCATENATE(P228,Q228,S228,E228),TIM[[Limiting Equipment Reference-No PTX]:[Summ Equipment]],8,0))),UPPER(VLOOKUP(CONCATENATE(P228,Q228,S228,E228),TIM[[Limiting Equipment Reference-No PTX]:[Summ Equipment]],8,0)))</f>
        <v xml:space="preserve">OH LINE-7/14 CU </v>
      </c>
      <c r="L228" s="379" t="s">
        <v>1267</v>
      </c>
      <c r="M228" s="379" t="s">
        <v>1266</v>
      </c>
      <c r="O228" s="375" t="str">
        <f t="shared" si="113"/>
        <v>PLP-CB5</v>
      </c>
      <c r="P228" s="374" t="s">
        <v>1276</v>
      </c>
      <c r="Q228" s="374" t="s">
        <v>215</v>
      </c>
      <c r="R228" s="387"/>
      <c r="S228" s="175">
        <v>11.22</v>
      </c>
      <c r="T228" s="379" t="s">
        <v>1266</v>
      </c>
      <c r="U228" s="379" t="s">
        <v>1266</v>
      </c>
      <c r="V228" s="374"/>
    </row>
    <row r="229" spans="2:22" ht="15.75" thickBot="1" x14ac:dyDescent="0.3"/>
    <row r="230" spans="2:22" ht="26.25" thickBot="1" x14ac:dyDescent="0.3">
      <c r="B230" s="584" t="s">
        <v>2549</v>
      </c>
      <c r="C230" s="582"/>
      <c r="D230" s="582"/>
      <c r="E230" s="582"/>
      <c r="F230" s="582"/>
      <c r="G230" s="582"/>
      <c r="H230" s="582"/>
      <c r="I230" s="582"/>
      <c r="J230" s="582"/>
      <c r="K230" s="582"/>
      <c r="L230" s="582"/>
      <c r="M230" s="583"/>
      <c r="O230" s="551" t="s">
        <v>2391</v>
      </c>
      <c r="P230" s="552"/>
      <c r="Q230" s="552"/>
      <c r="R230" s="552"/>
      <c r="S230" s="552"/>
      <c r="T230" s="552"/>
      <c r="U230" s="552"/>
      <c r="V230" s="553"/>
    </row>
    <row r="231" spans="2:22" ht="15.75" customHeight="1" thickBot="1" x14ac:dyDescent="0.3">
      <c r="B231" s="571" t="str">
        <f t="shared" ref="B231:G231" si="115">B6</f>
        <v>CB ID</v>
      </c>
      <c r="C231" s="545" t="str">
        <f t="shared" si="115"/>
        <v>DESIGNATION</v>
      </c>
      <c r="D231" s="382" t="str">
        <f t="shared" si="115"/>
        <v>Rated</v>
      </c>
      <c r="E231" s="572" t="str">
        <f t="shared" si="115"/>
        <v>LOAD
CAPABILITY</v>
      </c>
      <c r="F231" s="572" t="str">
        <f t="shared" si="115"/>
        <v>OC
PICKUP</v>
      </c>
      <c r="G231" s="559" t="str">
        <f t="shared" si="115"/>
        <v>SCADA ALARM</v>
      </c>
      <c r="H231" s="560"/>
      <c r="I231" s="560"/>
      <c r="J231" s="561"/>
      <c r="K231" s="574" t="str">
        <f>K6</f>
        <v>LIMITING EQUIPMENT</v>
      </c>
      <c r="L231" s="575" t="str">
        <f>L6</f>
        <v>RECLOSING</v>
      </c>
      <c r="M231" s="576"/>
      <c r="O231" s="566" t="str">
        <f>O6</f>
        <v>OC Pick up
Reference ID</v>
      </c>
      <c r="P231" s="557" t="str">
        <f>P6</f>
        <v>Supply Level</v>
      </c>
      <c r="Q231" s="566" t="str">
        <f>Q6</f>
        <v>Station/Feeder</v>
      </c>
      <c r="R231" s="567" t="str">
        <f t="shared" ref="R231" si="116">$R$6</f>
        <v>Refered to PTX</v>
      </c>
      <c r="S231" s="569" t="str">
        <f>S6</f>
        <v>Voltage</v>
      </c>
      <c r="T231" s="539" t="str">
        <f>T6</f>
        <v>Include
CB</v>
      </c>
      <c r="U231" s="539" t="str">
        <f>U6</f>
        <v>Include
PTX</v>
      </c>
      <c r="V231" s="557" t="str">
        <f>V6</f>
        <v>Notes</v>
      </c>
    </row>
    <row r="232" spans="2:22" ht="15.75" thickBot="1" x14ac:dyDescent="0.3">
      <c r="B232" s="557"/>
      <c r="C232" s="540"/>
      <c r="D232" s="362" t="str">
        <f>D7</f>
        <v>Voltage</v>
      </c>
      <c r="E232" s="573"/>
      <c r="F232" s="573"/>
      <c r="G232" s="544" t="str">
        <f>G7</f>
        <v>Pre-Emergency</v>
      </c>
      <c r="H232" s="544"/>
      <c r="I232" s="544" t="str">
        <f>I7</f>
        <v>Emergency</v>
      </c>
      <c r="J232" s="544"/>
      <c r="K232" s="540"/>
      <c r="L232" s="545" t="str">
        <f>L7</f>
        <v>AVAILABLE</v>
      </c>
      <c r="M232" s="545" t="str">
        <f>M7</f>
        <v>UTILISED</v>
      </c>
      <c r="O232" s="557"/>
      <c r="P232" s="557"/>
      <c r="Q232" s="557"/>
      <c r="R232" s="567"/>
      <c r="S232" s="569"/>
      <c r="T232" s="540"/>
      <c r="U232" s="540"/>
      <c r="V232" s="557"/>
    </row>
    <row r="233" spans="2:22" ht="15.75" thickBot="1" x14ac:dyDescent="0.3">
      <c r="B233" s="558"/>
      <c r="C233" s="541"/>
      <c r="D233" s="345" t="str">
        <f>D8</f>
        <v>(kV)</v>
      </c>
      <c r="E233" s="345" t="str">
        <f>E8</f>
        <v>(A)</v>
      </c>
      <c r="F233" s="345" t="str">
        <f>F8</f>
        <v>(A)</v>
      </c>
      <c r="G233" s="406" t="str">
        <f>G8</f>
        <v>(A)</v>
      </c>
      <c r="H233" s="407" t="str">
        <f>H8</f>
        <v>(MVA)</v>
      </c>
      <c r="I233" s="406" t="str">
        <f>I8</f>
        <v>(A)</v>
      </c>
      <c r="J233" s="407" t="str">
        <f>J8</f>
        <v>(MVA)</v>
      </c>
      <c r="K233" s="541"/>
      <c r="L233" s="541"/>
      <c r="M233" s="541"/>
      <c r="O233" s="558"/>
      <c r="P233" s="558"/>
      <c r="Q233" s="558"/>
      <c r="R233" s="568"/>
      <c r="S233" s="570"/>
      <c r="T233" s="541"/>
      <c r="U233" s="541"/>
      <c r="V233" s="558"/>
    </row>
    <row r="234" spans="2:22" x14ac:dyDescent="0.25">
      <c r="B234" s="38" t="s">
        <v>2550</v>
      </c>
      <c r="C234" s="3" t="s">
        <v>2403</v>
      </c>
      <c r="D234" s="61">
        <f t="shared" ref="D234:D241" si="117">ROUNDDOWN(S234,0)</f>
        <v>33</v>
      </c>
      <c r="E234" s="369">
        <f t="array" ref="E234">IF(U234="YES",IF(T234="YES",MIN(IF(TKA[Load Capability Reference]=CONCATENATE(P234,Q234,S234,R234),TKA[Lowest A-PTX])),MIN(IF(TKA[Load Capability Reference]=CONCATENATE(P234,Q234,S234,R234),IF(TKA[Equipment ID]&lt;&gt;O234,TKA[Lowest A-PTX])))),IF(T234="YES",MIN(IF(TKA[Load Capability Reference]=CONCATENATE(P234,Q234,S234,R234),TKA[Lowest A-No PTX])),MIN(IF(TKA[Load Capability Reference]=CONCATENATE(P234,Q234,S234,R234),IF(TKA[Equipment ID]&lt;&gt;O234,TKA[Lowest A-No PTX])))))</f>
        <v>242</v>
      </c>
      <c r="F234" s="61" t="str">
        <f>IFERROR(IFERROR(VLOOKUP(CONCATENATE(P234,Q234,O234,S234,"Protection"),TWZ[[OC Protection Reference]:[Forward A]],23,0),VLOOKUP(O234,AEL_Protection_Data[],12,0)),"N/A")</f>
        <v>N/A</v>
      </c>
      <c r="G234" s="61">
        <f t="shared" ref="G234:G241" si="118">IFERROR(FLOOR(MIN(E234:F234)*$D$3,5),"")</f>
        <v>190</v>
      </c>
      <c r="H234" s="5">
        <f t="shared" ref="H234:H241" si="119">G234*S234*SQRT(3)/1000</f>
        <v>10.859958563456859</v>
      </c>
      <c r="I234" s="61">
        <f t="shared" ref="I234:I241" si="120">IFERROR(FLOOR(MIN(E234:F234)*$D$2,5),"")</f>
        <v>215</v>
      </c>
      <c r="J234" s="5">
        <f t="shared" ref="J234:J241" si="121">I234*S234*SQRT(3)/1000</f>
        <v>12.288900479701184</v>
      </c>
      <c r="K234" s="3" t="str">
        <f>IF(U234="Yes",UPPER(IF(ISNUMBER(SEARCH("winding",VLOOKUP(CONCATENATE(P234,Q234,S234,E234),TKA[[Limiting Equipment Reference-PTX]:[Summ Equipment]],7,0))),"Power Transformer Rating at "&amp;ROUND(E234*S234*SQRT(3)/1000,2)&amp;" MVA",VLOOKUP(CONCATENATE(P234,Q234,S234,E234),TKA[[Limiting Equipment Reference-No PTX]:[Summ Equipment]],8,0))),UPPER(VLOOKUP(CONCATENATE(P234,Q234,S234,E234),TKA[[Limiting Equipment Reference-No PTX]:[Summ Equipment]],8,0)))</f>
        <v>OH LINE-19/14 CU</v>
      </c>
      <c r="L234" s="372" t="s">
        <v>1266</v>
      </c>
      <c r="M234" s="4" t="s">
        <v>1162</v>
      </c>
      <c r="O234" s="3" t="str">
        <f>"TKA-"&amp;B234</f>
        <v>TKA-CB1042</v>
      </c>
      <c r="P234" s="38" t="s">
        <v>1245</v>
      </c>
      <c r="Q234" s="38" t="s">
        <v>95</v>
      </c>
      <c r="R234" s="389"/>
      <c r="S234" s="139">
        <v>33</v>
      </c>
      <c r="T234" s="4" t="s">
        <v>1266</v>
      </c>
      <c r="U234" s="4" t="s">
        <v>1266</v>
      </c>
      <c r="V234" s="38"/>
    </row>
    <row r="235" spans="2:22" x14ac:dyDescent="0.25">
      <c r="B235" s="49" t="s">
        <v>1417</v>
      </c>
      <c r="C235" s="168" t="s">
        <v>2551</v>
      </c>
      <c r="D235" s="119">
        <f t="shared" si="117"/>
        <v>33</v>
      </c>
      <c r="E235" s="370">
        <f t="array" ref="E235">IF(U235="YES",IF(T235="YES",MIN(IF(TKA[Load Capability Reference]=CONCATENATE(P235,Q235,S235,R235),TKA[Lowest A-PTX])),MIN(IF(TKA[Load Capability Reference]=CONCATENATE(P235,Q235,S235,R235),IF(TKA[Equipment ID]&lt;&gt;O235,TKA[Lowest A-PTX])))),IF(T235="YES",MIN(IF(TKA[Load Capability Reference]=CONCATENATE(P235,Q235,S235,R235),TKA[Lowest A-No PTX])),MIN(IF(TKA[Load Capability Reference]=CONCATENATE(P235,Q235,S235,R235),IF(TKA[Equipment ID]&lt;&gt;O235,TKA[Lowest A-No PTX])))))</f>
        <v>247.00000000000003</v>
      </c>
      <c r="F235" s="119">
        <f>IFERROR(IFERROR(VLOOKUP(CONCATENATE(P235,Q235,O235,S235,"Protection"),TWZ[[OC Protection Reference]:[Forward A]],23,0),VLOOKUP(O235,AEL_Protection_Data[],12,0)),"N/A")</f>
        <v>150</v>
      </c>
      <c r="G235" s="119">
        <f t="shared" si="118"/>
        <v>120</v>
      </c>
      <c r="H235" s="29">
        <f t="shared" si="119"/>
        <v>6.8589211979727533</v>
      </c>
      <c r="I235" s="119">
        <f t="shared" si="120"/>
        <v>135</v>
      </c>
      <c r="J235" s="29">
        <f t="shared" si="121"/>
        <v>7.7162863477193477</v>
      </c>
      <c r="K235" s="168" t="str">
        <f>IF(U235="Yes",UPPER(IF(ISNUMBER(SEARCH("winding",VLOOKUP(CONCATENATE(P235,Q235,S235,E235),TKA[[Limiting Equipment Reference-PTX]:[Summ Equipment]],7,0))),"Power Transformer Rating at "&amp;ROUND(E235*S235*SQRT(3)/1000,2)&amp;" MVA",VLOOKUP(CONCATENATE(P235,Q235,S235,E235),TKA[[Limiting Equipment Reference-No PTX]:[Summ Equipment]],8,0))),UPPER(VLOOKUP(CONCATENATE(P235,Q235,S235,E235),TKA[[Limiting Equipment Reference-No PTX]:[Summ Equipment]],8,0)))</f>
        <v>OH LINE - 3-70MM2 CU</v>
      </c>
      <c r="L235" s="373" t="s">
        <v>1267</v>
      </c>
      <c r="M235" s="146" t="s">
        <v>1267</v>
      </c>
      <c r="O235" s="168" t="str">
        <f>"TKA_M11-"&amp;B235</f>
        <v>TKA_M11-M346</v>
      </c>
      <c r="P235" s="49" t="s">
        <v>1245</v>
      </c>
      <c r="Q235" s="49" t="s">
        <v>84</v>
      </c>
      <c r="R235" s="386"/>
      <c r="S235" s="43">
        <v>33</v>
      </c>
      <c r="T235" s="146" t="s">
        <v>1266</v>
      </c>
      <c r="U235" s="146" t="s">
        <v>1266</v>
      </c>
      <c r="V235" s="49"/>
    </row>
    <row r="236" spans="2:22" x14ac:dyDescent="0.25">
      <c r="B236" s="49" t="s">
        <v>390</v>
      </c>
      <c r="C236" s="168" t="s">
        <v>2604</v>
      </c>
      <c r="D236" s="119">
        <f t="shared" si="117"/>
        <v>33</v>
      </c>
      <c r="E236" s="370">
        <f t="array" ref="E236">IF(U236="YES",IF(T236="YES",MIN(IF(TKA[Load Capability Reference]=CONCATENATE(P236,Q236,S236,R236),TKA[Lowest A-PTX])),MIN(IF(TKA[Load Capability Reference]=CONCATENATE(P236,Q236,S236,R236),IF(TKA[Equipment ID]&lt;&gt;O236,TKA[Lowest A-PTX])))),IF(T236="YES",MIN(IF(TKA[Load Capability Reference]=CONCATENATE(P236,Q236,S236,R236),TKA[Lowest A-No PTX])),MIN(IF(TKA[Load Capability Reference]=CONCATENATE(P236,Q236,S236,R236),IF(TKA[Equipment ID]&lt;&gt;O236,TKA[Lowest A-No PTX])))))</f>
        <v>183</v>
      </c>
      <c r="F236" s="119">
        <f>IFERROR(IFERROR(VLOOKUP(CONCATENATE(P236,Q236,O236,S236,"Protection"),TWZ[[OC Protection Reference]:[Forward A]],23,0),VLOOKUP(O236,AEL_Protection_Data[],12,0)),"N/A")</f>
        <v>150</v>
      </c>
      <c r="G236" s="119">
        <f t="shared" si="118"/>
        <v>120</v>
      </c>
      <c r="H236" s="29">
        <f t="shared" si="119"/>
        <v>6.8589211979727533</v>
      </c>
      <c r="I236" s="119">
        <f t="shared" si="120"/>
        <v>135</v>
      </c>
      <c r="J236" s="29">
        <f t="shared" si="121"/>
        <v>7.7162863477193477</v>
      </c>
      <c r="K236" s="168" t="str">
        <f>IF(U236="Yes",UPPER(IF(ISNUMBER(SEARCH("winding",VLOOKUP(CONCATENATE(P236,Q236,S236,E236),TKA[[Limiting Equipment Reference-PTX]:[Summ Equipment]],7,0))),"Power Transformer Rating at "&amp;ROUND(E236*S236*SQRT(3)/1000,2)&amp;" MVA",VLOOKUP(CONCATENATE(P236,Q236,S236,E236),TKA[[Limiting Equipment Reference-No PTX]:[Summ Equipment]],8,0))),UPPER(VLOOKUP(CONCATENATE(P236,Q236,S236,E236),TKA[[Limiting Equipment Reference-No PTX]:[Summ Equipment]],8,0)))</f>
        <v>CIRCUIT BREAKER-TKA-CB1042-PROTECTION</v>
      </c>
      <c r="L236" s="373" t="s">
        <v>1266</v>
      </c>
      <c r="M236" s="146" t="s">
        <v>1162</v>
      </c>
      <c r="O236" s="168" t="str">
        <f>"TEK-"&amp;B236</f>
        <v>TEK-M167</v>
      </c>
      <c r="P236" s="49" t="s">
        <v>1245</v>
      </c>
      <c r="Q236" s="49" t="s">
        <v>95</v>
      </c>
      <c r="R236" s="386"/>
      <c r="S236" s="43">
        <v>33</v>
      </c>
      <c r="T236" s="146" t="s">
        <v>1266</v>
      </c>
      <c r="U236" s="146" t="s">
        <v>1267</v>
      </c>
      <c r="V236" s="49"/>
    </row>
    <row r="237" spans="2:22" x14ac:dyDescent="0.25">
      <c r="B237" s="49" t="s">
        <v>395</v>
      </c>
      <c r="C237" s="168" t="s">
        <v>2605</v>
      </c>
      <c r="D237" s="119">
        <f t="shared" si="117"/>
        <v>11</v>
      </c>
      <c r="E237" s="370">
        <f t="array" ref="E237">IF(U237="YES",IF(T237="YES",MIN(IF(TKA[Load Capability Reference]=CONCATENATE(P237,Q237,S237,R237),TKA[Lowest A-PTX])),MIN(IF(TKA[Load Capability Reference]=CONCATENATE(P237,Q237,S237,R237),IF(TKA[Equipment ID]&lt;&gt;O237,TKA[Lowest A-PTX])))),IF(T237="YES",MIN(IF(TKA[Load Capability Reference]=CONCATENATE(P237,Q237,S237,R237),TKA[Lowest A-No PTX])),MIN(IF(TKA[Load Capability Reference]=CONCATENATE(P237,Q237,S237,R237),IF(TKA[Equipment ID]&lt;&gt;O237,TKA[Lowest A-No PTX])))))</f>
        <v>328.03992567592377</v>
      </c>
      <c r="F237" s="119">
        <f>IFERROR(IFERROR(VLOOKUP(CONCATENATE(P237,Q237,O237,S237,"Protection"),TWZ[[OC Protection Reference]:[Forward A]],23,0),VLOOKUP(O237,AEL_Protection_Data[],12,0)),"N/A")</f>
        <v>400</v>
      </c>
      <c r="G237" s="119">
        <f t="shared" si="118"/>
        <v>260</v>
      </c>
      <c r="H237" s="29">
        <f t="shared" si="119"/>
        <v>4.9536653096469889</v>
      </c>
      <c r="I237" s="119">
        <f t="shared" si="120"/>
        <v>295</v>
      </c>
      <c r="J237" s="29">
        <f t="shared" si="121"/>
        <v>5.6205048705610059</v>
      </c>
      <c r="K237" s="168" t="str">
        <f>IF(U237="Yes",UPPER(IF(ISNUMBER(SEARCH("winding",VLOOKUP(CONCATENATE(P237,Q237,S237,E237),TKA[[Limiting Equipment Reference-PTX]:[Summ Equipment]],7,0))),"Power Transformer Rating at "&amp;ROUND(E237*S237*SQRT(3)/1000,2)&amp;" MVA",VLOOKUP(CONCATENATE(P237,Q237,S237,E237),TKA[[Limiting Equipment Reference-No PTX]:[Summ Equipment]],8,0))),UPPER(VLOOKUP(CONCATENATE(P237,Q237,S237,E237),TKA[[Limiting Equipment Reference-No PTX]:[Summ Equipment]],8,0)))</f>
        <v>POWER TRANSFORMER RATING AT 6.25 MVA</v>
      </c>
      <c r="L237" s="373" t="s">
        <v>1266</v>
      </c>
      <c r="M237" s="146" t="s">
        <v>1162</v>
      </c>
      <c r="O237" s="168" t="str">
        <f>"TEK-"&amp;B237</f>
        <v>TEK-M202</v>
      </c>
      <c r="P237" s="49" t="s">
        <v>1246</v>
      </c>
      <c r="Q237" s="49" t="s">
        <v>83</v>
      </c>
      <c r="R237" s="386"/>
      <c r="S237" s="43">
        <v>11</v>
      </c>
      <c r="T237" s="146" t="s">
        <v>1266</v>
      </c>
      <c r="U237" s="146" t="s">
        <v>1267</v>
      </c>
      <c r="V237" s="49"/>
    </row>
    <row r="238" spans="2:22" x14ac:dyDescent="0.25">
      <c r="B238" s="49" t="s">
        <v>417</v>
      </c>
      <c r="C238" s="168" t="s">
        <v>2552</v>
      </c>
      <c r="D238" s="119">
        <f t="shared" si="117"/>
        <v>11</v>
      </c>
      <c r="E238" s="366">
        <f t="array" ref="E238">IF(U238="YES",IF(T238="YES",MIN(IF(TKA[Load Capability Reference]=CONCATENATE(P238,Q238,S238,R238),TKA[Lowest A-PTX])),MIN(IF(TKA[Load Capability Reference]=CONCATENATE(P238,Q238,S238,R238),IF(TKA[Equipment ID]&lt;&gt;O238,TKA[Lowest A-PTX])))),IF(T238="YES",MIN(IF(TKA[Load Capability Reference]=CONCATENATE(P238,Q238,S238,R238),TKA[Lowest A-No PTX])),MIN(IF(TKA[Load Capability Reference]=CONCATENATE(P238,Q238,S238,R238),IF(TKA[Equipment ID]&lt;&gt;O238,TKA[Lowest A-No PTX])))))</f>
        <v>186.61829999999998</v>
      </c>
      <c r="F238" s="119">
        <f>IFERROR(IFERROR(VLOOKUP(CONCATENATE(P238,Q238,O238,S238,"Protection"),TWZ[[OC Protection Reference]:[Forward A]],23,0),VLOOKUP(O238,AEL_Protection_Data[],12,0)),"N/A")</f>
        <v>276</v>
      </c>
      <c r="G238" s="119">
        <f t="shared" si="118"/>
        <v>145</v>
      </c>
      <c r="H238" s="29">
        <f t="shared" si="119"/>
        <v>2.7626210380723593</v>
      </c>
      <c r="I238" s="119">
        <f t="shared" si="120"/>
        <v>165</v>
      </c>
      <c r="J238" s="29">
        <f t="shared" si="121"/>
        <v>3.1436722157375119</v>
      </c>
      <c r="K238" s="6" t="str">
        <f>IF(U238="Yes",UPPER(IF(ISNUMBER(SEARCH("winding",VLOOKUP(CONCATENATE(P238,Q238,S238,E238),TKA[[Limiting Equipment Reference-PTX]:[Summ Equipment]],7,0))),"Power Transformer Rating at "&amp;ROUND(E238*S238*SQRT(3)/1000,2)&amp;" MVA",VLOOKUP(CONCATENATE(P238,Q238,S238,E238),TKA[[Limiting Equipment Reference-No PTX]:[Summ Equipment]],8,0))),UPPER(VLOOKUP(CONCATENATE(P238,Q238,S238,E238),TKA[[Limiting Equipment Reference-No PTX]:[Summ Equipment]],8,0)))</f>
        <v>CABLE-1-3C 150 MM² AL PILC</v>
      </c>
      <c r="L238" s="373" t="s">
        <v>1267</v>
      </c>
      <c r="M238" s="146" t="s">
        <v>1266</v>
      </c>
      <c r="O238" s="6" t="str">
        <f>"TEK-"&amp;B238</f>
        <v>TEK-M200</v>
      </c>
      <c r="P238" s="49" t="s">
        <v>1276</v>
      </c>
      <c r="Q238" s="49" t="s">
        <v>94</v>
      </c>
      <c r="R238" s="386"/>
      <c r="S238" s="43">
        <v>11</v>
      </c>
      <c r="T238" s="8" t="s">
        <v>1266</v>
      </c>
      <c r="U238" s="8" t="s">
        <v>1266</v>
      </c>
      <c r="V238" s="7"/>
    </row>
    <row r="239" spans="2:22" x14ac:dyDescent="0.25">
      <c r="B239" s="49" t="s">
        <v>419</v>
      </c>
      <c r="C239" s="168" t="s">
        <v>2553</v>
      </c>
      <c r="D239" s="119">
        <f t="shared" si="117"/>
        <v>11</v>
      </c>
      <c r="E239" s="366">
        <f t="array" ref="E239">IF(U239="YES",IF(T239="YES",MIN(IF(TKA[Load Capability Reference]=CONCATENATE(P239,Q239,S239,R239),TKA[Lowest A-PTX])),MIN(IF(TKA[Load Capability Reference]=CONCATENATE(P239,Q239,S239,R239),IF(TKA[Equipment ID]&lt;&gt;O239,TKA[Lowest A-PTX])))),IF(T239="YES",MIN(IF(TKA[Load Capability Reference]=CONCATENATE(P239,Q239,S239,R239),TKA[Lowest A-No PTX])),MIN(IF(TKA[Load Capability Reference]=CONCATENATE(P239,Q239,S239,R239),IF(TKA[Equipment ID]&lt;&gt;O239,TKA[Lowest A-No PTX])))))</f>
        <v>73.709391096942639</v>
      </c>
      <c r="F239" s="119">
        <f>IFERROR(IFERROR(VLOOKUP(CONCATENATE(P239,Q239,O239,S239,"Protection"),TWZ[[OC Protection Reference]:[Forward A]],23,0),VLOOKUP(O239,AEL_Protection_Data[],12,0)),"N/A")</f>
        <v>250</v>
      </c>
      <c r="G239" s="119">
        <f t="shared" si="118"/>
        <v>55</v>
      </c>
      <c r="H239" s="29">
        <f t="shared" si="119"/>
        <v>1.0478907385791707</v>
      </c>
      <c r="I239" s="119">
        <f t="shared" si="120"/>
        <v>65</v>
      </c>
      <c r="J239" s="29">
        <f t="shared" si="121"/>
        <v>1.2384163274117472</v>
      </c>
      <c r="K239" s="6" t="str">
        <f>IF(U239="Yes",UPPER(IF(ISNUMBER(SEARCH("winding",VLOOKUP(CONCATENATE(P239,Q239,S239,E239),TKA[[Limiting Equipment Reference-PTX]:[Summ Equipment]],7,0))),"Power Transformer Rating at "&amp;ROUND(E239*S239*SQRT(3)/1000,2)&amp;" MVA",VLOOKUP(CONCATENATE(P239,Q239,S239,E239),TKA[[Limiting Equipment Reference-No PTX]:[Summ Equipment]],8,0))),UPPER(VLOOKUP(CONCATENATE(P239,Q239,S239,E239),TKA[[Limiting Equipment Reference-No PTX]:[Summ Equipment]],8,0)))</f>
        <v>OH LINE-HERRING</v>
      </c>
      <c r="L239" s="373" t="s">
        <v>1267</v>
      </c>
      <c r="M239" s="146" t="s">
        <v>1267</v>
      </c>
      <c r="O239" s="6" t="str">
        <f t="shared" ref="O239:O241" si="122">"TEK-"&amp;B239</f>
        <v>TEK-M201</v>
      </c>
      <c r="P239" s="49" t="s">
        <v>1276</v>
      </c>
      <c r="Q239" s="49" t="s">
        <v>107</v>
      </c>
      <c r="R239" s="386"/>
      <c r="S239" s="43">
        <v>11</v>
      </c>
      <c r="T239" s="8" t="s">
        <v>1266</v>
      </c>
      <c r="U239" s="8" t="s">
        <v>1266</v>
      </c>
      <c r="V239" s="7"/>
    </row>
    <row r="240" spans="2:22" x14ac:dyDescent="0.25">
      <c r="B240" s="49" t="s">
        <v>420</v>
      </c>
      <c r="C240" s="168" t="s">
        <v>2554</v>
      </c>
      <c r="D240" s="119">
        <f t="shared" si="117"/>
        <v>11</v>
      </c>
      <c r="E240" s="366">
        <f t="array" ref="E240">IF(U240="YES",IF(T240="YES",MIN(IF(TKA[Load Capability Reference]=CONCATENATE(P240,Q240,S240,R240),TKA[Lowest A-PTX])),MIN(IF(TKA[Load Capability Reference]=CONCATENATE(P240,Q240,S240,R240),IF(TKA[Equipment ID]&lt;&gt;O240,TKA[Lowest A-PTX])))),IF(T240="YES",MIN(IF(TKA[Load Capability Reference]=CONCATENATE(P240,Q240,S240,R240),TKA[Lowest A-No PTX])),MIN(IF(TKA[Load Capability Reference]=CONCATENATE(P240,Q240,S240,R240),IF(TKA[Equipment ID]&lt;&gt;O240,TKA[Lowest A-No PTX])))))</f>
        <v>73.709391096942639</v>
      </c>
      <c r="F240" s="119">
        <f>IFERROR(IFERROR(VLOOKUP(CONCATENATE(P240,Q240,O240,S240,"Protection"),TWZ[[OC Protection Reference]:[Forward A]],23,0),VLOOKUP(O240,AEL_Protection_Data[],12,0)),"N/A")</f>
        <v>200</v>
      </c>
      <c r="G240" s="119">
        <f t="shared" si="118"/>
        <v>55</v>
      </c>
      <c r="H240" s="29">
        <f t="shared" si="119"/>
        <v>1.0478907385791707</v>
      </c>
      <c r="I240" s="119">
        <f t="shared" si="120"/>
        <v>65</v>
      </c>
      <c r="J240" s="29">
        <f t="shared" si="121"/>
        <v>1.2384163274117472</v>
      </c>
      <c r="K240" s="6" t="str">
        <f>IF(U240="Yes",UPPER(IF(ISNUMBER(SEARCH("winding",VLOOKUP(CONCATENATE(P240,Q240,S240,E240),TKA[[Limiting Equipment Reference-PTX]:[Summ Equipment]],7,0))),"Power Transformer Rating at "&amp;ROUND(E240*S240*SQRT(3)/1000,2)&amp;" MVA",VLOOKUP(CONCATENATE(P240,Q240,S240,E240),TKA[[Limiting Equipment Reference-No PTX]:[Summ Equipment]],8,0))),UPPER(VLOOKUP(CONCATENATE(P240,Q240,S240,E240),TKA[[Limiting Equipment Reference-No PTX]:[Summ Equipment]],8,0)))</f>
        <v>OH LINE-HERRING</v>
      </c>
      <c r="L240" s="373" t="s">
        <v>1267</v>
      </c>
      <c r="M240" s="146" t="s">
        <v>1267</v>
      </c>
      <c r="O240" s="6" t="str">
        <f t="shared" si="122"/>
        <v>TEK-M205</v>
      </c>
      <c r="P240" s="49" t="s">
        <v>1276</v>
      </c>
      <c r="Q240" s="49" t="s">
        <v>118</v>
      </c>
      <c r="R240" s="386"/>
      <c r="S240" s="43">
        <v>11</v>
      </c>
      <c r="T240" s="8" t="s">
        <v>1266</v>
      </c>
      <c r="U240" s="8" t="s">
        <v>1266</v>
      </c>
      <c r="V240" s="7"/>
    </row>
    <row r="241" spans="2:22" ht="15.75" thickBot="1" x14ac:dyDescent="0.3">
      <c r="B241" s="374" t="s">
        <v>421</v>
      </c>
      <c r="C241" s="375" t="s">
        <v>2555</v>
      </c>
      <c r="D241" s="377">
        <f t="shared" si="117"/>
        <v>11</v>
      </c>
      <c r="E241" s="376">
        <f t="array" ref="E241">IF(U241="YES",IF(T241="YES",MIN(IF(TKA[Load Capability Reference]=CONCATENATE(P241,Q241,S241,R241),TKA[Lowest A-PTX])),MIN(IF(TKA[Load Capability Reference]=CONCATENATE(P241,Q241,S241,R241),IF(TKA[Equipment ID]&lt;&gt;O241,TKA[Lowest A-PTX])))),IF(T241="YES",MIN(IF(TKA[Load Capability Reference]=CONCATENATE(P241,Q241,S241,R241),TKA[Lowest A-No PTX])),MIN(IF(TKA[Load Capability Reference]=CONCATENATE(P241,Q241,S241,R241),IF(TKA[Equipment ID]&lt;&gt;O241,TKA[Lowest A-No PTX])))))</f>
        <v>186.61829999999998</v>
      </c>
      <c r="F241" s="377">
        <f>IFERROR(IFERROR(VLOOKUP(CONCATENATE(P241,Q241,O241,S241,"Protection"),TWZ[[OC Protection Reference]:[Forward A]],23,0),VLOOKUP(O241,AEL_Protection_Data[],12,0)),"N/A")</f>
        <v>276</v>
      </c>
      <c r="G241" s="377">
        <f t="shared" si="118"/>
        <v>145</v>
      </c>
      <c r="H241" s="185">
        <f t="shared" si="119"/>
        <v>2.7626210380723593</v>
      </c>
      <c r="I241" s="377">
        <f t="shared" si="120"/>
        <v>165</v>
      </c>
      <c r="J241" s="185">
        <f t="shared" si="121"/>
        <v>3.1436722157375119</v>
      </c>
      <c r="K241" s="191" t="str">
        <f>IF(U241="Yes",UPPER(IF(ISNUMBER(SEARCH("winding",VLOOKUP(CONCATENATE(P241,Q241,S241,E241),TKA[[Limiting Equipment Reference-PTX]:[Summ Equipment]],7,0))),"Power Transformer Rating at "&amp;ROUND(E241*S241*SQRT(3)/1000,2)&amp;" MVA",VLOOKUP(CONCATENATE(P241,Q241,S241,E241),TKA[[Limiting Equipment Reference-No PTX]:[Summ Equipment]],8,0))),UPPER(VLOOKUP(CONCATENATE(P241,Q241,S241,E241),TKA[[Limiting Equipment Reference-No PTX]:[Summ Equipment]],8,0)))</f>
        <v>CABLE-1-3C 150 MM² AL PILC</v>
      </c>
      <c r="L241" s="378" t="s">
        <v>1267</v>
      </c>
      <c r="M241" s="379" t="s">
        <v>1266</v>
      </c>
      <c r="O241" s="375" t="str">
        <f t="shared" si="122"/>
        <v>TEK-M206</v>
      </c>
      <c r="P241" s="374" t="s">
        <v>1276</v>
      </c>
      <c r="Q241" s="374" t="s">
        <v>129</v>
      </c>
      <c r="R241" s="387"/>
      <c r="S241" s="175">
        <v>11</v>
      </c>
      <c r="T241" s="201" t="s">
        <v>1266</v>
      </c>
      <c r="U241" s="201" t="s">
        <v>1266</v>
      </c>
      <c r="V241" s="193"/>
    </row>
    <row r="242" spans="2:22" ht="15.75" thickBot="1" x14ac:dyDescent="0.3">
      <c r="B242" s="40"/>
      <c r="C242" s="1"/>
      <c r="D242" s="44"/>
      <c r="E242" s="44"/>
      <c r="F242" s="44"/>
      <c r="G242" s="44"/>
      <c r="H242" s="403"/>
      <c r="I242" s="44"/>
      <c r="J242" s="403"/>
      <c r="K242" s="1"/>
      <c r="L242" s="2"/>
      <c r="M242" s="2"/>
      <c r="S242" s="1"/>
      <c r="T242" s="363"/>
      <c r="U242" s="363"/>
      <c r="V242" s="2"/>
    </row>
    <row r="243" spans="2:22" ht="26.25" thickBot="1" x14ac:dyDescent="0.3">
      <c r="B243" s="584" t="s">
        <v>2556</v>
      </c>
      <c r="C243" s="582"/>
      <c r="D243" s="582"/>
      <c r="E243" s="582"/>
      <c r="F243" s="582"/>
      <c r="G243" s="582"/>
      <c r="H243" s="582"/>
      <c r="I243" s="582"/>
      <c r="J243" s="582"/>
      <c r="K243" s="582"/>
      <c r="L243" s="582"/>
      <c r="M243" s="583"/>
      <c r="O243" s="551" t="s">
        <v>2391</v>
      </c>
      <c r="P243" s="552"/>
      <c r="Q243" s="552"/>
      <c r="R243" s="552"/>
      <c r="S243" s="552"/>
      <c r="T243" s="552"/>
      <c r="U243" s="552"/>
      <c r="V243" s="553"/>
    </row>
    <row r="244" spans="2:22" ht="15.75" customHeight="1" thickBot="1" x14ac:dyDescent="0.3">
      <c r="B244" s="571" t="str">
        <f t="shared" ref="B244:G244" si="123">B6</f>
        <v>CB ID</v>
      </c>
      <c r="C244" s="545" t="str">
        <f t="shared" si="123"/>
        <v>DESIGNATION</v>
      </c>
      <c r="D244" s="382" t="str">
        <f t="shared" si="123"/>
        <v>Rated</v>
      </c>
      <c r="E244" s="572" t="str">
        <f t="shared" si="123"/>
        <v>LOAD
CAPABILITY</v>
      </c>
      <c r="F244" s="572" t="str">
        <f t="shared" si="123"/>
        <v>OC
PICKUP</v>
      </c>
      <c r="G244" s="559" t="str">
        <f t="shared" si="123"/>
        <v>SCADA ALARM</v>
      </c>
      <c r="H244" s="560"/>
      <c r="I244" s="560"/>
      <c r="J244" s="561"/>
      <c r="K244" s="574" t="str">
        <f>K6</f>
        <v>LIMITING EQUIPMENT</v>
      </c>
      <c r="L244" s="575" t="str">
        <f>L6</f>
        <v>RECLOSING</v>
      </c>
      <c r="M244" s="576"/>
      <c r="O244" s="566" t="str">
        <f>O6</f>
        <v>OC Pick up
Reference ID</v>
      </c>
      <c r="P244" s="557" t="str">
        <f>P6</f>
        <v>Supply Level</v>
      </c>
      <c r="Q244" s="566" t="str">
        <f>Q6</f>
        <v>Station/Feeder</v>
      </c>
      <c r="R244" s="567" t="str">
        <f t="shared" ref="R244" si="124">$R$6</f>
        <v>Refered to PTX</v>
      </c>
      <c r="S244" s="569" t="str">
        <f>S6</f>
        <v>Voltage</v>
      </c>
      <c r="T244" s="539" t="str">
        <f>T6</f>
        <v>Include
CB</v>
      </c>
      <c r="U244" s="539" t="str">
        <f>U6</f>
        <v>Include
PTX</v>
      </c>
      <c r="V244" s="557" t="str">
        <f>V6</f>
        <v>Notes</v>
      </c>
    </row>
    <row r="245" spans="2:22" ht="15.75" thickBot="1" x14ac:dyDescent="0.3">
      <c r="B245" s="557"/>
      <c r="C245" s="540"/>
      <c r="D245" s="362" t="str">
        <f>D7</f>
        <v>Voltage</v>
      </c>
      <c r="E245" s="573"/>
      <c r="F245" s="573"/>
      <c r="G245" s="544" t="str">
        <f>G7</f>
        <v>Pre-Emergency</v>
      </c>
      <c r="H245" s="544"/>
      <c r="I245" s="544" t="str">
        <f>I7</f>
        <v>Emergency</v>
      </c>
      <c r="J245" s="544"/>
      <c r="K245" s="540"/>
      <c r="L245" s="545" t="str">
        <f>L7</f>
        <v>AVAILABLE</v>
      </c>
      <c r="M245" s="545" t="str">
        <f>M7</f>
        <v>UTILISED</v>
      </c>
      <c r="O245" s="557"/>
      <c r="P245" s="557"/>
      <c r="Q245" s="557"/>
      <c r="R245" s="567"/>
      <c r="S245" s="569"/>
      <c r="T245" s="540"/>
      <c r="U245" s="540"/>
      <c r="V245" s="557"/>
    </row>
    <row r="246" spans="2:22" ht="15.75" thickBot="1" x14ac:dyDescent="0.3">
      <c r="B246" s="558"/>
      <c r="C246" s="541"/>
      <c r="D246" s="345" t="str">
        <f>D8</f>
        <v>(kV)</v>
      </c>
      <c r="E246" s="345" t="str">
        <f>E8</f>
        <v>(A)</v>
      </c>
      <c r="F246" s="345" t="str">
        <f>F8</f>
        <v>(A)</v>
      </c>
      <c r="G246" s="406" t="str">
        <f>G8</f>
        <v>(A)</v>
      </c>
      <c r="H246" s="407" t="str">
        <f>H8</f>
        <v>(MVA)</v>
      </c>
      <c r="I246" s="406" t="str">
        <f>I8</f>
        <v>(A)</v>
      </c>
      <c r="J246" s="407" t="str">
        <f>J8</f>
        <v>(MVA)</v>
      </c>
      <c r="K246" s="541"/>
      <c r="L246" s="541"/>
      <c r="M246" s="541"/>
      <c r="O246" s="558"/>
      <c r="P246" s="558"/>
      <c r="Q246" s="558"/>
      <c r="R246" s="568"/>
      <c r="S246" s="570"/>
      <c r="T246" s="541"/>
      <c r="U246" s="541"/>
      <c r="V246" s="558"/>
    </row>
    <row r="247" spans="2:22" x14ac:dyDescent="0.25">
      <c r="B247" s="38" t="s">
        <v>1347</v>
      </c>
      <c r="C247" s="3" t="s">
        <v>2594</v>
      </c>
      <c r="D247" s="61">
        <f t="shared" ref="D247:D249" si="125">ROUNDDOWN(S247,0)</f>
        <v>33</v>
      </c>
      <c r="E247" s="369">
        <f t="array" ref="E247">IF(U247="YES",IF(T247="YES",MIN(IF(TKA[Load Capability Reference]=CONCATENATE(P247,Q247,S247,R247),TKA[Lowest A-PTX])),MIN(IF(TKA[Load Capability Reference]=CONCATENATE(P247,Q247,S247,R247),IF(TKA[Equipment ID]&lt;&gt;O247,TKA[Lowest A-PTX])))),IF(T247="YES",MIN(IF(TKA[Load Capability Reference]=CONCATENATE(P247,Q247,S247,R247),TKA[Lowest A-No PTX])),MIN(IF(TKA[Load Capability Reference]=CONCATENATE(P247,Q247,S247,R247),IF(TKA[Equipment ID]&lt;&gt;O247,TKA[Lowest A-No PTX])))))</f>
        <v>26.2431940540739</v>
      </c>
      <c r="F247" s="61">
        <f>IFERROR(IFERROR(VLOOKUP(CONCATENATE(P247,Q247,O247,S247,"Protection"),TWZ[[OC Protection Reference]:[Forward A]],23,0),VLOOKUP(O247,AEL_Protection_Data[],12,0)),"N/A")</f>
        <v>50</v>
      </c>
      <c r="G247" s="61">
        <f t="shared" ref="G247:G249" si="126">IFERROR(FLOOR(MIN(E247:F247)*$D$3,5),"")</f>
        <v>20</v>
      </c>
      <c r="H247" s="5">
        <f t="shared" ref="H247:H249" si="127">G247*S247*SQRT(3)/1000</f>
        <v>1.143153532995459</v>
      </c>
      <c r="I247" s="61">
        <f>IFERROR(FLOOR(MIN(E247:F247)*$D$2,5),"")</f>
        <v>20</v>
      </c>
      <c r="J247" s="5">
        <f t="shared" ref="J247:J249" si="128">I247*S247*SQRT(3)/1000</f>
        <v>1.143153532995459</v>
      </c>
      <c r="K247" s="3" t="str">
        <f>IF(U247="Yes",UPPER(IF(ISNUMBER(SEARCH("winding",VLOOKUP(CONCATENATE(P247,Q247,S247,E247),TKA[[Limiting Equipment Reference-PTX]:[Summ Equipment]],7,0))),"Power Transformer Rating at "&amp;ROUND(E247*S247*SQRT(3)/1000,2)&amp;" MVA",VLOOKUP(CONCATENATE(P247,Q247,S247,E247),TKA[[Limiting Equipment Reference-No PTX]:[Summ Equipment]],8,0))),UPPER(VLOOKUP(CONCATENATE(P247,Q247,S247,E247),TKA[[Limiting Equipment Reference-No PTX]:[Summ Equipment]],8,0)))</f>
        <v>POWER TRANSFORMER RATING AT 1.5 MVA</v>
      </c>
      <c r="L247" s="372" t="s">
        <v>1267</v>
      </c>
      <c r="M247" s="4" t="s">
        <v>1267</v>
      </c>
      <c r="O247" s="3" t="str">
        <f>"UHT-"&amp;B247</f>
        <v>UHT-M302</v>
      </c>
      <c r="P247" s="38" t="s">
        <v>1246</v>
      </c>
      <c r="Q247" s="38" t="s">
        <v>163</v>
      </c>
      <c r="R247" s="389"/>
      <c r="S247" s="139">
        <v>33</v>
      </c>
      <c r="T247" s="4" t="s">
        <v>1266</v>
      </c>
      <c r="U247" s="4" t="s">
        <v>1267</v>
      </c>
      <c r="V247" s="38"/>
    </row>
    <row r="248" spans="2:22" x14ac:dyDescent="0.25">
      <c r="B248" s="49" t="s">
        <v>413</v>
      </c>
      <c r="C248" s="168" t="s">
        <v>2595</v>
      </c>
      <c r="D248" s="119">
        <f t="shared" si="125"/>
        <v>11</v>
      </c>
      <c r="E248" s="370">
        <f t="array" ref="E248">IF(U248="YES",IF(T248="YES",MIN(IF(TKA[Load Capability Reference]=CONCATENATE(P248,Q248,S248,R248),TKA[Lowest A-PTX])),MIN(IF(TKA[Load Capability Reference]=CONCATENATE(P248,Q248,S248,R248),IF(TKA[Equipment ID]&lt;&gt;O248,TKA[Lowest A-PTX])))),IF(T248="YES",MIN(IF(TKA[Load Capability Reference]=CONCATENATE(P248,Q248,S248,R248),TKA[Lowest A-No PTX])),MIN(IF(TKA[Load Capability Reference]=CONCATENATE(P248,Q248,S248,R248),IF(TKA[Equipment ID]&lt;&gt;O248,TKA[Lowest A-No PTX])))))</f>
        <v>259.7</v>
      </c>
      <c r="F248" s="119">
        <f>IFERROR(IFERROR(VLOOKUP(CONCATENATE(P248,Q248,O248,S248,"Protection"),TWZ[[OC Protection Reference]:[Forward A]],23,0),VLOOKUP(O248,AEL_Protection_Data[],12,0)),"N/A")</f>
        <v>100</v>
      </c>
      <c r="G248" s="119">
        <f t="shared" si="126"/>
        <v>80</v>
      </c>
      <c r="H248" s="29">
        <f t="shared" si="127"/>
        <v>1.5242047106606118</v>
      </c>
      <c r="I248" s="119">
        <f>IFERROR(FLOOR(MIN(E248:F248)*$D$2,5),"")</f>
        <v>90</v>
      </c>
      <c r="J248" s="29">
        <f t="shared" si="128"/>
        <v>1.7147302994931883</v>
      </c>
      <c r="K248" s="168" t="str">
        <f>IF(U248="Yes",UPPER(IF(ISNUMBER(SEARCH("winding",VLOOKUP(CONCATENATE(P248,Q248,S248,E248),TKA[[Limiting Equipment Reference-PTX]:[Summ Equipment]],7,0))),"Power Transformer Rating at "&amp;ROUND(E248*S248*SQRT(3)/1000,2)&amp;" MVA",VLOOKUP(CONCATENATE(P248,Q248,S248,E248),TKA[[Limiting Equipment Reference-No PTX]:[Summ Equipment]],8,0))),UPPER(VLOOKUP(CONCATENATE(P248,Q248,S248,E248),TKA[[Limiting Equipment Reference-No PTX]:[Summ Equipment]],8,0)))</f>
        <v>CABLE-1-3C 150 MM² AL PILC</v>
      </c>
      <c r="L248" s="146" t="s">
        <v>1266</v>
      </c>
      <c r="M248" s="146" t="s">
        <v>1162</v>
      </c>
      <c r="O248" s="168" t="str">
        <f>"UHT-"&amp;B248</f>
        <v>UHT-M158</v>
      </c>
      <c r="P248" s="49" t="s">
        <v>1276</v>
      </c>
      <c r="Q248" s="49" t="s">
        <v>172</v>
      </c>
      <c r="R248" s="386"/>
      <c r="S248" s="43">
        <v>11</v>
      </c>
      <c r="T248" s="146" t="s">
        <v>1266</v>
      </c>
      <c r="U248" s="146" t="s">
        <v>1266</v>
      </c>
      <c r="V248" s="49"/>
    </row>
    <row r="249" spans="2:22" ht="15.75" thickBot="1" x14ac:dyDescent="0.3">
      <c r="B249" s="374" t="s">
        <v>416</v>
      </c>
      <c r="C249" s="375" t="s">
        <v>2596</v>
      </c>
      <c r="D249" s="377">
        <f t="shared" si="125"/>
        <v>11</v>
      </c>
      <c r="E249" s="376">
        <f t="array" ref="E249">IF(U249="YES",IF(T249="YES",MIN(IF(TKA[Load Capability Reference]=CONCATENATE(P249,Q249,S249,R249),TKA[Lowest A-PTX])),MIN(IF(TKA[Load Capability Reference]=CONCATENATE(P249,Q249,S249,R249),IF(TKA[Equipment ID]&lt;&gt;O249,TKA[Lowest A-PTX])))),IF(T249="YES",MIN(IF(TKA[Load Capability Reference]=CONCATENATE(P249,Q249,S249,R249),TKA[Lowest A-No PTX])),MIN(IF(TKA[Load Capability Reference]=CONCATENATE(P249,Q249,S249,R249),IF(TKA[Equipment ID]&lt;&gt;O249,TKA[Lowest A-No PTX])))))</f>
        <v>259.7</v>
      </c>
      <c r="F249" s="377">
        <f>IFERROR(IFERROR(VLOOKUP(CONCATENATE(P249,Q249,O249,S249,"Protection"),TWZ[[OC Protection Reference]:[Forward A]],23,0),VLOOKUP(O249,AEL_Protection_Data[],12,0)),"N/A")</f>
        <v>100</v>
      </c>
      <c r="G249" s="377">
        <f t="shared" si="126"/>
        <v>80</v>
      </c>
      <c r="H249" s="185">
        <f t="shared" si="127"/>
        <v>1.5242047106606118</v>
      </c>
      <c r="I249" s="377">
        <f>IFERROR(FLOOR(MIN(E249:F249)*$D$2,5),"")</f>
        <v>90</v>
      </c>
      <c r="J249" s="185">
        <f t="shared" si="128"/>
        <v>1.7147302994931883</v>
      </c>
      <c r="K249" s="191" t="str">
        <f>IF(U249="Yes",UPPER(IF(ISNUMBER(SEARCH("winding",VLOOKUP(CONCATENATE(P249,Q249,S249,E249),TKA[[Limiting Equipment Reference-PTX]:[Summ Equipment]],7,0))),"Power Transformer Rating at "&amp;ROUND(E249*S249*SQRT(3)/1000,2)&amp;" MVA",VLOOKUP(CONCATENATE(P249,Q249,S249,E249),TKA[[Limiting Equipment Reference-No PTX]:[Summ Equipment]],8,0))),UPPER(VLOOKUP(CONCATENATE(P249,Q249,S249,E249),TKA[[Limiting Equipment Reference-No PTX]:[Summ Equipment]],8,0)))</f>
        <v>CABLE-1-3C 150 MM² AL PILC</v>
      </c>
      <c r="L249" s="379" t="s">
        <v>1266</v>
      </c>
      <c r="M249" s="379" t="s">
        <v>1162</v>
      </c>
      <c r="O249" s="191" t="str">
        <f>"UHT-"&amp;B249</f>
        <v>UHT-M159</v>
      </c>
      <c r="P249" s="374" t="s">
        <v>1276</v>
      </c>
      <c r="Q249" s="374" t="s">
        <v>178</v>
      </c>
      <c r="R249" s="387"/>
      <c r="S249" s="175">
        <v>11</v>
      </c>
      <c r="T249" s="201" t="s">
        <v>1266</v>
      </c>
      <c r="U249" s="201" t="s">
        <v>1266</v>
      </c>
      <c r="V249" s="193"/>
    </row>
    <row r="250" spans="2:22" ht="15.75" thickBot="1" x14ac:dyDescent="0.3">
      <c r="B250" s="40"/>
      <c r="C250" s="1"/>
      <c r="D250" s="44"/>
      <c r="E250" s="44"/>
      <c r="F250" s="44"/>
      <c r="G250" s="44"/>
      <c r="H250" s="403"/>
      <c r="I250" s="44"/>
      <c r="J250" s="403"/>
      <c r="K250" s="1"/>
      <c r="L250" s="2"/>
      <c r="M250" s="2"/>
      <c r="S250" s="1"/>
      <c r="T250" s="363"/>
      <c r="U250" s="363"/>
      <c r="V250" s="2"/>
    </row>
    <row r="251" spans="2:22" ht="26.25" thickBot="1" x14ac:dyDescent="0.3">
      <c r="B251" s="584" t="s">
        <v>2557</v>
      </c>
      <c r="C251" s="582"/>
      <c r="D251" s="582"/>
      <c r="E251" s="582"/>
      <c r="F251" s="582"/>
      <c r="G251" s="582"/>
      <c r="H251" s="582"/>
      <c r="I251" s="582"/>
      <c r="J251" s="582"/>
      <c r="K251" s="582"/>
      <c r="L251" s="582"/>
      <c r="M251" s="583"/>
      <c r="O251" s="551" t="s">
        <v>2391</v>
      </c>
      <c r="P251" s="552"/>
      <c r="Q251" s="552"/>
      <c r="R251" s="552"/>
      <c r="S251" s="552"/>
      <c r="T251" s="552"/>
      <c r="U251" s="552"/>
      <c r="V251" s="553"/>
    </row>
    <row r="252" spans="2:22" ht="15.75" customHeight="1" thickBot="1" x14ac:dyDescent="0.3">
      <c r="B252" s="571" t="str">
        <f t="shared" ref="B252:G252" si="129">B6</f>
        <v>CB ID</v>
      </c>
      <c r="C252" s="545" t="str">
        <f t="shared" si="129"/>
        <v>DESIGNATION</v>
      </c>
      <c r="D252" s="382" t="str">
        <f t="shared" si="129"/>
        <v>Rated</v>
      </c>
      <c r="E252" s="572" t="str">
        <f t="shared" si="129"/>
        <v>LOAD
CAPABILITY</v>
      </c>
      <c r="F252" s="572" t="str">
        <f t="shared" si="129"/>
        <v>OC
PICKUP</v>
      </c>
      <c r="G252" s="559" t="str">
        <f t="shared" si="129"/>
        <v>SCADA ALARM</v>
      </c>
      <c r="H252" s="560"/>
      <c r="I252" s="560"/>
      <c r="J252" s="561"/>
      <c r="K252" s="574" t="str">
        <f>K6</f>
        <v>LIMITING EQUIPMENT</v>
      </c>
      <c r="L252" s="575" t="str">
        <f>L6</f>
        <v>RECLOSING</v>
      </c>
      <c r="M252" s="576"/>
      <c r="O252" s="566" t="str">
        <f>O6</f>
        <v>OC Pick up
Reference ID</v>
      </c>
      <c r="P252" s="557" t="str">
        <f>P6</f>
        <v>Supply Level</v>
      </c>
      <c r="Q252" s="566" t="str">
        <f>Q6</f>
        <v>Station/Feeder</v>
      </c>
      <c r="R252" s="567" t="str">
        <f t="shared" ref="R252" si="130">$R$6</f>
        <v>Refered to PTX</v>
      </c>
      <c r="S252" s="569" t="str">
        <f>S6</f>
        <v>Voltage</v>
      </c>
      <c r="T252" s="539" t="str">
        <f>T6</f>
        <v>Include
CB</v>
      </c>
      <c r="U252" s="539" t="str">
        <f>U6</f>
        <v>Include
PTX</v>
      </c>
      <c r="V252" s="557" t="str">
        <f>V6</f>
        <v>Notes</v>
      </c>
    </row>
    <row r="253" spans="2:22" ht="15.75" thickBot="1" x14ac:dyDescent="0.3">
      <c r="B253" s="557"/>
      <c r="C253" s="540"/>
      <c r="D253" s="362" t="str">
        <f>D7</f>
        <v>Voltage</v>
      </c>
      <c r="E253" s="573"/>
      <c r="F253" s="573"/>
      <c r="G253" s="544" t="str">
        <f>G7</f>
        <v>Pre-Emergency</v>
      </c>
      <c r="H253" s="544"/>
      <c r="I253" s="544" t="str">
        <f>I7</f>
        <v>Emergency</v>
      </c>
      <c r="J253" s="544"/>
      <c r="K253" s="540"/>
      <c r="L253" s="545" t="str">
        <f>L7</f>
        <v>AVAILABLE</v>
      </c>
      <c r="M253" s="545" t="str">
        <f>M7</f>
        <v>UTILISED</v>
      </c>
      <c r="O253" s="557"/>
      <c r="P253" s="557"/>
      <c r="Q253" s="557"/>
      <c r="R253" s="567"/>
      <c r="S253" s="569"/>
      <c r="T253" s="540"/>
      <c r="U253" s="540"/>
      <c r="V253" s="557"/>
    </row>
    <row r="254" spans="2:22" ht="15.75" thickBot="1" x14ac:dyDescent="0.3">
      <c r="B254" s="558"/>
      <c r="C254" s="541"/>
      <c r="D254" s="345" t="str">
        <f>D8</f>
        <v>(kV)</v>
      </c>
      <c r="E254" s="345" t="str">
        <f>E8</f>
        <v>(A)</v>
      </c>
      <c r="F254" s="345" t="str">
        <f>F8</f>
        <v>(A)</v>
      </c>
      <c r="G254" s="406" t="str">
        <f>G8</f>
        <v>(A)</v>
      </c>
      <c r="H254" s="407" t="str">
        <f>H8</f>
        <v>(MVA)</v>
      </c>
      <c r="I254" s="406" t="str">
        <f>I8</f>
        <v>(A)</v>
      </c>
      <c r="J254" s="407" t="str">
        <f>J8</f>
        <v>(MVA)</v>
      </c>
      <c r="K254" s="541"/>
      <c r="L254" s="541"/>
      <c r="M254" s="541"/>
      <c r="O254" s="558"/>
      <c r="P254" s="558"/>
      <c r="Q254" s="558"/>
      <c r="R254" s="568"/>
      <c r="S254" s="570"/>
      <c r="T254" s="541"/>
      <c r="U254" s="541"/>
      <c r="V254" s="558"/>
    </row>
    <row r="255" spans="2:22" x14ac:dyDescent="0.25">
      <c r="B255" s="49" t="s">
        <v>1336</v>
      </c>
      <c r="C255" s="168" t="s">
        <v>2597</v>
      </c>
      <c r="D255" s="119">
        <f t="shared" ref="D255:D256" si="131">ROUNDDOWN(S255,0)</f>
        <v>11</v>
      </c>
      <c r="E255" s="370">
        <f t="array" ref="E255">IF(U255="YES",IF(T255="YES",MIN(IF(TKA[Load Capability Reference]=CONCATENATE(P255,Q255,S255,R255),TKA[Lowest A-PTX])),MIN(IF(TKA[Load Capability Reference]=CONCATENATE(P255,Q255,S255,R255),IF(TKA[Equipment ID]&lt;&gt;O255,TKA[Lowest A-PTX])))),IF(T255="YES",MIN(IF(TKA[Load Capability Reference]=CONCATENATE(P255,Q255,S255,R255),TKA[Lowest A-No PTX])),MIN(IF(TKA[Load Capability Reference]=CONCATENATE(P255,Q255,S255,R255),IF(TKA[Equipment ID]&lt;&gt;O255,TKA[Lowest A-No PTX])))))</f>
        <v>73.709391096942639</v>
      </c>
      <c r="F255" s="119">
        <f>IFERROR(IFERROR(VLOOKUP(CONCATENATE(P255,Q255,O255,S255,"Protection"),TWZ[[OC Protection Reference]:[Forward A]],23,0),VLOOKUP(O255,AEL_Protection_Data[],12,0)),"N/A")</f>
        <v>120</v>
      </c>
      <c r="G255" s="119">
        <f t="shared" ref="G255:G256" si="132">IFERROR(FLOOR(MIN(E255:F255)*$D$3,5),"")</f>
        <v>55</v>
      </c>
      <c r="H255" s="29">
        <f t="shared" ref="H255:H256" si="133">G255*S255*SQRT(3)/1000</f>
        <v>1.0478907385791707</v>
      </c>
      <c r="I255" s="119">
        <f>IFERROR(FLOOR(MIN(E255:F255)*$D$2,5),"")</f>
        <v>65</v>
      </c>
      <c r="J255" s="29">
        <f t="shared" ref="J255:J256" si="134">I255*S255*SQRT(3)/1000</f>
        <v>1.2384163274117472</v>
      </c>
      <c r="K255" s="168" t="str">
        <f>IF(U255="Yes",UPPER(IF(ISNUMBER(SEARCH("winding",VLOOKUP(CONCATENATE(P255,Q255,S255,E255),TKA[[Limiting Equipment Reference-PTX]:[Summ Equipment]],7,0))),"Power Transformer Rating at "&amp;ROUND(E255*S255*SQRT(3)/1000,2)&amp;" MVA",VLOOKUP(CONCATENATE(P255,Q255,S255,E255),TKA[[Limiting Equipment Reference-No PTX]:[Summ Equipment]],8,0))),UPPER(VLOOKUP(CONCATENATE(P255,Q255,S255,E255),TKA[[Limiting Equipment Reference-No PTX]:[Summ Equipment]],8,0)))</f>
        <v>OH LINE-HERRING</v>
      </c>
      <c r="L255" s="373" t="s">
        <v>1267</v>
      </c>
      <c r="M255" s="146" t="s">
        <v>1266</v>
      </c>
      <c r="O255" s="3" t="str">
        <f>"OMR-"&amp;B255</f>
        <v>OMR-M331</v>
      </c>
      <c r="P255" s="38" t="s">
        <v>1277</v>
      </c>
      <c r="Q255" s="38" t="s">
        <v>1443</v>
      </c>
      <c r="R255" s="389"/>
      <c r="S255" s="139">
        <v>11</v>
      </c>
      <c r="T255" s="4" t="s">
        <v>1266</v>
      </c>
      <c r="U255" s="4" t="s">
        <v>1267</v>
      </c>
      <c r="V255" s="38"/>
    </row>
    <row r="256" spans="2:22" ht="15.75" thickBot="1" x14ac:dyDescent="0.3">
      <c r="B256" s="374" t="s">
        <v>1344</v>
      </c>
      <c r="C256" s="375" t="s">
        <v>2598</v>
      </c>
      <c r="D256" s="377">
        <f t="shared" si="131"/>
        <v>22</v>
      </c>
      <c r="E256" s="376">
        <f t="array" ref="E256">IF(U256="YES",IF(T256="YES",MIN(IF(TKA[Load Capability Reference]=CONCATENATE(P256,Q256,S256,R256),TKA[Lowest A-PTX])),MIN(IF(TKA[Load Capability Reference]=CONCATENATE(P256,Q256,S256,R256),IF(TKA[Equipment ID]&lt;&gt;O256,TKA[Lowest A-PTX])))),IF(T256="YES",MIN(IF(TKA[Load Capability Reference]=CONCATENATE(P256,Q256,S256,R256),TKA[Lowest A-No PTX])),MIN(IF(TKA[Load Capability Reference]=CONCATENATE(P256,Q256,S256,R256),IF(TKA[Equipment ID]&lt;&gt;O256,TKA[Lowest A-No PTX])))))</f>
        <v>39.364791081110852</v>
      </c>
      <c r="F256" s="377">
        <f>IFERROR(IFERROR(VLOOKUP(CONCATENATE(P256,Q256,O256,S256,"Protection"),TWZ[[OC Protection Reference]:[Forward A]],23,0),VLOOKUP(O256,AEL_Protection_Data[],12,0)),"N/A")</f>
        <v>60</v>
      </c>
      <c r="G256" s="377">
        <f t="shared" si="132"/>
        <v>30</v>
      </c>
      <c r="H256" s="185">
        <f t="shared" si="133"/>
        <v>1.143153532995459</v>
      </c>
      <c r="I256" s="377">
        <f>IFERROR(FLOOR(MIN(E256:F256)*$D$2,5),"")</f>
        <v>35</v>
      </c>
      <c r="J256" s="185">
        <f t="shared" si="134"/>
        <v>1.3336791218280355</v>
      </c>
      <c r="K256" s="191" t="str">
        <f>IF(U256="Yes",UPPER(IF(ISNUMBER(SEARCH("winding",VLOOKUP(CONCATENATE(P256,Q256,S256,E256),TKA[[Limiting Equipment Reference-PTX]:[Summ Equipment]],7,0))),"Power Transformer Rating at "&amp;ROUND(E256*S256*SQRT(3)/1000,2)&amp;" MVA",VLOOKUP(CONCATENATE(P256,Q256,S256,E256),TKA[[Limiting Equipment Reference-No PTX]:[Summ Equipment]],8,0))),UPPER(VLOOKUP(CONCATENATE(P256,Q256,S256,E256),TKA[[Limiting Equipment Reference-No PTX]:[Summ Equipment]],8,0)))</f>
        <v>POWER TRANSFORMER RATING AT 1.5 MVA</v>
      </c>
      <c r="L256" s="378" t="s">
        <v>1267</v>
      </c>
      <c r="M256" s="379" t="s">
        <v>1267</v>
      </c>
      <c r="O256" s="375" t="str">
        <f>"OMR-"&amp;B256</f>
        <v>OMR-M338</v>
      </c>
      <c r="P256" s="374" t="s">
        <v>1276</v>
      </c>
      <c r="Q256" s="374" t="s">
        <v>1444</v>
      </c>
      <c r="R256" s="387"/>
      <c r="S256" s="175">
        <v>22</v>
      </c>
      <c r="T256" s="379" t="s">
        <v>1266</v>
      </c>
      <c r="U256" s="379" t="s">
        <v>1267</v>
      </c>
      <c r="V256" s="374"/>
    </row>
    <row r="257" spans="2:22" ht="15.75" thickBot="1" x14ac:dyDescent="0.3">
      <c r="B257" s="40"/>
      <c r="C257" s="1"/>
      <c r="D257" s="44"/>
      <c r="E257" s="44"/>
      <c r="F257" s="44"/>
      <c r="G257" s="44"/>
      <c r="H257" s="403"/>
      <c r="I257" s="44"/>
      <c r="J257" s="403"/>
      <c r="K257" s="1"/>
      <c r="L257" s="2"/>
      <c r="M257" s="2"/>
      <c r="S257" s="1"/>
      <c r="T257" s="363"/>
      <c r="U257" s="363"/>
      <c r="V257" s="2"/>
    </row>
    <row r="258" spans="2:22" ht="26.25" thickBot="1" x14ac:dyDescent="0.3">
      <c r="B258" s="584" t="s">
        <v>2560</v>
      </c>
      <c r="C258" s="582"/>
      <c r="D258" s="582"/>
      <c r="E258" s="582"/>
      <c r="F258" s="582"/>
      <c r="G258" s="582"/>
      <c r="H258" s="582"/>
      <c r="I258" s="582"/>
      <c r="J258" s="582"/>
      <c r="K258" s="582"/>
      <c r="L258" s="582"/>
      <c r="M258" s="583"/>
      <c r="O258" s="551" t="s">
        <v>2391</v>
      </c>
      <c r="P258" s="552"/>
      <c r="Q258" s="552"/>
      <c r="R258" s="552"/>
      <c r="S258" s="552"/>
      <c r="T258" s="552"/>
      <c r="U258" s="552"/>
      <c r="V258" s="553"/>
    </row>
    <row r="259" spans="2:22" ht="15.75" customHeight="1" thickBot="1" x14ac:dyDescent="0.3">
      <c r="B259" s="571" t="str">
        <f t="shared" ref="B259:G259" si="135">B6</f>
        <v>CB ID</v>
      </c>
      <c r="C259" s="545" t="str">
        <f t="shared" si="135"/>
        <v>DESIGNATION</v>
      </c>
      <c r="D259" s="382" t="str">
        <f t="shared" si="135"/>
        <v>Rated</v>
      </c>
      <c r="E259" s="572" t="str">
        <f t="shared" si="135"/>
        <v>LOAD
CAPABILITY</v>
      </c>
      <c r="F259" s="572" t="str">
        <f t="shared" si="135"/>
        <v>OC
PICKUP</v>
      </c>
      <c r="G259" s="559" t="str">
        <f t="shared" si="135"/>
        <v>SCADA ALARM</v>
      </c>
      <c r="H259" s="560"/>
      <c r="I259" s="560"/>
      <c r="J259" s="561"/>
      <c r="K259" s="574" t="str">
        <f>K6</f>
        <v>LIMITING EQUIPMENT</v>
      </c>
      <c r="L259" s="575" t="str">
        <f>L6</f>
        <v>RECLOSING</v>
      </c>
      <c r="M259" s="576"/>
      <c r="O259" s="566" t="str">
        <f>O6</f>
        <v>OC Pick up
Reference ID</v>
      </c>
      <c r="P259" s="557" t="str">
        <f>P6</f>
        <v>Supply Level</v>
      </c>
      <c r="Q259" s="566" t="str">
        <f>Q6</f>
        <v>Station/Feeder</v>
      </c>
      <c r="R259" s="567" t="str">
        <f t="shared" ref="R259" si="136">$R$6</f>
        <v>Refered to PTX</v>
      </c>
      <c r="S259" s="569" t="str">
        <f>S6</f>
        <v>Voltage</v>
      </c>
      <c r="T259" s="539" t="str">
        <f>T6</f>
        <v>Include
CB</v>
      </c>
      <c r="U259" s="539" t="str">
        <f>U6</f>
        <v>Include
PTX</v>
      </c>
      <c r="V259" s="557" t="str">
        <f>V6</f>
        <v>Notes</v>
      </c>
    </row>
    <row r="260" spans="2:22" ht="15.75" thickBot="1" x14ac:dyDescent="0.3">
      <c r="B260" s="557"/>
      <c r="C260" s="540"/>
      <c r="D260" s="362" t="str">
        <f>D7</f>
        <v>Voltage</v>
      </c>
      <c r="E260" s="573"/>
      <c r="F260" s="573"/>
      <c r="G260" s="544" t="str">
        <f>G7</f>
        <v>Pre-Emergency</v>
      </c>
      <c r="H260" s="544"/>
      <c r="I260" s="544" t="str">
        <f>I7</f>
        <v>Emergency</v>
      </c>
      <c r="J260" s="544"/>
      <c r="K260" s="540"/>
      <c r="L260" s="545" t="str">
        <f>L7</f>
        <v>AVAILABLE</v>
      </c>
      <c r="M260" s="545" t="str">
        <f>M7</f>
        <v>UTILISED</v>
      </c>
      <c r="O260" s="557"/>
      <c r="P260" s="557"/>
      <c r="Q260" s="557"/>
      <c r="R260" s="567"/>
      <c r="S260" s="569"/>
      <c r="T260" s="540"/>
      <c r="U260" s="540"/>
      <c r="V260" s="557"/>
    </row>
    <row r="261" spans="2:22" ht="15.75" thickBot="1" x14ac:dyDescent="0.3">
      <c r="B261" s="558"/>
      <c r="C261" s="541"/>
      <c r="D261" s="345" t="str">
        <f>D8</f>
        <v>(kV)</v>
      </c>
      <c r="E261" s="345" t="str">
        <f>E8</f>
        <v>(A)</v>
      </c>
      <c r="F261" s="345" t="str">
        <f>F8</f>
        <v>(A)</v>
      </c>
      <c r="G261" s="406" t="str">
        <f>G8</f>
        <v>(A)</v>
      </c>
      <c r="H261" s="407" t="str">
        <f>H8</f>
        <v>(MVA)</v>
      </c>
      <c r="I261" s="406" t="str">
        <f>I8</f>
        <v>(A)</v>
      </c>
      <c r="J261" s="407" t="str">
        <f>J8</f>
        <v>(MVA)</v>
      </c>
      <c r="K261" s="541"/>
      <c r="L261" s="541"/>
      <c r="M261" s="541"/>
      <c r="O261" s="558"/>
      <c r="P261" s="558"/>
      <c r="Q261" s="558"/>
      <c r="R261" s="568"/>
      <c r="S261" s="570"/>
      <c r="T261" s="541"/>
      <c r="U261" s="541"/>
      <c r="V261" s="558"/>
    </row>
    <row r="262" spans="2:22" x14ac:dyDescent="0.25">
      <c r="B262" s="49" t="s">
        <v>432</v>
      </c>
      <c r="C262" s="168" t="s">
        <v>2558</v>
      </c>
      <c r="D262" s="119">
        <f t="shared" ref="D262:D265" si="137">ROUNDDOWN(S262,0)</f>
        <v>11</v>
      </c>
      <c r="E262" s="370">
        <f t="array" ref="E262">IF(U262="YES",IF(T262="YES",MIN(IF(TKA[Load Capability Reference]=CONCATENATE(P262,Q262,S262,R262),TKA[Lowest A-PTX])),MIN(IF(TKA[Load Capability Reference]=CONCATENATE(P262,Q262,S262,R262),IF(TKA[Equipment ID]&lt;&gt;O262,TKA[Lowest A-PTX])))),IF(T262="YES",MIN(IF(TKA[Load Capability Reference]=CONCATENATE(P262,Q262,S262,R262),TKA[Lowest A-No PTX])),MIN(IF(TKA[Load Capability Reference]=CONCATENATE(P262,Q262,S262,R262),IF(TKA[Equipment ID]&lt;&gt;O262,TKA[Lowest A-No PTX])))))</f>
        <v>52.4863881081478</v>
      </c>
      <c r="F262" s="119">
        <f>IFERROR(IFERROR(VLOOKUP(CONCATENATE(P262,Q262,O262,S262,"Protection"),TWZ[[OC Protection Reference]:[Forward A]],23,0),VLOOKUP(O262,AEL_Protection_Data[],12,0)),"N/A")</f>
        <v>60</v>
      </c>
      <c r="G262" s="119">
        <f t="shared" ref="G262:G263" si="138">IFERROR(FLOOR(MIN(E262:F262)*$D$3,5),"")</f>
        <v>40</v>
      </c>
      <c r="H262" s="29">
        <f t="shared" ref="H262:H263" si="139">G262*S262*SQRT(3)/1000</f>
        <v>0.7621023553303059</v>
      </c>
      <c r="I262" s="119">
        <f>IFERROR(FLOOR(MIN(E262:F262)*$D$2,5),"")</f>
        <v>45</v>
      </c>
      <c r="J262" s="29">
        <f t="shared" ref="J262:J263" si="140">I262*S262*SQRT(3)/1000</f>
        <v>0.85736514974659417</v>
      </c>
      <c r="K262" s="168" t="str">
        <f>IF(U262="Yes",UPPER(IF(ISNUMBER(SEARCH("winding",VLOOKUP(CONCATENATE(P262,Q262,S262,E262),TKA[[Limiting Equipment Reference-PTX]:[Summ Equipment]],7,0))),"Power Transformer Rating at "&amp;ROUND(E262*S262*SQRT(3)/1000,2)&amp;" MVA",VLOOKUP(CONCATENATE(P262,Q262,S262,E262),TKA[[Limiting Equipment Reference-No PTX]:[Summ Equipment]],8,0))),UPPER(VLOOKUP(CONCATENATE(P262,Q262,S262,E262),TKA[[Limiting Equipment Reference-No PTX]:[Summ Equipment]],8,0)))</f>
        <v>POWER TRANSFORMER RATING AT 1 MVA</v>
      </c>
      <c r="L262" s="373" t="s">
        <v>1267</v>
      </c>
      <c r="M262" s="146" t="s">
        <v>1266</v>
      </c>
      <c r="O262" s="3" t="str">
        <f>"HLB-"&amp;B262</f>
        <v>HLB-M82</v>
      </c>
      <c r="P262" s="38" t="s">
        <v>1277</v>
      </c>
      <c r="Q262" s="38" t="s">
        <v>164</v>
      </c>
      <c r="R262" s="389"/>
      <c r="S262" s="139">
        <v>11</v>
      </c>
      <c r="T262" s="4" t="s">
        <v>1266</v>
      </c>
      <c r="U262" s="4" t="s">
        <v>1267</v>
      </c>
      <c r="V262" s="38"/>
    </row>
    <row r="263" spans="2:22" x14ac:dyDescent="0.25">
      <c r="B263" s="49" t="s">
        <v>435</v>
      </c>
      <c r="C263" s="168" t="s">
        <v>2559</v>
      </c>
      <c r="D263" s="119">
        <f t="shared" si="137"/>
        <v>22</v>
      </c>
      <c r="E263" s="370">
        <f t="array" ref="E263">IF(U263="YES",IF(T263="YES",MIN(IF(TKA[Load Capability Reference]=CONCATENATE(P263,Q263,S263,R263),TKA[Lowest A-PTX])),MIN(IF(TKA[Load Capability Reference]=CONCATENATE(P263,Q263,S263,R263),IF(TKA[Equipment ID]&lt;&gt;O263,TKA[Lowest A-PTX])))),IF(T263="YES",MIN(IF(TKA[Load Capability Reference]=CONCATENATE(P263,Q263,S263,R263),TKA[Lowest A-No PTX])),MIN(IF(TKA[Load Capability Reference]=CONCATENATE(P263,Q263,S263,R263),IF(TKA[Equipment ID]&lt;&gt;O263,TKA[Lowest A-No PTX])))))</f>
        <v>26.2431940540739</v>
      </c>
      <c r="F263" s="119">
        <f>IFERROR(IFERROR(VLOOKUP(CONCATENATE(P263,Q263,O263,S263,"Protection"),TWZ[[OC Protection Reference]:[Forward A]],23,0),VLOOKUP(O263,AEL_Protection_Data[],12,0)),"N/A")</f>
        <v>30</v>
      </c>
      <c r="G263" s="119">
        <f t="shared" si="138"/>
        <v>20</v>
      </c>
      <c r="H263" s="29">
        <f t="shared" si="139"/>
        <v>0.7621023553303059</v>
      </c>
      <c r="I263" s="119">
        <f>IFERROR(FLOOR(MIN(E263:F263)*$D$2,5),"")</f>
        <v>20</v>
      </c>
      <c r="J263" s="29">
        <f t="shared" si="140"/>
        <v>0.7621023553303059</v>
      </c>
      <c r="K263" s="168" t="str">
        <f>IF(U263="Yes",UPPER(IF(ISNUMBER(SEARCH("winding",VLOOKUP(CONCATENATE(P263,Q263,S263,E263),TKA[[Limiting Equipment Reference-PTX]:[Summ Equipment]],7,0))),"Power Transformer Rating at "&amp;ROUND(E263*S263*SQRT(3)/1000,2)&amp;" MVA",VLOOKUP(CONCATENATE(P263,Q263,S263,E263),TKA[[Limiting Equipment Reference-No PTX]:[Summ Equipment]],8,0))),UPPER(VLOOKUP(CONCATENATE(P263,Q263,S263,E263),TKA[[Limiting Equipment Reference-No PTX]:[Summ Equipment]],8,0)))</f>
        <v>POWER TRANSFORMER RATING AT 1 MVA</v>
      </c>
      <c r="L263" s="373" t="s">
        <v>1267</v>
      </c>
      <c r="M263" s="146" t="s">
        <v>1266</v>
      </c>
      <c r="O263" s="168" t="str">
        <f t="shared" ref="O263:O265" si="141">"HLB-"&amp;B263</f>
        <v>HLB-M86</v>
      </c>
      <c r="P263" s="49" t="s">
        <v>1277</v>
      </c>
      <c r="Q263" s="49" t="s">
        <v>164</v>
      </c>
      <c r="R263" s="386"/>
      <c r="S263" s="43">
        <v>22</v>
      </c>
      <c r="T263" s="146" t="s">
        <v>1266</v>
      </c>
      <c r="U263" s="146" t="s">
        <v>1267</v>
      </c>
      <c r="V263" s="49"/>
    </row>
    <row r="264" spans="2:22" x14ac:dyDescent="0.25">
      <c r="B264" s="49" t="s">
        <v>438</v>
      </c>
      <c r="C264" s="168" t="s">
        <v>2561</v>
      </c>
      <c r="D264" s="119">
        <f t="shared" si="137"/>
        <v>22</v>
      </c>
      <c r="E264" s="370">
        <f t="array" ref="E264">IF(U264="YES",IF(T264="YES",MIN(IF(TKA[Load Capability Reference]=CONCATENATE(P264,Q264,S264,R264),TKA[Lowest A-PTX])),MIN(IF(TKA[Load Capability Reference]=CONCATENATE(P264,Q264,S264,R264),IF(TKA[Equipment ID]&lt;&gt;O264,TKA[Lowest A-PTX])))),IF(T264="YES",MIN(IF(TKA[Load Capability Reference]=CONCATENATE(P264,Q264,S264,R264),TKA[Lowest A-No PTX])),MIN(IF(TKA[Load Capability Reference]=CONCATENATE(P264,Q264,S264,R264),IF(TKA[Equipment ID]&lt;&gt;O264,TKA[Lowest A-No PTX])))))</f>
        <v>73.709391096942639</v>
      </c>
      <c r="F264" s="119" t="str">
        <f>IFERROR(IFERROR(VLOOKUP(CONCATENATE(P264,Q264,O264,S264,"Protection"),TWZ[[OC Protection Reference]:[Forward A]],23,0),VLOOKUP(O264,AEL_Protection_Data[],12,0)),"N/A")</f>
        <v>N/A</v>
      </c>
      <c r="G264" s="119" t="s">
        <v>1162</v>
      </c>
      <c r="H264" s="29" t="s">
        <v>1162</v>
      </c>
      <c r="I264" s="119" t="s">
        <v>1162</v>
      </c>
      <c r="J264" s="29" t="s">
        <v>1162</v>
      </c>
      <c r="K264" s="168" t="str">
        <f>IF(U264="Yes",UPPER(IF(ISNUMBER(SEARCH("winding",VLOOKUP(CONCATENATE(P264,Q264,S264,E264),TKA[[Limiting Equipment Reference-PTX]:[Summ Equipment]],7,0))),"Power Transformer Rating at "&amp;ROUND(E264*S264*SQRT(3)/1000,2)&amp;" MVA",VLOOKUP(CONCATENATE(P264,Q264,S264,E264),TKA[[Limiting Equipment Reference-No PTX]:[Summ Equipment]],8,0))),UPPER(VLOOKUP(CONCATENATE(P264,Q264,S264,E264),TKA[[Limiting Equipment Reference-No PTX]:[Summ Equipment]],8,0)))</f>
        <v>OH LINE-HERRING</v>
      </c>
      <c r="L264" s="373" t="s">
        <v>1266</v>
      </c>
      <c r="M264" s="146" t="s">
        <v>1162</v>
      </c>
      <c r="O264" s="6" t="str">
        <f t="shared" si="141"/>
        <v>HLB-M32</v>
      </c>
      <c r="P264" s="49" t="s">
        <v>1276</v>
      </c>
      <c r="Q264" s="49" t="s">
        <v>173</v>
      </c>
      <c r="R264" s="386"/>
      <c r="S264" s="43">
        <v>22</v>
      </c>
      <c r="T264" s="8" t="s">
        <v>1266</v>
      </c>
      <c r="U264" s="8" t="s">
        <v>1266</v>
      </c>
      <c r="V264" s="7" t="s">
        <v>2619</v>
      </c>
    </row>
    <row r="265" spans="2:22" ht="15.75" thickBot="1" x14ac:dyDescent="0.3">
      <c r="B265" s="374" t="s">
        <v>440</v>
      </c>
      <c r="C265" s="375" t="s">
        <v>2562</v>
      </c>
      <c r="D265" s="377">
        <f t="shared" si="137"/>
        <v>22</v>
      </c>
      <c r="E265" s="376">
        <f t="array" ref="E265">IF(U265="YES",IF(T265="YES",MIN(IF(TKA[Load Capability Reference]=CONCATENATE(P265,Q265,S265,R265),TKA[Lowest A-PTX])),MIN(IF(TKA[Load Capability Reference]=CONCATENATE(P265,Q265,S265,R265),IF(TKA[Equipment ID]&lt;&gt;O265,TKA[Lowest A-PTX])))),IF(T265="YES",MIN(IF(TKA[Load Capability Reference]=CONCATENATE(P265,Q265,S265,R265),TKA[Lowest A-No PTX])),MIN(IF(TKA[Load Capability Reference]=CONCATENATE(P265,Q265,S265,R265),IF(TKA[Equipment ID]&lt;&gt;O265,TKA[Lowest A-No PTX])))))</f>
        <v>73.709391096942639</v>
      </c>
      <c r="F265" s="377" t="str">
        <f>IFERROR(IFERROR(VLOOKUP(CONCATENATE(P265,Q265,O265,S265,"Protection"),TWZ[[OC Protection Reference]:[Forward A]],23,0),VLOOKUP(O265,AEL_Protection_Data[],12,0)),"N/A")</f>
        <v>N/A</v>
      </c>
      <c r="G265" s="377" t="s">
        <v>1162</v>
      </c>
      <c r="H265" s="185" t="s">
        <v>1162</v>
      </c>
      <c r="I265" s="377" t="s">
        <v>1162</v>
      </c>
      <c r="J265" s="185" t="s">
        <v>1162</v>
      </c>
      <c r="K265" s="191" t="str">
        <f>IF(U265="Yes",UPPER(IF(ISNUMBER(SEARCH("winding",VLOOKUP(CONCATENATE(P265,Q265,S265,E265),TKA[[Limiting Equipment Reference-PTX]:[Summ Equipment]],7,0))),"Power Transformer Rating at "&amp;ROUND(E265*S265*SQRT(3)/1000,2)&amp;" MVA",VLOOKUP(CONCATENATE(P265,Q265,S265,E265),TKA[[Limiting Equipment Reference-No PTX]:[Summ Equipment]],8,0))),UPPER(VLOOKUP(CONCATENATE(P265,Q265,S265,E265),TKA[[Limiting Equipment Reference-No PTX]:[Summ Equipment]],8,0)))</f>
        <v>OH LINE-HERRING</v>
      </c>
      <c r="L265" s="378" t="s">
        <v>1266</v>
      </c>
      <c r="M265" s="379" t="s">
        <v>1162</v>
      </c>
      <c r="O265" s="191" t="str">
        <f t="shared" si="141"/>
        <v>HLB-M33</v>
      </c>
      <c r="P265" s="374" t="s">
        <v>1276</v>
      </c>
      <c r="Q265" s="374" t="s">
        <v>179</v>
      </c>
      <c r="R265" s="387"/>
      <c r="S265" s="175">
        <v>22</v>
      </c>
      <c r="T265" s="201" t="s">
        <v>1266</v>
      </c>
      <c r="U265" s="201" t="s">
        <v>1266</v>
      </c>
      <c r="V265" s="193" t="s">
        <v>2619</v>
      </c>
    </row>
    <row r="266" spans="2:22" ht="15.75" thickBot="1" x14ac:dyDescent="0.3">
      <c r="R266" s="388"/>
    </row>
    <row r="267" spans="2:22" ht="26.25" thickBot="1" x14ac:dyDescent="0.3">
      <c r="B267" s="551" t="s">
        <v>2620</v>
      </c>
      <c r="C267" s="552"/>
      <c r="D267" s="552"/>
      <c r="E267" s="552"/>
      <c r="F267" s="552"/>
      <c r="G267" s="552"/>
      <c r="H267" s="552"/>
      <c r="I267" s="552"/>
      <c r="J267" s="552"/>
      <c r="K267" s="552"/>
      <c r="L267" s="552"/>
      <c r="M267" s="553"/>
      <c r="O267" s="551" t="s">
        <v>2391</v>
      </c>
      <c r="P267" s="552"/>
      <c r="Q267" s="552"/>
      <c r="R267" s="552"/>
      <c r="S267" s="552"/>
      <c r="T267" s="552"/>
      <c r="U267" s="552"/>
      <c r="V267" s="553"/>
    </row>
    <row r="268" spans="2:22" ht="15.75" customHeight="1" thickBot="1" x14ac:dyDescent="0.3">
      <c r="B268" s="571" t="str">
        <f t="shared" ref="B268:G268" si="142">B6</f>
        <v>CB ID</v>
      </c>
      <c r="C268" s="545" t="str">
        <f t="shared" si="142"/>
        <v>DESIGNATION</v>
      </c>
      <c r="D268" s="382" t="str">
        <f t="shared" si="142"/>
        <v>Rated</v>
      </c>
      <c r="E268" s="572" t="str">
        <f t="shared" si="142"/>
        <v>LOAD
CAPABILITY</v>
      </c>
      <c r="F268" s="572" t="str">
        <f t="shared" si="142"/>
        <v>OC
PICKUP</v>
      </c>
      <c r="G268" s="559" t="str">
        <f t="shared" si="142"/>
        <v>SCADA ALARM</v>
      </c>
      <c r="H268" s="560"/>
      <c r="I268" s="560"/>
      <c r="J268" s="561"/>
      <c r="K268" s="574" t="str">
        <f>K6</f>
        <v>LIMITING EQUIPMENT</v>
      </c>
      <c r="L268" s="575" t="str">
        <f>L6</f>
        <v>RECLOSING</v>
      </c>
      <c r="M268" s="576"/>
      <c r="O268" s="566" t="str">
        <f>O6</f>
        <v>OC Pick up
Reference ID</v>
      </c>
      <c r="P268" s="557" t="str">
        <f>P6</f>
        <v>Supply Level</v>
      </c>
      <c r="Q268" s="566" t="str">
        <f>Q6</f>
        <v>Station/Feeder</v>
      </c>
      <c r="R268" s="567" t="str">
        <f t="shared" ref="R268" si="143">$R$6</f>
        <v>Refered to PTX</v>
      </c>
      <c r="S268" s="569" t="str">
        <f>S6</f>
        <v>Voltage</v>
      </c>
      <c r="T268" s="539" t="str">
        <f>T6</f>
        <v>Include
CB</v>
      </c>
      <c r="U268" s="539" t="str">
        <f>U6</f>
        <v>Include
PTX</v>
      </c>
      <c r="V268" s="557" t="str">
        <f>V6</f>
        <v>Notes</v>
      </c>
    </row>
    <row r="269" spans="2:22" ht="15.75" thickBot="1" x14ac:dyDescent="0.3">
      <c r="B269" s="557"/>
      <c r="C269" s="540"/>
      <c r="D269" s="362" t="str">
        <f>D7</f>
        <v>Voltage</v>
      </c>
      <c r="E269" s="573"/>
      <c r="F269" s="573"/>
      <c r="G269" s="544" t="str">
        <f>G7</f>
        <v>Pre-Emergency</v>
      </c>
      <c r="H269" s="544"/>
      <c r="I269" s="544" t="str">
        <f>I7</f>
        <v>Emergency</v>
      </c>
      <c r="J269" s="544"/>
      <c r="K269" s="540"/>
      <c r="L269" s="545" t="str">
        <f>L7</f>
        <v>AVAILABLE</v>
      </c>
      <c r="M269" s="545" t="str">
        <f>M7</f>
        <v>UTILISED</v>
      </c>
      <c r="O269" s="557"/>
      <c r="P269" s="557"/>
      <c r="Q269" s="557"/>
      <c r="R269" s="567"/>
      <c r="S269" s="569"/>
      <c r="T269" s="540"/>
      <c r="U269" s="540"/>
      <c r="V269" s="557"/>
    </row>
    <row r="270" spans="2:22" ht="15.75" thickBot="1" x14ac:dyDescent="0.3">
      <c r="B270" s="558"/>
      <c r="C270" s="541"/>
      <c r="D270" s="345" t="str">
        <f>D8</f>
        <v>(kV)</v>
      </c>
      <c r="E270" s="345" t="str">
        <f>E8</f>
        <v>(A)</v>
      </c>
      <c r="F270" s="345" t="str">
        <f>F8</f>
        <v>(A)</v>
      </c>
      <c r="G270" s="406" t="str">
        <f>G8</f>
        <v>(A)</v>
      </c>
      <c r="H270" s="407" t="str">
        <f>H8</f>
        <v>(MVA)</v>
      </c>
      <c r="I270" s="406" t="str">
        <f>I8</f>
        <v>(A)</v>
      </c>
      <c r="J270" s="407" t="str">
        <f>J8</f>
        <v>(MVA)</v>
      </c>
      <c r="K270" s="541"/>
      <c r="L270" s="541"/>
      <c r="M270" s="541"/>
      <c r="O270" s="558"/>
      <c r="P270" s="558"/>
      <c r="Q270" s="558"/>
      <c r="R270" s="568"/>
      <c r="S270" s="570"/>
      <c r="T270" s="541"/>
      <c r="U270" s="541"/>
      <c r="V270" s="558"/>
    </row>
    <row r="271" spans="2:22" x14ac:dyDescent="0.25">
      <c r="B271" s="38">
        <v>132</v>
      </c>
      <c r="C271" s="3" t="s">
        <v>2606</v>
      </c>
      <c r="D271" s="61">
        <f t="shared" ref="D271:D272" si="144">ROUNDDOWN(S271,0)</f>
        <v>110</v>
      </c>
      <c r="E271" s="369">
        <f t="array" ref="E271">IF(U271="YES",IF(T271="YES",MIN(IF(TMK[Load Capability Reference]=CONCATENATE(P271,Q271,S271,R271),TMK[Lowest A-PTX])),MIN(IF(TMK[Load Capability Reference]=CONCATENATE(P271,Q271,S271,R271),IF(TMK[Equipment ID]&lt;&gt;O271,TMK[Lowest A-PTX])))),IF(T271="YES",MIN(IF(TMK[Load Capability Reference]=CONCATENATE(P271,Q271,S271,R271),TMK[Lowest A-No PTX])),MIN(IF(TMK[Load Capability Reference]=CONCATENATE(P271,Q271,S271,R271),IF(TMK[Equipment ID]&lt;&gt;O271,TMK[Lowest A-No PTX])))))</f>
        <v>283.42649578399812</v>
      </c>
      <c r="F271" s="61" t="str">
        <f>IFERROR(IFERROR(VLOOKUP(CONCATENATE(P271,Q271,O271,S271,"Protection"),TWZ[[OC Protection Reference]:[Forward A]],23,0),VLOOKUP(O271,AEL_Protection_Data[],12,0)),"N/A")</f>
        <v>N/A</v>
      </c>
      <c r="G271" s="61">
        <f t="shared" ref="G271:G282" si="145">IFERROR(FLOOR(MIN(E271:F271)*$D$3,5),"")</f>
        <v>225</v>
      </c>
      <c r="H271" s="5">
        <f t="shared" ref="H271:H282" si="146">G271*S271*SQRT(3)/1000</f>
        <v>42.868257487329714</v>
      </c>
      <c r="I271" s="61">
        <f t="shared" ref="I271:I282" si="147">IFERROR(FLOOR(MIN(E271:F271)*$D$2,5),"")</f>
        <v>255</v>
      </c>
      <c r="J271" s="5">
        <f t="shared" ref="J271:J282" si="148">I271*S271*SQRT(3)/1000</f>
        <v>48.584025152307007</v>
      </c>
      <c r="K271" s="3" t="str">
        <f>IF(U271="Yes",UPPER(IF(ISNUMBER(SEARCH("winding",VLOOKUP(CONCATENATE(P271,Q271,S271,E271),TMK[[Limiting Equipment Reference-PTX]:[Summ Equipment]],7,0))),"Power Transformer Rating at "&amp;ROUND(E271*S271*SQRT(3)/1000,2)&amp;" MVA",VLOOKUP(CONCATENATE(P271,Q271,S271,E271),TMK[[Limiting Equipment Reference-No PTX]:[Summ Equipment]],8,0))),UPPER(VLOOKUP(CONCATENATE(P271,Q271,S271,E271),TMK[[Limiting Equipment Reference-No PTX]:[Summ Equipment]],8,0)))</f>
        <v>POWER TRANSFORMER RATING AT 54 MVA</v>
      </c>
      <c r="L271" s="4" t="s">
        <v>1266</v>
      </c>
      <c r="M271" s="4" t="s">
        <v>1162</v>
      </c>
      <c r="O271" s="3" t="str">
        <f>"TMK-CB"&amp;B271</f>
        <v>TMK-CB132</v>
      </c>
      <c r="P271" s="38" t="s">
        <v>4</v>
      </c>
      <c r="Q271" s="38" t="s">
        <v>77</v>
      </c>
      <c r="R271" s="389" t="s">
        <v>378</v>
      </c>
      <c r="S271" s="139">
        <v>110</v>
      </c>
      <c r="T271" s="4" t="s">
        <v>1266</v>
      </c>
      <c r="U271" s="4" t="s">
        <v>1267</v>
      </c>
      <c r="V271" s="38"/>
    </row>
    <row r="272" spans="2:22" x14ac:dyDescent="0.25">
      <c r="B272" s="49">
        <v>112</v>
      </c>
      <c r="C272" s="168" t="s">
        <v>2607</v>
      </c>
      <c r="D272" s="119">
        <f t="shared" si="144"/>
        <v>110</v>
      </c>
      <c r="E272" s="370">
        <f t="array" ref="E272">IF(U272="YES",IF(T272="YES",MIN(IF(TMK[Load Capability Reference]=CONCATENATE(P272,Q272,S272,R272),TMK[Lowest A-PTX])),MIN(IF(TMK[Load Capability Reference]=CONCATENATE(P272,Q272,S272,R272),IF(TMK[Equipment ID]&lt;&gt;O272,TMK[Lowest A-PTX])))),IF(T272="YES",MIN(IF(TMK[Load Capability Reference]=CONCATENATE(P272,Q272,S272,R272),TMK[Lowest A-No PTX])),MIN(IF(TMK[Load Capability Reference]=CONCATENATE(P272,Q272,S272,R272),IF(TMK[Equipment ID]&lt;&gt;O272,TMK[Lowest A-No PTX])))))</f>
        <v>283.42649578399812</v>
      </c>
      <c r="F272" s="119" t="str">
        <f>IFERROR(IFERROR(VLOOKUP(CONCATENATE(P272,Q272,O272,S272,"Protection"),TWZ[[OC Protection Reference]:[Forward A]],23,0),VLOOKUP(O272,AEL_Protection_Data[],12,0)),"N/A")</f>
        <v>N/A</v>
      </c>
      <c r="G272" s="119">
        <f t="shared" si="145"/>
        <v>225</v>
      </c>
      <c r="H272" s="29">
        <f t="shared" si="146"/>
        <v>42.868257487329714</v>
      </c>
      <c r="I272" s="119">
        <f t="shared" si="147"/>
        <v>255</v>
      </c>
      <c r="J272" s="29">
        <f t="shared" si="148"/>
        <v>48.584025152307007</v>
      </c>
      <c r="K272" s="6" t="str">
        <f>IF(U272="Yes",UPPER(IF(ISNUMBER(SEARCH("winding",VLOOKUP(CONCATENATE(P272,Q272,S272,E272),TMK[[Limiting Equipment Reference-PTX]:[Summ Equipment]],7,0))),"Power Transformer Rating at "&amp;ROUND(E272*S272*SQRT(3)/1000,2)&amp;" MVA",VLOOKUP(CONCATENATE(P272,Q272,S272,E272),TMK[[Limiting Equipment Reference-No PTX]:[Summ Equipment]],8,0))),UPPER(VLOOKUP(CONCATENATE(P272,Q272,S272,E272),TMK[[Limiting Equipment Reference-No PTX]:[Summ Equipment]],8,0)))</f>
        <v>POWER TRANSFORMER RATING AT 54 MVA</v>
      </c>
      <c r="L272" s="146" t="s">
        <v>1266</v>
      </c>
      <c r="M272" s="146" t="s">
        <v>1162</v>
      </c>
      <c r="O272" s="168" t="str">
        <f t="shared" ref="O272" si="149">"TMK-CB"&amp;B272</f>
        <v>TMK-CB112</v>
      </c>
      <c r="P272" s="49" t="s">
        <v>4</v>
      </c>
      <c r="Q272" s="49" t="s">
        <v>77</v>
      </c>
      <c r="R272" s="386" t="s">
        <v>307</v>
      </c>
      <c r="S272" s="43">
        <v>110</v>
      </c>
      <c r="T272" s="146" t="s">
        <v>1266</v>
      </c>
      <c r="U272" s="146" t="s">
        <v>1267</v>
      </c>
      <c r="V272" s="49"/>
    </row>
    <row r="273" spans="2:22" x14ac:dyDescent="0.25">
      <c r="B273" s="49">
        <v>1252</v>
      </c>
      <c r="C273" s="168" t="s">
        <v>2608</v>
      </c>
      <c r="D273" s="119">
        <f>ROUNDDOWN(S273,0)</f>
        <v>33</v>
      </c>
      <c r="E273" s="370">
        <f t="array" ref="E273">IF(U273="YES",IF(T273="YES",MIN(IF(TMK[Load Capability Reference]=CONCATENATE(P273,Q273,S273,R273),TMK[Lowest A-PTX])),MIN(IF(TMK[Load Capability Reference]=CONCATENATE(P273,Q273,S273,R273),IF(TMK[Equipment ID]&lt;&gt;O273,TMK[Lowest A-PTX])))),IF(T273="YES",MIN(IF(TMK[Load Capability Reference]=CONCATENATE(P273,Q273,S273,R273),TMK[Lowest A-No PTX])),MIN(IF(TMK[Load Capability Reference]=CONCATENATE(P273,Q273,S273,R273),IF(TMK[Equipment ID]&lt;&gt;O273,TMK[Lowest A-No PTX])))))</f>
        <v>928.05008442697476</v>
      </c>
      <c r="F273" s="119" t="str">
        <f>IFERROR(IFERROR(VLOOKUP(CONCATENATE(P273,Q273,O273,S273,"Protection"),TWZ[[OC Protection Reference]:[Forward A]],23,0),VLOOKUP(O273,AEL_Protection_Data[],12,0)),"N/A")</f>
        <v>N/A</v>
      </c>
      <c r="G273" s="119">
        <f t="shared" si="145"/>
        <v>740</v>
      </c>
      <c r="H273" s="29">
        <f t="shared" si="146"/>
        <v>43.058020973806961</v>
      </c>
      <c r="I273" s="119">
        <f t="shared" si="147"/>
        <v>835</v>
      </c>
      <c r="J273" s="29">
        <f t="shared" si="148"/>
        <v>48.585739882606504</v>
      </c>
      <c r="K273" s="6" t="str">
        <f>IF(U273="Yes",UPPER(IF(ISNUMBER(SEARCH("winding",VLOOKUP(CONCATENATE(P273,Q273,S273,E273),TMK[[Limiting Equipment Reference-PTX]:[Summ Equipment]],7,0))),"Power Transformer Rating at "&amp;ROUND(E273*S273*SQRT(3)/1000,2)&amp;" MVA",VLOOKUP(CONCATENATE(P273,Q273,S273,E273),TMK[[Limiting Equipment Reference-No PTX]:[Summ Equipment]],8,0))),UPPER(VLOOKUP(CONCATENATE(P273,Q273,S273,E273),TMK[[Limiting Equipment Reference-No PTX]:[Summ Equipment]],8,0)))</f>
        <v>POWER TRANSFORMER RATING AT 54 MVA</v>
      </c>
      <c r="L273" s="146" t="s">
        <v>1266</v>
      </c>
      <c r="M273" s="146" t="s">
        <v>1162</v>
      </c>
      <c r="O273" s="168" t="str">
        <f>"TMK-CB"&amp;B273</f>
        <v>TMK-CB1252</v>
      </c>
      <c r="P273" s="49" t="s">
        <v>4</v>
      </c>
      <c r="Q273" s="49" t="s">
        <v>77</v>
      </c>
      <c r="R273" s="386" t="s">
        <v>378</v>
      </c>
      <c r="S273" s="43">
        <v>33.594000000000001</v>
      </c>
      <c r="T273" s="146" t="s">
        <v>1266</v>
      </c>
      <c r="U273" s="146" t="s">
        <v>1267</v>
      </c>
      <c r="V273" s="49"/>
    </row>
    <row r="274" spans="2:22" x14ac:dyDescent="0.25">
      <c r="B274" s="49">
        <v>1232</v>
      </c>
      <c r="C274" s="168" t="s">
        <v>2609</v>
      </c>
      <c r="D274" s="119">
        <f t="shared" ref="D274:D282" si="150">ROUNDDOWN(S274,0)</f>
        <v>33</v>
      </c>
      <c r="E274" s="370">
        <f t="array" ref="E274">IF(U274="YES",IF(T274="YES",MIN(IF(TMK[Load Capability Reference]=CONCATENATE(P274,Q274,S274,R274),TMK[Lowest A-PTX])),MIN(IF(TMK[Load Capability Reference]=CONCATENATE(P274,Q274,S274,R274),IF(TMK[Equipment ID]&lt;&gt;O274,TMK[Lowest A-PTX])))),IF(T274="YES",MIN(IF(TMK[Load Capability Reference]=CONCATENATE(P274,Q274,S274,R274),TMK[Lowest A-No PTX])),MIN(IF(TMK[Load Capability Reference]=CONCATENATE(P274,Q274,S274,R274),IF(TMK[Equipment ID]&lt;&gt;O274,TMK[Lowest A-No PTX])))))</f>
        <v>928.05008442697476</v>
      </c>
      <c r="F274" s="119" t="str">
        <f>IFERROR(IFERROR(VLOOKUP(CONCATENATE(P274,Q274,O274,S274,"Protection"),TWZ[[OC Protection Reference]:[Forward A]],23,0),VLOOKUP(O274,AEL_Protection_Data[],12,0)),"N/A")</f>
        <v>N/A</v>
      </c>
      <c r="G274" s="119">
        <f t="shared" si="145"/>
        <v>740</v>
      </c>
      <c r="H274" s="29">
        <f t="shared" si="146"/>
        <v>43.058020973806961</v>
      </c>
      <c r="I274" s="119">
        <f t="shared" si="147"/>
        <v>835</v>
      </c>
      <c r="J274" s="29">
        <f t="shared" si="148"/>
        <v>48.585739882606504</v>
      </c>
      <c r="K274" s="6" t="str">
        <f>IF(U274="Yes",UPPER(IF(ISNUMBER(SEARCH("winding",VLOOKUP(CONCATENATE(P274,Q274,S274,E274),TMK[[Limiting Equipment Reference-PTX]:[Summ Equipment]],7,0))),"Power Transformer Rating at "&amp;ROUND(E274*S274*SQRT(3)/1000,2)&amp;" MVA",VLOOKUP(CONCATENATE(P274,Q274,S274,E274),TMK[[Limiting Equipment Reference-No PTX]:[Summ Equipment]],8,0))),UPPER(VLOOKUP(CONCATENATE(P274,Q274,S274,E274),TMK[[Limiting Equipment Reference-No PTX]:[Summ Equipment]],8,0)))</f>
        <v>POWER TRANSFORMER RATING AT 54 MVA</v>
      </c>
      <c r="L274" s="146" t="s">
        <v>1266</v>
      </c>
      <c r="M274" s="146" t="s">
        <v>1162</v>
      </c>
      <c r="O274" s="168" t="str">
        <f t="shared" ref="O274:O282" si="151">"TMK-CB"&amp;B274</f>
        <v>TMK-CB1232</v>
      </c>
      <c r="P274" s="49" t="s">
        <v>4</v>
      </c>
      <c r="Q274" s="49" t="s">
        <v>77</v>
      </c>
      <c r="R274" s="386" t="s">
        <v>307</v>
      </c>
      <c r="S274" s="43">
        <v>33.594000000000001</v>
      </c>
      <c r="T274" s="146" t="s">
        <v>1266</v>
      </c>
      <c r="U274" s="146" t="s">
        <v>1267</v>
      </c>
      <c r="V274" s="49"/>
    </row>
    <row r="275" spans="2:22" x14ac:dyDescent="0.25">
      <c r="B275" s="49">
        <v>1192</v>
      </c>
      <c r="C275" s="168" t="s">
        <v>2610</v>
      </c>
      <c r="D275" s="119">
        <f t="shared" si="150"/>
        <v>33</v>
      </c>
      <c r="E275" s="370">
        <f t="array" ref="E275">IF(U275="YES",IF(T275="YES",MIN(IF(TMK[Load Capability Reference]=CONCATENATE(P275,Q275,S275,R275),TMK[Lowest A-PTX])),MIN(IF(TMK[Load Capability Reference]=CONCATENATE(P275,Q275,S275,R275),IF(TMK[Equipment ID]&lt;&gt;O275,TMK[Lowest A-PTX])))),IF(T275="YES",MIN(IF(TMK[Load Capability Reference]=CONCATENATE(P275,Q275,S275,R275),TMK[Lowest A-No PTX])),MIN(IF(TMK[Load Capability Reference]=CONCATENATE(P275,Q275,S275,R275),IF(TMK[Equipment ID]&lt;&gt;O275,TMK[Lowest A-No PTX])))))</f>
        <v>407.19406000000004</v>
      </c>
      <c r="F275" s="119">
        <f>IFERROR(IFERROR(VLOOKUP(CONCATENATE(P275,Q275,O275,S275,"Protection"),TWZ[[OC Protection Reference]:[Forward A]],23,0),VLOOKUP(O275,AEL_Protection_Data[],12,0)),"N/A")</f>
        <v>510</v>
      </c>
      <c r="G275" s="119">
        <f t="shared" si="145"/>
        <v>325</v>
      </c>
      <c r="H275" s="29">
        <f t="shared" si="146"/>
        <v>18.91061731957738</v>
      </c>
      <c r="I275" s="119">
        <f t="shared" si="147"/>
        <v>365</v>
      </c>
      <c r="J275" s="29">
        <f t="shared" si="148"/>
        <v>21.238077912756136</v>
      </c>
      <c r="K275" s="6" t="str">
        <f>IF(U275="Yes",UPPER(IF(ISNUMBER(SEARCH("winding",VLOOKUP(CONCATENATE(P275,Q275,S275,E275),TMK[[Limiting Equipment Reference-PTX]:[Summ Equipment]],7,0))),"Power Transformer Rating at "&amp;ROUND(E275*S275*SQRT(3)/1000,2)&amp;" MVA",VLOOKUP(CONCATENATE(P275,Q275,S275,E275),TMK[[Limiting Equipment Reference-No PTX]:[Summ Equipment]],8,0))),UPPER(VLOOKUP(CONCATENATE(P275,Q275,S275,E275),TMK[[Limiting Equipment Reference-No PTX]:[Summ Equipment]],8,0)))</f>
        <v>CABLE-3-1C 400 MM² AL XLPE</v>
      </c>
      <c r="L275" s="146" t="s">
        <v>1266</v>
      </c>
      <c r="M275" s="146" t="s">
        <v>1162</v>
      </c>
      <c r="O275" s="168" t="str">
        <f t="shared" si="151"/>
        <v>TMK-CB1192</v>
      </c>
      <c r="P275" s="49" t="s">
        <v>1245</v>
      </c>
      <c r="Q275" s="49" t="s">
        <v>233</v>
      </c>
      <c r="R275" s="386"/>
      <c r="S275" s="43">
        <v>33.594000000000001</v>
      </c>
      <c r="T275" s="146" t="s">
        <v>1266</v>
      </c>
      <c r="U275" s="146" t="s">
        <v>1266</v>
      </c>
      <c r="V275" s="49"/>
    </row>
    <row r="276" spans="2:22" x14ac:dyDescent="0.25">
      <c r="B276" s="49">
        <v>1202</v>
      </c>
      <c r="C276" s="168" t="s">
        <v>2614</v>
      </c>
      <c r="D276" s="119">
        <f t="shared" si="150"/>
        <v>33</v>
      </c>
      <c r="E276" s="370">
        <f t="array" ref="E276">IF(U276="YES",IF(T276="YES",MIN(IF(TMK[Load Capability Reference]=CONCATENATE(P276,Q276,S276,R276),TMK[Lowest A-PTX])),MIN(IF(TMK[Load Capability Reference]=CONCATENATE(P276,Q276,S276,R276),IF(TMK[Equipment ID]&lt;&gt;O276,TMK[Lowest A-PTX])))),IF(T276="YES",MIN(IF(TMK[Load Capability Reference]=CONCATENATE(P276,Q276,S276,R276),TMK[Lowest A-No PTX])),MIN(IF(TMK[Load Capability Reference]=CONCATENATE(P276,Q276,S276,R276),IF(TMK[Equipment ID]&lt;&gt;O276,TMK[Lowest A-No PTX])))))</f>
        <v>207.23079999999999</v>
      </c>
      <c r="F276" s="119">
        <f>IFERROR(IFERROR(VLOOKUP(CONCATENATE(P276,Q276,O276,S276,"Protection"),TWZ[[OC Protection Reference]:[Forward A]],23,0),VLOOKUP(O276,AEL_Protection_Data[],12,0)),"N/A")</f>
        <v>462</v>
      </c>
      <c r="G276" s="119">
        <f t="shared" si="145"/>
        <v>165</v>
      </c>
      <c r="H276" s="29">
        <f t="shared" si="146"/>
        <v>9.6007749468623622</v>
      </c>
      <c r="I276" s="119">
        <f t="shared" si="147"/>
        <v>185</v>
      </c>
      <c r="J276" s="29">
        <f t="shared" si="148"/>
        <v>10.76450524345174</v>
      </c>
      <c r="K276" s="6" t="str">
        <f>IF(U276="Yes",UPPER(IF(ISNUMBER(SEARCH("winding",VLOOKUP(CONCATENATE(P276,Q276,S276,E276),TMK[[Limiting Equipment Reference-PTX]:[Summ Equipment]],7,0))),"Power Transformer Rating at "&amp;ROUND(E276*S276*SQRT(3)/1000,2)&amp;" MVA",VLOOKUP(CONCATENATE(P276,Q276,S276,E276),TMK[[Limiting Equipment Reference-No PTX]:[Summ Equipment]],8,0))),UPPER(VLOOKUP(CONCATENATE(P276,Q276,S276,E276),TMK[[Limiting Equipment Reference-No PTX]:[Summ Equipment]],8,0)))</f>
        <v>CABLE-1-3C 95 MM² AL XLPE</v>
      </c>
      <c r="L276" s="146" t="s">
        <v>1267</v>
      </c>
      <c r="M276" s="146" t="s">
        <v>1266</v>
      </c>
      <c r="O276" s="168" t="str">
        <f t="shared" si="151"/>
        <v>TMK-CB1202</v>
      </c>
      <c r="P276" s="49" t="s">
        <v>1245</v>
      </c>
      <c r="Q276" s="49" t="s">
        <v>232</v>
      </c>
      <c r="R276" s="386"/>
      <c r="S276" s="43">
        <v>33.594000000000001</v>
      </c>
      <c r="T276" s="146" t="s">
        <v>1266</v>
      </c>
      <c r="U276" s="146" t="s">
        <v>1266</v>
      </c>
      <c r="V276" s="49"/>
    </row>
    <row r="277" spans="2:22" x14ac:dyDescent="0.25">
      <c r="B277" s="49">
        <v>1212</v>
      </c>
      <c r="C277" s="168" t="s">
        <v>2613</v>
      </c>
      <c r="D277" s="119">
        <f t="shared" si="150"/>
        <v>33</v>
      </c>
      <c r="E277" s="370">
        <f t="array" ref="E277">IF(U277="YES",IF(T277="YES",MIN(IF(TMK[Load Capability Reference]=CONCATENATE(P277,Q277,S277,R277),TMK[Lowest A-PTX])),MIN(IF(TMK[Load Capability Reference]=CONCATENATE(P277,Q277,S277,R277),IF(TMK[Equipment ID]&lt;&gt;O277,TMK[Lowest A-PTX])))),IF(T277="YES",MIN(IF(TMK[Load Capability Reference]=CONCATENATE(P277,Q277,S277,R277),TMK[Lowest A-No PTX])),MIN(IF(TMK[Load Capability Reference]=CONCATENATE(P277,Q277,S277,R277),IF(TMK[Equipment ID]&lt;&gt;O277,TMK[Lowest A-No PTX])))))</f>
        <v>426.33013499999998</v>
      </c>
      <c r="F277" s="119">
        <f>IFERROR(IFERROR(VLOOKUP(CONCATENATE(P277,Q277,O277,S277,"Protection"),TWZ[[OC Protection Reference]:[Forward A]],23,0),VLOOKUP(O277,AEL_Protection_Data[],12,0)),"N/A")</f>
        <v>582</v>
      </c>
      <c r="G277" s="119">
        <f t="shared" si="145"/>
        <v>340</v>
      </c>
      <c r="H277" s="29">
        <f t="shared" si="146"/>
        <v>19.783415042019413</v>
      </c>
      <c r="I277" s="119">
        <f t="shared" si="147"/>
        <v>380</v>
      </c>
      <c r="J277" s="29">
        <f t="shared" si="148"/>
        <v>22.11087563519817</v>
      </c>
      <c r="K277" s="6" t="str">
        <f>IF(U277="Yes",UPPER(IF(ISNUMBER(SEARCH("winding",VLOOKUP(CONCATENATE(P277,Q277,S277,E277),TMK[[Limiting Equipment Reference-PTX]:[Summ Equipment]],7,0))),"Power Transformer Rating at "&amp;ROUND(E277*S277*SQRT(3)/1000,2)&amp;" MVA",VLOOKUP(CONCATENATE(P277,Q277,S277,E277),TMK[[Limiting Equipment Reference-No PTX]:[Summ Equipment]],8,0))),UPPER(VLOOKUP(CONCATENATE(P277,Q277,S277,E277),TMK[[Limiting Equipment Reference-No PTX]:[Summ Equipment]],8,0)))</f>
        <v>CABLE-3-1C 400 MM² AL XLPE</v>
      </c>
      <c r="L277" s="146" t="s">
        <v>1266</v>
      </c>
      <c r="M277" s="146" t="s">
        <v>1162</v>
      </c>
      <c r="O277" s="168" t="str">
        <f t="shared" si="151"/>
        <v>TMK-CB1212</v>
      </c>
      <c r="P277" s="49" t="s">
        <v>1245</v>
      </c>
      <c r="Q277" s="49" t="s">
        <v>231</v>
      </c>
      <c r="R277" s="386"/>
      <c r="S277" s="43">
        <v>33.594000000000001</v>
      </c>
      <c r="T277" s="146" t="s">
        <v>1266</v>
      </c>
      <c r="U277" s="146" t="s">
        <v>1266</v>
      </c>
      <c r="V277" s="49"/>
    </row>
    <row r="278" spans="2:22" x14ac:dyDescent="0.25">
      <c r="B278" s="49">
        <v>1222</v>
      </c>
      <c r="C278" s="168" t="s">
        <v>2611</v>
      </c>
      <c r="D278" s="119">
        <f t="shared" si="150"/>
        <v>33</v>
      </c>
      <c r="E278" s="370">
        <f t="array" ref="E278">IF(U278="YES",IF(T278="YES",MIN(IF(TMK[Load Capability Reference]=CONCATENATE(P278,Q278,S278,R278),TMK[Lowest A-PTX])),MIN(IF(TMK[Load Capability Reference]=CONCATENATE(P278,Q278,S278,R278),IF(TMK[Equipment ID]&lt;&gt;O278,TMK[Lowest A-PTX])))),IF(T278="YES",MIN(IF(TMK[Load Capability Reference]=CONCATENATE(P278,Q278,S278,R278),TMK[Lowest A-No PTX])),MIN(IF(TMK[Load Capability Reference]=CONCATENATE(P278,Q278,S278,R278),IF(TMK[Equipment ID]&lt;&gt;O278,TMK[Lowest A-No PTX])))))</f>
        <v>407.19406000000004</v>
      </c>
      <c r="F278" s="119">
        <f>IFERROR(IFERROR(VLOOKUP(CONCATENATE(P278,Q278,O278,S278,"Protection"),TWZ[[OC Protection Reference]:[Forward A]],23,0),VLOOKUP(O278,AEL_Protection_Data[],12,0)),"N/A")</f>
        <v>540</v>
      </c>
      <c r="G278" s="119">
        <f t="shared" si="145"/>
        <v>325</v>
      </c>
      <c r="H278" s="29">
        <f t="shared" si="146"/>
        <v>18.91061731957738</v>
      </c>
      <c r="I278" s="119">
        <f t="shared" si="147"/>
        <v>365</v>
      </c>
      <c r="J278" s="29">
        <f t="shared" si="148"/>
        <v>21.238077912756136</v>
      </c>
      <c r="K278" s="6" t="str">
        <f>IF(U278="Yes",UPPER(IF(ISNUMBER(SEARCH("winding",VLOOKUP(CONCATENATE(P278,Q278,S278,E278),TMK[[Limiting Equipment Reference-PTX]:[Summ Equipment]],7,0))),"Power Transformer Rating at "&amp;ROUND(E278*S278*SQRT(3)/1000,2)&amp;" MVA",VLOOKUP(CONCATENATE(P278,Q278,S278,E278),TMK[[Limiting Equipment Reference-No PTX]:[Summ Equipment]],8,0))),UPPER(VLOOKUP(CONCATENATE(P278,Q278,S278,E278),TMK[[Limiting Equipment Reference-No PTX]:[Summ Equipment]],8,0)))</f>
        <v>CABLE-3-1C 400 MM² AL XLPE</v>
      </c>
      <c r="L278" s="146" t="s">
        <v>1266</v>
      </c>
      <c r="M278" s="146" t="s">
        <v>1162</v>
      </c>
      <c r="O278" s="168" t="str">
        <f t="shared" si="151"/>
        <v>TMK-CB1222</v>
      </c>
      <c r="P278" s="49" t="s">
        <v>1245</v>
      </c>
      <c r="Q278" s="49" t="s">
        <v>230</v>
      </c>
      <c r="R278" s="386"/>
      <c r="S278" s="43">
        <v>33.594000000000001</v>
      </c>
      <c r="T278" s="146" t="s">
        <v>1266</v>
      </c>
      <c r="U278" s="146" t="s">
        <v>1266</v>
      </c>
      <c r="V278" s="49"/>
    </row>
    <row r="279" spans="2:22" x14ac:dyDescent="0.25">
      <c r="B279" s="49">
        <v>1262</v>
      </c>
      <c r="C279" s="168" t="s">
        <v>2616</v>
      </c>
      <c r="D279" s="119">
        <f t="shared" si="150"/>
        <v>33</v>
      </c>
      <c r="E279" s="370">
        <f t="array" ref="E279">IF(U279="YES",IF(T279="YES",MIN(IF(TMK[Load Capability Reference]=CONCATENATE(P279,Q279,S279,R279),TMK[Lowest A-PTX])),MIN(IF(TMK[Load Capability Reference]=CONCATENATE(P279,Q279,S279,R279),IF(TMK[Equipment ID]&lt;&gt;O279,TMK[Lowest A-PTX])))),IF(T279="YES",MIN(IF(TMK[Load Capability Reference]=CONCATENATE(P279,Q279,S279,R279),TMK[Lowest A-No PTX])),MIN(IF(TMK[Load Capability Reference]=CONCATENATE(P279,Q279,S279,R279),IF(TMK[Equipment ID]&lt;&gt;O279,TMK[Lowest A-No PTX])))))</f>
        <v>426.33013499999998</v>
      </c>
      <c r="F279" s="119">
        <f>IFERROR(IFERROR(VLOOKUP(CONCATENATE(P279,Q279,O279,S279,"Protection"),TWZ[[OC Protection Reference]:[Forward A]],23,0),VLOOKUP(O279,AEL_Protection_Data[],12,0)),"N/A")</f>
        <v>582</v>
      </c>
      <c r="G279" s="119">
        <f t="shared" si="145"/>
        <v>340</v>
      </c>
      <c r="H279" s="29">
        <f t="shared" si="146"/>
        <v>19.783415042019413</v>
      </c>
      <c r="I279" s="119">
        <f t="shared" si="147"/>
        <v>380</v>
      </c>
      <c r="J279" s="29">
        <f t="shared" si="148"/>
        <v>22.11087563519817</v>
      </c>
      <c r="K279" s="6" t="str">
        <f>IF(U279="Yes",UPPER(IF(ISNUMBER(SEARCH("winding",VLOOKUP(CONCATENATE(P279,Q279,S279,E279),TMK[[Limiting Equipment Reference-PTX]:[Summ Equipment]],7,0))),"Power Transformer Rating at "&amp;ROUND(E279*S279*SQRT(3)/1000,2)&amp;" MVA",VLOOKUP(CONCATENATE(P279,Q279,S279,E279),TMK[[Limiting Equipment Reference-No PTX]:[Summ Equipment]],8,0))),UPPER(VLOOKUP(CONCATENATE(P279,Q279,S279,E279),TMK[[Limiting Equipment Reference-No PTX]:[Summ Equipment]],8,0)))</f>
        <v>CABLE-3-1C 400 MM² AL XLPE</v>
      </c>
      <c r="L279" s="146" t="s">
        <v>1266</v>
      </c>
      <c r="M279" s="146" t="s">
        <v>1162</v>
      </c>
      <c r="O279" s="168" t="str">
        <f t="shared" si="151"/>
        <v>TMK-CB1262</v>
      </c>
      <c r="P279" s="49" t="s">
        <v>1245</v>
      </c>
      <c r="Q279" s="49" t="s">
        <v>229</v>
      </c>
      <c r="R279" s="386"/>
      <c r="S279" s="43">
        <v>33.594000000000001</v>
      </c>
      <c r="T279" s="146" t="s">
        <v>1266</v>
      </c>
      <c r="U279" s="146" t="s">
        <v>1266</v>
      </c>
      <c r="V279" s="49"/>
    </row>
    <row r="280" spans="2:22" x14ac:dyDescent="0.25">
      <c r="B280" s="49">
        <v>1272</v>
      </c>
      <c r="C280" s="168" t="s">
        <v>2615</v>
      </c>
      <c r="D280" s="119">
        <f t="shared" si="150"/>
        <v>33</v>
      </c>
      <c r="E280" s="370">
        <f t="array" ref="E280">IF(U280="YES",IF(T280="YES",MIN(IF(TMK[Load Capability Reference]=CONCATENATE(P280,Q280,S280,R280),TMK[Lowest A-PTX])),MIN(IF(TMK[Load Capability Reference]=CONCATENATE(P280,Q280,S280,R280),IF(TMK[Equipment ID]&lt;&gt;O280,TMK[Lowest A-PTX])))),IF(T280="YES",MIN(IF(TMK[Load Capability Reference]=CONCATENATE(P280,Q280,S280,R280),TMK[Lowest A-No PTX])),MIN(IF(TMK[Load Capability Reference]=CONCATENATE(P280,Q280,S280,R280),IF(TMK[Equipment ID]&lt;&gt;O280,TMK[Lowest A-No PTX])))))</f>
        <v>496.06019819111378</v>
      </c>
      <c r="F280" s="119">
        <f>IFERROR(IFERROR(VLOOKUP(CONCATENATE(P280,Q280,O280,S280,"Protection"),TWZ[[OC Protection Reference]:[Forward A]],23,0),VLOOKUP(O280,AEL_Protection_Data[],12,0)),"N/A")</f>
        <v>510</v>
      </c>
      <c r="G280" s="119">
        <f t="shared" si="145"/>
        <v>395</v>
      </c>
      <c r="H280" s="29">
        <f t="shared" si="146"/>
        <v>22.9836733576402</v>
      </c>
      <c r="I280" s="119">
        <f t="shared" si="147"/>
        <v>445</v>
      </c>
      <c r="J280" s="29">
        <f t="shared" si="148"/>
        <v>25.892999099113645</v>
      </c>
      <c r="K280" s="6" t="str">
        <f>IF(U280="Yes",UPPER(IF(ISNUMBER(SEARCH("winding",VLOOKUP(CONCATENATE(P280,Q280,S280,E280),TMK[[Limiting Equipment Reference-PTX]:[Summ Equipment]],7,0))),"Power Transformer Rating at "&amp;ROUND(E280*S280*SQRT(3)/1000,2)&amp;" MVA",VLOOKUP(CONCATENATE(P280,Q280,S280,E280),TMK[[Limiting Equipment Reference-No PTX]:[Summ Equipment]],8,0))),UPPER(VLOOKUP(CONCATENATE(P280,Q280,S280,E280),TMK[[Limiting Equipment Reference-No PTX]:[Summ Equipment]],8,0)))</f>
        <v>OH LINE-WOLF</v>
      </c>
      <c r="L280" s="146" t="s">
        <v>1266</v>
      </c>
      <c r="M280" s="146" t="s">
        <v>1162</v>
      </c>
      <c r="O280" s="168" t="str">
        <f t="shared" si="151"/>
        <v>TMK-CB1272</v>
      </c>
      <c r="P280" s="49" t="s">
        <v>1245</v>
      </c>
      <c r="Q280" s="49" t="s">
        <v>228</v>
      </c>
      <c r="R280" s="386"/>
      <c r="S280" s="43">
        <v>33.594000000000001</v>
      </c>
      <c r="T280" s="146" t="s">
        <v>1266</v>
      </c>
      <c r="U280" s="146" t="s">
        <v>1266</v>
      </c>
      <c r="V280" s="49"/>
    </row>
    <row r="281" spans="2:22" x14ac:dyDescent="0.25">
      <c r="B281" s="49">
        <v>1282</v>
      </c>
      <c r="C281" s="168" t="s">
        <v>2612</v>
      </c>
      <c r="D281" s="119">
        <f t="shared" si="150"/>
        <v>33</v>
      </c>
      <c r="E281" s="370">
        <f t="array" ref="E281">IF(U281="YES",IF(T281="YES",MIN(IF(TMK[Load Capability Reference]=CONCATENATE(P281,Q281,S281,R281),TMK[Lowest A-PTX])),MIN(IF(TMK[Load Capability Reference]=CONCATENATE(P281,Q281,S281,R281),IF(TMK[Equipment ID]&lt;&gt;O281,TMK[Lowest A-PTX])))),IF(T281="YES",MIN(IF(TMK[Load Capability Reference]=CONCATENATE(P281,Q281,S281,R281),TMK[Lowest A-No PTX])),MIN(IF(TMK[Load Capability Reference]=CONCATENATE(P281,Q281,S281,R281),IF(TMK[Equipment ID]&lt;&gt;O281,TMK[Lowest A-No PTX])))))</f>
        <v>407.19406000000004</v>
      </c>
      <c r="F281" s="119">
        <f>IFERROR(IFERROR(VLOOKUP(CONCATENATE(P281,Q281,O281,S281,"Protection"),TWZ[[OC Protection Reference]:[Forward A]],23,0),VLOOKUP(O281,AEL_Protection_Data[],12,0)),"N/A")</f>
        <v>660</v>
      </c>
      <c r="G281" s="119">
        <f t="shared" si="145"/>
        <v>325</v>
      </c>
      <c r="H281" s="29">
        <f t="shared" si="146"/>
        <v>18.91061731957738</v>
      </c>
      <c r="I281" s="119">
        <f t="shared" si="147"/>
        <v>365</v>
      </c>
      <c r="J281" s="29">
        <f t="shared" si="148"/>
        <v>21.238077912756136</v>
      </c>
      <c r="K281" s="6" t="str">
        <f>IF(U281="Yes",UPPER(IF(ISNUMBER(SEARCH("winding",VLOOKUP(CONCATENATE(P281,Q281,S281,E281),TMK[[Limiting Equipment Reference-PTX]:[Summ Equipment]],7,0))),"Power Transformer Rating at "&amp;ROUND(E281*S281*SQRT(3)/1000,2)&amp;" MVA",VLOOKUP(CONCATENATE(P281,Q281,S281,E281),TMK[[Limiting Equipment Reference-No PTX]:[Summ Equipment]],8,0))),UPPER(VLOOKUP(CONCATENATE(P281,Q281,S281,E281),TMK[[Limiting Equipment Reference-No PTX]:[Summ Equipment]],8,0)))</f>
        <v>CABLE-3-1C 400 MM² AL XLPE</v>
      </c>
      <c r="L281" s="146" t="s">
        <v>1266</v>
      </c>
      <c r="M281" s="146" t="s">
        <v>1162</v>
      </c>
      <c r="O281" s="168" t="str">
        <f t="shared" si="151"/>
        <v>TMK-CB1282</v>
      </c>
      <c r="P281" s="49" t="s">
        <v>1245</v>
      </c>
      <c r="Q281" s="49" t="s">
        <v>227</v>
      </c>
      <c r="R281" s="386"/>
      <c r="S281" s="43">
        <v>33.594000000000001</v>
      </c>
      <c r="T281" s="146" t="s">
        <v>1266</v>
      </c>
      <c r="U281" s="146" t="s">
        <v>1266</v>
      </c>
      <c r="V281" s="49"/>
    </row>
    <row r="282" spans="2:22" ht="15.75" thickBot="1" x14ac:dyDescent="0.3">
      <c r="B282" s="374">
        <v>1292</v>
      </c>
      <c r="C282" s="375" t="s">
        <v>2617</v>
      </c>
      <c r="D282" s="377">
        <f t="shared" si="150"/>
        <v>33</v>
      </c>
      <c r="E282" s="384">
        <f t="array" ref="E282">IF(U282="YES",IF(T282="YES",MIN(IF(TMK[Load Capability Reference]=CONCATENATE(P282,Q282,S282,R282),TMK[Lowest A-PTX])),MIN(IF(TMK[Load Capability Reference]=CONCATENATE(P282,Q282,S282,R282),IF(TMK[Equipment ID]&lt;&gt;O282,TMK[Lowest A-PTX])))),IF(T282="YES",MIN(IF(TMK[Load Capability Reference]=CONCATENATE(P282,Q282,S282,R282),TMK[Lowest A-No PTX])),MIN(IF(TMK[Load Capability Reference]=CONCATENATE(P282,Q282,S282,R282),IF(TMK[Equipment ID]&lt;&gt;O282,TMK[Lowest A-No PTX])))))</f>
        <v>256.85852310343915</v>
      </c>
      <c r="F282" s="377">
        <f>IFERROR(IFERROR(VLOOKUP(CONCATENATE(P282,Q282,O282,S282,"Protection"),TWZ[[OC Protection Reference]:[Forward A]],23,0),VLOOKUP(O282,AEL_Protection_Data[],12,0)),"N/A")</f>
        <v>462</v>
      </c>
      <c r="G282" s="377">
        <f t="shared" si="145"/>
        <v>205</v>
      </c>
      <c r="H282" s="185">
        <f t="shared" si="146"/>
        <v>11.928235540041118</v>
      </c>
      <c r="I282" s="377">
        <f t="shared" si="147"/>
        <v>230</v>
      </c>
      <c r="J282" s="185">
        <f t="shared" si="148"/>
        <v>13.382898410777837</v>
      </c>
      <c r="K282" s="191" t="str">
        <f>IF(U282="Yes",UPPER(IF(ISNUMBER(SEARCH("winding",VLOOKUP(CONCATENATE(P282,Q282,S282,E282),TMK[[Limiting Equipment Reference-PTX]:[Summ Equipment]],7,0))),"Power Transformer Rating at "&amp;ROUND(E282*S282*SQRT(3)/1000,2)&amp;" MVA",VLOOKUP(CONCATENATE(P282,Q282,S282,E282),TMK[[Limiting Equipment Reference-No PTX]:[Summ Equipment]],8,0))),UPPER(VLOOKUP(CONCATENATE(P282,Q282,S282,E282),TMK[[Limiting Equipment Reference-No PTX]:[Summ Equipment]],8,0)))</f>
        <v>OH LINE-DOG</v>
      </c>
      <c r="L282" s="379" t="s">
        <v>1267</v>
      </c>
      <c r="M282" s="379" t="s">
        <v>1266</v>
      </c>
      <c r="O282" s="375" t="str">
        <f t="shared" si="151"/>
        <v>TMK-CB1292</v>
      </c>
      <c r="P282" s="374" t="s">
        <v>1245</v>
      </c>
      <c r="Q282" s="374" t="s">
        <v>226</v>
      </c>
      <c r="R282" s="387"/>
      <c r="S282" s="175">
        <v>33.594000000000001</v>
      </c>
      <c r="T282" s="379" t="s">
        <v>1266</v>
      </c>
      <c r="U282" s="379" t="s">
        <v>1266</v>
      </c>
      <c r="V282" s="374"/>
    </row>
    <row r="283" spans="2:22" ht="15.75" thickBot="1" x14ac:dyDescent="0.3"/>
    <row r="284" spans="2:22" ht="26.25" thickBot="1" x14ac:dyDescent="0.3">
      <c r="B284" s="551" t="s">
        <v>2621</v>
      </c>
      <c r="C284" s="552"/>
      <c r="D284" s="552"/>
      <c r="E284" s="552"/>
      <c r="F284" s="552"/>
      <c r="G284" s="552"/>
      <c r="H284" s="552"/>
      <c r="I284" s="552"/>
      <c r="J284" s="552"/>
      <c r="K284" s="552"/>
      <c r="L284" s="552"/>
      <c r="M284" s="553"/>
      <c r="O284" s="551" t="s">
        <v>2391</v>
      </c>
      <c r="P284" s="552"/>
      <c r="Q284" s="552"/>
      <c r="R284" s="552"/>
      <c r="S284" s="552"/>
      <c r="T284" s="552"/>
      <c r="U284" s="552"/>
      <c r="V284" s="553"/>
    </row>
    <row r="285" spans="2:22" ht="15.75" customHeight="1" thickBot="1" x14ac:dyDescent="0.3">
      <c r="B285" s="571" t="str">
        <f t="shared" ref="B285:G285" si="152">B6</f>
        <v>CB ID</v>
      </c>
      <c r="C285" s="545" t="str">
        <f t="shared" si="152"/>
        <v>DESIGNATION</v>
      </c>
      <c r="D285" s="382" t="str">
        <f t="shared" si="152"/>
        <v>Rated</v>
      </c>
      <c r="E285" s="572" t="str">
        <f t="shared" si="152"/>
        <v>LOAD
CAPABILITY</v>
      </c>
      <c r="F285" s="572" t="str">
        <f t="shared" si="152"/>
        <v>OC
PICKUP</v>
      </c>
      <c r="G285" s="559" t="str">
        <f t="shared" si="152"/>
        <v>SCADA ALARM</v>
      </c>
      <c r="H285" s="560"/>
      <c r="I285" s="560"/>
      <c r="J285" s="561"/>
      <c r="K285" s="574" t="str">
        <f>K6</f>
        <v>LIMITING EQUIPMENT</v>
      </c>
      <c r="L285" s="575" t="str">
        <f>L6</f>
        <v>RECLOSING</v>
      </c>
      <c r="M285" s="576"/>
      <c r="O285" s="566" t="str">
        <f t="shared" ref="O285:V285" si="153">O6</f>
        <v>OC Pick up
Reference ID</v>
      </c>
      <c r="P285" s="557" t="str">
        <f t="shared" si="153"/>
        <v>Supply Level</v>
      </c>
      <c r="Q285" s="566" t="str">
        <f t="shared" si="153"/>
        <v>Station/Feeder</v>
      </c>
      <c r="R285" s="567" t="str">
        <f t="shared" si="153"/>
        <v>Refered to PTX</v>
      </c>
      <c r="S285" s="569" t="str">
        <f t="shared" si="153"/>
        <v>Voltage</v>
      </c>
      <c r="T285" s="539" t="str">
        <f t="shared" si="153"/>
        <v>Include
CB</v>
      </c>
      <c r="U285" s="539" t="str">
        <f t="shared" si="153"/>
        <v>Include
PTX</v>
      </c>
      <c r="V285" s="557" t="str">
        <f t="shared" si="153"/>
        <v>Notes</v>
      </c>
    </row>
    <row r="286" spans="2:22" ht="15.75" thickBot="1" x14ac:dyDescent="0.3">
      <c r="B286" s="557"/>
      <c r="C286" s="540"/>
      <c r="D286" s="362" t="str">
        <f>D7</f>
        <v>Voltage</v>
      </c>
      <c r="E286" s="573"/>
      <c r="F286" s="573"/>
      <c r="G286" s="544" t="str">
        <f>G7</f>
        <v>Pre-Emergency</v>
      </c>
      <c r="H286" s="544"/>
      <c r="I286" s="544" t="str">
        <f>I7</f>
        <v>Emergency</v>
      </c>
      <c r="J286" s="544"/>
      <c r="K286" s="540"/>
      <c r="L286" s="545" t="str">
        <f>L7</f>
        <v>AVAILABLE</v>
      </c>
      <c r="M286" s="545" t="str">
        <f>M7</f>
        <v>UTILISED</v>
      </c>
      <c r="O286" s="557"/>
      <c r="P286" s="557"/>
      <c r="Q286" s="557"/>
      <c r="R286" s="567"/>
      <c r="S286" s="569"/>
      <c r="T286" s="540"/>
      <c r="U286" s="540"/>
      <c r="V286" s="557"/>
    </row>
    <row r="287" spans="2:22" ht="15.75" thickBot="1" x14ac:dyDescent="0.3">
      <c r="B287" s="558"/>
      <c r="C287" s="541"/>
      <c r="D287" s="345" t="str">
        <f>D8</f>
        <v>(kV)</v>
      </c>
      <c r="E287" s="345" t="str">
        <f>E8</f>
        <v>(A)</v>
      </c>
      <c r="F287" s="345" t="str">
        <f>F8</f>
        <v>(A)</v>
      </c>
      <c r="G287" s="406" t="str">
        <f>G8</f>
        <v>(A)</v>
      </c>
      <c r="H287" s="407" t="str">
        <f>H8</f>
        <v>(MVA)</v>
      </c>
      <c r="I287" s="406" t="str">
        <f>I8</f>
        <v>(A)</v>
      </c>
      <c r="J287" s="407" t="str">
        <f>J8</f>
        <v>(MVA)</v>
      </c>
      <c r="K287" s="541"/>
      <c r="L287" s="541"/>
      <c r="M287" s="541"/>
      <c r="O287" s="558"/>
      <c r="P287" s="558"/>
      <c r="Q287" s="558"/>
      <c r="R287" s="568"/>
      <c r="S287" s="570"/>
      <c r="T287" s="541"/>
      <c r="U287" s="541"/>
      <c r="V287" s="558"/>
    </row>
    <row r="288" spans="2:22" x14ac:dyDescent="0.25">
      <c r="B288" s="38" t="s">
        <v>502</v>
      </c>
      <c r="C288" s="3" t="s">
        <v>2622</v>
      </c>
      <c r="D288" s="61">
        <f t="shared" ref="D288:D289" si="154">ROUNDDOWN(S288,0)</f>
        <v>11</v>
      </c>
      <c r="E288" s="369">
        <f t="array" ref="E288">IF(U288="YES",IF(T288="YES",MIN(IF(TMK[Load Capability Reference]=CONCATENATE(P288,Q288,S288,R288),TMK[Lowest A-PTX])),MIN(IF(TMK[Load Capability Reference]=CONCATENATE(P288,Q288,S288,R288),IF(TMK[Equipment ID]&lt;&gt;O288,TMK[Lowest A-PTX])))),IF(T288="YES",MIN(IF(TMK[Load Capability Reference]=CONCATENATE(P288,Q288,S288,R288),TMK[Lowest A-No PTX])),MIN(IF(TMK[Load Capability Reference]=CONCATENATE(P288,Q288,S288,R288),IF(TMK[Equipment ID]&lt;&gt;O288,TMK[Lowest A-No PTX])))))</f>
        <v>259.31858262623882</v>
      </c>
      <c r="F288" s="61">
        <f>IFERROR(IFERROR(VLOOKUP(CONCATENATE(P288,Q288,O288,S288,"Protection"),TWZ[[OC Protection Reference]:[Forward A]],23,0),VLOOKUP(O288,AEL_Protection_Data[],12,0)),"N/A")</f>
        <v>402</v>
      </c>
      <c r="G288" s="61">
        <f t="shared" ref="G288:G296" si="155">IFERROR(FLOOR(MIN(E288:F288)*$D$3,5),"")</f>
        <v>205</v>
      </c>
      <c r="H288" s="5">
        <f t="shared" ref="H288:H296" si="156">G288*S288*SQRT(3)/1000</f>
        <v>3.905774571067818</v>
      </c>
      <c r="I288" s="61">
        <f t="shared" ref="I288:I296" si="157">IFERROR(FLOOR(MIN(E288:F288)*$D$2,5),"")</f>
        <v>230</v>
      </c>
      <c r="J288" s="5">
        <f t="shared" ref="J288:J296" si="158">I288*S288*SQRT(3)/1000</f>
        <v>4.3820885431492593</v>
      </c>
      <c r="K288" s="3" t="str">
        <f>IF(U288="Yes",UPPER(IF(ISNUMBER(SEARCH("winding",VLOOKUP(CONCATENATE(P288,Q288,S288,E288),TMK[[Limiting Equipment Reference-PTX]:[Summ Equipment]],7,0))),"Power Transformer Rating at "&amp;ROUND(E288*S288*SQRT(3)/1000,2)&amp;" MVA",VLOOKUP(CONCATENATE(P288,Q288,S288,E288),TMK[[Limiting Equipment Reference-No PTX]:[Summ Equipment]],8,0))),UPPER(VLOOKUP(CONCATENATE(P288,Q288,S288,E288),TMK[[Limiting Equipment Reference-No PTX]:[Summ Equipment]],8,0)))</f>
        <v>CABLE-1-3C 300 MM² AL XLPE HD</v>
      </c>
      <c r="L288" s="4" t="s">
        <v>1267</v>
      </c>
      <c r="M288" s="4" t="s">
        <v>1266</v>
      </c>
      <c r="O288" s="3" t="str">
        <f>"TMK-"&amp;B288</f>
        <v>TMK-CB1</v>
      </c>
      <c r="P288" s="38" t="s">
        <v>1276</v>
      </c>
      <c r="Q288" s="38" t="s">
        <v>97</v>
      </c>
      <c r="R288" s="389"/>
      <c r="S288" s="139">
        <v>11</v>
      </c>
      <c r="T288" s="4" t="s">
        <v>1266</v>
      </c>
      <c r="U288" s="4" t="s">
        <v>1266</v>
      </c>
      <c r="V288" s="38"/>
    </row>
    <row r="289" spans="2:22" x14ac:dyDescent="0.25">
      <c r="B289" s="49" t="s">
        <v>507</v>
      </c>
      <c r="C289" s="168" t="s">
        <v>2623</v>
      </c>
      <c r="D289" s="119">
        <f t="shared" si="154"/>
        <v>11</v>
      </c>
      <c r="E289" s="370">
        <f t="array" ref="E289">IF(U289="YES",IF(T289="YES",MIN(IF(TMK[Load Capability Reference]=CONCATENATE(P289,Q289,S289,R289),TMK[Lowest A-PTX])),MIN(IF(TMK[Load Capability Reference]=CONCATENATE(P289,Q289,S289,R289),IF(TMK[Equipment ID]&lt;&gt;O289,TMK[Lowest A-PTX])))),IF(T289="YES",MIN(IF(TMK[Load Capability Reference]=CONCATENATE(P289,Q289,S289,R289),TMK[Lowest A-No PTX])),MIN(IF(TMK[Load Capability Reference]=CONCATENATE(P289,Q289,S289,R289),IF(TMK[Equipment ID]&lt;&gt;O289,TMK[Lowest A-No PTX])))))</f>
        <v>159.40801344521674</v>
      </c>
      <c r="F289" s="119">
        <f>IFERROR(IFERROR(VLOOKUP(CONCATENATE(P289,Q289,O289,S289,"Protection"),TWZ[[OC Protection Reference]:[Forward A]],23,0),VLOOKUP(O289,AEL_Protection_Data[],12,0)),"N/A")</f>
        <v>402</v>
      </c>
      <c r="G289" s="119">
        <f t="shared" si="155"/>
        <v>125</v>
      </c>
      <c r="H289" s="29">
        <f t="shared" si="156"/>
        <v>2.3815698604072062</v>
      </c>
      <c r="I289" s="119">
        <f t="shared" si="157"/>
        <v>140</v>
      </c>
      <c r="J289" s="29">
        <f t="shared" si="158"/>
        <v>2.667358243656071</v>
      </c>
      <c r="K289" s="6" t="str">
        <f>IF(U289="Yes",UPPER(IF(ISNUMBER(SEARCH("winding",VLOOKUP(CONCATENATE(P289,Q289,S289,E289),TMK[[Limiting Equipment Reference-PTX]:[Summ Equipment]],7,0))),"Power Transformer Rating at "&amp;ROUND(E289*S289*SQRT(3)/1000,2)&amp;" MVA",VLOOKUP(CONCATENATE(P289,Q289,S289,E289),TMK[[Limiting Equipment Reference-No PTX]:[Summ Equipment]],8,0))),UPPER(VLOOKUP(CONCATENATE(P289,Q289,S289,E289),TMK[[Limiting Equipment Reference-No PTX]:[Summ Equipment]],8,0)))</f>
        <v>CABLE-1-3C 150 MM² AL PILC</v>
      </c>
      <c r="L289" s="146" t="s">
        <v>1267</v>
      </c>
      <c r="M289" s="146" t="s">
        <v>1267</v>
      </c>
      <c r="O289" s="168" t="str">
        <f t="shared" ref="O289:O296" si="159">"TMK-"&amp;B289</f>
        <v>TMK-CB2</v>
      </c>
      <c r="P289" s="49" t="s">
        <v>1276</v>
      </c>
      <c r="Q289" s="49" t="s">
        <v>109</v>
      </c>
      <c r="R289" s="386"/>
      <c r="S289" s="43">
        <v>11</v>
      </c>
      <c r="T289" s="146" t="s">
        <v>1266</v>
      </c>
      <c r="U289" s="146" t="s">
        <v>1266</v>
      </c>
      <c r="V289" s="49"/>
    </row>
    <row r="290" spans="2:22" x14ac:dyDescent="0.25">
      <c r="B290" s="49" t="s">
        <v>511</v>
      </c>
      <c r="C290" s="168" t="s">
        <v>2624</v>
      </c>
      <c r="D290" s="119">
        <f>ROUNDDOWN(S290,0)</f>
        <v>11</v>
      </c>
      <c r="E290" s="370">
        <f t="array" ref="E290">IF(U290="YES",IF(T290="YES",MIN(IF(TMK[Load Capability Reference]=CONCATENATE(P290,Q290,S290,R290),TMK[Lowest A-PTX])),MIN(IF(TMK[Load Capability Reference]=CONCATENATE(P290,Q290,S290,R290),IF(TMK[Equipment ID]&lt;&gt;O290,TMK[Lowest A-PTX])))),IF(T290="YES",MIN(IF(TMK[Load Capability Reference]=CONCATENATE(P290,Q290,S290,R290),TMK[Lowest A-No PTX])),MIN(IF(TMK[Load Capability Reference]=CONCATENATE(P290,Q290,S290,R290),IF(TMK[Equipment ID]&lt;&gt;O290,TMK[Lowest A-No PTX])))))</f>
        <v>300</v>
      </c>
      <c r="F290" s="119">
        <f>IFERROR(IFERROR(VLOOKUP(CONCATENATE(P290,Q290,O290,S290,"Protection"),TWZ[[OC Protection Reference]:[Forward A]],23,0),VLOOKUP(O290,AEL_Protection_Data[],12,0)),"N/A")</f>
        <v>402</v>
      </c>
      <c r="G290" s="119">
        <f t="shared" si="155"/>
        <v>240</v>
      </c>
      <c r="H290" s="29">
        <f t="shared" si="156"/>
        <v>4.5726141319818359</v>
      </c>
      <c r="I290" s="119">
        <f t="shared" si="157"/>
        <v>270</v>
      </c>
      <c r="J290" s="29">
        <f t="shared" si="158"/>
        <v>5.1441908984795655</v>
      </c>
      <c r="K290" s="6" t="str">
        <f>IF(U290="Yes",UPPER(IF(ISNUMBER(SEARCH("winding",VLOOKUP(CONCATENATE(P290,Q290,S290,E290),TMK[[Limiting Equipment Reference-PTX]:[Summ Equipment]],7,0))),"Power Transformer Rating at "&amp;ROUND(E290*S290*SQRT(3)/1000,2)&amp;" MVA",VLOOKUP(CONCATENATE(P290,Q290,S290,E290),TMK[[Limiting Equipment Reference-No PTX]:[Summ Equipment]],8,0))),UPPER(VLOOKUP(CONCATENATE(P290,Q290,S290,E290),TMK[[Limiting Equipment Reference-No PTX]:[Summ Equipment]],8,0)))</f>
        <v>LINK-T546</v>
      </c>
      <c r="L290" s="146" t="s">
        <v>1267</v>
      </c>
      <c r="M290" s="146" t="s">
        <v>1267</v>
      </c>
      <c r="O290" s="168" t="str">
        <f t="shared" si="159"/>
        <v>TMK-CB3</v>
      </c>
      <c r="P290" s="49" t="s">
        <v>1276</v>
      </c>
      <c r="Q290" s="49" t="s">
        <v>120</v>
      </c>
      <c r="R290" s="386"/>
      <c r="S290" s="43">
        <v>11</v>
      </c>
      <c r="T290" s="146" t="s">
        <v>1266</v>
      </c>
      <c r="U290" s="146" t="s">
        <v>1266</v>
      </c>
      <c r="V290" s="49"/>
    </row>
    <row r="291" spans="2:22" x14ac:dyDescent="0.25">
      <c r="B291" s="49" t="s">
        <v>498</v>
      </c>
      <c r="C291" s="168" t="s">
        <v>2625</v>
      </c>
      <c r="D291" s="119">
        <f t="shared" ref="D291:D296" si="160">ROUNDDOWN(S291,0)</f>
        <v>11</v>
      </c>
      <c r="E291" s="370">
        <f t="array" ref="E291">IF(U291="YES",IF(T291="YES",MIN(IF(TMK[Load Capability Reference]=CONCATENATE(P291,Q291,S291,R291),TMK[Lowest A-PTX])),MIN(IF(TMK[Load Capability Reference]=CONCATENATE(P291,Q291,S291,R291),IF(TMK[Equipment ID]&lt;&gt;O291,TMK[Lowest A-PTX])))),IF(T291="YES",MIN(IF(TMK[Load Capability Reference]=CONCATENATE(P291,Q291,S291,R291),TMK[Lowest A-No PTX])),MIN(IF(TMK[Load Capability Reference]=CONCATENATE(P291,Q291,S291,R291),IF(TMK[Equipment ID]&lt;&gt;O291,TMK[Lowest A-No PTX])))))</f>
        <v>1041.9870384000001</v>
      </c>
      <c r="F291" s="119">
        <f>IFERROR(IFERROR(VLOOKUP(CONCATENATE(P291,Q291,O291,S291,"Protection"),TWZ[[OC Protection Reference]:[Forward A]],23,0),VLOOKUP(O291,AEL_Protection_Data[],12,0)),"N/A")</f>
        <v>1080</v>
      </c>
      <c r="G291" s="119">
        <f t="shared" si="155"/>
        <v>830</v>
      </c>
      <c r="H291" s="29">
        <f t="shared" si="156"/>
        <v>15.813623873103849</v>
      </c>
      <c r="I291" s="119">
        <f t="shared" si="157"/>
        <v>935</v>
      </c>
      <c r="J291" s="29">
        <f t="shared" si="158"/>
        <v>17.814142555845901</v>
      </c>
      <c r="K291" s="6" t="str">
        <f>IF(U291="Yes",UPPER(IF(ISNUMBER(SEARCH("winding",VLOOKUP(CONCATENATE(P291,Q291,S291,E291),TMK[[Limiting Equipment Reference-PTX]:[Summ Equipment]],7,0))),"Power Transformer Rating at "&amp;ROUND(E291*S291*SQRT(3)/1000,2)&amp;" MVA",VLOOKUP(CONCATENATE(P291,Q291,S291,E291),TMK[[Limiting Equipment Reference-No PTX]:[Summ Equipment]],8,0))),UPPER(VLOOKUP(CONCATENATE(P291,Q291,S291,E291),TMK[[Limiting Equipment Reference-No PTX]:[Summ Equipment]],8,0)))</f>
        <v>CABLE-6-1C 500 MM² CU XLPE</v>
      </c>
      <c r="L291" s="146" t="s">
        <v>1266</v>
      </c>
      <c r="M291" s="146" t="s">
        <v>1162</v>
      </c>
      <c r="O291" s="168" t="str">
        <f t="shared" si="159"/>
        <v>TMK-CB4</v>
      </c>
      <c r="P291" s="49" t="s">
        <v>1246</v>
      </c>
      <c r="Q291" s="49" t="s">
        <v>1138</v>
      </c>
      <c r="R291" s="386"/>
      <c r="S291" s="43">
        <v>11</v>
      </c>
      <c r="T291" s="146" t="s">
        <v>1266</v>
      </c>
      <c r="U291" s="146" t="s">
        <v>1267</v>
      </c>
      <c r="V291" s="49"/>
    </row>
    <row r="292" spans="2:22" x14ac:dyDescent="0.25">
      <c r="B292" s="49" t="s">
        <v>592</v>
      </c>
      <c r="C292" s="168" t="s">
        <v>2568</v>
      </c>
      <c r="D292" s="119">
        <f t="shared" si="160"/>
        <v>11</v>
      </c>
      <c r="E292" s="370">
        <f>F292</f>
        <v>983.99999999999989</v>
      </c>
      <c r="F292" s="119">
        <f>IFERROR(IFERROR(VLOOKUP(CONCATENATE(P292,Q292,O292,S292,"Protection"),TWZ[[OC Protection Reference]:[Forward A]],23,0),VLOOKUP(O292,AEL_Protection_Data[],12,0)),"N/A")</f>
        <v>983.99999999999989</v>
      </c>
      <c r="G292" s="119">
        <f t="shared" si="155"/>
        <v>785</v>
      </c>
      <c r="H292" s="29">
        <f t="shared" si="156"/>
        <v>14.956258723357253</v>
      </c>
      <c r="I292" s="119">
        <f t="shared" si="157"/>
        <v>885</v>
      </c>
      <c r="J292" s="29">
        <f t="shared" si="158"/>
        <v>16.861514611683017</v>
      </c>
      <c r="K292" s="6" t="s">
        <v>2630</v>
      </c>
      <c r="L292" s="146" t="s">
        <v>1266</v>
      </c>
      <c r="M292" s="146" t="s">
        <v>1162</v>
      </c>
      <c r="O292" s="168" t="str">
        <f t="shared" si="159"/>
        <v>TMK-CB5</v>
      </c>
      <c r="P292" s="49" t="s">
        <v>1246</v>
      </c>
      <c r="Q292" s="49" t="s">
        <v>1138</v>
      </c>
      <c r="R292" s="386"/>
      <c r="S292" s="43">
        <v>11</v>
      </c>
      <c r="T292" s="146" t="s">
        <v>1267</v>
      </c>
      <c r="U292" s="146" t="s">
        <v>1266</v>
      </c>
      <c r="V292" s="49" t="s">
        <v>2826</v>
      </c>
    </row>
    <row r="293" spans="2:22" x14ac:dyDescent="0.25">
      <c r="B293" s="49" t="s">
        <v>500</v>
      </c>
      <c r="C293" s="168" t="s">
        <v>2626</v>
      </c>
      <c r="D293" s="119">
        <f t="shared" si="160"/>
        <v>11</v>
      </c>
      <c r="E293" s="370">
        <f t="array" ref="E293">IF(U293="YES",IF(T293="YES",MIN(IF(TMK[Load Capability Reference]=CONCATENATE(P293,Q293,S293,R293),TMK[Lowest A-PTX])),MIN(IF(TMK[Load Capability Reference]=CONCATENATE(P293,Q293,S293,R293),IF(TMK[Equipment ID]&lt;&gt;O293,TMK[Lowest A-PTX])))),IF(T293="YES",MIN(IF(TMK[Load Capability Reference]=CONCATENATE(P293,Q293,S293,R293),TMK[Lowest A-No PTX])),MIN(IF(TMK[Load Capability Reference]=CONCATENATE(P293,Q293,S293,R293),IF(TMK[Equipment ID]&lt;&gt;O293,TMK[Lowest A-No PTX])))))</f>
        <v>1041.9870384000001</v>
      </c>
      <c r="F293" s="119">
        <f>IFERROR(IFERROR(VLOOKUP(CONCATENATE(P293,Q293,O293,S293,"Protection"),TWZ[[OC Protection Reference]:[Forward A]],23,0),VLOOKUP(O293,AEL_Protection_Data[],12,0)),"N/A")</f>
        <v>1080</v>
      </c>
      <c r="G293" s="119">
        <f t="shared" si="155"/>
        <v>830</v>
      </c>
      <c r="H293" s="29">
        <f t="shared" si="156"/>
        <v>15.813623873103849</v>
      </c>
      <c r="I293" s="119">
        <f t="shared" si="157"/>
        <v>935</v>
      </c>
      <c r="J293" s="29">
        <f t="shared" si="158"/>
        <v>17.814142555845901</v>
      </c>
      <c r="K293" s="6" t="str">
        <f>IF(U293="Yes",UPPER(IF(ISNUMBER(SEARCH("winding",VLOOKUP(CONCATENATE(P293,Q293,S293,E293),TMK[[Limiting Equipment Reference-PTX]:[Summ Equipment]],7,0))),"Power Transformer Rating at "&amp;ROUND(E293*S293*SQRT(3)/1000,2)&amp;" MVA",VLOOKUP(CONCATENATE(P293,Q293,S293,E293),TMK[[Limiting Equipment Reference-No PTX]:[Summ Equipment]],8,0))),UPPER(VLOOKUP(CONCATENATE(P293,Q293,S293,E293),TMK[[Limiting Equipment Reference-No PTX]:[Summ Equipment]],8,0)))</f>
        <v>CABLE-6-1C 500 MM² CU XLPE</v>
      </c>
      <c r="L293" s="146" t="s">
        <v>1266</v>
      </c>
      <c r="M293" s="146" t="s">
        <v>1162</v>
      </c>
      <c r="O293" s="168" t="str">
        <f t="shared" si="159"/>
        <v>TMK-CB6</v>
      </c>
      <c r="P293" s="49" t="s">
        <v>1246</v>
      </c>
      <c r="Q293" s="49" t="s">
        <v>1138</v>
      </c>
      <c r="R293" s="386"/>
      <c r="S293" s="43">
        <v>11</v>
      </c>
      <c r="T293" s="146" t="s">
        <v>1266</v>
      </c>
      <c r="U293" s="146" t="s">
        <v>1267</v>
      </c>
      <c r="V293" s="49"/>
    </row>
    <row r="294" spans="2:22" x14ac:dyDescent="0.25">
      <c r="B294" s="49" t="s">
        <v>512</v>
      </c>
      <c r="C294" s="168" t="s">
        <v>2627</v>
      </c>
      <c r="D294" s="119">
        <f t="shared" si="160"/>
        <v>11</v>
      </c>
      <c r="E294" s="370">
        <f t="array" ref="E294">IF(U294="YES",IF(T294="YES",MIN(IF(TMK[Load Capability Reference]=CONCATENATE(P294,Q294,S294,R294),TMK[Lowest A-PTX])),MIN(IF(TMK[Load Capability Reference]=CONCATENATE(P294,Q294,S294,R294),IF(TMK[Equipment ID]&lt;&gt;O294,TMK[Lowest A-PTX])))),IF(T294="YES",MIN(IF(TMK[Load Capability Reference]=CONCATENATE(P294,Q294,S294,R294),TMK[Lowest A-No PTX])),MIN(IF(TMK[Load Capability Reference]=CONCATENATE(P294,Q294,S294,R294),IF(TMK[Equipment ID]&lt;&gt;O294,TMK[Lowest A-No PTX])))))</f>
        <v>300</v>
      </c>
      <c r="F294" s="119">
        <f>IFERROR(IFERROR(VLOOKUP(CONCATENATE(P294,Q294,O294,S294,"Protection"),TWZ[[OC Protection Reference]:[Forward A]],23,0),VLOOKUP(O294,AEL_Protection_Data[],12,0)),"N/A")</f>
        <v>402</v>
      </c>
      <c r="G294" s="119">
        <f t="shared" si="155"/>
        <v>240</v>
      </c>
      <c r="H294" s="29">
        <f t="shared" si="156"/>
        <v>4.5726141319818359</v>
      </c>
      <c r="I294" s="119">
        <f t="shared" si="157"/>
        <v>270</v>
      </c>
      <c r="J294" s="29">
        <f t="shared" si="158"/>
        <v>5.1441908984795655</v>
      </c>
      <c r="K294" s="6" t="str">
        <f>IF(U294="Yes",UPPER(IF(ISNUMBER(SEARCH("winding",VLOOKUP(CONCATENATE(P294,Q294,S294,E294),TMK[[Limiting Equipment Reference-PTX]:[Summ Equipment]],7,0))),"Power Transformer Rating at "&amp;ROUND(E294*S294*SQRT(3)/1000,2)&amp;" MVA",VLOOKUP(CONCATENATE(P294,Q294,S294,E294),TMK[[Limiting Equipment Reference-No PTX]:[Summ Equipment]],8,0))),UPPER(VLOOKUP(CONCATENATE(P294,Q294,S294,E294),TMK[[Limiting Equipment Reference-No PTX]:[Summ Equipment]],8,0)))</f>
        <v>LINK-T547</v>
      </c>
      <c r="L294" s="146" t="s">
        <v>1267</v>
      </c>
      <c r="M294" s="146" t="s">
        <v>1267</v>
      </c>
      <c r="O294" s="168" t="str">
        <f t="shared" si="159"/>
        <v>TMK-CB7</v>
      </c>
      <c r="P294" s="49" t="s">
        <v>1276</v>
      </c>
      <c r="Q294" s="49" t="s">
        <v>130</v>
      </c>
      <c r="R294" s="386"/>
      <c r="S294" s="43">
        <v>11</v>
      </c>
      <c r="T294" s="146" t="s">
        <v>1266</v>
      </c>
      <c r="U294" s="146" t="s">
        <v>1266</v>
      </c>
      <c r="V294" s="49"/>
    </row>
    <row r="295" spans="2:22" x14ac:dyDescent="0.25">
      <c r="B295" s="49" t="s">
        <v>522</v>
      </c>
      <c r="C295" s="168" t="s">
        <v>2628</v>
      </c>
      <c r="D295" s="119">
        <f t="shared" si="160"/>
        <v>11</v>
      </c>
      <c r="E295" s="370">
        <f t="array" ref="E295">IF(U295="YES",IF(T295="YES",MIN(IF(TMK[Load Capability Reference]=CONCATENATE(P295,Q295,S295,R295),TMK[Lowest A-PTX])),MIN(IF(TMK[Load Capability Reference]=CONCATENATE(P295,Q295,S295,R295),IF(TMK[Equipment ID]&lt;&gt;O295,TMK[Lowest A-PTX])))),IF(T295="YES",MIN(IF(TMK[Load Capability Reference]=CONCATENATE(P295,Q295,S295,R295),TMK[Lowest A-No PTX])),MIN(IF(TMK[Load Capability Reference]=CONCATENATE(P295,Q295,S295,R295),IF(TMK[Equipment ID]&lt;&gt;O295,TMK[Lowest A-No PTX])))))</f>
        <v>240.99999999999997</v>
      </c>
      <c r="F295" s="119">
        <f>IFERROR(IFERROR(VLOOKUP(CONCATENATE(P295,Q295,O295,S295,"Protection"),TWZ[[OC Protection Reference]:[Forward A]],23,0),VLOOKUP(O295,AEL_Protection_Data[],12,0)),"N/A")</f>
        <v>402</v>
      </c>
      <c r="G295" s="119">
        <f t="shared" si="155"/>
        <v>190</v>
      </c>
      <c r="H295" s="29">
        <f t="shared" si="156"/>
        <v>3.6199861878189532</v>
      </c>
      <c r="I295" s="119">
        <f t="shared" si="157"/>
        <v>215</v>
      </c>
      <c r="J295" s="29">
        <f t="shared" si="158"/>
        <v>4.0963001599003945</v>
      </c>
      <c r="K295" s="6" t="str">
        <f>IF(U295="Yes",UPPER(IF(ISNUMBER(SEARCH("winding",VLOOKUP(CONCATENATE(P295,Q295,S295,E295),TMK[[Limiting Equipment Reference-PTX]:[Summ Equipment]],7,0))),"Power Transformer Rating at "&amp;ROUND(E295*S295*SQRT(3)/1000,2)&amp;" MVA",VLOOKUP(CONCATENATE(P295,Q295,S295,E295),TMK[[Limiting Equipment Reference-No PTX]:[Summ Equipment]],8,0))),UPPER(VLOOKUP(CONCATENATE(P295,Q295,S295,E295),TMK[[Limiting Equipment Reference-No PTX]:[Summ Equipment]],8,0)))</f>
        <v>OH LINE-7/0.136 CU</v>
      </c>
      <c r="L295" s="146" t="s">
        <v>1267</v>
      </c>
      <c r="M295" s="146" t="s">
        <v>1266</v>
      </c>
      <c r="O295" s="168" t="str">
        <f t="shared" si="159"/>
        <v>TMK-CB8</v>
      </c>
      <c r="P295" s="49" t="s">
        <v>1276</v>
      </c>
      <c r="Q295" s="49" t="s">
        <v>136</v>
      </c>
      <c r="R295" s="386"/>
      <c r="S295" s="43">
        <v>11</v>
      </c>
      <c r="T295" s="146" t="s">
        <v>1266</v>
      </c>
      <c r="U295" s="146" t="s">
        <v>1266</v>
      </c>
      <c r="V295" s="49"/>
    </row>
    <row r="296" spans="2:22" ht="15.75" thickBot="1" x14ac:dyDescent="0.3">
      <c r="B296" s="374" t="s">
        <v>526</v>
      </c>
      <c r="C296" s="375" t="s">
        <v>2629</v>
      </c>
      <c r="D296" s="377">
        <f t="shared" si="160"/>
        <v>11</v>
      </c>
      <c r="E296" s="384">
        <f t="array" ref="E296">IF(U296="YES",IF(T296="YES",MIN(IF(TMK[Load Capability Reference]=CONCATENATE(P296,Q296,S296,R296),TMK[Lowest A-PTX])),MIN(IF(TMK[Load Capability Reference]=CONCATENATE(P296,Q296,S296,R296),IF(TMK[Equipment ID]&lt;&gt;O296,TMK[Lowest A-PTX])))),IF(T296="YES",MIN(IF(TMK[Load Capability Reference]=CONCATENATE(P296,Q296,S296,R296),TMK[Lowest A-No PTX])),MIN(IF(TMK[Load Capability Reference]=CONCATENATE(P296,Q296,S296,R296),IF(TMK[Equipment ID]&lt;&gt;O296,TMK[Lowest A-No PTX])))))</f>
        <v>176</v>
      </c>
      <c r="F296" s="377">
        <f>IFERROR(IFERROR(VLOOKUP(CONCATENATE(P296,Q296,O296,S296,"Protection"),TWZ[[OC Protection Reference]:[Forward A]],23,0),VLOOKUP(O296,AEL_Protection_Data[],12,0)),"N/A")</f>
        <v>402</v>
      </c>
      <c r="G296" s="377">
        <f t="shared" si="155"/>
        <v>140</v>
      </c>
      <c r="H296" s="185">
        <f t="shared" si="156"/>
        <v>2.667358243656071</v>
      </c>
      <c r="I296" s="377">
        <f t="shared" si="157"/>
        <v>155</v>
      </c>
      <c r="J296" s="185">
        <f t="shared" si="158"/>
        <v>2.9531466269049358</v>
      </c>
      <c r="K296" s="191" t="str">
        <f>IF(U296="Yes",UPPER(IF(ISNUMBER(SEARCH("winding",VLOOKUP(CONCATENATE(P296,Q296,S296,E296),TMK[[Limiting Equipment Reference-PTX]:[Summ Equipment]],7,0))),"Power Transformer Rating at "&amp;ROUND(E296*S296*SQRT(3)/1000,2)&amp;" MVA",VLOOKUP(CONCATENATE(P296,Q296,S296,E296),TMK[[Limiting Equipment Reference-No PTX]:[Summ Equipment]],8,0))),UPPER(VLOOKUP(CONCATENATE(P296,Q296,S296,E296),TMK[[Limiting Equipment Reference-No PTX]:[Summ Equipment]],8,0)))</f>
        <v>OH LINE-19/16 CU</v>
      </c>
      <c r="L296" s="379" t="s">
        <v>1267</v>
      </c>
      <c r="M296" s="379" t="s">
        <v>1267</v>
      </c>
      <c r="O296" s="375" t="str">
        <f t="shared" si="159"/>
        <v>TMK-CB9</v>
      </c>
      <c r="P296" s="374" t="s">
        <v>1276</v>
      </c>
      <c r="Q296" s="374" t="s">
        <v>140</v>
      </c>
      <c r="R296" s="387"/>
      <c r="S296" s="175">
        <v>11</v>
      </c>
      <c r="T296" s="379" t="s">
        <v>1266</v>
      </c>
      <c r="U296" s="379" t="s">
        <v>1266</v>
      </c>
      <c r="V296" s="374"/>
    </row>
    <row r="297" spans="2:22" ht="15.75" thickBot="1" x14ac:dyDescent="0.3"/>
    <row r="298" spans="2:22" ht="26.25" thickBot="1" x14ac:dyDescent="0.3">
      <c r="B298" s="551" t="s">
        <v>2631</v>
      </c>
      <c r="C298" s="552"/>
      <c r="D298" s="552"/>
      <c r="E298" s="552"/>
      <c r="F298" s="552"/>
      <c r="G298" s="552"/>
      <c r="H298" s="552"/>
      <c r="I298" s="552"/>
      <c r="J298" s="552"/>
      <c r="K298" s="552"/>
      <c r="L298" s="552"/>
      <c r="M298" s="553"/>
      <c r="O298" s="551" t="s">
        <v>2391</v>
      </c>
      <c r="P298" s="552"/>
      <c r="Q298" s="552"/>
      <c r="R298" s="552"/>
      <c r="S298" s="552"/>
      <c r="T298" s="552"/>
      <c r="U298" s="552"/>
      <c r="V298" s="553"/>
    </row>
    <row r="299" spans="2:22" ht="15.75" customHeight="1" thickBot="1" x14ac:dyDescent="0.3">
      <c r="B299" s="571" t="str">
        <f t="shared" ref="B299:G299" si="161">B6</f>
        <v>CB ID</v>
      </c>
      <c r="C299" s="545" t="str">
        <f t="shared" si="161"/>
        <v>DESIGNATION</v>
      </c>
      <c r="D299" s="382" t="str">
        <f t="shared" si="161"/>
        <v>Rated</v>
      </c>
      <c r="E299" s="572" t="str">
        <f t="shared" si="161"/>
        <v>LOAD
CAPABILITY</v>
      </c>
      <c r="F299" s="572" t="str">
        <f t="shared" si="161"/>
        <v>OC
PICKUP</v>
      </c>
      <c r="G299" s="559" t="str">
        <f t="shared" si="161"/>
        <v>SCADA ALARM</v>
      </c>
      <c r="H299" s="560"/>
      <c r="I299" s="560"/>
      <c r="J299" s="561"/>
      <c r="K299" s="574" t="str">
        <f>K6</f>
        <v>LIMITING EQUIPMENT</v>
      </c>
      <c r="L299" s="575" t="str">
        <f>L6</f>
        <v>RECLOSING</v>
      </c>
      <c r="M299" s="576"/>
      <c r="O299" s="566" t="str">
        <f t="shared" ref="O299:V299" si="162">O6</f>
        <v>OC Pick up
Reference ID</v>
      </c>
      <c r="P299" s="557" t="str">
        <f t="shared" si="162"/>
        <v>Supply Level</v>
      </c>
      <c r="Q299" s="566" t="str">
        <f t="shared" si="162"/>
        <v>Station/Feeder</v>
      </c>
      <c r="R299" s="567" t="str">
        <f t="shared" si="162"/>
        <v>Refered to PTX</v>
      </c>
      <c r="S299" s="569" t="str">
        <f t="shared" si="162"/>
        <v>Voltage</v>
      </c>
      <c r="T299" s="539" t="str">
        <f t="shared" si="162"/>
        <v>Include
CB</v>
      </c>
      <c r="U299" s="539" t="str">
        <f t="shared" si="162"/>
        <v>Include
PTX</v>
      </c>
      <c r="V299" s="557" t="str">
        <f t="shared" si="162"/>
        <v>Notes</v>
      </c>
    </row>
    <row r="300" spans="2:22" ht="15.75" thickBot="1" x14ac:dyDescent="0.3">
      <c r="B300" s="557"/>
      <c r="C300" s="540"/>
      <c r="D300" s="362" t="str">
        <f>D7</f>
        <v>Voltage</v>
      </c>
      <c r="E300" s="573"/>
      <c r="F300" s="573"/>
      <c r="G300" s="544" t="str">
        <f>G7</f>
        <v>Pre-Emergency</v>
      </c>
      <c r="H300" s="544"/>
      <c r="I300" s="544" t="str">
        <f>I7</f>
        <v>Emergency</v>
      </c>
      <c r="J300" s="544"/>
      <c r="K300" s="540"/>
      <c r="L300" s="545" t="str">
        <f>L7</f>
        <v>AVAILABLE</v>
      </c>
      <c r="M300" s="545" t="str">
        <f>M7</f>
        <v>UTILISED</v>
      </c>
      <c r="O300" s="557"/>
      <c r="P300" s="557"/>
      <c r="Q300" s="557"/>
      <c r="R300" s="567"/>
      <c r="S300" s="569"/>
      <c r="T300" s="540"/>
      <c r="U300" s="540"/>
      <c r="V300" s="557"/>
    </row>
    <row r="301" spans="2:22" ht="15.75" thickBot="1" x14ac:dyDescent="0.3">
      <c r="B301" s="558"/>
      <c r="C301" s="541"/>
      <c r="D301" s="345" t="str">
        <f>D8</f>
        <v>(kV)</v>
      </c>
      <c r="E301" s="345" t="str">
        <f>E8</f>
        <v>(A)</v>
      </c>
      <c r="F301" s="345" t="str">
        <f>F8</f>
        <v>(A)</v>
      </c>
      <c r="G301" s="406" t="str">
        <f>G8</f>
        <v>(A)</v>
      </c>
      <c r="H301" s="407" t="str">
        <f>H8</f>
        <v>(MVA)</v>
      </c>
      <c r="I301" s="406" t="str">
        <f>I8</f>
        <v>(A)</v>
      </c>
      <c r="J301" s="407" t="str">
        <f>J8</f>
        <v>(MVA)</v>
      </c>
      <c r="K301" s="541"/>
      <c r="L301" s="541"/>
      <c r="M301" s="541"/>
      <c r="O301" s="558"/>
      <c r="P301" s="558"/>
      <c r="Q301" s="558"/>
      <c r="R301" s="568"/>
      <c r="S301" s="570"/>
      <c r="T301" s="541"/>
      <c r="U301" s="541"/>
      <c r="V301" s="558"/>
    </row>
    <row r="302" spans="2:22" x14ac:dyDescent="0.25">
      <c r="B302" s="38" t="s">
        <v>537</v>
      </c>
      <c r="C302" s="3" t="s">
        <v>2632</v>
      </c>
      <c r="D302" s="61">
        <f t="shared" ref="D302:D303" si="163">ROUNDDOWN(S302,0)</f>
        <v>33</v>
      </c>
      <c r="E302" s="369">
        <f t="array" ref="E302">IF(U302="YES",IF(T302="YES",MIN(IF(TMK[Load Capability Reference]=CONCATENATE(P302,Q302,S302,R302),TMK[Lowest A-PTX])),MIN(IF(TMK[Load Capability Reference]=CONCATENATE(P302,Q302,S302,R302),IF(TMK[Equipment ID]&lt;&gt;O302,TMK[Lowest A-PTX])))),IF(T302="YES",MIN(IF(TMK[Load Capability Reference]=CONCATENATE(P302,Q302,S302,R302),TMK[Lowest A-No PTX])),MIN(IF(TMK[Load Capability Reference]=CONCATENATE(P302,Q302,S302,R302),IF(TMK[Equipment ID]&lt;&gt;O302,TMK[Lowest A-No PTX])))))</f>
        <v>256.85852310343915</v>
      </c>
      <c r="F302" s="61">
        <f>IFERROR(IFERROR(VLOOKUP(CONCATENATE(P302,Q302,O302,S302,"Protection"),TWZ[[OC Protection Reference]:[Forward A]],23,0),VLOOKUP(O302,AEL_Protection_Data[],12,0)),"N/A")</f>
        <v>350</v>
      </c>
      <c r="G302" s="61">
        <f t="shared" ref="G302:G306" si="164">IFERROR(FLOOR(MIN(E302:F302)*$D$3,5),"")</f>
        <v>205</v>
      </c>
      <c r="H302" s="5">
        <f t="shared" ref="H302:H306" si="165">G302*S302*SQRT(3)/1000</f>
        <v>11.928235540041118</v>
      </c>
      <c r="I302" s="61">
        <f>IFERROR(FLOOR(MIN(E302:F302)*$D$2,5),"")</f>
        <v>230</v>
      </c>
      <c r="J302" s="5">
        <f t="shared" ref="J302:J306" si="166">I302*S302*SQRT(3)/1000</f>
        <v>13.382898410777837</v>
      </c>
      <c r="K302" s="3" t="str">
        <f>IF(U302="Yes",UPPER(IF(ISNUMBER(SEARCH("winding",VLOOKUP(CONCATENATE(P302,Q302,S302,E302),TMK[[Limiting Equipment Reference-PTX]:[Summ Equipment]],7,0))),"Power Transformer Rating at "&amp;ROUND(E302*S302*SQRT(3)/1000,2)&amp;" MVA",VLOOKUP(CONCATENATE(P302,Q302,S302,E302),TMK[[Limiting Equipment Reference-No PTX]:[Summ Equipment]],8,0))),UPPER(VLOOKUP(CONCATENATE(P302,Q302,S302,E302),TMK[[Limiting Equipment Reference-No PTX]:[Summ Equipment]],8,0)))</f>
        <v>OH LINE-DOG</v>
      </c>
      <c r="L302" s="4" t="s">
        <v>1266</v>
      </c>
      <c r="M302" s="4" t="s">
        <v>1162</v>
      </c>
      <c r="O302" s="3" t="str">
        <f>"GLD-"&amp;B302</f>
        <v>GLD-G259</v>
      </c>
      <c r="P302" s="38" t="s">
        <v>1245</v>
      </c>
      <c r="Q302" s="38" t="s">
        <v>85</v>
      </c>
      <c r="R302" s="389"/>
      <c r="S302" s="139">
        <v>33.594000000000001</v>
      </c>
      <c r="T302" s="4" t="s">
        <v>1266</v>
      </c>
      <c r="U302" s="4" t="s">
        <v>1267</v>
      </c>
      <c r="V302" s="38"/>
    </row>
    <row r="303" spans="2:22" x14ac:dyDescent="0.25">
      <c r="B303" s="49" t="s">
        <v>539</v>
      </c>
      <c r="C303" s="168" t="s">
        <v>2633</v>
      </c>
      <c r="D303" s="119">
        <f t="shared" si="163"/>
        <v>11</v>
      </c>
      <c r="E303" s="370">
        <f t="array" ref="E303">IF(U303="YES",IF(T303="YES",MIN(IF(TMK[Load Capability Reference]=CONCATENATE(P303,Q303,S303,R303),TMK[Lowest A-PTX])),MIN(IF(TMK[Load Capability Reference]=CONCATENATE(P303,Q303,S303,R303),IF(TMK[Equipment ID]&lt;&gt;O303,TMK[Lowest A-PTX])))),IF(T303="YES",MIN(IF(TMK[Load Capability Reference]=CONCATENATE(P303,Q303,S303,R303),TMK[Lowest A-No PTX])),MIN(IF(TMK[Load Capability Reference]=CONCATENATE(P303,Q303,S303,R303),IF(TMK[Equipment ID]&lt;&gt;O303,TMK[Lowest A-No PTX])))))</f>
        <v>783.37892698728069</v>
      </c>
      <c r="F303" s="119">
        <f>IFERROR(IFERROR(VLOOKUP(CONCATENATE(P303,Q303,O303,S303,"Protection"),TWZ[[OC Protection Reference]:[Forward A]],23,0),VLOOKUP(O303,AEL_Protection_Data[],12,0)),"N/A")</f>
        <v>948</v>
      </c>
      <c r="G303" s="119">
        <f t="shared" si="164"/>
        <v>625</v>
      </c>
      <c r="H303" s="29">
        <f t="shared" si="165"/>
        <v>11.967388548546211</v>
      </c>
      <c r="I303" s="119">
        <f>IFERROR(FLOOR(MIN(E303:F303)*$D$2,5),"")</f>
        <v>705</v>
      </c>
      <c r="J303" s="29">
        <f t="shared" si="166"/>
        <v>13.499214282760125</v>
      </c>
      <c r="K303" s="6" t="str">
        <f>IF(U303="Yes",UPPER(IF(ISNUMBER(SEARCH("winding",VLOOKUP(CONCATENATE(P303,Q303,S303,E303),TMK[[Limiting Equipment Reference-PTX]:[Summ Equipment]],7,0))),"Power Transformer Rating at "&amp;ROUND(E303*S303*SQRT(3)/1000,2)&amp;" MVA",VLOOKUP(CONCATENATE(P303,Q303,S303,E303),TMK[[Limiting Equipment Reference-No PTX]:[Summ Equipment]],8,0))),UPPER(VLOOKUP(CONCATENATE(P303,Q303,S303,E303),TMK[[Limiting Equipment Reference-No PTX]:[Summ Equipment]],8,0)))</f>
        <v>POWER TRANSFORMER RATING AT 15 MVA</v>
      </c>
      <c r="L303" s="146" t="s">
        <v>1267</v>
      </c>
      <c r="M303" s="146" t="s">
        <v>1266</v>
      </c>
      <c r="O303" s="168" t="str">
        <f t="shared" ref="O303:O306" si="167">"GLD-"&amp;B303</f>
        <v>GLD-G260</v>
      </c>
      <c r="P303" s="49" t="s">
        <v>1246</v>
      </c>
      <c r="Q303" s="49" t="s">
        <v>85</v>
      </c>
      <c r="R303" s="386"/>
      <c r="S303" s="43">
        <v>11.055</v>
      </c>
      <c r="T303" s="146" t="s">
        <v>1266</v>
      </c>
      <c r="U303" s="146" t="s">
        <v>1267</v>
      </c>
      <c r="V303" s="49"/>
    </row>
    <row r="304" spans="2:22" x14ac:dyDescent="0.25">
      <c r="B304" s="49" t="s">
        <v>554</v>
      </c>
      <c r="C304" s="168" t="s">
        <v>2634</v>
      </c>
      <c r="D304" s="119">
        <f>ROUNDDOWN(S304,0)</f>
        <v>11</v>
      </c>
      <c r="E304" s="370">
        <f t="array" ref="E304">IF(U304="YES",IF(T304="YES",MIN(IF(TMK[Load Capability Reference]=CONCATENATE(P304,Q304,S304,R304),TMK[Lowest A-PTX])),MIN(IF(TMK[Load Capability Reference]=CONCATENATE(P304,Q304,S304,R304),IF(TMK[Equipment ID]&lt;&gt;O304,TMK[Lowest A-PTX])))),IF(T304="YES",MIN(IF(TMK[Load Capability Reference]=CONCATENATE(P304,Q304,S304,R304),TMK[Lowest A-No PTX])),MIN(IF(TMK[Load Capability Reference]=CONCATENATE(P304,Q304,S304,R304),IF(TMK[Equipment ID]&lt;&gt;O304,TMK[Lowest A-No PTX])))))</f>
        <v>241.00000000000003</v>
      </c>
      <c r="F304" s="119">
        <f>IFERROR(IFERROR(VLOOKUP(CONCATENATE(P304,Q304,O304,S304,"Protection"),TWZ[[OC Protection Reference]:[Forward A]],23,0),VLOOKUP(O304,AEL_Protection_Data[],12,0)),"N/A")</f>
        <v>350</v>
      </c>
      <c r="G304" s="119">
        <f t="shared" si="164"/>
        <v>190</v>
      </c>
      <c r="H304" s="29">
        <f t="shared" si="165"/>
        <v>3.6380861187580478</v>
      </c>
      <c r="I304" s="119">
        <f>IFERROR(FLOOR(MIN(E304:F304)*$D$2,5),"")</f>
        <v>215</v>
      </c>
      <c r="J304" s="29">
        <f t="shared" si="166"/>
        <v>4.1167816606998962</v>
      </c>
      <c r="K304" s="6" t="str">
        <f>IF(U304="Yes",UPPER(IF(ISNUMBER(SEARCH("winding",VLOOKUP(CONCATENATE(P304,Q304,S304,E304),TMK[[Limiting Equipment Reference-PTX]:[Summ Equipment]],7,0))),"Power Transformer Rating at "&amp;ROUND(E304*S304*SQRT(3)/1000,2)&amp;" MVA",VLOOKUP(CONCATENATE(P304,Q304,S304,E304),TMK[[Limiting Equipment Reference-No PTX]:[Summ Equipment]],8,0))),UPPER(VLOOKUP(CONCATENATE(P304,Q304,S304,E304),TMK[[Limiting Equipment Reference-No PTX]:[Summ Equipment]],8,0)))</f>
        <v>OH LINE-7/0.136 CU</v>
      </c>
      <c r="L304" s="146" t="s">
        <v>1267</v>
      </c>
      <c r="M304" s="146" t="s">
        <v>1267</v>
      </c>
      <c r="O304" s="168" t="str">
        <f t="shared" si="167"/>
        <v>GLD-G156</v>
      </c>
      <c r="P304" s="49" t="s">
        <v>1276</v>
      </c>
      <c r="Q304" s="49" t="s">
        <v>119</v>
      </c>
      <c r="R304" s="386"/>
      <c r="S304" s="43">
        <v>11.055</v>
      </c>
      <c r="T304" s="146" t="s">
        <v>1266</v>
      </c>
      <c r="U304" s="146" t="s">
        <v>1266</v>
      </c>
      <c r="V304" s="49"/>
    </row>
    <row r="305" spans="2:22" x14ac:dyDescent="0.25">
      <c r="B305" s="49" t="s">
        <v>547</v>
      </c>
      <c r="C305" s="168" t="s">
        <v>2635</v>
      </c>
      <c r="D305" s="119">
        <f t="shared" ref="D305:D306" si="168">ROUNDDOWN(S305,0)</f>
        <v>11</v>
      </c>
      <c r="E305" s="370">
        <f t="array" ref="E305">IF(U305="YES",IF(T305="YES",MIN(IF(TMK[Load Capability Reference]=CONCATENATE(P305,Q305,S305,R305),TMK[Lowest A-PTX])),MIN(IF(TMK[Load Capability Reference]=CONCATENATE(P305,Q305,S305,R305),IF(TMK[Equipment ID]&lt;&gt;O305,TMK[Lowest A-PTX])))),IF(T305="YES",MIN(IF(TMK[Load Capability Reference]=CONCATENATE(P305,Q305,S305,R305),TMK[Lowest A-No PTX])),MIN(IF(TMK[Load Capability Reference]=CONCATENATE(P305,Q305,S305,R305),IF(TMK[Equipment ID]&lt;&gt;O305,TMK[Lowest A-No PTX])))))</f>
        <v>241.00000000000003</v>
      </c>
      <c r="F305" s="119">
        <f>IFERROR(IFERROR(VLOOKUP(CONCATENATE(P305,Q305,O305,S305,"Protection"),TWZ[[OC Protection Reference]:[Forward A]],23,0),VLOOKUP(O305,AEL_Protection_Data[],12,0)),"N/A")</f>
        <v>350</v>
      </c>
      <c r="G305" s="119">
        <f t="shared" si="164"/>
        <v>190</v>
      </c>
      <c r="H305" s="29">
        <f t="shared" si="165"/>
        <v>3.6380861187580478</v>
      </c>
      <c r="I305" s="119">
        <f>IFERROR(FLOOR(MIN(E305:F305)*$D$2,5),"")</f>
        <v>215</v>
      </c>
      <c r="J305" s="29">
        <f t="shared" si="166"/>
        <v>4.1167816606998962</v>
      </c>
      <c r="K305" s="6" t="str">
        <f>IF(U305="Yes",UPPER(IF(ISNUMBER(SEARCH("winding",VLOOKUP(CONCATENATE(P305,Q305,S305,E305),TMK[[Limiting Equipment Reference-PTX]:[Summ Equipment]],7,0))),"Power Transformer Rating at "&amp;ROUND(E305*S305*SQRT(3)/1000,2)&amp;" MVA",VLOOKUP(CONCATENATE(P305,Q305,S305,E305),TMK[[Limiting Equipment Reference-No PTX]:[Summ Equipment]],8,0))),UPPER(VLOOKUP(CONCATENATE(P305,Q305,S305,E305),TMK[[Limiting Equipment Reference-No PTX]:[Summ Equipment]],8,0)))</f>
        <v>OH LINE-7/0.136 CU</v>
      </c>
      <c r="L305" s="146" t="s">
        <v>1267</v>
      </c>
      <c r="M305" s="146" t="s">
        <v>1266</v>
      </c>
      <c r="O305" s="168" t="str">
        <f t="shared" si="167"/>
        <v>GLD-G191</v>
      </c>
      <c r="P305" s="49" t="s">
        <v>1276</v>
      </c>
      <c r="Q305" s="49" t="s">
        <v>108</v>
      </c>
      <c r="R305" s="386"/>
      <c r="S305" s="43">
        <v>11.055</v>
      </c>
      <c r="T305" s="146" t="s">
        <v>1266</v>
      </c>
      <c r="U305" s="146" t="s">
        <v>1266</v>
      </c>
      <c r="V305" s="49"/>
    </row>
    <row r="306" spans="2:22" ht="15.75" thickBot="1" x14ac:dyDescent="0.3">
      <c r="B306" s="374" t="s">
        <v>542</v>
      </c>
      <c r="C306" s="375" t="s">
        <v>2636</v>
      </c>
      <c r="D306" s="377">
        <f t="shared" si="168"/>
        <v>11</v>
      </c>
      <c r="E306" s="384">
        <f t="array" ref="E306">IF(U306="YES",IF(T306="YES",MIN(IF(TMK[Load Capability Reference]=CONCATENATE(P306,Q306,S306,R306),TMK[Lowest A-PTX])),MIN(IF(TMK[Load Capability Reference]=CONCATENATE(P306,Q306,S306,R306),IF(TMK[Equipment ID]&lt;&gt;O306,TMK[Lowest A-PTX])))),IF(T306="YES",MIN(IF(TMK[Load Capability Reference]=CONCATENATE(P306,Q306,S306,R306),TMK[Lowest A-No PTX])),MIN(IF(TMK[Load Capability Reference]=CONCATENATE(P306,Q306,S306,R306),IF(TMK[Equipment ID]&lt;&gt;O306,TMK[Lowest A-No PTX])))))</f>
        <v>188.62660722014471</v>
      </c>
      <c r="F306" s="377">
        <f>IFERROR(IFERROR(VLOOKUP(CONCATENATE(P306,Q306,O306,S306,"Protection"),TWZ[[OC Protection Reference]:[Forward A]],23,0),VLOOKUP(O306,AEL_Protection_Data[],12,0)),"N/A")</f>
        <v>350</v>
      </c>
      <c r="G306" s="377">
        <f t="shared" si="164"/>
        <v>150</v>
      </c>
      <c r="H306" s="185">
        <f t="shared" si="165"/>
        <v>2.8721732516510907</v>
      </c>
      <c r="I306" s="377">
        <f>IFERROR(FLOOR(MIN(E306:F306)*$D$2,5),"")</f>
        <v>165</v>
      </c>
      <c r="J306" s="185">
        <f t="shared" si="166"/>
        <v>3.1593905768161998</v>
      </c>
      <c r="K306" s="191" t="str">
        <f>IF(U306="Yes",UPPER(IF(ISNUMBER(SEARCH("winding",VLOOKUP(CONCATENATE(P306,Q306,S306,E306),TMK[[Limiting Equipment Reference-PTX]:[Summ Equipment]],7,0))),"Power Transformer Rating at "&amp;ROUND(E306*S306*SQRT(3)/1000,2)&amp;" MVA",VLOOKUP(CONCATENATE(P306,Q306,S306,E306),TMK[[Limiting Equipment Reference-No PTX]:[Summ Equipment]],8,0))),UPPER(VLOOKUP(CONCATENATE(P306,Q306,S306,E306),TMK[[Limiting Equipment Reference-No PTX]:[Summ Equipment]],8,0)))</f>
        <v>OH LINE-MINK</v>
      </c>
      <c r="L306" s="379" t="s">
        <v>1267</v>
      </c>
      <c r="M306" s="379" t="s">
        <v>1267</v>
      </c>
      <c r="O306" s="375" t="str">
        <f t="shared" si="167"/>
        <v>GLD-G194</v>
      </c>
      <c r="P306" s="374" t="s">
        <v>1276</v>
      </c>
      <c r="Q306" s="374" t="s">
        <v>96</v>
      </c>
      <c r="R306" s="387"/>
      <c r="S306" s="175">
        <v>11.055</v>
      </c>
      <c r="T306" s="379" t="s">
        <v>1266</v>
      </c>
      <c r="U306" s="379" t="s">
        <v>1266</v>
      </c>
      <c r="V306" s="374"/>
    </row>
    <row r="307" spans="2:22" ht="15.75" thickBot="1" x14ac:dyDescent="0.3"/>
    <row r="308" spans="2:22" ht="26.25" thickBot="1" x14ac:dyDescent="0.3">
      <c r="B308" s="551" t="s">
        <v>2638</v>
      </c>
      <c r="C308" s="552"/>
      <c r="D308" s="552"/>
      <c r="E308" s="552"/>
      <c r="F308" s="552"/>
      <c r="G308" s="552"/>
      <c r="H308" s="552"/>
      <c r="I308" s="552"/>
      <c r="J308" s="552"/>
      <c r="K308" s="552"/>
      <c r="L308" s="552"/>
      <c r="M308" s="553"/>
      <c r="O308" s="551" t="s">
        <v>2391</v>
      </c>
      <c r="P308" s="552"/>
      <c r="Q308" s="552"/>
      <c r="R308" s="552"/>
      <c r="S308" s="552"/>
      <c r="T308" s="552"/>
      <c r="U308" s="552"/>
      <c r="V308" s="553"/>
    </row>
    <row r="309" spans="2:22" ht="15.75" customHeight="1" thickBot="1" x14ac:dyDescent="0.3">
      <c r="B309" s="571" t="str">
        <f t="shared" ref="B309:G309" si="169">B6</f>
        <v>CB ID</v>
      </c>
      <c r="C309" s="545" t="str">
        <f t="shared" si="169"/>
        <v>DESIGNATION</v>
      </c>
      <c r="D309" s="382" t="str">
        <f t="shared" si="169"/>
        <v>Rated</v>
      </c>
      <c r="E309" s="572" t="str">
        <f t="shared" si="169"/>
        <v>LOAD
CAPABILITY</v>
      </c>
      <c r="F309" s="572" t="str">
        <f t="shared" si="169"/>
        <v>OC
PICKUP</v>
      </c>
      <c r="G309" s="548" t="str">
        <f t="shared" si="169"/>
        <v>SCADA ALARM</v>
      </c>
      <c r="H309" s="549"/>
      <c r="I309" s="549"/>
      <c r="J309" s="550"/>
      <c r="K309" s="574" t="str">
        <f>K6</f>
        <v>LIMITING EQUIPMENT</v>
      </c>
      <c r="L309" s="575" t="str">
        <f>L6</f>
        <v>RECLOSING</v>
      </c>
      <c r="M309" s="576"/>
      <c r="O309" s="566" t="str">
        <f t="shared" ref="O309:V309" si="170">O6</f>
        <v>OC Pick up
Reference ID</v>
      </c>
      <c r="P309" s="557" t="str">
        <f t="shared" si="170"/>
        <v>Supply Level</v>
      </c>
      <c r="Q309" s="566" t="str">
        <f t="shared" si="170"/>
        <v>Station/Feeder</v>
      </c>
      <c r="R309" s="567" t="str">
        <f t="shared" si="170"/>
        <v>Refered to PTX</v>
      </c>
      <c r="S309" s="569" t="str">
        <f t="shared" si="170"/>
        <v>Voltage</v>
      </c>
      <c r="T309" s="539" t="str">
        <f t="shared" si="170"/>
        <v>Include
CB</v>
      </c>
      <c r="U309" s="539" t="str">
        <f t="shared" si="170"/>
        <v>Include
PTX</v>
      </c>
      <c r="V309" s="557" t="str">
        <f t="shared" si="170"/>
        <v>Notes</v>
      </c>
    </row>
    <row r="310" spans="2:22" ht="15.75" thickBot="1" x14ac:dyDescent="0.3">
      <c r="B310" s="557"/>
      <c r="C310" s="540"/>
      <c r="D310" s="362" t="str">
        <f>D7</f>
        <v>Voltage</v>
      </c>
      <c r="E310" s="573"/>
      <c r="F310" s="573"/>
      <c r="G310" s="548" t="str">
        <f>G7</f>
        <v>Pre-Emergency</v>
      </c>
      <c r="H310" s="550"/>
      <c r="I310" s="548" t="str">
        <f>I7</f>
        <v>Emergency</v>
      </c>
      <c r="J310" s="550"/>
      <c r="K310" s="540"/>
      <c r="L310" s="545" t="str">
        <f>L7</f>
        <v>AVAILABLE</v>
      </c>
      <c r="M310" s="545" t="str">
        <f>M7</f>
        <v>UTILISED</v>
      </c>
      <c r="O310" s="557"/>
      <c r="P310" s="557"/>
      <c r="Q310" s="557"/>
      <c r="R310" s="567"/>
      <c r="S310" s="569"/>
      <c r="T310" s="540"/>
      <c r="U310" s="540"/>
      <c r="V310" s="557"/>
    </row>
    <row r="311" spans="2:22" ht="15.75" thickBot="1" x14ac:dyDescent="0.3">
      <c r="B311" s="558"/>
      <c r="C311" s="541"/>
      <c r="D311" s="345" t="str">
        <f>D8</f>
        <v>(kV)</v>
      </c>
      <c r="E311" s="345" t="str">
        <f>E8</f>
        <v>(A)</v>
      </c>
      <c r="F311" s="345" t="str">
        <f>F8</f>
        <v>(A)</v>
      </c>
      <c r="G311" s="406" t="str">
        <f>G8</f>
        <v>(A)</v>
      </c>
      <c r="H311" s="407" t="str">
        <f>H8</f>
        <v>(MVA)</v>
      </c>
      <c r="I311" s="406" t="str">
        <f>I8</f>
        <v>(A)</v>
      </c>
      <c r="J311" s="407" t="str">
        <f>J8</f>
        <v>(MVA)</v>
      </c>
      <c r="K311" s="541"/>
      <c r="L311" s="541"/>
      <c r="M311" s="541"/>
      <c r="O311" s="558"/>
      <c r="P311" s="558"/>
      <c r="Q311" s="558"/>
      <c r="R311" s="568"/>
      <c r="S311" s="570"/>
      <c r="T311" s="541"/>
      <c r="U311" s="541"/>
      <c r="V311" s="558"/>
    </row>
    <row r="312" spans="2:22" x14ac:dyDescent="0.25">
      <c r="B312" s="38">
        <v>1522</v>
      </c>
      <c r="C312" s="3" t="s">
        <v>2639</v>
      </c>
      <c r="D312" s="61">
        <f t="shared" ref="D312:D313" si="171">ROUNDDOWN(S312,0)</f>
        <v>33</v>
      </c>
      <c r="E312" s="369">
        <f t="array" ref="E312">IF(U312="YES",IF(T312="YES",MIN(IF(TMK[Load Capability Reference]=CONCATENATE(P312,Q312,S312,R312),TMK[Lowest A-PTX])),MIN(IF(TMK[Load Capability Reference]=CONCATENATE(P312,Q312,S312,R312),IF(TMK[Equipment ID]&lt;&gt;O312,TMK[Lowest A-PTX])))),IF(T312="YES",MIN(IF(TMK[Load Capability Reference]=CONCATENATE(P312,Q312,S312,R312),TMK[Lowest A-No PTX])),MIN(IF(TMK[Load Capability Reference]=CONCATENATE(P312,Q312,S312,R312),IF(TMK[Equipment ID]&lt;&gt;O312,TMK[Lowest A-No PTX])))))</f>
        <v>171.86112674573607</v>
      </c>
      <c r="F312" s="61">
        <f>IFERROR(IFERROR(VLOOKUP(CONCATENATE(P312,Q312,O312,S312,"Protection"),TWZ[[OC Protection Reference]:[Forward A]],23,0),VLOOKUP(O312,AEL_Protection_Data[],12,0)),"N/A")</f>
        <v>402</v>
      </c>
      <c r="G312" s="61">
        <f t="shared" ref="G312:G323" si="172">IFERROR(FLOOR(MIN(E312:F312)*$D$3,5),"")</f>
        <v>135</v>
      </c>
      <c r="H312" s="5">
        <f t="shared" ref="H312:H323" si="173">G312*S312*SQRT(3)/1000</f>
        <v>7.8551795019782968</v>
      </c>
      <c r="I312" s="61">
        <f t="shared" ref="I312:I323" si="174">IFERROR(FLOOR(MIN(E312:F312)*$D$2,5),"")</f>
        <v>150</v>
      </c>
      <c r="J312" s="5">
        <f t="shared" ref="J312:J323" si="175">I312*S312*SQRT(3)/1000</f>
        <v>8.7279772244203304</v>
      </c>
      <c r="K312" s="3" t="str">
        <f>IF(U312="Yes",UPPER(IF(ISNUMBER(SEARCH("winding",VLOOKUP(CONCATENATE(P312,Q312,S312,E312),TMK[[Limiting Equipment Reference-PTX]:[Summ Equipment]],7,0))),"Power Transformer Rating at "&amp;ROUND(E312*S312*SQRT(3)/1000,2)&amp;" MVA",VLOOKUP(CONCATENATE(P312,Q312,S312,E312),TMK[[Limiting Equipment Reference-No PTX]:[Summ Equipment]],8,0))),UPPER(VLOOKUP(CONCATENATE(P312,Q312,S312,E312),TMK[[Limiting Equipment Reference-No PTX]:[Summ Equipment]],8,0)))</f>
        <v>AEL-FONTERRA CONTRACTUAL-10 MW LIMIT</v>
      </c>
      <c r="L312" s="4" t="s">
        <v>1267</v>
      </c>
      <c r="M312" s="4" t="s">
        <v>1266</v>
      </c>
      <c r="O312" s="3" t="str">
        <f>"RGA_T1-CB"&amp;B312</f>
        <v>RGA_T1-CB1522</v>
      </c>
      <c r="P312" s="38" t="s">
        <v>1245</v>
      </c>
      <c r="Q312" s="38" t="s">
        <v>86</v>
      </c>
      <c r="R312" s="389"/>
      <c r="S312" s="139">
        <v>33.594000000000001</v>
      </c>
      <c r="T312" s="4" t="s">
        <v>1267</v>
      </c>
      <c r="U312" s="4" t="s">
        <v>1267</v>
      </c>
      <c r="V312" s="38"/>
    </row>
    <row r="313" spans="2:22" x14ac:dyDescent="0.25">
      <c r="B313" s="49">
        <v>1562</v>
      </c>
      <c r="C313" s="6" t="s">
        <v>2640</v>
      </c>
      <c r="D313" s="119">
        <f t="shared" si="171"/>
        <v>33</v>
      </c>
      <c r="E313" s="370">
        <f t="array" ref="E313">IF(U313="YES",IF(T313="YES",MIN(IF(TMK[Load Capability Reference]=CONCATENATE(P313,Q313,S313,R313),TMK[Lowest A-PTX])),MIN(IF(TMK[Load Capability Reference]=CONCATENATE(P313,Q313,S313,R313),IF(TMK[Equipment ID]&lt;&gt;O313,TMK[Lowest A-PTX])))),IF(T313="YES",MIN(IF(TMK[Load Capability Reference]=CONCATENATE(P313,Q313,S313,R313),TMK[Lowest A-No PTX])),MIN(IF(TMK[Load Capability Reference]=CONCATENATE(P313,Q313,S313,R313),IF(TMK[Equipment ID]&lt;&gt;O313,TMK[Lowest A-No PTX])))))</f>
        <v>207.23079999999999</v>
      </c>
      <c r="F313" s="119">
        <f>IFERROR(IFERROR(VLOOKUP(CONCATENATE(P313,Q313,O313,S313,"Protection"),TWZ[[OC Protection Reference]:[Forward A]],23,0),VLOOKUP(O313,AEL_Protection_Data[],12,0)),"N/A")</f>
        <v>402</v>
      </c>
      <c r="G313" s="119">
        <f t="shared" si="172"/>
        <v>165</v>
      </c>
      <c r="H313" s="29">
        <f t="shared" si="173"/>
        <v>9.6007749468623622</v>
      </c>
      <c r="I313" s="119">
        <f t="shared" si="174"/>
        <v>185</v>
      </c>
      <c r="J313" s="29">
        <f t="shared" si="175"/>
        <v>10.76450524345174</v>
      </c>
      <c r="K313" s="6" t="str">
        <f>IF(U313="Yes",UPPER(IF(ISNUMBER(SEARCH("winding",VLOOKUP(CONCATENATE(P313,Q313,S313,E313),TMK[[Limiting Equipment Reference-PTX]:[Summ Equipment]],7,0))),"Power Transformer Rating at "&amp;ROUND(E313*S313*SQRT(3)/1000,2)&amp;" MVA",VLOOKUP(CONCATENATE(P313,Q313,S313,E313),TMK[[Limiting Equipment Reference-No PTX]:[Summ Equipment]],8,0))),UPPER(VLOOKUP(CONCATENATE(P313,Q313,S313,E313),TMK[[Limiting Equipment Reference-No PTX]:[Summ Equipment]],8,0)))</f>
        <v>CABLE-1-3C 95 MM² AL XLPE</v>
      </c>
      <c r="L313" s="146" t="s">
        <v>1267</v>
      </c>
      <c r="M313" s="146" t="s">
        <v>1267</v>
      </c>
      <c r="O313" s="168" t="str">
        <f>"RGA_T2-CB"&amp;B313</f>
        <v>RGA_T2-CB1562</v>
      </c>
      <c r="P313" s="49" t="s">
        <v>1245</v>
      </c>
      <c r="Q313" s="49" t="s">
        <v>87</v>
      </c>
      <c r="R313" s="386"/>
      <c r="S313" s="43">
        <v>33.594000000000001</v>
      </c>
      <c r="T313" s="146" t="s">
        <v>1266</v>
      </c>
      <c r="U313" s="146" t="s">
        <v>1267</v>
      </c>
      <c r="V313" s="49"/>
    </row>
    <row r="314" spans="2:22" x14ac:dyDescent="0.25">
      <c r="B314" s="49" t="s">
        <v>587</v>
      </c>
      <c r="C314" s="168" t="s">
        <v>2641</v>
      </c>
      <c r="D314" s="119">
        <f>ROUNDDOWN(S314,0)</f>
        <v>11</v>
      </c>
      <c r="E314" s="370">
        <f t="array" ref="E314">IF(U314="YES",IF(T314="YES",MIN(IF(TMK[Load Capability Reference]=CONCATENATE(P314,Q314,S314,R314),TMK[Lowest A-PTX])),MIN(IF(TMK[Load Capability Reference]=CONCATENATE(P314,Q314,S314,R314),IF(TMK[Equipment ID]&lt;&gt;O314,TMK[Lowest A-PTX])))),IF(T314="YES",MIN(IF(TMK[Load Capability Reference]=CONCATENATE(P314,Q314,S314,R314),TMK[Lowest A-No PTX])),MIN(IF(TMK[Load Capability Reference]=CONCATENATE(P314,Q314,S314,R314),IF(TMK[Equipment ID]&lt;&gt;O314,TMK[Lowest A-No PTX])))))</f>
        <v>793.8</v>
      </c>
      <c r="F314" s="119">
        <f>IFERROR(IFERROR(VLOOKUP(CONCATENATE(P314,Q314,O314,S314,"Protection"),TWZ[[OC Protection Reference]:[Forward A]],23,0),VLOOKUP(O314,AEL_Protection_Data[],12,0)),"N/A")</f>
        <v>1048</v>
      </c>
      <c r="G314" s="119">
        <f t="shared" si="172"/>
        <v>635</v>
      </c>
      <c r="H314" s="29">
        <f t="shared" si="173"/>
        <v>12.340342388685981</v>
      </c>
      <c r="I314" s="119">
        <f t="shared" si="174"/>
        <v>710</v>
      </c>
      <c r="J314" s="29">
        <f t="shared" si="175"/>
        <v>13.79786314325519</v>
      </c>
      <c r="K314" s="6" t="str">
        <f>IF(U314="Yes",UPPER(IF(ISNUMBER(SEARCH("winding",VLOOKUP(CONCATENATE(P314,Q314,S314,E314),TMK[[Limiting Equipment Reference-PTX]:[Summ Equipment]],7,0))),"Power Transformer Rating at "&amp;ROUND(E314*S314*SQRT(3)/1000,2)&amp;" MVA",VLOOKUP(CONCATENATE(P314,Q314,S314,E314),TMK[[Limiting Equipment Reference-No PTX]:[Summ Equipment]],8,0))),UPPER(VLOOKUP(CONCATENATE(P314,Q314,S314,E314),TMK[[Limiting Equipment Reference-No PTX]:[Summ Equipment]],8,0)))</f>
        <v>CABLE-3-1C 630 MM² CU XLPE</v>
      </c>
      <c r="L314" s="146" t="s">
        <v>1267</v>
      </c>
      <c r="M314" s="146" t="s">
        <v>1267</v>
      </c>
      <c r="O314" s="168" t="str">
        <f>"RGA_T1-"&amp;B314</f>
        <v>RGA_T1-CB35</v>
      </c>
      <c r="P314" s="49" t="s">
        <v>1246</v>
      </c>
      <c r="Q314" s="49" t="s">
        <v>86</v>
      </c>
      <c r="R314" s="386"/>
      <c r="S314" s="43">
        <v>11.22</v>
      </c>
      <c r="T314" s="146" t="s">
        <v>1266</v>
      </c>
      <c r="U314" s="146" t="s">
        <v>1266</v>
      </c>
      <c r="V314" s="49"/>
    </row>
    <row r="315" spans="2:22" x14ac:dyDescent="0.25">
      <c r="B315" s="49" t="s">
        <v>588</v>
      </c>
      <c r="C315" s="168" t="s">
        <v>2642</v>
      </c>
      <c r="D315" s="119">
        <f t="shared" ref="D315:D323" si="176">ROUNDDOWN(S315,0)</f>
        <v>11</v>
      </c>
      <c r="E315" s="370">
        <f t="array" ref="E315">IF(U315="YES",IF(T315="YES",MIN(IF(TMK[Load Capability Reference]=CONCATENATE(P315,Q315,S315,R315),TMK[Lowest A-PTX])),MIN(IF(TMK[Load Capability Reference]=CONCATENATE(P315,Q315,S315,R315),IF(TMK[Equipment ID]&lt;&gt;O315,TMK[Lowest A-PTX])))),IF(T315="YES",MIN(IF(TMK[Load Capability Reference]=CONCATENATE(P315,Q315,S315,R315),TMK[Lowest A-No PTX])),MIN(IF(TMK[Load Capability Reference]=CONCATENATE(P315,Q315,S315,R315),IF(TMK[Equipment ID]&lt;&gt;O315,TMK[Lowest A-No PTX])))))</f>
        <v>873.42617599999994</v>
      </c>
      <c r="F315" s="119">
        <f>IFERROR(IFERROR(VLOOKUP(CONCATENATE(P315,Q315,O315,S315,"Protection"),TWZ[[OC Protection Reference]:[Forward A]],23,0),VLOOKUP(O315,AEL_Protection_Data[],12,0)),"N/A")</f>
        <v>1048</v>
      </c>
      <c r="G315" s="119">
        <f t="shared" si="172"/>
        <v>695</v>
      </c>
      <c r="H315" s="29">
        <f t="shared" si="173"/>
        <v>13.506358992341349</v>
      </c>
      <c r="I315" s="119">
        <f t="shared" si="174"/>
        <v>785</v>
      </c>
      <c r="J315" s="29">
        <f t="shared" si="175"/>
        <v>15.2553838978244</v>
      </c>
      <c r="K315" s="6" t="str">
        <f>IF(U315="Yes",UPPER(IF(ISNUMBER(SEARCH("winding",VLOOKUP(CONCATENATE(P315,Q315,S315,E315),TMK[[Limiting Equipment Reference-PTX]:[Summ Equipment]],7,0))),"Power Transformer Rating at "&amp;ROUND(E315*S315*SQRT(3)/1000,2)&amp;" MVA",VLOOKUP(CONCATENATE(P315,Q315,S315,E315),TMK[[Limiting Equipment Reference-No PTX]:[Summ Equipment]],8,0))),UPPER(VLOOKUP(CONCATENATE(P315,Q315,S315,E315),TMK[[Limiting Equipment Reference-No PTX]:[Summ Equipment]],8,0)))</f>
        <v>CABLE-6-1C 400 MM² AL XLPE</v>
      </c>
      <c r="L315" s="146" t="s">
        <v>1266</v>
      </c>
      <c r="M315" s="146" t="s">
        <v>1162</v>
      </c>
      <c r="O315" s="168" t="str">
        <f>"RGA_T2-"&amp;B315</f>
        <v>RGA_T2-CB36</v>
      </c>
      <c r="P315" s="49" t="s">
        <v>1246</v>
      </c>
      <c r="Q315" s="49" t="s">
        <v>87</v>
      </c>
      <c r="R315" s="386"/>
      <c r="S315" s="43">
        <v>11.22</v>
      </c>
      <c r="T315" s="146" t="s">
        <v>1266</v>
      </c>
      <c r="U315" s="146" t="s">
        <v>1266</v>
      </c>
      <c r="V315" s="49"/>
    </row>
    <row r="316" spans="2:22" x14ac:dyDescent="0.25">
      <c r="B316" s="49" t="s">
        <v>2464</v>
      </c>
      <c r="C316" s="168" t="s">
        <v>2644</v>
      </c>
      <c r="D316" s="119">
        <f t="shared" si="176"/>
        <v>11</v>
      </c>
      <c r="E316" s="370">
        <v>800</v>
      </c>
      <c r="F316" s="119" t="str">
        <f>IFERROR(IFERROR(VLOOKUP(CONCATENATE(P316,Q316,O316,S316,"Protection"),TWZ[[OC Protection Reference]:[Forward A]],23,0),VLOOKUP(O316,AEL_Protection_Data[],12,0)),"N/A")</f>
        <v>N/A</v>
      </c>
      <c r="G316" s="119">
        <f t="shared" si="172"/>
        <v>640</v>
      </c>
      <c r="H316" s="29">
        <f t="shared" si="173"/>
        <v>12.437510438990593</v>
      </c>
      <c r="I316" s="119">
        <f t="shared" si="174"/>
        <v>720</v>
      </c>
      <c r="J316" s="29">
        <f t="shared" si="175"/>
        <v>13.99219924386442</v>
      </c>
      <c r="K316" s="6" t="s">
        <v>2651</v>
      </c>
      <c r="L316" s="146" t="s">
        <v>1266</v>
      </c>
      <c r="M316" s="146" t="s">
        <v>1162</v>
      </c>
      <c r="O316" s="168" t="str">
        <f t="shared" ref="O316" si="177">"RGA_T1-"&amp;B316</f>
        <v>RGA_T1-CB31</v>
      </c>
      <c r="P316" s="49" t="s">
        <v>1246</v>
      </c>
      <c r="Q316" s="49" t="s">
        <v>86</v>
      </c>
      <c r="R316" s="386"/>
      <c r="S316" s="43">
        <v>11.22</v>
      </c>
      <c r="T316" s="146" t="s">
        <v>1266</v>
      </c>
      <c r="U316" s="146" t="s">
        <v>1266</v>
      </c>
      <c r="V316" s="49" t="s">
        <v>2827</v>
      </c>
    </row>
    <row r="317" spans="2:22" x14ac:dyDescent="0.25">
      <c r="B317" s="49" t="s">
        <v>373</v>
      </c>
      <c r="C317" s="168" t="s">
        <v>2643</v>
      </c>
      <c r="D317" s="119">
        <f t="shared" si="176"/>
        <v>11</v>
      </c>
      <c r="E317" s="370">
        <v>800</v>
      </c>
      <c r="F317" s="119">
        <f>IFERROR(IFERROR(VLOOKUP(CONCATENATE(P317,Q317,O317,S317,"Protection"),TWZ[[OC Protection Reference]:[Forward A]],23,0),VLOOKUP(O317,AEL_Protection_Data[],12,0)),"N/A")</f>
        <v>600</v>
      </c>
      <c r="G317" s="119">
        <f t="shared" si="172"/>
        <v>480</v>
      </c>
      <c r="H317" s="29">
        <f t="shared" si="173"/>
        <v>9.3281328292429464</v>
      </c>
      <c r="I317" s="119">
        <f t="shared" si="174"/>
        <v>540</v>
      </c>
      <c r="J317" s="29">
        <f t="shared" si="175"/>
        <v>10.494149432898313</v>
      </c>
      <c r="K317" s="6" t="s">
        <v>2651</v>
      </c>
      <c r="L317" s="146" t="s">
        <v>1266</v>
      </c>
      <c r="M317" s="146" t="s">
        <v>1162</v>
      </c>
      <c r="O317" s="168" t="str">
        <f>"RGA_T2-"&amp;B317</f>
        <v>RGA_T2-CB32</v>
      </c>
      <c r="P317" s="49" t="s">
        <v>1246</v>
      </c>
      <c r="Q317" s="49" t="s">
        <v>87</v>
      </c>
      <c r="R317" s="386"/>
      <c r="S317" s="43">
        <v>11.22</v>
      </c>
      <c r="T317" s="146" t="s">
        <v>1266</v>
      </c>
      <c r="U317" s="146" t="s">
        <v>1266</v>
      </c>
      <c r="V317" s="49" t="s">
        <v>2827</v>
      </c>
    </row>
    <row r="318" spans="2:22" x14ac:dyDescent="0.25">
      <c r="B318" s="49" t="s">
        <v>507</v>
      </c>
      <c r="C318" s="168" t="s">
        <v>2645</v>
      </c>
      <c r="D318" s="119">
        <f t="shared" si="176"/>
        <v>11</v>
      </c>
      <c r="E318" s="370">
        <f t="array" ref="E318">IF(U318="YES",IF(T318="YES",MIN(IF(TMK[Load Capability Reference]=CONCATENATE(P318,Q318,S318,R318),TMK[Lowest A-PTX])),MIN(IF(TMK[Load Capability Reference]=CONCATENATE(P318,Q318,S318,R318),IF(TMK[Equipment ID]&lt;&gt;O318,TMK[Lowest A-PTX])))),IF(T318="YES",MIN(IF(TMK[Load Capability Reference]=CONCATENATE(P318,Q318,S318,R318),TMK[Lowest A-No PTX])),MIN(IF(TMK[Load Capability Reference]=CONCATENATE(P318,Q318,S318,R318),IF(TMK[Equipment ID]&lt;&gt;O318,TMK[Lowest A-No PTX])))))</f>
        <v>256.85852310343915</v>
      </c>
      <c r="F318" s="119">
        <f>IFERROR(IFERROR(VLOOKUP(CONCATENATE(P318,Q318,O318,S318,"Protection"),TWZ[[OC Protection Reference]:[Forward A]],23,0),VLOOKUP(O318,AEL_Protection_Data[],12,0)),"N/A")</f>
        <v>300</v>
      </c>
      <c r="G318" s="119">
        <f t="shared" si="172"/>
        <v>205</v>
      </c>
      <c r="H318" s="29">
        <f t="shared" si="173"/>
        <v>3.9838900624891744</v>
      </c>
      <c r="I318" s="119">
        <f t="shared" si="174"/>
        <v>230</v>
      </c>
      <c r="J318" s="29">
        <f t="shared" si="175"/>
        <v>4.4697303140122449</v>
      </c>
      <c r="K318" s="6" t="str">
        <f>IF(U318="Yes",UPPER(IF(ISNUMBER(SEARCH("winding",VLOOKUP(CONCATENATE(P318,Q318,S318,E318),TMK[[Limiting Equipment Reference-PTX]:[Summ Equipment]],7,0))),"Power Transformer Rating at "&amp;ROUND(E318*S318*SQRT(3)/1000,2)&amp;" MVA",VLOOKUP(CONCATENATE(P318,Q318,S318,E318),TMK[[Limiting Equipment Reference-No PTX]:[Summ Equipment]],8,0))),UPPER(VLOOKUP(CONCATENATE(P318,Q318,S318,E318),TMK[[Limiting Equipment Reference-No PTX]:[Summ Equipment]],8,0)))</f>
        <v>OH LINE-DOG</v>
      </c>
      <c r="L318" s="146" t="s">
        <v>1266</v>
      </c>
      <c r="M318" s="146" t="s">
        <v>1162</v>
      </c>
      <c r="O318" s="168" t="str">
        <f t="shared" ref="O318:O320" si="178">"RGA_T1-"&amp;B318</f>
        <v>RGA_T1-CB2</v>
      </c>
      <c r="P318" s="49" t="s">
        <v>1276</v>
      </c>
      <c r="Q318" s="49" t="s">
        <v>98</v>
      </c>
      <c r="R318" s="386"/>
      <c r="S318" s="43">
        <v>11.22</v>
      </c>
      <c r="T318" s="146" t="s">
        <v>1266</v>
      </c>
      <c r="U318" s="146" t="s">
        <v>1266</v>
      </c>
      <c r="V318" s="49"/>
    </row>
    <row r="319" spans="2:22" x14ac:dyDescent="0.25">
      <c r="B319" s="49" t="s">
        <v>511</v>
      </c>
      <c r="C319" s="168" t="s">
        <v>2646</v>
      </c>
      <c r="D319" s="119">
        <f t="shared" si="176"/>
        <v>11</v>
      </c>
      <c r="E319" s="370">
        <f t="array" ref="E319">IF(U319="YES",IF(T319="YES",MIN(IF(TMK[Load Capability Reference]=CONCATENATE(P319,Q319,S319,R319),TMK[Lowest A-PTX])),MIN(IF(TMK[Load Capability Reference]=CONCATENATE(P319,Q319,S319,R319),IF(TMK[Equipment ID]&lt;&gt;O319,TMK[Lowest A-PTX])))),IF(T319="YES",MIN(IF(TMK[Load Capability Reference]=CONCATENATE(P319,Q319,S319,R319),TMK[Lowest A-No PTX])),MIN(IF(TMK[Load Capability Reference]=CONCATENATE(P319,Q319,S319,R319),IF(TMK[Equipment ID]&lt;&gt;O319,TMK[Lowest A-No PTX])))))</f>
        <v>208.18140000000002</v>
      </c>
      <c r="F319" s="119">
        <f>IFERROR(IFERROR(VLOOKUP(CONCATENATE(P319,Q319,O319,S319,"Protection"),TWZ[[OC Protection Reference]:[Forward A]],23,0),VLOOKUP(O319,AEL_Protection_Data[],12,0)),"N/A")</f>
        <v>300</v>
      </c>
      <c r="G319" s="119">
        <f t="shared" si="172"/>
        <v>165</v>
      </c>
      <c r="H319" s="29">
        <f t="shared" si="173"/>
        <v>3.2065456600522624</v>
      </c>
      <c r="I319" s="119">
        <f t="shared" si="174"/>
        <v>185</v>
      </c>
      <c r="J319" s="29">
        <f t="shared" si="175"/>
        <v>3.5952178612707191</v>
      </c>
      <c r="K319" s="6" t="str">
        <f>IF(U319="Yes",UPPER(IF(ISNUMBER(SEARCH("winding",VLOOKUP(CONCATENATE(P319,Q319,S319,E319),TMK[[Limiting Equipment Reference-PTX]:[Summ Equipment]],7,0))),"Power Transformer Rating at "&amp;ROUND(E319*S319*SQRT(3)/1000,2)&amp;" MVA",VLOOKUP(CONCATENATE(P319,Q319,S319,E319),TMK[[Limiting Equipment Reference-No PTX]:[Summ Equipment]],8,0))),UPPER(VLOOKUP(CONCATENATE(P319,Q319,S319,E319),TMK[[Limiting Equipment Reference-No PTX]:[Summ Equipment]],8,0)))</f>
        <v>CABLE-1-3C 95 MM² XLPE</v>
      </c>
      <c r="L319" s="146" t="s">
        <v>1266</v>
      </c>
      <c r="M319" s="146" t="s">
        <v>1162</v>
      </c>
      <c r="O319" s="168" t="str">
        <f t="shared" si="178"/>
        <v>RGA_T1-CB3</v>
      </c>
      <c r="P319" s="49" t="s">
        <v>1276</v>
      </c>
      <c r="Q319" s="49" t="s">
        <v>110</v>
      </c>
      <c r="R319" s="386"/>
      <c r="S319" s="43">
        <v>11.22</v>
      </c>
      <c r="T319" s="146" t="s">
        <v>1266</v>
      </c>
      <c r="U319" s="146" t="s">
        <v>1266</v>
      </c>
      <c r="V319" s="49"/>
    </row>
    <row r="320" spans="2:22" x14ac:dyDescent="0.25">
      <c r="B320" s="49" t="s">
        <v>498</v>
      </c>
      <c r="C320" s="168" t="s">
        <v>2647</v>
      </c>
      <c r="D320" s="119">
        <f t="shared" si="176"/>
        <v>11</v>
      </c>
      <c r="E320" s="370">
        <f t="array" ref="E320">IF(U320="YES",IF(T320="YES",MIN(IF(TMK[Load Capability Reference]=CONCATENATE(P320,Q320,S320,R320),TMK[Lowest A-PTX])),MIN(IF(TMK[Load Capability Reference]=CONCATENATE(P320,Q320,S320,R320),IF(TMK[Equipment ID]&lt;&gt;O320,TMK[Lowest A-PTX])))),IF(T320="YES",MIN(IF(TMK[Load Capability Reference]=CONCATENATE(P320,Q320,S320,R320),TMK[Lowest A-No PTX])),MIN(IF(TMK[Load Capability Reference]=CONCATENATE(P320,Q320,S320,R320),IF(TMK[Equipment ID]&lt;&gt;O320,TMK[Lowest A-No PTX])))))</f>
        <v>256.85852310343915</v>
      </c>
      <c r="F320" s="119" t="str">
        <f>IFERROR(IFERROR(VLOOKUP(CONCATENATE(P320,Q320,O320,S320,"Protection"),TWZ[[OC Protection Reference]:[Forward A]],23,0),VLOOKUP(O320,AEL_Protection_Data[],12,0)),"N/A")</f>
        <v>N/A</v>
      </c>
      <c r="G320" s="119">
        <f t="shared" si="172"/>
        <v>205</v>
      </c>
      <c r="H320" s="29">
        <f t="shared" si="173"/>
        <v>3.9838900624891744</v>
      </c>
      <c r="I320" s="119">
        <f t="shared" si="174"/>
        <v>230</v>
      </c>
      <c r="J320" s="29">
        <f t="shared" si="175"/>
        <v>4.4697303140122449</v>
      </c>
      <c r="K320" s="6" t="str">
        <f>IF(U320="Yes",UPPER(IF(ISNUMBER(SEARCH("winding",VLOOKUP(CONCATENATE(P320,Q320,S320,E320),TMK[[Limiting Equipment Reference-PTX]:[Summ Equipment]],7,0))),"Power Transformer Rating at "&amp;ROUND(E320*S320*SQRT(3)/1000,2)&amp;" MVA",VLOOKUP(CONCATENATE(P320,Q320,S320,E320),TMK[[Limiting Equipment Reference-No PTX]:[Summ Equipment]],8,0))),UPPER(VLOOKUP(CONCATENATE(P320,Q320,S320,E320),TMK[[Limiting Equipment Reference-No PTX]:[Summ Equipment]],8,0)))</f>
        <v>OH LINE-DOG</v>
      </c>
      <c r="L320" s="146" t="s">
        <v>1266</v>
      </c>
      <c r="M320" s="146" t="s">
        <v>1162</v>
      </c>
      <c r="O320" s="168" t="str">
        <f t="shared" si="178"/>
        <v>RGA_T1-CB4</v>
      </c>
      <c r="P320" s="49" t="s">
        <v>1276</v>
      </c>
      <c r="Q320" s="49" t="s">
        <v>121</v>
      </c>
      <c r="R320" s="386"/>
      <c r="S320" s="43">
        <v>11.22</v>
      </c>
      <c r="T320" s="146" t="s">
        <v>1266</v>
      </c>
      <c r="U320" s="146" t="s">
        <v>1266</v>
      </c>
      <c r="V320" s="49"/>
    </row>
    <row r="321" spans="2:22" x14ac:dyDescent="0.25">
      <c r="B321" s="49" t="s">
        <v>607</v>
      </c>
      <c r="C321" s="168" t="s">
        <v>2648</v>
      </c>
      <c r="D321" s="119">
        <f t="shared" si="176"/>
        <v>11</v>
      </c>
      <c r="E321" s="370">
        <f t="array" ref="E321">IF(U321="YES",IF(T321="YES",MIN(IF(TMK[Load Capability Reference]=CONCATENATE(P321,Q321,S321,R321),TMK[Lowest A-PTX])),MIN(IF(TMK[Load Capability Reference]=CONCATENATE(P321,Q321,S321,R321),IF(TMK[Equipment ID]&lt;&gt;O321,TMK[Lowest A-PTX])))),IF(T321="YES",MIN(IF(TMK[Load Capability Reference]=CONCATENATE(P321,Q321,S321,R321),TMK[Lowest A-No PTX])),MIN(IF(TMK[Load Capability Reference]=CONCATENATE(P321,Q321,S321,R321),IF(TMK[Equipment ID]&lt;&gt;O321,TMK[Lowest A-No PTX])))))</f>
        <v>275.38648791159613</v>
      </c>
      <c r="F321" s="119">
        <f>IFERROR(IFERROR(VLOOKUP(CONCATENATE(P321,Q321,O321,S321,"Protection"),TWZ[[OC Protection Reference]:[Forward A]],23,0),VLOOKUP(O321,AEL_Protection_Data[],12,0)),"N/A")</f>
        <v>300</v>
      </c>
      <c r="G321" s="119">
        <f t="shared" si="172"/>
        <v>220</v>
      </c>
      <c r="H321" s="29">
        <f t="shared" si="173"/>
        <v>4.2753942134030165</v>
      </c>
      <c r="I321" s="119">
        <f t="shared" si="174"/>
        <v>245</v>
      </c>
      <c r="J321" s="29">
        <f t="shared" si="175"/>
        <v>4.7612344649260869</v>
      </c>
      <c r="K321" s="6" t="str">
        <f>IF(U321="Yes",UPPER(IF(ISNUMBER(SEARCH("winding",VLOOKUP(CONCATENATE(P321,Q321,S321,E321),TMK[[Limiting Equipment Reference-PTX]:[Summ Equipment]],7,0))),"Power Transformer Rating at "&amp;ROUND(E321*S321*SQRT(3)/1000,2)&amp;" MVA",VLOOKUP(CONCATENATE(P321,Q321,S321,E321),TMK[[Limiting Equipment Reference-No PTX]:[Summ Equipment]],8,0))),UPPER(VLOOKUP(CONCATENATE(P321,Q321,S321,E321),TMK[[Limiting Equipment Reference-No PTX]:[Summ Equipment]],8,0)))</f>
        <v>OH LINE-IODINE</v>
      </c>
      <c r="L321" s="146" t="s">
        <v>1267</v>
      </c>
      <c r="M321" s="146" t="s">
        <v>1267</v>
      </c>
      <c r="O321" s="168" t="str">
        <f t="shared" ref="O321:O323" si="179">"RGA_T2-"&amp;B321</f>
        <v>RGA_T2-CB11</v>
      </c>
      <c r="P321" s="49" t="s">
        <v>1276</v>
      </c>
      <c r="Q321" s="49" t="s">
        <v>99</v>
      </c>
      <c r="R321" s="386"/>
      <c r="S321" s="43">
        <v>11.22</v>
      </c>
      <c r="T321" s="146" t="s">
        <v>1266</v>
      </c>
      <c r="U321" s="146" t="s">
        <v>1266</v>
      </c>
      <c r="V321" s="49"/>
    </row>
    <row r="322" spans="2:22" x14ac:dyDescent="0.25">
      <c r="B322" s="49" t="s">
        <v>610</v>
      </c>
      <c r="C322" s="168" t="s">
        <v>2649</v>
      </c>
      <c r="D322" s="119">
        <f t="shared" si="176"/>
        <v>11</v>
      </c>
      <c r="E322" s="370">
        <f t="array" ref="E322">IF(U322="YES",IF(T322="YES",MIN(IF(TMK[Load Capability Reference]=CONCATENATE(P322,Q322,S322,R322),TMK[Lowest A-PTX])),MIN(IF(TMK[Load Capability Reference]=CONCATENATE(P322,Q322,S322,R322),IF(TMK[Equipment ID]&lt;&gt;O322,TMK[Lowest A-PTX])))),IF(T322="YES",MIN(IF(TMK[Load Capability Reference]=CONCATENATE(P322,Q322,S322,R322),TMK[Lowest A-No PTX])),MIN(IF(TMK[Load Capability Reference]=CONCATENATE(P322,Q322,S322,R322),IF(TMK[Equipment ID]&lt;&gt;O322,TMK[Lowest A-No PTX])))))</f>
        <v>275.38648791159613</v>
      </c>
      <c r="F322" s="119">
        <f>IFERROR(IFERROR(VLOOKUP(CONCATENATE(P322,Q322,O322,S322,"Protection"),TWZ[[OC Protection Reference]:[Forward A]],23,0),VLOOKUP(O322,AEL_Protection_Data[],12,0)),"N/A")</f>
        <v>300</v>
      </c>
      <c r="G322" s="119">
        <f t="shared" si="172"/>
        <v>220</v>
      </c>
      <c r="H322" s="29">
        <f t="shared" si="173"/>
        <v>4.2753942134030165</v>
      </c>
      <c r="I322" s="119">
        <f t="shared" si="174"/>
        <v>245</v>
      </c>
      <c r="J322" s="29">
        <f t="shared" si="175"/>
        <v>4.7612344649260869</v>
      </c>
      <c r="K322" s="6" t="str">
        <f>IF(U322="Yes",UPPER(IF(ISNUMBER(SEARCH("winding",VLOOKUP(CONCATENATE(P322,Q322,S322,E322),TMK[[Limiting Equipment Reference-PTX]:[Summ Equipment]],7,0))),"Power Transformer Rating at "&amp;ROUND(E322*S322*SQRT(3)/1000,2)&amp;" MVA",VLOOKUP(CONCATENATE(P322,Q322,S322,E322),TMK[[Limiting Equipment Reference-No PTX]:[Summ Equipment]],8,0))),UPPER(VLOOKUP(CONCATENATE(P322,Q322,S322,E322),TMK[[Limiting Equipment Reference-No PTX]:[Summ Equipment]],8,0)))</f>
        <v>OH LINE-IODINE</v>
      </c>
      <c r="L322" s="146" t="s">
        <v>1267</v>
      </c>
      <c r="M322" s="146" t="s">
        <v>1266</v>
      </c>
      <c r="O322" s="168" t="str">
        <f t="shared" si="179"/>
        <v>RGA_T2-CB12</v>
      </c>
      <c r="P322" s="49" t="s">
        <v>1276</v>
      </c>
      <c r="Q322" s="49" t="s">
        <v>111</v>
      </c>
      <c r="R322" s="386"/>
      <c r="S322" s="43">
        <v>11.22</v>
      </c>
      <c r="T322" s="146" t="s">
        <v>1266</v>
      </c>
      <c r="U322" s="146" t="s">
        <v>1266</v>
      </c>
      <c r="V322" s="49"/>
    </row>
    <row r="323" spans="2:22" ht="15.75" thickBot="1" x14ac:dyDescent="0.3">
      <c r="B323" s="374" t="s">
        <v>611</v>
      </c>
      <c r="C323" s="375" t="s">
        <v>2650</v>
      </c>
      <c r="D323" s="377">
        <f t="shared" si="176"/>
        <v>11</v>
      </c>
      <c r="E323" s="384">
        <f t="array" ref="E323">IF(U323="YES",IF(T323="YES",MIN(IF(TMK[Load Capability Reference]=CONCATENATE(P323,Q323,S323,R323),TMK[Lowest A-PTX])),MIN(IF(TMK[Load Capability Reference]=CONCATENATE(P323,Q323,S323,R323),IF(TMK[Equipment ID]&lt;&gt;O323,TMK[Lowest A-PTX])))),IF(T323="YES",MIN(IF(TMK[Load Capability Reference]=CONCATENATE(P323,Q323,S323,R323),TMK[Lowest A-No PTX])),MIN(IF(TMK[Load Capability Reference]=CONCATENATE(P323,Q323,S323,R323),IF(TMK[Equipment ID]&lt;&gt;O323,TMK[Lowest A-No PTX])))))</f>
        <v>256.85852310343915</v>
      </c>
      <c r="F323" s="377">
        <f>IFERROR(IFERROR(VLOOKUP(CONCATENATE(P323,Q323,O323,S323,"Protection"),TWZ[[OC Protection Reference]:[Forward A]],23,0),VLOOKUP(O323,AEL_Protection_Data[],12,0)),"N/A")</f>
        <v>300</v>
      </c>
      <c r="G323" s="377">
        <f t="shared" si="172"/>
        <v>205</v>
      </c>
      <c r="H323" s="185">
        <f t="shared" si="173"/>
        <v>3.9838900624891744</v>
      </c>
      <c r="I323" s="377">
        <f t="shared" si="174"/>
        <v>230</v>
      </c>
      <c r="J323" s="185">
        <f t="shared" si="175"/>
        <v>4.4697303140122449</v>
      </c>
      <c r="K323" s="191" t="str">
        <f>IF(U323="Yes",UPPER(IF(ISNUMBER(SEARCH("winding",VLOOKUP(CONCATENATE(P323,Q323,S323,E323),TMK[[Limiting Equipment Reference-PTX]:[Summ Equipment]],7,0))),"Power Transformer Rating at "&amp;ROUND(E323*S323*SQRT(3)/1000,2)&amp;" MVA",VLOOKUP(CONCATENATE(P323,Q323,S323,E323),TMK[[Limiting Equipment Reference-No PTX]:[Summ Equipment]],8,0))),UPPER(VLOOKUP(CONCATENATE(P323,Q323,S323,E323),TMK[[Limiting Equipment Reference-No PTX]:[Summ Equipment]],8,0)))</f>
        <v>OH LINE-DOG</v>
      </c>
      <c r="L323" s="379" t="s">
        <v>1267</v>
      </c>
      <c r="M323" s="379" t="s">
        <v>1267</v>
      </c>
      <c r="O323" s="375" t="str">
        <f t="shared" si="179"/>
        <v>RGA_T2-CB13</v>
      </c>
      <c r="P323" s="374" t="s">
        <v>1276</v>
      </c>
      <c r="Q323" s="374" t="s">
        <v>122</v>
      </c>
      <c r="R323" s="387"/>
      <c r="S323" s="175">
        <v>11.22</v>
      </c>
      <c r="T323" s="379" t="s">
        <v>1266</v>
      </c>
      <c r="U323" s="379" t="s">
        <v>1266</v>
      </c>
      <c r="V323" s="374"/>
    </row>
    <row r="324" spans="2:22" ht="15.75" thickBot="1" x14ac:dyDescent="0.3"/>
    <row r="325" spans="2:22" ht="26.25" thickBot="1" x14ac:dyDescent="0.3">
      <c r="B325" s="551" t="s">
        <v>2661</v>
      </c>
      <c r="C325" s="552"/>
      <c r="D325" s="552"/>
      <c r="E325" s="552"/>
      <c r="F325" s="552"/>
      <c r="G325" s="552"/>
      <c r="H325" s="552"/>
      <c r="I325" s="552"/>
      <c r="J325" s="552"/>
      <c r="K325" s="552"/>
      <c r="L325" s="552"/>
      <c r="M325" s="553"/>
      <c r="N325" s="149"/>
      <c r="O325" s="551" t="s">
        <v>2391</v>
      </c>
      <c r="P325" s="552"/>
      <c r="Q325" s="552"/>
      <c r="R325" s="552"/>
      <c r="S325" s="552"/>
      <c r="T325" s="552"/>
      <c r="U325" s="552"/>
      <c r="V325" s="553"/>
    </row>
    <row r="326" spans="2:22" ht="15.75" customHeight="1" thickBot="1" x14ac:dyDescent="0.3">
      <c r="B326" s="571" t="str">
        <f t="shared" ref="B326:G326" si="180">B6</f>
        <v>CB ID</v>
      </c>
      <c r="C326" s="545" t="str">
        <f t="shared" si="180"/>
        <v>DESIGNATION</v>
      </c>
      <c r="D326" s="382" t="str">
        <f t="shared" si="180"/>
        <v>Rated</v>
      </c>
      <c r="E326" s="572" t="str">
        <f t="shared" si="180"/>
        <v>LOAD
CAPABILITY</v>
      </c>
      <c r="F326" s="572" t="str">
        <f t="shared" si="180"/>
        <v>OC
PICKUP</v>
      </c>
      <c r="G326" s="559" t="str">
        <f t="shared" si="180"/>
        <v>SCADA ALARM</v>
      </c>
      <c r="H326" s="560"/>
      <c r="I326" s="560"/>
      <c r="J326" s="561"/>
      <c r="K326" s="574" t="str">
        <f>K6</f>
        <v>LIMITING EQUIPMENT</v>
      </c>
      <c r="L326" s="575" t="str">
        <f>L6</f>
        <v>RECLOSING</v>
      </c>
      <c r="M326" s="576"/>
      <c r="N326" s="149"/>
      <c r="O326" s="566" t="str">
        <f t="shared" ref="O326:V326" si="181">O6</f>
        <v>OC Pick up
Reference ID</v>
      </c>
      <c r="P326" s="557" t="str">
        <f t="shared" si="181"/>
        <v>Supply Level</v>
      </c>
      <c r="Q326" s="566" t="str">
        <f t="shared" si="181"/>
        <v>Station/Feeder</v>
      </c>
      <c r="R326" s="567" t="str">
        <f t="shared" si="181"/>
        <v>Refered to PTX</v>
      </c>
      <c r="S326" s="569" t="str">
        <f t="shared" si="181"/>
        <v>Voltage</v>
      </c>
      <c r="T326" s="539" t="str">
        <f t="shared" si="181"/>
        <v>Include
CB</v>
      </c>
      <c r="U326" s="539" t="str">
        <f t="shared" si="181"/>
        <v>Include
PTX</v>
      </c>
      <c r="V326" s="557" t="str">
        <f t="shared" si="181"/>
        <v>Notes</v>
      </c>
    </row>
    <row r="327" spans="2:22" ht="15.75" thickBot="1" x14ac:dyDescent="0.3">
      <c r="B327" s="557"/>
      <c r="C327" s="540"/>
      <c r="D327" s="362" t="str">
        <f>D7</f>
        <v>Voltage</v>
      </c>
      <c r="E327" s="573"/>
      <c r="F327" s="573"/>
      <c r="G327" s="544" t="str">
        <f>G7</f>
        <v>Pre-Emergency</v>
      </c>
      <c r="H327" s="544"/>
      <c r="I327" s="544" t="str">
        <f>I7</f>
        <v>Emergency</v>
      </c>
      <c r="J327" s="544"/>
      <c r="K327" s="540"/>
      <c r="L327" s="545" t="str">
        <f>L7</f>
        <v>AVAILABLE</v>
      </c>
      <c r="M327" s="545" t="str">
        <f>M7</f>
        <v>UTILISED</v>
      </c>
      <c r="N327" s="149"/>
      <c r="O327" s="557"/>
      <c r="P327" s="557"/>
      <c r="Q327" s="557"/>
      <c r="R327" s="567"/>
      <c r="S327" s="569"/>
      <c r="T327" s="540"/>
      <c r="U327" s="540"/>
      <c r="V327" s="557"/>
    </row>
    <row r="328" spans="2:22" ht="15.75" thickBot="1" x14ac:dyDescent="0.3">
      <c r="B328" s="557"/>
      <c r="C328" s="540"/>
      <c r="D328" s="394" t="str">
        <f>D8</f>
        <v>(kV)</v>
      </c>
      <c r="E328" s="394" t="str">
        <f>E8</f>
        <v>(A)</v>
      </c>
      <c r="F328" s="394" t="str">
        <f>F8</f>
        <v>(A)</v>
      </c>
      <c r="G328" s="406" t="str">
        <f>G8</f>
        <v>(A)</v>
      </c>
      <c r="H328" s="407" t="str">
        <f>H8</f>
        <v>(MVA)</v>
      </c>
      <c r="I328" s="406" t="str">
        <f>I8</f>
        <v>(A)</v>
      </c>
      <c r="J328" s="407" t="str">
        <f>J8</f>
        <v>(MVA)</v>
      </c>
      <c r="K328" s="540"/>
      <c r="L328" s="540"/>
      <c r="M328" s="540"/>
      <c r="N328" s="149"/>
      <c r="O328" s="557"/>
      <c r="P328" s="557"/>
      <c r="Q328" s="557"/>
      <c r="R328" s="567"/>
      <c r="S328" s="569"/>
      <c r="T328" s="540"/>
      <c r="U328" s="540"/>
      <c r="V328" s="557"/>
    </row>
    <row r="329" spans="2:22" ht="15.75" thickBot="1" x14ac:dyDescent="0.3">
      <c r="B329" s="187" t="s">
        <v>2662</v>
      </c>
      <c r="C329" s="162" t="s">
        <v>2663</v>
      </c>
      <c r="D329" s="395">
        <f t="shared" ref="D329" si="182">ROUNDDOWN(S329,0)</f>
        <v>33</v>
      </c>
      <c r="E329" s="396">
        <f t="array" ref="E329">IF(U329="YES",IF(T329="YES",MIN(IF(TMK[Load Capability Reference]=CONCATENATE(P329,Q329,S329,R329),TMK[Lowest A-PTX])),MIN(IF(TMK[Load Capability Reference]=CONCATENATE(P329,Q329,S329,R329),IF(TMK[Equipment ID]&lt;&gt;O329,TMK[Lowest A-PTX])))),IF(T329="YES",MIN(IF(TMK[Load Capability Reference]=CONCATENATE(P329,Q329,S329,R329),TMK[Lowest A-No PTX])),MIN(IF(TMK[Load Capability Reference]=CONCATENATE(P329,Q329,S329,R329),IF(TMK[Equipment ID]&lt;&gt;O329,TMK[Lowest A-No PTX])))))</f>
        <v>171.86112674573607</v>
      </c>
      <c r="F329" s="395">
        <f>IFERROR(IFERROR(VLOOKUP(CONCATENATE(P329,Q329,O329,S329,"Protection"),TWZ[[OC Protection Reference]:[Forward A]],23,0),VLOOKUP(O329,AEL_Protection_Data[],12,0)),"N/A")</f>
        <v>423</v>
      </c>
      <c r="G329" s="395">
        <f>IFERROR(FLOOR(MIN(E329:F329)*$D$3,5),"")</f>
        <v>135</v>
      </c>
      <c r="H329" s="164">
        <f>G329*S329*SQRT(3)/1000</f>
        <v>7.8551795019782968</v>
      </c>
      <c r="I329" s="395">
        <f>IFERROR(FLOOR(MIN(E329:F329)*$D$2,5),"")</f>
        <v>150</v>
      </c>
      <c r="J329" s="164">
        <f t="shared" ref="J329" si="183">I329*S329*SQRT(3)/1000</f>
        <v>8.7279772244203304</v>
      </c>
      <c r="K329" s="162" t="str">
        <f>IF(U329="Yes",UPPER(IF(ISNUMBER(SEARCH("winding",VLOOKUP(CONCATENATE(P329,Q329,S329,E329),TMK[[Limiting Equipment Reference-PTX]:[Summ Equipment]],7,0))),"Power Transformer Rating at "&amp;ROUND(E329*S329*SQRT(3)/1000,2)&amp;" MVA",VLOOKUP(CONCATENATE(P329,Q329,S329,E329),TMK[[Limiting Equipment Reference-No PTX]:[Summ Equipment]],8,0))),UPPER(VLOOKUP(CONCATENATE(P329,Q329,S329,E329),TMK[[Limiting Equipment Reference-No PTX]:[Summ Equipment]],8,0)))</f>
        <v>AEL-FONTERRA CONTRACTUAL-10 MW LIMIT</v>
      </c>
      <c r="L329" s="165" t="s">
        <v>1267</v>
      </c>
      <c r="M329" s="165" t="s">
        <v>1266</v>
      </c>
      <c r="N329" s="149"/>
      <c r="O329" s="162" t="str">
        <f>"CNL-RGA-"&amp;B329</f>
        <v>CNL-RGA-CB1412</v>
      </c>
      <c r="P329" s="187" t="s">
        <v>1274</v>
      </c>
      <c r="Q329" s="187" t="s">
        <v>2708</v>
      </c>
      <c r="R329" s="397"/>
      <c r="S329" s="167">
        <v>33.594000000000001</v>
      </c>
      <c r="T329" s="165" t="s">
        <v>1267</v>
      </c>
      <c r="U329" s="165" t="s">
        <v>1266</v>
      </c>
      <c r="V329" s="187"/>
    </row>
    <row r="330" spans="2:22" ht="15.75" thickBot="1" x14ac:dyDescent="0.3"/>
    <row r="331" spans="2:22" ht="26.25" thickBot="1" x14ac:dyDescent="0.3">
      <c r="B331" s="551" t="s">
        <v>2666</v>
      </c>
      <c r="C331" s="552"/>
      <c r="D331" s="552"/>
      <c r="E331" s="552"/>
      <c r="F331" s="552"/>
      <c r="G331" s="552"/>
      <c r="H331" s="552"/>
      <c r="I331" s="552"/>
      <c r="J331" s="552"/>
      <c r="K331" s="552"/>
      <c r="L331" s="552"/>
      <c r="M331" s="553"/>
      <c r="O331" s="551" t="s">
        <v>2391</v>
      </c>
      <c r="P331" s="552"/>
      <c r="Q331" s="552"/>
      <c r="R331" s="552"/>
      <c r="S331" s="552"/>
      <c r="T331" s="552"/>
      <c r="U331" s="552"/>
      <c r="V331" s="553"/>
    </row>
    <row r="332" spans="2:22" ht="15.75" customHeight="1" thickBot="1" x14ac:dyDescent="0.3">
      <c r="B332" s="571" t="str">
        <f t="shared" ref="B332:G332" si="184">B6</f>
        <v>CB ID</v>
      </c>
      <c r="C332" s="545" t="str">
        <f t="shared" si="184"/>
        <v>DESIGNATION</v>
      </c>
      <c r="D332" s="382" t="str">
        <f t="shared" si="184"/>
        <v>Rated</v>
      </c>
      <c r="E332" s="572" t="str">
        <f t="shared" si="184"/>
        <v>LOAD
CAPABILITY</v>
      </c>
      <c r="F332" s="572" t="str">
        <f t="shared" si="184"/>
        <v>OC
PICKUP</v>
      </c>
      <c r="G332" s="559" t="str">
        <f t="shared" si="184"/>
        <v>SCADA ALARM</v>
      </c>
      <c r="H332" s="560"/>
      <c r="I332" s="560"/>
      <c r="J332" s="561"/>
      <c r="K332" s="574" t="str">
        <f>K6</f>
        <v>LIMITING EQUIPMENT</v>
      </c>
      <c r="L332" s="575" t="str">
        <f>L6</f>
        <v>RECLOSING</v>
      </c>
      <c r="M332" s="576"/>
      <c r="O332" s="566" t="str">
        <f t="shared" ref="O332:V332" si="185">O6</f>
        <v>OC Pick up
Reference ID</v>
      </c>
      <c r="P332" s="557" t="str">
        <f t="shared" si="185"/>
        <v>Supply Level</v>
      </c>
      <c r="Q332" s="566" t="str">
        <f t="shared" si="185"/>
        <v>Station/Feeder</v>
      </c>
      <c r="R332" s="567" t="str">
        <f t="shared" si="185"/>
        <v>Refered to PTX</v>
      </c>
      <c r="S332" s="569" t="str">
        <f t="shared" si="185"/>
        <v>Voltage</v>
      </c>
      <c r="T332" s="539" t="str">
        <f t="shared" si="185"/>
        <v>Include
CB</v>
      </c>
      <c r="U332" s="539" t="str">
        <f t="shared" si="185"/>
        <v>Include
PTX</v>
      </c>
      <c r="V332" s="557" t="str">
        <f t="shared" si="185"/>
        <v>Notes</v>
      </c>
    </row>
    <row r="333" spans="2:22" ht="15.75" thickBot="1" x14ac:dyDescent="0.3">
      <c r="B333" s="557"/>
      <c r="C333" s="540"/>
      <c r="D333" s="362" t="str">
        <f>D7</f>
        <v>Voltage</v>
      </c>
      <c r="E333" s="573"/>
      <c r="F333" s="573"/>
      <c r="G333" s="544" t="str">
        <f>G7</f>
        <v>Pre-Emergency</v>
      </c>
      <c r="H333" s="544"/>
      <c r="I333" s="544" t="str">
        <f>I7</f>
        <v>Emergency</v>
      </c>
      <c r="J333" s="544"/>
      <c r="K333" s="540"/>
      <c r="L333" s="545" t="str">
        <f>L7</f>
        <v>AVAILABLE</v>
      </c>
      <c r="M333" s="545" t="str">
        <f>M7</f>
        <v>UTILISED</v>
      </c>
      <c r="O333" s="557"/>
      <c r="P333" s="557"/>
      <c r="Q333" s="557"/>
      <c r="R333" s="567"/>
      <c r="S333" s="569"/>
      <c r="T333" s="540"/>
      <c r="U333" s="540"/>
      <c r="V333" s="557"/>
    </row>
    <row r="334" spans="2:22" ht="15.75" thickBot="1" x14ac:dyDescent="0.3">
      <c r="B334" s="558"/>
      <c r="C334" s="541"/>
      <c r="D334" s="345" t="str">
        <f>D8</f>
        <v>(kV)</v>
      </c>
      <c r="E334" s="345" t="str">
        <f>E8</f>
        <v>(A)</v>
      </c>
      <c r="F334" s="345" t="str">
        <f>F8</f>
        <v>(A)</v>
      </c>
      <c r="G334" s="406" t="str">
        <f>G8</f>
        <v>(A)</v>
      </c>
      <c r="H334" s="407" t="str">
        <f>H8</f>
        <v>(MVA)</v>
      </c>
      <c r="I334" s="406" t="str">
        <f>I8</f>
        <v>(A)</v>
      </c>
      <c r="J334" s="407" t="str">
        <f>J8</f>
        <v>(MVA)</v>
      </c>
      <c r="K334" s="541"/>
      <c r="L334" s="541"/>
      <c r="M334" s="541"/>
      <c r="O334" s="558"/>
      <c r="P334" s="558"/>
      <c r="Q334" s="558"/>
      <c r="R334" s="568"/>
      <c r="S334" s="570"/>
      <c r="T334" s="541"/>
      <c r="U334" s="541"/>
      <c r="V334" s="558"/>
    </row>
    <row r="335" spans="2:22" x14ac:dyDescent="0.25">
      <c r="B335" s="38" t="s">
        <v>620</v>
      </c>
      <c r="C335" s="3" t="s">
        <v>2639</v>
      </c>
      <c r="D335" s="61">
        <f t="shared" ref="D335:D338" si="186">ROUNDDOWN(S335,0)</f>
        <v>33</v>
      </c>
      <c r="E335" s="369">
        <f t="array" ref="E335">IF(U335="YES",IF(T335="YES",MIN(IF(TMK[Load Capability Reference]=CONCATENATE(P335,Q335,S335,R335),TMK[Lowest A-PTX])),MIN(IF(TMK[Load Capability Reference]=CONCATENATE(P335,Q335,S335,R335),IF(TMK[Equipment ID]&lt;&gt;O335,TMK[Lowest A-PTX])))),IF(T335="YES",MIN(IF(TMK[Load Capability Reference]=CONCATENATE(P335,Q335,S335,R335),TMK[Lowest A-No PTX])),MIN(IF(TMK[Load Capability Reference]=CONCATENATE(P335,Q335,S335,R335),IF(TMK[Equipment ID]&lt;&gt;O335,TMK[Lowest A-No PTX])))))</f>
        <v>407.19406000000004</v>
      </c>
      <c r="F335" s="61">
        <f>IFERROR(IFERROR(VLOOKUP(CONCATENATE(P335,Q335,O335,S335,"Protection"),TWZ[[OC Protection Reference]:[Forward A]],23,0),VLOOKUP(O335,AEL_Protection_Data[],12,0)),"N/A")</f>
        <v>512</v>
      </c>
      <c r="G335" s="61">
        <f t="shared" ref="G335:G351" si="187">IFERROR(FLOOR(MIN(E335:F335)*$D$3,5),"")</f>
        <v>325</v>
      </c>
      <c r="H335" s="5">
        <f t="shared" ref="H335:H351" si="188">G335*S335*SQRT(3)/1000</f>
        <v>18.91061731957738</v>
      </c>
      <c r="I335" s="61">
        <f t="shared" ref="I335:I351" si="189">IFERROR(FLOOR(MIN(E335:F335)*$D$2,5),"")</f>
        <v>365</v>
      </c>
      <c r="J335" s="5">
        <f t="shared" ref="J335:J351" si="190">I335*S335*SQRT(3)/1000</f>
        <v>21.238077912756136</v>
      </c>
      <c r="K335" s="3" t="str">
        <f>IF(U335="Yes",UPPER(IF(ISNUMBER(SEARCH("winding",VLOOKUP(CONCATENATE(P335,Q335,S335,E335),TMK[[Limiting Equipment Reference-PTX]:[Summ Equipment]],7,0))),"Power Transformer Rating at "&amp;ROUND(E335*S335*SQRT(3)/1000,2)&amp;" MVA",VLOOKUP(CONCATENATE(P335,Q335,S335,E335),TMK[[Limiting Equipment Reference-No PTX]:[Summ Equipment]],8,0))),UPPER(VLOOKUP(CONCATENATE(P335,Q335,S335,E335),TMK[[Limiting Equipment Reference-No PTX]:[Summ Equipment]],8,0)))</f>
        <v>CABLE-3-1C 400 MM² AL XLPE</v>
      </c>
      <c r="L335" s="4" t="s">
        <v>1266</v>
      </c>
      <c r="M335" s="4" t="s">
        <v>1162</v>
      </c>
      <c r="N335" s="398"/>
      <c r="O335" s="3" t="str">
        <f t="shared" ref="O335:O351" si="191">"CD1-"&amp;B335</f>
        <v>CD1-T615</v>
      </c>
      <c r="P335" s="38" t="s">
        <v>1245</v>
      </c>
      <c r="Q335" s="38" t="s">
        <v>88</v>
      </c>
      <c r="R335" s="389" t="s">
        <v>378</v>
      </c>
      <c r="S335" s="139">
        <v>33.594000000000001</v>
      </c>
      <c r="T335" s="4" t="s">
        <v>1266</v>
      </c>
      <c r="U335" s="4" t="s">
        <v>1266</v>
      </c>
      <c r="V335" s="38"/>
    </row>
    <row r="336" spans="2:22" x14ac:dyDescent="0.25">
      <c r="B336" s="49" t="s">
        <v>627</v>
      </c>
      <c r="C336" s="168" t="s">
        <v>2640</v>
      </c>
      <c r="D336" s="119">
        <f t="shared" si="186"/>
        <v>33</v>
      </c>
      <c r="E336" s="370">
        <f t="array" ref="E336">IF(U336="YES",IF(T336="YES",MIN(IF(TMK[Load Capability Reference]=CONCATENATE(P336,Q336,S336,R336),TMK[Lowest A-PTX])),MIN(IF(TMK[Load Capability Reference]=CONCATENATE(P336,Q336,S336,R336),IF(TMK[Equipment ID]&lt;&gt;O336,TMK[Lowest A-PTX])))),IF(T336="YES",MIN(IF(TMK[Load Capability Reference]=CONCATENATE(P336,Q336,S336,R336),TMK[Lowest A-No PTX])),MIN(IF(TMK[Load Capability Reference]=CONCATENATE(P336,Q336,S336,R336),IF(TMK[Equipment ID]&lt;&gt;O336,TMK[Lowest A-No PTX])))))</f>
        <v>347.70833279999999</v>
      </c>
      <c r="F336" s="119">
        <f>IFERROR(IFERROR(VLOOKUP(CONCATENATE(P336,Q336,O336,S336,"Protection"),TWZ[[OC Protection Reference]:[Forward A]],23,0),VLOOKUP(O336,AEL_Protection_Data[],12,0)),"N/A")</f>
        <v>512</v>
      </c>
      <c r="G336" s="119">
        <f t="shared" si="187"/>
        <v>275</v>
      </c>
      <c r="H336" s="29">
        <f t="shared" si="188"/>
        <v>16.001291578103938</v>
      </c>
      <c r="I336" s="119">
        <f t="shared" si="189"/>
        <v>310</v>
      </c>
      <c r="J336" s="29">
        <f t="shared" si="190"/>
        <v>18.03781959713535</v>
      </c>
      <c r="K336" s="6" t="str">
        <f>IF(U336="Yes",UPPER(IF(ISNUMBER(SEARCH("winding",VLOOKUP(CONCATENATE(P336,Q336,S336,E336),TMK[[Limiting Equipment Reference-PTX]:[Summ Equipment]],7,0))),"Power Transformer Rating at "&amp;ROUND(E336*S336*SQRT(3)/1000,2)&amp;" MVA",VLOOKUP(CONCATENATE(P336,Q336,S336,E336),TMK[[Limiting Equipment Reference-No PTX]:[Summ Equipment]],8,0))),UPPER(VLOOKUP(CONCATENATE(P336,Q336,S336,E336),TMK[[Limiting Equipment Reference-No PTX]:[Summ Equipment]],8,0)))</f>
        <v>CABLE-3-1C 300 MM² AL XLPE</v>
      </c>
      <c r="L336" s="146" t="s">
        <v>1266</v>
      </c>
      <c r="M336" s="146" t="s">
        <v>1162</v>
      </c>
      <c r="N336" s="399"/>
      <c r="O336" s="168" t="str">
        <f t="shared" si="191"/>
        <v>CD1-T616</v>
      </c>
      <c r="P336" s="49" t="s">
        <v>1245</v>
      </c>
      <c r="Q336" s="49" t="s">
        <v>88</v>
      </c>
      <c r="R336" s="386" t="s">
        <v>307</v>
      </c>
      <c r="S336" s="43">
        <v>33.594000000000001</v>
      </c>
      <c r="T336" s="146" t="s">
        <v>1266</v>
      </c>
      <c r="U336" s="146" t="s">
        <v>1266</v>
      </c>
      <c r="V336" s="49"/>
    </row>
    <row r="337" spans="2:22" x14ac:dyDescent="0.25">
      <c r="B337" s="49" t="s">
        <v>643</v>
      </c>
      <c r="C337" s="168" t="s">
        <v>2667</v>
      </c>
      <c r="D337" s="119">
        <f t="shared" si="186"/>
        <v>11</v>
      </c>
      <c r="E337" s="370">
        <f t="array" ref="E337">IF(U337="YES",IF(T337="YES",MIN(IF(TMK[Load Capability Reference]=CONCATENATE(P337,Q337,S337,R337),TMK[Lowest A-PTX])),MIN(IF(TMK[Load Capability Reference]=CONCATENATE(P337,Q337,S337,R337),IF(TMK[Equipment ID]&lt;&gt;O337,TMK[Lowest A-PTX])))),IF(T337="YES",MIN(IF(TMK[Load Capability Reference]=CONCATENATE(P337,Q337,S337,R337),TMK[Lowest A-No PTX])),MIN(IF(TMK[Load Capability Reference]=CONCATENATE(P337,Q337,S337,R337),IF(TMK[Equipment ID]&lt;&gt;O337,TMK[Lowest A-No PTX])))))</f>
        <v>303.16535199999998</v>
      </c>
      <c r="F337" s="119">
        <f>IFERROR(IFERROR(VLOOKUP(CONCATENATE(P337,Q337,O337,S337,"Protection"),TWZ[[OC Protection Reference]:[Forward A]],23,0),VLOOKUP(O337,AEL_Protection_Data[],12,0)),"N/A")</f>
        <v>480</v>
      </c>
      <c r="G337" s="119">
        <f t="shared" si="187"/>
        <v>240</v>
      </c>
      <c r="H337" s="29">
        <f t="shared" si="188"/>
        <v>4.5726141319818359</v>
      </c>
      <c r="I337" s="119">
        <f t="shared" si="189"/>
        <v>270</v>
      </c>
      <c r="J337" s="29">
        <f t="shared" si="190"/>
        <v>5.1441908984795655</v>
      </c>
      <c r="K337" s="168" t="str">
        <f>IF(U337="Yes",UPPER(IF(ISNUMBER(SEARCH("winding",VLOOKUP(CONCATENATE(P337,Q337,S337,E337),TMK[[Limiting Equipment Reference-PTX]:[Summ Equipment]],7,0))),"Power Transformer Rating at "&amp;ROUND(E337*S337*SQRT(3)/1000,2)&amp;" MVA",VLOOKUP(CONCATENATE(P337,Q337,S337,E337),TMK[[Limiting Equipment Reference-No PTX]:[Summ Equipment]],8,0))),UPPER(VLOOKUP(CONCATENATE(P337,Q337,S337,E337),TMK[[Limiting Equipment Reference-No PTX]:[Summ Equipment]],8,0)))</f>
        <v>CABLE-1-3C 300 MM² AL XLPE</v>
      </c>
      <c r="L337" s="146" t="s">
        <v>1266</v>
      </c>
      <c r="M337" s="146" t="s">
        <v>1162</v>
      </c>
      <c r="O337" s="168" t="str">
        <f t="shared" si="191"/>
        <v>CD1-T600</v>
      </c>
      <c r="P337" s="49" t="s">
        <v>1276</v>
      </c>
      <c r="Q337" s="49" t="s">
        <v>100</v>
      </c>
      <c r="R337" s="390"/>
      <c r="S337" s="32">
        <v>11</v>
      </c>
      <c r="T337" s="146" t="s">
        <v>1266</v>
      </c>
      <c r="U337" s="146" t="s">
        <v>1266</v>
      </c>
      <c r="V337" s="49"/>
    </row>
    <row r="338" spans="2:22" x14ac:dyDescent="0.25">
      <c r="B338" s="49" t="s">
        <v>644</v>
      </c>
      <c r="C338" s="168" t="s">
        <v>2668</v>
      </c>
      <c r="D338" s="119">
        <f t="shared" si="186"/>
        <v>11</v>
      </c>
      <c r="E338" s="370">
        <f t="array" ref="E338">IF(U338="YES",IF(T338="YES",MIN(IF(TMK[Load Capability Reference]=CONCATENATE(P338,Q338,S338,R338),TMK[Lowest A-PTX])),MIN(IF(TMK[Load Capability Reference]=CONCATENATE(P338,Q338,S338,R338),IF(TMK[Equipment ID]&lt;&gt;O338,TMK[Lowest A-PTX])))),IF(T338="YES",MIN(IF(TMK[Load Capability Reference]=CONCATENATE(P338,Q338,S338,R338),TMK[Lowest A-No PTX])),MIN(IF(TMK[Load Capability Reference]=CONCATENATE(P338,Q338,S338,R338),IF(TMK[Equipment ID]&lt;&gt;O338,TMK[Lowest A-No PTX])))))</f>
        <v>303.16535199999998</v>
      </c>
      <c r="F338" s="119">
        <f>IFERROR(IFERROR(VLOOKUP(CONCATENATE(P338,Q338,O338,S338,"Protection"),TWZ[[OC Protection Reference]:[Forward A]],23,0),VLOOKUP(O338,AEL_Protection_Data[],12,0)),"N/A")</f>
        <v>480</v>
      </c>
      <c r="G338" s="119">
        <f t="shared" si="187"/>
        <v>240</v>
      </c>
      <c r="H338" s="29">
        <f t="shared" si="188"/>
        <v>4.5726141319818359</v>
      </c>
      <c r="I338" s="119">
        <f t="shared" si="189"/>
        <v>270</v>
      </c>
      <c r="J338" s="29">
        <f t="shared" si="190"/>
        <v>5.1441908984795655</v>
      </c>
      <c r="K338" s="6" t="str">
        <f>IF(U338="Yes",UPPER(IF(ISNUMBER(SEARCH("winding",VLOOKUP(CONCATENATE(P338,Q338,S338,E338),TMK[[Limiting Equipment Reference-PTX]:[Summ Equipment]],7,0))),"Power Transformer Rating at "&amp;ROUND(E338*S338*SQRT(3)/1000,2)&amp;" MVA",VLOOKUP(CONCATENATE(P338,Q338,S338,E338),TMK[[Limiting Equipment Reference-No PTX]:[Summ Equipment]],8,0))),UPPER(VLOOKUP(CONCATENATE(P338,Q338,S338,E338),TMK[[Limiting Equipment Reference-No PTX]:[Summ Equipment]],8,0)))</f>
        <v>CABLE-1-3C 300 MM² AL XLPE</v>
      </c>
      <c r="L338" s="146" t="s">
        <v>1266</v>
      </c>
      <c r="M338" s="146" t="s">
        <v>1162</v>
      </c>
      <c r="O338" s="168" t="str">
        <f t="shared" si="191"/>
        <v>CD1-T601</v>
      </c>
      <c r="P338" s="49" t="s">
        <v>1276</v>
      </c>
      <c r="Q338" s="49" t="s">
        <v>112</v>
      </c>
      <c r="R338" s="386"/>
      <c r="S338" s="43">
        <v>11</v>
      </c>
      <c r="T338" s="146" t="s">
        <v>1266</v>
      </c>
      <c r="U338" s="146" t="s">
        <v>1266</v>
      </c>
      <c r="V338" s="49"/>
    </row>
    <row r="339" spans="2:22" x14ac:dyDescent="0.25">
      <c r="B339" s="49" t="s">
        <v>645</v>
      </c>
      <c r="C339" s="168" t="s">
        <v>2669</v>
      </c>
      <c r="D339" s="119">
        <f>ROUNDDOWN(S339,0)</f>
        <v>11</v>
      </c>
      <c r="E339" s="370">
        <f t="array" ref="E339">IF(U339="YES",IF(T339="YES",MIN(IF(TMK[Load Capability Reference]=CONCATENATE(P339,Q339,S339,R339),TMK[Lowest A-PTX])),MIN(IF(TMK[Load Capability Reference]=CONCATENATE(P339,Q339,S339,R339),IF(TMK[Equipment ID]&lt;&gt;O339,TMK[Lowest A-PTX])))),IF(T339="YES",MIN(IF(TMK[Load Capability Reference]=CONCATENATE(P339,Q339,S339,R339),TMK[Lowest A-No PTX])),MIN(IF(TMK[Load Capability Reference]=CONCATENATE(P339,Q339,S339,R339),IF(TMK[Equipment ID]&lt;&gt;O339,TMK[Lowest A-No PTX])))))</f>
        <v>239.55119999999999</v>
      </c>
      <c r="F339" s="119">
        <f>IFERROR(IFERROR(VLOOKUP(CONCATENATE(P339,Q339,O339,S339,"Protection"),TWZ[[OC Protection Reference]:[Forward A]],23,0),VLOOKUP(O339,AEL_Protection_Data[],12,0)),"N/A")</f>
        <v>480</v>
      </c>
      <c r="G339" s="119">
        <f t="shared" si="187"/>
        <v>190</v>
      </c>
      <c r="H339" s="29">
        <f t="shared" si="188"/>
        <v>3.6199861878189532</v>
      </c>
      <c r="I339" s="119">
        <f t="shared" si="189"/>
        <v>215</v>
      </c>
      <c r="J339" s="29">
        <f t="shared" si="190"/>
        <v>4.0963001599003945</v>
      </c>
      <c r="K339" s="6" t="str">
        <f>IF(U339="Yes",UPPER(IF(ISNUMBER(SEARCH("winding",VLOOKUP(CONCATENATE(P339,Q339,S339,E339),TMK[[Limiting Equipment Reference-PTX]:[Summ Equipment]],7,0))),"Power Transformer Rating at "&amp;ROUND(E339*S339*SQRT(3)/1000,2)&amp;" MVA",VLOOKUP(CONCATENATE(P339,Q339,S339,E339),TMK[[Limiting Equipment Reference-No PTX]:[Summ Equipment]],8,0))),UPPER(VLOOKUP(CONCATENATE(P339,Q339,S339,E339),TMK[[Limiting Equipment Reference-No PTX]:[Summ Equipment]],8,0)))</f>
        <v>CABLE-1-3C 185 MM² AL PILC</v>
      </c>
      <c r="L339" s="146" t="s">
        <v>1266</v>
      </c>
      <c r="M339" s="146" t="s">
        <v>1162</v>
      </c>
      <c r="O339" s="168" t="str">
        <f t="shared" si="191"/>
        <v>CD1-T602</v>
      </c>
      <c r="P339" s="49" t="s">
        <v>1276</v>
      </c>
      <c r="Q339" s="49" t="s">
        <v>123</v>
      </c>
      <c r="R339" s="386"/>
      <c r="S339" s="43">
        <v>11</v>
      </c>
      <c r="T339" s="146" t="s">
        <v>1266</v>
      </c>
      <c r="U339" s="146" t="s">
        <v>1266</v>
      </c>
      <c r="V339" s="49"/>
    </row>
    <row r="340" spans="2:22" x14ac:dyDescent="0.25">
      <c r="B340" s="49" t="s">
        <v>646</v>
      </c>
      <c r="C340" s="168" t="s">
        <v>2670</v>
      </c>
      <c r="D340" s="119">
        <f t="shared" ref="D340:D351" si="192">ROUNDDOWN(S340,0)</f>
        <v>11</v>
      </c>
      <c r="E340" s="370">
        <f t="array" ref="E340">IF(U340="YES",IF(T340="YES",MIN(IF(TMK[Load Capability Reference]=CONCATENATE(P340,Q340,S340,R340),TMK[Lowest A-PTX])),MIN(IF(TMK[Load Capability Reference]=CONCATENATE(P340,Q340,S340,R340),IF(TMK[Equipment ID]&lt;&gt;O340,TMK[Lowest A-PTX])))),IF(T340="YES",MIN(IF(TMK[Load Capability Reference]=CONCATENATE(P340,Q340,S340,R340),TMK[Lowest A-No PTX])),MIN(IF(TMK[Load Capability Reference]=CONCATENATE(P340,Q340,S340,R340),IF(TMK[Equipment ID]&lt;&gt;O340,TMK[Lowest A-No PTX])))))</f>
        <v>342.01637400000004</v>
      </c>
      <c r="F340" s="119">
        <f>IFERROR(IFERROR(VLOOKUP(CONCATENATE(P340,Q340,O340,S340,"Protection"),TWZ[[OC Protection Reference]:[Forward A]],23,0),VLOOKUP(O340,AEL_Protection_Data[],12,0)),"N/A")</f>
        <v>480</v>
      </c>
      <c r="G340" s="119">
        <f t="shared" si="187"/>
        <v>270</v>
      </c>
      <c r="H340" s="29">
        <f t="shared" si="188"/>
        <v>5.1441908984795655</v>
      </c>
      <c r="I340" s="119">
        <f t="shared" si="189"/>
        <v>305</v>
      </c>
      <c r="J340" s="29">
        <f t="shared" si="190"/>
        <v>5.8110304593935824</v>
      </c>
      <c r="K340" s="6" t="str">
        <f>IF(U340="Yes",UPPER(IF(ISNUMBER(SEARCH("winding",VLOOKUP(CONCATENATE(P340,Q340,S340,E340),TMK[[Limiting Equipment Reference-PTX]:[Summ Equipment]],7,0))),"Power Transformer Rating at "&amp;ROUND(E340*S340*SQRT(3)/1000,2)&amp;" MVA",VLOOKUP(CONCATENATE(P340,Q340,S340,E340),TMK[[Limiting Equipment Reference-No PTX]:[Summ Equipment]],8,0))),UPPER(VLOOKUP(CONCATENATE(P340,Q340,S340,E340),TMK[[Limiting Equipment Reference-No PTX]:[Summ Equipment]],8,0)))</f>
        <v>CABLE-3-1C 400 MM² AL XLPE</v>
      </c>
      <c r="L340" s="146" t="s">
        <v>1266</v>
      </c>
      <c r="M340" s="146" t="s">
        <v>1162</v>
      </c>
      <c r="O340" s="168" t="str">
        <f t="shared" si="191"/>
        <v>CD1-T603</v>
      </c>
      <c r="P340" s="49" t="s">
        <v>1276</v>
      </c>
      <c r="Q340" s="49" t="s">
        <v>131</v>
      </c>
      <c r="R340" s="386"/>
      <c r="S340" s="43">
        <v>11</v>
      </c>
      <c r="T340" s="146" t="s">
        <v>1266</v>
      </c>
      <c r="U340" s="146" t="s">
        <v>1266</v>
      </c>
      <c r="V340" s="49"/>
    </row>
    <row r="341" spans="2:22" x14ac:dyDescent="0.25">
      <c r="B341" s="49" t="s">
        <v>1874</v>
      </c>
      <c r="C341" s="168" t="s">
        <v>963</v>
      </c>
      <c r="D341" s="119">
        <f t="shared" si="192"/>
        <v>11</v>
      </c>
      <c r="E341" s="370">
        <f>E339</f>
        <v>239.55119999999999</v>
      </c>
      <c r="F341" s="119">
        <f>IFERROR(IFERROR(VLOOKUP(CONCATENATE(P341,Q341,O341,S341,"Protection"),TWZ[[OC Protection Reference]:[Forward A]],23,0),VLOOKUP(O341,AEL_Protection_Data[],12,0)),"N/A")</f>
        <v>480</v>
      </c>
      <c r="G341" s="119">
        <f t="shared" si="187"/>
        <v>190</v>
      </c>
      <c r="H341" s="29">
        <f t="shared" si="188"/>
        <v>3.6199861878189532</v>
      </c>
      <c r="I341" s="119">
        <f t="shared" si="189"/>
        <v>215</v>
      </c>
      <c r="J341" s="29">
        <f t="shared" si="190"/>
        <v>4.0963001599003945</v>
      </c>
      <c r="K341" s="6" t="str">
        <f>K339</f>
        <v>CABLE-1-3C 185 MM² AL PILC</v>
      </c>
      <c r="L341" s="146" t="s">
        <v>1266</v>
      </c>
      <c r="M341" s="146" t="s">
        <v>1162</v>
      </c>
      <c r="O341" s="168" t="str">
        <f t="shared" si="191"/>
        <v>CD1-T604</v>
      </c>
      <c r="P341" s="49" t="s">
        <v>1276</v>
      </c>
      <c r="Q341" s="49" t="s">
        <v>131</v>
      </c>
      <c r="R341" s="386"/>
      <c r="S341" s="43">
        <v>11</v>
      </c>
      <c r="T341" s="146" t="s">
        <v>1266</v>
      </c>
      <c r="U341" s="146" t="s">
        <v>1266</v>
      </c>
      <c r="V341" s="49" t="s">
        <v>2823</v>
      </c>
    </row>
    <row r="342" spans="2:22" x14ac:dyDescent="0.25">
      <c r="B342" s="49" t="s">
        <v>647</v>
      </c>
      <c r="C342" s="168" t="s">
        <v>2671</v>
      </c>
      <c r="D342" s="119">
        <f t="shared" si="192"/>
        <v>11</v>
      </c>
      <c r="E342" s="370">
        <f t="array" ref="E342">IF(U342="YES",IF(T342="YES",MIN(IF(TMK[Load Capability Reference]=CONCATENATE(P342,Q342,S342,R342),TMK[Lowest A-PTX])),MIN(IF(TMK[Load Capability Reference]=CONCATENATE(P342,Q342,S342,R342),IF(TMK[Equipment ID]&lt;&gt;O342,TMK[Lowest A-PTX])))),IF(T342="YES",MIN(IF(TMK[Load Capability Reference]=CONCATENATE(P342,Q342,S342,R342),TMK[Lowest A-No PTX])),MIN(IF(TMK[Load Capability Reference]=CONCATENATE(P342,Q342,S342,R342),IF(TMK[Equipment ID]&lt;&gt;O342,TMK[Lowest A-No PTX])))))</f>
        <v>122.76998999999999</v>
      </c>
      <c r="F342" s="119">
        <f>IFERROR(IFERROR(VLOOKUP(CONCATENATE(P342,Q342,O342,S342,"Protection"),TWZ[[OC Protection Reference]:[Forward A]],23,0),VLOOKUP(O342,AEL_Protection_Data[],12,0)),"N/A")</f>
        <v>252</v>
      </c>
      <c r="G342" s="119">
        <f t="shared" si="187"/>
        <v>95</v>
      </c>
      <c r="H342" s="29">
        <f t="shared" si="188"/>
        <v>1.8099930939094766</v>
      </c>
      <c r="I342" s="119">
        <f t="shared" si="189"/>
        <v>110</v>
      </c>
      <c r="J342" s="29">
        <f t="shared" si="190"/>
        <v>2.0957814771583414</v>
      </c>
      <c r="K342" s="6" t="str">
        <f>IF(U342="Yes",UPPER(IF(ISNUMBER(SEARCH("winding",VLOOKUP(CONCATENATE(P342,Q342,S342,E342),TMK[[Limiting Equipment Reference-PTX]:[Summ Equipment]],7,0))),"Power Transformer Rating at "&amp;ROUND(E342*S342*SQRT(3)/1000,2)&amp;" MVA",VLOOKUP(CONCATENATE(P342,Q342,S342,E342),TMK[[Limiting Equipment Reference-No PTX]:[Summ Equipment]],8,0))),UPPER(VLOOKUP(CONCATENATE(P342,Q342,S342,E342),TMK[[Limiting Equipment Reference-No PTX]:[Summ Equipment]],8,0)))</f>
        <v>CABLE-1-3C 95 MM² AL PILC</v>
      </c>
      <c r="L342" s="146" t="s">
        <v>1267</v>
      </c>
      <c r="M342" s="146" t="s">
        <v>1266</v>
      </c>
      <c r="O342" s="168" t="str">
        <f t="shared" si="191"/>
        <v>CD1-T605</v>
      </c>
      <c r="P342" s="49" t="s">
        <v>1276</v>
      </c>
      <c r="Q342" s="49" t="s">
        <v>137</v>
      </c>
      <c r="R342" s="386"/>
      <c r="S342" s="43">
        <v>11</v>
      </c>
      <c r="T342" s="146" t="s">
        <v>1266</v>
      </c>
      <c r="U342" s="146" t="s">
        <v>1266</v>
      </c>
      <c r="V342" s="49"/>
    </row>
    <row r="343" spans="2:22" x14ac:dyDescent="0.25">
      <c r="B343" s="49" t="s">
        <v>622</v>
      </c>
      <c r="C343" s="168" t="s">
        <v>2641</v>
      </c>
      <c r="D343" s="119">
        <f t="shared" si="192"/>
        <v>11</v>
      </c>
      <c r="E343" s="370">
        <f t="array" ref="E343">IF(U343="YES",IF(T343="YES",MIN(IF(TMK[Load Capability Reference]=CONCATENATE(P343,Q343,S343,R343),TMK[Lowest A-PTX])),MIN(IF(TMK[Load Capability Reference]=CONCATENATE(P343,Q343,S343,R343),IF(TMK[Equipment ID]&lt;&gt;O343,TMK[Lowest A-PTX])))),IF(T343="YES",MIN(IF(TMK[Load Capability Reference]=CONCATENATE(P343,Q343,S343,R343),TMK[Lowest A-No PTX])),MIN(IF(TMK[Load Capability Reference]=CONCATENATE(P343,Q343,S343,R343),IF(TMK[Equipment ID]&lt;&gt;O343,TMK[Lowest A-No PTX])))))</f>
        <v>1049.727762162956</v>
      </c>
      <c r="F343" s="119">
        <f>IFERROR(IFERROR(VLOOKUP(CONCATENATE(P343,Q343,O343,S343,"Protection"),TWZ[[OC Protection Reference]:[Forward A]],23,0),VLOOKUP(O343,AEL_Protection_Data[],12,0)),"N/A")</f>
        <v>1440</v>
      </c>
      <c r="G343" s="119">
        <f t="shared" si="187"/>
        <v>835</v>
      </c>
      <c r="H343" s="29">
        <f t="shared" si="188"/>
        <v>15.908886667520138</v>
      </c>
      <c r="I343" s="119">
        <f t="shared" si="189"/>
        <v>940</v>
      </c>
      <c r="J343" s="29">
        <f t="shared" si="190"/>
        <v>17.90940535026219</v>
      </c>
      <c r="K343" s="6" t="str">
        <f>IF(U343="Yes",UPPER(IF(ISNUMBER(SEARCH("winding",VLOOKUP(CONCATENATE(P343,Q343,S343,E343),TMK[[Limiting Equipment Reference-PTX]:[Summ Equipment]],7,0))),"Power Transformer Rating at "&amp;ROUND(E343*S343*SQRT(3)/1000,2)&amp;" MVA",VLOOKUP(CONCATENATE(P343,Q343,S343,E343),TMK[[Limiting Equipment Reference-No PTX]:[Summ Equipment]],8,0))),UPPER(VLOOKUP(CONCATENATE(P343,Q343,S343,E343),TMK[[Limiting Equipment Reference-No PTX]:[Summ Equipment]],8,0)))</f>
        <v>POWER TRANSFORMER RATING AT 20 MVA</v>
      </c>
      <c r="L343" s="146" t="s">
        <v>1266</v>
      </c>
      <c r="M343" s="146" t="s">
        <v>1162</v>
      </c>
      <c r="O343" s="168" t="str">
        <f t="shared" si="191"/>
        <v>CD1-T606</v>
      </c>
      <c r="P343" s="49" t="s">
        <v>1246</v>
      </c>
      <c r="Q343" s="49" t="s">
        <v>88</v>
      </c>
      <c r="R343" s="386" t="s">
        <v>378</v>
      </c>
      <c r="S343" s="43">
        <v>11</v>
      </c>
      <c r="T343" s="146" t="s">
        <v>1266</v>
      </c>
      <c r="U343" s="146" t="s">
        <v>1267</v>
      </c>
      <c r="V343" s="49"/>
    </row>
    <row r="344" spans="2:22" x14ac:dyDescent="0.25">
      <c r="B344" s="49" t="s">
        <v>2539</v>
      </c>
      <c r="C344" s="168" t="s">
        <v>2568</v>
      </c>
      <c r="D344" s="119">
        <f t="shared" si="192"/>
        <v>11</v>
      </c>
      <c r="E344" s="370">
        <v>1250</v>
      </c>
      <c r="F344" s="119">
        <f>IFERROR(IFERROR(VLOOKUP(CONCATENATE(P344,Q344,O344,S344,"Protection"),TWZ[[OC Protection Reference]:[Forward A]],23,0),VLOOKUP(O344,AEL_Protection_Data[],12,0)),"N/A")</f>
        <v>1440</v>
      </c>
      <c r="G344" s="119">
        <f t="shared" si="187"/>
        <v>1000</v>
      </c>
      <c r="H344" s="29">
        <f t="shared" si="188"/>
        <v>19.05255888325765</v>
      </c>
      <c r="I344" s="119">
        <f t="shared" si="189"/>
        <v>1125</v>
      </c>
      <c r="J344" s="29">
        <f t="shared" si="190"/>
        <v>21.434128743664857</v>
      </c>
      <c r="K344" s="6" t="s">
        <v>2678</v>
      </c>
      <c r="L344" s="146" t="s">
        <v>1266</v>
      </c>
      <c r="M344" s="146" t="s">
        <v>1162</v>
      </c>
      <c r="O344" s="168" t="str">
        <f t="shared" si="191"/>
        <v>CD1-T607</v>
      </c>
      <c r="P344" s="49" t="s">
        <v>1246</v>
      </c>
      <c r="Q344" s="49" t="s">
        <v>88</v>
      </c>
      <c r="R344" s="386"/>
      <c r="S344" s="43">
        <v>11</v>
      </c>
      <c r="T344" s="146" t="s">
        <v>1266</v>
      </c>
      <c r="U344" s="146" t="s">
        <v>1266</v>
      </c>
      <c r="V344" s="49" t="s">
        <v>2823</v>
      </c>
    </row>
    <row r="345" spans="2:22" x14ac:dyDescent="0.25">
      <c r="B345" s="49" t="s">
        <v>631</v>
      </c>
      <c r="C345" s="168" t="s">
        <v>2642</v>
      </c>
      <c r="D345" s="119">
        <f t="shared" si="192"/>
        <v>11</v>
      </c>
      <c r="E345" s="370">
        <f t="array" ref="E345">IF(U345="YES",IF(T345="YES",MIN(IF(TMK[Load Capability Reference]=CONCATENATE(P345,Q345,S345,R345),TMK[Lowest A-PTX])),MIN(IF(TMK[Load Capability Reference]=CONCATENATE(P345,Q345,S345,R345),IF(TMK[Equipment ID]&lt;&gt;O345,TMK[Lowest A-PTX])))),IF(T345="YES",MIN(IF(TMK[Load Capability Reference]=CONCATENATE(P345,Q345,S345,R345),TMK[Lowest A-No PTX])),MIN(IF(TMK[Load Capability Reference]=CONCATENATE(P345,Q345,S345,R345),IF(TMK[Equipment ID]&lt;&gt;O345,TMK[Lowest A-No PTX])))))</f>
        <v>1049.727762162956</v>
      </c>
      <c r="F345" s="119">
        <f>IFERROR(IFERROR(VLOOKUP(CONCATENATE(P345,Q345,O345,S345,"Protection"),TWZ[[OC Protection Reference]:[Forward A]],23,0),VLOOKUP(O345,AEL_Protection_Data[],12,0)),"N/A")</f>
        <v>1440</v>
      </c>
      <c r="G345" s="119">
        <f t="shared" si="187"/>
        <v>835</v>
      </c>
      <c r="H345" s="29">
        <f t="shared" si="188"/>
        <v>15.908886667520138</v>
      </c>
      <c r="I345" s="119">
        <f t="shared" si="189"/>
        <v>940</v>
      </c>
      <c r="J345" s="29">
        <f t="shared" si="190"/>
        <v>17.90940535026219</v>
      </c>
      <c r="K345" s="6" t="str">
        <f>IF(U345="Yes",UPPER(IF(ISNUMBER(SEARCH("winding",VLOOKUP(CONCATENATE(P345,Q345,S345,E345),TMK[[Limiting Equipment Reference-PTX]:[Summ Equipment]],7,0))),"Power Transformer Rating at "&amp;ROUND(E345*S345*SQRT(3)/1000,2)&amp;" MVA",VLOOKUP(CONCATENATE(P345,Q345,S345,E345),TMK[[Limiting Equipment Reference-No PTX]:[Summ Equipment]],8,0))),UPPER(VLOOKUP(CONCATENATE(P345,Q345,S345,E345),TMK[[Limiting Equipment Reference-No PTX]:[Summ Equipment]],8,0)))</f>
        <v>POWER TRANSFORMER RATING AT 20 MVA</v>
      </c>
      <c r="L345" s="146" t="s">
        <v>1266</v>
      </c>
      <c r="M345" s="146" t="s">
        <v>1162</v>
      </c>
      <c r="O345" s="168" t="str">
        <f t="shared" si="191"/>
        <v>CD1-T608</v>
      </c>
      <c r="P345" s="49" t="s">
        <v>1246</v>
      </c>
      <c r="Q345" s="49" t="s">
        <v>88</v>
      </c>
      <c r="R345" s="386" t="s">
        <v>307</v>
      </c>
      <c r="S345" s="43">
        <v>11</v>
      </c>
      <c r="T345" s="146" t="s">
        <v>1266</v>
      </c>
      <c r="U345" s="146" t="s">
        <v>1267</v>
      </c>
      <c r="V345" s="49"/>
    </row>
    <row r="346" spans="2:22" x14ac:dyDescent="0.25">
      <c r="B346" s="49" t="s">
        <v>648</v>
      </c>
      <c r="C346" s="168" t="s">
        <v>2672</v>
      </c>
      <c r="D346" s="119">
        <f t="shared" si="192"/>
        <v>11</v>
      </c>
      <c r="E346" s="370">
        <f t="array" ref="E346">IF(U346="YES",IF(T346="YES",MIN(IF(TMK[Load Capability Reference]=CONCATENATE(P346,Q346,S346,R346),TMK[Lowest A-PTX])),MIN(IF(TMK[Load Capability Reference]=CONCATENATE(P346,Q346,S346,R346),IF(TMK[Equipment ID]&lt;&gt;O346,TMK[Lowest A-PTX])))),IF(T346="YES",MIN(IF(TMK[Load Capability Reference]=CONCATENATE(P346,Q346,S346,R346),TMK[Lowest A-No PTX])),MIN(IF(TMK[Load Capability Reference]=CONCATENATE(P346,Q346,S346,R346),IF(TMK[Equipment ID]&lt;&gt;O346,TMK[Lowest A-No PTX])))))</f>
        <v>303.16535199999998</v>
      </c>
      <c r="F346" s="119">
        <f>IFERROR(IFERROR(VLOOKUP(CONCATENATE(P346,Q346,O346,S346,"Protection"),TWZ[[OC Protection Reference]:[Forward A]],23,0),VLOOKUP(O346,AEL_Protection_Data[],12,0)),"N/A")</f>
        <v>480</v>
      </c>
      <c r="G346" s="119">
        <f t="shared" si="187"/>
        <v>240</v>
      </c>
      <c r="H346" s="29">
        <f t="shared" si="188"/>
        <v>4.5726141319818359</v>
      </c>
      <c r="I346" s="119">
        <f t="shared" si="189"/>
        <v>270</v>
      </c>
      <c r="J346" s="29">
        <f t="shared" si="190"/>
        <v>5.1441908984795655</v>
      </c>
      <c r="K346" s="6" t="str">
        <f>IF(U346="Yes",UPPER(IF(ISNUMBER(SEARCH("winding",VLOOKUP(CONCATENATE(P346,Q346,S346,E346),TMK[[Limiting Equipment Reference-PTX]:[Summ Equipment]],7,0))),"Power Transformer Rating at "&amp;ROUND(E346*S346*SQRT(3)/1000,2)&amp;" MVA",VLOOKUP(CONCATENATE(P346,Q346,S346,E346),TMK[[Limiting Equipment Reference-No PTX]:[Summ Equipment]],8,0))),UPPER(VLOOKUP(CONCATENATE(P346,Q346,S346,E346),TMK[[Limiting Equipment Reference-No PTX]:[Summ Equipment]],8,0)))</f>
        <v>CABLE-1-3C 300 MM² AL XLPE</v>
      </c>
      <c r="L346" s="146" t="s">
        <v>1266</v>
      </c>
      <c r="M346" s="146" t="s">
        <v>1162</v>
      </c>
      <c r="O346" s="168" t="str">
        <f t="shared" si="191"/>
        <v>CD1-T609</v>
      </c>
      <c r="P346" s="49" t="s">
        <v>1276</v>
      </c>
      <c r="Q346" s="49" t="s">
        <v>141</v>
      </c>
      <c r="R346" s="386"/>
      <c r="S346" s="43">
        <v>11</v>
      </c>
      <c r="T346" s="146" t="s">
        <v>1266</v>
      </c>
      <c r="U346" s="146" t="s">
        <v>1266</v>
      </c>
      <c r="V346" s="49"/>
    </row>
    <row r="347" spans="2:22" x14ac:dyDescent="0.25">
      <c r="B347" s="49" t="s">
        <v>649</v>
      </c>
      <c r="C347" s="168" t="s">
        <v>2673</v>
      </c>
      <c r="D347" s="119">
        <f t="shared" si="192"/>
        <v>11</v>
      </c>
      <c r="E347" s="370">
        <f t="array" ref="E347">IF(U347="YES",IF(T347="YES",MIN(IF(TMK[Load Capability Reference]=CONCATENATE(P347,Q347,S347,R347),TMK[Lowest A-PTX])),MIN(IF(TMK[Load Capability Reference]=CONCATENATE(P347,Q347,S347,R347),IF(TMK[Equipment ID]&lt;&gt;O347,TMK[Lowest A-PTX])))),IF(T347="YES",MIN(IF(TMK[Load Capability Reference]=CONCATENATE(P347,Q347,S347,R347),TMK[Lowest A-No PTX])),MIN(IF(TMK[Load Capability Reference]=CONCATENATE(P347,Q347,S347,R347),IF(TMK[Equipment ID]&lt;&gt;O347,TMK[Lowest A-No PTX])))))</f>
        <v>179.6634</v>
      </c>
      <c r="F347" s="119">
        <f>IFERROR(IFERROR(VLOOKUP(CONCATENATE(P347,Q347,O347,S347,"Protection"),TWZ[[OC Protection Reference]:[Forward A]],23,0),VLOOKUP(O347,AEL_Protection_Data[],12,0)),"N/A")</f>
        <v>480</v>
      </c>
      <c r="G347" s="119">
        <f t="shared" si="187"/>
        <v>140</v>
      </c>
      <c r="H347" s="29">
        <f t="shared" si="188"/>
        <v>2.667358243656071</v>
      </c>
      <c r="I347" s="119">
        <f t="shared" si="189"/>
        <v>160</v>
      </c>
      <c r="J347" s="29">
        <f t="shared" si="190"/>
        <v>3.0484094213212236</v>
      </c>
      <c r="K347" s="6" t="str">
        <f>IF(U347="Yes",UPPER(IF(ISNUMBER(SEARCH("winding",VLOOKUP(CONCATENATE(P347,Q347,S347,E347),TMK[[Limiting Equipment Reference-PTX]:[Summ Equipment]],7,0))),"Power Transformer Rating at "&amp;ROUND(E347*S347*SQRT(3)/1000,2)&amp;" MVA",VLOOKUP(CONCATENATE(P347,Q347,S347,E347),TMK[[Limiting Equipment Reference-No PTX]:[Summ Equipment]],8,0))),UPPER(VLOOKUP(CONCATENATE(P347,Q347,S347,E347),TMK[[Limiting Equipment Reference-No PTX]:[Summ Equipment]],8,0)))</f>
        <v>CABLE-1-3C 185 MM² AL PILC</v>
      </c>
      <c r="L347" s="146" t="s">
        <v>1266</v>
      </c>
      <c r="M347" s="146" t="s">
        <v>1162</v>
      </c>
      <c r="O347" s="168" t="str">
        <f t="shared" si="191"/>
        <v>CD1-T610</v>
      </c>
      <c r="P347" s="49" t="s">
        <v>1276</v>
      </c>
      <c r="Q347" s="49" t="s">
        <v>144</v>
      </c>
      <c r="R347" s="386"/>
      <c r="S347" s="43">
        <v>11</v>
      </c>
      <c r="T347" s="146" t="s">
        <v>1266</v>
      </c>
      <c r="U347" s="146" t="s">
        <v>1266</v>
      </c>
      <c r="V347" s="49"/>
    </row>
    <row r="348" spans="2:22" x14ac:dyDescent="0.25">
      <c r="B348" s="49" t="s">
        <v>650</v>
      </c>
      <c r="C348" s="168" t="s">
        <v>2674</v>
      </c>
      <c r="D348" s="119">
        <f t="shared" si="192"/>
        <v>11</v>
      </c>
      <c r="E348" s="370">
        <f t="array" ref="E348">IF(U348="YES",IF(T348="YES",MIN(IF(TMK[Load Capability Reference]=CONCATENATE(P348,Q348,S348,R348),TMK[Lowest A-PTX])),MIN(IF(TMK[Load Capability Reference]=CONCATENATE(P348,Q348,S348,R348),IF(TMK[Equipment ID]&lt;&gt;O348,TMK[Lowest A-PTX])))),IF(T348="YES",MIN(IF(TMK[Load Capability Reference]=CONCATENATE(P348,Q348,S348,R348),TMK[Lowest A-No PTX])),MIN(IF(TMK[Load Capability Reference]=CONCATENATE(P348,Q348,S348,R348),IF(TMK[Equipment ID]&lt;&gt;O348,TMK[Lowest A-No PTX])))))</f>
        <v>179.6634</v>
      </c>
      <c r="F348" s="119">
        <f>IFERROR(IFERROR(VLOOKUP(CONCATENATE(P348,Q348,O348,S348,"Protection"),TWZ[[OC Protection Reference]:[Forward A]],23,0),VLOOKUP(O348,AEL_Protection_Data[],12,0)),"N/A")</f>
        <v>480</v>
      </c>
      <c r="G348" s="119">
        <f t="shared" si="187"/>
        <v>140</v>
      </c>
      <c r="H348" s="29">
        <f t="shared" si="188"/>
        <v>2.667358243656071</v>
      </c>
      <c r="I348" s="119">
        <f t="shared" si="189"/>
        <v>160</v>
      </c>
      <c r="J348" s="29">
        <f t="shared" si="190"/>
        <v>3.0484094213212236</v>
      </c>
      <c r="K348" s="6" t="str">
        <f>IF(U348="Yes",UPPER(IF(ISNUMBER(SEARCH("winding",VLOOKUP(CONCATENATE(P348,Q348,S348,E348),TMK[[Limiting Equipment Reference-PTX]:[Summ Equipment]],7,0))),"Power Transformer Rating at "&amp;ROUND(E348*S348*SQRT(3)/1000,2)&amp;" MVA",VLOOKUP(CONCATENATE(P348,Q348,S348,E348),TMK[[Limiting Equipment Reference-No PTX]:[Summ Equipment]],8,0))),UPPER(VLOOKUP(CONCATENATE(P348,Q348,S348,E348),TMK[[Limiting Equipment Reference-No PTX]:[Summ Equipment]],8,0)))</f>
        <v>CABLE-1-3C 185 MM² AL PILC</v>
      </c>
      <c r="L348" s="146" t="s">
        <v>1266</v>
      </c>
      <c r="M348" s="146" t="s">
        <v>1162</v>
      </c>
      <c r="O348" s="168" t="str">
        <f t="shared" si="191"/>
        <v>CD1-T611</v>
      </c>
      <c r="P348" s="49" t="s">
        <v>1276</v>
      </c>
      <c r="Q348" s="49" t="s">
        <v>147</v>
      </c>
      <c r="R348" s="386"/>
      <c r="S348" s="43">
        <v>11</v>
      </c>
      <c r="T348" s="146" t="s">
        <v>1266</v>
      </c>
      <c r="U348" s="146" t="s">
        <v>1266</v>
      </c>
      <c r="V348" s="49"/>
    </row>
    <row r="349" spans="2:22" x14ac:dyDescent="0.25">
      <c r="B349" s="49" t="s">
        <v>651</v>
      </c>
      <c r="C349" s="168" t="s">
        <v>2675</v>
      </c>
      <c r="D349" s="119">
        <f t="shared" si="192"/>
        <v>11</v>
      </c>
      <c r="E349" s="370">
        <f t="array" ref="E349">IF(U349="YES",IF(T349="YES",MIN(IF(TMK[Load Capability Reference]=CONCATENATE(P349,Q349,S349,R349),TMK[Lowest A-PTX])),MIN(IF(TMK[Load Capability Reference]=CONCATENATE(P349,Q349,S349,R349),IF(TMK[Equipment ID]&lt;&gt;O349,TMK[Lowest A-PTX])))),IF(T349="YES",MIN(IF(TMK[Load Capability Reference]=CONCATENATE(P349,Q349,S349,R349),TMK[Lowest A-No PTX])),MIN(IF(TMK[Load Capability Reference]=CONCATENATE(P349,Q349,S349,R349),IF(TMK[Equipment ID]&lt;&gt;O349,TMK[Lowest A-No PTX])))))</f>
        <v>122.76998999999999</v>
      </c>
      <c r="F349" s="119">
        <f>IFERROR(IFERROR(VLOOKUP(CONCATENATE(P349,Q349,O349,S349,"Protection"),TWZ[[OC Protection Reference]:[Forward A]],23,0),VLOOKUP(O349,AEL_Protection_Data[],12,0)),"N/A")</f>
        <v>480</v>
      </c>
      <c r="G349" s="119">
        <f t="shared" si="187"/>
        <v>95</v>
      </c>
      <c r="H349" s="29">
        <f t="shared" si="188"/>
        <v>1.8099930939094766</v>
      </c>
      <c r="I349" s="119">
        <f t="shared" si="189"/>
        <v>110</v>
      </c>
      <c r="J349" s="29">
        <f t="shared" si="190"/>
        <v>2.0957814771583414</v>
      </c>
      <c r="K349" s="6" t="str">
        <f>IF(U349="Yes",UPPER(IF(ISNUMBER(SEARCH("winding",VLOOKUP(CONCATENATE(P349,Q349,S349,E349),TMK[[Limiting Equipment Reference-PTX]:[Summ Equipment]],7,0))),"Power Transformer Rating at "&amp;ROUND(E349*S349*SQRT(3)/1000,2)&amp;" MVA",VLOOKUP(CONCATENATE(P349,Q349,S349,E349),TMK[[Limiting Equipment Reference-No PTX]:[Summ Equipment]],8,0))),UPPER(VLOOKUP(CONCATENATE(P349,Q349,S349,E349),TMK[[Limiting Equipment Reference-No PTX]:[Summ Equipment]],8,0)))</f>
        <v>CABLE-1-3C 95 MM² AL PILC</v>
      </c>
      <c r="L349" s="146" t="s">
        <v>1266</v>
      </c>
      <c r="M349" s="146" t="s">
        <v>1162</v>
      </c>
      <c r="O349" s="168" t="str">
        <f t="shared" si="191"/>
        <v>CD1-T612</v>
      </c>
      <c r="P349" s="49" t="s">
        <v>1276</v>
      </c>
      <c r="Q349" s="49" t="s">
        <v>149</v>
      </c>
      <c r="R349" s="386"/>
      <c r="S349" s="43">
        <v>11</v>
      </c>
      <c r="T349" s="146" t="s">
        <v>1266</v>
      </c>
      <c r="U349" s="146" t="s">
        <v>1266</v>
      </c>
      <c r="V349" s="49"/>
    </row>
    <row r="350" spans="2:22" x14ac:dyDescent="0.25">
      <c r="B350" s="49" t="s">
        <v>652</v>
      </c>
      <c r="C350" s="168" t="s">
        <v>2676</v>
      </c>
      <c r="D350" s="119">
        <f t="shared" si="192"/>
        <v>11</v>
      </c>
      <c r="E350" s="370">
        <f t="array" ref="E350">IF(U350="YES",IF(T350="YES",MIN(IF(TMK[Load Capability Reference]=CONCATENATE(P350,Q350,S350,R350),TMK[Lowest A-PTX])),MIN(IF(TMK[Load Capability Reference]=CONCATENATE(P350,Q350,S350,R350),IF(TMK[Equipment ID]&lt;&gt;O350,TMK[Lowest A-PTX])))),IF(T350="YES",MIN(IF(TMK[Load Capability Reference]=CONCATENATE(P350,Q350,S350,R350),TMK[Lowest A-No PTX])),MIN(IF(TMK[Load Capability Reference]=CONCATENATE(P350,Q350,S350,R350),IF(TMK[Equipment ID]&lt;&gt;O350,TMK[Lowest A-No PTX])))))</f>
        <v>179.6634</v>
      </c>
      <c r="F350" s="119">
        <f>IFERROR(IFERROR(VLOOKUP(CONCATENATE(P350,Q350,O350,S350,"Protection"),TWZ[[OC Protection Reference]:[Forward A]],23,0),VLOOKUP(O350,AEL_Protection_Data[],12,0)),"N/A")</f>
        <v>360</v>
      </c>
      <c r="G350" s="119">
        <f t="shared" si="187"/>
        <v>140</v>
      </c>
      <c r="H350" s="29">
        <f t="shared" si="188"/>
        <v>2.667358243656071</v>
      </c>
      <c r="I350" s="119">
        <f t="shared" si="189"/>
        <v>160</v>
      </c>
      <c r="J350" s="29">
        <f t="shared" si="190"/>
        <v>3.0484094213212236</v>
      </c>
      <c r="K350" s="6" t="str">
        <f>IF(U350="Yes",UPPER(IF(ISNUMBER(SEARCH("winding",VLOOKUP(CONCATENATE(P350,Q350,S350,E350),TMK[[Limiting Equipment Reference-PTX]:[Summ Equipment]],7,0))),"Power Transformer Rating at "&amp;ROUND(E350*S350*SQRT(3)/1000,2)&amp;" MVA",VLOOKUP(CONCATENATE(P350,Q350,S350,E350),TMK[[Limiting Equipment Reference-No PTX]:[Summ Equipment]],8,0))),UPPER(VLOOKUP(CONCATENATE(P350,Q350,S350,E350),TMK[[Limiting Equipment Reference-No PTX]:[Summ Equipment]],8,0)))</f>
        <v>CABLE-1-3C 185 MM² AL PILC</v>
      </c>
      <c r="L350" s="146" t="s">
        <v>1267</v>
      </c>
      <c r="M350" s="146" t="s">
        <v>1266</v>
      </c>
      <c r="O350" s="168" t="str">
        <f t="shared" si="191"/>
        <v>CD1-T613</v>
      </c>
      <c r="P350" s="49" t="s">
        <v>1276</v>
      </c>
      <c r="Q350" s="49" t="s">
        <v>152</v>
      </c>
      <c r="R350" s="386"/>
      <c r="S350" s="43">
        <v>11</v>
      </c>
      <c r="T350" s="146" t="s">
        <v>1266</v>
      </c>
      <c r="U350" s="146" t="s">
        <v>1266</v>
      </c>
      <c r="V350" s="49"/>
    </row>
    <row r="351" spans="2:22" ht="15.75" thickBot="1" x14ac:dyDescent="0.3">
      <c r="B351" s="374" t="s">
        <v>653</v>
      </c>
      <c r="C351" s="375" t="s">
        <v>2677</v>
      </c>
      <c r="D351" s="377">
        <f t="shared" si="192"/>
        <v>11</v>
      </c>
      <c r="E351" s="384">
        <f t="array" ref="E351">IF(U351="YES",IF(T351="YES",MIN(IF(TMK[Load Capability Reference]=CONCATENATE(P351,Q351,S351,R351),TMK[Lowest A-PTX])),MIN(IF(TMK[Load Capability Reference]=CONCATENATE(P351,Q351,S351,R351),IF(TMK[Equipment ID]&lt;&gt;O351,TMK[Lowest A-PTX])))),IF(T351="YES",MIN(IF(TMK[Load Capability Reference]=CONCATENATE(P351,Q351,S351,R351),TMK[Lowest A-No PTX])),MIN(IF(TMK[Load Capability Reference]=CONCATENATE(P351,Q351,S351,R351),IF(TMK[Equipment ID]&lt;&gt;O351,TMK[Lowest A-No PTX])))))</f>
        <v>321.26477599999998</v>
      </c>
      <c r="F351" s="377">
        <f>IFERROR(IFERROR(VLOOKUP(CONCATENATE(P351,Q351,O351,S351,"Protection"),TWZ[[OC Protection Reference]:[Forward A]],23,0),VLOOKUP(O351,AEL_Protection_Data[],12,0)),"N/A")</f>
        <v>480</v>
      </c>
      <c r="G351" s="377">
        <f t="shared" si="187"/>
        <v>255</v>
      </c>
      <c r="H351" s="185">
        <f t="shared" si="188"/>
        <v>4.8584025152307007</v>
      </c>
      <c r="I351" s="377">
        <f t="shared" si="189"/>
        <v>285</v>
      </c>
      <c r="J351" s="185">
        <f t="shared" si="190"/>
        <v>5.4299792817284294</v>
      </c>
      <c r="K351" s="191" t="str">
        <f>IF(U351="Yes",UPPER(IF(ISNUMBER(SEARCH("winding",VLOOKUP(CONCATENATE(P351,Q351,S351,E351),TMK[[Limiting Equipment Reference-PTX]:[Summ Equipment]],7,0))),"Power Transformer Rating at "&amp;ROUND(E351*S351*SQRT(3)/1000,2)&amp;" MVA",VLOOKUP(CONCATENATE(P351,Q351,S351,E351),TMK[[Limiting Equipment Reference-No PTX]:[Summ Equipment]],8,0))),UPPER(VLOOKUP(CONCATENATE(P351,Q351,S351,E351),TMK[[Limiting Equipment Reference-No PTX]:[Summ Equipment]],8,0)))</f>
        <v>CABLE-1-3C 300 MM² AL XLPE</v>
      </c>
      <c r="L351" s="379" t="s">
        <v>1266</v>
      </c>
      <c r="M351" s="379" t="s">
        <v>1162</v>
      </c>
      <c r="O351" s="375" t="str">
        <f t="shared" si="191"/>
        <v>CD1-T614</v>
      </c>
      <c r="P351" s="374" t="s">
        <v>1276</v>
      </c>
      <c r="Q351" s="374" t="s">
        <v>154</v>
      </c>
      <c r="R351" s="387"/>
      <c r="S351" s="175">
        <v>11</v>
      </c>
      <c r="T351" s="379" t="s">
        <v>1266</v>
      </c>
      <c r="U351" s="379" t="s">
        <v>1266</v>
      </c>
      <c r="V351" s="374"/>
    </row>
    <row r="352" spans="2:22" ht="15.75" thickBot="1" x14ac:dyDescent="0.3"/>
    <row r="353" spans="2:22" ht="26.25" thickBot="1" x14ac:dyDescent="0.3">
      <c r="B353" s="551" t="s">
        <v>2679</v>
      </c>
      <c r="C353" s="552"/>
      <c r="D353" s="552"/>
      <c r="E353" s="552"/>
      <c r="F353" s="552"/>
      <c r="G353" s="552"/>
      <c r="H353" s="552"/>
      <c r="I353" s="552"/>
      <c r="J353" s="552"/>
      <c r="K353" s="552"/>
      <c r="L353" s="552"/>
      <c r="M353" s="553"/>
      <c r="O353" s="551" t="s">
        <v>2391</v>
      </c>
      <c r="P353" s="552"/>
      <c r="Q353" s="552"/>
      <c r="R353" s="552"/>
      <c r="S353" s="552"/>
      <c r="T353" s="552"/>
      <c r="U353" s="552"/>
      <c r="V353" s="553"/>
    </row>
    <row r="354" spans="2:22" ht="15.75" thickBot="1" x14ac:dyDescent="0.3">
      <c r="B354" s="571" t="str">
        <f>B28</f>
        <v>CB ID</v>
      </c>
      <c r="C354" s="545" t="str">
        <f>C28</f>
        <v>DESIGNATION</v>
      </c>
      <c r="D354" s="382" t="str">
        <f>D28</f>
        <v>Rated</v>
      </c>
      <c r="E354" s="572" t="str">
        <f>E28</f>
        <v>LOAD
CAPABILITY</v>
      </c>
      <c r="F354" s="572" t="str">
        <f>F28</f>
        <v>OC
PICKUP</v>
      </c>
      <c r="G354" s="559" t="str">
        <f>G6</f>
        <v>SCADA ALARM</v>
      </c>
      <c r="H354" s="560"/>
      <c r="I354" s="560"/>
      <c r="J354" s="561"/>
      <c r="K354" s="574" t="str">
        <f>K28</f>
        <v>LIMITING EQUIPMENT</v>
      </c>
      <c r="L354" s="575" t="str">
        <f>L28</f>
        <v>RECLOSING</v>
      </c>
      <c r="M354" s="576"/>
      <c r="O354" s="566" t="str">
        <f t="shared" ref="O354:V354" si="193">O28</f>
        <v>OC Pick up
Reference ID</v>
      </c>
      <c r="P354" s="557" t="str">
        <f t="shared" si="193"/>
        <v>Supply Level</v>
      </c>
      <c r="Q354" s="566" t="str">
        <f t="shared" si="193"/>
        <v>Station/Feeder</v>
      </c>
      <c r="R354" s="567" t="str">
        <f t="shared" si="193"/>
        <v>Refered to PTX</v>
      </c>
      <c r="S354" s="569" t="str">
        <f t="shared" si="193"/>
        <v>Voltage</v>
      </c>
      <c r="T354" s="539" t="str">
        <f t="shared" si="193"/>
        <v>Include
CB</v>
      </c>
      <c r="U354" s="539" t="str">
        <f t="shared" si="193"/>
        <v>Include
PTX</v>
      </c>
      <c r="V354" s="557" t="str">
        <f t="shared" si="193"/>
        <v>Notes</v>
      </c>
    </row>
    <row r="355" spans="2:22" ht="15.75" thickBot="1" x14ac:dyDescent="0.3">
      <c r="B355" s="557"/>
      <c r="C355" s="540"/>
      <c r="D355" s="362" t="str">
        <f>D29</f>
        <v>Voltage</v>
      </c>
      <c r="E355" s="573"/>
      <c r="F355" s="573"/>
      <c r="G355" s="544" t="str">
        <f>G7</f>
        <v>Pre-Emergency</v>
      </c>
      <c r="H355" s="544"/>
      <c r="I355" s="544" t="str">
        <f>I7</f>
        <v>Emergency</v>
      </c>
      <c r="J355" s="544"/>
      <c r="K355" s="540"/>
      <c r="L355" s="545" t="str">
        <f>L29</f>
        <v>AVAILABLE</v>
      </c>
      <c r="M355" s="545" t="str">
        <f>M29</f>
        <v>UTILISED</v>
      </c>
      <c r="O355" s="557"/>
      <c r="P355" s="557"/>
      <c r="Q355" s="557"/>
      <c r="R355" s="567"/>
      <c r="S355" s="569"/>
      <c r="T355" s="540"/>
      <c r="U355" s="540"/>
      <c r="V355" s="557"/>
    </row>
    <row r="356" spans="2:22" ht="15.75" thickBot="1" x14ac:dyDescent="0.3">
      <c r="B356" s="558"/>
      <c r="C356" s="541"/>
      <c r="D356" s="345" t="str">
        <f>D30</f>
        <v>(kV)</v>
      </c>
      <c r="E356" s="345" t="str">
        <f>E30</f>
        <v>(A)</v>
      </c>
      <c r="F356" s="345" t="str">
        <f>F30</f>
        <v>(A)</v>
      </c>
      <c r="G356" s="406" t="str">
        <f>G8</f>
        <v>(A)</v>
      </c>
      <c r="H356" s="407" t="str">
        <f>H8</f>
        <v>(MVA)</v>
      </c>
      <c r="I356" s="406" t="str">
        <f>I8</f>
        <v>(A)</v>
      </c>
      <c r="J356" s="407" t="str">
        <f>J8</f>
        <v>(MVA)</v>
      </c>
      <c r="K356" s="541"/>
      <c r="L356" s="541"/>
      <c r="M356" s="541"/>
      <c r="O356" s="558"/>
      <c r="P356" s="558"/>
      <c r="Q356" s="558"/>
      <c r="R356" s="568"/>
      <c r="S356" s="570"/>
      <c r="T356" s="541"/>
      <c r="U356" s="541"/>
      <c r="V356" s="558"/>
    </row>
    <row r="357" spans="2:22" x14ac:dyDescent="0.25">
      <c r="B357" s="38" t="s">
        <v>635</v>
      </c>
      <c r="C357" s="3" t="s">
        <v>2680</v>
      </c>
      <c r="D357" s="61">
        <f t="shared" ref="D357:D360" si="194">ROUNDDOWN(S357,0)</f>
        <v>33</v>
      </c>
      <c r="E357" s="369">
        <f t="array" ref="E357">IF(U357="YES",IF(T357="YES",MIN(IF(TMK[Load Capability Reference]=CONCATENATE(P357,Q357,S357,R357),TMK[Lowest A-PTX])),MIN(IF(TMK[Load Capability Reference]=CONCATENATE(P357,Q357,S357,R357),IF(TMK[Equipment ID]&lt;&gt;O357,TMK[Lowest A-PTX])))),IF(T357="YES",MIN(IF(TMK[Load Capability Reference]=CONCATENATE(P357,Q357,S357,R357),TMK[Lowest A-No PTX])),MIN(IF(TMK[Load Capability Reference]=CONCATENATE(P357,Q357,S357,R357),IF(TMK[Equipment ID]&lt;&gt;O357,TMK[Lowest A-No PTX])))))</f>
        <v>407.19406000000004</v>
      </c>
      <c r="F357" s="61">
        <f>IFERROR(IFERROR(VLOOKUP(CONCATENATE(P357,Q357,O357,S357,"Protection"),TWZ[[OC Protection Reference]:[Forward A]],23,0),VLOOKUP(O357,AEL_Protection_Data[],12,0)),"N/A")</f>
        <v>540</v>
      </c>
      <c r="G357" s="61">
        <f t="shared" ref="G357:G372" si="195">IFERROR(FLOOR(MIN(E357:F357)*$D$3,5),"")</f>
        <v>325</v>
      </c>
      <c r="H357" s="5">
        <f t="shared" ref="H357:H372" si="196">G357*S357*SQRT(3)/1000</f>
        <v>18.91061731957738</v>
      </c>
      <c r="I357" s="61">
        <f t="shared" ref="I357:I372" si="197">IFERROR(FLOOR(MIN(E357:F357)*$D$2,5),"")</f>
        <v>365</v>
      </c>
      <c r="J357" s="5">
        <f t="shared" ref="J357:J372" si="198">I357*S357*SQRT(3)/1000</f>
        <v>21.238077912756136</v>
      </c>
      <c r="K357" s="3" t="str">
        <f>IF(U357="Yes",UPPER(IF(ISNUMBER(SEARCH("winding",VLOOKUP(CONCATENATE(P357,Q357,S357,E357),TMK[[Limiting Equipment Reference-PTX]:[Summ Equipment]],7,0))),"Power Transformer Rating at "&amp;ROUND(E357*S357*SQRT(3)/1000,2)&amp;" MVA",VLOOKUP(CONCATENATE(P357,Q357,S357,E357),TMK[[Limiting Equipment Reference-No PTX]:[Summ Equipment]],8,0))),UPPER(VLOOKUP(CONCATENATE(P357,Q357,S357,E357),TMK[[Limiting Equipment Reference-No PTX]:[Summ Equipment]],8,0)))</f>
        <v>CABLE-3-1C 400 MM² AL XLPE</v>
      </c>
      <c r="L357" s="4" t="s">
        <v>1266</v>
      </c>
      <c r="M357" s="4" t="s">
        <v>1162</v>
      </c>
      <c r="N357" s="398"/>
      <c r="O357" s="3" t="str">
        <f t="shared" ref="O357:O372" si="199">"CD2-"&amp;B357</f>
        <v>CD2-T662</v>
      </c>
      <c r="P357" s="38" t="s">
        <v>1245</v>
      </c>
      <c r="Q357" s="38" t="s">
        <v>89</v>
      </c>
      <c r="R357" s="389" t="s">
        <v>2694</v>
      </c>
      <c r="S357" s="139">
        <v>33.594000000000001</v>
      </c>
      <c r="T357" s="4" t="s">
        <v>1266</v>
      </c>
      <c r="U357" s="4" t="s">
        <v>1266</v>
      </c>
      <c r="V357" s="38"/>
    </row>
    <row r="358" spans="2:22" x14ac:dyDescent="0.25">
      <c r="B358" s="49" t="s">
        <v>638</v>
      </c>
      <c r="C358" s="168" t="s">
        <v>2681</v>
      </c>
      <c r="D358" s="119">
        <f t="shared" si="194"/>
        <v>33</v>
      </c>
      <c r="E358" s="370">
        <f t="array" ref="E358">IF(U358="YES",IF(T358="YES",MIN(IF(TMK[Load Capability Reference]=CONCATENATE(P358,Q358,S358,R358),TMK[Lowest A-PTX])),MIN(IF(TMK[Load Capability Reference]=CONCATENATE(P358,Q358,S358,R358),IF(TMK[Equipment ID]&lt;&gt;O358,TMK[Lowest A-PTX])))),IF(T358="YES",MIN(IF(TMK[Load Capability Reference]=CONCATENATE(P358,Q358,S358,R358),TMK[Lowest A-No PTX])),MIN(IF(TMK[Load Capability Reference]=CONCATENATE(P358,Q358,S358,R358),IF(TMK[Equipment ID]&lt;&gt;O358,TMK[Lowest A-No PTX])))))</f>
        <v>407.19406000000004</v>
      </c>
      <c r="F358" s="119">
        <f>IFERROR(IFERROR(VLOOKUP(CONCATENATE(P358,Q358,O358,S358,"Protection"),TWZ[[OC Protection Reference]:[Forward A]],23,0),VLOOKUP(O358,AEL_Protection_Data[],12,0)),"N/A")</f>
        <v>660</v>
      </c>
      <c r="G358" s="119">
        <f t="shared" si="195"/>
        <v>325</v>
      </c>
      <c r="H358" s="29">
        <f t="shared" si="196"/>
        <v>18.91061731957738</v>
      </c>
      <c r="I358" s="119">
        <f t="shared" si="197"/>
        <v>365</v>
      </c>
      <c r="J358" s="29">
        <f t="shared" si="198"/>
        <v>21.238077912756136</v>
      </c>
      <c r="K358" s="6" t="str">
        <f>IF(U358="Yes",UPPER(IF(ISNUMBER(SEARCH("winding",VLOOKUP(CONCATENATE(P358,Q358,S358,E358),TMK[[Limiting Equipment Reference-PTX]:[Summ Equipment]],7,0))),"Power Transformer Rating at "&amp;ROUND(E358*S358*SQRT(3)/1000,2)&amp;" MVA",VLOOKUP(CONCATENATE(P358,Q358,S358,E358),TMK[[Limiting Equipment Reference-No PTX]:[Summ Equipment]],8,0))),UPPER(VLOOKUP(CONCATENATE(P358,Q358,S358,E358),TMK[[Limiting Equipment Reference-No PTX]:[Summ Equipment]],8,0)))</f>
        <v>CABLE-3-1C 400 MM² AL XLPE</v>
      </c>
      <c r="L358" s="146" t="s">
        <v>1266</v>
      </c>
      <c r="M358" s="146" t="s">
        <v>1162</v>
      </c>
      <c r="N358" s="399"/>
      <c r="O358" s="168" t="str">
        <f t="shared" si="199"/>
        <v>CD2-T663</v>
      </c>
      <c r="P358" s="49" t="s">
        <v>1245</v>
      </c>
      <c r="Q358" s="49" t="s">
        <v>89</v>
      </c>
      <c r="R358" s="386" t="s">
        <v>2695</v>
      </c>
      <c r="S358" s="43">
        <v>33.594000000000001</v>
      </c>
      <c r="T358" s="146" t="s">
        <v>1266</v>
      </c>
      <c r="U358" s="146" t="s">
        <v>1266</v>
      </c>
      <c r="V358" s="49"/>
    </row>
    <row r="359" spans="2:22" x14ac:dyDescent="0.25">
      <c r="B359" s="49" t="s">
        <v>654</v>
      </c>
      <c r="C359" s="168" t="s">
        <v>2682</v>
      </c>
      <c r="D359" s="119">
        <f t="shared" si="194"/>
        <v>11</v>
      </c>
      <c r="E359" s="370">
        <f t="array" ref="E359">IF(U359="YES",IF(T359="YES",MIN(IF(TMK[Load Capability Reference]=CONCATENATE(P359,Q359,S359,R359),TMK[Lowest A-PTX])),MIN(IF(TMK[Load Capability Reference]=CONCATENATE(P359,Q359,S359,R359),IF(TMK[Equipment ID]&lt;&gt;O359,TMK[Lowest A-PTX])))),IF(T359="YES",MIN(IF(TMK[Load Capability Reference]=CONCATENATE(P359,Q359,S359,R359),TMK[Lowest A-No PTX])),MIN(IF(TMK[Load Capability Reference]=CONCATENATE(P359,Q359,S359,R359),IF(TMK[Equipment ID]&lt;&gt;O359,TMK[Lowest A-No PTX])))))</f>
        <v>285.06592799999999</v>
      </c>
      <c r="F359" s="119">
        <f>IFERROR(IFERROR(VLOOKUP(CONCATENATE(P359,Q359,O359,S359,"Protection"),TWZ[[OC Protection Reference]:[Forward A]],23,0),VLOOKUP(O359,AEL_Protection_Data[],12,0)),"N/A")</f>
        <v>480</v>
      </c>
      <c r="G359" s="119">
        <f t="shared" si="195"/>
        <v>225</v>
      </c>
      <c r="H359" s="29">
        <f t="shared" si="196"/>
        <v>4.2868257487329711</v>
      </c>
      <c r="I359" s="119">
        <f t="shared" si="197"/>
        <v>255</v>
      </c>
      <c r="J359" s="29">
        <f t="shared" si="198"/>
        <v>4.8584025152307007</v>
      </c>
      <c r="K359" s="168" t="str">
        <f>IF(U359="Yes",UPPER(IF(ISNUMBER(SEARCH("winding",VLOOKUP(CONCATENATE(P359,Q359,S359,E359),TMK[[Limiting Equipment Reference-PTX]:[Summ Equipment]],7,0))),"Power Transformer Rating at "&amp;ROUND(E359*S359*SQRT(3)/1000,2)&amp;" MVA",VLOOKUP(CONCATENATE(P359,Q359,S359,E359),TMK[[Limiting Equipment Reference-No PTX]:[Summ Equipment]],8,0))),UPPER(VLOOKUP(CONCATENATE(P359,Q359,S359,E359),TMK[[Limiting Equipment Reference-No PTX]:[Summ Equipment]],8,0)))</f>
        <v>CABLE-1-3C 300 MM² AL XLPE</v>
      </c>
      <c r="L359" s="146" t="s">
        <v>1266</v>
      </c>
      <c r="M359" s="146" t="s">
        <v>1162</v>
      </c>
      <c r="O359" s="168" t="str">
        <f t="shared" si="199"/>
        <v>CD2-T650</v>
      </c>
      <c r="P359" s="49" t="s">
        <v>1276</v>
      </c>
      <c r="Q359" s="49" t="s">
        <v>101</v>
      </c>
      <c r="R359" s="390"/>
      <c r="S359" s="32">
        <v>11</v>
      </c>
      <c r="T359" s="146" t="s">
        <v>1266</v>
      </c>
      <c r="U359" s="146" t="s">
        <v>1266</v>
      </c>
      <c r="V359" s="49"/>
    </row>
    <row r="360" spans="2:22" x14ac:dyDescent="0.25">
      <c r="B360" s="49" t="s">
        <v>655</v>
      </c>
      <c r="C360" s="168" t="s">
        <v>2683</v>
      </c>
      <c r="D360" s="119">
        <f t="shared" si="194"/>
        <v>11</v>
      </c>
      <c r="E360" s="370">
        <f t="array" ref="E360">IF(U360="YES",IF(T360="YES",MIN(IF(TMK[Load Capability Reference]=CONCATENATE(P360,Q360,S360,R360),TMK[Lowest A-PTX])),MIN(IF(TMK[Load Capability Reference]=CONCATENATE(P360,Q360,S360,R360),IF(TMK[Equipment ID]&lt;&gt;O360,TMK[Lowest A-PTX])))),IF(T360="YES",MIN(IF(TMK[Load Capability Reference]=CONCATENATE(P360,Q360,S360,R360),TMK[Lowest A-No PTX])),MIN(IF(TMK[Load Capability Reference]=CONCATENATE(P360,Q360,S360,R360),IF(TMK[Equipment ID]&lt;&gt;O360,TMK[Lowest A-No PTX])))))</f>
        <v>330.31448799999998</v>
      </c>
      <c r="F360" s="119">
        <f>IFERROR(IFERROR(VLOOKUP(CONCATENATE(P360,Q360,O360,S360,"Protection"),TWZ[[OC Protection Reference]:[Forward A]],23,0),VLOOKUP(O360,AEL_Protection_Data[],12,0)),"N/A")</f>
        <v>480</v>
      </c>
      <c r="G360" s="119">
        <f t="shared" si="195"/>
        <v>260</v>
      </c>
      <c r="H360" s="29">
        <f t="shared" si="196"/>
        <v>4.9536653096469889</v>
      </c>
      <c r="I360" s="119">
        <f t="shared" si="197"/>
        <v>295</v>
      </c>
      <c r="J360" s="29">
        <f t="shared" si="198"/>
        <v>5.6205048705610059</v>
      </c>
      <c r="K360" s="6" t="str">
        <f>IF(U360="Yes",UPPER(IF(ISNUMBER(SEARCH("winding",VLOOKUP(CONCATENATE(P360,Q360,S360,E360),TMK[[Limiting Equipment Reference-PTX]:[Summ Equipment]],7,0))),"Power Transformer Rating at "&amp;ROUND(E360*S360*SQRT(3)/1000,2)&amp;" MVA",VLOOKUP(CONCATENATE(P360,Q360,S360,E360),TMK[[Limiting Equipment Reference-No PTX]:[Summ Equipment]],8,0))),UPPER(VLOOKUP(CONCATENATE(P360,Q360,S360,E360),TMK[[Limiting Equipment Reference-No PTX]:[Summ Equipment]],8,0)))</f>
        <v>CABLE-1-3C 300 MM² AL XLPE</v>
      </c>
      <c r="L360" s="146" t="s">
        <v>1266</v>
      </c>
      <c r="M360" s="146" t="s">
        <v>1162</v>
      </c>
      <c r="O360" s="168" t="str">
        <f t="shared" si="199"/>
        <v>CD2-T651</v>
      </c>
      <c r="P360" s="49" t="s">
        <v>1276</v>
      </c>
      <c r="Q360" s="49" t="s">
        <v>113</v>
      </c>
      <c r="R360" s="386"/>
      <c r="S360" s="43">
        <v>11</v>
      </c>
      <c r="T360" s="146" t="s">
        <v>1266</v>
      </c>
      <c r="U360" s="146" t="s">
        <v>1266</v>
      </c>
      <c r="V360" s="49"/>
    </row>
    <row r="361" spans="2:22" x14ac:dyDescent="0.25">
      <c r="B361" s="49" t="s">
        <v>656</v>
      </c>
      <c r="C361" s="168" t="s">
        <v>2684</v>
      </c>
      <c r="D361" s="119">
        <f>ROUNDDOWN(S361,0)</f>
        <v>11</v>
      </c>
      <c r="E361" s="370">
        <f t="array" ref="E361">IF(U361="YES",IF(T361="YES",MIN(IF(TMK[Load Capability Reference]=CONCATENATE(P361,Q361,S361,R361),TMK[Lowest A-PTX])),MIN(IF(TMK[Load Capability Reference]=CONCATENATE(P361,Q361,S361,R361),IF(TMK[Equipment ID]&lt;&gt;O361,TMK[Lowest A-PTX])))),IF(T361="YES",MIN(IF(TMK[Load Capability Reference]=CONCATENATE(P361,Q361,S361,R361),TMK[Lowest A-No PTX])),MIN(IF(TMK[Load Capability Reference]=CONCATENATE(P361,Q361,S361,R361),IF(TMK[Equipment ID]&lt;&gt;O361,TMK[Lowest A-No PTX])))))</f>
        <v>219.78822599999998</v>
      </c>
      <c r="F361" s="119">
        <f>IFERROR(IFERROR(VLOOKUP(CONCATENATE(P361,Q361,O361,S361,"Protection"),TWZ[[OC Protection Reference]:[Forward A]],23,0),VLOOKUP(O361,AEL_Protection_Data[],12,0)),"N/A")</f>
        <v>1200</v>
      </c>
      <c r="G361" s="119">
        <f t="shared" si="195"/>
        <v>175</v>
      </c>
      <c r="H361" s="29">
        <f t="shared" si="196"/>
        <v>3.3341978045700884</v>
      </c>
      <c r="I361" s="119">
        <f t="shared" si="197"/>
        <v>195</v>
      </c>
      <c r="J361" s="29">
        <f t="shared" si="198"/>
        <v>3.7152489822352419</v>
      </c>
      <c r="K361" s="6" t="str">
        <f>IF(U361="Yes",UPPER(IF(ISNUMBER(SEARCH("winding",VLOOKUP(CONCATENATE(P361,Q361,S361,E361),TMK[[Limiting Equipment Reference-PTX]:[Summ Equipment]],7,0))),"Power Transformer Rating at "&amp;ROUND(E361*S361*SQRT(3)/1000,2)&amp;" MVA",VLOOKUP(CONCATENATE(P361,Q361,S361,E361),TMK[[Limiting Equipment Reference-No PTX]:[Summ Equipment]],8,0))),UPPER(VLOOKUP(CONCATENATE(P361,Q361,S361,E361),TMK[[Limiting Equipment Reference-No PTX]:[Summ Equipment]],8,0)))</f>
        <v>CABLE-1-3C 185 MM² XLPE</v>
      </c>
      <c r="L361" s="146" t="s">
        <v>1266</v>
      </c>
      <c r="M361" s="146" t="s">
        <v>1162</v>
      </c>
      <c r="O361" s="168" t="str">
        <f t="shared" si="199"/>
        <v>CD2-T652</v>
      </c>
      <c r="P361" s="49" t="s">
        <v>1276</v>
      </c>
      <c r="Q361" s="49" t="s">
        <v>124</v>
      </c>
      <c r="R361" s="386"/>
      <c r="S361" s="43">
        <v>11</v>
      </c>
      <c r="T361" s="146" t="s">
        <v>1266</v>
      </c>
      <c r="U361" s="146" t="s">
        <v>1266</v>
      </c>
      <c r="V361" s="49"/>
    </row>
    <row r="362" spans="2:22" x14ac:dyDescent="0.25">
      <c r="B362" s="49" t="s">
        <v>657</v>
      </c>
      <c r="C362" s="168" t="s">
        <v>2685</v>
      </c>
      <c r="D362" s="119">
        <f t="shared" ref="D362:D372" si="200">ROUNDDOWN(S362,0)</f>
        <v>11</v>
      </c>
      <c r="E362" s="370">
        <f t="array" ref="E362">IF(U362="YES",IF(T362="YES",MIN(IF(TMK[Load Capability Reference]=CONCATENATE(P362,Q362,S362,R362),TMK[Lowest A-PTX])),MIN(IF(TMK[Load Capability Reference]=CONCATENATE(P362,Q362,S362,R362),IF(TMK[Equipment ID]&lt;&gt;O362,TMK[Lowest A-PTX])))),IF(T362="YES",MIN(IF(TMK[Load Capability Reference]=CONCATENATE(P362,Q362,S362,R362),TMK[Lowest A-No PTX])),MIN(IF(TMK[Load Capability Reference]=CONCATENATE(P362,Q362,S362,R362),IF(TMK[Equipment ID]&lt;&gt;O362,TMK[Lowest A-No PTX])))))</f>
        <v>316.73991999999998</v>
      </c>
      <c r="F362" s="119">
        <f>IFERROR(IFERROR(VLOOKUP(CONCATENATE(P362,Q362,O362,S362,"Protection"),TWZ[[OC Protection Reference]:[Forward A]],23,0),VLOOKUP(O362,AEL_Protection_Data[],12,0)),"N/A")</f>
        <v>480</v>
      </c>
      <c r="G362" s="119">
        <f t="shared" si="195"/>
        <v>250</v>
      </c>
      <c r="H362" s="29">
        <f t="shared" si="196"/>
        <v>4.7631397208144124</v>
      </c>
      <c r="I362" s="119">
        <f t="shared" si="197"/>
        <v>285</v>
      </c>
      <c r="J362" s="29">
        <f t="shared" si="198"/>
        <v>5.4299792817284294</v>
      </c>
      <c r="K362" s="6" t="str">
        <f>IF(U362="Yes",UPPER(IF(ISNUMBER(SEARCH("winding",VLOOKUP(CONCATENATE(P362,Q362,S362,E362),TMK[[Limiting Equipment Reference-PTX]:[Summ Equipment]],7,0))),"Power Transformer Rating at "&amp;ROUND(E362*S362*SQRT(3)/1000,2)&amp;" MVA",VLOOKUP(CONCATENATE(P362,Q362,S362,E362),TMK[[Limiting Equipment Reference-No PTX]:[Summ Equipment]],8,0))),UPPER(VLOOKUP(CONCATENATE(P362,Q362,S362,E362),TMK[[Limiting Equipment Reference-No PTX]:[Summ Equipment]],8,0)))</f>
        <v>CABLE-1-3C 300 MM² AL XLPE</v>
      </c>
      <c r="L362" s="146" t="s">
        <v>1266</v>
      </c>
      <c r="M362" s="146" t="s">
        <v>1162</v>
      </c>
      <c r="O362" s="168" t="str">
        <f t="shared" si="199"/>
        <v>CD2-T653</v>
      </c>
      <c r="P362" s="49" t="s">
        <v>1276</v>
      </c>
      <c r="Q362" s="49" t="s">
        <v>132</v>
      </c>
      <c r="R362" s="386"/>
      <c r="S362" s="43">
        <v>11</v>
      </c>
      <c r="T362" s="146" t="s">
        <v>1266</v>
      </c>
      <c r="U362" s="146" t="s">
        <v>1266</v>
      </c>
      <c r="V362" s="49"/>
    </row>
    <row r="363" spans="2:22" x14ac:dyDescent="0.25">
      <c r="B363" s="49" t="s">
        <v>658</v>
      </c>
      <c r="C363" s="168" t="s">
        <v>2686</v>
      </c>
      <c r="D363" s="119">
        <f t="shared" si="200"/>
        <v>11</v>
      </c>
      <c r="E363" s="370">
        <f t="array" ref="E363">IF(U363="YES",IF(T363="YES",MIN(IF(TMK[Load Capability Reference]=CONCATENATE(P363,Q363,S363,R363),TMK[Lowest A-PTX])),MIN(IF(TMK[Load Capability Reference]=CONCATENATE(P363,Q363,S363,R363),IF(TMK[Equipment ID]&lt;&gt;O363,TMK[Lowest A-PTX])))),IF(T363="YES",MIN(IF(TMK[Load Capability Reference]=CONCATENATE(P363,Q363,S363,R363),TMK[Lowest A-No PTX])),MIN(IF(TMK[Load Capability Reference]=CONCATENATE(P363,Q363,S363,R363),IF(TMK[Equipment ID]&lt;&gt;O363,TMK[Lowest A-No PTX])))))</f>
        <v>309.19215600000001</v>
      </c>
      <c r="F363" s="119">
        <f>IFERROR(IFERROR(VLOOKUP(CONCATENATE(P363,Q363,O363,S363,"Protection"),TWZ[[OC Protection Reference]:[Forward A]],23,0),VLOOKUP(O363,AEL_Protection_Data[],12,0)),"N/A")</f>
        <v>480</v>
      </c>
      <c r="G363" s="119">
        <f t="shared" si="195"/>
        <v>245</v>
      </c>
      <c r="H363" s="29">
        <f t="shared" si="196"/>
        <v>4.6678769263981241</v>
      </c>
      <c r="I363" s="119">
        <f t="shared" si="197"/>
        <v>275</v>
      </c>
      <c r="J363" s="29">
        <f t="shared" si="198"/>
        <v>5.2394536928958528</v>
      </c>
      <c r="K363" s="6" t="str">
        <f>IF(U363="Yes",UPPER(IF(ISNUMBER(SEARCH("winding",VLOOKUP(CONCATENATE(P363,Q363,S363,E363),TMK[[Limiting Equipment Reference-PTX]:[Summ Equipment]],7,0))),"Power Transformer Rating at "&amp;ROUND(E363*S363*SQRT(3)/1000,2)&amp;" MVA",VLOOKUP(CONCATENATE(P363,Q363,S363,E363),TMK[[Limiting Equipment Reference-No PTX]:[Summ Equipment]],8,0))),UPPER(VLOOKUP(CONCATENATE(P363,Q363,S363,E363),TMK[[Limiting Equipment Reference-No PTX]:[Summ Equipment]],8,0)))</f>
        <v>CABLE-1-3C 300 MM² AL XLPE</v>
      </c>
      <c r="L363" s="146" t="s">
        <v>1266</v>
      </c>
      <c r="M363" s="146" t="s">
        <v>1162</v>
      </c>
      <c r="O363" s="168" t="str">
        <f t="shared" si="199"/>
        <v>CD2-T654</v>
      </c>
      <c r="P363" s="49" t="s">
        <v>1276</v>
      </c>
      <c r="Q363" s="49" t="s">
        <v>138</v>
      </c>
      <c r="R363" s="386"/>
      <c r="S363" s="43">
        <v>11</v>
      </c>
      <c r="T363" s="146" t="s">
        <v>1266</v>
      </c>
      <c r="U363" s="146" t="s">
        <v>1266</v>
      </c>
      <c r="V363" s="49"/>
    </row>
    <row r="364" spans="2:22" x14ac:dyDescent="0.25">
      <c r="B364" s="49" t="s">
        <v>640</v>
      </c>
      <c r="C364" s="168" t="s">
        <v>2687</v>
      </c>
      <c r="D364" s="119">
        <f t="shared" si="200"/>
        <v>11</v>
      </c>
      <c r="E364" s="370">
        <f t="array" ref="E364">IF(U364="YES",IF(T364="YES",MIN(IF(TMK[Load Capability Reference]=CONCATENATE(P364,Q364,S364,R364),TMK[Lowest A-PTX])),MIN(IF(TMK[Load Capability Reference]=CONCATENATE(P364,Q364,S364,R364),IF(TMK[Equipment ID]&lt;&gt;O364,TMK[Lowest A-PTX])))),IF(T364="YES",MIN(IF(TMK[Load Capability Reference]=CONCATENATE(P364,Q364,S364,R364),TMK[Lowest A-No PTX])),MIN(IF(TMK[Load Capability Reference]=CONCATENATE(P364,Q364,S364,R364),IF(TMK[Equipment ID]&lt;&gt;O364,TMK[Lowest A-No PTX])))))</f>
        <v>1312.1597027036951</v>
      </c>
      <c r="F364" s="119">
        <f>IFERROR(IFERROR(VLOOKUP(CONCATENATE(P364,Q364,O364,S364,"Protection"),TWZ[[OC Protection Reference]:[Forward A]],23,0),VLOOKUP(O364,AEL_Protection_Data[],12,0)),"N/A")</f>
        <v>1600</v>
      </c>
      <c r="G364" s="119">
        <f t="shared" si="195"/>
        <v>1045</v>
      </c>
      <c r="H364" s="29">
        <f t="shared" si="196"/>
        <v>19.909924033004245</v>
      </c>
      <c r="I364" s="119">
        <f t="shared" si="197"/>
        <v>1180</v>
      </c>
      <c r="J364" s="29">
        <f t="shared" si="198"/>
        <v>22.482019482244024</v>
      </c>
      <c r="K364" s="6" t="str">
        <f>IF(U364="Yes",UPPER(IF(ISNUMBER(SEARCH("winding",VLOOKUP(CONCATENATE(P364,Q364,S364,E364),TMK[[Limiting Equipment Reference-PTX]:[Summ Equipment]],7,0))),"Power Transformer Rating at "&amp;ROUND(E364*S364*SQRT(3)/1000,2)&amp;" MVA",VLOOKUP(CONCATENATE(P364,Q364,S364,E364),TMK[[Limiting Equipment Reference-No PTX]:[Summ Equipment]],8,0))),UPPER(VLOOKUP(CONCATENATE(P364,Q364,S364,E364),TMK[[Limiting Equipment Reference-No PTX]:[Summ Equipment]],8,0)))</f>
        <v>POWER TRANSFORMER RATING AT 25 MVA</v>
      </c>
      <c r="L364" s="146" t="s">
        <v>1266</v>
      </c>
      <c r="M364" s="146" t="s">
        <v>1162</v>
      </c>
      <c r="O364" s="168" t="str">
        <f t="shared" si="199"/>
        <v>CD2-T655</v>
      </c>
      <c r="P364" s="49" t="s">
        <v>1246</v>
      </c>
      <c r="Q364" s="49" t="s">
        <v>89</v>
      </c>
      <c r="R364" s="386" t="s">
        <v>2695</v>
      </c>
      <c r="S364" s="43">
        <v>11</v>
      </c>
      <c r="T364" s="146" t="s">
        <v>1266</v>
      </c>
      <c r="U364" s="146" t="s">
        <v>1267</v>
      </c>
      <c r="V364" s="49"/>
    </row>
    <row r="365" spans="2:22" x14ac:dyDescent="0.25">
      <c r="B365" s="49" t="s">
        <v>2541</v>
      </c>
      <c r="C365" s="168" t="s">
        <v>2568</v>
      </c>
      <c r="D365" s="119">
        <f t="shared" si="200"/>
        <v>11</v>
      </c>
      <c r="E365" s="370">
        <v>1250</v>
      </c>
      <c r="F365" s="119">
        <f>IFERROR(IFERROR(VLOOKUP(CONCATENATE(P365,Q365,O365,S365,"Protection"),TWZ[[OC Protection Reference]:[Forward A]],23,0),VLOOKUP(O365,AEL_Protection_Data[],12,0)),"N/A")</f>
        <v>1400</v>
      </c>
      <c r="G365" s="119">
        <f t="shared" si="195"/>
        <v>1000</v>
      </c>
      <c r="H365" s="29">
        <f t="shared" si="196"/>
        <v>19.05255888325765</v>
      </c>
      <c r="I365" s="119">
        <f t="shared" si="197"/>
        <v>1125</v>
      </c>
      <c r="J365" s="29">
        <f t="shared" si="198"/>
        <v>21.434128743664857</v>
      </c>
      <c r="K365" s="6" t="s">
        <v>2696</v>
      </c>
      <c r="L365" s="146" t="s">
        <v>1266</v>
      </c>
      <c r="M365" s="146" t="s">
        <v>1162</v>
      </c>
      <c r="O365" s="168" t="str">
        <f t="shared" si="199"/>
        <v>CD2-T656</v>
      </c>
      <c r="P365" s="49" t="s">
        <v>1246</v>
      </c>
      <c r="Q365" s="49" t="s">
        <v>89</v>
      </c>
      <c r="R365" s="386"/>
      <c r="S365" s="43">
        <v>11</v>
      </c>
      <c r="T365" s="146" t="s">
        <v>1266</v>
      </c>
      <c r="U365" s="146" t="s">
        <v>1266</v>
      </c>
      <c r="V365" s="49" t="s">
        <v>2823</v>
      </c>
    </row>
    <row r="366" spans="2:22" x14ac:dyDescent="0.25">
      <c r="B366" s="49" t="s">
        <v>637</v>
      </c>
      <c r="C366" s="168" t="s">
        <v>2688</v>
      </c>
      <c r="D366" s="119">
        <f t="shared" si="200"/>
        <v>11</v>
      </c>
      <c r="E366" s="370">
        <f t="array" ref="E366">IF(U366="YES",IF(T366="YES",MIN(IF(TMK[Load Capability Reference]=CONCATENATE(P366,Q366,S366,R366),TMK[Lowest A-PTX])),MIN(IF(TMK[Load Capability Reference]=CONCATENATE(P366,Q366,S366,R366),IF(TMK[Equipment ID]&lt;&gt;O366,TMK[Lowest A-PTX])))),IF(T366="YES",MIN(IF(TMK[Load Capability Reference]=CONCATENATE(P366,Q366,S366,R366),TMK[Lowest A-No PTX])),MIN(IF(TMK[Load Capability Reference]=CONCATENATE(P366,Q366,S366,R366),IF(TMK[Equipment ID]&lt;&gt;O366,TMK[Lowest A-No PTX])))))</f>
        <v>1312.1597027036951</v>
      </c>
      <c r="F366" s="119">
        <f>IFERROR(IFERROR(VLOOKUP(CONCATENATE(P366,Q366,O366,S366,"Protection"),TWZ[[OC Protection Reference]:[Forward A]],23,0),VLOOKUP(O366,AEL_Protection_Data[],12,0)),"N/A")</f>
        <v>1400</v>
      </c>
      <c r="G366" s="119">
        <f t="shared" si="195"/>
        <v>1045</v>
      </c>
      <c r="H366" s="29">
        <f t="shared" si="196"/>
        <v>19.909924033004245</v>
      </c>
      <c r="I366" s="119">
        <f t="shared" si="197"/>
        <v>1180</v>
      </c>
      <c r="J366" s="29">
        <f t="shared" si="198"/>
        <v>22.482019482244024</v>
      </c>
      <c r="K366" s="6" t="str">
        <f>IF(U366="Yes",UPPER(IF(ISNUMBER(SEARCH("winding",VLOOKUP(CONCATENATE(P366,Q366,S366,E366),TMK[[Limiting Equipment Reference-PTX]:[Summ Equipment]],7,0))),"Power Transformer Rating at "&amp;ROUND(E366*S366*SQRT(3)/1000,2)&amp;" MVA",VLOOKUP(CONCATENATE(P366,Q366,S366,E366),TMK[[Limiting Equipment Reference-No PTX]:[Summ Equipment]],8,0))),UPPER(VLOOKUP(CONCATENATE(P366,Q366,S366,E366),TMK[[Limiting Equipment Reference-No PTX]:[Summ Equipment]],8,0)))</f>
        <v>POWER TRANSFORMER RATING AT 25 MVA</v>
      </c>
      <c r="L366" s="146" t="s">
        <v>1266</v>
      </c>
      <c r="M366" s="146" t="s">
        <v>1162</v>
      </c>
      <c r="O366" s="168" t="str">
        <f t="shared" si="199"/>
        <v>CD2-T657</v>
      </c>
      <c r="P366" s="49" t="s">
        <v>1246</v>
      </c>
      <c r="Q366" s="49" t="s">
        <v>89</v>
      </c>
      <c r="R366" s="386" t="s">
        <v>2694</v>
      </c>
      <c r="S366" s="43">
        <v>11</v>
      </c>
      <c r="T366" s="146" t="s">
        <v>1266</v>
      </c>
      <c r="U366" s="146" t="s">
        <v>1267</v>
      </c>
      <c r="V366" s="49"/>
    </row>
    <row r="367" spans="2:22" x14ac:dyDescent="0.25">
      <c r="B367" s="49" t="s">
        <v>659</v>
      </c>
      <c r="C367" s="168" t="s">
        <v>2667</v>
      </c>
      <c r="D367" s="119">
        <f t="shared" si="200"/>
        <v>11</v>
      </c>
      <c r="E367" s="370">
        <f t="array" ref="E367">IF(U367="YES",IF(T367="YES",MIN(IF(TMK[Load Capability Reference]=CONCATENATE(P367,Q367,S367,R367),TMK[Lowest A-PTX])),MIN(IF(TMK[Load Capability Reference]=CONCATENATE(P367,Q367,S367,R367),IF(TMK[Equipment ID]&lt;&gt;O367,TMK[Lowest A-PTX])))),IF(T367="YES",MIN(IF(TMK[Load Capability Reference]=CONCATENATE(P367,Q367,S367,R367),TMK[Lowest A-No PTX])),MIN(IF(TMK[Load Capability Reference]=CONCATENATE(P367,Q367,S367,R367),IF(TMK[Equipment ID]&lt;&gt;O367,TMK[Lowest A-No PTX])))))</f>
        <v>285.06592799999999</v>
      </c>
      <c r="F367" s="119">
        <f>IFERROR(IFERROR(VLOOKUP(CONCATENATE(P367,Q367,O367,S367,"Protection"),TWZ[[OC Protection Reference]:[Forward A]],23,0),VLOOKUP(O367,AEL_Protection_Data[],12,0)),"N/A")</f>
        <v>480</v>
      </c>
      <c r="G367" s="119">
        <f t="shared" si="195"/>
        <v>225</v>
      </c>
      <c r="H367" s="29">
        <f t="shared" si="196"/>
        <v>4.2868257487329711</v>
      </c>
      <c r="I367" s="119">
        <f t="shared" si="197"/>
        <v>255</v>
      </c>
      <c r="J367" s="29">
        <f t="shared" si="198"/>
        <v>4.8584025152307007</v>
      </c>
      <c r="K367" s="6" t="str">
        <f>IF(U367="Yes",UPPER(IF(ISNUMBER(SEARCH("winding",VLOOKUP(CONCATENATE(P367,Q367,S367,E367),TMK[[Limiting Equipment Reference-PTX]:[Summ Equipment]],7,0))),"Power Transformer Rating at "&amp;ROUND(E367*S367*SQRT(3)/1000,2)&amp;" MVA",VLOOKUP(CONCATENATE(P367,Q367,S367,E367),TMK[[Limiting Equipment Reference-No PTX]:[Summ Equipment]],8,0))),UPPER(VLOOKUP(CONCATENATE(P367,Q367,S367,E367),TMK[[Limiting Equipment Reference-No PTX]:[Summ Equipment]],8,0)))</f>
        <v>CABLE-1-3C 300 MM² AL XLPE</v>
      </c>
      <c r="L367" s="146" t="s">
        <v>1266</v>
      </c>
      <c r="M367" s="146" t="s">
        <v>1162</v>
      </c>
      <c r="O367" s="168" t="str">
        <f t="shared" si="199"/>
        <v>CD2-T658</v>
      </c>
      <c r="P367" s="49" t="s">
        <v>1276</v>
      </c>
      <c r="Q367" s="49" t="s">
        <v>142</v>
      </c>
      <c r="R367" s="386"/>
      <c r="S367" s="43">
        <v>11</v>
      </c>
      <c r="T367" s="146" t="s">
        <v>1266</v>
      </c>
      <c r="U367" s="146" t="s">
        <v>1267</v>
      </c>
      <c r="V367" s="49"/>
    </row>
    <row r="368" spans="2:22" x14ac:dyDescent="0.25">
      <c r="B368" s="49" t="s">
        <v>660</v>
      </c>
      <c r="C368" s="168" t="s">
        <v>2689</v>
      </c>
      <c r="D368" s="119">
        <f t="shared" si="200"/>
        <v>11</v>
      </c>
      <c r="E368" s="370">
        <f t="array" ref="E368">IF(U368="YES",IF(T368="YES",MIN(IF(TMK[Load Capability Reference]=CONCATENATE(P368,Q368,S368,R368),TMK[Lowest A-PTX])),MIN(IF(TMK[Load Capability Reference]=CONCATENATE(P368,Q368,S368,R368),IF(TMK[Equipment ID]&lt;&gt;O368,TMK[Lowest A-PTX])))),IF(T368="YES",MIN(IF(TMK[Load Capability Reference]=CONCATENATE(P368,Q368,S368,R368),TMK[Lowest A-No PTX])),MIN(IF(TMK[Load Capability Reference]=CONCATENATE(P368,Q368,S368,R368),IF(TMK[Equipment ID]&lt;&gt;O368,TMK[Lowest A-No PTX])))))</f>
        <v>306.03713399999998</v>
      </c>
      <c r="F368" s="119">
        <f>IFERROR(IFERROR(VLOOKUP(CONCATENATE(P368,Q368,O368,S368,"Protection"),TWZ[[OC Protection Reference]:[Forward A]],23,0),VLOOKUP(O368,AEL_Protection_Data[],12,0)),"N/A")</f>
        <v>480</v>
      </c>
      <c r="G368" s="119">
        <f t="shared" si="195"/>
        <v>240</v>
      </c>
      <c r="H368" s="29">
        <f t="shared" si="196"/>
        <v>4.5726141319818359</v>
      </c>
      <c r="I368" s="119">
        <f t="shared" si="197"/>
        <v>275</v>
      </c>
      <c r="J368" s="29">
        <f t="shared" si="198"/>
        <v>5.2394536928958528</v>
      </c>
      <c r="K368" s="6" t="str">
        <f>IF(U368="Yes",UPPER(IF(ISNUMBER(SEARCH("winding",VLOOKUP(CONCATENATE(P368,Q368,S368,E368),TMK[[Limiting Equipment Reference-PTX]:[Summ Equipment]],7,0))),"Power Transformer Rating at "&amp;ROUND(E368*S368*SQRT(3)/1000,2)&amp;" MVA",VLOOKUP(CONCATENATE(P368,Q368,S368,E368),TMK[[Limiting Equipment Reference-No PTX]:[Summ Equipment]],8,0))),UPPER(VLOOKUP(CONCATENATE(P368,Q368,S368,E368),TMK[[Limiting Equipment Reference-No PTX]:[Summ Equipment]],8,0)))</f>
        <v>CABLE-1-3C 300 MM² AL XLPE</v>
      </c>
      <c r="L368" s="146" t="s">
        <v>1266</v>
      </c>
      <c r="M368" s="146" t="s">
        <v>1162</v>
      </c>
      <c r="O368" s="168" t="str">
        <f t="shared" si="199"/>
        <v>CD2-T659</v>
      </c>
      <c r="P368" s="49" t="s">
        <v>1276</v>
      </c>
      <c r="Q368" s="49" t="s">
        <v>145</v>
      </c>
      <c r="R368" s="386"/>
      <c r="S368" s="43">
        <v>11</v>
      </c>
      <c r="T368" s="146" t="s">
        <v>1266</v>
      </c>
      <c r="U368" s="146" t="s">
        <v>1266</v>
      </c>
      <c r="V368" s="49"/>
    </row>
    <row r="369" spans="2:22" x14ac:dyDescent="0.25">
      <c r="B369" s="49" t="s">
        <v>661</v>
      </c>
      <c r="C369" s="168" t="s">
        <v>2690</v>
      </c>
      <c r="D369" s="119">
        <f t="shared" si="200"/>
        <v>11</v>
      </c>
      <c r="E369" s="370">
        <f t="array" ref="E369">IF(U369="YES",IF(T369="YES",MIN(IF(TMK[Load Capability Reference]=CONCATENATE(P369,Q369,S369,R369),TMK[Lowest A-PTX])),MIN(IF(TMK[Load Capability Reference]=CONCATENATE(P369,Q369,S369,R369),IF(TMK[Equipment ID]&lt;&gt;O369,TMK[Lowest A-PTX])))),IF(T369="YES",MIN(IF(TMK[Load Capability Reference]=CONCATENATE(P369,Q369,S369,R369),TMK[Lowest A-No PTX])),MIN(IF(TMK[Load Capability Reference]=CONCATENATE(P369,Q369,S369,R369),IF(TMK[Equipment ID]&lt;&gt;O369,TMK[Lowest A-No PTX])))))</f>
        <v>285.06592799999999</v>
      </c>
      <c r="F369" s="119">
        <f>IFERROR(IFERROR(VLOOKUP(CONCATENATE(P369,Q369,O369,S369,"Protection"),TWZ[[OC Protection Reference]:[Forward A]],23,0),VLOOKUP(O369,AEL_Protection_Data[],12,0)),"N/A")</f>
        <v>480</v>
      </c>
      <c r="G369" s="119">
        <f t="shared" si="195"/>
        <v>225</v>
      </c>
      <c r="H369" s="29">
        <f t="shared" si="196"/>
        <v>4.2868257487329711</v>
      </c>
      <c r="I369" s="119">
        <f t="shared" si="197"/>
        <v>255</v>
      </c>
      <c r="J369" s="29">
        <f t="shared" si="198"/>
        <v>4.8584025152307007</v>
      </c>
      <c r="K369" s="6" t="str">
        <f>IF(U369="Yes",UPPER(IF(ISNUMBER(SEARCH("winding",VLOOKUP(CONCATENATE(P369,Q369,S369,E369),TMK[[Limiting Equipment Reference-PTX]:[Summ Equipment]],7,0))),"Power Transformer Rating at "&amp;ROUND(E369*S369*SQRT(3)/1000,2)&amp;" MVA",VLOOKUP(CONCATENATE(P369,Q369,S369,E369),TMK[[Limiting Equipment Reference-No PTX]:[Summ Equipment]],8,0))),UPPER(VLOOKUP(CONCATENATE(P369,Q369,S369,E369),TMK[[Limiting Equipment Reference-No PTX]:[Summ Equipment]],8,0)))</f>
        <v>CABLE-1-3C 300 MM² AL XLPE</v>
      </c>
      <c r="L369" s="146" t="s">
        <v>1266</v>
      </c>
      <c r="M369" s="146" t="s">
        <v>1162</v>
      </c>
      <c r="O369" s="168" t="str">
        <f t="shared" si="199"/>
        <v>CD2-T660</v>
      </c>
      <c r="P369" s="49" t="s">
        <v>1276</v>
      </c>
      <c r="Q369" s="49" t="s">
        <v>148</v>
      </c>
      <c r="R369" s="386"/>
      <c r="S369" s="43">
        <v>11</v>
      </c>
      <c r="T369" s="146" t="s">
        <v>1266</v>
      </c>
      <c r="U369" s="146" t="s">
        <v>1266</v>
      </c>
      <c r="V369" s="49"/>
    </row>
    <row r="370" spans="2:22" x14ac:dyDescent="0.25">
      <c r="B370" s="49" t="s">
        <v>662</v>
      </c>
      <c r="C370" s="168" t="s">
        <v>2691</v>
      </c>
      <c r="D370" s="119">
        <f t="shared" si="200"/>
        <v>11</v>
      </c>
      <c r="E370" s="370">
        <f t="array" ref="E370">IF(U370="YES",IF(T370="YES",MIN(IF(TMK[Load Capability Reference]=CONCATENATE(P370,Q370,S370,R370),TMK[Lowest A-PTX])),MIN(IF(TMK[Load Capability Reference]=CONCATENATE(P370,Q370,S370,R370),IF(TMK[Equipment ID]&lt;&gt;O370,TMK[Lowest A-PTX])))),IF(T370="YES",MIN(IF(TMK[Load Capability Reference]=CONCATENATE(P370,Q370,S370,R370),TMK[Lowest A-No PTX])),MIN(IF(TMK[Load Capability Reference]=CONCATENATE(P370,Q370,S370,R370),IF(TMK[Equipment ID]&lt;&gt;O370,TMK[Lowest A-No PTX])))))</f>
        <v>285.06592799999999</v>
      </c>
      <c r="F370" s="119">
        <f>IFERROR(IFERROR(VLOOKUP(CONCATENATE(P370,Q370,O370,S370,"Protection"),TWZ[[OC Protection Reference]:[Forward A]],23,0),VLOOKUP(O370,AEL_Protection_Data[],12,0)),"N/A")</f>
        <v>480</v>
      </c>
      <c r="G370" s="119">
        <f t="shared" si="195"/>
        <v>225</v>
      </c>
      <c r="H370" s="29">
        <f t="shared" si="196"/>
        <v>4.2868257487329711</v>
      </c>
      <c r="I370" s="119">
        <f t="shared" si="197"/>
        <v>255</v>
      </c>
      <c r="J370" s="29">
        <f t="shared" si="198"/>
        <v>4.8584025152307007</v>
      </c>
      <c r="K370" s="6" t="str">
        <f>IF(U370="Yes",UPPER(IF(ISNUMBER(SEARCH("winding",VLOOKUP(CONCATENATE(P370,Q370,S370,E370),TMK[[Limiting Equipment Reference-PTX]:[Summ Equipment]],7,0))),"Power Transformer Rating at "&amp;ROUND(E370*S370*SQRT(3)/1000,2)&amp;" MVA",VLOOKUP(CONCATENATE(P370,Q370,S370,E370),TMK[[Limiting Equipment Reference-No PTX]:[Summ Equipment]],8,0))),UPPER(VLOOKUP(CONCATENATE(P370,Q370,S370,E370),TMK[[Limiting Equipment Reference-No PTX]:[Summ Equipment]],8,0)))</f>
        <v>CABLE-1-3C 300 MM² AL XLPE</v>
      </c>
      <c r="L370" s="146" t="s">
        <v>1266</v>
      </c>
      <c r="M370" s="146" t="s">
        <v>1162</v>
      </c>
      <c r="O370" s="168" t="str">
        <f t="shared" si="199"/>
        <v>CD2-T661</v>
      </c>
      <c r="P370" s="49" t="s">
        <v>1276</v>
      </c>
      <c r="Q370" s="49" t="s">
        <v>150</v>
      </c>
      <c r="R370" s="386"/>
      <c r="S370" s="43">
        <v>11</v>
      </c>
      <c r="T370" s="146" t="s">
        <v>1266</v>
      </c>
      <c r="U370" s="146" t="s">
        <v>1266</v>
      </c>
      <c r="V370" s="49"/>
    </row>
    <row r="371" spans="2:22" x14ac:dyDescent="0.25">
      <c r="B371" s="49" t="s">
        <v>507</v>
      </c>
      <c r="C371" s="168" t="s">
        <v>2692</v>
      </c>
      <c r="D371" s="119">
        <f t="shared" si="200"/>
        <v>11</v>
      </c>
      <c r="E371" s="370">
        <f t="array" ref="E371">IF(U371="YES",IF(T371="YES",MIN(IF(TMK[Load Capability Reference]=CONCATENATE(P371,Q371,S371,R371),TMK[Lowest A-PTX])),MIN(IF(TMK[Load Capability Reference]=CONCATENATE(P371,Q371,S371,R371),IF(TMK[Equipment ID]&lt;&gt;O371,TMK[Lowest A-PTX])))),IF(T371="YES",MIN(IF(TMK[Load Capability Reference]=CONCATENATE(P371,Q371,S371,R371),TMK[Lowest A-No PTX])),MIN(IF(TMK[Load Capability Reference]=CONCATENATE(P371,Q371,S371,R371),IF(TMK[Equipment ID]&lt;&gt;O371,TMK[Lowest A-No PTX])))))</f>
        <v>630</v>
      </c>
      <c r="F371" s="119">
        <f>IFERROR(IFERROR(VLOOKUP(CONCATENATE(P371,Q371,O371,S371,"Protection"),TWZ[[OC Protection Reference]:[Forward A]],23,0),VLOOKUP(O371,AEL_Protection_Data[],12,0)),"N/A")</f>
        <v>600</v>
      </c>
      <c r="G371" s="119">
        <f t="shared" si="195"/>
        <v>480</v>
      </c>
      <c r="H371" s="29">
        <f t="shared" si="196"/>
        <v>9.1452282639636717</v>
      </c>
      <c r="I371" s="119">
        <f t="shared" si="197"/>
        <v>540</v>
      </c>
      <c r="J371" s="29">
        <f t="shared" si="198"/>
        <v>10.288381796959131</v>
      </c>
      <c r="K371" s="6" t="str">
        <f>IF(U371="Yes",UPPER(IF(ISNUMBER(SEARCH("winding",VLOOKUP(CONCATENATE(P371,Q371,S371,E371),TMK[[Limiting Equipment Reference-PTX]:[Summ Equipment]],7,0))),"Power Transformer Rating at "&amp;ROUND(E371*S371*SQRT(3)/1000,2)&amp;" MVA",VLOOKUP(CONCATENATE(P371,Q371,S371,E371),TMK[[Limiting Equipment Reference-No PTX]:[Summ Equipment]],8,0))),UPPER(VLOOKUP(CONCATENATE(P371,Q371,S371,E371),TMK[[Limiting Equipment Reference-No PTX]:[Summ Equipment]],8,0)))</f>
        <v>RMU SWITCH-T708</v>
      </c>
      <c r="L371" s="146" t="s">
        <v>1266</v>
      </c>
      <c r="M371" s="146" t="s">
        <v>1162</v>
      </c>
      <c r="O371" s="168" t="str">
        <f t="shared" si="199"/>
        <v>CD2-CB2</v>
      </c>
      <c r="P371" s="49" t="s">
        <v>1276</v>
      </c>
      <c r="Q371" s="49" t="s">
        <v>1446</v>
      </c>
      <c r="R371" s="386"/>
      <c r="S371" s="43">
        <v>11</v>
      </c>
      <c r="T371" s="146" t="s">
        <v>1266</v>
      </c>
      <c r="U371" s="146" t="s">
        <v>1266</v>
      </c>
      <c r="V371" s="49"/>
    </row>
    <row r="372" spans="2:22" ht="15.75" thickBot="1" x14ac:dyDescent="0.3">
      <c r="B372" s="374" t="s">
        <v>1596</v>
      </c>
      <c r="C372" s="375" t="s">
        <v>2693</v>
      </c>
      <c r="D372" s="377">
        <f t="shared" si="200"/>
        <v>11</v>
      </c>
      <c r="E372" s="384">
        <f t="array" ref="E372">IF(U372="YES",IF(T372="YES",MIN(IF(TMK[Load Capability Reference]=CONCATENATE(P372,Q372,S372,R372),TMK[Lowest A-PTX])),MIN(IF(TMK[Load Capability Reference]=CONCATENATE(P372,Q372,S372,R372),IF(TMK[Equipment ID]&lt;&gt;O372,TMK[Lowest A-PTX])))),IF(T372="YES",MIN(IF(TMK[Load Capability Reference]=CONCATENATE(P372,Q372,S372,R372),TMK[Lowest A-No PTX])),MIN(IF(TMK[Load Capability Reference]=CONCATENATE(P372,Q372,S372,R372),IF(TMK[Equipment ID]&lt;&gt;O372,TMK[Lowest A-No PTX])))))</f>
        <v>630</v>
      </c>
      <c r="F372" s="377">
        <f>IFERROR(IFERROR(VLOOKUP(CONCATENATE(P372,Q372,O372,S372,"Protection"),TWZ[[OC Protection Reference]:[Forward A]],23,0),VLOOKUP(O372,AEL_Protection_Data[],12,0)),"N/A")</f>
        <v>600</v>
      </c>
      <c r="G372" s="377">
        <f t="shared" si="195"/>
        <v>480</v>
      </c>
      <c r="H372" s="185">
        <f t="shared" si="196"/>
        <v>9.1452282639636717</v>
      </c>
      <c r="I372" s="377">
        <f t="shared" si="197"/>
        <v>540</v>
      </c>
      <c r="J372" s="185">
        <f t="shared" si="198"/>
        <v>10.288381796959131</v>
      </c>
      <c r="K372" s="191" t="str">
        <f>IF(U372="Yes",UPPER(IF(ISNUMBER(SEARCH("winding",VLOOKUP(CONCATENATE(P372,Q372,S372,E372),TMK[[Limiting Equipment Reference-PTX]:[Summ Equipment]],7,0))),"Power Transformer Rating at "&amp;ROUND(E372*S372*SQRT(3)/1000,2)&amp;" MVA",VLOOKUP(CONCATENATE(P372,Q372,S372,E372),TMK[[Limiting Equipment Reference-No PTX]:[Summ Equipment]],8,0))),UPPER(VLOOKUP(CONCATENATE(P372,Q372,S372,E372),TMK[[Limiting Equipment Reference-No PTX]:[Summ Equipment]],8,0)))</f>
        <v>RMU SWITCH-T737</v>
      </c>
      <c r="L372" s="379" t="s">
        <v>1266</v>
      </c>
      <c r="M372" s="379" t="s">
        <v>1162</v>
      </c>
      <c r="O372" s="375" t="str">
        <f t="shared" si="199"/>
        <v>CD2-CB15</v>
      </c>
      <c r="P372" s="374" t="s">
        <v>1276</v>
      </c>
      <c r="Q372" s="374" t="s">
        <v>1447</v>
      </c>
      <c r="R372" s="387"/>
      <c r="S372" s="175">
        <v>11</v>
      </c>
      <c r="T372" s="379" t="s">
        <v>1266</v>
      </c>
      <c r="U372" s="379" t="s">
        <v>1266</v>
      </c>
      <c r="V372" s="374"/>
    </row>
    <row r="373" spans="2:22" ht="15.75" thickBot="1" x14ac:dyDescent="0.3"/>
    <row r="374" spans="2:22" ht="26.25" thickBot="1" x14ac:dyDescent="0.3">
      <c r="B374" s="551" t="s">
        <v>2697</v>
      </c>
      <c r="C374" s="552"/>
      <c r="D374" s="552"/>
      <c r="E374" s="552"/>
      <c r="F374" s="552"/>
      <c r="G374" s="552"/>
      <c r="H374" s="552"/>
      <c r="I374" s="552"/>
      <c r="J374" s="552"/>
      <c r="K374" s="552"/>
      <c r="L374" s="552"/>
      <c r="M374" s="553"/>
      <c r="O374" s="551" t="s">
        <v>2391</v>
      </c>
      <c r="P374" s="552"/>
      <c r="Q374" s="552"/>
      <c r="R374" s="552"/>
      <c r="S374" s="552"/>
      <c r="T374" s="552"/>
      <c r="U374" s="552"/>
      <c r="V374" s="553"/>
    </row>
    <row r="375" spans="2:22" ht="15.75" customHeight="1" thickBot="1" x14ac:dyDescent="0.3">
      <c r="B375" s="571" t="str">
        <f t="shared" ref="B375:G375" si="201">B6</f>
        <v>CB ID</v>
      </c>
      <c r="C375" s="545" t="str">
        <f t="shared" si="201"/>
        <v>DESIGNATION</v>
      </c>
      <c r="D375" s="382" t="str">
        <f t="shared" si="201"/>
        <v>Rated</v>
      </c>
      <c r="E375" s="572" t="str">
        <f t="shared" si="201"/>
        <v>LOAD
CAPABILITY</v>
      </c>
      <c r="F375" s="572" t="str">
        <f t="shared" si="201"/>
        <v>OC
PICKUP</v>
      </c>
      <c r="G375" s="559" t="str">
        <f t="shared" si="201"/>
        <v>SCADA ALARM</v>
      </c>
      <c r="H375" s="560"/>
      <c r="I375" s="560"/>
      <c r="J375" s="561"/>
      <c r="K375" s="574" t="str">
        <f>K6</f>
        <v>LIMITING EQUIPMENT</v>
      </c>
      <c r="L375" s="575" t="str">
        <f>L6</f>
        <v>RECLOSING</v>
      </c>
      <c r="M375" s="576"/>
      <c r="O375" s="566" t="str">
        <f t="shared" ref="O375:V375" si="202">O6</f>
        <v>OC Pick up
Reference ID</v>
      </c>
      <c r="P375" s="557" t="str">
        <f t="shared" si="202"/>
        <v>Supply Level</v>
      </c>
      <c r="Q375" s="566" t="str">
        <f t="shared" si="202"/>
        <v>Station/Feeder</v>
      </c>
      <c r="R375" s="567" t="str">
        <f t="shared" si="202"/>
        <v>Refered to PTX</v>
      </c>
      <c r="S375" s="569" t="str">
        <f t="shared" si="202"/>
        <v>Voltage</v>
      </c>
      <c r="T375" s="539" t="str">
        <f t="shared" si="202"/>
        <v>Include
CB</v>
      </c>
      <c r="U375" s="539" t="str">
        <f t="shared" si="202"/>
        <v>Include
PTX</v>
      </c>
      <c r="V375" s="557" t="str">
        <f t="shared" si="202"/>
        <v>Notes</v>
      </c>
    </row>
    <row r="376" spans="2:22" ht="15.75" thickBot="1" x14ac:dyDescent="0.3">
      <c r="B376" s="557"/>
      <c r="C376" s="540"/>
      <c r="D376" s="362" t="str">
        <f>D7</f>
        <v>Voltage</v>
      </c>
      <c r="E376" s="573"/>
      <c r="F376" s="573"/>
      <c r="G376" s="544" t="str">
        <f>G7</f>
        <v>Pre-Emergency</v>
      </c>
      <c r="H376" s="544"/>
      <c r="I376" s="544" t="str">
        <f>I7</f>
        <v>Emergency</v>
      </c>
      <c r="J376" s="544"/>
      <c r="K376" s="540"/>
      <c r="L376" s="545" t="str">
        <f>L7</f>
        <v>AVAILABLE</v>
      </c>
      <c r="M376" s="545" t="str">
        <f>M7</f>
        <v>UTILISED</v>
      </c>
      <c r="O376" s="557"/>
      <c r="P376" s="557"/>
      <c r="Q376" s="557"/>
      <c r="R376" s="567"/>
      <c r="S376" s="569"/>
      <c r="T376" s="540"/>
      <c r="U376" s="540"/>
      <c r="V376" s="557"/>
    </row>
    <row r="377" spans="2:22" ht="15.75" thickBot="1" x14ac:dyDescent="0.3">
      <c r="B377" s="558"/>
      <c r="C377" s="541"/>
      <c r="D377" s="345" t="str">
        <f>D8</f>
        <v>(kV)</v>
      </c>
      <c r="E377" s="345" t="str">
        <f>E8</f>
        <v>(A)</v>
      </c>
      <c r="F377" s="345" t="str">
        <f>F8</f>
        <v>(A)</v>
      </c>
      <c r="G377" s="406" t="str">
        <f>G8</f>
        <v>(A)</v>
      </c>
      <c r="H377" s="407" t="str">
        <f>H8</f>
        <v>(MVA)</v>
      </c>
      <c r="I377" s="406" t="str">
        <f>I8</f>
        <v>(A)</v>
      </c>
      <c r="J377" s="407" t="str">
        <f>J8</f>
        <v>(MVA)</v>
      </c>
      <c r="K377" s="541"/>
      <c r="L377" s="541"/>
      <c r="M377" s="541"/>
      <c r="O377" s="558"/>
      <c r="P377" s="558"/>
      <c r="Q377" s="558"/>
      <c r="R377" s="568"/>
      <c r="S377" s="570"/>
      <c r="T377" s="541"/>
      <c r="U377" s="541"/>
      <c r="V377" s="558"/>
    </row>
    <row r="378" spans="2:22" x14ac:dyDescent="0.25">
      <c r="B378" s="38" t="s">
        <v>5</v>
      </c>
      <c r="C378" s="3" t="s">
        <v>2700</v>
      </c>
      <c r="D378" s="61">
        <f t="shared" ref="D378:D380" si="203">ROUNDDOWN(S378,0)</f>
        <v>33</v>
      </c>
      <c r="E378" s="369">
        <f t="array" ref="E378">IF(U378="YES",IF(T378="YES",MIN(IF(TWZ[Load Capability Reference]=CONCATENATE(P378,Q378,S378,R378),TWZ[Lowest A-PTX])),MIN(IF(TWZ[Load Capability Reference]=CONCATENATE(P378,Q378,S378,R378),IF(TWZ[Equipment ID]&lt;&gt;O378,TWZ[Lowest A-PTX])))),IF(T378="YES",MIN(IF(TWZ[Load Capability Reference]=CONCATENATE(P378,Q378,S378,R378),TWZ[Lowest A-No PTX])),MIN(IF(TWZ[Load Capability Reference]=CONCATENATE(P378,Q378,S378,R378),IF(TWZ[Equipment ID]&lt;&gt;O378,TWZ[Lowest A-No PTX])))))</f>
        <v>350</v>
      </c>
      <c r="F378" s="61">
        <f>IFERROR(IFERROR(VLOOKUP(CONCATENATE(P378,Q378,O378,S378,"Protection"),TWZ[[OC Protection Reference]:[Forward A]],23,0),VLOOKUP(O378,AEL_Protection_Data[],12,0)),"N/A")</f>
        <v>252</v>
      </c>
      <c r="G378" s="61">
        <f t="shared" ref="G378:G387" si="204">IFERROR(FLOOR(MIN(E378:F378)*$D$3,5),"")</f>
        <v>200</v>
      </c>
      <c r="H378" s="5">
        <f t="shared" ref="H378:H387" si="205">G378*S378*SQRT(3)/1000</f>
        <v>11.43153532995459</v>
      </c>
      <c r="I378" s="61">
        <f t="shared" ref="I378:I383" si="206">IFERROR(FLOOR(MIN(E378:F378)*$D$2,5),"")</f>
        <v>225</v>
      </c>
      <c r="J378" s="5">
        <f t="shared" ref="J378:J383" si="207">I378*S378*SQRT(3)/1000</f>
        <v>12.860477246198913</v>
      </c>
      <c r="K378" s="3" t="str">
        <f>IF(U378="Yes",UPPER(IF(ISNUMBER(SEARCH("winding",VLOOKUP(CONCATENATE(P378,Q378,S378,E378),TWZ[[Limiting Equipment Reference-PTX]:[Summ Equipment]],7,0))),"Power Transformer Rating at "&amp;ROUND(E378*S378*SQRT(3)/1000,2)&amp;" MVA",VLOOKUP(CONCATENATE(P378,Q378,S378,E378),TWZ[[Limiting Equipment Reference-No PTX]:[Summ Equipment]],8,0))),UPPER(VLOOKUP(CONCATENATE(P378,Q378,S378,E378),TWZ[[Limiting Equipment Reference-No PTX]:[Summ Equipment]],8,0)))</f>
        <v>TRANSFORMER-T18-TRANSFORMER</v>
      </c>
      <c r="L378" s="4" t="s">
        <v>1266</v>
      </c>
      <c r="M378" s="4" t="s">
        <v>1162</v>
      </c>
      <c r="N378" s="398"/>
      <c r="O378" s="3" t="str">
        <f>"TWZ-"&amp;B378</f>
        <v>TWZ-CB6312</v>
      </c>
      <c r="P378" s="38" t="s">
        <v>4</v>
      </c>
      <c r="Q378" s="38" t="s">
        <v>78</v>
      </c>
      <c r="R378" s="389"/>
      <c r="S378" s="139">
        <v>33</v>
      </c>
      <c r="T378" s="4" t="s">
        <v>1266</v>
      </c>
      <c r="U378" s="4" t="s">
        <v>1266</v>
      </c>
      <c r="V378" s="38"/>
    </row>
    <row r="379" spans="2:22" x14ac:dyDescent="0.25">
      <c r="B379" s="49" t="s">
        <v>241</v>
      </c>
      <c r="C379" s="168" t="s">
        <v>2701</v>
      </c>
      <c r="D379" s="119">
        <f t="shared" si="203"/>
        <v>33</v>
      </c>
      <c r="E379" s="370">
        <f t="array" ref="E379">IF(U379="YES",IF(T379="YES",MIN(IF(TWZ[Load Capability Reference]=CONCATENATE(P379,Q379,S379,R379),TWZ[Lowest A-PTX])),MIN(IF(TWZ[Load Capability Reference]=CONCATENATE(P379,Q379,S379,R379),IF(TWZ[Equipment ID]&lt;&gt;O379,TWZ[Lowest A-PTX])))),IF(T379="YES",MIN(IF(TWZ[Load Capability Reference]=CONCATENATE(P379,Q379,S379,R379),TWZ[Lowest A-No PTX])),MIN(IF(TWZ[Load Capability Reference]=CONCATENATE(P379,Q379,S379,R379),IF(TWZ[Equipment ID]&lt;&gt;O379,TWZ[Lowest A-No PTX])))))</f>
        <v>296</v>
      </c>
      <c r="F379" s="119">
        <f>IFERROR(IFERROR(VLOOKUP(CONCATENATE(P379,Q379,O379,S379,"Protection"),TWZ[[OC Protection Reference]:[Forward A]],23,0),VLOOKUP(O379,AEL_Protection_Data[],12,0)),"N/A")</f>
        <v>150</v>
      </c>
      <c r="G379" s="119">
        <f t="shared" si="204"/>
        <v>120</v>
      </c>
      <c r="H379" s="29">
        <f t="shared" si="205"/>
        <v>6.8589211979727533</v>
      </c>
      <c r="I379" s="119">
        <f t="shared" si="206"/>
        <v>135</v>
      </c>
      <c r="J379" s="29">
        <f t="shared" si="207"/>
        <v>7.7162863477193477</v>
      </c>
      <c r="K379" s="6" t="str">
        <f>IF(U379="Yes",UPPER(IF(ISNUMBER(SEARCH("winding",VLOOKUP(CONCATENATE(P379,Q379,S379,E379),TWZ[[Limiting Equipment Reference-PTX]:[Summ Equipment]],7,0))),"Power Transformer Rating at "&amp;ROUND(E379*S379*SQRT(3)/1000,2)&amp;" MVA",VLOOKUP(CONCATENATE(P379,Q379,S379,E379),TWZ[[Limiting Equipment Reference-No PTX]:[Summ Equipment]],8,0))),UPPER(VLOOKUP(CONCATENATE(P379,Q379,S379,E379),TWZ[[Limiting Equipment Reference-No PTX]:[Summ Equipment]],8,0)))</f>
        <v>OH LINE-WAXWING</v>
      </c>
      <c r="L379" s="146" t="s">
        <v>1266</v>
      </c>
      <c r="M379" s="146" t="s">
        <v>1162</v>
      </c>
      <c r="N379" s="399"/>
      <c r="O379" s="168" t="str">
        <f t="shared" ref="O379:O387" si="208">"TVS-"&amp;B379</f>
        <v>TVS-Z68</v>
      </c>
      <c r="P379" s="49" t="s">
        <v>1245</v>
      </c>
      <c r="Q379" s="49" t="s">
        <v>78</v>
      </c>
      <c r="R379" s="386"/>
      <c r="S379" s="43">
        <v>33</v>
      </c>
      <c r="T379" s="146" t="s">
        <v>1266</v>
      </c>
      <c r="U379" s="146" t="s">
        <v>1266</v>
      </c>
      <c r="V379" s="49"/>
    </row>
    <row r="380" spans="2:22" x14ac:dyDescent="0.25">
      <c r="B380" s="49" t="s">
        <v>268</v>
      </c>
      <c r="C380" s="168" t="s">
        <v>2702</v>
      </c>
      <c r="D380" s="119">
        <f t="shared" si="203"/>
        <v>11</v>
      </c>
      <c r="E380" s="370">
        <f t="array" ref="E380">IF(U380="YES",IF(T380="YES",MIN(IF(TWZ[Load Capability Reference]=CONCATENATE(P380,Q380,S380,R380),TWZ[Lowest A-PTX])),MIN(IF(TWZ[Load Capability Reference]=CONCATENATE(P380,Q380,S380,R380),IF(TWZ[Equipment ID]&lt;&gt;O380,TWZ[Lowest A-PTX])))),IF(T380="YES",MIN(IF(TWZ[Load Capability Reference]=CONCATENATE(P380,Q380,S380,R380),TWZ[Lowest A-No PTX])),MIN(IF(TWZ[Load Capability Reference]=CONCATENATE(P380,Q380,S380,R380),IF(TWZ[Equipment ID]&lt;&gt;O380,TWZ[Lowest A-No PTX])))))</f>
        <v>189</v>
      </c>
      <c r="F380" s="119">
        <f>IFERROR(IFERROR(VLOOKUP(CONCATENATE(P380,Q380,O380,S380,"Protection"),TWZ[[OC Protection Reference]:[Forward A]],23,0),VLOOKUP(O380,AEL_Protection_Data[],12,0)),"N/A")</f>
        <v>152</v>
      </c>
      <c r="G380" s="119">
        <f t="shared" si="204"/>
        <v>120</v>
      </c>
      <c r="H380" s="29">
        <f t="shared" si="205"/>
        <v>2.2863070659909179</v>
      </c>
      <c r="I380" s="119">
        <f t="shared" si="206"/>
        <v>135</v>
      </c>
      <c r="J380" s="29">
        <f t="shared" si="207"/>
        <v>2.5720954492397827</v>
      </c>
      <c r="K380" s="6" t="str">
        <f>IF(U380="Yes",UPPER(IF(ISNUMBER(SEARCH("winding",VLOOKUP(CONCATENATE(P380,Q380,S380,E380),TWZ[[Limiting Equipment Reference-PTX]:[Summ Equipment]],7,0))),"Power Transformer Rating at "&amp;ROUND(E380*S380*SQRT(3)/1000,2)&amp;" MVA",VLOOKUP(CONCATENATE(P380,Q380,S380,E380),TWZ[[Limiting Equipment Reference-No PTX]:[Summ Equipment]],8,0))),UPPER(VLOOKUP(CONCATENATE(P380,Q380,S380,E380),TWZ[[Limiting Equipment Reference-No PTX]:[Summ Equipment]],8,0)))</f>
        <v>OH LINE - MINK</v>
      </c>
      <c r="L380" s="146" t="s">
        <v>1266</v>
      </c>
      <c r="M380" s="146" t="s">
        <v>1162</v>
      </c>
      <c r="O380" s="168" t="str">
        <f t="shared" si="208"/>
        <v>TVS-Z1</v>
      </c>
      <c r="P380" s="49" t="s">
        <v>1276</v>
      </c>
      <c r="Q380" s="49" t="s">
        <v>102</v>
      </c>
      <c r="R380" s="386"/>
      <c r="S380" s="43">
        <v>11</v>
      </c>
      <c r="T380" s="146" t="s">
        <v>1266</v>
      </c>
      <c r="U380" s="146" t="s">
        <v>1266</v>
      </c>
      <c r="V380" s="49"/>
    </row>
    <row r="381" spans="2:22" x14ac:dyDescent="0.25">
      <c r="B381" s="49" t="s">
        <v>280</v>
      </c>
      <c r="C381" s="168" t="s">
        <v>2703</v>
      </c>
      <c r="D381" s="119">
        <f>ROUNDDOWN(S381,0)</f>
        <v>11</v>
      </c>
      <c r="E381" s="370">
        <f t="array" ref="E381">IF(U381="YES",IF(T381="YES",MIN(IF(TWZ[Load Capability Reference]=CONCATENATE(P381,Q381,S381,R381),TWZ[Lowest A-PTX])),MIN(IF(TWZ[Load Capability Reference]=CONCATENATE(P381,Q381,S381,R381),IF(TWZ[Equipment ID]&lt;&gt;O381,TWZ[Lowest A-PTX])))),IF(T381="YES",MIN(IF(TWZ[Load Capability Reference]=CONCATENATE(P381,Q381,S381,R381),TWZ[Lowest A-No PTX])),MIN(IF(TWZ[Load Capability Reference]=CONCATENATE(P381,Q381,S381,R381),IF(TWZ[Equipment ID]&lt;&gt;O381,TWZ[Lowest A-No PTX])))))</f>
        <v>189</v>
      </c>
      <c r="F381" s="119">
        <f>IFERROR(IFERROR(VLOOKUP(CONCATENATE(P381,Q381,O381,S381,"Protection"),TWZ[[OC Protection Reference]:[Forward A]],23,0),VLOOKUP(O381,AEL_Protection_Data[],12,0)),"N/A")</f>
        <v>152</v>
      </c>
      <c r="G381" s="119">
        <f t="shared" si="204"/>
        <v>120</v>
      </c>
      <c r="H381" s="29">
        <f t="shared" si="205"/>
        <v>2.2863070659909179</v>
      </c>
      <c r="I381" s="119">
        <f t="shared" si="206"/>
        <v>135</v>
      </c>
      <c r="J381" s="29">
        <f t="shared" si="207"/>
        <v>2.5720954492397827</v>
      </c>
      <c r="K381" s="6" t="str">
        <f>IF(U381="Yes",UPPER(IF(ISNUMBER(SEARCH("winding",VLOOKUP(CONCATENATE(P381,Q381,S381,E381),TWZ[[Limiting Equipment Reference-PTX]:[Summ Equipment]],7,0))),"Power Transformer Rating at "&amp;ROUND(E381*S381*SQRT(3)/1000,2)&amp;" MVA",VLOOKUP(CONCATENATE(P381,Q381,S381,E381),TWZ[[Limiting Equipment Reference-No PTX]:[Summ Equipment]],8,0))),UPPER(VLOOKUP(CONCATENATE(P381,Q381,S381,E381),TWZ[[Limiting Equipment Reference-No PTX]:[Summ Equipment]],8,0)))</f>
        <v>OH LINE-MINK</v>
      </c>
      <c r="L381" s="146" t="s">
        <v>1266</v>
      </c>
      <c r="M381" s="146" t="s">
        <v>1162</v>
      </c>
      <c r="O381" s="168" t="str">
        <f t="shared" si="208"/>
        <v>TVS-Z2</v>
      </c>
      <c r="P381" s="49" t="s">
        <v>1276</v>
      </c>
      <c r="Q381" s="49" t="s">
        <v>114</v>
      </c>
      <c r="R381" s="386"/>
      <c r="S381" s="43">
        <v>11</v>
      </c>
      <c r="T381" s="146" t="s">
        <v>1266</v>
      </c>
      <c r="U381" s="146" t="s">
        <v>1266</v>
      </c>
      <c r="V381" s="49"/>
    </row>
    <row r="382" spans="2:22" x14ac:dyDescent="0.25">
      <c r="B382" s="49" t="s">
        <v>284</v>
      </c>
      <c r="C382" s="168" t="s">
        <v>2704</v>
      </c>
      <c r="D382" s="119">
        <f t="shared" ref="D382:D387" si="209">ROUNDDOWN(S382,0)</f>
        <v>11</v>
      </c>
      <c r="E382" s="370">
        <f t="array" ref="E382">IF(U382="YES",IF(T382="YES",MIN(IF(TWZ[Load Capability Reference]=CONCATENATE(P382,Q382,S382,R382),TWZ[Lowest A-PTX])),MIN(IF(TWZ[Load Capability Reference]=CONCATENATE(P382,Q382,S382,R382),IF(TWZ[Equipment ID]&lt;&gt;O382,TWZ[Lowest A-PTX])))),IF(T382="YES",MIN(IF(TWZ[Load Capability Reference]=CONCATENATE(P382,Q382,S382,R382),TWZ[Lowest A-No PTX])),MIN(IF(TWZ[Load Capability Reference]=CONCATENATE(P382,Q382,S382,R382),IF(TWZ[Equipment ID]&lt;&gt;O382,TWZ[Lowest A-No PTX])))))</f>
        <v>85.387499999999974</v>
      </c>
      <c r="F382" s="119">
        <f>IFERROR(IFERROR(VLOOKUP(CONCATENATE(P382,Q382,O382,S382,"Protection"),TWZ[[OC Protection Reference]:[Forward A]],23,0),VLOOKUP(O382,AEL_Protection_Data[],12,0)),"N/A")</f>
        <v>150</v>
      </c>
      <c r="G382" s="119">
        <f t="shared" si="204"/>
        <v>65</v>
      </c>
      <c r="H382" s="29">
        <f t="shared" si="205"/>
        <v>1.2384163274117472</v>
      </c>
      <c r="I382" s="119">
        <f t="shared" si="206"/>
        <v>75</v>
      </c>
      <c r="J382" s="29">
        <f t="shared" si="207"/>
        <v>1.4289419162443238</v>
      </c>
      <c r="K382" s="6" t="str">
        <f>IF(U382="Yes",UPPER(IF(ISNUMBER(SEARCH("winding",VLOOKUP(CONCATENATE(P382,Q382,S382,E382),TWZ[[Limiting Equipment Reference-PTX]:[Summ Equipment]],7,0))),"Power Transformer Rating at "&amp;ROUND(E382*S382*SQRT(3)/1000,2)&amp;" MVA",VLOOKUP(CONCATENATE(P382,Q382,S382,E382),TWZ[[Limiting Equipment Reference-No PTX]:[Summ Equipment]],8,0))),UPPER(VLOOKUP(CONCATENATE(P382,Q382,S382,E382),TWZ[[Limiting Equipment Reference-No PTX]:[Summ Equipment]],8,0)))</f>
        <v>CABLE-1-3C 35 MM² AL PILC</v>
      </c>
      <c r="L382" s="146" t="s">
        <v>1266</v>
      </c>
      <c r="M382" s="146" t="s">
        <v>1162</v>
      </c>
      <c r="O382" s="168" t="str">
        <f t="shared" si="208"/>
        <v>TVS-Z3</v>
      </c>
      <c r="P382" s="49" t="s">
        <v>1276</v>
      </c>
      <c r="Q382" s="49" t="s">
        <v>125</v>
      </c>
      <c r="R382" s="386"/>
      <c r="S382" s="43">
        <v>11</v>
      </c>
      <c r="T382" s="146" t="s">
        <v>1266</v>
      </c>
      <c r="U382" s="146" t="s">
        <v>1266</v>
      </c>
      <c r="V382" s="49"/>
    </row>
    <row r="383" spans="2:22" x14ac:dyDescent="0.25">
      <c r="B383" s="49" t="s">
        <v>286</v>
      </c>
      <c r="C383" s="168" t="s">
        <v>2705</v>
      </c>
      <c r="D383" s="119">
        <f t="shared" si="209"/>
        <v>11</v>
      </c>
      <c r="E383" s="370">
        <f t="array" ref="E383">IF(U383="YES",IF(T383="YES",MIN(IF(TWZ[Load Capability Reference]=CONCATENATE(P383,Q383,S383,R383),TWZ[Lowest A-PTX])),MIN(IF(TWZ[Load Capability Reference]=CONCATENATE(P383,Q383,S383,R383),IF(TWZ[Equipment ID]&lt;&gt;O383,TWZ[Lowest A-PTX])))),IF(T383="YES",MIN(IF(TWZ[Load Capability Reference]=CONCATENATE(P383,Q383,S383,R383),TWZ[Lowest A-No PTX])),MIN(IF(TWZ[Load Capability Reference]=CONCATENATE(P383,Q383,S383,R383),IF(TWZ[Equipment ID]&lt;&gt;O383,TWZ[Lowest A-No PTX])))))</f>
        <v>189</v>
      </c>
      <c r="F383" s="119">
        <f>IFERROR(IFERROR(VLOOKUP(CONCATENATE(P383,Q383,O383,S383,"Protection"),TWZ[[OC Protection Reference]:[Forward A]],23,0),VLOOKUP(O383,AEL_Protection_Data[],12,0)),"N/A")</f>
        <v>152</v>
      </c>
      <c r="G383" s="119">
        <f t="shared" si="204"/>
        <v>120</v>
      </c>
      <c r="H383" s="29">
        <f t="shared" si="205"/>
        <v>2.2863070659909179</v>
      </c>
      <c r="I383" s="119">
        <f t="shared" si="206"/>
        <v>135</v>
      </c>
      <c r="J383" s="29">
        <f t="shared" si="207"/>
        <v>2.5720954492397827</v>
      </c>
      <c r="K383" s="6" t="str">
        <f>IF(U383="Yes",UPPER(IF(ISNUMBER(SEARCH("winding",VLOOKUP(CONCATENATE(P383,Q383,S383,E383),TWZ[[Limiting Equipment Reference-PTX]:[Summ Equipment]],7,0))),"Power Transformer Rating at "&amp;ROUND(E383*S383*SQRT(3)/1000,2)&amp;" MVA",VLOOKUP(CONCATENATE(P383,Q383,S383,E383),TWZ[[Limiting Equipment Reference-No PTX]:[Summ Equipment]],8,0))),UPPER(VLOOKUP(CONCATENATE(P383,Q383,S383,E383),TWZ[[Limiting Equipment Reference-No PTX]:[Summ Equipment]],8,0)))</f>
        <v>OH LINE - MINK</v>
      </c>
      <c r="L383" s="146" t="s">
        <v>1266</v>
      </c>
      <c r="M383" s="146" t="s">
        <v>1162</v>
      </c>
      <c r="O383" s="168" t="str">
        <f t="shared" si="208"/>
        <v>TVS-Z4</v>
      </c>
      <c r="P383" s="49" t="s">
        <v>1276</v>
      </c>
      <c r="Q383" s="49" t="s">
        <v>133</v>
      </c>
      <c r="R383" s="386"/>
      <c r="S383" s="43">
        <v>11</v>
      </c>
      <c r="T383" s="146" t="s">
        <v>1266</v>
      </c>
      <c r="U383" s="146" t="s">
        <v>1266</v>
      </c>
      <c r="V383" s="49"/>
    </row>
    <row r="384" spans="2:22" x14ac:dyDescent="0.25">
      <c r="B384" s="49" t="s">
        <v>2698</v>
      </c>
      <c r="C384" s="168" t="s">
        <v>963</v>
      </c>
      <c r="D384" s="119">
        <f t="shared" si="209"/>
        <v>11</v>
      </c>
      <c r="E384" s="370" t="s">
        <v>1162</v>
      </c>
      <c r="F384" s="400" t="s">
        <v>1162</v>
      </c>
      <c r="G384" s="400">
        <f t="shared" si="204"/>
        <v>0</v>
      </c>
      <c r="H384" s="405">
        <f t="shared" si="205"/>
        <v>0</v>
      </c>
      <c r="I384" s="400" t="s">
        <v>1162</v>
      </c>
      <c r="J384" s="405" t="s">
        <v>1162</v>
      </c>
      <c r="K384" s="331" t="s">
        <v>1162</v>
      </c>
      <c r="L384" s="146" t="s">
        <v>1266</v>
      </c>
      <c r="M384" s="146" t="s">
        <v>1162</v>
      </c>
      <c r="O384" s="168" t="str">
        <f t="shared" si="208"/>
        <v>TVS-Z5</v>
      </c>
      <c r="P384" s="49" t="s">
        <v>1276</v>
      </c>
      <c r="Q384" s="49" t="s">
        <v>1404</v>
      </c>
      <c r="R384" s="386"/>
      <c r="S384" s="43">
        <v>11</v>
      </c>
      <c r="T384" s="146" t="s">
        <v>1266</v>
      </c>
      <c r="U384" s="146" t="s">
        <v>1266</v>
      </c>
      <c r="V384" s="49" t="s">
        <v>2828</v>
      </c>
    </row>
    <row r="385" spans="2:22" x14ac:dyDescent="0.25">
      <c r="B385" s="49" t="s">
        <v>248</v>
      </c>
      <c r="C385" s="168" t="s">
        <v>2641</v>
      </c>
      <c r="D385" s="119">
        <f t="shared" si="209"/>
        <v>11</v>
      </c>
      <c r="E385" s="370">
        <f t="array" ref="E385">IF(U385="YES",IF(T385="YES",MIN(IF(TWZ[Load Capability Reference]=CONCATENATE(P385,Q385,S385,R385),TWZ[Lowest A-PTX])),MIN(IF(TWZ[Load Capability Reference]=CONCATENATE(P385,Q385,S385,R385),IF(TWZ[Equipment ID]&lt;&gt;O385,TWZ[Lowest A-PTX])))),IF(T385="YES",MIN(IF(TWZ[Load Capability Reference]=CONCATENATE(P385,Q385,S385,R385),TWZ[Lowest A-No PTX])),MIN(IF(TWZ[Load Capability Reference]=CONCATENATE(P385,Q385,S385,R385),IF(TWZ[Equipment ID]&lt;&gt;O385,TWZ[Lowest A-No PTX])))))</f>
        <v>328.03992567592377</v>
      </c>
      <c r="F385" s="119" t="str">
        <f>IFERROR(IFERROR(VLOOKUP(CONCATENATE(P385,Q385,O385,S385,"Protection"),TWZ[[OC Protection Reference]:[Forward A]],23,0),VLOOKUP(O385,AEL_Protection_Data[],12,0)),"N/A")</f>
        <v>N/A</v>
      </c>
      <c r="G385" s="119">
        <f t="shared" si="204"/>
        <v>260</v>
      </c>
      <c r="H385" s="29">
        <f t="shared" si="205"/>
        <v>4.9536653096469889</v>
      </c>
      <c r="I385" s="119">
        <f>IFERROR(FLOOR(MIN(E385:F385)*$D$2,5),"")</f>
        <v>295</v>
      </c>
      <c r="J385" s="29">
        <f t="shared" ref="J385" si="210">I385*S385*SQRT(3)/1000</f>
        <v>5.6205048705610059</v>
      </c>
      <c r="K385" s="6" t="str">
        <f>IF(U385="Yes",UPPER(IF(ISNUMBER(SEARCH("winding",VLOOKUP(CONCATENATE(P385,Q385,S385,E385),TWZ[[Limiting Equipment Reference-PTX]:[Summ Equipment]],7,0))),"Power Transformer Rating at "&amp;ROUND(E385*S385*SQRT(3)/1000,2)&amp;" MVA",VLOOKUP(CONCATENATE(P385,Q385,S385,E385),TWZ[[Limiting Equipment Reference-No PTX]:[Summ Equipment]],8,0))),UPPER(VLOOKUP(CONCATENATE(P385,Q385,S385,E385),TWZ[[Limiting Equipment Reference-No PTX]:[Summ Equipment]],8,0)))</f>
        <v>POWER TRANSFORMER RATING AT 6.25 MVA</v>
      </c>
      <c r="L385" s="146" t="s">
        <v>1266</v>
      </c>
      <c r="M385" s="146" t="s">
        <v>1162</v>
      </c>
      <c r="O385" s="168" t="str">
        <f t="shared" si="208"/>
        <v>TVS-Z6</v>
      </c>
      <c r="P385" s="49" t="s">
        <v>1246</v>
      </c>
      <c r="Q385" s="49" t="s">
        <v>236</v>
      </c>
      <c r="R385" s="386"/>
      <c r="S385" s="43">
        <v>11</v>
      </c>
      <c r="T385" s="146" t="s">
        <v>1266</v>
      </c>
      <c r="U385" s="146" t="s">
        <v>1267</v>
      </c>
      <c r="V385" s="49"/>
    </row>
    <row r="386" spans="2:22" x14ac:dyDescent="0.25">
      <c r="B386" s="49" t="s">
        <v>2699</v>
      </c>
      <c r="C386" s="168" t="s">
        <v>2642</v>
      </c>
      <c r="D386" s="119">
        <f t="shared" si="209"/>
        <v>11</v>
      </c>
      <c r="E386" s="370" t="s">
        <v>1162</v>
      </c>
      <c r="F386" s="400" t="s">
        <v>1162</v>
      </c>
      <c r="G386" s="400">
        <f t="shared" si="204"/>
        <v>0</v>
      </c>
      <c r="H386" s="405">
        <f t="shared" si="205"/>
        <v>0</v>
      </c>
      <c r="I386" s="400" t="s">
        <v>1162</v>
      </c>
      <c r="J386" s="405" t="s">
        <v>1162</v>
      </c>
      <c r="K386" s="331" t="s">
        <v>1162</v>
      </c>
      <c r="L386" s="146" t="s">
        <v>1266</v>
      </c>
      <c r="M386" s="146" t="s">
        <v>1162</v>
      </c>
      <c r="O386" s="168" t="str">
        <f t="shared" si="208"/>
        <v>TVS-Z7</v>
      </c>
      <c r="P386" s="49" t="s">
        <v>1246</v>
      </c>
      <c r="Q386" s="49" t="s">
        <v>236</v>
      </c>
      <c r="R386" s="386"/>
      <c r="S386" s="43">
        <v>11</v>
      </c>
      <c r="T386" s="146" t="s">
        <v>1266</v>
      </c>
      <c r="U386" s="146" t="s">
        <v>1266</v>
      </c>
      <c r="V386" s="49" t="s">
        <v>2828</v>
      </c>
    </row>
    <row r="387" spans="2:22" ht="15.75" thickBot="1" x14ac:dyDescent="0.3">
      <c r="B387" s="374" t="s">
        <v>1367</v>
      </c>
      <c r="C387" s="375" t="s">
        <v>2706</v>
      </c>
      <c r="D387" s="377">
        <f t="shared" si="209"/>
        <v>11</v>
      </c>
      <c r="E387" s="384">
        <f t="array" ref="E387">IF(U387="YES",IF(T387="YES",MIN(IF(TWZ[Load Capability Reference]=CONCATENATE(P387,Q387,S387,R387),TWZ[Lowest A-PTX])),MIN(IF(TWZ[Load Capability Reference]=CONCATENATE(P387,Q387,S387,R387),IF(TWZ[Equipment ID]&lt;&gt;O387,TWZ[Lowest A-PTX])))),IF(T387="YES",MIN(IF(TWZ[Load Capability Reference]=CONCATENATE(P387,Q387,S387,R387),TWZ[Lowest A-No PTX])),MIN(IF(TWZ[Load Capability Reference]=CONCATENATE(P387,Q387,S387,R387),IF(TWZ[Equipment ID]&lt;&gt;O387,TWZ[Lowest A-No PTX])))))</f>
        <v>251.59999999999997</v>
      </c>
      <c r="F387" s="377">
        <f>IFERROR(IFERROR(VLOOKUP(CONCATENATE(P387,Q387,O387,S387,"Protection"),TWZ[[OC Protection Reference]:[Forward A]],23,0),VLOOKUP(O387,AEL_Protection_Data[],12,0)),"N/A")</f>
        <v>30</v>
      </c>
      <c r="G387" s="377">
        <f t="shared" si="204"/>
        <v>20</v>
      </c>
      <c r="H387" s="185">
        <f t="shared" si="205"/>
        <v>0.38105117766515295</v>
      </c>
      <c r="I387" s="377">
        <f>IFERROR(FLOOR(MIN(E387:F387)*$D$2,5),"")</f>
        <v>25</v>
      </c>
      <c r="J387" s="185">
        <f t="shared" ref="J387" si="211">I387*S387*SQRT(3)/1000</f>
        <v>0.47631397208144127</v>
      </c>
      <c r="K387" s="191" t="str">
        <f>IF(U387="Yes",UPPER(IF(ISNUMBER(SEARCH("winding",VLOOKUP(CONCATENATE(P387,Q387,S387,E387),TWZ[[Limiting Equipment Reference-PTX]:[Summ Equipment]],7,0))),"Power Transformer Rating at "&amp;ROUND(E387*S387*SQRT(3)/1000,2)&amp;" MVA",VLOOKUP(CONCATENATE(P387,Q387,S387,E387),TWZ[[Limiting Equipment Reference-No PTX]:[Summ Equipment]],8,0))),UPPER(VLOOKUP(CONCATENATE(P387,Q387,S387,E387),TWZ[[Limiting Equipment Reference-No PTX]:[Summ Equipment]],8,0)))</f>
        <v>CABLE - 1-3C 95 MM² CU XLPE</v>
      </c>
      <c r="L387" s="379" t="s">
        <v>1266</v>
      </c>
      <c r="M387" s="379" t="s">
        <v>1162</v>
      </c>
      <c r="O387" s="375" t="str">
        <f t="shared" si="208"/>
        <v>TVS-Z9</v>
      </c>
      <c r="P387" s="374" t="s">
        <v>1276</v>
      </c>
      <c r="Q387" s="374" t="s">
        <v>1366</v>
      </c>
      <c r="R387" s="387"/>
      <c r="S387" s="175">
        <v>11</v>
      </c>
      <c r="T387" s="379" t="s">
        <v>1266</v>
      </c>
      <c r="U387" s="379" t="s">
        <v>1266</v>
      </c>
      <c r="V387" s="374"/>
    </row>
  </sheetData>
  <mergeCells count="526">
    <mergeCell ref="C1:D1"/>
    <mergeCell ref="B5:M5"/>
    <mergeCell ref="O5:V5"/>
    <mergeCell ref="B6:B8"/>
    <mergeCell ref="C6:C8"/>
    <mergeCell ref="E6:E7"/>
    <mergeCell ref="F6:F7"/>
    <mergeCell ref="G6:J6"/>
    <mergeCell ref="K6:K8"/>
    <mergeCell ref="L6:M6"/>
    <mergeCell ref="U6:U8"/>
    <mergeCell ref="V6:V8"/>
    <mergeCell ref="G7:H7"/>
    <mergeCell ref="I7:J7"/>
    <mergeCell ref="L7:L8"/>
    <mergeCell ref="M7:M8"/>
    <mergeCell ref="O6:O8"/>
    <mergeCell ref="P6:P8"/>
    <mergeCell ref="Q6:Q8"/>
    <mergeCell ref="R6:R8"/>
    <mergeCell ref="S6:S8"/>
    <mergeCell ref="T6:T8"/>
    <mergeCell ref="B16:M16"/>
    <mergeCell ref="O16:V16"/>
    <mergeCell ref="B17:B19"/>
    <mergeCell ref="C17:C19"/>
    <mergeCell ref="E17:E18"/>
    <mergeCell ref="F17:F18"/>
    <mergeCell ref="G17:J17"/>
    <mergeCell ref="K17:K19"/>
    <mergeCell ref="L17:M17"/>
    <mergeCell ref="O17:O19"/>
    <mergeCell ref="V17:V19"/>
    <mergeCell ref="G18:H18"/>
    <mergeCell ref="I18:J18"/>
    <mergeCell ref="L18:L19"/>
    <mergeCell ref="M18:M19"/>
    <mergeCell ref="B27:M27"/>
    <mergeCell ref="O27:V27"/>
    <mergeCell ref="P17:P19"/>
    <mergeCell ref="Q17:Q19"/>
    <mergeCell ref="R17:R19"/>
    <mergeCell ref="S17:S19"/>
    <mergeCell ref="T17:T19"/>
    <mergeCell ref="U17:U19"/>
    <mergeCell ref="O28:O30"/>
    <mergeCell ref="P28:P30"/>
    <mergeCell ref="Q28:Q30"/>
    <mergeCell ref="R28:R30"/>
    <mergeCell ref="S28:S30"/>
    <mergeCell ref="O37:V37"/>
    <mergeCell ref="B28:B30"/>
    <mergeCell ref="C28:C30"/>
    <mergeCell ref="E28:E29"/>
    <mergeCell ref="F28:F29"/>
    <mergeCell ref="G28:J28"/>
    <mergeCell ref="K28:K30"/>
    <mergeCell ref="T28:T30"/>
    <mergeCell ref="U28:U30"/>
    <mergeCell ref="V28:V30"/>
    <mergeCell ref="G29:H29"/>
    <mergeCell ref="I29:J29"/>
    <mergeCell ref="B51:B53"/>
    <mergeCell ref="C51:C53"/>
    <mergeCell ref="E51:E52"/>
    <mergeCell ref="F51:F52"/>
    <mergeCell ref="G51:J51"/>
    <mergeCell ref="K51:K53"/>
    <mergeCell ref="L29:L30"/>
    <mergeCell ref="M29:M30"/>
    <mergeCell ref="L28:M28"/>
    <mergeCell ref="B37:M37"/>
    <mergeCell ref="V38:V40"/>
    <mergeCell ref="G39:H39"/>
    <mergeCell ref="I39:J39"/>
    <mergeCell ref="L39:L40"/>
    <mergeCell ref="M39:M40"/>
    <mergeCell ref="B50:M50"/>
    <mergeCell ref="O50:V50"/>
    <mergeCell ref="P38:P40"/>
    <mergeCell ref="Q38:Q40"/>
    <mergeCell ref="R38:R40"/>
    <mergeCell ref="S38:S40"/>
    <mergeCell ref="T38:T40"/>
    <mergeCell ref="U38:U40"/>
    <mergeCell ref="B38:B40"/>
    <mergeCell ref="C38:C40"/>
    <mergeCell ref="E38:E39"/>
    <mergeCell ref="F38:F39"/>
    <mergeCell ref="G38:J38"/>
    <mergeCell ref="K38:K40"/>
    <mergeCell ref="L38:M38"/>
    <mergeCell ref="O38:O40"/>
    <mergeCell ref="T51:T53"/>
    <mergeCell ref="U51:U53"/>
    <mergeCell ref="V51:V53"/>
    <mergeCell ref="G52:H52"/>
    <mergeCell ref="I52:J52"/>
    <mergeCell ref="L52:L53"/>
    <mergeCell ref="M52:M53"/>
    <mergeCell ref="L51:M51"/>
    <mergeCell ref="O51:O53"/>
    <mergeCell ref="P51:P53"/>
    <mergeCell ref="Q51:Q53"/>
    <mergeCell ref="R51:R53"/>
    <mergeCell ref="S51:S53"/>
    <mergeCell ref="B66:M66"/>
    <mergeCell ref="O66:V66"/>
    <mergeCell ref="B67:B69"/>
    <mergeCell ref="C67:C69"/>
    <mergeCell ref="E67:E68"/>
    <mergeCell ref="F67:F68"/>
    <mergeCell ref="G67:J67"/>
    <mergeCell ref="K67:K69"/>
    <mergeCell ref="L67:M67"/>
    <mergeCell ref="O67:O69"/>
    <mergeCell ref="V67:V69"/>
    <mergeCell ref="G68:H68"/>
    <mergeCell ref="I68:J68"/>
    <mergeCell ref="L68:L69"/>
    <mergeCell ref="M68:M69"/>
    <mergeCell ref="B80:M80"/>
    <mergeCell ref="O80:V80"/>
    <mergeCell ref="P67:P69"/>
    <mergeCell ref="Q67:Q69"/>
    <mergeCell ref="R67:R69"/>
    <mergeCell ref="S67:S69"/>
    <mergeCell ref="T67:T69"/>
    <mergeCell ref="U67:U69"/>
    <mergeCell ref="O81:O83"/>
    <mergeCell ref="P81:P83"/>
    <mergeCell ref="Q81:Q83"/>
    <mergeCell ref="R81:R83"/>
    <mergeCell ref="S81:S83"/>
    <mergeCell ref="O116:V116"/>
    <mergeCell ref="B81:B83"/>
    <mergeCell ref="C81:C83"/>
    <mergeCell ref="E81:E82"/>
    <mergeCell ref="F81:F82"/>
    <mergeCell ref="G81:J81"/>
    <mergeCell ref="K81:K83"/>
    <mergeCell ref="T81:T83"/>
    <mergeCell ref="U81:U83"/>
    <mergeCell ref="V81:V83"/>
    <mergeCell ref="G82:H82"/>
    <mergeCell ref="I82:J82"/>
    <mergeCell ref="B142:B144"/>
    <mergeCell ref="C142:C144"/>
    <mergeCell ref="E142:E143"/>
    <mergeCell ref="F142:F143"/>
    <mergeCell ref="G142:J142"/>
    <mergeCell ref="K142:K144"/>
    <mergeCell ref="L82:L83"/>
    <mergeCell ref="M82:M83"/>
    <mergeCell ref="L81:M81"/>
    <mergeCell ref="B116:M116"/>
    <mergeCell ref="V117:V119"/>
    <mergeCell ref="G118:H118"/>
    <mergeCell ref="I118:J118"/>
    <mergeCell ref="L118:L119"/>
    <mergeCell ref="M118:M119"/>
    <mergeCell ref="B141:M141"/>
    <mergeCell ref="O141:V141"/>
    <mergeCell ref="P117:P119"/>
    <mergeCell ref="Q117:Q119"/>
    <mergeCell ref="R117:R119"/>
    <mergeCell ref="S117:S119"/>
    <mergeCell ref="T117:T119"/>
    <mergeCell ref="U117:U119"/>
    <mergeCell ref="B117:B119"/>
    <mergeCell ref="C117:C119"/>
    <mergeCell ref="E117:E118"/>
    <mergeCell ref="F117:F118"/>
    <mergeCell ref="G117:J117"/>
    <mergeCell ref="K117:K119"/>
    <mergeCell ref="L117:M117"/>
    <mergeCell ref="O117:O119"/>
    <mergeCell ref="T142:T144"/>
    <mergeCell ref="U142:U144"/>
    <mergeCell ref="V142:V144"/>
    <mergeCell ref="G143:H143"/>
    <mergeCell ref="I143:J143"/>
    <mergeCell ref="L143:L144"/>
    <mergeCell ref="M143:M144"/>
    <mergeCell ref="L142:M142"/>
    <mergeCell ref="O142:O144"/>
    <mergeCell ref="P142:P144"/>
    <mergeCell ref="Q142:Q144"/>
    <mergeCell ref="R142:R144"/>
    <mergeCell ref="S142:S144"/>
    <mergeCell ref="B163:M163"/>
    <mergeCell ref="O163:V163"/>
    <mergeCell ref="B164:B166"/>
    <mergeCell ref="C164:C166"/>
    <mergeCell ref="E164:E165"/>
    <mergeCell ref="F164:F165"/>
    <mergeCell ref="G164:J164"/>
    <mergeCell ref="K164:K166"/>
    <mergeCell ref="L164:M164"/>
    <mergeCell ref="O164:O166"/>
    <mergeCell ref="V164:V166"/>
    <mergeCell ref="G165:H165"/>
    <mergeCell ref="I165:J165"/>
    <mergeCell ref="L165:L166"/>
    <mergeCell ref="M165:M166"/>
    <mergeCell ref="B188:M188"/>
    <mergeCell ref="O188:V188"/>
    <mergeCell ref="P164:P166"/>
    <mergeCell ref="Q164:Q166"/>
    <mergeCell ref="R164:R166"/>
    <mergeCell ref="S164:S166"/>
    <mergeCell ref="T164:T166"/>
    <mergeCell ref="U164:U166"/>
    <mergeCell ref="O189:O191"/>
    <mergeCell ref="P189:P191"/>
    <mergeCell ref="Q189:Q191"/>
    <mergeCell ref="R189:R191"/>
    <mergeCell ref="S189:S191"/>
    <mergeCell ref="O200:V200"/>
    <mergeCell ref="B189:B191"/>
    <mergeCell ref="C189:C191"/>
    <mergeCell ref="E189:E190"/>
    <mergeCell ref="F189:F190"/>
    <mergeCell ref="G189:J189"/>
    <mergeCell ref="K189:K191"/>
    <mergeCell ref="T189:T191"/>
    <mergeCell ref="U189:U191"/>
    <mergeCell ref="V189:V191"/>
    <mergeCell ref="G190:H190"/>
    <mergeCell ref="I190:J190"/>
    <mergeCell ref="B220:B222"/>
    <mergeCell ref="C220:C222"/>
    <mergeCell ref="E220:E221"/>
    <mergeCell ref="F220:F221"/>
    <mergeCell ref="G220:J220"/>
    <mergeCell ref="K220:K222"/>
    <mergeCell ref="L190:L191"/>
    <mergeCell ref="M190:M191"/>
    <mergeCell ref="L189:M189"/>
    <mergeCell ref="B200:M200"/>
    <mergeCell ref="V201:V203"/>
    <mergeCell ref="G202:H202"/>
    <mergeCell ref="I202:J202"/>
    <mergeCell ref="L202:L203"/>
    <mergeCell ref="M202:M203"/>
    <mergeCell ref="B219:M219"/>
    <mergeCell ref="O219:V219"/>
    <mergeCell ref="P201:P203"/>
    <mergeCell ref="Q201:Q203"/>
    <mergeCell ref="R201:R203"/>
    <mergeCell ref="S201:S203"/>
    <mergeCell ref="T201:T203"/>
    <mergeCell ref="U201:U203"/>
    <mergeCell ref="B201:B203"/>
    <mergeCell ref="C201:C203"/>
    <mergeCell ref="E201:E202"/>
    <mergeCell ref="F201:F202"/>
    <mergeCell ref="G201:J201"/>
    <mergeCell ref="K201:K203"/>
    <mergeCell ref="L201:M201"/>
    <mergeCell ref="O201:O203"/>
    <mergeCell ref="T220:T222"/>
    <mergeCell ref="U220:U222"/>
    <mergeCell ref="V220:V222"/>
    <mergeCell ref="G221:H221"/>
    <mergeCell ref="I221:J221"/>
    <mergeCell ref="L221:L222"/>
    <mergeCell ref="M221:M222"/>
    <mergeCell ref="L220:M220"/>
    <mergeCell ref="O220:O222"/>
    <mergeCell ref="P220:P222"/>
    <mergeCell ref="Q220:Q222"/>
    <mergeCell ref="R220:R222"/>
    <mergeCell ref="S220:S222"/>
    <mergeCell ref="B230:M230"/>
    <mergeCell ref="O230:V230"/>
    <mergeCell ref="B231:B233"/>
    <mergeCell ref="C231:C233"/>
    <mergeCell ref="E231:E232"/>
    <mergeCell ref="F231:F232"/>
    <mergeCell ref="G231:J231"/>
    <mergeCell ref="K231:K233"/>
    <mergeCell ref="L231:M231"/>
    <mergeCell ref="O231:O233"/>
    <mergeCell ref="V231:V233"/>
    <mergeCell ref="G232:H232"/>
    <mergeCell ref="I232:J232"/>
    <mergeCell ref="L232:L233"/>
    <mergeCell ref="M232:M233"/>
    <mergeCell ref="B243:M243"/>
    <mergeCell ref="O243:V243"/>
    <mergeCell ref="P231:P233"/>
    <mergeCell ref="Q231:Q233"/>
    <mergeCell ref="R231:R233"/>
    <mergeCell ref="S231:S233"/>
    <mergeCell ref="T231:T233"/>
    <mergeCell ref="U231:U233"/>
    <mergeCell ref="O244:O246"/>
    <mergeCell ref="P244:P246"/>
    <mergeCell ref="Q244:Q246"/>
    <mergeCell ref="R244:R246"/>
    <mergeCell ref="S244:S246"/>
    <mergeCell ref="O251:V251"/>
    <mergeCell ref="B244:B246"/>
    <mergeCell ref="C244:C246"/>
    <mergeCell ref="E244:E245"/>
    <mergeCell ref="F244:F245"/>
    <mergeCell ref="G244:J244"/>
    <mergeCell ref="K244:K246"/>
    <mergeCell ref="T244:T246"/>
    <mergeCell ref="U244:U246"/>
    <mergeCell ref="V244:V246"/>
    <mergeCell ref="G245:H245"/>
    <mergeCell ref="I245:J245"/>
    <mergeCell ref="B259:B261"/>
    <mergeCell ref="C259:C261"/>
    <mergeCell ref="E259:E260"/>
    <mergeCell ref="F259:F260"/>
    <mergeCell ref="G259:J259"/>
    <mergeCell ref="K259:K261"/>
    <mergeCell ref="L245:L246"/>
    <mergeCell ref="M245:M246"/>
    <mergeCell ref="L244:M244"/>
    <mergeCell ref="B251:M251"/>
    <mergeCell ref="V252:V254"/>
    <mergeCell ref="G253:H253"/>
    <mergeCell ref="I253:J253"/>
    <mergeCell ref="L253:L254"/>
    <mergeCell ref="M253:M254"/>
    <mergeCell ref="B258:M258"/>
    <mergeCell ref="O258:V258"/>
    <mergeCell ref="P252:P254"/>
    <mergeCell ref="Q252:Q254"/>
    <mergeCell ref="R252:R254"/>
    <mergeCell ref="S252:S254"/>
    <mergeCell ref="T252:T254"/>
    <mergeCell ref="U252:U254"/>
    <mergeCell ref="B252:B254"/>
    <mergeCell ref="C252:C254"/>
    <mergeCell ref="E252:E253"/>
    <mergeCell ref="F252:F253"/>
    <mergeCell ref="G252:J252"/>
    <mergeCell ref="K252:K254"/>
    <mergeCell ref="L252:M252"/>
    <mergeCell ref="O252:O254"/>
    <mergeCell ref="T259:T261"/>
    <mergeCell ref="U259:U261"/>
    <mergeCell ref="V259:V261"/>
    <mergeCell ref="G260:H260"/>
    <mergeCell ref="I260:J260"/>
    <mergeCell ref="L260:L261"/>
    <mergeCell ref="M260:M261"/>
    <mergeCell ref="L259:M259"/>
    <mergeCell ref="O259:O261"/>
    <mergeCell ref="P259:P261"/>
    <mergeCell ref="Q259:Q261"/>
    <mergeCell ref="R259:R261"/>
    <mergeCell ref="S259:S261"/>
    <mergeCell ref="B267:M267"/>
    <mergeCell ref="O267:V267"/>
    <mergeCell ref="B268:B270"/>
    <mergeCell ref="C268:C270"/>
    <mergeCell ref="E268:E269"/>
    <mergeCell ref="F268:F269"/>
    <mergeCell ref="G268:J268"/>
    <mergeCell ref="K268:K270"/>
    <mergeCell ref="L268:M268"/>
    <mergeCell ref="O268:O270"/>
    <mergeCell ref="V268:V270"/>
    <mergeCell ref="G269:H269"/>
    <mergeCell ref="I269:J269"/>
    <mergeCell ref="L269:L270"/>
    <mergeCell ref="M269:M270"/>
    <mergeCell ref="B284:M284"/>
    <mergeCell ref="O284:V284"/>
    <mergeCell ref="P268:P270"/>
    <mergeCell ref="Q268:Q270"/>
    <mergeCell ref="R268:R270"/>
    <mergeCell ref="S268:S270"/>
    <mergeCell ref="T268:T270"/>
    <mergeCell ref="U268:U270"/>
    <mergeCell ref="O285:O287"/>
    <mergeCell ref="P285:P287"/>
    <mergeCell ref="Q285:Q287"/>
    <mergeCell ref="R285:R287"/>
    <mergeCell ref="S285:S287"/>
    <mergeCell ref="O298:V298"/>
    <mergeCell ref="B285:B287"/>
    <mergeCell ref="C285:C287"/>
    <mergeCell ref="E285:E286"/>
    <mergeCell ref="F285:F286"/>
    <mergeCell ref="G285:J285"/>
    <mergeCell ref="K285:K287"/>
    <mergeCell ref="T285:T287"/>
    <mergeCell ref="U285:U287"/>
    <mergeCell ref="V285:V287"/>
    <mergeCell ref="G286:H286"/>
    <mergeCell ref="I286:J286"/>
    <mergeCell ref="B309:B311"/>
    <mergeCell ref="C309:C311"/>
    <mergeCell ref="E309:E310"/>
    <mergeCell ref="F309:F310"/>
    <mergeCell ref="G309:J309"/>
    <mergeCell ref="K309:K311"/>
    <mergeCell ref="L286:L287"/>
    <mergeCell ref="M286:M287"/>
    <mergeCell ref="L285:M285"/>
    <mergeCell ref="B298:M298"/>
    <mergeCell ref="V299:V301"/>
    <mergeCell ref="G300:H300"/>
    <mergeCell ref="I300:J300"/>
    <mergeCell ref="L300:L301"/>
    <mergeCell ref="M300:M301"/>
    <mergeCell ref="B308:M308"/>
    <mergeCell ref="O308:V308"/>
    <mergeCell ref="P299:P301"/>
    <mergeCell ref="Q299:Q301"/>
    <mergeCell ref="R299:R301"/>
    <mergeCell ref="S299:S301"/>
    <mergeCell ref="T299:T301"/>
    <mergeCell ref="U299:U301"/>
    <mergeCell ref="B299:B301"/>
    <mergeCell ref="C299:C301"/>
    <mergeCell ref="E299:E300"/>
    <mergeCell ref="F299:F300"/>
    <mergeCell ref="G299:J299"/>
    <mergeCell ref="K299:K301"/>
    <mergeCell ref="L299:M299"/>
    <mergeCell ref="O299:O301"/>
    <mergeCell ref="T309:T311"/>
    <mergeCell ref="U309:U311"/>
    <mergeCell ref="V309:V311"/>
    <mergeCell ref="G310:H310"/>
    <mergeCell ref="I310:J310"/>
    <mergeCell ref="L310:L311"/>
    <mergeCell ref="M310:M311"/>
    <mergeCell ref="L309:M309"/>
    <mergeCell ref="O309:O311"/>
    <mergeCell ref="P309:P311"/>
    <mergeCell ref="Q309:Q311"/>
    <mergeCell ref="R309:R311"/>
    <mergeCell ref="S309:S311"/>
    <mergeCell ref="B325:M325"/>
    <mergeCell ref="O325:V325"/>
    <mergeCell ref="B326:B328"/>
    <mergeCell ref="C326:C328"/>
    <mergeCell ref="E326:E327"/>
    <mergeCell ref="F326:F327"/>
    <mergeCell ref="G326:J326"/>
    <mergeCell ref="K326:K328"/>
    <mergeCell ref="L326:M326"/>
    <mergeCell ref="O326:O328"/>
    <mergeCell ref="V326:V328"/>
    <mergeCell ref="G327:H327"/>
    <mergeCell ref="I327:J327"/>
    <mergeCell ref="L327:L328"/>
    <mergeCell ref="M327:M328"/>
    <mergeCell ref="B331:M331"/>
    <mergeCell ref="O331:V331"/>
    <mergeCell ref="P326:P328"/>
    <mergeCell ref="Q326:Q328"/>
    <mergeCell ref="R326:R328"/>
    <mergeCell ref="S326:S328"/>
    <mergeCell ref="T326:T328"/>
    <mergeCell ref="U326:U328"/>
    <mergeCell ref="O332:O334"/>
    <mergeCell ref="P332:P334"/>
    <mergeCell ref="Q332:Q334"/>
    <mergeCell ref="R332:R334"/>
    <mergeCell ref="S332:S334"/>
    <mergeCell ref="O353:V353"/>
    <mergeCell ref="B332:B334"/>
    <mergeCell ref="C332:C334"/>
    <mergeCell ref="E332:E333"/>
    <mergeCell ref="F332:F333"/>
    <mergeCell ref="G332:J332"/>
    <mergeCell ref="K332:K334"/>
    <mergeCell ref="T332:T334"/>
    <mergeCell ref="U332:U334"/>
    <mergeCell ref="V332:V334"/>
    <mergeCell ref="G333:H333"/>
    <mergeCell ref="I333:J333"/>
    <mergeCell ref="B375:B377"/>
    <mergeCell ref="C375:C377"/>
    <mergeCell ref="E375:E376"/>
    <mergeCell ref="F375:F376"/>
    <mergeCell ref="G375:J375"/>
    <mergeCell ref="K375:K377"/>
    <mergeCell ref="L333:L334"/>
    <mergeCell ref="M333:M334"/>
    <mergeCell ref="L332:M332"/>
    <mergeCell ref="B353:M353"/>
    <mergeCell ref="V354:V356"/>
    <mergeCell ref="G355:H355"/>
    <mergeCell ref="I355:J355"/>
    <mergeCell ref="L355:L356"/>
    <mergeCell ref="M355:M356"/>
    <mergeCell ref="B374:M374"/>
    <mergeCell ref="O374:V374"/>
    <mergeCell ref="P354:P356"/>
    <mergeCell ref="Q354:Q356"/>
    <mergeCell ref="R354:R356"/>
    <mergeCell ref="S354:S356"/>
    <mergeCell ref="T354:T356"/>
    <mergeCell ref="U354:U356"/>
    <mergeCell ref="B354:B356"/>
    <mergeCell ref="C354:C356"/>
    <mergeCell ref="E354:E355"/>
    <mergeCell ref="F354:F355"/>
    <mergeCell ref="G354:J354"/>
    <mergeCell ref="K354:K356"/>
    <mergeCell ref="L354:M354"/>
    <mergeCell ref="O354:O356"/>
    <mergeCell ref="T375:T377"/>
    <mergeCell ref="U375:U377"/>
    <mergeCell ref="V375:V377"/>
    <mergeCell ref="G376:H376"/>
    <mergeCell ref="I376:J376"/>
    <mergeCell ref="L376:L377"/>
    <mergeCell ref="M376:M377"/>
    <mergeCell ref="L375:M375"/>
    <mergeCell ref="O375:O377"/>
    <mergeCell ref="P375:P377"/>
    <mergeCell ref="Q375:Q377"/>
    <mergeCell ref="R375:R377"/>
    <mergeCell ref="S375:S377"/>
  </mergeCells>
  <conditionalFormatting sqref="C1 C2:D3 P1:P3 R1:U3">
    <cfRule type="cellIs" dxfId="851" priority="1" operator="equal">
      <formula>0</formula>
    </cfRule>
  </conditionalFormatting>
  <dataValidations count="1">
    <dataValidation type="list" allowBlank="1" showInputMessage="1" showErrorMessage="1" sqref="T9:U14 T20:U25 T31:U36 T41:U48 T54:U64 T234:U241 T247:U249 T255:U256 T262:U265 T70:U78 T271:U282 T288:U296 T302:U306 T312:U323 T329:U329 T335:U351 T357:U372 T378:U387 T84:U114 T192:U198 T204:U217 T223:U229 T167:U186 T145:U161 T120:U139" xr:uid="{00000000-0002-0000-0400-000000000000}">
      <formula1>"YES, NO"</formula1>
    </dataValidation>
  </dataValidations>
  <hyperlinks>
    <hyperlink ref="E2" r:id="rId1" xr:uid="{00000000-0004-0000-0400-000000000000}"/>
  </hyperlinks>
  <pageMargins left="0.7" right="0.7" top="0.75" bottom="0.75" header="0.3" footer="0.3"/>
  <pageSetup paperSize="9" fitToHeight="0" orientation="landscape"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400-000001000000}">
          <x14:formula1>
            <xm:f>'Dropdown List'!$D$27:$D$123</xm:f>
          </x14:formula1>
          <xm:sqref>Q84:Q114 Q145:Q161 Q192:Q198 Q204:Q217 Q223:Q229 Q120:Q139 Q167:Q186</xm:sqref>
        </x14:dataValidation>
        <x14:dataValidation type="list" allowBlank="1" showInputMessage="1" showErrorMessage="1" xr:uid="{00000000-0002-0000-0400-000002000000}">
          <x14:formula1>
            <xm:f>'Dropdown List'!$G$27:$G$35</xm:f>
          </x14:formula1>
          <xm:sqref>Q378:Q387</xm:sqref>
        </x14:dataValidation>
        <x14:dataValidation type="list" allowBlank="1" showInputMessage="1" showErrorMessage="1" xr:uid="{00000000-0002-0000-0400-000003000000}">
          <x14:formula1>
            <xm:f>'Dropdown List'!$F$27:$F$80</xm:f>
          </x14:formula1>
          <xm:sqref>Q271:Q282 Q288:Q296 Q302:Q306 Q312:Q323 Q329 Q335:Q351 Q357:Q372</xm:sqref>
        </x14:dataValidation>
        <x14:dataValidation type="list" allowBlank="1" showInputMessage="1" showErrorMessage="1" xr:uid="{00000000-0002-0000-0400-000004000000}">
          <x14:formula1>
            <xm:f>'Dropdown List'!$E$27:$E$43</xm:f>
          </x14:formula1>
          <xm:sqref>Q247:Q249 Q255:Q256 Q262:Q265 Q234:Q241</xm:sqref>
        </x14:dataValidation>
        <x14:dataValidation type="list" allowBlank="1" showInputMessage="1" showErrorMessage="1" xr:uid="{00000000-0002-0000-0400-000005000000}">
          <x14:formula1>
            <xm:f>'Dropdown List'!$C$27:$C$34</xm:f>
          </x14:formula1>
          <xm:sqref>Q70:Q78</xm:sqref>
        </x14:dataValidation>
        <x14:dataValidation type="list" allowBlank="1" showInputMessage="1" showErrorMessage="1" xr:uid="{00000000-0002-0000-0400-000006000000}">
          <x14:formula1>
            <xm:f>'Dropdown List'!$B$27:$B$42</xm:f>
          </x14:formula1>
          <xm:sqref>Q41:Q48 Q54:Q64 Q31:Q36</xm:sqref>
        </x14:dataValidation>
        <x14:dataValidation type="list" allowBlank="1" showInputMessage="1" showErrorMessage="1" xr:uid="{00000000-0002-0000-0400-000007000000}">
          <x14:formula1>
            <xm:f>'Dropdown List'!$A$27:$A$36</xm:f>
          </x14:formula1>
          <xm:sqref>Q20:Q25 Q9:Q14</xm:sqref>
        </x14:dataValidation>
        <x14:dataValidation type="list" allowBlank="1" showInputMessage="1" showErrorMessage="1" xr:uid="{00000000-0002-0000-0400-000008000000}">
          <x14:formula1>
            <xm:f>'Dropdown List'!$A$2:$A$8</xm:f>
          </x14:formula1>
          <xm:sqref>P9:P14 P20:P25 P41:P43 P31:P36 P54:P60 P70:P78 P247:P249 P255:P256 P262:P265 P234:P241 P271:P282 P288:P296 P302:P306 P312:P323 P329 P335:P351 P357:P372 P378:P387 P84:P114 P192:P198 P204:P217 P223:P229 P120:P139 P145:P161 P167:P186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tabColor theme="1"/>
  </sheetPr>
  <dimension ref="A1"/>
  <sheetViews>
    <sheetView workbookViewId="0">
      <selection activeCell="F32" sqref="F32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BL99"/>
  <sheetViews>
    <sheetView showGridLines="0" zoomScaleNormal="100" workbookViewId="0">
      <pane xSplit="13" ySplit="4" topLeftCell="N24" activePane="bottomRight" state="frozen"/>
      <selection pane="topRight" activeCell="M1" sqref="M1"/>
      <selection pane="bottomLeft" activeCell="A5" sqref="A5"/>
      <selection pane="bottomRight" activeCell="I102" sqref="I102"/>
    </sheetView>
  </sheetViews>
  <sheetFormatPr defaultColWidth="9.140625" defaultRowHeight="15" x14ac:dyDescent="0.25"/>
  <cols>
    <col min="1" max="2" width="35.5703125" hidden="1" customWidth="1"/>
    <col min="3" max="3" width="18.5703125" bestFit="1" customWidth="1"/>
    <col min="4" max="4" width="20.85546875" bestFit="1" customWidth="1"/>
    <col min="5" max="5" width="10" bestFit="1" customWidth="1"/>
    <col min="6" max="6" width="10.85546875" bestFit="1" customWidth="1"/>
    <col min="7" max="7" width="9.42578125" bestFit="1" customWidth="1"/>
    <col min="8" max="8" width="30.7109375" bestFit="1" customWidth="1"/>
    <col min="9" max="9" width="20" bestFit="1" customWidth="1"/>
    <col min="10" max="10" width="16.28515625" customWidth="1"/>
    <col min="11" max="11" width="15.5703125" bestFit="1" customWidth="1"/>
    <col min="12" max="12" width="19.28515625" bestFit="1" customWidth="1"/>
    <col min="13" max="13" width="10.7109375" bestFit="1" customWidth="1"/>
    <col min="14" max="14" width="15" bestFit="1" customWidth="1"/>
    <col min="15" max="15" width="17.42578125" bestFit="1" customWidth="1"/>
    <col min="16" max="16" width="16.28515625" bestFit="1" customWidth="1"/>
    <col min="17" max="17" width="18.85546875" bestFit="1" customWidth="1"/>
    <col min="18" max="18" width="15.85546875" bestFit="1" customWidth="1"/>
    <col min="19" max="19" width="18.42578125" bestFit="1" customWidth="1"/>
    <col min="20" max="20" width="15.42578125" bestFit="1" customWidth="1"/>
    <col min="21" max="21" width="18" bestFit="1" customWidth="1"/>
    <col min="22" max="22" width="16.28515625" bestFit="1" customWidth="1"/>
    <col min="23" max="23" width="18.85546875" bestFit="1" customWidth="1"/>
    <col min="24" max="24" width="12.28515625" bestFit="1" customWidth="1"/>
    <col min="25" max="25" width="15.28515625" bestFit="1" customWidth="1"/>
    <col min="26" max="26" width="12.140625" bestFit="1" customWidth="1"/>
    <col min="27" max="27" width="14.5703125" bestFit="1" customWidth="1"/>
    <col min="28" max="28" width="10.42578125" bestFit="1" customWidth="1"/>
    <col min="29" max="29" width="12.85546875" bestFit="1" customWidth="1"/>
    <col min="30" max="30" width="8.42578125" bestFit="1" customWidth="1"/>
    <col min="31" max="31" width="10.85546875" bestFit="1" customWidth="1"/>
    <col min="32" max="32" width="8.7109375" bestFit="1" customWidth="1"/>
    <col min="33" max="33" width="10.28515625" bestFit="1" customWidth="1"/>
    <col min="34" max="35" width="11.28515625" bestFit="1" customWidth="1"/>
    <col min="36" max="36" width="14.140625" bestFit="1" customWidth="1"/>
    <col min="37" max="37" width="13.140625" bestFit="1" customWidth="1"/>
    <col min="38" max="38" width="16.42578125" bestFit="1" customWidth="1"/>
    <col min="39" max="39" width="15.42578125" bestFit="1" customWidth="1"/>
    <col min="40" max="40" width="14.28515625" bestFit="1" customWidth="1"/>
    <col min="41" max="41" width="8.28515625" bestFit="1" customWidth="1"/>
    <col min="42" max="42" width="11.28515625" bestFit="1" customWidth="1"/>
    <col min="43" max="43" width="18.42578125" bestFit="1" customWidth="1"/>
    <col min="44" max="44" width="12.5703125" bestFit="1" customWidth="1"/>
    <col min="45" max="45" width="15" bestFit="1" customWidth="1"/>
    <col min="46" max="46" width="19.5703125" bestFit="1" customWidth="1"/>
    <col min="47" max="47" width="23.42578125" bestFit="1" customWidth="1"/>
    <col min="48" max="48" width="20.42578125" bestFit="1" customWidth="1"/>
    <col min="49" max="49" width="19.28515625" bestFit="1" customWidth="1"/>
    <col min="50" max="50" width="20.140625" bestFit="1" customWidth="1"/>
    <col min="51" max="51" width="16.7109375" bestFit="1" customWidth="1"/>
    <col min="52" max="52" width="16.5703125" bestFit="1" customWidth="1"/>
    <col min="53" max="53" width="12.85546875" bestFit="1" customWidth="1"/>
    <col min="54" max="54" width="15.28515625" bestFit="1" customWidth="1"/>
    <col min="55" max="55" width="37" hidden="1" customWidth="1"/>
    <col min="56" max="57" width="11.85546875" hidden="1" customWidth="1"/>
    <col min="58" max="58" width="14" bestFit="1" customWidth="1"/>
    <col min="59" max="59" width="11.5703125" bestFit="1" customWidth="1"/>
    <col min="60" max="60" width="11.5703125" customWidth="1"/>
    <col min="61" max="61" width="13.42578125" bestFit="1" customWidth="1"/>
    <col min="62" max="62" width="11.5703125" bestFit="1" customWidth="1"/>
    <col min="63" max="63" width="43" bestFit="1" customWidth="1"/>
    <col min="64" max="64" width="15.140625" bestFit="1" customWidth="1"/>
    <col min="65" max="65" width="8.7109375"/>
    <col min="66" max="66" width="13.28515625" bestFit="1" customWidth="1"/>
  </cols>
  <sheetData>
    <row r="1" spans="1:64" s="47" customFormat="1" ht="15.75" thickBot="1" x14ac:dyDescent="0.3">
      <c r="A1" s="349" t="s">
        <v>2398</v>
      </c>
      <c r="B1" s="349" t="s">
        <v>2398</v>
      </c>
      <c r="C1" s="18" t="s">
        <v>51</v>
      </c>
      <c r="D1" s="18" t="s">
        <v>73</v>
      </c>
      <c r="E1" s="605" t="s">
        <v>237</v>
      </c>
      <c r="F1" s="607"/>
      <c r="G1" s="607"/>
      <c r="H1" s="606"/>
      <c r="I1" s="605" t="s">
        <v>6</v>
      </c>
      <c r="J1" s="606"/>
      <c r="K1" s="605" t="s">
        <v>29</v>
      </c>
      <c r="L1" s="606"/>
      <c r="M1" s="286" t="s">
        <v>40</v>
      </c>
      <c r="N1" s="605" t="s">
        <v>263</v>
      </c>
      <c r="O1" s="607"/>
      <c r="P1" s="607"/>
      <c r="Q1" s="607"/>
      <c r="R1" s="607"/>
      <c r="S1" s="606"/>
      <c r="T1" s="605" t="s">
        <v>14</v>
      </c>
      <c r="U1" s="607"/>
      <c r="V1" s="607"/>
      <c r="W1" s="606"/>
      <c r="X1" s="605" t="s">
        <v>35</v>
      </c>
      <c r="Y1" s="607"/>
      <c r="Z1" s="607"/>
      <c r="AA1" s="607"/>
      <c r="AB1" s="607"/>
      <c r="AC1" s="607"/>
      <c r="AD1" s="607"/>
      <c r="AE1" s="606"/>
      <c r="AF1" s="605" t="s">
        <v>251</v>
      </c>
      <c r="AG1" s="607"/>
      <c r="AH1" s="607"/>
      <c r="AI1" s="607"/>
      <c r="AJ1" s="607"/>
      <c r="AK1" s="607"/>
      <c r="AL1" s="607"/>
      <c r="AM1" s="607"/>
      <c r="AN1" s="607"/>
      <c r="AO1" s="607"/>
      <c r="AP1" s="607"/>
      <c r="AQ1" s="607"/>
      <c r="AR1" s="607"/>
      <c r="AS1" s="606"/>
      <c r="AT1" s="605" t="s">
        <v>293</v>
      </c>
      <c r="AU1" s="607"/>
      <c r="AV1" s="607"/>
      <c r="AW1" s="607"/>
      <c r="AX1" s="607"/>
      <c r="AY1" s="607"/>
      <c r="AZ1" s="607"/>
      <c r="BA1" s="607"/>
      <c r="BB1" s="607"/>
      <c r="BC1" s="607"/>
      <c r="BD1" s="607"/>
      <c r="BE1" s="607"/>
      <c r="BF1" s="607"/>
      <c r="BG1" s="607"/>
      <c r="BH1" s="607"/>
      <c r="BI1" s="607"/>
      <c r="BJ1" s="607"/>
      <c r="BK1" s="607"/>
      <c r="BL1" s="606"/>
    </row>
    <row r="2" spans="1:64" s="47" customFormat="1" ht="15.75" customHeight="1" thickBot="1" x14ac:dyDescent="0.3">
      <c r="A2" s="350" t="s">
        <v>2396</v>
      </c>
      <c r="B2" s="350" t="s">
        <v>1423</v>
      </c>
      <c r="C2" s="19" t="s">
        <v>3</v>
      </c>
      <c r="D2" s="19" t="s">
        <v>1276</v>
      </c>
      <c r="E2" s="19" t="s">
        <v>1</v>
      </c>
      <c r="F2" s="19" t="s">
        <v>2</v>
      </c>
      <c r="G2" s="52" t="s">
        <v>238</v>
      </c>
      <c r="H2" s="25" t="s">
        <v>269</v>
      </c>
      <c r="I2" s="19" t="s">
        <v>21</v>
      </c>
      <c r="J2" s="19" t="s">
        <v>22</v>
      </c>
      <c r="K2" s="346" t="s">
        <v>21</v>
      </c>
      <c r="L2" s="19" t="s">
        <v>22</v>
      </c>
      <c r="M2" s="52" t="s">
        <v>41</v>
      </c>
      <c r="N2" s="605" t="s">
        <v>39</v>
      </c>
      <c r="O2" s="606"/>
      <c r="P2" s="605" t="s">
        <v>65</v>
      </c>
      <c r="Q2" s="606"/>
      <c r="R2" s="605" t="s">
        <v>38</v>
      </c>
      <c r="S2" s="606"/>
      <c r="T2" s="605" t="s">
        <v>39</v>
      </c>
      <c r="U2" s="606"/>
      <c r="V2" s="605" t="s">
        <v>38</v>
      </c>
      <c r="W2" s="606"/>
      <c r="X2" s="605" t="s">
        <v>30</v>
      </c>
      <c r="Y2" s="606"/>
      <c r="Z2" s="605" t="s">
        <v>31</v>
      </c>
      <c r="AA2" s="606"/>
      <c r="AB2" s="605" t="s">
        <v>32</v>
      </c>
      <c r="AC2" s="606"/>
      <c r="AD2" s="605" t="s">
        <v>33</v>
      </c>
      <c r="AE2" s="606"/>
      <c r="AF2" s="34" t="s">
        <v>259</v>
      </c>
      <c r="AG2" s="34" t="s">
        <v>253</v>
      </c>
      <c r="AH2" s="25" t="s">
        <v>71</v>
      </c>
      <c r="AI2" s="605" t="s">
        <v>252</v>
      </c>
      <c r="AJ2" s="606"/>
      <c r="AK2" s="605" t="s">
        <v>254</v>
      </c>
      <c r="AL2" s="606"/>
      <c r="AM2" s="605" t="s">
        <v>300</v>
      </c>
      <c r="AN2" s="606"/>
      <c r="AO2" s="605" t="s">
        <v>257</v>
      </c>
      <c r="AP2" s="607"/>
      <c r="AQ2" s="606"/>
      <c r="AR2" s="605" t="s">
        <v>262</v>
      </c>
      <c r="AS2" s="606"/>
      <c r="AT2" s="605" t="s">
        <v>263</v>
      </c>
      <c r="AU2" s="607"/>
      <c r="AV2" s="606"/>
      <c r="AW2" s="605" t="s">
        <v>299</v>
      </c>
      <c r="AX2" s="606"/>
      <c r="AY2" s="605" t="s">
        <v>35</v>
      </c>
      <c r="AZ2" s="607"/>
      <c r="BA2" s="606"/>
      <c r="BB2" s="603" t="s">
        <v>294</v>
      </c>
      <c r="BC2" s="106" t="s">
        <v>21</v>
      </c>
      <c r="BD2" s="360" t="s">
        <v>2397</v>
      </c>
      <c r="BE2" s="360" t="s">
        <v>2397</v>
      </c>
      <c r="BF2" s="608" t="s">
        <v>1282</v>
      </c>
      <c r="BG2" s="609"/>
      <c r="BH2" s="610"/>
      <c r="BI2" s="603" t="s">
        <v>1</v>
      </c>
      <c r="BJ2" s="603" t="s">
        <v>2</v>
      </c>
      <c r="BK2" s="603" t="s">
        <v>6</v>
      </c>
      <c r="BL2" s="603" t="s">
        <v>298</v>
      </c>
    </row>
    <row r="3" spans="1:64" s="47" customFormat="1" ht="15.75" thickBot="1" x14ac:dyDescent="0.3">
      <c r="A3" s="348" t="s">
        <v>2395</v>
      </c>
      <c r="B3" s="348" t="s">
        <v>2395</v>
      </c>
      <c r="C3" s="20"/>
      <c r="D3" s="20"/>
      <c r="E3" s="59"/>
      <c r="F3" s="59"/>
      <c r="G3" s="53"/>
      <c r="H3" s="21" t="s">
        <v>270</v>
      </c>
      <c r="I3" s="20"/>
      <c r="J3" s="20"/>
      <c r="K3" s="59"/>
      <c r="L3" s="62"/>
      <c r="M3" s="52" t="s">
        <v>27</v>
      </c>
      <c r="N3" s="19" t="s">
        <v>26</v>
      </c>
      <c r="O3" s="19" t="s">
        <v>28</v>
      </c>
      <c r="P3" s="19" t="s">
        <v>26</v>
      </c>
      <c r="Q3" s="19" t="s">
        <v>28</v>
      </c>
      <c r="R3" s="19" t="s">
        <v>26</v>
      </c>
      <c r="S3" s="19" t="s">
        <v>28</v>
      </c>
      <c r="T3" s="19" t="s">
        <v>26</v>
      </c>
      <c r="U3" s="19" t="s">
        <v>28</v>
      </c>
      <c r="V3" s="19" t="s">
        <v>26</v>
      </c>
      <c r="W3" s="19" t="s">
        <v>28</v>
      </c>
      <c r="X3" s="19" t="s">
        <v>26</v>
      </c>
      <c r="Y3" s="19" t="s">
        <v>28</v>
      </c>
      <c r="Z3" s="19" t="s">
        <v>26</v>
      </c>
      <c r="AA3" s="19" t="s">
        <v>28</v>
      </c>
      <c r="AB3" s="19" t="s">
        <v>26</v>
      </c>
      <c r="AC3" s="19" t="s">
        <v>28</v>
      </c>
      <c r="AD3" s="19" t="s">
        <v>26</v>
      </c>
      <c r="AE3" s="19" t="s">
        <v>28</v>
      </c>
      <c r="AF3" s="20" t="s">
        <v>260</v>
      </c>
      <c r="AG3" s="20" t="s">
        <v>0</v>
      </c>
      <c r="AH3" s="21" t="s">
        <v>72</v>
      </c>
      <c r="AI3" s="20" t="s">
        <v>72</v>
      </c>
      <c r="AJ3" s="30" t="s">
        <v>264</v>
      </c>
      <c r="AK3" s="20" t="s">
        <v>255</v>
      </c>
      <c r="AL3" s="30" t="s">
        <v>264</v>
      </c>
      <c r="AM3" s="20" t="s">
        <v>256</v>
      </c>
      <c r="AN3" s="30" t="s">
        <v>264</v>
      </c>
      <c r="AO3" s="20" t="s">
        <v>261</v>
      </c>
      <c r="AP3" s="30" t="s">
        <v>258</v>
      </c>
      <c r="AQ3" s="30" t="s">
        <v>264</v>
      </c>
      <c r="AR3" s="20" t="s">
        <v>26</v>
      </c>
      <c r="AS3" s="20" t="s">
        <v>28</v>
      </c>
      <c r="AT3" s="109" t="s">
        <v>39</v>
      </c>
      <c r="AU3" s="109" t="s">
        <v>65</v>
      </c>
      <c r="AV3" s="109" t="s">
        <v>38</v>
      </c>
      <c r="AW3" s="105" t="s">
        <v>39</v>
      </c>
      <c r="AX3" s="105" t="s">
        <v>38</v>
      </c>
      <c r="AY3" s="105" t="s">
        <v>30</v>
      </c>
      <c r="AZ3" s="105" t="s">
        <v>295</v>
      </c>
      <c r="BA3" s="105" t="s">
        <v>297</v>
      </c>
      <c r="BB3" s="604"/>
      <c r="BC3" s="107" t="s">
        <v>372</v>
      </c>
      <c r="BD3" s="383" t="s">
        <v>372</v>
      </c>
      <c r="BE3" s="383" t="s">
        <v>372</v>
      </c>
      <c r="BF3" s="371" t="s">
        <v>1280</v>
      </c>
      <c r="BG3" s="371" t="s">
        <v>1281</v>
      </c>
      <c r="BH3" s="371" t="s">
        <v>1281</v>
      </c>
      <c r="BI3" s="604"/>
      <c r="BJ3" s="604"/>
      <c r="BK3" s="604"/>
      <c r="BL3" s="604"/>
    </row>
    <row r="4" spans="1:64" s="60" customFormat="1" ht="12" thickBot="1" x14ac:dyDescent="0.3">
      <c r="A4" s="351" t="s">
        <v>2399</v>
      </c>
      <c r="B4" s="351" t="s">
        <v>2400</v>
      </c>
      <c r="C4" s="198" t="s">
        <v>1184</v>
      </c>
      <c r="D4" s="22" t="s">
        <v>1481</v>
      </c>
      <c r="E4" s="37" t="s">
        <v>1</v>
      </c>
      <c r="F4" s="37" t="s">
        <v>2</v>
      </c>
      <c r="G4" s="54" t="s">
        <v>238</v>
      </c>
      <c r="H4" s="23" t="s">
        <v>692</v>
      </c>
      <c r="I4" s="22" t="s">
        <v>1482</v>
      </c>
      <c r="J4" s="22" t="s">
        <v>1428</v>
      </c>
      <c r="K4" s="37" t="s">
        <v>693</v>
      </c>
      <c r="L4" s="37" t="s">
        <v>1483</v>
      </c>
      <c r="M4" s="54" t="s">
        <v>41</v>
      </c>
      <c r="N4" s="23" t="s">
        <v>1484</v>
      </c>
      <c r="O4" s="23" t="s">
        <v>1485</v>
      </c>
      <c r="P4" s="23" t="s">
        <v>1486</v>
      </c>
      <c r="Q4" s="23" t="s">
        <v>1487</v>
      </c>
      <c r="R4" s="23" t="s">
        <v>1488</v>
      </c>
      <c r="S4" s="23" t="s">
        <v>1489</v>
      </c>
      <c r="T4" s="23" t="s">
        <v>1490</v>
      </c>
      <c r="U4" s="23" t="s">
        <v>1491</v>
      </c>
      <c r="V4" s="23" t="s">
        <v>1492</v>
      </c>
      <c r="W4" s="23" t="s">
        <v>1493</v>
      </c>
      <c r="X4" s="23" t="s">
        <v>1494</v>
      </c>
      <c r="Y4" s="23" t="s">
        <v>1495</v>
      </c>
      <c r="Z4" s="23" t="s">
        <v>1496</v>
      </c>
      <c r="AA4" s="23" t="s">
        <v>1497</v>
      </c>
      <c r="AB4" s="23" t="s">
        <v>1498</v>
      </c>
      <c r="AC4" s="23" t="s">
        <v>1499</v>
      </c>
      <c r="AD4" s="23" t="s">
        <v>1500</v>
      </c>
      <c r="AE4" s="23" t="s">
        <v>1501</v>
      </c>
      <c r="AF4" s="23" t="s">
        <v>259</v>
      </c>
      <c r="AG4" s="23" t="s">
        <v>253</v>
      </c>
      <c r="AH4" s="23" t="s">
        <v>71</v>
      </c>
      <c r="AI4" s="23" t="s">
        <v>1502</v>
      </c>
      <c r="AJ4" s="31" t="s">
        <v>1503</v>
      </c>
      <c r="AK4" s="23" t="s">
        <v>1504</v>
      </c>
      <c r="AL4" s="31" t="s">
        <v>1505</v>
      </c>
      <c r="AM4" s="23" t="s">
        <v>1506</v>
      </c>
      <c r="AN4" s="31" t="s">
        <v>1507</v>
      </c>
      <c r="AO4" s="23" t="s">
        <v>1508</v>
      </c>
      <c r="AP4" s="31" t="s">
        <v>1509</v>
      </c>
      <c r="AQ4" s="31" t="s">
        <v>1510</v>
      </c>
      <c r="AR4" s="23" t="s">
        <v>1511</v>
      </c>
      <c r="AS4" s="23" t="s">
        <v>1512</v>
      </c>
      <c r="AT4" s="23" t="s">
        <v>1513</v>
      </c>
      <c r="AU4" s="23" t="s">
        <v>1514</v>
      </c>
      <c r="AV4" s="23" t="s">
        <v>1515</v>
      </c>
      <c r="AW4" s="23" t="s">
        <v>1516</v>
      </c>
      <c r="AX4" s="23" t="s">
        <v>1517</v>
      </c>
      <c r="AY4" s="23" t="s">
        <v>1518</v>
      </c>
      <c r="AZ4" s="23" t="s">
        <v>1519</v>
      </c>
      <c r="BA4" s="23" t="s">
        <v>1520</v>
      </c>
      <c r="BB4" s="23" t="s">
        <v>1521</v>
      </c>
      <c r="BC4" s="23" t="s">
        <v>1522</v>
      </c>
      <c r="BD4" s="23" t="s">
        <v>2652</v>
      </c>
      <c r="BE4" s="23" t="s">
        <v>2653</v>
      </c>
      <c r="BF4" s="23" t="s">
        <v>1523</v>
      </c>
      <c r="BG4" s="54" t="s">
        <v>2602</v>
      </c>
      <c r="BH4" s="54" t="s">
        <v>2603</v>
      </c>
      <c r="BI4" s="23" t="s">
        <v>1524</v>
      </c>
      <c r="BJ4" s="23" t="s">
        <v>1525</v>
      </c>
      <c r="BK4" s="23" t="s">
        <v>1526</v>
      </c>
      <c r="BL4" s="23" t="s">
        <v>1527</v>
      </c>
    </row>
    <row r="5" spans="1:64" s="1" customFormat="1" ht="15" hidden="1" customHeight="1" x14ac:dyDescent="0.25">
      <c r="A5" s="352" t="str">
        <f>CONCATENATE(ABY[[#This Row],[Supply Level]],ABY[[#This Row],[Station/Feeder]],ABY[[#This Row],[Voltage]])</f>
        <v>GXPABY_GXP110</v>
      </c>
      <c r="B5" s="352" t="str">
        <f>CONCATENATE(ABY[[#This Row],[Supply Level]],ABY[[#This Row],[Station/Feeder]],ABY[[#This Row],[Equipment ID]],ABY[[#This Row],[Voltage]],ABY[[#This Row],[Device type]])</f>
        <v>GXPABY_GXPDS64110Disconnector</v>
      </c>
      <c r="C5" s="3" t="s">
        <v>4</v>
      </c>
      <c r="D5" s="10" t="s">
        <v>365</v>
      </c>
      <c r="E5" s="38" t="s">
        <v>301</v>
      </c>
      <c r="F5" s="38" t="s">
        <v>243</v>
      </c>
      <c r="G5" s="55">
        <v>1</v>
      </c>
      <c r="H5" s="49" t="s">
        <v>302</v>
      </c>
      <c r="I5" s="38" t="s">
        <v>303</v>
      </c>
      <c r="J5" s="38" t="s">
        <v>17</v>
      </c>
      <c r="K5" s="38" t="s">
        <v>304</v>
      </c>
      <c r="L5" s="38" t="s">
        <v>17</v>
      </c>
      <c r="M5" s="61">
        <v>110</v>
      </c>
      <c r="N5" s="5">
        <v>800</v>
      </c>
      <c r="O5" s="5">
        <f t="shared" ref="O5:O73" si="0">IF(OR(N5="",N5="-"),"-",N5*$M5*SQRT(3)/1000)</f>
        <v>152.4204710660612</v>
      </c>
      <c r="P5" s="5">
        <v>800</v>
      </c>
      <c r="Q5" s="5">
        <f t="shared" ref="Q5:Q73" si="1">IF(OR(P5="",P5="-"),"-",P5*$M5*SQRT(3)/1000)</f>
        <v>152.4204710660612</v>
      </c>
      <c r="R5" s="5">
        <v>800</v>
      </c>
      <c r="S5" s="5">
        <f t="shared" ref="S5:S73" si="2">IF(OR(R5="",R5="-"),"-",R5*$M5*SQRT(3)/1000)</f>
        <v>152.4204710660612</v>
      </c>
      <c r="T5" s="5">
        <v>800</v>
      </c>
      <c r="U5" s="5">
        <f t="shared" ref="U5:U94" si="3">IF(OR(T5="",T5="-"),"-",T5*$M5*SQRT(3)/1000)</f>
        <v>152.4204710660612</v>
      </c>
      <c r="V5" s="5">
        <v>800</v>
      </c>
      <c r="W5" s="5">
        <f t="shared" ref="W5:W94" si="4">IF(OR(V5="",V5="-"),"-",V5*$M5*SQRT(3)/1000)</f>
        <v>152.4204710660612</v>
      </c>
      <c r="X5" s="9" t="s">
        <v>0</v>
      </c>
      <c r="Y5" s="5" t="str">
        <f t="shared" ref="Y5:Y94" si="5">IF(OR(X5="",X5="-"),"-",X5*$M5*SQRT(3)/1000)</f>
        <v>-</v>
      </c>
      <c r="Z5" s="9" t="s">
        <v>0</v>
      </c>
      <c r="AA5" s="5" t="str">
        <f t="shared" ref="AA5:AA94" si="6">IF(OR(Z5="",Z5="-"),"-",Z5*$M5*SQRT(3)/1000)</f>
        <v>-</v>
      </c>
      <c r="AB5" s="9" t="s">
        <v>0</v>
      </c>
      <c r="AC5" s="5" t="str">
        <f t="shared" ref="AC5:AC94" si="7">IF(OR(AB5="",AB5="-"),"-",AB5*$M5*SQRT(3)/1000)</f>
        <v>-</v>
      </c>
      <c r="AD5" s="9" t="s">
        <v>0</v>
      </c>
      <c r="AE5" s="5" t="str">
        <f t="shared" ref="AE5:AE94" si="8">IF(OR(AD5="",AD5="-"),"-",AD5*$M5*SQRT(3)/1000)</f>
        <v>-</v>
      </c>
      <c r="AF5" s="9" t="s">
        <v>0</v>
      </c>
      <c r="AG5" s="9" t="s">
        <v>0</v>
      </c>
      <c r="AH5" s="9" t="s">
        <v>0</v>
      </c>
      <c r="AI5" s="9" t="s">
        <v>0</v>
      </c>
      <c r="AJ5" s="43" t="s">
        <v>0</v>
      </c>
      <c r="AK5" s="9" t="s">
        <v>0</v>
      </c>
      <c r="AL5" s="43" t="s">
        <v>0</v>
      </c>
      <c r="AM5" s="9" t="s">
        <v>0</v>
      </c>
      <c r="AN5" s="43" t="s">
        <v>0</v>
      </c>
      <c r="AO5" s="9" t="s">
        <v>0</v>
      </c>
      <c r="AP5" s="9" t="s">
        <v>0</v>
      </c>
      <c r="AQ5" s="43" t="s">
        <v>0</v>
      </c>
      <c r="AR5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5" s="5" t="str">
        <f>IF(OR(AR5="",AR5="-"),"-",AR5*$M5*SQRT(3)/1000)</f>
        <v>-</v>
      </c>
      <c r="AT5" s="29">
        <f>IF(RIGHT(ABY[[#This Row],[Device type]],7)="Winding","-",ABY[[#This Row],[Cont Winter MVA]])</f>
        <v>152.4204710660612</v>
      </c>
      <c r="AU5" s="29">
        <f>IF(RIGHT(ABY[[#This Row],[Device type]],7)="Winding","-",ABY[[#This Row],[Cont Shoulder MVA]])</f>
        <v>152.4204710660612</v>
      </c>
      <c r="AV5" s="29">
        <f>IF(RIGHT(ABY[[#This Row],[Device type]],7)="Winding","-",ABY[[#This Row],[Cont Summer MVA]])</f>
        <v>152.4204710660612</v>
      </c>
      <c r="AW5" s="29">
        <f>IF(RIGHT(ABY[[#This Row],[Device type]],7)="Winding","-",ABY[[#This Row],[24 Hr Winter MVA]])</f>
        <v>152.4204710660612</v>
      </c>
      <c r="AX5" s="29">
        <f>IF(RIGHT(ABY[[#This Row],[Device type]],7)="Winding","-",ABY[[#This Row],[24 Hr Summer MVA]])</f>
        <v>152.4204710660612</v>
      </c>
      <c r="AY5" s="29" t="str">
        <f>ABY[[#This Row],[Forwards MVA]]</f>
        <v>-</v>
      </c>
      <c r="AZ5" s="29" t="str">
        <f>ABY[[#This Row],[Relay MVA]]</f>
        <v>-</v>
      </c>
      <c r="BA5" s="29" t="str">
        <f>ABY[[#This Row],[CT MVA]]</f>
        <v>-</v>
      </c>
      <c r="BB5" s="29" t="str">
        <f>ABY[[#This Row],[Derating MVA]]</f>
        <v>-</v>
      </c>
      <c r="BC5" s="29" t="str">
        <f>ABY[[#This Row],[Station/Feeder]]&amp;ABY[[#This Row],[Lowest MVA]]</f>
        <v>ABY_GXP152.420471066061</v>
      </c>
      <c r="BD5" s="29" t="str">
        <f>CONCATENATE(ABY[[#This Row],[Supply Level]],ABY[[#This Row],[Station/Feeder]],ABY[[#This Row],[Voltage]],ABY[[#This Row],[Lowest A-No PTX]])</f>
        <v>GXPABY_GXP110800</v>
      </c>
      <c r="BE5" s="29" t="str">
        <f>CONCATENATE(ABY[[#This Row],[Supply Level]],ABY[[#This Row],[Station/Feeder]],ABY[[#This Row],[Voltage]],ABY[[#This Row],[Lowest A-PTX]])</f>
        <v>GXPABY_GXP110800</v>
      </c>
      <c r="BF5" s="29">
        <f>IF(MIN(ABY[[#This Row],[Summ Cont Winter A]:[Cable Derating]])=0,"",MIN(ABY[[#This Row],[Summ Cont Winter A]:[Cable Derating]]))</f>
        <v>152.4204710660612</v>
      </c>
      <c r="BG5" s="119">
        <f>IFERROR(ABY[[#This Row],[Lowest MVA]]*1000/(ABY[[#This Row],[Voltage]]*SQRT(3)),"")</f>
        <v>800.00000000000011</v>
      </c>
      <c r="BH5" s="119">
        <f>IF(MIN(N5,P5,R5,T5,V5,X5,Z5,AB5,AD5,AR5)=0,"",MIN(N5,P5,R5,T5,V5,X5,Z5,AB5,AD5,AR5))</f>
        <v>800</v>
      </c>
      <c r="BI5" s="29" t="str">
        <f>ABY[[#This Row],[From]]</f>
        <v>110 kv Bus</v>
      </c>
      <c r="BJ5" s="29" t="str">
        <f>ABY[[#This Row],[To]]</f>
        <v>11 kV Bus</v>
      </c>
      <c r="BK5" s="45" t="str">
        <f>IF(ABY[[#This Row],[Device type]]="-",ABY[[#This Row],[Equipment Type]]&amp;"-"&amp;ABY[[#This Row],[Equipment ID]],ABY[[#This Row],[Equipment Type]]&amp;"-"&amp;ABY[[#This Row],[Equipment ID]]&amp;"-"&amp;ABY[[#This Row],[Device type]])</f>
        <v>Disconnector-DS64-Disconnector</v>
      </c>
      <c r="BL5" s="29">
        <f>ABY[[#This Row],[Voltage]]</f>
        <v>110</v>
      </c>
    </row>
    <row r="6" spans="1:64" s="1" customFormat="1" ht="15" hidden="1" customHeight="1" x14ac:dyDescent="0.25">
      <c r="A6" s="353" t="str">
        <f>CONCATENATE(ABY[[#This Row],[Supply Level]],ABY[[#This Row],[Station/Feeder]],ABY[[#This Row],[Voltage]])</f>
        <v>GXPABY_GXP110</v>
      </c>
      <c r="B6" s="353" t="str">
        <f>CONCATENATE(ABY[[#This Row],[Supply Level]],ABY[[#This Row],[Station/Feeder]],ABY[[#This Row],[Equipment ID]],ABY[[#This Row],[Voltage]],ABY[[#This Row],[Device type]])</f>
        <v>GXPABY_GXPABY-CB62110Circuit Breaker</v>
      </c>
      <c r="C6" s="6" t="s">
        <v>4</v>
      </c>
      <c r="D6" s="11" t="s">
        <v>365</v>
      </c>
      <c r="E6" s="7" t="s">
        <v>301</v>
      </c>
      <c r="F6" s="7" t="s">
        <v>316</v>
      </c>
      <c r="G6" s="56">
        <v>2</v>
      </c>
      <c r="H6" s="49" t="s">
        <v>302</v>
      </c>
      <c r="I6" s="7" t="s">
        <v>2207</v>
      </c>
      <c r="J6" s="7" t="s">
        <v>15</v>
      </c>
      <c r="K6" s="7" t="s">
        <v>2207</v>
      </c>
      <c r="L6" s="7" t="s">
        <v>15</v>
      </c>
      <c r="M6" s="57">
        <v>110</v>
      </c>
      <c r="N6" s="9">
        <v>2500</v>
      </c>
      <c r="O6" s="9">
        <f t="shared" si="0"/>
        <v>476.31397208144119</v>
      </c>
      <c r="P6" s="9">
        <v>2500</v>
      </c>
      <c r="Q6" s="9">
        <f t="shared" si="1"/>
        <v>476.31397208144119</v>
      </c>
      <c r="R6" s="9">
        <v>2500</v>
      </c>
      <c r="S6" s="9">
        <f t="shared" si="2"/>
        <v>476.31397208144119</v>
      </c>
      <c r="T6" s="9">
        <v>2500</v>
      </c>
      <c r="U6" s="9">
        <f t="shared" si="3"/>
        <v>476.31397208144119</v>
      </c>
      <c r="V6" s="9">
        <v>2500</v>
      </c>
      <c r="W6" s="9">
        <f t="shared" si="4"/>
        <v>476.31397208144119</v>
      </c>
      <c r="X6" s="9" t="s">
        <v>0</v>
      </c>
      <c r="Y6" s="9" t="str">
        <f t="shared" si="5"/>
        <v>-</v>
      </c>
      <c r="Z6" s="9" t="s">
        <v>0</v>
      </c>
      <c r="AA6" s="9" t="str">
        <f t="shared" si="6"/>
        <v>-</v>
      </c>
      <c r="AB6" s="9" t="s">
        <v>0</v>
      </c>
      <c r="AC6" s="9" t="str">
        <f t="shared" si="7"/>
        <v>-</v>
      </c>
      <c r="AD6" s="9" t="s">
        <v>0</v>
      </c>
      <c r="AE6" s="12" t="str">
        <f t="shared" si="8"/>
        <v>-</v>
      </c>
      <c r="AF6" s="9" t="s">
        <v>0</v>
      </c>
      <c r="AG6" s="9" t="s">
        <v>0</v>
      </c>
      <c r="AH6" s="9" t="s">
        <v>0</v>
      </c>
      <c r="AI6" s="9" t="s">
        <v>0</v>
      </c>
      <c r="AJ6" s="43" t="s">
        <v>0</v>
      </c>
      <c r="AK6" s="9" t="s">
        <v>0</v>
      </c>
      <c r="AL6" s="43" t="s">
        <v>0</v>
      </c>
      <c r="AM6" s="9" t="s">
        <v>0</v>
      </c>
      <c r="AN6" s="43" t="s">
        <v>0</v>
      </c>
      <c r="AO6" s="9" t="s">
        <v>0</v>
      </c>
      <c r="AP6" s="9" t="s">
        <v>0</v>
      </c>
      <c r="AQ6" s="43" t="s">
        <v>0</v>
      </c>
      <c r="AR6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6" s="9" t="str">
        <f t="shared" ref="AS6:AS94" si="9">IF(OR(AR6="",AR6="-"),"-",AR6*$M6*SQRT(3)/1000)</f>
        <v>-</v>
      </c>
      <c r="AT6" s="9">
        <f>IF(RIGHT(ABY[[#This Row],[Device type]],7)="Winding","-",ABY[[#This Row],[Cont Winter MVA]])</f>
        <v>476.31397208144119</v>
      </c>
      <c r="AU6" s="9">
        <f>IF(RIGHT(ABY[[#This Row],[Device type]],7)="Winding","-",ABY[[#This Row],[Cont Shoulder MVA]])</f>
        <v>476.31397208144119</v>
      </c>
      <c r="AV6" s="9">
        <f>IF(RIGHT(ABY[[#This Row],[Device type]],7)="Winding","-",ABY[[#This Row],[Cont Summer MVA]])</f>
        <v>476.31397208144119</v>
      </c>
      <c r="AW6" s="9">
        <f>IF(RIGHT(ABY[[#This Row],[Device type]],7)="Winding","-",ABY[[#This Row],[24 Hr Winter MVA]])</f>
        <v>476.31397208144119</v>
      </c>
      <c r="AX6" s="9">
        <f>IF(RIGHT(ABY[[#This Row],[Device type]],7)="Winding","-",ABY[[#This Row],[24 Hr Summer MVA]])</f>
        <v>476.31397208144119</v>
      </c>
      <c r="AY6" s="9" t="str">
        <f>ABY[[#This Row],[Forwards MVA]]</f>
        <v>-</v>
      </c>
      <c r="AZ6" s="9" t="str">
        <f>ABY[[#This Row],[Relay MVA]]</f>
        <v>-</v>
      </c>
      <c r="BA6" s="9" t="str">
        <f>ABY[[#This Row],[CT MVA]]</f>
        <v>-</v>
      </c>
      <c r="BB6" s="9" t="str">
        <f>ABY[[#This Row],[Derating MVA]]</f>
        <v>-</v>
      </c>
      <c r="BC6" s="9" t="str">
        <f>ABY[[#This Row],[Station/Feeder]]&amp;ABY[[#This Row],[Lowest MVA]]</f>
        <v>ABY_GXP476.313972081441</v>
      </c>
      <c r="BD6" s="9" t="str">
        <f>CONCATENATE(ABY[[#This Row],[Supply Level]],ABY[[#This Row],[Station/Feeder]],ABY[[#This Row],[Voltage]],ABY[[#This Row],[Lowest A-No PTX]])</f>
        <v>GXPABY_GXP1102500</v>
      </c>
      <c r="BE6" s="9" t="str">
        <f>CONCATENATE(ABY[[#This Row],[Supply Level]],ABY[[#This Row],[Station/Feeder]],ABY[[#This Row],[Voltage]],ABY[[#This Row],[Lowest A-PTX]])</f>
        <v>GXPABY_GXP1102500</v>
      </c>
      <c r="BF6" s="9">
        <f>IF(MIN(ABY[[#This Row],[Summ Cont Winter A]:[Cable Derating]])=0,"",MIN(ABY[[#This Row],[Summ Cont Winter A]:[Cable Derating]]))</f>
        <v>476.31397208144119</v>
      </c>
      <c r="BG6" s="57">
        <f>IFERROR(ABY[[#This Row],[Lowest MVA]]*1000/(ABY[[#This Row],[Voltage]]*SQRT(3)),"")</f>
        <v>2500</v>
      </c>
      <c r="BH6" s="57">
        <f t="shared" ref="BH6:BH36" si="10">IF(MIN(N6,P6,R6,T6,V6,X6,Z6,AB6,AD6,AR6)=0,"",MIN(N6,P6,R6,T6,V6,X6,Z6,AB6,AD6,AR6))</f>
        <v>2500</v>
      </c>
      <c r="BI6" s="9" t="str">
        <f>ABY[[#This Row],[From]]</f>
        <v>110 kv Bus</v>
      </c>
      <c r="BJ6" s="9" t="str">
        <f>ABY[[#This Row],[To]]</f>
        <v>11 kV CBs</v>
      </c>
      <c r="BK6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Circuit Breaker-ABY-CB62-Circuit Breaker</v>
      </c>
      <c r="BL6" s="9">
        <f>ABY[[#This Row],[Voltage]]</f>
        <v>110</v>
      </c>
    </row>
    <row r="7" spans="1:64" s="1" customFormat="1" ht="15" hidden="1" customHeight="1" x14ac:dyDescent="0.25">
      <c r="A7" s="353" t="str">
        <f>CONCATENATE(ABY[[#This Row],[Supply Level]],ABY[[#This Row],[Station/Feeder]],ABY[[#This Row],[Voltage]])</f>
        <v>GXPABY_GXP110</v>
      </c>
      <c r="B7" s="353" t="str">
        <f>CONCATENATE(ABY[[#This Row],[Supply Level]],ABY[[#This Row],[Station/Feeder]],ABY[[#This Row],[Equipment ID]],ABY[[#This Row],[Voltage]],ABY[[#This Row],[Device type]])</f>
        <v>GXPABY_GXPABY-CB62110Current Transformer</v>
      </c>
      <c r="C7" s="6" t="s">
        <v>4</v>
      </c>
      <c r="D7" s="11" t="s">
        <v>365</v>
      </c>
      <c r="E7" s="7" t="s">
        <v>301</v>
      </c>
      <c r="F7" s="7" t="s">
        <v>316</v>
      </c>
      <c r="G7" s="56">
        <v>3</v>
      </c>
      <c r="H7" s="49" t="s">
        <v>302</v>
      </c>
      <c r="I7" s="7" t="s">
        <v>2207</v>
      </c>
      <c r="J7" s="7" t="s">
        <v>15</v>
      </c>
      <c r="K7" s="7" t="s">
        <v>305</v>
      </c>
      <c r="L7" s="7" t="s">
        <v>16</v>
      </c>
      <c r="M7" s="57">
        <v>110</v>
      </c>
      <c r="N7" s="9">
        <v>1250</v>
      </c>
      <c r="O7" s="9">
        <f t="shared" si="0"/>
        <v>238.1569860407206</v>
      </c>
      <c r="P7" s="9">
        <v>1250</v>
      </c>
      <c r="Q7" s="9">
        <f t="shared" si="1"/>
        <v>238.1569860407206</v>
      </c>
      <c r="R7" s="9">
        <v>1250</v>
      </c>
      <c r="S7" s="9">
        <f t="shared" si="2"/>
        <v>238.1569860407206</v>
      </c>
      <c r="T7" s="9">
        <v>1250</v>
      </c>
      <c r="U7" s="9">
        <f t="shared" si="3"/>
        <v>238.1569860407206</v>
      </c>
      <c r="V7" s="9">
        <v>1250</v>
      </c>
      <c r="W7" s="9">
        <f t="shared" si="4"/>
        <v>238.1569860407206</v>
      </c>
      <c r="X7" s="9" t="s">
        <v>0</v>
      </c>
      <c r="Y7" s="9" t="str">
        <f t="shared" si="5"/>
        <v>-</v>
      </c>
      <c r="Z7" s="9" t="s">
        <v>0</v>
      </c>
      <c r="AA7" s="9" t="str">
        <f t="shared" si="6"/>
        <v>-</v>
      </c>
      <c r="AB7" s="9" t="s">
        <v>0</v>
      </c>
      <c r="AC7" s="9" t="str">
        <f t="shared" si="7"/>
        <v>-</v>
      </c>
      <c r="AD7" s="9" t="s">
        <v>0</v>
      </c>
      <c r="AE7" s="12" t="str">
        <f t="shared" si="8"/>
        <v>-</v>
      </c>
      <c r="AF7" s="9" t="s">
        <v>0</v>
      </c>
      <c r="AG7" s="9" t="s">
        <v>0</v>
      </c>
      <c r="AH7" s="9" t="s">
        <v>0</v>
      </c>
      <c r="AI7" s="9" t="s">
        <v>0</v>
      </c>
      <c r="AJ7" s="43" t="s">
        <v>0</v>
      </c>
      <c r="AK7" s="9" t="s">
        <v>0</v>
      </c>
      <c r="AL7" s="43" t="s">
        <v>0</v>
      </c>
      <c r="AM7" s="9" t="s">
        <v>0</v>
      </c>
      <c r="AN7" s="43" t="s">
        <v>0</v>
      </c>
      <c r="AO7" s="9" t="s">
        <v>0</v>
      </c>
      <c r="AP7" s="9" t="s">
        <v>0</v>
      </c>
      <c r="AQ7" s="43" t="s">
        <v>0</v>
      </c>
      <c r="AR7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7" s="9" t="str">
        <f t="shared" si="9"/>
        <v>-</v>
      </c>
      <c r="AT7" s="9">
        <f>IF(RIGHT(ABY[[#This Row],[Device type]],7)="Winding","-",ABY[[#This Row],[Cont Winter MVA]])</f>
        <v>238.1569860407206</v>
      </c>
      <c r="AU7" s="9">
        <f>IF(RIGHT(ABY[[#This Row],[Device type]],7)="Winding","-",ABY[[#This Row],[Cont Shoulder MVA]])</f>
        <v>238.1569860407206</v>
      </c>
      <c r="AV7" s="9">
        <f>IF(RIGHT(ABY[[#This Row],[Device type]],7)="Winding","-",ABY[[#This Row],[Cont Summer MVA]])</f>
        <v>238.1569860407206</v>
      </c>
      <c r="AW7" s="9">
        <f>IF(RIGHT(ABY[[#This Row],[Device type]],7)="Winding","-",ABY[[#This Row],[24 Hr Winter MVA]])</f>
        <v>238.1569860407206</v>
      </c>
      <c r="AX7" s="9">
        <f>IF(RIGHT(ABY[[#This Row],[Device type]],7)="Winding","-",ABY[[#This Row],[24 Hr Summer MVA]])</f>
        <v>238.1569860407206</v>
      </c>
      <c r="AY7" s="9" t="str">
        <f>ABY[[#This Row],[Forwards MVA]]</f>
        <v>-</v>
      </c>
      <c r="AZ7" s="9" t="str">
        <f>ABY[[#This Row],[Relay MVA]]</f>
        <v>-</v>
      </c>
      <c r="BA7" s="9" t="str">
        <f>ABY[[#This Row],[CT MVA]]</f>
        <v>-</v>
      </c>
      <c r="BB7" s="9" t="str">
        <f>ABY[[#This Row],[Derating MVA]]</f>
        <v>-</v>
      </c>
      <c r="BC7" s="9" t="str">
        <f>ABY[[#This Row],[Station/Feeder]]&amp;ABY[[#This Row],[Lowest MVA]]</f>
        <v>ABY_GXP238.156986040721</v>
      </c>
      <c r="BD7" s="9" t="str">
        <f>CONCATENATE(ABY[[#This Row],[Supply Level]],ABY[[#This Row],[Station/Feeder]],ABY[[#This Row],[Voltage]],ABY[[#This Row],[Lowest A-No PTX]])</f>
        <v>GXPABY_GXP1101250</v>
      </c>
      <c r="BE7" s="9" t="str">
        <f>CONCATENATE(ABY[[#This Row],[Supply Level]],ABY[[#This Row],[Station/Feeder]],ABY[[#This Row],[Voltage]],ABY[[#This Row],[Lowest A-PTX]])</f>
        <v>GXPABY_GXP1101250</v>
      </c>
      <c r="BF7" s="9">
        <f>IF(MIN(ABY[[#This Row],[Summ Cont Winter A]:[Cable Derating]])=0,"",MIN(ABY[[#This Row],[Summ Cont Winter A]:[Cable Derating]]))</f>
        <v>238.1569860407206</v>
      </c>
      <c r="BG7" s="57">
        <f>IFERROR(ABY[[#This Row],[Lowest MVA]]*1000/(ABY[[#This Row],[Voltage]]*SQRT(3)),"")</f>
        <v>1250</v>
      </c>
      <c r="BH7" s="57">
        <f t="shared" si="10"/>
        <v>1250</v>
      </c>
      <c r="BI7" s="9" t="str">
        <f>ABY[[#This Row],[From]]</f>
        <v>110 kv Bus</v>
      </c>
      <c r="BJ7" s="9" t="str">
        <f>ABY[[#This Row],[To]]</f>
        <v>11 kV CBs</v>
      </c>
      <c r="BK7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Circuit Breaker-ABY-CB62-Current Transformer</v>
      </c>
      <c r="BL7" s="9">
        <f>ABY[[#This Row],[Voltage]]</f>
        <v>110</v>
      </c>
    </row>
    <row r="8" spans="1:64" s="1" customFormat="1" ht="15" hidden="1" customHeight="1" x14ac:dyDescent="0.25">
      <c r="A8" s="353" t="str">
        <f>CONCATENATE(ABY[[#This Row],[Supply Level]],ABY[[#This Row],[Station/Feeder]],ABY[[#This Row],[Voltage]])</f>
        <v>GXPABY_GXP110</v>
      </c>
      <c r="B8" s="353" t="str">
        <f>CONCATENATE(ABY[[#This Row],[Supply Level]],ABY[[#This Row],[Station/Feeder]],ABY[[#This Row],[Equipment ID]],ABY[[#This Row],[Voltage]],ABY[[#This Row],[Device type]])</f>
        <v>GXPABY_GXPABY-CB62110Current Transformer</v>
      </c>
      <c r="C8" s="6" t="s">
        <v>4</v>
      </c>
      <c r="D8" s="11" t="s">
        <v>365</v>
      </c>
      <c r="E8" s="7" t="s">
        <v>301</v>
      </c>
      <c r="F8" s="7" t="s">
        <v>316</v>
      </c>
      <c r="G8" s="56">
        <v>4</v>
      </c>
      <c r="H8" s="49" t="s">
        <v>302</v>
      </c>
      <c r="I8" s="7" t="s">
        <v>2207</v>
      </c>
      <c r="J8" s="7" t="s">
        <v>15</v>
      </c>
      <c r="K8" s="7" t="s">
        <v>305</v>
      </c>
      <c r="L8" s="7" t="s">
        <v>16</v>
      </c>
      <c r="M8" s="57">
        <v>110</v>
      </c>
      <c r="N8" s="9">
        <v>1250</v>
      </c>
      <c r="O8" s="9">
        <f t="shared" si="0"/>
        <v>238.1569860407206</v>
      </c>
      <c r="P8" s="9">
        <v>1250</v>
      </c>
      <c r="Q8" s="9">
        <f t="shared" si="1"/>
        <v>238.1569860407206</v>
      </c>
      <c r="R8" s="9">
        <v>1250</v>
      </c>
      <c r="S8" s="9">
        <f t="shared" si="2"/>
        <v>238.1569860407206</v>
      </c>
      <c r="T8" s="9">
        <v>1250</v>
      </c>
      <c r="U8" s="9">
        <f t="shared" si="3"/>
        <v>238.1569860407206</v>
      </c>
      <c r="V8" s="9">
        <v>1250</v>
      </c>
      <c r="W8" s="9">
        <f t="shared" si="4"/>
        <v>238.1569860407206</v>
      </c>
      <c r="X8" s="9" t="s">
        <v>0</v>
      </c>
      <c r="Y8" s="9" t="str">
        <f t="shared" si="5"/>
        <v>-</v>
      </c>
      <c r="Z8" s="9" t="s">
        <v>0</v>
      </c>
      <c r="AA8" s="9" t="str">
        <f t="shared" si="6"/>
        <v>-</v>
      </c>
      <c r="AB8" s="9" t="s">
        <v>0</v>
      </c>
      <c r="AC8" s="9" t="str">
        <f t="shared" si="7"/>
        <v>-</v>
      </c>
      <c r="AD8" s="9" t="s">
        <v>0</v>
      </c>
      <c r="AE8" s="12" t="str">
        <f t="shared" si="8"/>
        <v>-</v>
      </c>
      <c r="AF8" s="9" t="s">
        <v>0</v>
      </c>
      <c r="AG8" s="9" t="s">
        <v>0</v>
      </c>
      <c r="AH8" s="9" t="s">
        <v>0</v>
      </c>
      <c r="AI8" s="9" t="s">
        <v>0</v>
      </c>
      <c r="AJ8" s="43" t="s">
        <v>0</v>
      </c>
      <c r="AK8" s="9" t="s">
        <v>0</v>
      </c>
      <c r="AL8" s="43" t="s">
        <v>0</v>
      </c>
      <c r="AM8" s="9" t="s">
        <v>0</v>
      </c>
      <c r="AN8" s="43" t="s">
        <v>0</v>
      </c>
      <c r="AO8" s="9" t="s">
        <v>0</v>
      </c>
      <c r="AP8" s="9" t="s">
        <v>0</v>
      </c>
      <c r="AQ8" s="43" t="s">
        <v>0</v>
      </c>
      <c r="AR8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8" s="9" t="str">
        <f t="shared" si="9"/>
        <v>-</v>
      </c>
      <c r="AT8" s="9">
        <f>IF(RIGHT(ABY[[#This Row],[Device type]],7)="Winding","-",ABY[[#This Row],[Cont Winter MVA]])</f>
        <v>238.1569860407206</v>
      </c>
      <c r="AU8" s="9">
        <f>IF(RIGHT(ABY[[#This Row],[Device type]],7)="Winding","-",ABY[[#This Row],[Cont Shoulder MVA]])</f>
        <v>238.1569860407206</v>
      </c>
      <c r="AV8" s="9">
        <f>IF(RIGHT(ABY[[#This Row],[Device type]],7)="Winding","-",ABY[[#This Row],[Cont Summer MVA]])</f>
        <v>238.1569860407206</v>
      </c>
      <c r="AW8" s="9">
        <f>IF(RIGHT(ABY[[#This Row],[Device type]],7)="Winding","-",ABY[[#This Row],[24 Hr Winter MVA]])</f>
        <v>238.1569860407206</v>
      </c>
      <c r="AX8" s="9">
        <f>IF(RIGHT(ABY[[#This Row],[Device type]],7)="Winding","-",ABY[[#This Row],[24 Hr Summer MVA]])</f>
        <v>238.1569860407206</v>
      </c>
      <c r="AY8" s="9" t="str">
        <f>ABY[[#This Row],[Forwards MVA]]</f>
        <v>-</v>
      </c>
      <c r="AZ8" s="9" t="str">
        <f>ABY[[#This Row],[Relay MVA]]</f>
        <v>-</v>
      </c>
      <c r="BA8" s="9" t="str">
        <f>ABY[[#This Row],[CT MVA]]</f>
        <v>-</v>
      </c>
      <c r="BB8" s="9" t="str">
        <f>ABY[[#This Row],[Derating MVA]]</f>
        <v>-</v>
      </c>
      <c r="BC8" s="9" t="str">
        <f>ABY[[#This Row],[Station/Feeder]]&amp;ABY[[#This Row],[Lowest MVA]]</f>
        <v>ABY_GXP238.156986040721</v>
      </c>
      <c r="BD8" s="9" t="str">
        <f>CONCATENATE(ABY[[#This Row],[Supply Level]],ABY[[#This Row],[Station/Feeder]],ABY[[#This Row],[Voltage]],ABY[[#This Row],[Lowest A-No PTX]])</f>
        <v>GXPABY_GXP1101250</v>
      </c>
      <c r="BE8" s="9" t="str">
        <f>CONCATENATE(ABY[[#This Row],[Supply Level]],ABY[[#This Row],[Station/Feeder]],ABY[[#This Row],[Voltage]],ABY[[#This Row],[Lowest A-PTX]])</f>
        <v>GXPABY_GXP1101250</v>
      </c>
      <c r="BF8" s="9">
        <f>IF(MIN(ABY[[#This Row],[Summ Cont Winter A]:[Cable Derating]])=0,"",MIN(ABY[[#This Row],[Summ Cont Winter A]:[Cable Derating]]))</f>
        <v>238.1569860407206</v>
      </c>
      <c r="BG8" s="57">
        <f>IFERROR(ABY[[#This Row],[Lowest MVA]]*1000/(ABY[[#This Row],[Voltage]]*SQRT(3)),"")</f>
        <v>1250</v>
      </c>
      <c r="BH8" s="57">
        <f t="shared" si="10"/>
        <v>1250</v>
      </c>
      <c r="BI8" s="9" t="str">
        <f>ABY[[#This Row],[From]]</f>
        <v>110 kv Bus</v>
      </c>
      <c r="BJ8" s="9" t="str">
        <f>ABY[[#This Row],[To]]</f>
        <v>11 kV CBs</v>
      </c>
      <c r="BK8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Circuit Breaker-ABY-CB62-Current Transformer</v>
      </c>
      <c r="BL8" s="9">
        <f>ABY[[#This Row],[Voltage]]</f>
        <v>110</v>
      </c>
    </row>
    <row r="9" spans="1:64" s="1" customFormat="1" ht="15" hidden="1" customHeight="1" x14ac:dyDescent="0.25">
      <c r="A9" s="353" t="str">
        <f>CONCATENATE(ABY[[#This Row],[Supply Level]],ABY[[#This Row],[Station/Feeder]],ABY[[#This Row],[Voltage]])</f>
        <v>GXPABY_GXP110</v>
      </c>
      <c r="B9" s="353" t="str">
        <f>CONCATENATE(ABY[[#This Row],[Supply Level]],ABY[[#This Row],[Station/Feeder]],ABY[[#This Row],[Equipment ID]],ABY[[#This Row],[Voltage]],ABY[[#This Row],[Device type]])</f>
        <v>GXPABY_GXPABY-CB62110Current Transformer</v>
      </c>
      <c r="C9" s="6" t="s">
        <v>4</v>
      </c>
      <c r="D9" s="11" t="s">
        <v>365</v>
      </c>
      <c r="E9" s="7" t="s">
        <v>301</v>
      </c>
      <c r="F9" s="7" t="s">
        <v>316</v>
      </c>
      <c r="G9" s="56">
        <v>5</v>
      </c>
      <c r="H9" s="49" t="s">
        <v>302</v>
      </c>
      <c r="I9" s="7" t="s">
        <v>2207</v>
      </c>
      <c r="J9" s="7" t="s">
        <v>15</v>
      </c>
      <c r="K9" s="7" t="s">
        <v>305</v>
      </c>
      <c r="L9" s="7" t="s">
        <v>16</v>
      </c>
      <c r="M9" s="57">
        <v>110</v>
      </c>
      <c r="N9" s="9">
        <v>1250</v>
      </c>
      <c r="O9" s="9">
        <f t="shared" si="0"/>
        <v>238.1569860407206</v>
      </c>
      <c r="P9" s="9">
        <v>1250</v>
      </c>
      <c r="Q9" s="9">
        <f t="shared" si="1"/>
        <v>238.1569860407206</v>
      </c>
      <c r="R9" s="9">
        <v>1250</v>
      </c>
      <c r="S9" s="9">
        <f t="shared" si="2"/>
        <v>238.1569860407206</v>
      </c>
      <c r="T9" s="9">
        <v>1250</v>
      </c>
      <c r="U9" s="9">
        <f t="shared" si="3"/>
        <v>238.1569860407206</v>
      </c>
      <c r="V9" s="9">
        <v>1250</v>
      </c>
      <c r="W9" s="9">
        <f t="shared" si="4"/>
        <v>238.1569860407206</v>
      </c>
      <c r="X9" s="9" t="s">
        <v>0</v>
      </c>
      <c r="Y9" s="9" t="str">
        <f t="shared" si="5"/>
        <v>-</v>
      </c>
      <c r="Z9" s="9" t="s">
        <v>0</v>
      </c>
      <c r="AA9" s="9" t="str">
        <f t="shared" si="6"/>
        <v>-</v>
      </c>
      <c r="AB9" s="9" t="s">
        <v>0</v>
      </c>
      <c r="AC9" s="9" t="str">
        <f t="shared" si="7"/>
        <v>-</v>
      </c>
      <c r="AD9" s="9" t="s">
        <v>0</v>
      </c>
      <c r="AE9" s="12" t="str">
        <f t="shared" si="8"/>
        <v>-</v>
      </c>
      <c r="AF9" s="9" t="s">
        <v>0</v>
      </c>
      <c r="AG9" s="9" t="s">
        <v>0</v>
      </c>
      <c r="AH9" s="9" t="s">
        <v>0</v>
      </c>
      <c r="AI9" s="9" t="s">
        <v>0</v>
      </c>
      <c r="AJ9" s="43" t="s">
        <v>0</v>
      </c>
      <c r="AK9" s="9" t="s">
        <v>0</v>
      </c>
      <c r="AL9" s="43" t="s">
        <v>0</v>
      </c>
      <c r="AM9" s="9" t="s">
        <v>0</v>
      </c>
      <c r="AN9" s="43" t="s">
        <v>0</v>
      </c>
      <c r="AO9" s="9" t="s">
        <v>0</v>
      </c>
      <c r="AP9" s="9" t="s">
        <v>0</v>
      </c>
      <c r="AQ9" s="43" t="s">
        <v>0</v>
      </c>
      <c r="AR9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9" s="9" t="str">
        <f t="shared" si="9"/>
        <v>-</v>
      </c>
      <c r="AT9" s="9">
        <f>IF(RIGHT(ABY[[#This Row],[Device type]],7)="Winding","-",ABY[[#This Row],[Cont Winter MVA]])</f>
        <v>238.1569860407206</v>
      </c>
      <c r="AU9" s="9">
        <f>IF(RIGHT(ABY[[#This Row],[Device type]],7)="Winding","-",ABY[[#This Row],[Cont Shoulder MVA]])</f>
        <v>238.1569860407206</v>
      </c>
      <c r="AV9" s="9">
        <f>IF(RIGHT(ABY[[#This Row],[Device type]],7)="Winding","-",ABY[[#This Row],[Cont Summer MVA]])</f>
        <v>238.1569860407206</v>
      </c>
      <c r="AW9" s="9">
        <f>IF(RIGHT(ABY[[#This Row],[Device type]],7)="Winding","-",ABY[[#This Row],[24 Hr Winter MVA]])</f>
        <v>238.1569860407206</v>
      </c>
      <c r="AX9" s="9">
        <f>IF(RIGHT(ABY[[#This Row],[Device type]],7)="Winding","-",ABY[[#This Row],[24 Hr Summer MVA]])</f>
        <v>238.1569860407206</v>
      </c>
      <c r="AY9" s="9" t="str">
        <f>ABY[[#This Row],[Forwards MVA]]</f>
        <v>-</v>
      </c>
      <c r="AZ9" s="9" t="str">
        <f>ABY[[#This Row],[Relay MVA]]</f>
        <v>-</v>
      </c>
      <c r="BA9" s="9" t="str">
        <f>ABY[[#This Row],[CT MVA]]</f>
        <v>-</v>
      </c>
      <c r="BB9" s="9" t="str">
        <f>ABY[[#This Row],[Derating MVA]]</f>
        <v>-</v>
      </c>
      <c r="BC9" s="9" t="str">
        <f>ABY[[#This Row],[Station/Feeder]]&amp;ABY[[#This Row],[Lowest MVA]]</f>
        <v>ABY_GXP238.156986040721</v>
      </c>
      <c r="BD9" s="9" t="str">
        <f>CONCATENATE(ABY[[#This Row],[Supply Level]],ABY[[#This Row],[Station/Feeder]],ABY[[#This Row],[Voltage]],ABY[[#This Row],[Lowest A-No PTX]])</f>
        <v>GXPABY_GXP1101250</v>
      </c>
      <c r="BE9" s="9" t="str">
        <f>CONCATENATE(ABY[[#This Row],[Supply Level]],ABY[[#This Row],[Station/Feeder]],ABY[[#This Row],[Voltage]],ABY[[#This Row],[Lowest A-PTX]])</f>
        <v>GXPABY_GXP1101250</v>
      </c>
      <c r="BF9" s="9">
        <f>IF(MIN(ABY[[#This Row],[Summ Cont Winter A]:[Cable Derating]])=0,"",MIN(ABY[[#This Row],[Summ Cont Winter A]:[Cable Derating]]))</f>
        <v>238.1569860407206</v>
      </c>
      <c r="BG9" s="57">
        <f>IFERROR(ABY[[#This Row],[Lowest MVA]]*1000/(ABY[[#This Row],[Voltage]]*SQRT(3)),"")</f>
        <v>1250</v>
      </c>
      <c r="BH9" s="57">
        <f t="shared" si="10"/>
        <v>1250</v>
      </c>
      <c r="BI9" s="9" t="str">
        <f>ABY[[#This Row],[From]]</f>
        <v>110 kv Bus</v>
      </c>
      <c r="BJ9" s="9" t="str">
        <f>ABY[[#This Row],[To]]</f>
        <v>11 kV CBs</v>
      </c>
      <c r="BK9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Circuit Breaker-ABY-CB62-Current Transformer</v>
      </c>
      <c r="BL9" s="9">
        <f>ABY[[#This Row],[Voltage]]</f>
        <v>110</v>
      </c>
    </row>
    <row r="10" spans="1:64" s="1" customFormat="1" ht="15" hidden="1" customHeight="1" x14ac:dyDescent="0.25">
      <c r="A10" s="353" t="str">
        <f>CONCATENATE(ABY[[#This Row],[Supply Level]],ABY[[#This Row],[Station/Feeder]],ABY[[#This Row],[Voltage]])</f>
        <v>GXPABY_GXP110</v>
      </c>
      <c r="B10" s="353" t="str">
        <f>CONCATENATE(ABY[[#This Row],[Supply Level]],ABY[[#This Row],[Station/Feeder]],ABY[[#This Row],[Equipment ID]],ABY[[#This Row],[Voltage]],ABY[[#This Row],[Device type]])</f>
        <v>GXPABY_GXPABY-CB62110Protection</v>
      </c>
      <c r="C10" s="6" t="s">
        <v>4</v>
      </c>
      <c r="D10" s="11" t="s">
        <v>365</v>
      </c>
      <c r="E10" s="7" t="s">
        <v>301</v>
      </c>
      <c r="F10" s="7" t="s">
        <v>316</v>
      </c>
      <c r="G10" s="56">
        <v>6</v>
      </c>
      <c r="H10" s="49" t="s">
        <v>302</v>
      </c>
      <c r="I10" s="7" t="s">
        <v>2207</v>
      </c>
      <c r="J10" s="7" t="s">
        <v>15</v>
      </c>
      <c r="K10" s="7" t="s">
        <v>1120</v>
      </c>
      <c r="L10" s="7" t="s">
        <v>1423</v>
      </c>
      <c r="M10" s="57">
        <v>110</v>
      </c>
      <c r="N10" s="9">
        <v>199</v>
      </c>
      <c r="O10" s="9">
        <f t="shared" si="0"/>
        <v>37.914592177682721</v>
      </c>
      <c r="P10" s="9">
        <v>199</v>
      </c>
      <c r="Q10" s="9">
        <f t="shared" si="1"/>
        <v>37.914592177682721</v>
      </c>
      <c r="R10" s="9">
        <v>199</v>
      </c>
      <c r="S10" s="9">
        <f t="shared" si="2"/>
        <v>37.914592177682721</v>
      </c>
      <c r="T10" s="9" t="s">
        <v>0</v>
      </c>
      <c r="U10" s="9" t="str">
        <f t="shared" si="3"/>
        <v>-</v>
      </c>
      <c r="V10" s="9" t="s">
        <v>0</v>
      </c>
      <c r="W10" s="9" t="str">
        <f t="shared" si="4"/>
        <v>-</v>
      </c>
      <c r="X10" s="9">
        <v>199</v>
      </c>
      <c r="Y10" s="9">
        <f t="shared" si="5"/>
        <v>37.914592177682721</v>
      </c>
      <c r="Z10" s="9">
        <v>199</v>
      </c>
      <c r="AA10" s="9">
        <f t="shared" si="6"/>
        <v>37.914592177682721</v>
      </c>
      <c r="AB10" s="9">
        <v>600</v>
      </c>
      <c r="AC10" s="9">
        <f t="shared" si="7"/>
        <v>114.31535329954589</v>
      </c>
      <c r="AD10" s="9">
        <v>400</v>
      </c>
      <c r="AE10" s="12">
        <f t="shared" si="8"/>
        <v>76.210235533030598</v>
      </c>
      <c r="AF10" s="9" t="s">
        <v>0</v>
      </c>
      <c r="AG10" s="9" t="s">
        <v>0</v>
      </c>
      <c r="AH10" s="9" t="s">
        <v>0</v>
      </c>
      <c r="AI10" s="9" t="s">
        <v>0</v>
      </c>
      <c r="AJ10" s="43" t="s">
        <v>0</v>
      </c>
      <c r="AK10" s="9" t="s">
        <v>0</v>
      </c>
      <c r="AL10" s="43" t="s">
        <v>0</v>
      </c>
      <c r="AM10" s="9" t="s">
        <v>0</v>
      </c>
      <c r="AN10" s="43" t="s">
        <v>0</v>
      </c>
      <c r="AO10" s="9" t="s">
        <v>0</v>
      </c>
      <c r="AP10" s="9" t="s">
        <v>0</v>
      </c>
      <c r="AQ10" s="43" t="s">
        <v>0</v>
      </c>
      <c r="AR10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10" s="9" t="str">
        <f t="shared" si="9"/>
        <v>-</v>
      </c>
      <c r="AT10" s="9">
        <f>IF(RIGHT(ABY[[#This Row],[Device type]],7)="Winding","-",ABY[[#This Row],[Cont Winter MVA]])</f>
        <v>37.914592177682721</v>
      </c>
      <c r="AU10" s="9">
        <f>IF(RIGHT(ABY[[#This Row],[Device type]],7)="Winding","-",ABY[[#This Row],[Cont Shoulder MVA]])</f>
        <v>37.914592177682721</v>
      </c>
      <c r="AV10" s="9">
        <f>IF(RIGHT(ABY[[#This Row],[Device type]],7)="Winding","-",ABY[[#This Row],[Cont Summer MVA]])</f>
        <v>37.914592177682721</v>
      </c>
      <c r="AW10" s="9" t="str">
        <f>IF(RIGHT(ABY[[#This Row],[Device type]],7)="Winding","-",ABY[[#This Row],[24 Hr Winter MVA]])</f>
        <v>-</v>
      </c>
      <c r="AX10" s="9" t="str">
        <f>IF(RIGHT(ABY[[#This Row],[Device type]],7)="Winding","-",ABY[[#This Row],[24 Hr Summer MVA]])</f>
        <v>-</v>
      </c>
      <c r="AY10" s="9">
        <f>ABY[[#This Row],[Forwards MVA]]</f>
        <v>37.914592177682721</v>
      </c>
      <c r="AZ10" s="9">
        <f>ABY[[#This Row],[Relay MVA]]</f>
        <v>114.31535329954589</v>
      </c>
      <c r="BA10" s="9">
        <f>ABY[[#This Row],[CT MVA]]</f>
        <v>76.210235533030598</v>
      </c>
      <c r="BB10" s="9" t="str">
        <f>ABY[[#This Row],[Derating MVA]]</f>
        <v>-</v>
      </c>
      <c r="BC10" s="9" t="str">
        <f>ABY[[#This Row],[Station/Feeder]]&amp;ABY[[#This Row],[Lowest MVA]]</f>
        <v>ABY_GXP37.9145921776827</v>
      </c>
      <c r="BD10" s="9" t="str">
        <f>CONCATENATE(ABY[[#This Row],[Supply Level]],ABY[[#This Row],[Station/Feeder]],ABY[[#This Row],[Voltage]],ABY[[#This Row],[Lowest A-No PTX]])</f>
        <v>GXPABY_GXP110199</v>
      </c>
      <c r="BE10" s="9" t="str">
        <f>CONCATENATE(ABY[[#This Row],[Supply Level]],ABY[[#This Row],[Station/Feeder]],ABY[[#This Row],[Voltage]],ABY[[#This Row],[Lowest A-PTX]])</f>
        <v>GXPABY_GXP110199</v>
      </c>
      <c r="BF10" s="9">
        <f>IF(MIN(ABY[[#This Row],[Summ Cont Winter A]:[Cable Derating]])=0,"",MIN(ABY[[#This Row],[Summ Cont Winter A]:[Cable Derating]]))</f>
        <v>37.914592177682721</v>
      </c>
      <c r="BG10" s="57">
        <f>IFERROR(ABY[[#This Row],[Lowest MVA]]*1000/(ABY[[#This Row],[Voltage]]*SQRT(3)),"")</f>
        <v>199</v>
      </c>
      <c r="BH10" s="57">
        <f t="shared" si="10"/>
        <v>199</v>
      </c>
      <c r="BI10" s="9" t="str">
        <f>ABY[[#This Row],[From]]</f>
        <v>110 kv Bus</v>
      </c>
      <c r="BJ10" s="9" t="str">
        <f>ABY[[#This Row],[To]]</f>
        <v>11 kV CBs</v>
      </c>
      <c r="BK10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Circuit Breaker-ABY-CB62-Protection</v>
      </c>
      <c r="BL10" s="9">
        <f>ABY[[#This Row],[Voltage]]</f>
        <v>110</v>
      </c>
    </row>
    <row r="11" spans="1:64" s="1" customFormat="1" ht="15" hidden="1" customHeight="1" x14ac:dyDescent="0.25">
      <c r="A11" s="353" t="str">
        <f>CONCATENATE(ABY[[#This Row],[Supply Level]],ABY[[#This Row],[Station/Feeder]],ABY[[#This Row],[Voltage]])</f>
        <v>GXPABY_GXP110</v>
      </c>
      <c r="B11" s="353" t="str">
        <f>CONCATENATE(ABY[[#This Row],[Supply Level]],ABY[[#This Row],[Station/Feeder]],ABY[[#This Row],[Equipment ID]],ABY[[#This Row],[Voltage]],ABY[[#This Row],[Device type]])</f>
        <v>GXPABY_GXPABY-CB62110Protection</v>
      </c>
      <c r="C11" s="6" t="s">
        <v>4</v>
      </c>
      <c r="D11" s="11" t="s">
        <v>365</v>
      </c>
      <c r="E11" s="7" t="s">
        <v>301</v>
      </c>
      <c r="F11" s="7" t="s">
        <v>316</v>
      </c>
      <c r="G11" s="56">
        <v>7</v>
      </c>
      <c r="H11" s="49" t="s">
        <v>302</v>
      </c>
      <c r="I11" s="7" t="s">
        <v>2207</v>
      </c>
      <c r="J11" s="7" t="s">
        <v>15</v>
      </c>
      <c r="K11" s="7" t="s">
        <v>306</v>
      </c>
      <c r="L11" s="7" t="s">
        <v>1423</v>
      </c>
      <c r="M11" s="57">
        <v>110</v>
      </c>
      <c r="N11" s="9">
        <v>199</v>
      </c>
      <c r="O11" s="9">
        <f t="shared" si="0"/>
        <v>37.914592177682721</v>
      </c>
      <c r="P11" s="9">
        <v>199</v>
      </c>
      <c r="Q11" s="9">
        <f t="shared" si="1"/>
        <v>37.914592177682721</v>
      </c>
      <c r="R11" s="9">
        <v>199</v>
      </c>
      <c r="S11" s="9">
        <f t="shared" si="2"/>
        <v>37.914592177682721</v>
      </c>
      <c r="T11" s="9" t="s">
        <v>0</v>
      </c>
      <c r="U11" s="9" t="str">
        <f t="shared" si="3"/>
        <v>-</v>
      </c>
      <c r="V11" s="9" t="s">
        <v>0</v>
      </c>
      <c r="W11" s="9" t="str">
        <f t="shared" si="4"/>
        <v>-</v>
      </c>
      <c r="X11" s="9">
        <v>199</v>
      </c>
      <c r="Y11" s="9">
        <f t="shared" si="5"/>
        <v>37.914592177682721</v>
      </c>
      <c r="Z11" s="9">
        <v>199</v>
      </c>
      <c r="AA11" s="9">
        <f t="shared" si="6"/>
        <v>37.914592177682721</v>
      </c>
      <c r="AB11" s="9">
        <v>800</v>
      </c>
      <c r="AC11" s="9">
        <f t="shared" si="7"/>
        <v>152.4204710660612</v>
      </c>
      <c r="AD11" s="9">
        <v>400</v>
      </c>
      <c r="AE11" s="12">
        <f t="shared" si="8"/>
        <v>76.210235533030598</v>
      </c>
      <c r="AF11" s="9" t="s">
        <v>0</v>
      </c>
      <c r="AG11" s="9" t="s">
        <v>0</v>
      </c>
      <c r="AH11" s="9" t="s">
        <v>0</v>
      </c>
      <c r="AI11" s="9" t="s">
        <v>0</v>
      </c>
      <c r="AJ11" s="43" t="s">
        <v>0</v>
      </c>
      <c r="AK11" s="9" t="s">
        <v>0</v>
      </c>
      <c r="AL11" s="43" t="s">
        <v>0</v>
      </c>
      <c r="AM11" s="9" t="s">
        <v>0</v>
      </c>
      <c r="AN11" s="43" t="s">
        <v>0</v>
      </c>
      <c r="AO11" s="9" t="s">
        <v>0</v>
      </c>
      <c r="AP11" s="9" t="s">
        <v>0</v>
      </c>
      <c r="AQ11" s="43" t="s">
        <v>0</v>
      </c>
      <c r="AR11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11" s="9" t="str">
        <f t="shared" si="9"/>
        <v>-</v>
      </c>
      <c r="AT11" s="9">
        <f>IF(RIGHT(ABY[[#This Row],[Device type]],7)="Winding","-",ABY[[#This Row],[Cont Winter MVA]])</f>
        <v>37.914592177682721</v>
      </c>
      <c r="AU11" s="9">
        <f>IF(RIGHT(ABY[[#This Row],[Device type]],7)="Winding","-",ABY[[#This Row],[Cont Shoulder MVA]])</f>
        <v>37.914592177682721</v>
      </c>
      <c r="AV11" s="9">
        <f>IF(RIGHT(ABY[[#This Row],[Device type]],7)="Winding","-",ABY[[#This Row],[Cont Summer MVA]])</f>
        <v>37.914592177682721</v>
      </c>
      <c r="AW11" s="9" t="str">
        <f>IF(RIGHT(ABY[[#This Row],[Device type]],7)="Winding","-",ABY[[#This Row],[24 Hr Winter MVA]])</f>
        <v>-</v>
      </c>
      <c r="AX11" s="9" t="str">
        <f>IF(RIGHT(ABY[[#This Row],[Device type]],7)="Winding","-",ABY[[#This Row],[24 Hr Summer MVA]])</f>
        <v>-</v>
      </c>
      <c r="AY11" s="9">
        <f>ABY[[#This Row],[Forwards MVA]]</f>
        <v>37.914592177682721</v>
      </c>
      <c r="AZ11" s="9">
        <f>ABY[[#This Row],[Relay MVA]]</f>
        <v>152.4204710660612</v>
      </c>
      <c r="BA11" s="9">
        <f>ABY[[#This Row],[CT MVA]]</f>
        <v>76.210235533030598</v>
      </c>
      <c r="BB11" s="9" t="str">
        <f>ABY[[#This Row],[Derating MVA]]</f>
        <v>-</v>
      </c>
      <c r="BC11" s="9" t="str">
        <f>ABY[[#This Row],[Station/Feeder]]&amp;ABY[[#This Row],[Lowest MVA]]</f>
        <v>ABY_GXP37.9145921776827</v>
      </c>
      <c r="BD11" s="9" t="str">
        <f>CONCATENATE(ABY[[#This Row],[Supply Level]],ABY[[#This Row],[Station/Feeder]],ABY[[#This Row],[Voltage]],ABY[[#This Row],[Lowest A-No PTX]])</f>
        <v>GXPABY_GXP110199</v>
      </c>
      <c r="BE11" s="9" t="str">
        <f>CONCATENATE(ABY[[#This Row],[Supply Level]],ABY[[#This Row],[Station/Feeder]],ABY[[#This Row],[Voltage]],ABY[[#This Row],[Lowest A-PTX]])</f>
        <v>GXPABY_GXP110199</v>
      </c>
      <c r="BF11" s="9">
        <f>IF(MIN(ABY[[#This Row],[Summ Cont Winter A]:[Cable Derating]])=0,"",MIN(ABY[[#This Row],[Summ Cont Winter A]:[Cable Derating]]))</f>
        <v>37.914592177682721</v>
      </c>
      <c r="BG11" s="57">
        <f>IFERROR(ABY[[#This Row],[Lowest MVA]]*1000/(ABY[[#This Row],[Voltage]]*SQRT(3)),"")</f>
        <v>199</v>
      </c>
      <c r="BH11" s="57">
        <f t="shared" si="10"/>
        <v>199</v>
      </c>
      <c r="BI11" s="9" t="str">
        <f>ABY[[#This Row],[From]]</f>
        <v>110 kv Bus</v>
      </c>
      <c r="BJ11" s="9" t="str">
        <f>ABY[[#This Row],[To]]</f>
        <v>11 kV CBs</v>
      </c>
      <c r="BK11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Circuit Breaker-ABY-CB62-Protection</v>
      </c>
      <c r="BL11" s="9">
        <f>ABY[[#This Row],[Voltage]]</f>
        <v>110</v>
      </c>
    </row>
    <row r="12" spans="1:64" s="1" customFormat="1" ht="15" hidden="1" customHeight="1" x14ac:dyDescent="0.25">
      <c r="A12" s="353" t="str">
        <f>CONCATENATE(ABY[[#This Row],[Supply Level]],ABY[[#This Row],[Station/Feeder]],ABY[[#This Row],[Voltage]])</f>
        <v>GXPABY_GXP110</v>
      </c>
      <c r="B12" s="353" t="str">
        <f>CONCATENATE(ABY[[#This Row],[Supply Level]],ABY[[#This Row],[Station/Feeder]],ABY[[#This Row],[Equipment ID]],ABY[[#This Row],[Voltage]],ABY[[#This Row],[Device type]])</f>
        <v>GXPABY_GXPT2110HV Winding</v>
      </c>
      <c r="C12" s="6" t="s">
        <v>4</v>
      </c>
      <c r="D12" s="11" t="s">
        <v>365</v>
      </c>
      <c r="E12" s="7" t="s">
        <v>301</v>
      </c>
      <c r="F12" s="7" t="s">
        <v>316</v>
      </c>
      <c r="G12" s="56">
        <v>8</v>
      </c>
      <c r="H12" s="49" t="s">
        <v>302</v>
      </c>
      <c r="I12" s="7" t="s">
        <v>307</v>
      </c>
      <c r="J12" s="7" t="s">
        <v>19</v>
      </c>
      <c r="K12" s="7" t="s">
        <v>308</v>
      </c>
      <c r="L12" s="7" t="s">
        <v>36</v>
      </c>
      <c r="M12" s="57">
        <v>110</v>
      </c>
      <c r="N12" s="9">
        <v>105</v>
      </c>
      <c r="O12" s="9">
        <f t="shared" si="0"/>
        <v>20.00518682742053</v>
      </c>
      <c r="P12" s="9">
        <v>105</v>
      </c>
      <c r="Q12" s="9">
        <f t="shared" si="1"/>
        <v>20.00518682742053</v>
      </c>
      <c r="R12" s="9">
        <v>105</v>
      </c>
      <c r="S12" s="9">
        <f t="shared" si="2"/>
        <v>20.00518682742053</v>
      </c>
      <c r="T12" s="9">
        <v>155</v>
      </c>
      <c r="U12" s="9">
        <f t="shared" si="3"/>
        <v>29.531466269049357</v>
      </c>
      <c r="V12" s="9">
        <v>148</v>
      </c>
      <c r="W12" s="9">
        <f t="shared" si="4"/>
        <v>28.19778714722132</v>
      </c>
      <c r="X12" s="9" t="s">
        <v>0</v>
      </c>
      <c r="Y12" s="9" t="str">
        <f t="shared" si="5"/>
        <v>-</v>
      </c>
      <c r="Z12" s="9" t="s">
        <v>0</v>
      </c>
      <c r="AA12" s="9" t="str">
        <f t="shared" si="6"/>
        <v>-</v>
      </c>
      <c r="AB12" s="9" t="s">
        <v>0</v>
      </c>
      <c r="AC12" s="9" t="str">
        <f t="shared" si="7"/>
        <v>-</v>
      </c>
      <c r="AD12" s="9" t="s">
        <v>0</v>
      </c>
      <c r="AE12" s="12" t="str">
        <f t="shared" si="8"/>
        <v>-</v>
      </c>
      <c r="AF12" s="9" t="s">
        <v>0</v>
      </c>
      <c r="AG12" s="9" t="s">
        <v>0</v>
      </c>
      <c r="AH12" s="9" t="s">
        <v>0</v>
      </c>
      <c r="AI12" s="9" t="s">
        <v>0</v>
      </c>
      <c r="AJ12" s="43" t="s">
        <v>0</v>
      </c>
      <c r="AK12" s="9" t="s">
        <v>0</v>
      </c>
      <c r="AL12" s="43" t="s">
        <v>0</v>
      </c>
      <c r="AM12" s="9" t="s">
        <v>0</v>
      </c>
      <c r="AN12" s="43" t="s">
        <v>0</v>
      </c>
      <c r="AO12" s="9" t="s">
        <v>0</v>
      </c>
      <c r="AP12" s="9" t="s">
        <v>0</v>
      </c>
      <c r="AQ12" s="43" t="s">
        <v>0</v>
      </c>
      <c r="AR12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12" s="9" t="str">
        <f t="shared" si="9"/>
        <v>-</v>
      </c>
      <c r="AT12" s="9" t="str">
        <f>IF(RIGHT(ABY[[#This Row],[Device type]],7)="Winding","-",ABY[[#This Row],[Cont Winter MVA]])</f>
        <v>-</v>
      </c>
      <c r="AU12" s="9" t="str">
        <f>IF(RIGHT(ABY[[#This Row],[Device type]],7)="Winding","-",ABY[[#This Row],[Cont Shoulder MVA]])</f>
        <v>-</v>
      </c>
      <c r="AV12" s="9" t="str">
        <f>IF(RIGHT(ABY[[#This Row],[Device type]],7)="Winding","-",ABY[[#This Row],[Cont Summer MVA]])</f>
        <v>-</v>
      </c>
      <c r="AW12" s="9" t="str">
        <f>IF(RIGHT(ABY[[#This Row],[Device type]],7)="Winding","-",ABY[[#This Row],[24 Hr Winter MVA]])</f>
        <v>-</v>
      </c>
      <c r="AX12" s="9" t="str">
        <f>IF(RIGHT(ABY[[#This Row],[Device type]],7)="Winding","-",ABY[[#This Row],[24 Hr Summer MVA]])</f>
        <v>-</v>
      </c>
      <c r="AY12" s="9" t="str">
        <f>ABY[[#This Row],[Forwards MVA]]</f>
        <v>-</v>
      </c>
      <c r="AZ12" s="9" t="str">
        <f>ABY[[#This Row],[Relay MVA]]</f>
        <v>-</v>
      </c>
      <c r="BA12" s="9" t="str">
        <f>ABY[[#This Row],[CT MVA]]</f>
        <v>-</v>
      </c>
      <c r="BB12" s="9" t="str">
        <f>ABY[[#This Row],[Derating MVA]]</f>
        <v>-</v>
      </c>
      <c r="BC12" s="9" t="str">
        <f>ABY[[#This Row],[Station/Feeder]]&amp;ABY[[#This Row],[Lowest MVA]]</f>
        <v>ABY_GXP</v>
      </c>
      <c r="BD12" s="9" t="str">
        <f>CONCATENATE(ABY[[#This Row],[Supply Level]],ABY[[#This Row],[Station/Feeder]],ABY[[#This Row],[Voltage]],ABY[[#This Row],[Lowest A-No PTX]])</f>
        <v>GXPABY_GXP110</v>
      </c>
      <c r="BE12" s="9" t="str">
        <f>CONCATENATE(ABY[[#This Row],[Supply Level]],ABY[[#This Row],[Station/Feeder]],ABY[[#This Row],[Voltage]],ABY[[#This Row],[Lowest A-PTX]])</f>
        <v>GXPABY_GXP110105</v>
      </c>
      <c r="BF12" s="9" t="str">
        <f>IF(MIN(ABY[[#This Row],[Summ Cont Winter A]:[Cable Derating]])=0,"",MIN(ABY[[#This Row],[Summ Cont Winter A]:[Cable Derating]]))</f>
        <v/>
      </c>
      <c r="BG12" s="57" t="str">
        <f>IFERROR(ABY[[#This Row],[Lowest MVA]]*1000/(ABY[[#This Row],[Voltage]]*SQRT(3)),"")</f>
        <v/>
      </c>
      <c r="BH12" s="57">
        <f t="shared" si="10"/>
        <v>105</v>
      </c>
      <c r="BI12" s="9" t="str">
        <f>ABY[[#This Row],[From]]</f>
        <v>110 kv Bus</v>
      </c>
      <c r="BJ12" s="9" t="str">
        <f>ABY[[#This Row],[To]]</f>
        <v>11 kV CBs</v>
      </c>
      <c r="BK12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Transformer-T2-HV Winding</v>
      </c>
      <c r="BL12" s="9">
        <f>ABY[[#This Row],[Voltage]]</f>
        <v>110</v>
      </c>
    </row>
    <row r="13" spans="1:64" s="1" customFormat="1" ht="15" hidden="1" customHeight="1" x14ac:dyDescent="0.25">
      <c r="A13" s="353" t="str">
        <f>CONCATENATE(ABY[[#This Row],[Supply Level]],ABY[[#This Row],[Station/Feeder]],ABY[[#This Row],[Voltage]])</f>
        <v>GXPABY_GXP110</v>
      </c>
      <c r="B13" s="353" t="str">
        <f>CONCATENATE(ABY[[#This Row],[Supply Level]],ABY[[#This Row],[Station/Feeder]],ABY[[#This Row],[Equipment ID]],ABY[[#This Row],[Voltage]],ABY[[#This Row],[Device type]])</f>
        <v>GXPABY_GXPT2110Tap Changer</v>
      </c>
      <c r="C13" s="6" t="s">
        <v>4</v>
      </c>
      <c r="D13" s="11" t="s">
        <v>365</v>
      </c>
      <c r="E13" s="7" t="s">
        <v>301</v>
      </c>
      <c r="F13" s="7" t="s">
        <v>316</v>
      </c>
      <c r="G13" s="56">
        <v>9</v>
      </c>
      <c r="H13" s="49" t="s">
        <v>302</v>
      </c>
      <c r="I13" s="7" t="s">
        <v>307</v>
      </c>
      <c r="J13" s="7" t="s">
        <v>19</v>
      </c>
      <c r="K13" s="7" t="s">
        <v>308</v>
      </c>
      <c r="L13" s="7" t="s">
        <v>20</v>
      </c>
      <c r="M13" s="57">
        <v>110</v>
      </c>
      <c r="N13" s="9">
        <v>250</v>
      </c>
      <c r="O13" s="9">
        <f t="shared" si="0"/>
        <v>47.631397208144122</v>
      </c>
      <c r="P13" s="9">
        <f>ABY[[#This Row],[Cont Winter A]]</f>
        <v>250</v>
      </c>
      <c r="Q13" s="9">
        <f t="shared" si="1"/>
        <v>47.631397208144122</v>
      </c>
      <c r="R13" s="9">
        <f>ABY[[#This Row],[Cont Shoulder A]]</f>
        <v>250</v>
      </c>
      <c r="S13" s="9">
        <f t="shared" si="2"/>
        <v>47.631397208144122</v>
      </c>
      <c r="T13" s="9">
        <v>300</v>
      </c>
      <c r="U13" s="9">
        <f t="shared" si="3"/>
        <v>57.157676649772945</v>
      </c>
      <c r="V13" s="9">
        <f>ABY[[#This Row],[24 Hr Winter A]]</f>
        <v>300</v>
      </c>
      <c r="W13" s="9">
        <f t="shared" si="4"/>
        <v>57.157676649772945</v>
      </c>
      <c r="X13" s="9" t="s">
        <v>0</v>
      </c>
      <c r="Y13" s="9" t="str">
        <f t="shared" si="5"/>
        <v>-</v>
      </c>
      <c r="Z13" s="9" t="s">
        <v>0</v>
      </c>
      <c r="AA13" s="9" t="str">
        <f t="shared" si="6"/>
        <v>-</v>
      </c>
      <c r="AB13" s="9" t="s">
        <v>0</v>
      </c>
      <c r="AC13" s="9" t="str">
        <f t="shared" si="7"/>
        <v>-</v>
      </c>
      <c r="AD13" s="9" t="s">
        <v>0</v>
      </c>
      <c r="AE13" s="12" t="str">
        <f t="shared" si="8"/>
        <v>-</v>
      </c>
      <c r="AF13" s="9" t="s">
        <v>0</v>
      </c>
      <c r="AG13" s="9" t="s">
        <v>0</v>
      </c>
      <c r="AH13" s="9" t="s">
        <v>0</v>
      </c>
      <c r="AI13" s="9" t="s">
        <v>0</v>
      </c>
      <c r="AJ13" s="43" t="s">
        <v>0</v>
      </c>
      <c r="AK13" s="9" t="s">
        <v>0</v>
      </c>
      <c r="AL13" s="43" t="s">
        <v>0</v>
      </c>
      <c r="AM13" s="9" t="s">
        <v>0</v>
      </c>
      <c r="AN13" s="43" t="s">
        <v>0</v>
      </c>
      <c r="AO13" s="9" t="s">
        <v>0</v>
      </c>
      <c r="AP13" s="9" t="s">
        <v>0</v>
      </c>
      <c r="AQ13" s="43" t="s">
        <v>0</v>
      </c>
      <c r="AR13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13" s="9" t="str">
        <f t="shared" si="9"/>
        <v>-</v>
      </c>
      <c r="AT13" s="9">
        <f>IF(RIGHT(ABY[[#This Row],[Device type]],7)="Winding","-",ABY[[#This Row],[Cont Winter MVA]])</f>
        <v>47.631397208144122</v>
      </c>
      <c r="AU13" s="9">
        <f>IF(RIGHT(ABY[[#This Row],[Device type]],7)="Winding","-",ABY[[#This Row],[Cont Shoulder MVA]])</f>
        <v>47.631397208144122</v>
      </c>
      <c r="AV13" s="9">
        <f>IF(RIGHT(ABY[[#This Row],[Device type]],7)="Winding","-",ABY[[#This Row],[Cont Summer MVA]])</f>
        <v>47.631397208144122</v>
      </c>
      <c r="AW13" s="9">
        <f>IF(RIGHT(ABY[[#This Row],[Device type]],7)="Winding","-",ABY[[#This Row],[24 Hr Winter MVA]])</f>
        <v>57.157676649772945</v>
      </c>
      <c r="AX13" s="9">
        <f>IF(RIGHT(ABY[[#This Row],[Device type]],7)="Winding","-",ABY[[#This Row],[24 Hr Summer MVA]])</f>
        <v>57.157676649772945</v>
      </c>
      <c r="AY13" s="9" t="str">
        <f>ABY[[#This Row],[Forwards MVA]]</f>
        <v>-</v>
      </c>
      <c r="AZ13" s="9" t="str">
        <f>ABY[[#This Row],[Relay MVA]]</f>
        <v>-</v>
      </c>
      <c r="BA13" s="9" t="str">
        <f>ABY[[#This Row],[CT MVA]]</f>
        <v>-</v>
      </c>
      <c r="BB13" s="9" t="str">
        <f>ABY[[#This Row],[Derating MVA]]</f>
        <v>-</v>
      </c>
      <c r="BC13" s="9" t="str">
        <f>ABY[[#This Row],[Station/Feeder]]&amp;ABY[[#This Row],[Lowest MVA]]</f>
        <v>ABY_GXP47.6313972081441</v>
      </c>
      <c r="BD13" s="9" t="str">
        <f>CONCATENATE(ABY[[#This Row],[Supply Level]],ABY[[#This Row],[Station/Feeder]],ABY[[#This Row],[Voltage]],ABY[[#This Row],[Lowest A-No PTX]])</f>
        <v>GXPABY_GXP110250</v>
      </c>
      <c r="BE13" s="9" t="str">
        <f>CONCATENATE(ABY[[#This Row],[Supply Level]],ABY[[#This Row],[Station/Feeder]],ABY[[#This Row],[Voltage]],ABY[[#This Row],[Lowest A-PTX]])</f>
        <v>GXPABY_GXP110250</v>
      </c>
      <c r="BF13" s="9">
        <f>IF(MIN(ABY[[#This Row],[Summ Cont Winter A]:[Cable Derating]])=0,"",MIN(ABY[[#This Row],[Summ Cont Winter A]:[Cable Derating]]))</f>
        <v>47.631397208144122</v>
      </c>
      <c r="BG13" s="57">
        <f>IFERROR(ABY[[#This Row],[Lowest MVA]]*1000/(ABY[[#This Row],[Voltage]]*SQRT(3)),"")</f>
        <v>250</v>
      </c>
      <c r="BH13" s="57">
        <f t="shared" si="10"/>
        <v>250</v>
      </c>
      <c r="BI13" s="9" t="str">
        <f>ABY[[#This Row],[From]]</f>
        <v>110 kv Bus</v>
      </c>
      <c r="BJ13" s="9" t="str">
        <f>ABY[[#This Row],[To]]</f>
        <v>11 kV CBs</v>
      </c>
      <c r="BK13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Transformer-T2-Tap Changer</v>
      </c>
      <c r="BL13" s="9">
        <f>ABY[[#This Row],[Voltage]]</f>
        <v>110</v>
      </c>
    </row>
    <row r="14" spans="1:64" s="1" customFormat="1" ht="15" hidden="1" customHeight="1" x14ac:dyDescent="0.25">
      <c r="A14" s="353" t="str">
        <f>CONCATENATE(ABY[[#This Row],[Supply Level]],ABY[[#This Row],[Station/Feeder]],ABY[[#This Row],[Voltage]])</f>
        <v>GXPABY_GXP110</v>
      </c>
      <c r="B14" s="353" t="str">
        <f>CONCATENATE(ABY[[#This Row],[Supply Level]],ABY[[#This Row],[Station/Feeder]],ABY[[#This Row],[Equipment ID]],ABY[[#This Row],[Voltage]],ABY[[#This Row],[Device type]])</f>
        <v>GXPABY_GXPT2110Bushings</v>
      </c>
      <c r="C14" s="6" t="s">
        <v>4</v>
      </c>
      <c r="D14" s="11" t="s">
        <v>365</v>
      </c>
      <c r="E14" s="7" t="s">
        <v>301</v>
      </c>
      <c r="F14" s="7" t="s">
        <v>316</v>
      </c>
      <c r="G14" s="56">
        <v>10</v>
      </c>
      <c r="H14" s="49" t="s">
        <v>302</v>
      </c>
      <c r="I14" s="7" t="s">
        <v>307</v>
      </c>
      <c r="J14" s="7" t="s">
        <v>19</v>
      </c>
      <c r="K14" s="7" t="s">
        <v>308</v>
      </c>
      <c r="L14" s="7" t="s">
        <v>18</v>
      </c>
      <c r="M14" s="57">
        <v>110</v>
      </c>
      <c r="N14" s="9">
        <v>2000</v>
      </c>
      <c r="O14" s="9">
        <f t="shared" si="0"/>
        <v>381.05117766515298</v>
      </c>
      <c r="P14" s="9">
        <f>ABY[[#This Row],[Cont Winter A]]</f>
        <v>2000</v>
      </c>
      <c r="Q14" s="9">
        <f t="shared" si="1"/>
        <v>381.05117766515298</v>
      </c>
      <c r="R14" s="9">
        <f>ABY[[#This Row],[Cont Shoulder A]]</f>
        <v>2000</v>
      </c>
      <c r="S14" s="9">
        <f t="shared" si="2"/>
        <v>381.05117766515298</v>
      </c>
      <c r="T14" s="9">
        <v>2400</v>
      </c>
      <c r="U14" s="9">
        <f t="shared" si="3"/>
        <v>457.26141319818356</v>
      </c>
      <c r="V14" s="9">
        <f>ABY[[#This Row],[24 Hr Winter A]]</f>
        <v>2400</v>
      </c>
      <c r="W14" s="9">
        <f t="shared" si="4"/>
        <v>457.26141319818356</v>
      </c>
      <c r="X14" s="9" t="s">
        <v>0</v>
      </c>
      <c r="Y14" s="9" t="str">
        <f t="shared" si="5"/>
        <v>-</v>
      </c>
      <c r="Z14" s="9" t="s">
        <v>0</v>
      </c>
      <c r="AA14" s="9" t="str">
        <f t="shared" si="6"/>
        <v>-</v>
      </c>
      <c r="AB14" s="9" t="s">
        <v>0</v>
      </c>
      <c r="AC14" s="9" t="str">
        <f t="shared" si="7"/>
        <v>-</v>
      </c>
      <c r="AD14" s="9" t="s">
        <v>0</v>
      </c>
      <c r="AE14" s="12" t="str">
        <f t="shared" si="8"/>
        <v>-</v>
      </c>
      <c r="AF14" s="9" t="s">
        <v>0</v>
      </c>
      <c r="AG14" s="9" t="s">
        <v>0</v>
      </c>
      <c r="AH14" s="9" t="s">
        <v>0</v>
      </c>
      <c r="AI14" s="9" t="s">
        <v>0</v>
      </c>
      <c r="AJ14" s="43" t="s">
        <v>0</v>
      </c>
      <c r="AK14" s="9" t="s">
        <v>0</v>
      </c>
      <c r="AL14" s="43" t="s">
        <v>0</v>
      </c>
      <c r="AM14" s="9" t="s">
        <v>0</v>
      </c>
      <c r="AN14" s="43" t="s">
        <v>0</v>
      </c>
      <c r="AO14" s="9" t="s">
        <v>0</v>
      </c>
      <c r="AP14" s="9" t="s">
        <v>0</v>
      </c>
      <c r="AQ14" s="43" t="s">
        <v>0</v>
      </c>
      <c r="AR14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14" s="9" t="str">
        <f t="shared" si="9"/>
        <v>-</v>
      </c>
      <c r="AT14" s="9">
        <f>IF(RIGHT(ABY[[#This Row],[Device type]],7)="Winding","-",ABY[[#This Row],[Cont Winter MVA]])</f>
        <v>381.05117766515298</v>
      </c>
      <c r="AU14" s="9">
        <f>IF(RIGHT(ABY[[#This Row],[Device type]],7)="Winding","-",ABY[[#This Row],[Cont Shoulder MVA]])</f>
        <v>381.05117766515298</v>
      </c>
      <c r="AV14" s="9">
        <f>IF(RIGHT(ABY[[#This Row],[Device type]],7)="Winding","-",ABY[[#This Row],[Cont Summer MVA]])</f>
        <v>381.05117766515298</v>
      </c>
      <c r="AW14" s="9">
        <f>IF(RIGHT(ABY[[#This Row],[Device type]],7)="Winding","-",ABY[[#This Row],[24 Hr Winter MVA]])</f>
        <v>457.26141319818356</v>
      </c>
      <c r="AX14" s="9">
        <f>IF(RIGHT(ABY[[#This Row],[Device type]],7)="Winding","-",ABY[[#This Row],[24 Hr Summer MVA]])</f>
        <v>457.26141319818356</v>
      </c>
      <c r="AY14" s="9" t="str">
        <f>ABY[[#This Row],[Forwards MVA]]</f>
        <v>-</v>
      </c>
      <c r="AZ14" s="9" t="str">
        <f>ABY[[#This Row],[Relay MVA]]</f>
        <v>-</v>
      </c>
      <c r="BA14" s="9" t="str">
        <f>ABY[[#This Row],[CT MVA]]</f>
        <v>-</v>
      </c>
      <c r="BB14" s="9" t="str">
        <f>ABY[[#This Row],[Derating MVA]]</f>
        <v>-</v>
      </c>
      <c r="BC14" s="9" t="str">
        <f>ABY[[#This Row],[Station/Feeder]]&amp;ABY[[#This Row],[Lowest MVA]]</f>
        <v>ABY_GXP381.051177665153</v>
      </c>
      <c r="BD14" s="9" t="str">
        <f>CONCATENATE(ABY[[#This Row],[Supply Level]],ABY[[#This Row],[Station/Feeder]],ABY[[#This Row],[Voltage]],ABY[[#This Row],[Lowest A-No PTX]])</f>
        <v>GXPABY_GXP1102000</v>
      </c>
      <c r="BE14" s="9" t="str">
        <f>CONCATENATE(ABY[[#This Row],[Supply Level]],ABY[[#This Row],[Station/Feeder]],ABY[[#This Row],[Voltage]],ABY[[#This Row],[Lowest A-PTX]])</f>
        <v>GXPABY_GXP1102000</v>
      </c>
      <c r="BF14" s="9">
        <f>IF(MIN(ABY[[#This Row],[Summ Cont Winter A]:[Cable Derating]])=0,"",MIN(ABY[[#This Row],[Summ Cont Winter A]:[Cable Derating]]))</f>
        <v>381.05117766515298</v>
      </c>
      <c r="BG14" s="57">
        <f>IFERROR(ABY[[#This Row],[Lowest MVA]]*1000/(ABY[[#This Row],[Voltage]]*SQRT(3)),"")</f>
        <v>2000</v>
      </c>
      <c r="BH14" s="57">
        <f t="shared" si="10"/>
        <v>2000</v>
      </c>
      <c r="BI14" s="9" t="str">
        <f>ABY[[#This Row],[From]]</f>
        <v>110 kv Bus</v>
      </c>
      <c r="BJ14" s="9" t="str">
        <f>ABY[[#This Row],[To]]</f>
        <v>11 kV CBs</v>
      </c>
      <c r="BK14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Transformer-T2-Bushings</v>
      </c>
      <c r="BL14" s="9">
        <f>ABY[[#This Row],[Voltage]]</f>
        <v>110</v>
      </c>
    </row>
    <row r="15" spans="1:64" s="1" customFormat="1" ht="15" hidden="1" customHeight="1" x14ac:dyDescent="0.25">
      <c r="A15" s="353" t="str">
        <f>CONCATENATE(ABY[[#This Row],[Supply Level]],ABY[[#This Row],[Station/Feeder]],ABY[[#This Row],[Voltage]])</f>
        <v>GXPABY_GXP110</v>
      </c>
      <c r="B15" s="353" t="str">
        <f>CONCATENATE(ABY[[#This Row],[Supply Level]],ABY[[#This Row],[Station/Feeder]],ABY[[#This Row],[Equipment ID]],ABY[[#This Row],[Voltage]],ABY[[#This Row],[Device type]])</f>
        <v>GXPABY_GXPT2110Bushings</v>
      </c>
      <c r="C15" s="6" t="s">
        <v>4</v>
      </c>
      <c r="D15" s="11" t="s">
        <v>365</v>
      </c>
      <c r="E15" s="7" t="s">
        <v>301</v>
      </c>
      <c r="F15" s="7" t="s">
        <v>316</v>
      </c>
      <c r="G15" s="56">
        <v>11</v>
      </c>
      <c r="H15" s="49" t="s">
        <v>302</v>
      </c>
      <c r="I15" s="7" t="s">
        <v>307</v>
      </c>
      <c r="J15" s="7" t="s">
        <v>19</v>
      </c>
      <c r="K15" s="7" t="s">
        <v>308</v>
      </c>
      <c r="L15" s="7" t="s">
        <v>18</v>
      </c>
      <c r="M15" s="57">
        <v>110</v>
      </c>
      <c r="N15" s="9">
        <v>2000</v>
      </c>
      <c r="O15" s="9">
        <f t="shared" si="0"/>
        <v>381.05117766515298</v>
      </c>
      <c r="P15" s="9">
        <f>ABY[[#This Row],[Cont Winter A]]</f>
        <v>2000</v>
      </c>
      <c r="Q15" s="9">
        <f t="shared" si="1"/>
        <v>381.05117766515298</v>
      </c>
      <c r="R15" s="9">
        <f>ABY[[#This Row],[Cont Shoulder A]]</f>
        <v>2000</v>
      </c>
      <c r="S15" s="9">
        <f t="shared" si="2"/>
        <v>381.05117766515298</v>
      </c>
      <c r="T15" s="9">
        <v>2400</v>
      </c>
      <c r="U15" s="9">
        <f t="shared" si="3"/>
        <v>457.26141319818356</v>
      </c>
      <c r="V15" s="9">
        <f>ABY[[#This Row],[24 Hr Winter A]]</f>
        <v>2400</v>
      </c>
      <c r="W15" s="9">
        <f t="shared" si="4"/>
        <v>457.26141319818356</v>
      </c>
      <c r="X15" s="9" t="s">
        <v>0</v>
      </c>
      <c r="Y15" s="9" t="str">
        <f t="shared" si="5"/>
        <v>-</v>
      </c>
      <c r="Z15" s="9" t="s">
        <v>0</v>
      </c>
      <c r="AA15" s="9" t="str">
        <f t="shared" si="6"/>
        <v>-</v>
      </c>
      <c r="AB15" s="9" t="s">
        <v>0</v>
      </c>
      <c r="AC15" s="9" t="str">
        <f t="shared" si="7"/>
        <v>-</v>
      </c>
      <c r="AD15" s="9" t="s">
        <v>0</v>
      </c>
      <c r="AE15" s="12" t="str">
        <f t="shared" si="8"/>
        <v>-</v>
      </c>
      <c r="AF15" s="9" t="s">
        <v>0</v>
      </c>
      <c r="AG15" s="9" t="s">
        <v>0</v>
      </c>
      <c r="AH15" s="9" t="s">
        <v>0</v>
      </c>
      <c r="AI15" s="9" t="s">
        <v>0</v>
      </c>
      <c r="AJ15" s="43" t="s">
        <v>0</v>
      </c>
      <c r="AK15" s="9" t="s">
        <v>0</v>
      </c>
      <c r="AL15" s="43" t="s">
        <v>0</v>
      </c>
      <c r="AM15" s="9" t="s">
        <v>0</v>
      </c>
      <c r="AN15" s="43" t="s">
        <v>0</v>
      </c>
      <c r="AO15" s="9" t="s">
        <v>0</v>
      </c>
      <c r="AP15" s="9" t="s">
        <v>0</v>
      </c>
      <c r="AQ15" s="43" t="s">
        <v>0</v>
      </c>
      <c r="AR15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15" s="9" t="str">
        <f t="shared" si="9"/>
        <v>-</v>
      </c>
      <c r="AT15" s="9">
        <f>IF(RIGHT(ABY[[#This Row],[Device type]],7)="Winding","-",ABY[[#This Row],[Cont Winter MVA]])</f>
        <v>381.05117766515298</v>
      </c>
      <c r="AU15" s="9">
        <f>IF(RIGHT(ABY[[#This Row],[Device type]],7)="Winding","-",ABY[[#This Row],[Cont Shoulder MVA]])</f>
        <v>381.05117766515298</v>
      </c>
      <c r="AV15" s="9">
        <f>IF(RIGHT(ABY[[#This Row],[Device type]],7)="Winding","-",ABY[[#This Row],[Cont Summer MVA]])</f>
        <v>381.05117766515298</v>
      </c>
      <c r="AW15" s="9">
        <f>IF(RIGHT(ABY[[#This Row],[Device type]],7)="Winding","-",ABY[[#This Row],[24 Hr Winter MVA]])</f>
        <v>457.26141319818356</v>
      </c>
      <c r="AX15" s="9">
        <f>IF(RIGHT(ABY[[#This Row],[Device type]],7)="Winding","-",ABY[[#This Row],[24 Hr Summer MVA]])</f>
        <v>457.26141319818356</v>
      </c>
      <c r="AY15" s="9" t="str">
        <f>ABY[[#This Row],[Forwards MVA]]</f>
        <v>-</v>
      </c>
      <c r="AZ15" s="9" t="str">
        <f>ABY[[#This Row],[Relay MVA]]</f>
        <v>-</v>
      </c>
      <c r="BA15" s="9" t="str">
        <f>ABY[[#This Row],[CT MVA]]</f>
        <v>-</v>
      </c>
      <c r="BB15" s="9" t="str">
        <f>ABY[[#This Row],[Derating MVA]]</f>
        <v>-</v>
      </c>
      <c r="BC15" s="9" t="str">
        <f>ABY[[#This Row],[Station/Feeder]]&amp;ABY[[#This Row],[Lowest MVA]]</f>
        <v>ABY_GXP381.051177665153</v>
      </c>
      <c r="BD15" s="9" t="str">
        <f>CONCATENATE(ABY[[#This Row],[Supply Level]],ABY[[#This Row],[Station/Feeder]],ABY[[#This Row],[Voltage]],ABY[[#This Row],[Lowest A-No PTX]])</f>
        <v>GXPABY_GXP1102000</v>
      </c>
      <c r="BE15" s="9" t="str">
        <f>CONCATENATE(ABY[[#This Row],[Supply Level]],ABY[[#This Row],[Station/Feeder]],ABY[[#This Row],[Voltage]],ABY[[#This Row],[Lowest A-PTX]])</f>
        <v>GXPABY_GXP1102000</v>
      </c>
      <c r="BF15" s="9">
        <f>IF(MIN(ABY[[#This Row],[Summ Cont Winter A]:[Cable Derating]])=0,"",MIN(ABY[[#This Row],[Summ Cont Winter A]:[Cable Derating]]))</f>
        <v>381.05117766515298</v>
      </c>
      <c r="BG15" s="57">
        <f>IFERROR(ABY[[#This Row],[Lowest MVA]]*1000/(ABY[[#This Row],[Voltage]]*SQRT(3)),"")</f>
        <v>2000</v>
      </c>
      <c r="BH15" s="57">
        <f t="shared" si="10"/>
        <v>2000</v>
      </c>
      <c r="BI15" s="9" t="str">
        <f>ABY[[#This Row],[From]]</f>
        <v>110 kv Bus</v>
      </c>
      <c r="BJ15" s="9" t="str">
        <f>ABY[[#This Row],[To]]</f>
        <v>11 kV CBs</v>
      </c>
      <c r="BK15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Transformer-T2-Bushings</v>
      </c>
      <c r="BL15" s="9">
        <f>ABY[[#This Row],[Voltage]]</f>
        <v>110</v>
      </c>
    </row>
    <row r="16" spans="1:64" s="1" customFormat="1" ht="15" hidden="1" customHeight="1" x14ac:dyDescent="0.25">
      <c r="A16" s="353" t="str">
        <f>CONCATENATE(ABY[[#This Row],[Supply Level]],ABY[[#This Row],[Station/Feeder]],ABY[[#This Row],[Voltage]])</f>
        <v>GXPABY_GXP110</v>
      </c>
      <c r="B16" s="353" t="str">
        <f>CONCATENATE(ABY[[#This Row],[Supply Level]],ABY[[#This Row],[Station/Feeder]],ABY[[#This Row],[Equipment ID]],ABY[[#This Row],[Voltage]],ABY[[#This Row],[Device type]])</f>
        <v>GXPABY_GXPT2110Bushings</v>
      </c>
      <c r="C16" s="6" t="s">
        <v>4</v>
      </c>
      <c r="D16" s="11" t="s">
        <v>365</v>
      </c>
      <c r="E16" s="7" t="s">
        <v>301</v>
      </c>
      <c r="F16" s="7" t="s">
        <v>316</v>
      </c>
      <c r="G16" s="56">
        <v>12</v>
      </c>
      <c r="H16" s="49" t="s">
        <v>302</v>
      </c>
      <c r="I16" s="7" t="s">
        <v>307</v>
      </c>
      <c r="J16" s="7" t="s">
        <v>19</v>
      </c>
      <c r="K16" s="7" t="s">
        <v>308</v>
      </c>
      <c r="L16" s="7" t="s">
        <v>18</v>
      </c>
      <c r="M16" s="57">
        <v>110</v>
      </c>
      <c r="N16" s="9">
        <v>2000</v>
      </c>
      <c r="O16" s="9">
        <f t="shared" si="0"/>
        <v>381.05117766515298</v>
      </c>
      <c r="P16" s="9">
        <f>ABY[[#This Row],[Cont Winter A]]</f>
        <v>2000</v>
      </c>
      <c r="Q16" s="9">
        <f t="shared" si="1"/>
        <v>381.05117766515298</v>
      </c>
      <c r="R16" s="9">
        <f>ABY[[#This Row],[Cont Shoulder A]]</f>
        <v>2000</v>
      </c>
      <c r="S16" s="9">
        <f t="shared" si="2"/>
        <v>381.05117766515298</v>
      </c>
      <c r="T16" s="9">
        <v>2400</v>
      </c>
      <c r="U16" s="9">
        <f t="shared" si="3"/>
        <v>457.26141319818356</v>
      </c>
      <c r="V16" s="9">
        <f>ABY[[#This Row],[24 Hr Winter A]]</f>
        <v>2400</v>
      </c>
      <c r="W16" s="9">
        <f t="shared" si="4"/>
        <v>457.26141319818356</v>
      </c>
      <c r="X16" s="9" t="s">
        <v>0</v>
      </c>
      <c r="Y16" s="9" t="str">
        <f t="shared" si="5"/>
        <v>-</v>
      </c>
      <c r="Z16" s="9" t="s">
        <v>0</v>
      </c>
      <c r="AA16" s="9" t="str">
        <f t="shared" si="6"/>
        <v>-</v>
      </c>
      <c r="AB16" s="9" t="s">
        <v>0</v>
      </c>
      <c r="AC16" s="9" t="str">
        <f t="shared" si="7"/>
        <v>-</v>
      </c>
      <c r="AD16" s="9" t="s">
        <v>0</v>
      </c>
      <c r="AE16" s="12" t="str">
        <f t="shared" si="8"/>
        <v>-</v>
      </c>
      <c r="AF16" s="9" t="s">
        <v>0</v>
      </c>
      <c r="AG16" s="9" t="s">
        <v>0</v>
      </c>
      <c r="AH16" s="9" t="s">
        <v>0</v>
      </c>
      <c r="AI16" s="9" t="s">
        <v>0</v>
      </c>
      <c r="AJ16" s="43" t="s">
        <v>0</v>
      </c>
      <c r="AK16" s="9" t="s">
        <v>0</v>
      </c>
      <c r="AL16" s="43" t="s">
        <v>0</v>
      </c>
      <c r="AM16" s="9" t="s">
        <v>0</v>
      </c>
      <c r="AN16" s="43" t="s">
        <v>0</v>
      </c>
      <c r="AO16" s="9" t="s">
        <v>0</v>
      </c>
      <c r="AP16" s="9" t="s">
        <v>0</v>
      </c>
      <c r="AQ16" s="43" t="s">
        <v>0</v>
      </c>
      <c r="AR16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16" s="9" t="str">
        <f t="shared" si="9"/>
        <v>-</v>
      </c>
      <c r="AT16" s="9">
        <f>IF(RIGHT(ABY[[#This Row],[Device type]],7)="Winding","-",ABY[[#This Row],[Cont Winter MVA]])</f>
        <v>381.05117766515298</v>
      </c>
      <c r="AU16" s="9">
        <f>IF(RIGHT(ABY[[#This Row],[Device type]],7)="Winding","-",ABY[[#This Row],[Cont Shoulder MVA]])</f>
        <v>381.05117766515298</v>
      </c>
      <c r="AV16" s="9">
        <f>IF(RIGHT(ABY[[#This Row],[Device type]],7)="Winding","-",ABY[[#This Row],[Cont Summer MVA]])</f>
        <v>381.05117766515298</v>
      </c>
      <c r="AW16" s="9">
        <f>IF(RIGHT(ABY[[#This Row],[Device type]],7)="Winding","-",ABY[[#This Row],[24 Hr Winter MVA]])</f>
        <v>457.26141319818356</v>
      </c>
      <c r="AX16" s="9">
        <f>IF(RIGHT(ABY[[#This Row],[Device type]],7)="Winding","-",ABY[[#This Row],[24 Hr Summer MVA]])</f>
        <v>457.26141319818356</v>
      </c>
      <c r="AY16" s="9" t="str">
        <f>ABY[[#This Row],[Forwards MVA]]</f>
        <v>-</v>
      </c>
      <c r="AZ16" s="9" t="str">
        <f>ABY[[#This Row],[Relay MVA]]</f>
        <v>-</v>
      </c>
      <c r="BA16" s="9" t="str">
        <f>ABY[[#This Row],[CT MVA]]</f>
        <v>-</v>
      </c>
      <c r="BB16" s="9" t="str">
        <f>ABY[[#This Row],[Derating MVA]]</f>
        <v>-</v>
      </c>
      <c r="BC16" s="9" t="str">
        <f>ABY[[#This Row],[Station/Feeder]]&amp;ABY[[#This Row],[Lowest MVA]]</f>
        <v>ABY_GXP381.051177665153</v>
      </c>
      <c r="BD16" s="9" t="str">
        <f>CONCATENATE(ABY[[#This Row],[Supply Level]],ABY[[#This Row],[Station/Feeder]],ABY[[#This Row],[Voltage]],ABY[[#This Row],[Lowest A-No PTX]])</f>
        <v>GXPABY_GXP1102000</v>
      </c>
      <c r="BE16" s="9" t="str">
        <f>CONCATENATE(ABY[[#This Row],[Supply Level]],ABY[[#This Row],[Station/Feeder]],ABY[[#This Row],[Voltage]],ABY[[#This Row],[Lowest A-PTX]])</f>
        <v>GXPABY_GXP1102000</v>
      </c>
      <c r="BF16" s="9">
        <f>IF(MIN(ABY[[#This Row],[Summ Cont Winter A]:[Cable Derating]])=0,"",MIN(ABY[[#This Row],[Summ Cont Winter A]:[Cable Derating]]))</f>
        <v>381.05117766515298</v>
      </c>
      <c r="BG16" s="57">
        <f>IFERROR(ABY[[#This Row],[Lowest MVA]]*1000/(ABY[[#This Row],[Voltage]]*SQRT(3)),"")</f>
        <v>2000</v>
      </c>
      <c r="BH16" s="57">
        <f t="shared" si="10"/>
        <v>2000</v>
      </c>
      <c r="BI16" s="9" t="str">
        <f>ABY[[#This Row],[From]]</f>
        <v>110 kv Bus</v>
      </c>
      <c r="BJ16" s="9" t="str">
        <f>ABY[[#This Row],[To]]</f>
        <v>11 kV CBs</v>
      </c>
      <c r="BK16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Transformer-T2-Bushings</v>
      </c>
      <c r="BL16" s="9">
        <f>ABY[[#This Row],[Voltage]]</f>
        <v>110</v>
      </c>
    </row>
    <row r="17" spans="1:64" s="1" customFormat="1" ht="15" hidden="1" customHeight="1" x14ac:dyDescent="0.25">
      <c r="A17" s="353" t="str">
        <f>CONCATENATE(ABY[[#This Row],[Supply Level]],ABY[[#This Row],[Station/Feeder]],ABY[[#This Row],[Voltage]])</f>
        <v>GXPABY_GXP11</v>
      </c>
      <c r="B17" s="353" t="str">
        <f>CONCATENATE(ABY[[#This Row],[Supply Level]],ABY[[#This Row],[Station/Feeder]],ABY[[#This Row],[Equipment ID]],ABY[[#This Row],[Voltage]],ABY[[#This Row],[Device type]])</f>
        <v>GXPABY_GXPT211LV Winding</v>
      </c>
      <c r="C17" s="6" t="s">
        <v>4</v>
      </c>
      <c r="D17" s="11" t="s">
        <v>365</v>
      </c>
      <c r="E17" s="7" t="s">
        <v>301</v>
      </c>
      <c r="F17" s="7" t="s">
        <v>316</v>
      </c>
      <c r="G17" s="56">
        <v>13</v>
      </c>
      <c r="H17" s="49" t="s">
        <v>302</v>
      </c>
      <c r="I17" s="7" t="s">
        <v>307</v>
      </c>
      <c r="J17" s="7" t="s">
        <v>19</v>
      </c>
      <c r="K17" s="7" t="s">
        <v>308</v>
      </c>
      <c r="L17" s="7" t="s">
        <v>37</v>
      </c>
      <c r="M17" s="57">
        <v>11</v>
      </c>
      <c r="N17" s="9">
        <v>1050</v>
      </c>
      <c r="O17" s="9">
        <f>IF(OR(N17="",N17="-"),"-",N17*$M17*SQRT(3)/1000)</f>
        <v>20.00518682742053</v>
      </c>
      <c r="P17" s="9">
        <v>1050</v>
      </c>
      <c r="Q17" s="9">
        <f>IF(OR(P17="",P17="-"),"-",P17*$M17*SQRT(3)/1000)</f>
        <v>20.00518682742053</v>
      </c>
      <c r="R17" s="9">
        <v>1050</v>
      </c>
      <c r="S17" s="9">
        <f>IF(OR(R17="",R17="-"),"-",R17*$M17*SQRT(3)/1000)</f>
        <v>20.00518682742053</v>
      </c>
      <c r="T17" s="9">
        <v>1548</v>
      </c>
      <c r="U17" s="9">
        <f>IF(OR(T17="",T17="-"),"-",T17*$M17*SQRT(3)/1000)</f>
        <v>29.493361151282841</v>
      </c>
      <c r="V17" s="9">
        <v>1480</v>
      </c>
      <c r="W17" s="9">
        <f>IF(OR(V17="",V17="-"),"-",V17*$M17*SQRT(3)/1000)</f>
        <v>28.19778714722132</v>
      </c>
      <c r="X17" s="9" t="s">
        <v>0</v>
      </c>
      <c r="Y17" s="9" t="str">
        <f>IF(OR(X17="",X17="-"),"-",X17*$M17*SQRT(3)/1000)</f>
        <v>-</v>
      </c>
      <c r="Z17" s="9" t="s">
        <v>0</v>
      </c>
      <c r="AA17" s="9" t="str">
        <f>IF(OR(Z17="",Z17="-"),"-",Z17*$M17*SQRT(3)/1000)</f>
        <v>-</v>
      </c>
      <c r="AB17" s="9" t="s">
        <v>0</v>
      </c>
      <c r="AC17" s="9" t="str">
        <f>IF(OR(AB17="",AB17="-"),"-",AB17*$M17*SQRT(3)/1000)</f>
        <v>-</v>
      </c>
      <c r="AD17" s="9" t="s">
        <v>0</v>
      </c>
      <c r="AE17" s="12" t="str">
        <f>IF(OR(AD17="",AD17="-"),"-",AD17*$M17*SQRT(3)/1000)</f>
        <v>-</v>
      </c>
      <c r="AF17" s="9" t="s">
        <v>0</v>
      </c>
      <c r="AG17" s="9" t="s">
        <v>0</v>
      </c>
      <c r="AH17" s="9" t="s">
        <v>0</v>
      </c>
      <c r="AI17" s="9" t="s">
        <v>0</v>
      </c>
      <c r="AJ17" s="43" t="s">
        <v>0</v>
      </c>
      <c r="AK17" s="9" t="s">
        <v>0</v>
      </c>
      <c r="AL17" s="43" t="s">
        <v>0</v>
      </c>
      <c r="AM17" s="9" t="s">
        <v>0</v>
      </c>
      <c r="AN17" s="43" t="s">
        <v>0</v>
      </c>
      <c r="AO17" s="9" t="s">
        <v>0</v>
      </c>
      <c r="AP17" s="9" t="s">
        <v>0</v>
      </c>
      <c r="AQ17" s="43" t="s">
        <v>0</v>
      </c>
      <c r="AR17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17" s="9" t="str">
        <f>IF(OR(AR17="",AR17="-"),"-",AR17*$M17*SQRT(3)/1000)</f>
        <v>-</v>
      </c>
      <c r="AT17" s="9" t="str">
        <f>IF(RIGHT(ABY[[#This Row],[Device type]],7)="Winding","-",ABY[[#This Row],[Cont Winter MVA]])</f>
        <v>-</v>
      </c>
      <c r="AU17" s="9" t="str">
        <f>IF(RIGHT(ABY[[#This Row],[Device type]],7)="Winding","-",ABY[[#This Row],[Cont Shoulder MVA]])</f>
        <v>-</v>
      </c>
      <c r="AV17" s="9" t="str">
        <f>IF(RIGHT(ABY[[#This Row],[Device type]],7)="Winding","-",ABY[[#This Row],[Cont Summer MVA]])</f>
        <v>-</v>
      </c>
      <c r="AW17" s="9" t="str">
        <f>IF(RIGHT(ABY[[#This Row],[Device type]],7)="Winding","-",ABY[[#This Row],[24 Hr Winter MVA]])</f>
        <v>-</v>
      </c>
      <c r="AX17" s="9" t="str">
        <f>IF(RIGHT(ABY[[#This Row],[Device type]],7)="Winding","-",ABY[[#This Row],[24 Hr Summer MVA]])</f>
        <v>-</v>
      </c>
      <c r="AY17" s="9" t="str">
        <f>ABY[[#This Row],[Forwards MVA]]</f>
        <v>-</v>
      </c>
      <c r="AZ17" s="9" t="str">
        <f>ABY[[#This Row],[Relay MVA]]</f>
        <v>-</v>
      </c>
      <c r="BA17" s="9" t="str">
        <f>ABY[[#This Row],[CT MVA]]</f>
        <v>-</v>
      </c>
      <c r="BB17" s="9" t="str">
        <f>ABY[[#This Row],[Derating MVA]]</f>
        <v>-</v>
      </c>
      <c r="BC17" s="9" t="str">
        <f>ABY[[#This Row],[Station/Feeder]]&amp;ABY[[#This Row],[Lowest MVA]]</f>
        <v>ABY_GXP</v>
      </c>
      <c r="BD17" s="9" t="str">
        <f>CONCATENATE(ABY[[#This Row],[Supply Level]],ABY[[#This Row],[Station/Feeder]],ABY[[#This Row],[Voltage]],ABY[[#This Row],[Lowest A-No PTX]])</f>
        <v>GXPABY_GXP11</v>
      </c>
      <c r="BE17" s="9" t="str">
        <f>CONCATENATE(ABY[[#This Row],[Supply Level]],ABY[[#This Row],[Station/Feeder]],ABY[[#This Row],[Voltage]],ABY[[#This Row],[Lowest A-PTX]])</f>
        <v>GXPABY_GXP111050</v>
      </c>
      <c r="BF17" s="9" t="str">
        <f>IF(MIN(ABY[[#This Row],[Summ Cont Winter A]:[Cable Derating]])=0,"",MIN(ABY[[#This Row],[Summ Cont Winter A]:[Cable Derating]]))</f>
        <v/>
      </c>
      <c r="BG17" s="57" t="str">
        <f>IFERROR(ABY[[#This Row],[Lowest MVA]]*1000/(ABY[[#This Row],[Voltage]]*SQRT(3)),"")</f>
        <v/>
      </c>
      <c r="BH17" s="57">
        <f t="shared" si="10"/>
        <v>1050</v>
      </c>
      <c r="BI17" s="9" t="str">
        <f>ABY[[#This Row],[From]]</f>
        <v>110 kv Bus</v>
      </c>
      <c r="BJ17" s="9" t="str">
        <f>ABY[[#This Row],[To]]</f>
        <v>11 kV CBs</v>
      </c>
      <c r="BK17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Transformer-T2-LV Winding</v>
      </c>
      <c r="BL17" s="9">
        <f>ABY[[#This Row],[Voltage]]</f>
        <v>11</v>
      </c>
    </row>
    <row r="18" spans="1:64" s="1" customFormat="1" ht="15" hidden="1" customHeight="1" x14ac:dyDescent="0.25">
      <c r="A18" s="353" t="str">
        <f>CONCATENATE(ABY[[#This Row],[Supply Level]],ABY[[#This Row],[Station/Feeder]],ABY[[#This Row],[Voltage]])</f>
        <v>GXPABY_GXP11</v>
      </c>
      <c r="B18" s="353" t="str">
        <f>CONCATENATE(ABY[[#This Row],[Supply Level]],ABY[[#This Row],[Station/Feeder]],ABY[[#This Row],[Equipment ID]],ABY[[#This Row],[Voltage]],ABY[[#This Row],[Device type]])</f>
        <v>GXPABY_GXPT211Bushings</v>
      </c>
      <c r="C18" s="6" t="s">
        <v>4</v>
      </c>
      <c r="D18" s="11" t="s">
        <v>365</v>
      </c>
      <c r="E18" s="7" t="s">
        <v>301</v>
      </c>
      <c r="F18" s="7" t="s">
        <v>316</v>
      </c>
      <c r="G18" s="56">
        <v>14</v>
      </c>
      <c r="H18" s="49" t="s">
        <v>302</v>
      </c>
      <c r="I18" s="7" t="s">
        <v>307</v>
      </c>
      <c r="J18" s="7" t="s">
        <v>19</v>
      </c>
      <c r="K18" s="7" t="s">
        <v>308</v>
      </c>
      <c r="L18" s="7" t="s">
        <v>18</v>
      </c>
      <c r="M18" s="57">
        <v>11</v>
      </c>
      <c r="N18" s="9">
        <v>1250</v>
      </c>
      <c r="O18" s="9">
        <f t="shared" si="0"/>
        <v>23.815698604072061</v>
      </c>
      <c r="P18" s="9">
        <f>ABY[[#This Row],[Cont Winter A]]</f>
        <v>1250</v>
      </c>
      <c r="Q18" s="9">
        <f t="shared" si="1"/>
        <v>23.815698604072061</v>
      </c>
      <c r="R18" s="9">
        <f>ABY[[#This Row],[Cont Shoulder A]]</f>
        <v>1250</v>
      </c>
      <c r="S18" s="9">
        <f t="shared" si="2"/>
        <v>23.815698604072061</v>
      </c>
      <c r="T18" s="9">
        <v>1500</v>
      </c>
      <c r="U18" s="9">
        <f t="shared" si="3"/>
        <v>28.578838324886473</v>
      </c>
      <c r="V18" s="9">
        <f>ABY[[#This Row],[24 Hr Winter A]]</f>
        <v>1500</v>
      </c>
      <c r="W18" s="9">
        <f t="shared" si="4"/>
        <v>28.578838324886473</v>
      </c>
      <c r="X18" s="9" t="s">
        <v>0</v>
      </c>
      <c r="Y18" s="9" t="str">
        <f t="shared" si="5"/>
        <v>-</v>
      </c>
      <c r="Z18" s="9" t="s">
        <v>0</v>
      </c>
      <c r="AA18" s="9" t="str">
        <f t="shared" si="6"/>
        <v>-</v>
      </c>
      <c r="AB18" s="9" t="s">
        <v>0</v>
      </c>
      <c r="AC18" s="9" t="str">
        <f t="shared" si="7"/>
        <v>-</v>
      </c>
      <c r="AD18" s="9" t="s">
        <v>0</v>
      </c>
      <c r="AE18" s="12" t="str">
        <f t="shared" si="8"/>
        <v>-</v>
      </c>
      <c r="AF18" s="9" t="s">
        <v>0</v>
      </c>
      <c r="AG18" s="9" t="s">
        <v>0</v>
      </c>
      <c r="AH18" s="9" t="s">
        <v>0</v>
      </c>
      <c r="AI18" s="9" t="s">
        <v>0</v>
      </c>
      <c r="AJ18" s="43" t="s">
        <v>0</v>
      </c>
      <c r="AK18" s="9" t="s">
        <v>0</v>
      </c>
      <c r="AL18" s="43" t="s">
        <v>0</v>
      </c>
      <c r="AM18" s="9" t="s">
        <v>0</v>
      </c>
      <c r="AN18" s="43" t="s">
        <v>0</v>
      </c>
      <c r="AO18" s="9" t="s">
        <v>0</v>
      </c>
      <c r="AP18" s="9" t="s">
        <v>0</v>
      </c>
      <c r="AQ18" s="43" t="s">
        <v>0</v>
      </c>
      <c r="AR18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18" s="9" t="str">
        <f t="shared" si="9"/>
        <v>-</v>
      </c>
      <c r="AT18" s="9">
        <f>IF(RIGHT(ABY[[#This Row],[Device type]],7)="Winding","-",ABY[[#This Row],[Cont Winter MVA]])</f>
        <v>23.815698604072061</v>
      </c>
      <c r="AU18" s="9">
        <f>IF(RIGHT(ABY[[#This Row],[Device type]],7)="Winding","-",ABY[[#This Row],[Cont Shoulder MVA]])</f>
        <v>23.815698604072061</v>
      </c>
      <c r="AV18" s="9">
        <f>IF(RIGHT(ABY[[#This Row],[Device type]],7)="Winding","-",ABY[[#This Row],[Cont Summer MVA]])</f>
        <v>23.815698604072061</v>
      </c>
      <c r="AW18" s="9">
        <f>IF(RIGHT(ABY[[#This Row],[Device type]],7)="Winding","-",ABY[[#This Row],[24 Hr Winter MVA]])</f>
        <v>28.578838324886473</v>
      </c>
      <c r="AX18" s="9">
        <f>IF(RIGHT(ABY[[#This Row],[Device type]],7)="Winding","-",ABY[[#This Row],[24 Hr Summer MVA]])</f>
        <v>28.578838324886473</v>
      </c>
      <c r="AY18" s="9" t="str">
        <f>ABY[[#This Row],[Forwards MVA]]</f>
        <v>-</v>
      </c>
      <c r="AZ18" s="9" t="str">
        <f>ABY[[#This Row],[Relay MVA]]</f>
        <v>-</v>
      </c>
      <c r="BA18" s="9" t="str">
        <f>ABY[[#This Row],[CT MVA]]</f>
        <v>-</v>
      </c>
      <c r="BB18" s="9" t="str">
        <f>ABY[[#This Row],[Derating MVA]]</f>
        <v>-</v>
      </c>
      <c r="BC18" s="9" t="str">
        <f>ABY[[#This Row],[Station/Feeder]]&amp;ABY[[#This Row],[Lowest MVA]]</f>
        <v>ABY_GXP23.8156986040721</v>
      </c>
      <c r="BD18" s="9" t="str">
        <f>CONCATENATE(ABY[[#This Row],[Supply Level]],ABY[[#This Row],[Station/Feeder]],ABY[[#This Row],[Voltage]],ABY[[#This Row],[Lowest A-No PTX]])</f>
        <v>GXPABY_GXP111250</v>
      </c>
      <c r="BE18" s="9" t="str">
        <f>CONCATENATE(ABY[[#This Row],[Supply Level]],ABY[[#This Row],[Station/Feeder]],ABY[[#This Row],[Voltage]],ABY[[#This Row],[Lowest A-PTX]])</f>
        <v>GXPABY_GXP111250</v>
      </c>
      <c r="BF18" s="9">
        <f>IF(MIN(ABY[[#This Row],[Summ Cont Winter A]:[Cable Derating]])=0,"",MIN(ABY[[#This Row],[Summ Cont Winter A]:[Cable Derating]]))</f>
        <v>23.815698604072061</v>
      </c>
      <c r="BG18" s="57">
        <f>IFERROR(ABY[[#This Row],[Lowest MVA]]*1000/(ABY[[#This Row],[Voltage]]*SQRT(3)),"")</f>
        <v>1250</v>
      </c>
      <c r="BH18" s="57">
        <f t="shared" si="10"/>
        <v>1250</v>
      </c>
      <c r="BI18" s="9" t="str">
        <f>ABY[[#This Row],[From]]</f>
        <v>110 kv Bus</v>
      </c>
      <c r="BJ18" s="9" t="str">
        <f>ABY[[#This Row],[To]]</f>
        <v>11 kV CBs</v>
      </c>
      <c r="BK18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Transformer-T2-Bushings</v>
      </c>
      <c r="BL18" s="9">
        <f>ABY[[#This Row],[Voltage]]</f>
        <v>11</v>
      </c>
    </row>
    <row r="19" spans="1:64" s="1" customFormat="1" ht="15" hidden="1" customHeight="1" x14ac:dyDescent="0.25">
      <c r="A19" s="353" t="str">
        <f>CONCATENATE(ABY[[#This Row],[Supply Level]],ABY[[#This Row],[Station/Feeder]],ABY[[#This Row],[Voltage]])</f>
        <v>GXPABY_GXP11</v>
      </c>
      <c r="B19" s="353" t="str">
        <f>CONCATENATE(ABY[[#This Row],[Supply Level]],ABY[[#This Row],[Station/Feeder]],ABY[[#This Row],[Equipment ID]],ABY[[#This Row],[Voltage]],ABY[[#This Row],[Device type]])</f>
        <v>GXPABY_GXPT211Bushings</v>
      </c>
      <c r="C19" s="6" t="s">
        <v>4</v>
      </c>
      <c r="D19" s="11" t="s">
        <v>365</v>
      </c>
      <c r="E19" s="7" t="s">
        <v>301</v>
      </c>
      <c r="F19" s="7" t="s">
        <v>316</v>
      </c>
      <c r="G19" s="56">
        <v>15</v>
      </c>
      <c r="H19" s="49" t="s">
        <v>302</v>
      </c>
      <c r="I19" s="7" t="s">
        <v>307</v>
      </c>
      <c r="J19" s="7" t="s">
        <v>19</v>
      </c>
      <c r="K19" s="7" t="s">
        <v>308</v>
      </c>
      <c r="L19" s="7" t="s">
        <v>18</v>
      </c>
      <c r="M19" s="57">
        <v>11</v>
      </c>
      <c r="N19" s="9">
        <v>1250</v>
      </c>
      <c r="O19" s="9">
        <f t="shared" si="0"/>
        <v>23.815698604072061</v>
      </c>
      <c r="P19" s="9">
        <f>ABY[[#This Row],[Cont Winter A]]</f>
        <v>1250</v>
      </c>
      <c r="Q19" s="9">
        <f t="shared" si="1"/>
        <v>23.815698604072061</v>
      </c>
      <c r="R19" s="9">
        <f>ABY[[#This Row],[Cont Shoulder A]]</f>
        <v>1250</v>
      </c>
      <c r="S19" s="9">
        <f t="shared" si="2"/>
        <v>23.815698604072061</v>
      </c>
      <c r="T19" s="9">
        <v>1500</v>
      </c>
      <c r="U19" s="9">
        <f t="shared" si="3"/>
        <v>28.578838324886473</v>
      </c>
      <c r="V19" s="9">
        <f>ABY[[#This Row],[24 Hr Winter A]]</f>
        <v>1500</v>
      </c>
      <c r="W19" s="9">
        <f t="shared" si="4"/>
        <v>28.578838324886473</v>
      </c>
      <c r="X19" s="9" t="s">
        <v>0</v>
      </c>
      <c r="Y19" s="9" t="str">
        <f t="shared" si="5"/>
        <v>-</v>
      </c>
      <c r="Z19" s="9" t="s">
        <v>0</v>
      </c>
      <c r="AA19" s="9" t="str">
        <f t="shared" si="6"/>
        <v>-</v>
      </c>
      <c r="AB19" s="9" t="s">
        <v>0</v>
      </c>
      <c r="AC19" s="9" t="str">
        <f t="shared" si="7"/>
        <v>-</v>
      </c>
      <c r="AD19" s="9" t="s">
        <v>0</v>
      </c>
      <c r="AE19" s="12" t="str">
        <f t="shared" si="8"/>
        <v>-</v>
      </c>
      <c r="AF19" s="9" t="s">
        <v>0</v>
      </c>
      <c r="AG19" s="9" t="s">
        <v>0</v>
      </c>
      <c r="AH19" s="9" t="s">
        <v>0</v>
      </c>
      <c r="AI19" s="9" t="s">
        <v>0</v>
      </c>
      <c r="AJ19" s="43" t="s">
        <v>0</v>
      </c>
      <c r="AK19" s="9" t="s">
        <v>0</v>
      </c>
      <c r="AL19" s="43" t="s">
        <v>0</v>
      </c>
      <c r="AM19" s="9" t="s">
        <v>0</v>
      </c>
      <c r="AN19" s="43" t="s">
        <v>0</v>
      </c>
      <c r="AO19" s="9" t="s">
        <v>0</v>
      </c>
      <c r="AP19" s="9" t="s">
        <v>0</v>
      </c>
      <c r="AQ19" s="43" t="s">
        <v>0</v>
      </c>
      <c r="AR19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19" s="9" t="str">
        <f t="shared" si="9"/>
        <v>-</v>
      </c>
      <c r="AT19" s="9">
        <f>IF(RIGHT(ABY[[#This Row],[Device type]],7)="Winding","-",ABY[[#This Row],[Cont Winter MVA]])</f>
        <v>23.815698604072061</v>
      </c>
      <c r="AU19" s="9">
        <f>IF(RIGHT(ABY[[#This Row],[Device type]],7)="Winding","-",ABY[[#This Row],[Cont Shoulder MVA]])</f>
        <v>23.815698604072061</v>
      </c>
      <c r="AV19" s="9">
        <f>IF(RIGHT(ABY[[#This Row],[Device type]],7)="Winding","-",ABY[[#This Row],[Cont Summer MVA]])</f>
        <v>23.815698604072061</v>
      </c>
      <c r="AW19" s="9">
        <f>IF(RIGHT(ABY[[#This Row],[Device type]],7)="Winding","-",ABY[[#This Row],[24 Hr Winter MVA]])</f>
        <v>28.578838324886473</v>
      </c>
      <c r="AX19" s="9">
        <f>IF(RIGHT(ABY[[#This Row],[Device type]],7)="Winding","-",ABY[[#This Row],[24 Hr Summer MVA]])</f>
        <v>28.578838324886473</v>
      </c>
      <c r="AY19" s="9" t="str">
        <f>ABY[[#This Row],[Forwards MVA]]</f>
        <v>-</v>
      </c>
      <c r="AZ19" s="9" t="str">
        <f>ABY[[#This Row],[Relay MVA]]</f>
        <v>-</v>
      </c>
      <c r="BA19" s="9" t="str">
        <f>ABY[[#This Row],[CT MVA]]</f>
        <v>-</v>
      </c>
      <c r="BB19" s="9" t="str">
        <f>ABY[[#This Row],[Derating MVA]]</f>
        <v>-</v>
      </c>
      <c r="BC19" s="9" t="str">
        <f>ABY[[#This Row],[Station/Feeder]]&amp;ABY[[#This Row],[Lowest MVA]]</f>
        <v>ABY_GXP23.8156986040721</v>
      </c>
      <c r="BD19" s="9" t="str">
        <f>CONCATENATE(ABY[[#This Row],[Supply Level]],ABY[[#This Row],[Station/Feeder]],ABY[[#This Row],[Voltage]],ABY[[#This Row],[Lowest A-No PTX]])</f>
        <v>GXPABY_GXP111250</v>
      </c>
      <c r="BE19" s="9" t="str">
        <f>CONCATENATE(ABY[[#This Row],[Supply Level]],ABY[[#This Row],[Station/Feeder]],ABY[[#This Row],[Voltage]],ABY[[#This Row],[Lowest A-PTX]])</f>
        <v>GXPABY_GXP111250</v>
      </c>
      <c r="BF19" s="9">
        <f>IF(MIN(ABY[[#This Row],[Summ Cont Winter A]:[Cable Derating]])=0,"",MIN(ABY[[#This Row],[Summ Cont Winter A]:[Cable Derating]]))</f>
        <v>23.815698604072061</v>
      </c>
      <c r="BG19" s="57">
        <f>IFERROR(ABY[[#This Row],[Lowest MVA]]*1000/(ABY[[#This Row],[Voltage]]*SQRT(3)),"")</f>
        <v>1250</v>
      </c>
      <c r="BH19" s="57">
        <f t="shared" si="10"/>
        <v>1250</v>
      </c>
      <c r="BI19" s="9" t="str">
        <f>ABY[[#This Row],[From]]</f>
        <v>110 kv Bus</v>
      </c>
      <c r="BJ19" s="9" t="str">
        <f>ABY[[#This Row],[To]]</f>
        <v>11 kV CBs</v>
      </c>
      <c r="BK19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Transformer-T2-Bushings</v>
      </c>
      <c r="BL19" s="9">
        <f>ABY[[#This Row],[Voltage]]</f>
        <v>11</v>
      </c>
    </row>
    <row r="20" spans="1:64" s="1" customFormat="1" ht="15" hidden="1" customHeight="1" x14ac:dyDescent="0.25">
      <c r="A20" s="353" t="str">
        <f>CONCATENATE(ABY[[#This Row],[Supply Level]],ABY[[#This Row],[Station/Feeder]],ABY[[#This Row],[Voltage]])</f>
        <v>GXPABY_GXP11</v>
      </c>
      <c r="B20" s="353" t="str">
        <f>CONCATENATE(ABY[[#This Row],[Supply Level]],ABY[[#This Row],[Station/Feeder]],ABY[[#This Row],[Equipment ID]],ABY[[#This Row],[Voltage]],ABY[[#This Row],[Device type]])</f>
        <v>GXPABY_GXPT211Bushings</v>
      </c>
      <c r="C20" s="6" t="s">
        <v>4</v>
      </c>
      <c r="D20" s="11" t="s">
        <v>365</v>
      </c>
      <c r="E20" s="7" t="s">
        <v>301</v>
      </c>
      <c r="F20" s="7" t="s">
        <v>316</v>
      </c>
      <c r="G20" s="56">
        <v>16</v>
      </c>
      <c r="H20" s="49" t="s">
        <v>302</v>
      </c>
      <c r="I20" s="7" t="s">
        <v>307</v>
      </c>
      <c r="J20" s="7" t="s">
        <v>19</v>
      </c>
      <c r="K20" s="7" t="s">
        <v>308</v>
      </c>
      <c r="L20" s="7" t="s">
        <v>18</v>
      </c>
      <c r="M20" s="57">
        <v>11</v>
      </c>
      <c r="N20" s="9">
        <v>1250</v>
      </c>
      <c r="O20" s="9">
        <f t="shared" si="0"/>
        <v>23.815698604072061</v>
      </c>
      <c r="P20" s="9">
        <f>ABY[[#This Row],[Cont Winter A]]</f>
        <v>1250</v>
      </c>
      <c r="Q20" s="9">
        <f t="shared" si="1"/>
        <v>23.815698604072061</v>
      </c>
      <c r="R20" s="9">
        <f>ABY[[#This Row],[Cont Shoulder A]]</f>
        <v>1250</v>
      </c>
      <c r="S20" s="9">
        <f t="shared" si="2"/>
        <v>23.815698604072061</v>
      </c>
      <c r="T20" s="9">
        <v>1500</v>
      </c>
      <c r="U20" s="9">
        <f t="shared" si="3"/>
        <v>28.578838324886473</v>
      </c>
      <c r="V20" s="9">
        <f>ABY[[#This Row],[24 Hr Winter A]]</f>
        <v>1500</v>
      </c>
      <c r="W20" s="9">
        <f t="shared" si="4"/>
        <v>28.578838324886473</v>
      </c>
      <c r="X20" s="9" t="s">
        <v>0</v>
      </c>
      <c r="Y20" s="9" t="str">
        <f t="shared" si="5"/>
        <v>-</v>
      </c>
      <c r="Z20" s="9" t="s">
        <v>0</v>
      </c>
      <c r="AA20" s="9" t="str">
        <f t="shared" si="6"/>
        <v>-</v>
      </c>
      <c r="AB20" s="9" t="s">
        <v>0</v>
      </c>
      <c r="AC20" s="9" t="str">
        <f t="shared" si="7"/>
        <v>-</v>
      </c>
      <c r="AD20" s="9" t="s">
        <v>0</v>
      </c>
      <c r="AE20" s="12" t="str">
        <f t="shared" si="8"/>
        <v>-</v>
      </c>
      <c r="AF20" s="9" t="s">
        <v>0</v>
      </c>
      <c r="AG20" s="9" t="s">
        <v>0</v>
      </c>
      <c r="AH20" s="9" t="s">
        <v>0</v>
      </c>
      <c r="AI20" s="9" t="s">
        <v>0</v>
      </c>
      <c r="AJ20" s="43" t="s">
        <v>0</v>
      </c>
      <c r="AK20" s="9" t="s">
        <v>0</v>
      </c>
      <c r="AL20" s="43" t="s">
        <v>0</v>
      </c>
      <c r="AM20" s="9" t="s">
        <v>0</v>
      </c>
      <c r="AN20" s="43" t="s">
        <v>0</v>
      </c>
      <c r="AO20" s="9" t="s">
        <v>0</v>
      </c>
      <c r="AP20" s="9" t="s">
        <v>0</v>
      </c>
      <c r="AQ20" s="43" t="s">
        <v>0</v>
      </c>
      <c r="AR20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20" s="9" t="str">
        <f t="shared" si="9"/>
        <v>-</v>
      </c>
      <c r="AT20" s="9">
        <f>IF(RIGHT(ABY[[#This Row],[Device type]],7)="Winding","-",ABY[[#This Row],[Cont Winter MVA]])</f>
        <v>23.815698604072061</v>
      </c>
      <c r="AU20" s="9">
        <f>IF(RIGHT(ABY[[#This Row],[Device type]],7)="Winding","-",ABY[[#This Row],[Cont Shoulder MVA]])</f>
        <v>23.815698604072061</v>
      </c>
      <c r="AV20" s="9">
        <f>IF(RIGHT(ABY[[#This Row],[Device type]],7)="Winding","-",ABY[[#This Row],[Cont Summer MVA]])</f>
        <v>23.815698604072061</v>
      </c>
      <c r="AW20" s="9">
        <f>IF(RIGHT(ABY[[#This Row],[Device type]],7)="Winding","-",ABY[[#This Row],[24 Hr Winter MVA]])</f>
        <v>28.578838324886473</v>
      </c>
      <c r="AX20" s="9">
        <f>IF(RIGHT(ABY[[#This Row],[Device type]],7)="Winding","-",ABY[[#This Row],[24 Hr Summer MVA]])</f>
        <v>28.578838324886473</v>
      </c>
      <c r="AY20" s="9" t="str">
        <f>ABY[[#This Row],[Forwards MVA]]</f>
        <v>-</v>
      </c>
      <c r="AZ20" s="9" t="str">
        <f>ABY[[#This Row],[Relay MVA]]</f>
        <v>-</v>
      </c>
      <c r="BA20" s="9" t="str">
        <f>ABY[[#This Row],[CT MVA]]</f>
        <v>-</v>
      </c>
      <c r="BB20" s="9" t="str">
        <f>ABY[[#This Row],[Derating MVA]]</f>
        <v>-</v>
      </c>
      <c r="BC20" s="9" t="str">
        <f>ABY[[#This Row],[Station/Feeder]]&amp;ABY[[#This Row],[Lowest MVA]]</f>
        <v>ABY_GXP23.8156986040721</v>
      </c>
      <c r="BD20" s="9" t="str">
        <f>CONCATENATE(ABY[[#This Row],[Supply Level]],ABY[[#This Row],[Station/Feeder]],ABY[[#This Row],[Voltage]],ABY[[#This Row],[Lowest A-No PTX]])</f>
        <v>GXPABY_GXP111250</v>
      </c>
      <c r="BE20" s="9" t="str">
        <f>CONCATENATE(ABY[[#This Row],[Supply Level]],ABY[[#This Row],[Station/Feeder]],ABY[[#This Row],[Voltage]],ABY[[#This Row],[Lowest A-PTX]])</f>
        <v>GXPABY_GXP111250</v>
      </c>
      <c r="BF20" s="9">
        <f>IF(MIN(ABY[[#This Row],[Summ Cont Winter A]:[Cable Derating]])=0,"",MIN(ABY[[#This Row],[Summ Cont Winter A]:[Cable Derating]]))</f>
        <v>23.815698604072061</v>
      </c>
      <c r="BG20" s="57">
        <f>IFERROR(ABY[[#This Row],[Lowest MVA]]*1000/(ABY[[#This Row],[Voltage]]*SQRT(3)),"")</f>
        <v>1250</v>
      </c>
      <c r="BH20" s="57">
        <f t="shared" si="10"/>
        <v>1250</v>
      </c>
      <c r="BI20" s="9" t="str">
        <f>ABY[[#This Row],[From]]</f>
        <v>110 kv Bus</v>
      </c>
      <c r="BJ20" s="9" t="str">
        <f>ABY[[#This Row],[To]]</f>
        <v>11 kV CBs</v>
      </c>
      <c r="BK20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Transformer-T2-Bushings</v>
      </c>
      <c r="BL20" s="9">
        <f>ABY[[#This Row],[Voltage]]</f>
        <v>11</v>
      </c>
    </row>
    <row r="21" spans="1:64" s="1" customFormat="1" ht="15" hidden="1" customHeight="1" x14ac:dyDescent="0.25">
      <c r="A21" s="353" t="str">
        <f>CONCATENATE(ABY[[#This Row],[Supply Level]],ABY[[#This Row],[Station/Feeder]],ABY[[#This Row],[Voltage]])</f>
        <v>GXPABY_GXP11</v>
      </c>
      <c r="B21" s="354" t="str">
        <f>CONCATENATE(ABY[[#This Row],[Supply Level]],ABY[[#This Row],[Station/Feeder]],ABY[[#This Row],[Equipment ID]],ABY[[#This Row],[Voltage]],ABY[[#This Row],[Device type]])</f>
        <v>GXPABY_GXPT211Bushings</v>
      </c>
      <c r="C21" s="14" t="s">
        <v>4</v>
      </c>
      <c r="D21" s="11" t="s">
        <v>365</v>
      </c>
      <c r="E21" s="7" t="s">
        <v>301</v>
      </c>
      <c r="F21" s="7" t="s">
        <v>316</v>
      </c>
      <c r="G21" s="56">
        <v>17</v>
      </c>
      <c r="H21" s="49" t="s">
        <v>302</v>
      </c>
      <c r="I21" s="7" t="s">
        <v>307</v>
      </c>
      <c r="J21" s="7" t="s">
        <v>19</v>
      </c>
      <c r="K21" s="7" t="s">
        <v>308</v>
      </c>
      <c r="L21" s="7" t="s">
        <v>18</v>
      </c>
      <c r="M21" s="57">
        <v>11</v>
      </c>
      <c r="N21" s="9">
        <v>1250</v>
      </c>
      <c r="O21" s="9">
        <f t="shared" si="0"/>
        <v>23.815698604072061</v>
      </c>
      <c r="P21" s="9">
        <f>ABY[[#This Row],[Cont Winter A]]</f>
        <v>1250</v>
      </c>
      <c r="Q21" s="9">
        <f t="shared" si="1"/>
        <v>23.815698604072061</v>
      </c>
      <c r="R21" s="9">
        <f>ABY[[#This Row],[Cont Shoulder A]]</f>
        <v>1250</v>
      </c>
      <c r="S21" s="9">
        <f t="shared" si="2"/>
        <v>23.815698604072061</v>
      </c>
      <c r="T21" s="9">
        <v>1500</v>
      </c>
      <c r="U21" s="9">
        <f t="shared" si="3"/>
        <v>28.578838324886473</v>
      </c>
      <c r="V21" s="9">
        <f>ABY[[#This Row],[24 Hr Winter A]]</f>
        <v>1500</v>
      </c>
      <c r="W21" s="9">
        <f t="shared" si="4"/>
        <v>28.578838324886473</v>
      </c>
      <c r="X21" s="9" t="s">
        <v>0</v>
      </c>
      <c r="Y21" s="9" t="str">
        <f t="shared" si="5"/>
        <v>-</v>
      </c>
      <c r="Z21" s="9" t="s">
        <v>0</v>
      </c>
      <c r="AA21" s="9" t="str">
        <f t="shared" si="6"/>
        <v>-</v>
      </c>
      <c r="AB21" s="9" t="s">
        <v>0</v>
      </c>
      <c r="AC21" s="9" t="str">
        <f t="shared" si="7"/>
        <v>-</v>
      </c>
      <c r="AD21" s="9" t="s">
        <v>0</v>
      </c>
      <c r="AE21" s="12" t="str">
        <f t="shared" si="8"/>
        <v>-</v>
      </c>
      <c r="AF21" s="9" t="s">
        <v>0</v>
      </c>
      <c r="AG21" s="9" t="s">
        <v>0</v>
      </c>
      <c r="AH21" s="9" t="s">
        <v>0</v>
      </c>
      <c r="AI21" s="9" t="s">
        <v>0</v>
      </c>
      <c r="AJ21" s="43" t="s">
        <v>0</v>
      </c>
      <c r="AK21" s="9" t="s">
        <v>0</v>
      </c>
      <c r="AL21" s="43" t="s">
        <v>0</v>
      </c>
      <c r="AM21" s="9" t="s">
        <v>0</v>
      </c>
      <c r="AN21" s="43" t="s">
        <v>0</v>
      </c>
      <c r="AO21" s="9" t="s">
        <v>0</v>
      </c>
      <c r="AP21" s="9" t="s">
        <v>0</v>
      </c>
      <c r="AQ21" s="43" t="s">
        <v>0</v>
      </c>
      <c r="AR21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21" s="9" t="str">
        <f t="shared" si="9"/>
        <v>-</v>
      </c>
      <c r="AT21" s="9">
        <f>IF(RIGHT(ABY[[#This Row],[Device type]],7)="Winding","-",ABY[[#This Row],[Cont Winter MVA]])</f>
        <v>23.815698604072061</v>
      </c>
      <c r="AU21" s="9">
        <f>IF(RIGHT(ABY[[#This Row],[Device type]],7)="Winding","-",ABY[[#This Row],[Cont Shoulder MVA]])</f>
        <v>23.815698604072061</v>
      </c>
      <c r="AV21" s="9">
        <f>IF(RIGHT(ABY[[#This Row],[Device type]],7)="Winding","-",ABY[[#This Row],[Cont Summer MVA]])</f>
        <v>23.815698604072061</v>
      </c>
      <c r="AW21" s="9">
        <f>IF(RIGHT(ABY[[#This Row],[Device type]],7)="Winding","-",ABY[[#This Row],[24 Hr Winter MVA]])</f>
        <v>28.578838324886473</v>
      </c>
      <c r="AX21" s="9">
        <f>IF(RIGHT(ABY[[#This Row],[Device type]],7)="Winding","-",ABY[[#This Row],[24 Hr Summer MVA]])</f>
        <v>28.578838324886473</v>
      </c>
      <c r="AY21" s="9" t="str">
        <f>ABY[[#This Row],[Forwards MVA]]</f>
        <v>-</v>
      </c>
      <c r="AZ21" s="9" t="str">
        <f>ABY[[#This Row],[Relay MVA]]</f>
        <v>-</v>
      </c>
      <c r="BA21" s="9" t="str">
        <f>ABY[[#This Row],[CT MVA]]</f>
        <v>-</v>
      </c>
      <c r="BB21" s="9" t="str">
        <f>ABY[[#This Row],[Derating MVA]]</f>
        <v>-</v>
      </c>
      <c r="BC21" s="9" t="str">
        <f>ABY[[#This Row],[Station/Feeder]]&amp;ABY[[#This Row],[Lowest MVA]]</f>
        <v>ABY_GXP23.8156986040721</v>
      </c>
      <c r="BD21" s="9" t="str">
        <f>CONCATENATE(ABY[[#This Row],[Supply Level]],ABY[[#This Row],[Station/Feeder]],ABY[[#This Row],[Voltage]],ABY[[#This Row],[Lowest A-No PTX]])</f>
        <v>GXPABY_GXP111250</v>
      </c>
      <c r="BE21" s="9" t="str">
        <f>CONCATENATE(ABY[[#This Row],[Supply Level]],ABY[[#This Row],[Station/Feeder]],ABY[[#This Row],[Voltage]],ABY[[#This Row],[Lowest A-PTX]])</f>
        <v>GXPABY_GXP111250</v>
      </c>
      <c r="BF21" s="9">
        <f>IF(MIN(ABY[[#This Row],[Summ Cont Winter A]:[Cable Derating]])=0,"",MIN(ABY[[#This Row],[Summ Cont Winter A]:[Cable Derating]]))</f>
        <v>23.815698604072061</v>
      </c>
      <c r="BG21" s="57">
        <f>IFERROR(ABY[[#This Row],[Lowest MVA]]*1000/(ABY[[#This Row],[Voltage]]*SQRT(3)),"")</f>
        <v>1250</v>
      </c>
      <c r="BH21" s="57">
        <f t="shared" si="10"/>
        <v>1250</v>
      </c>
      <c r="BI21" s="9" t="str">
        <f>ABY[[#This Row],[From]]</f>
        <v>110 kv Bus</v>
      </c>
      <c r="BJ21" s="9" t="str">
        <f>ABY[[#This Row],[To]]</f>
        <v>11 kV CBs</v>
      </c>
      <c r="BK21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Transformer-T2-Bushings</v>
      </c>
      <c r="BL21" s="9">
        <f>ABY[[#This Row],[Voltage]]</f>
        <v>11</v>
      </c>
    </row>
    <row r="22" spans="1:64" s="1" customFormat="1" ht="15" hidden="1" customHeight="1" x14ac:dyDescent="0.25">
      <c r="A22" s="353" t="str">
        <f>CONCATENATE(ABY[[#This Row],[Supply Level]],ABY[[#This Row],[Station/Feeder]],ABY[[#This Row],[Voltage]])</f>
        <v>GXPABY_GXP11</v>
      </c>
      <c r="B22" s="353" t="str">
        <f>CONCATENATE(ABY[[#This Row],[Supply Level]],ABY[[#This Row],[Station/Feeder]],ABY[[#This Row],[Equipment ID]],ABY[[#This Row],[Voltage]],ABY[[#This Row],[Device type]])</f>
        <v>GXPABY_GXPABY-CB271211Protection</v>
      </c>
      <c r="C22" s="6" t="s">
        <v>4</v>
      </c>
      <c r="D22" s="11" t="s">
        <v>365</v>
      </c>
      <c r="E22" s="7" t="s">
        <v>301</v>
      </c>
      <c r="F22" s="7" t="s">
        <v>316</v>
      </c>
      <c r="G22" s="56">
        <v>18</v>
      </c>
      <c r="H22" s="7" t="s">
        <v>302</v>
      </c>
      <c r="I22" s="7" t="s">
        <v>2208</v>
      </c>
      <c r="J22" s="7" t="s">
        <v>15</v>
      </c>
      <c r="K22" s="7" t="s">
        <v>1120</v>
      </c>
      <c r="L22" s="7" t="s">
        <v>1423</v>
      </c>
      <c r="M22" s="57">
        <v>11</v>
      </c>
      <c r="N22" s="9">
        <v>1250</v>
      </c>
      <c r="O22" s="9">
        <f t="shared" ref="O22" si="11">IF(OR(N22="",N22="-"),"-",N22*$M22*SQRT(3)/1000)</f>
        <v>23.815698604072061</v>
      </c>
      <c r="P22" s="9">
        <v>1250</v>
      </c>
      <c r="Q22" s="9">
        <f t="shared" ref="Q22" si="12">IF(OR(P22="",P22="-"),"-",P22*$M22*SQRT(3)/1000)</f>
        <v>23.815698604072061</v>
      </c>
      <c r="R22" s="9">
        <v>1250</v>
      </c>
      <c r="S22" s="9">
        <f t="shared" ref="S22" si="13">IF(OR(R22="",R22="-"),"-",R22*$M22*SQRT(3)/1000)</f>
        <v>23.815698604072061</v>
      </c>
      <c r="T22" s="9" t="s">
        <v>0</v>
      </c>
      <c r="U22" s="9" t="str">
        <f t="shared" ref="U22" si="14">IF(OR(T22="",T22="-"),"-",T22*$M22*SQRT(3)/1000)</f>
        <v>-</v>
      </c>
      <c r="V22" s="9" t="s">
        <v>0</v>
      </c>
      <c r="W22" s="9" t="str">
        <f t="shared" ref="W22" si="15">IF(OR(V22="",V22="-"),"-",V22*$M22*SQRT(3)/1000)</f>
        <v>-</v>
      </c>
      <c r="X22" s="9">
        <v>1635</v>
      </c>
      <c r="Y22" s="9">
        <f t="shared" ref="Y22" si="16">IF(OR(X22="",X22="-"),"-",X22*$M22*SQRT(3)/1000)</f>
        <v>31.150933774126258</v>
      </c>
      <c r="Z22" s="9">
        <v>1635</v>
      </c>
      <c r="AA22" s="9">
        <f t="shared" ref="AA22" si="17">IF(OR(Z22="",Z22="-"),"-",Z22*$M22*SQRT(3)/1000)</f>
        <v>31.150933774126258</v>
      </c>
      <c r="AB22" s="9">
        <v>3600</v>
      </c>
      <c r="AC22" s="9">
        <f t="shared" ref="AC22" si="18">IF(OR(AB22="",AB22="-"),"-",AB22*$M22*SQRT(3)/1000)</f>
        <v>68.589211979727537</v>
      </c>
      <c r="AD22" s="9">
        <v>2400</v>
      </c>
      <c r="AE22" s="12">
        <f t="shared" ref="AE22" si="19">IF(OR(AD22="",AD22="-"),"-",AD22*$M22*SQRT(3)/1000)</f>
        <v>45.72614131981836</v>
      </c>
      <c r="AF22" s="29" t="s">
        <v>0</v>
      </c>
      <c r="AG22" s="29" t="s">
        <v>0</v>
      </c>
      <c r="AH22" s="9" t="s">
        <v>0</v>
      </c>
      <c r="AI22" s="29" t="s">
        <v>0</v>
      </c>
      <c r="AJ22" s="32" t="s">
        <v>0</v>
      </c>
      <c r="AK22" s="29" t="s">
        <v>0</v>
      </c>
      <c r="AL22" s="32" t="s">
        <v>0</v>
      </c>
      <c r="AM22" s="29" t="s">
        <v>0</v>
      </c>
      <c r="AN22" s="32" t="s">
        <v>0</v>
      </c>
      <c r="AO22" s="29" t="s">
        <v>0</v>
      </c>
      <c r="AP22" s="32" t="s">
        <v>0</v>
      </c>
      <c r="AQ22" s="32" t="s">
        <v>0</v>
      </c>
      <c r="AR22" s="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22" s="9" t="str">
        <f t="shared" ref="AS22" si="20">IF(OR(AR22="",AR22="-"),"-",AR22*$M22*SQRT(3)/1000)</f>
        <v>-</v>
      </c>
      <c r="AT22" s="9">
        <f>IF(RIGHT(ABY[[#This Row],[Device type]],7)="Winding","-",ABY[[#This Row],[Cont Winter MVA]])</f>
        <v>23.815698604072061</v>
      </c>
      <c r="AU22" s="9">
        <f>IF(RIGHT(ABY[[#This Row],[Device type]],7)="Winding","-",ABY[[#This Row],[Cont Shoulder MVA]])</f>
        <v>23.815698604072061</v>
      </c>
      <c r="AV22" s="9">
        <f>IF(RIGHT(ABY[[#This Row],[Device type]],7)="Winding","-",ABY[[#This Row],[Cont Summer MVA]])</f>
        <v>23.815698604072061</v>
      </c>
      <c r="AW22" s="9" t="str">
        <f>IF(RIGHT(ABY[[#This Row],[Device type]],7)="Winding","-",ABY[[#This Row],[24 Hr Winter MVA]])</f>
        <v>-</v>
      </c>
      <c r="AX22" s="9" t="str">
        <f>IF(RIGHT(ABY[[#This Row],[Device type]],7)="Winding","-",ABY[[#This Row],[24 Hr Summer MVA]])</f>
        <v>-</v>
      </c>
      <c r="AY22" s="9">
        <f>ABY[[#This Row],[Forwards MVA]]</f>
        <v>31.150933774126258</v>
      </c>
      <c r="AZ22" s="9">
        <f>ABY[[#This Row],[Relay MVA]]</f>
        <v>68.589211979727537</v>
      </c>
      <c r="BA22" s="9">
        <f>ABY[[#This Row],[CT MVA]]</f>
        <v>45.72614131981836</v>
      </c>
      <c r="BB22" s="9" t="str">
        <f>ABY[[#This Row],[Derating MVA]]</f>
        <v>-</v>
      </c>
      <c r="BC22" s="9" t="str">
        <f>ABY[[#This Row],[Station/Feeder]]&amp;ABY[[#This Row],[Lowest MVA]]</f>
        <v>ABY_GXP23.8156986040721</v>
      </c>
      <c r="BD22" s="9" t="str">
        <f>CONCATENATE(ABY[[#This Row],[Supply Level]],ABY[[#This Row],[Station/Feeder]],ABY[[#This Row],[Voltage]],ABY[[#This Row],[Lowest A-No PTX]])</f>
        <v>GXPABY_GXP111250</v>
      </c>
      <c r="BE22" s="9" t="str">
        <f>CONCATENATE(ABY[[#This Row],[Supply Level]],ABY[[#This Row],[Station/Feeder]],ABY[[#This Row],[Voltage]],ABY[[#This Row],[Lowest A-PTX]])</f>
        <v>GXPABY_GXP111250</v>
      </c>
      <c r="BF22" s="9">
        <f>IF(MIN(ABY[[#This Row],[Summ Cont Winter A]:[Cable Derating]])=0,"",MIN(ABY[[#This Row],[Summ Cont Winter A]:[Cable Derating]]))</f>
        <v>23.815698604072061</v>
      </c>
      <c r="BG22" s="57">
        <f>IFERROR(ABY[[#This Row],[Lowest MVA]]*1000/(ABY[[#This Row],[Voltage]]*SQRT(3)),"")</f>
        <v>1250</v>
      </c>
      <c r="BH22" s="57">
        <f t="shared" si="10"/>
        <v>1250</v>
      </c>
      <c r="BI22" s="9" t="str">
        <f>ABY[[#This Row],[From]]</f>
        <v>110 kv Bus</v>
      </c>
      <c r="BJ22" s="9" t="str">
        <f>ABY[[#This Row],[To]]</f>
        <v>11 kV CBs</v>
      </c>
      <c r="BK22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Circuit Breaker-ABY-CB2712-Protection</v>
      </c>
      <c r="BL22" s="9">
        <f>ABY[[#This Row],[Voltage]]</f>
        <v>11</v>
      </c>
    </row>
    <row r="23" spans="1:64" s="1" customFormat="1" ht="15" hidden="1" customHeight="1" x14ac:dyDescent="0.25">
      <c r="A23" s="353" t="str">
        <f>CONCATENATE(ABY[[#This Row],[Supply Level]],ABY[[#This Row],[Station/Feeder]],ABY[[#This Row],[Voltage]])</f>
        <v>GXPABY_GXP11</v>
      </c>
      <c r="B23" s="352" t="str">
        <f>CONCATENATE(ABY[[#This Row],[Supply Level]],ABY[[#This Row],[Station/Feeder]],ABY[[#This Row],[Equipment ID]],ABY[[#This Row],[Voltage]],ABY[[#This Row],[Device type]])</f>
        <v>GXPABY_GXPABY-CB271211Other Equipment</v>
      </c>
      <c r="C23" s="168" t="s">
        <v>4</v>
      </c>
      <c r="D23" s="11" t="s">
        <v>365</v>
      </c>
      <c r="E23" s="7" t="s">
        <v>301</v>
      </c>
      <c r="F23" s="7" t="s">
        <v>316</v>
      </c>
      <c r="G23" s="56">
        <v>19</v>
      </c>
      <c r="H23" s="7" t="s">
        <v>302</v>
      </c>
      <c r="I23" s="7" t="s">
        <v>2208</v>
      </c>
      <c r="J23" s="7" t="s">
        <v>15</v>
      </c>
      <c r="K23" s="7" t="s">
        <v>2209</v>
      </c>
      <c r="L23" s="7" t="s">
        <v>48</v>
      </c>
      <c r="M23" s="57">
        <v>11</v>
      </c>
      <c r="N23" s="9">
        <v>600</v>
      </c>
      <c r="O23" s="9">
        <f t="shared" si="0"/>
        <v>11.43153532995459</v>
      </c>
      <c r="P23" s="9">
        <v>600</v>
      </c>
      <c r="Q23" s="9">
        <f t="shared" si="1"/>
        <v>11.43153532995459</v>
      </c>
      <c r="R23" s="9">
        <v>600</v>
      </c>
      <c r="S23" s="9">
        <f t="shared" si="2"/>
        <v>11.43153532995459</v>
      </c>
      <c r="T23" s="9">
        <v>600</v>
      </c>
      <c r="U23" s="9">
        <f t="shared" si="3"/>
        <v>11.43153532995459</v>
      </c>
      <c r="V23" s="9">
        <v>600</v>
      </c>
      <c r="W23" s="9">
        <f t="shared" si="4"/>
        <v>11.43153532995459</v>
      </c>
      <c r="X23" s="9" t="s">
        <v>0</v>
      </c>
      <c r="Y23" s="9" t="str">
        <f t="shared" si="5"/>
        <v>-</v>
      </c>
      <c r="Z23" s="9" t="s">
        <v>0</v>
      </c>
      <c r="AA23" s="9" t="str">
        <f t="shared" si="6"/>
        <v>-</v>
      </c>
      <c r="AB23" s="9" t="s">
        <v>0</v>
      </c>
      <c r="AC23" s="9" t="str">
        <f t="shared" si="7"/>
        <v>-</v>
      </c>
      <c r="AD23" s="9" t="s">
        <v>0</v>
      </c>
      <c r="AE23" s="12" t="str">
        <f t="shared" si="8"/>
        <v>-</v>
      </c>
      <c r="AF23" s="9" t="s">
        <v>0</v>
      </c>
      <c r="AG23" s="9" t="s">
        <v>0</v>
      </c>
      <c r="AH23" s="9" t="s">
        <v>0</v>
      </c>
      <c r="AI23" s="9" t="s">
        <v>0</v>
      </c>
      <c r="AJ23" s="43" t="s">
        <v>0</v>
      </c>
      <c r="AK23" s="9" t="s">
        <v>0</v>
      </c>
      <c r="AL23" s="43" t="s">
        <v>0</v>
      </c>
      <c r="AM23" s="9" t="s">
        <v>0</v>
      </c>
      <c r="AN23" s="43" t="s">
        <v>0</v>
      </c>
      <c r="AO23" s="9" t="s">
        <v>0</v>
      </c>
      <c r="AP23" s="9" t="s">
        <v>0</v>
      </c>
      <c r="AQ23" s="43" t="s">
        <v>0</v>
      </c>
      <c r="AR23" s="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23" s="9" t="str">
        <f t="shared" si="9"/>
        <v>-</v>
      </c>
      <c r="AT23" s="9">
        <f>IF(RIGHT(ABY[[#This Row],[Device type]],7)="Winding","-",ABY[[#This Row],[Cont Winter MVA]])</f>
        <v>11.43153532995459</v>
      </c>
      <c r="AU23" s="9">
        <f>IF(RIGHT(ABY[[#This Row],[Device type]],7)="Winding","-",ABY[[#This Row],[Cont Shoulder MVA]])</f>
        <v>11.43153532995459</v>
      </c>
      <c r="AV23" s="9">
        <f>IF(RIGHT(ABY[[#This Row],[Device type]],7)="Winding","-",ABY[[#This Row],[Cont Summer MVA]])</f>
        <v>11.43153532995459</v>
      </c>
      <c r="AW23" s="9">
        <f>IF(RIGHT(ABY[[#This Row],[Device type]],7)="Winding","-",ABY[[#This Row],[24 Hr Winter MVA]])</f>
        <v>11.43153532995459</v>
      </c>
      <c r="AX23" s="9">
        <f>IF(RIGHT(ABY[[#This Row],[Device type]],7)="Winding","-",ABY[[#This Row],[24 Hr Summer MVA]])</f>
        <v>11.43153532995459</v>
      </c>
      <c r="AY23" s="9" t="str">
        <f>ABY[[#This Row],[Forwards MVA]]</f>
        <v>-</v>
      </c>
      <c r="AZ23" s="9" t="str">
        <f>ABY[[#This Row],[Relay MVA]]</f>
        <v>-</v>
      </c>
      <c r="BA23" s="9" t="str">
        <f>ABY[[#This Row],[CT MVA]]</f>
        <v>-</v>
      </c>
      <c r="BB23" s="9" t="str">
        <f>ABY[[#This Row],[Derating MVA]]</f>
        <v>-</v>
      </c>
      <c r="BC23" s="9" t="str">
        <f>ABY[[#This Row],[Station/Feeder]]&amp;ABY[[#This Row],[Lowest MVA]]</f>
        <v>ABY_GXP11.4315353299546</v>
      </c>
      <c r="BD23" s="9" t="str">
        <f>CONCATENATE(ABY[[#This Row],[Supply Level]],ABY[[#This Row],[Station/Feeder]],ABY[[#This Row],[Voltage]],ABY[[#This Row],[Lowest A-No PTX]])</f>
        <v>GXPABY_GXP11600</v>
      </c>
      <c r="BE23" s="9" t="str">
        <f>CONCATENATE(ABY[[#This Row],[Supply Level]],ABY[[#This Row],[Station/Feeder]],ABY[[#This Row],[Voltage]],ABY[[#This Row],[Lowest A-PTX]])</f>
        <v>GXPABY_GXP11600</v>
      </c>
      <c r="BF23" s="9">
        <f>IF(MIN(ABY[[#This Row],[Summ Cont Winter A]:[Cable Derating]])=0,"",MIN(ABY[[#This Row],[Summ Cont Winter A]:[Cable Derating]]))</f>
        <v>11.43153532995459</v>
      </c>
      <c r="BG23" s="57">
        <f>IFERROR(ABY[[#This Row],[Lowest MVA]]*1000/(ABY[[#This Row],[Voltage]]*SQRT(3)),"")</f>
        <v>600</v>
      </c>
      <c r="BH23" s="57">
        <f t="shared" si="10"/>
        <v>600</v>
      </c>
      <c r="BI23" s="9" t="str">
        <f>ABY[[#This Row],[From]]</f>
        <v>110 kv Bus</v>
      </c>
      <c r="BJ23" s="9" t="str">
        <f>ABY[[#This Row],[To]]</f>
        <v>11 kV CBs</v>
      </c>
      <c r="BK23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Circuit Breaker-ABY-CB2712-Other Equipment</v>
      </c>
      <c r="BL23" s="9">
        <f>ABY[[#This Row],[Voltage]]</f>
        <v>11</v>
      </c>
    </row>
    <row r="24" spans="1:64" s="1" customFormat="1" ht="15" customHeight="1" x14ac:dyDescent="0.25">
      <c r="A24" s="353" t="str">
        <f>CONCATENATE(ABY[[#This Row],[Supply Level]],ABY[[#This Row],[Station/Feeder]],ABY[[#This Row],[Voltage]])</f>
        <v>SubTransmissionCB2722_Fairlie11</v>
      </c>
      <c r="B24" s="353" t="str">
        <f>CONCATENATE(ABY[[#This Row],[Supply Level]],ABY[[#This Row],[Station/Feeder]],ABY[[#This Row],[Equipment ID]],ABY[[#This Row],[Voltage]],ABY[[#This Row],[Device type]])</f>
        <v>SubTransmissionCB2722_FairlieABY-CB272211Protection</v>
      </c>
      <c r="C24" s="6" t="s">
        <v>1245</v>
      </c>
      <c r="D24" s="11" t="s">
        <v>90</v>
      </c>
      <c r="E24" s="46" t="s">
        <v>310</v>
      </c>
      <c r="F24" s="46" t="s">
        <v>331</v>
      </c>
      <c r="G24" s="56">
        <v>20</v>
      </c>
      <c r="H24" s="49" t="s">
        <v>311</v>
      </c>
      <c r="I24" s="7" t="s">
        <v>2210</v>
      </c>
      <c r="J24" s="7" t="s">
        <v>15</v>
      </c>
      <c r="K24" s="7" t="s">
        <v>1121</v>
      </c>
      <c r="L24" s="7" t="s">
        <v>1423</v>
      </c>
      <c r="M24" s="57">
        <v>11</v>
      </c>
      <c r="N24" s="9">
        <v>630</v>
      </c>
      <c r="O24" s="9">
        <f>IF(OR(N24="",N24="-"),"-",N24*$M24*SQRT(3)/1000)</f>
        <v>12.00311209645232</v>
      </c>
      <c r="P24" s="9">
        <v>630</v>
      </c>
      <c r="Q24" s="9">
        <f>IF(OR(P24="",P24="-"),"-",P24*$M24*SQRT(3)/1000)</f>
        <v>12.00311209645232</v>
      </c>
      <c r="R24" s="9">
        <v>630</v>
      </c>
      <c r="S24" s="9">
        <f>IF(OR(R24="",R24="-"),"-",R24*$M24*SQRT(3)/1000)</f>
        <v>12.00311209645232</v>
      </c>
      <c r="T24" s="9" t="s">
        <v>0</v>
      </c>
      <c r="U24" s="9" t="str">
        <f>IF(OR(T24="",T24="-"),"-",T24*$M24*SQRT(3)/1000)</f>
        <v>-</v>
      </c>
      <c r="V24" s="9" t="s">
        <v>0</v>
      </c>
      <c r="W24" s="9" t="str">
        <f>IF(OR(V24="",V24="-"),"-",V24*$M24*SQRT(3)/1000)</f>
        <v>-</v>
      </c>
      <c r="X24" s="9">
        <f>VLOOKUP(ABY[[#This Row],[Equipment ID]],AEL_Protection_Data[#All],12,0)</f>
        <v>450</v>
      </c>
      <c r="Y24" s="9">
        <f>IF(OR(X24="",X24="-"),"-",X24*$M24*SQRT(3)/1000)</f>
        <v>8.5736514974659421</v>
      </c>
      <c r="Z24" s="9">
        <v>450</v>
      </c>
      <c r="AA24" s="9">
        <f>IF(OR(Z24="",Z24="-"),"-",Z24*$M24*SQRT(3)/1000)</f>
        <v>8.5736514974659421</v>
      </c>
      <c r="AB24" s="9">
        <v>900</v>
      </c>
      <c r="AC24" s="9">
        <f>IF(OR(AB24="",AB24="-"),"-",AB24*$M24*SQRT(3)/1000)</f>
        <v>17.147302994931884</v>
      </c>
      <c r="AD24" s="9">
        <v>600</v>
      </c>
      <c r="AE24" s="12">
        <f>IF(OR(AD24="",AD24="-"),"-",AD24*$M24*SQRT(3)/1000)</f>
        <v>11.43153532995459</v>
      </c>
      <c r="AF24" s="9" t="s">
        <v>0</v>
      </c>
      <c r="AG24" s="9" t="s">
        <v>0</v>
      </c>
      <c r="AH24" s="9" t="s">
        <v>0</v>
      </c>
      <c r="AI24" s="9" t="s">
        <v>0</v>
      </c>
      <c r="AJ24" s="43" t="s">
        <v>0</v>
      </c>
      <c r="AK24" s="9" t="s">
        <v>0</v>
      </c>
      <c r="AL24" s="43" t="s">
        <v>0</v>
      </c>
      <c r="AM24" s="9" t="s">
        <v>0</v>
      </c>
      <c r="AN24" s="43" t="s">
        <v>0</v>
      </c>
      <c r="AO24" s="9" t="s">
        <v>0</v>
      </c>
      <c r="AP24" s="9" t="s">
        <v>0</v>
      </c>
      <c r="AQ24" s="43" t="s">
        <v>0</v>
      </c>
      <c r="AR24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24" s="9" t="str">
        <f>IF(OR(AR24="",AR24="-"),"-",AR24*$M24*SQRT(3)/1000)</f>
        <v>-</v>
      </c>
      <c r="AT24" s="9">
        <f>IF(RIGHT(ABY[[#This Row],[Device type]],7)="Winding","-",ABY[[#This Row],[Cont Winter MVA]])</f>
        <v>12.00311209645232</v>
      </c>
      <c r="AU24" s="9">
        <f>IF(RIGHT(ABY[[#This Row],[Device type]],7)="Winding","-",ABY[[#This Row],[Cont Shoulder MVA]])</f>
        <v>12.00311209645232</v>
      </c>
      <c r="AV24" s="9">
        <f>IF(RIGHT(ABY[[#This Row],[Device type]],7)="Winding","-",ABY[[#This Row],[Cont Summer MVA]])</f>
        <v>12.00311209645232</v>
      </c>
      <c r="AW24" s="9" t="str">
        <f>IF(RIGHT(ABY[[#This Row],[Device type]],7)="Winding","-",ABY[[#This Row],[24 Hr Winter MVA]])</f>
        <v>-</v>
      </c>
      <c r="AX24" s="9" t="str">
        <f>IF(RIGHT(ABY[[#This Row],[Device type]],7)="Winding","-",ABY[[#This Row],[24 Hr Summer MVA]])</f>
        <v>-</v>
      </c>
      <c r="AY24" s="9">
        <f>ABY[[#This Row],[Forwards MVA]]</f>
        <v>8.5736514974659421</v>
      </c>
      <c r="AZ24" s="9">
        <f>ABY[[#This Row],[Relay MVA]]</f>
        <v>17.147302994931884</v>
      </c>
      <c r="BA24" s="9">
        <f>ABY[[#This Row],[CT MVA]]</f>
        <v>11.43153532995459</v>
      </c>
      <c r="BB24" s="9" t="str">
        <f>ABY[[#This Row],[Derating MVA]]</f>
        <v>-</v>
      </c>
      <c r="BC24" s="9" t="str">
        <f>ABY[[#This Row],[Station/Feeder]]&amp;ABY[[#This Row],[Lowest MVA]]</f>
        <v>CB2722_Fairlie8.57365149746594</v>
      </c>
      <c r="BD24" s="9" t="str">
        <f>CONCATENATE(ABY[[#This Row],[Supply Level]],ABY[[#This Row],[Station/Feeder]],ABY[[#This Row],[Voltage]],ABY[[#This Row],[Lowest A-No PTX]])</f>
        <v>SubTransmissionCB2722_Fairlie11450</v>
      </c>
      <c r="BE24" s="9" t="str">
        <f>CONCATENATE(ABY[[#This Row],[Supply Level]],ABY[[#This Row],[Station/Feeder]],ABY[[#This Row],[Voltage]],ABY[[#This Row],[Lowest A-PTX]])</f>
        <v>SubTransmissionCB2722_Fairlie11450</v>
      </c>
      <c r="BF24" s="9">
        <f>IF(MIN(ABY[[#This Row],[Summ Cont Winter A]:[Cable Derating]])=0,"",MIN(ABY[[#This Row],[Summ Cont Winter A]:[Cable Derating]]))</f>
        <v>8.5736514974659421</v>
      </c>
      <c r="BG24" s="57">
        <f>IFERROR(ABY[[#This Row],[Lowest MVA]]*1000/(ABY[[#This Row],[Voltage]]*SQRT(3)),"")</f>
        <v>450</v>
      </c>
      <c r="BH24" s="57">
        <f t="shared" si="10"/>
        <v>450</v>
      </c>
      <c r="BI24" s="9" t="str">
        <f>ABY[[#This Row],[From]]</f>
        <v>CB2722</v>
      </c>
      <c r="BJ24" s="9" t="str">
        <f>ABY[[#This Row],[To]]</f>
        <v>F388</v>
      </c>
      <c r="BK24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Circuit Breaker-ABY-CB2722-Protection</v>
      </c>
      <c r="BL24" s="9">
        <f>ABY[[#This Row],[Voltage]]</f>
        <v>11</v>
      </c>
    </row>
    <row r="25" spans="1:64" s="1" customFormat="1" ht="15" hidden="1" customHeight="1" x14ac:dyDescent="0.25">
      <c r="A25" s="353" t="str">
        <f>CONCATENATE(ABY[[#This Row],[Supply Level]],ABY[[#This Row],[Station/Feeder]],ABY[[#This Row],[Voltage]])</f>
        <v>DistributionFeederCB2732_Raincliff11</v>
      </c>
      <c r="B25" s="352" t="str">
        <f>CONCATENATE(ABY[[#This Row],[Supply Level]],ABY[[#This Row],[Station/Feeder]],ABY[[#This Row],[Equipment ID]],ABY[[#This Row],[Voltage]],ABY[[#This Row],[Device type]])</f>
        <v>DistributionFeederCB2732_RaincliffABY-CB273211Protection</v>
      </c>
      <c r="C25" s="168" t="s">
        <v>1276</v>
      </c>
      <c r="D25" s="118" t="s">
        <v>103</v>
      </c>
      <c r="E25" s="49" t="s">
        <v>313</v>
      </c>
      <c r="F25" s="49" t="s">
        <v>317</v>
      </c>
      <c r="G25" s="190">
        <v>21</v>
      </c>
      <c r="H25" s="49" t="s">
        <v>312</v>
      </c>
      <c r="I25" s="49" t="s">
        <v>2211</v>
      </c>
      <c r="J25" s="49" t="s">
        <v>15</v>
      </c>
      <c r="K25" s="49" t="s">
        <v>1121</v>
      </c>
      <c r="L25" s="49" t="s">
        <v>1423</v>
      </c>
      <c r="M25" s="119">
        <v>11</v>
      </c>
      <c r="N25" s="29">
        <v>630</v>
      </c>
      <c r="O25" s="29">
        <f t="shared" ref="O25" si="21">IF(OR(N25="",N25="-"),"-",N25*$M25*SQRT(3)/1000)</f>
        <v>12.00311209645232</v>
      </c>
      <c r="P25" s="29">
        <v>630</v>
      </c>
      <c r="Q25" s="29">
        <f t="shared" ref="Q25" si="22">IF(OR(P25="",P25="-"),"-",P25*$M25*SQRT(3)/1000)</f>
        <v>12.00311209645232</v>
      </c>
      <c r="R25" s="29">
        <v>630</v>
      </c>
      <c r="S25" s="29">
        <f t="shared" ref="S25" si="23">IF(OR(R25="",R25="-"),"-",R25*$M25*SQRT(3)/1000)</f>
        <v>12.00311209645232</v>
      </c>
      <c r="T25" s="29" t="s">
        <v>0</v>
      </c>
      <c r="U25" s="29" t="str">
        <f t="shared" ref="U25" si="24">IF(OR(T25="",T25="-"),"-",T25*$M25*SQRT(3)/1000)</f>
        <v>-</v>
      </c>
      <c r="V25" s="29" t="s">
        <v>0</v>
      </c>
      <c r="W25" s="29" t="str">
        <f t="shared" ref="W25" si="25">IF(OR(V25="",V25="-"),"-",V25*$M25*SQRT(3)/1000)</f>
        <v>-</v>
      </c>
      <c r="X25" s="29">
        <f>VLOOKUP(ABY[[#This Row],[Equipment ID]],AEL_Protection_Data[#All],12,0)</f>
        <v>225</v>
      </c>
      <c r="Y25" s="29">
        <f t="shared" ref="Y25" si="26">IF(OR(X25="",X25="-"),"-",X25*$M25*SQRT(3)/1000)</f>
        <v>4.2868257487329711</v>
      </c>
      <c r="Z25" s="29">
        <v>206</v>
      </c>
      <c r="AA25" s="29">
        <f t="shared" ref="AA25" si="27">IF(OR(Z25="",Z25="-"),"-",Z25*$M25*SQRT(3)/1000)</f>
        <v>3.9248271299510757</v>
      </c>
      <c r="AB25" s="29">
        <v>900</v>
      </c>
      <c r="AC25" s="29">
        <f t="shared" ref="AC25" si="28">IF(OR(AB25="",AB25="-"),"-",AB25*$M25*SQRT(3)/1000)</f>
        <v>17.147302994931884</v>
      </c>
      <c r="AD25" s="29">
        <v>600</v>
      </c>
      <c r="AE25" s="169">
        <f t="shared" ref="AE25" si="29">IF(OR(AD25="",AD25="-"),"-",AD25*$M25*SQRT(3)/1000)</f>
        <v>11.43153532995459</v>
      </c>
      <c r="AF25" s="29" t="s">
        <v>0</v>
      </c>
      <c r="AG25" s="29" t="s">
        <v>0</v>
      </c>
      <c r="AH25" s="29" t="s">
        <v>0</v>
      </c>
      <c r="AI25" s="29" t="s">
        <v>0</v>
      </c>
      <c r="AJ25" s="32" t="s">
        <v>0</v>
      </c>
      <c r="AK25" s="29" t="s">
        <v>0</v>
      </c>
      <c r="AL25" s="32" t="s">
        <v>0</v>
      </c>
      <c r="AM25" s="29" t="s">
        <v>0</v>
      </c>
      <c r="AN25" s="32" t="s">
        <v>0</v>
      </c>
      <c r="AO25" s="29" t="s">
        <v>0</v>
      </c>
      <c r="AP25" s="29" t="s">
        <v>0</v>
      </c>
      <c r="AQ25" s="32" t="s">
        <v>0</v>
      </c>
      <c r="AR25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25" s="29" t="str">
        <f t="shared" ref="AS25" si="30">IF(OR(AR25="",AR25="-"),"-",AR25*$M25*SQRT(3)/1000)</f>
        <v>-</v>
      </c>
      <c r="AT25" s="29">
        <f>IF(RIGHT(ABY[[#This Row],[Device type]],7)="Winding","-",ABY[[#This Row],[Cont Winter MVA]])</f>
        <v>12.00311209645232</v>
      </c>
      <c r="AU25" s="29">
        <f>IF(RIGHT(ABY[[#This Row],[Device type]],7)="Winding","-",ABY[[#This Row],[Cont Shoulder MVA]])</f>
        <v>12.00311209645232</v>
      </c>
      <c r="AV25" s="29">
        <f>IF(RIGHT(ABY[[#This Row],[Device type]],7)="Winding","-",ABY[[#This Row],[Cont Summer MVA]])</f>
        <v>12.00311209645232</v>
      </c>
      <c r="AW25" s="29" t="str">
        <f>IF(RIGHT(ABY[[#This Row],[Device type]],7)="Winding","-",ABY[[#This Row],[24 Hr Winter MVA]])</f>
        <v>-</v>
      </c>
      <c r="AX25" s="29" t="str">
        <f>IF(RIGHT(ABY[[#This Row],[Device type]],7)="Winding","-",ABY[[#This Row],[24 Hr Summer MVA]])</f>
        <v>-</v>
      </c>
      <c r="AY25" s="29">
        <f>ABY[[#This Row],[Forwards MVA]]</f>
        <v>4.2868257487329711</v>
      </c>
      <c r="AZ25" s="29">
        <f>ABY[[#This Row],[Relay MVA]]</f>
        <v>17.147302994931884</v>
      </c>
      <c r="BA25" s="29">
        <f>ABY[[#This Row],[CT MVA]]</f>
        <v>11.43153532995459</v>
      </c>
      <c r="BB25" s="29" t="str">
        <f>ABY[[#This Row],[Derating MVA]]</f>
        <v>-</v>
      </c>
      <c r="BC25" s="29" t="str">
        <f>ABY[[#This Row],[Station/Feeder]]&amp;ABY[[#This Row],[Lowest MVA]]</f>
        <v>CB2732_Raincliff4.28682574873297</v>
      </c>
      <c r="BD25" s="29" t="str">
        <f>CONCATENATE(ABY[[#This Row],[Supply Level]],ABY[[#This Row],[Station/Feeder]],ABY[[#This Row],[Voltage]],ABY[[#This Row],[Lowest A-No PTX]])</f>
        <v>DistributionFeederCB2732_Raincliff11225</v>
      </c>
      <c r="BE25" s="29" t="str">
        <f>CONCATENATE(ABY[[#This Row],[Supply Level]],ABY[[#This Row],[Station/Feeder]],ABY[[#This Row],[Voltage]],ABY[[#This Row],[Lowest A-PTX]])</f>
        <v>DistributionFeederCB2732_Raincliff11206</v>
      </c>
      <c r="BF25" s="29">
        <f>IF(MIN(ABY[[#This Row],[Summ Cont Winter A]:[Cable Derating]])=0,"",MIN(ABY[[#This Row],[Summ Cont Winter A]:[Cable Derating]]))</f>
        <v>4.2868257487329711</v>
      </c>
      <c r="BG25" s="119">
        <f>IFERROR(ABY[[#This Row],[Lowest MVA]]*1000/(ABY[[#This Row],[Voltage]]*SQRT(3)),"")</f>
        <v>225</v>
      </c>
      <c r="BH25" s="119">
        <f t="shared" si="10"/>
        <v>206</v>
      </c>
      <c r="BI25" s="29" t="str">
        <f>ABY[[#This Row],[From]]</f>
        <v>CB2732</v>
      </c>
      <c r="BJ25" s="29" t="str">
        <f>ABY[[#This Row],[To]]</f>
        <v>F234 SW.ST</v>
      </c>
      <c r="BK25" s="45" t="str">
        <f>IF(ABY[[#This Row],[Device type]]="-",ABY[[#This Row],[Equipment Type]]&amp;"-"&amp;ABY[[#This Row],[Equipment ID]],ABY[[#This Row],[Equipment Type]]&amp;"-"&amp;ABY[[#This Row],[Equipment ID]]&amp;"-"&amp;ABY[[#This Row],[Device type]])</f>
        <v>Circuit Breaker-ABY-CB2732-Protection</v>
      </c>
      <c r="BL25" s="29">
        <f>ABY[[#This Row],[Voltage]]</f>
        <v>11</v>
      </c>
    </row>
    <row r="26" spans="1:64" s="1" customFormat="1" ht="15.75" hidden="1" customHeight="1" thickBot="1" x14ac:dyDescent="0.3">
      <c r="A26" s="353" t="str">
        <f>CONCATENATE(ABY[[#This Row],[Supply Level]],ABY[[#This Row],[Station/Feeder]],ABY[[#This Row],[Voltage]])</f>
        <v>DistributionFeederCB2742_Cave11</v>
      </c>
      <c r="B26" s="354" t="str">
        <f>CONCATENATE(ABY[[#This Row],[Supply Level]],ABY[[#This Row],[Station/Feeder]],ABY[[#This Row],[Equipment ID]],ABY[[#This Row],[Voltage]],ABY[[#This Row],[Device type]])</f>
        <v>DistributionFeederCB2742_CaveABY-CB274211Protection</v>
      </c>
      <c r="C26" s="191" t="s">
        <v>1276</v>
      </c>
      <c r="D26" s="192" t="s">
        <v>115</v>
      </c>
      <c r="E26" s="196" t="s">
        <v>314</v>
      </c>
      <c r="F26" s="196" t="s">
        <v>323</v>
      </c>
      <c r="G26" s="194">
        <v>22</v>
      </c>
      <c r="H26" s="193" t="s">
        <v>315</v>
      </c>
      <c r="I26" s="193" t="s">
        <v>2212</v>
      </c>
      <c r="J26" s="193" t="s">
        <v>15</v>
      </c>
      <c r="K26" s="193" t="s">
        <v>1121</v>
      </c>
      <c r="L26" s="193" t="s">
        <v>1423</v>
      </c>
      <c r="M26" s="197">
        <v>11</v>
      </c>
      <c r="N26" s="155">
        <v>630</v>
      </c>
      <c r="O26" s="155">
        <f>IF(OR(N26="",N26="-"),"-",N26*$M26*SQRT(3)/1000)</f>
        <v>12.00311209645232</v>
      </c>
      <c r="P26" s="155">
        <v>630</v>
      </c>
      <c r="Q26" s="155">
        <f>IF(OR(P26="",P26="-"),"-",P26*$M26*SQRT(3)/1000)</f>
        <v>12.00311209645232</v>
      </c>
      <c r="R26" s="155">
        <v>630</v>
      </c>
      <c r="S26" s="155">
        <f>IF(OR(R26="",R26="-"),"-",R26*$M26*SQRT(3)/1000)</f>
        <v>12.00311209645232</v>
      </c>
      <c r="T26" s="155" t="s">
        <v>0</v>
      </c>
      <c r="U26" s="155" t="str">
        <f>IF(OR(T26="",T26="-"),"-",T26*$M26*SQRT(3)/1000)</f>
        <v>-</v>
      </c>
      <c r="V26" s="155" t="s">
        <v>0</v>
      </c>
      <c r="W26" s="155" t="str">
        <f>IF(OR(V26="",V26="-"),"-",V26*$M26*SQRT(3)/1000)</f>
        <v>-</v>
      </c>
      <c r="X26" s="155">
        <f>VLOOKUP(ABY[[#This Row],[Equipment ID]],AEL_Protection_Data[#All],12,0)</f>
        <v>225</v>
      </c>
      <c r="Y26" s="155">
        <f>IF(OR(X26="",X26="-"),"-",X26*$M26*SQRT(3)/1000)</f>
        <v>4.2868257487329711</v>
      </c>
      <c r="Z26" s="155">
        <v>206</v>
      </c>
      <c r="AA26" s="155">
        <f>IF(OR(Z26="",Z26="-"),"-",Z26*$M26*SQRT(3)/1000)</f>
        <v>3.9248271299510757</v>
      </c>
      <c r="AB26" s="155">
        <v>900</v>
      </c>
      <c r="AC26" s="155">
        <f>IF(OR(AB26="",AB26="-"),"-",AB26*$M26*SQRT(3)/1000)</f>
        <v>17.147302994931884</v>
      </c>
      <c r="AD26" s="155">
        <v>600</v>
      </c>
      <c r="AE26" s="195">
        <f>IF(OR(AD26="",AD26="-"),"-",AD26*$M26*SQRT(3)/1000)</f>
        <v>11.43153532995459</v>
      </c>
      <c r="AF26" s="155" t="s">
        <v>0</v>
      </c>
      <c r="AG26" s="155" t="s">
        <v>0</v>
      </c>
      <c r="AH26" s="155" t="s">
        <v>0</v>
      </c>
      <c r="AI26" s="155" t="s">
        <v>0</v>
      </c>
      <c r="AJ26" s="175" t="s">
        <v>0</v>
      </c>
      <c r="AK26" s="155" t="s">
        <v>0</v>
      </c>
      <c r="AL26" s="175" t="s">
        <v>0</v>
      </c>
      <c r="AM26" s="155" t="s">
        <v>0</v>
      </c>
      <c r="AN26" s="175" t="s">
        <v>0</v>
      </c>
      <c r="AO26" s="155" t="s">
        <v>0</v>
      </c>
      <c r="AP26" s="155" t="s">
        <v>0</v>
      </c>
      <c r="AQ26" s="175" t="s">
        <v>0</v>
      </c>
      <c r="AR26" s="155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26" s="155" t="str">
        <f>IF(OR(AR26="",AR26="-"),"-",AR26*$M26*SQRT(3)/1000)</f>
        <v>-</v>
      </c>
      <c r="AT26" s="155">
        <f>IF(RIGHT(ABY[[#This Row],[Device type]],7)="Winding","-",ABY[[#This Row],[Cont Winter MVA]])</f>
        <v>12.00311209645232</v>
      </c>
      <c r="AU26" s="155">
        <f>IF(RIGHT(ABY[[#This Row],[Device type]],7)="Winding","-",ABY[[#This Row],[Cont Shoulder MVA]])</f>
        <v>12.00311209645232</v>
      </c>
      <c r="AV26" s="155">
        <f>IF(RIGHT(ABY[[#This Row],[Device type]],7)="Winding","-",ABY[[#This Row],[Cont Summer MVA]])</f>
        <v>12.00311209645232</v>
      </c>
      <c r="AW26" s="155" t="str">
        <f>IF(RIGHT(ABY[[#This Row],[Device type]],7)="Winding","-",ABY[[#This Row],[24 Hr Winter MVA]])</f>
        <v>-</v>
      </c>
      <c r="AX26" s="155" t="str">
        <f>IF(RIGHT(ABY[[#This Row],[Device type]],7)="Winding","-",ABY[[#This Row],[24 Hr Summer MVA]])</f>
        <v>-</v>
      </c>
      <c r="AY26" s="155">
        <f>ABY[[#This Row],[Forwards MVA]]</f>
        <v>4.2868257487329711</v>
      </c>
      <c r="AZ26" s="155">
        <f>ABY[[#This Row],[Relay MVA]]</f>
        <v>17.147302994931884</v>
      </c>
      <c r="BA26" s="155">
        <f>ABY[[#This Row],[CT MVA]]</f>
        <v>11.43153532995459</v>
      </c>
      <c r="BB26" s="155" t="str">
        <f>ABY[[#This Row],[Derating MVA]]</f>
        <v>-</v>
      </c>
      <c r="BC26" s="155" t="str">
        <f>ABY[[#This Row],[Station/Feeder]]&amp;ABY[[#This Row],[Lowest MVA]]</f>
        <v>CB2742_Cave4.28682574873297</v>
      </c>
      <c r="BD26" s="155" t="str">
        <f>CONCATENATE(ABY[[#This Row],[Supply Level]],ABY[[#This Row],[Station/Feeder]],ABY[[#This Row],[Voltage]],ABY[[#This Row],[Lowest A-No PTX]])</f>
        <v>DistributionFeederCB2742_Cave11225</v>
      </c>
      <c r="BE26" s="155" t="str">
        <f>CONCATENATE(ABY[[#This Row],[Supply Level]],ABY[[#This Row],[Station/Feeder]],ABY[[#This Row],[Voltage]],ABY[[#This Row],[Lowest A-PTX]])</f>
        <v>DistributionFeederCB2742_Cave11206</v>
      </c>
      <c r="BF26" s="155">
        <f>IF(MIN(ABY[[#This Row],[Summ Cont Winter A]:[Cable Derating]])=0,"",MIN(ABY[[#This Row],[Summ Cont Winter A]:[Cable Derating]]))</f>
        <v>4.2868257487329711</v>
      </c>
      <c r="BG26" s="197">
        <f>IFERROR(ABY[[#This Row],[Lowest MVA]]*1000/(ABY[[#This Row],[Voltage]]*SQRT(3)),"")</f>
        <v>225</v>
      </c>
      <c r="BH26" s="197">
        <f t="shared" si="10"/>
        <v>206</v>
      </c>
      <c r="BI26" s="155" t="str">
        <f>ABY[[#This Row],[From]]</f>
        <v>CB2742</v>
      </c>
      <c r="BJ26" s="155" t="str">
        <f>ABY[[#This Row],[To]]</f>
        <v>Pole 53272</v>
      </c>
      <c r="BK26" s="196" t="str">
        <f>IF(ABY[[#This Row],[Device type]]="-",ABY[[#This Row],[Equipment Type]]&amp;"-"&amp;ABY[[#This Row],[Equipment ID]],ABY[[#This Row],[Equipment Type]]&amp;"-"&amp;ABY[[#This Row],[Equipment ID]]&amp;"-"&amp;ABY[[#This Row],[Device type]])</f>
        <v>Circuit Breaker-ABY-CB2742-Protection</v>
      </c>
      <c r="BL26" s="155">
        <f>ABY[[#This Row],[Voltage]]</f>
        <v>11</v>
      </c>
    </row>
    <row r="27" spans="1:64" s="1" customFormat="1" ht="15" hidden="1" customHeight="1" x14ac:dyDescent="0.25">
      <c r="A27" s="353" t="str">
        <f>CONCATENATE(ABY[[#This Row],[Supply Level]],ABY[[#This Row],[Station/Feeder]],ABY[[#This Row],[Voltage]])</f>
        <v>DistributionFeederCB2732_Raincliff11</v>
      </c>
      <c r="B27" s="352" t="str">
        <f>CONCATENATE(ABY[[#This Row],[Supply Level]],ABY[[#This Row],[Station/Feeder]],ABY[[#This Row],[Equipment ID]],ABY[[#This Row],[Voltage]],ABY[[#This Row],[Device type]])</f>
        <v>DistributionFeederCB2732_Raincliff3-1c 400 mm² Al XLPE11-</v>
      </c>
      <c r="C27" s="168" t="s">
        <v>1276</v>
      </c>
      <c r="D27" s="118" t="s">
        <v>103</v>
      </c>
      <c r="E27" s="45" t="s">
        <v>313</v>
      </c>
      <c r="F27" s="45" t="s">
        <v>317</v>
      </c>
      <c r="G27" s="119">
        <v>1</v>
      </c>
      <c r="H27" s="45" t="s">
        <v>324</v>
      </c>
      <c r="I27" s="45" t="s">
        <v>559</v>
      </c>
      <c r="J27" s="45" t="s">
        <v>250</v>
      </c>
      <c r="K27" s="45" t="s">
        <v>0</v>
      </c>
      <c r="L27" s="45" t="s">
        <v>0</v>
      </c>
      <c r="M27" s="119">
        <v>11</v>
      </c>
      <c r="N27" s="29">
        <v>537</v>
      </c>
      <c r="O27" s="29">
        <f t="shared" si="0"/>
        <v>10.231224120309358</v>
      </c>
      <c r="P27" s="29">
        <v>537</v>
      </c>
      <c r="Q27" s="29">
        <f t="shared" si="1"/>
        <v>10.231224120309358</v>
      </c>
      <c r="R27" s="29">
        <v>537</v>
      </c>
      <c r="S27" s="29">
        <f t="shared" si="2"/>
        <v>10.231224120309358</v>
      </c>
      <c r="T27" s="29" t="s">
        <v>0</v>
      </c>
      <c r="U27" s="29" t="str">
        <f t="shared" si="3"/>
        <v>-</v>
      </c>
      <c r="V27" s="29" t="s">
        <v>0</v>
      </c>
      <c r="W27" s="29" t="str">
        <f t="shared" si="4"/>
        <v>-</v>
      </c>
      <c r="X27" s="29" t="s">
        <v>0</v>
      </c>
      <c r="Y27" s="29" t="str">
        <f t="shared" si="5"/>
        <v>-</v>
      </c>
      <c r="Z27" s="29" t="s">
        <v>0</v>
      </c>
      <c r="AA27" s="29" t="str">
        <f t="shared" si="6"/>
        <v>-</v>
      </c>
      <c r="AB27" s="29" t="s">
        <v>0</v>
      </c>
      <c r="AC27" s="29" t="str">
        <f t="shared" si="7"/>
        <v>-</v>
      </c>
      <c r="AD27" s="29" t="s">
        <v>0</v>
      </c>
      <c r="AE27" s="169" t="str">
        <f t="shared" si="8"/>
        <v>-</v>
      </c>
      <c r="AF27" s="29">
        <v>1</v>
      </c>
      <c r="AG27" s="29" t="s">
        <v>265</v>
      </c>
      <c r="AH27" s="29">
        <v>73.2</v>
      </c>
      <c r="AI27" s="29">
        <v>1</v>
      </c>
      <c r="AJ27" s="32">
        <v>0.97</v>
      </c>
      <c r="AK27" s="29">
        <v>15</v>
      </c>
      <c r="AL27" s="32">
        <v>1</v>
      </c>
      <c r="AM27" s="29">
        <v>1.2</v>
      </c>
      <c r="AN27" s="32">
        <v>1</v>
      </c>
      <c r="AO27" s="29">
        <v>3</v>
      </c>
      <c r="AP27" s="29">
        <v>0.8</v>
      </c>
      <c r="AQ27" s="32">
        <v>0.85</v>
      </c>
      <c r="AR27" s="29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442.75650000000002</v>
      </c>
      <c r="AS27" s="29">
        <f t="shared" si="9"/>
        <v>8.4356442871950659</v>
      </c>
      <c r="AT27" s="29">
        <f>IF(RIGHT(ABY[[#This Row],[Device type]],7)="Winding","-",ABY[[#This Row],[Cont Winter MVA]])</f>
        <v>10.231224120309358</v>
      </c>
      <c r="AU27" s="29">
        <f>IF(RIGHT(ABY[[#This Row],[Device type]],7)="Winding","-",ABY[[#This Row],[Cont Shoulder MVA]])</f>
        <v>10.231224120309358</v>
      </c>
      <c r="AV27" s="29">
        <f>IF(RIGHT(ABY[[#This Row],[Device type]],7)="Winding","-",ABY[[#This Row],[Cont Summer MVA]])</f>
        <v>10.231224120309358</v>
      </c>
      <c r="AW27" s="29" t="str">
        <f>IF(RIGHT(ABY[[#This Row],[Device type]],7)="Winding","-",ABY[[#This Row],[24 Hr Winter MVA]])</f>
        <v>-</v>
      </c>
      <c r="AX27" s="29" t="str">
        <f>IF(RIGHT(ABY[[#This Row],[Device type]],7)="Winding","-",ABY[[#This Row],[24 Hr Summer MVA]])</f>
        <v>-</v>
      </c>
      <c r="AY27" s="29" t="str">
        <f>ABY[[#This Row],[Forwards MVA]]</f>
        <v>-</v>
      </c>
      <c r="AZ27" s="29" t="str">
        <f>ABY[[#This Row],[Relay MVA]]</f>
        <v>-</v>
      </c>
      <c r="BA27" s="29" t="str">
        <f>ABY[[#This Row],[CT MVA]]</f>
        <v>-</v>
      </c>
      <c r="BB27" s="29">
        <f>ABY[[#This Row],[Derating MVA]]</f>
        <v>8.4356442871950659</v>
      </c>
      <c r="BC27" s="29" t="str">
        <f>ABY[[#This Row],[Station/Feeder]]&amp;ABY[[#This Row],[Lowest MVA]]</f>
        <v>CB2732_Raincliff8.43564428719507</v>
      </c>
      <c r="BD27" s="29" t="str">
        <f>CONCATENATE(ABY[[#This Row],[Supply Level]],ABY[[#This Row],[Station/Feeder]],ABY[[#This Row],[Voltage]],ABY[[#This Row],[Lowest A-No PTX]])</f>
        <v>DistributionFeederCB2732_Raincliff11442.7565</v>
      </c>
      <c r="BE27" s="29" t="str">
        <f>CONCATENATE(ABY[[#This Row],[Supply Level]],ABY[[#This Row],[Station/Feeder]],ABY[[#This Row],[Voltage]],ABY[[#This Row],[Lowest A-PTX]])</f>
        <v>DistributionFeederCB2732_Raincliff11442.7565</v>
      </c>
      <c r="BF27" s="29">
        <f>IF(MIN(ABY[[#This Row],[Summ Cont Winter A]:[Cable Derating]])=0,"",MIN(ABY[[#This Row],[Summ Cont Winter A]:[Cable Derating]]))</f>
        <v>8.4356442871950659</v>
      </c>
      <c r="BG27" s="119">
        <f>IFERROR(ABY[[#This Row],[Lowest MVA]]*1000/(ABY[[#This Row],[Voltage]]*SQRT(3)),"")</f>
        <v>442.75650000000002</v>
      </c>
      <c r="BH27" s="119">
        <f t="shared" si="10"/>
        <v>442.75650000000002</v>
      </c>
      <c r="BI27" s="29" t="str">
        <f>ABY[[#This Row],[From]]</f>
        <v>CB2732</v>
      </c>
      <c r="BJ27" s="29" t="str">
        <f>ABY[[#This Row],[To]]</f>
        <v>F234 SW.ST</v>
      </c>
      <c r="BK27" s="45" t="str">
        <f>IF(ABY[[#This Row],[Device type]]="-",ABY[[#This Row],[Equipment Type]]&amp;"-"&amp;ABY[[#This Row],[Equipment ID]],ABY[[#This Row],[Equipment Type]]&amp;"-"&amp;ABY[[#This Row],[Equipment ID]]&amp;"-"&amp;ABY[[#This Row],[Device type]])</f>
        <v>Cable-3-1c 400 mm² Al XLPE</v>
      </c>
      <c r="BL27" s="29">
        <f>ABY[[#This Row],[Voltage]]</f>
        <v>11</v>
      </c>
    </row>
    <row r="28" spans="1:64" s="1" customFormat="1" ht="15" hidden="1" customHeight="1" x14ac:dyDescent="0.25">
      <c r="A28" s="353" t="str">
        <f>CONCATENATE(ABY[[#This Row],[Supply Level]],ABY[[#This Row],[Station/Feeder]],ABY[[#This Row],[Voltage]])</f>
        <v>DistributionFeederCB2732_Raincliff11</v>
      </c>
      <c r="B28" s="353" t="str">
        <f>CONCATENATE(ABY[[#This Row],[Supply Level]],ABY[[#This Row],[Station/Feeder]],ABY[[#This Row],[Equipment ID]],ABY[[#This Row],[Voltage]],ABY[[#This Row],[Device type]])</f>
        <v>DistributionFeederCB2732_RaincliffF26711-</v>
      </c>
      <c r="C28" s="6" t="s">
        <v>1276</v>
      </c>
      <c r="D28" s="11" t="s">
        <v>103</v>
      </c>
      <c r="E28" s="46" t="s">
        <v>313</v>
      </c>
      <c r="F28" s="46" t="s">
        <v>317</v>
      </c>
      <c r="G28" s="56">
        <v>2</v>
      </c>
      <c r="H28" s="46" t="s">
        <v>325</v>
      </c>
      <c r="I28" s="46" t="s">
        <v>320</v>
      </c>
      <c r="J28" s="46" t="s">
        <v>240</v>
      </c>
      <c r="K28" s="46" t="s">
        <v>0</v>
      </c>
      <c r="L28" s="46" t="s">
        <v>0</v>
      </c>
      <c r="M28" s="57">
        <v>11</v>
      </c>
      <c r="N28" s="9">
        <v>800</v>
      </c>
      <c r="O28" s="9">
        <f t="shared" ref="O28" si="31">IF(OR(N28="",N28="-"),"-",N28*$M28*SQRT(3)/1000)</f>
        <v>15.242047106606121</v>
      </c>
      <c r="P28" s="9">
        <v>800</v>
      </c>
      <c r="Q28" s="9">
        <f t="shared" ref="Q28" si="32">IF(OR(P28="",P28="-"),"-",P28*$M28*SQRT(3)/1000)</f>
        <v>15.242047106606121</v>
      </c>
      <c r="R28" s="9">
        <v>800</v>
      </c>
      <c r="S28" s="9">
        <f t="shared" ref="S28" si="33">IF(OR(R28="",R28="-"),"-",R28*$M28*SQRT(3)/1000)</f>
        <v>15.242047106606121</v>
      </c>
      <c r="T28" s="9" t="s">
        <v>0</v>
      </c>
      <c r="U28" s="9" t="str">
        <f t="shared" ref="U28" si="34">IF(OR(T28="",T28="-"),"-",T28*$M28*SQRT(3)/1000)</f>
        <v>-</v>
      </c>
      <c r="V28" s="9" t="s">
        <v>0</v>
      </c>
      <c r="W28" s="9" t="str">
        <f t="shared" ref="W28" si="35">IF(OR(V28="",V28="-"),"-",V28*$M28*SQRT(3)/1000)</f>
        <v>-</v>
      </c>
      <c r="X28" s="9" t="s">
        <v>0</v>
      </c>
      <c r="Y28" s="9" t="str">
        <f t="shared" ref="Y28" si="36">IF(OR(X28="",X28="-"),"-",X28*$M28*SQRT(3)/1000)</f>
        <v>-</v>
      </c>
      <c r="Z28" s="9" t="s">
        <v>0</v>
      </c>
      <c r="AA28" s="9" t="str">
        <f t="shared" ref="AA28" si="37">IF(OR(Z28="",Z28="-"),"-",Z28*$M28*SQRT(3)/1000)</f>
        <v>-</v>
      </c>
      <c r="AB28" s="9" t="s">
        <v>0</v>
      </c>
      <c r="AC28" s="9" t="str">
        <f t="shared" ref="AC28" si="38">IF(OR(AB28="",AB28="-"),"-",AB28*$M28*SQRT(3)/1000)</f>
        <v>-</v>
      </c>
      <c r="AD28" s="9" t="s">
        <v>0</v>
      </c>
      <c r="AE28" s="12" t="str">
        <f t="shared" ref="AE28" si="39">IF(OR(AD28="",AD28="-"),"-",AD28*$M28*SQRT(3)/1000)</f>
        <v>-</v>
      </c>
      <c r="AF28" s="29" t="s">
        <v>0</v>
      </c>
      <c r="AG28" s="29" t="s">
        <v>0</v>
      </c>
      <c r="AH28" s="29" t="s">
        <v>0</v>
      </c>
      <c r="AI28" s="29" t="s">
        <v>0</v>
      </c>
      <c r="AJ28" s="32" t="s">
        <v>0</v>
      </c>
      <c r="AK28" s="29" t="s">
        <v>0</v>
      </c>
      <c r="AL28" s="32" t="s">
        <v>0</v>
      </c>
      <c r="AM28" s="29" t="s">
        <v>0</v>
      </c>
      <c r="AN28" s="32" t="s">
        <v>0</v>
      </c>
      <c r="AO28" s="29" t="s">
        <v>0</v>
      </c>
      <c r="AP28" s="29" t="s">
        <v>0</v>
      </c>
      <c r="AQ28" s="32" t="s">
        <v>0</v>
      </c>
      <c r="AR28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28" s="9" t="str">
        <f t="shared" ref="AS28" si="40">IF(OR(AR28="",AR28="-"),"-",AR28*$M28*SQRT(3)/1000)</f>
        <v>-</v>
      </c>
      <c r="AT28" s="9">
        <f>IF(RIGHT(ABY[[#This Row],[Device type]],7)="Winding","-",ABY[[#This Row],[Cont Winter MVA]])</f>
        <v>15.242047106606121</v>
      </c>
      <c r="AU28" s="9">
        <f>IF(RIGHT(ABY[[#This Row],[Device type]],7)="Winding","-",ABY[[#This Row],[Cont Shoulder MVA]])</f>
        <v>15.242047106606121</v>
      </c>
      <c r="AV28" s="9">
        <f>IF(RIGHT(ABY[[#This Row],[Device type]],7)="Winding","-",ABY[[#This Row],[Cont Summer MVA]])</f>
        <v>15.242047106606121</v>
      </c>
      <c r="AW28" s="9" t="str">
        <f>IF(RIGHT(ABY[[#This Row],[Device type]],7)="Winding","-",ABY[[#This Row],[24 Hr Winter MVA]])</f>
        <v>-</v>
      </c>
      <c r="AX28" s="9" t="str">
        <f>IF(RIGHT(ABY[[#This Row],[Device type]],7)="Winding","-",ABY[[#This Row],[24 Hr Summer MVA]])</f>
        <v>-</v>
      </c>
      <c r="AY28" s="9" t="str">
        <f>ABY[[#This Row],[Forwards MVA]]</f>
        <v>-</v>
      </c>
      <c r="AZ28" s="9" t="str">
        <f>ABY[[#This Row],[Relay MVA]]</f>
        <v>-</v>
      </c>
      <c r="BA28" s="9" t="str">
        <f>ABY[[#This Row],[CT MVA]]</f>
        <v>-</v>
      </c>
      <c r="BB28" s="9" t="str">
        <f>ABY[[#This Row],[Derating MVA]]</f>
        <v>-</v>
      </c>
      <c r="BC28" s="9" t="str">
        <f>ABY[[#This Row],[Station/Feeder]]&amp;ABY[[#This Row],[Lowest MVA]]</f>
        <v>CB2732_Raincliff15.2420471066061</v>
      </c>
      <c r="BD28" s="9" t="str">
        <f>CONCATENATE(ABY[[#This Row],[Supply Level]],ABY[[#This Row],[Station/Feeder]],ABY[[#This Row],[Voltage]],ABY[[#This Row],[Lowest A-No PTX]])</f>
        <v>DistributionFeederCB2732_Raincliff11800</v>
      </c>
      <c r="BE28" s="9" t="str">
        <f>CONCATENATE(ABY[[#This Row],[Supply Level]],ABY[[#This Row],[Station/Feeder]],ABY[[#This Row],[Voltage]],ABY[[#This Row],[Lowest A-PTX]])</f>
        <v>DistributionFeederCB2732_Raincliff11800</v>
      </c>
      <c r="BF28" s="9">
        <f>IF(MIN(ABY[[#This Row],[Summ Cont Winter A]:[Cable Derating]])=0,"",MIN(ABY[[#This Row],[Summ Cont Winter A]:[Cable Derating]]))</f>
        <v>15.242047106606121</v>
      </c>
      <c r="BG28" s="57">
        <f>IFERROR(ABY[[#This Row],[Lowest MVA]]*1000/(ABY[[#This Row],[Voltage]]*SQRT(3)),"")</f>
        <v>800</v>
      </c>
      <c r="BH28" s="57">
        <f t="shared" si="10"/>
        <v>800</v>
      </c>
      <c r="BI28" s="9" t="str">
        <f>ABY[[#This Row],[From]]</f>
        <v>CB2732</v>
      </c>
      <c r="BJ28" s="9" t="str">
        <f>ABY[[#This Row],[To]]</f>
        <v>F234 SW.ST</v>
      </c>
      <c r="BK28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ABS-F267</v>
      </c>
      <c r="BL28" s="9">
        <f>ABY[[#This Row],[Voltage]]</f>
        <v>11</v>
      </c>
    </row>
    <row r="29" spans="1:64" s="1" customFormat="1" ht="15" hidden="1" customHeight="1" x14ac:dyDescent="0.25">
      <c r="A29" s="353" t="str">
        <f>CONCATENATE(ABY[[#This Row],[Supply Level]],ABY[[#This Row],[Station/Feeder]],ABY[[#This Row],[Voltage]])</f>
        <v>DistributionFeederCB2732_Raincliff11</v>
      </c>
      <c r="B29" s="353" t="str">
        <f>CONCATENATE(ABY[[#This Row],[Supply Level]],ABY[[#This Row],[Station/Feeder]],ABY[[#This Row],[Equipment ID]],ABY[[#This Row],[Voltage]],ABY[[#This Row],[Device type]])</f>
        <v>DistributionFeederCB2732_Raincliff70 mm² Cu11-</v>
      </c>
      <c r="C29" s="6" t="s">
        <v>1276</v>
      </c>
      <c r="D29" s="11" t="s">
        <v>103</v>
      </c>
      <c r="E29" s="46" t="s">
        <v>313</v>
      </c>
      <c r="F29" s="46" t="s">
        <v>317</v>
      </c>
      <c r="G29" s="57">
        <v>3</v>
      </c>
      <c r="H29" s="46" t="s">
        <v>1289</v>
      </c>
      <c r="I29" s="46" t="s">
        <v>1283</v>
      </c>
      <c r="J29" s="46" t="s">
        <v>69</v>
      </c>
      <c r="K29" s="46" t="s">
        <v>0</v>
      </c>
      <c r="L29" s="46" t="s">
        <v>0</v>
      </c>
      <c r="M29" s="57">
        <v>11</v>
      </c>
      <c r="N29" s="9">
        <v>328</v>
      </c>
      <c r="O29" s="9">
        <f t="shared" si="0"/>
        <v>6.2492393137085092</v>
      </c>
      <c r="P29" s="9" t="s">
        <v>0</v>
      </c>
      <c r="Q29" s="9" t="str">
        <f t="shared" si="1"/>
        <v>-</v>
      </c>
      <c r="R29" s="9">
        <v>247</v>
      </c>
      <c r="S29" s="9">
        <f t="shared" si="2"/>
        <v>4.7059820441646396</v>
      </c>
      <c r="T29" s="9" t="s">
        <v>0</v>
      </c>
      <c r="U29" s="9" t="str">
        <f t="shared" si="3"/>
        <v>-</v>
      </c>
      <c r="V29" s="9" t="s">
        <v>0</v>
      </c>
      <c r="W29" s="9" t="str">
        <f t="shared" si="4"/>
        <v>-</v>
      </c>
      <c r="X29" s="9" t="s">
        <v>0</v>
      </c>
      <c r="Y29" s="9" t="str">
        <f t="shared" si="5"/>
        <v>-</v>
      </c>
      <c r="Z29" s="9" t="s">
        <v>0</v>
      </c>
      <c r="AA29" s="9" t="str">
        <f t="shared" si="6"/>
        <v>-</v>
      </c>
      <c r="AB29" s="9" t="s">
        <v>0</v>
      </c>
      <c r="AC29" s="9" t="str">
        <f t="shared" si="7"/>
        <v>-</v>
      </c>
      <c r="AD29" s="9" t="s">
        <v>0</v>
      </c>
      <c r="AE29" s="12" t="str">
        <f t="shared" si="8"/>
        <v>-</v>
      </c>
      <c r="AF29" s="29" t="s">
        <v>0</v>
      </c>
      <c r="AG29" s="29" t="s">
        <v>0</v>
      </c>
      <c r="AH29" s="29">
        <v>19.11</v>
      </c>
      <c r="AI29" s="29" t="s">
        <v>0</v>
      </c>
      <c r="AJ29" s="32" t="s">
        <v>0</v>
      </c>
      <c r="AK29" s="29" t="s">
        <v>0</v>
      </c>
      <c r="AL29" s="32" t="s">
        <v>0</v>
      </c>
      <c r="AM29" s="29" t="s">
        <v>0</v>
      </c>
      <c r="AN29" s="32" t="s">
        <v>0</v>
      </c>
      <c r="AO29" s="29" t="s">
        <v>0</v>
      </c>
      <c r="AP29" s="29" t="s">
        <v>0</v>
      </c>
      <c r="AQ29" s="32" t="s">
        <v>0</v>
      </c>
      <c r="AR29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29" s="9" t="str">
        <f t="shared" si="9"/>
        <v>-</v>
      </c>
      <c r="AT29" s="9">
        <f>IF(RIGHT(ABY[[#This Row],[Device type]],7)="Winding","-",ABY[[#This Row],[Cont Winter MVA]])</f>
        <v>6.2492393137085092</v>
      </c>
      <c r="AU29" s="9" t="str">
        <f>IF(RIGHT(ABY[[#This Row],[Device type]],7)="Winding","-",ABY[[#This Row],[Cont Shoulder MVA]])</f>
        <v>-</v>
      </c>
      <c r="AV29" s="9">
        <f>IF(RIGHT(ABY[[#This Row],[Device type]],7)="Winding","-",ABY[[#This Row],[Cont Summer MVA]])</f>
        <v>4.7059820441646396</v>
      </c>
      <c r="AW29" s="9" t="str">
        <f>IF(RIGHT(ABY[[#This Row],[Device type]],7)="Winding","-",ABY[[#This Row],[24 Hr Winter MVA]])</f>
        <v>-</v>
      </c>
      <c r="AX29" s="9" t="str">
        <f>IF(RIGHT(ABY[[#This Row],[Device type]],7)="Winding","-",ABY[[#This Row],[24 Hr Summer MVA]])</f>
        <v>-</v>
      </c>
      <c r="AY29" s="9" t="str">
        <f>ABY[[#This Row],[Forwards MVA]]</f>
        <v>-</v>
      </c>
      <c r="AZ29" s="9" t="str">
        <f>ABY[[#This Row],[Relay MVA]]</f>
        <v>-</v>
      </c>
      <c r="BA29" s="9" t="str">
        <f>ABY[[#This Row],[CT MVA]]</f>
        <v>-</v>
      </c>
      <c r="BB29" s="9" t="str">
        <f>ABY[[#This Row],[Derating MVA]]</f>
        <v>-</v>
      </c>
      <c r="BC29" s="9" t="str">
        <f>ABY[[#This Row],[Station/Feeder]]&amp;ABY[[#This Row],[Lowest MVA]]</f>
        <v>CB2732_Raincliff4.70598204416464</v>
      </c>
      <c r="BD29" s="9" t="str">
        <f>CONCATENATE(ABY[[#This Row],[Supply Level]],ABY[[#This Row],[Station/Feeder]],ABY[[#This Row],[Voltage]],ABY[[#This Row],[Lowest A-No PTX]])</f>
        <v>DistributionFeederCB2732_Raincliff11247</v>
      </c>
      <c r="BE29" s="9" t="str">
        <f>CONCATENATE(ABY[[#This Row],[Supply Level]],ABY[[#This Row],[Station/Feeder]],ABY[[#This Row],[Voltage]],ABY[[#This Row],[Lowest A-PTX]])</f>
        <v>DistributionFeederCB2732_Raincliff11247</v>
      </c>
      <c r="BF29" s="9">
        <f>IF(MIN(ABY[[#This Row],[Summ Cont Winter A]:[Cable Derating]])=0,"",MIN(ABY[[#This Row],[Summ Cont Winter A]:[Cable Derating]]))</f>
        <v>4.7059820441646396</v>
      </c>
      <c r="BG29" s="57">
        <f>IFERROR(ABY[[#This Row],[Lowest MVA]]*1000/(ABY[[#This Row],[Voltage]]*SQRT(3)),"")</f>
        <v>247.00000000000003</v>
      </c>
      <c r="BH29" s="57">
        <f t="shared" si="10"/>
        <v>247</v>
      </c>
      <c r="BI29" s="9" t="str">
        <f>ABY[[#This Row],[From]]</f>
        <v>CB2732</v>
      </c>
      <c r="BJ29" s="9" t="str">
        <f>ABY[[#This Row],[To]]</f>
        <v>F234 SW.ST</v>
      </c>
      <c r="BK29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Line-70 mm² Cu</v>
      </c>
      <c r="BL29" s="9">
        <f>ABY[[#This Row],[Voltage]]</f>
        <v>11</v>
      </c>
    </row>
    <row r="30" spans="1:64" s="1" customFormat="1" ht="15" hidden="1" customHeight="1" x14ac:dyDescent="0.25">
      <c r="A30" s="353" t="str">
        <f>CONCATENATE(ABY[[#This Row],[Supply Level]],ABY[[#This Row],[Station/Feeder]],ABY[[#This Row],[Voltage]])</f>
        <v>DistributionFeederCB2732_Raincliff11</v>
      </c>
      <c r="B30" s="353" t="str">
        <f>CONCATENATE(ABY[[#This Row],[Supply Level]],ABY[[#This Row],[Station/Feeder]],ABY[[#This Row],[Equipment ID]],ABY[[#This Row],[Voltage]],ABY[[#This Row],[Device type]])</f>
        <v>DistributionFeederCB2732_RaincliffDOG11-</v>
      </c>
      <c r="C30" s="6" t="s">
        <v>1276</v>
      </c>
      <c r="D30" s="11" t="s">
        <v>103</v>
      </c>
      <c r="E30" s="46" t="s">
        <v>313</v>
      </c>
      <c r="F30" s="46" t="s">
        <v>317</v>
      </c>
      <c r="G30" s="56">
        <v>4</v>
      </c>
      <c r="H30" s="46" t="s">
        <v>1289</v>
      </c>
      <c r="I30" s="46" t="s">
        <v>318</v>
      </c>
      <c r="J30" s="46" t="s">
        <v>69</v>
      </c>
      <c r="K30" s="46" t="s">
        <v>0</v>
      </c>
      <c r="L30" s="46" t="s">
        <v>0</v>
      </c>
      <c r="M30" s="57">
        <v>11</v>
      </c>
      <c r="N30" s="9">
        <v>344</v>
      </c>
      <c r="O30" s="9">
        <f t="shared" si="0"/>
        <v>6.5540802558406313</v>
      </c>
      <c r="P30" s="9" t="s">
        <v>0</v>
      </c>
      <c r="Q30" s="9" t="str">
        <f t="shared" si="1"/>
        <v>-</v>
      </c>
      <c r="R30" s="9">
        <v>256.85852310343915</v>
      </c>
      <c r="S30" s="9">
        <f t="shared" si="2"/>
        <v>4.8938121360948701</v>
      </c>
      <c r="T30" s="9" t="s">
        <v>0</v>
      </c>
      <c r="U30" s="9" t="str">
        <f t="shared" si="3"/>
        <v>-</v>
      </c>
      <c r="V30" s="9" t="s">
        <v>0</v>
      </c>
      <c r="W30" s="9" t="str">
        <f t="shared" si="4"/>
        <v>-</v>
      </c>
      <c r="X30" s="9" t="s">
        <v>0</v>
      </c>
      <c r="Y30" s="9" t="str">
        <f t="shared" si="5"/>
        <v>-</v>
      </c>
      <c r="Z30" s="9" t="s">
        <v>0</v>
      </c>
      <c r="AA30" s="9" t="str">
        <f t="shared" si="6"/>
        <v>-</v>
      </c>
      <c r="AB30" s="9" t="s">
        <v>0</v>
      </c>
      <c r="AC30" s="9" t="str">
        <f t="shared" si="7"/>
        <v>-</v>
      </c>
      <c r="AD30" s="9" t="s">
        <v>0</v>
      </c>
      <c r="AE30" s="12" t="str">
        <f t="shared" si="8"/>
        <v>-</v>
      </c>
      <c r="AF30" s="29" t="s">
        <v>0</v>
      </c>
      <c r="AG30" s="29" t="s">
        <v>0</v>
      </c>
      <c r="AH30" s="29">
        <v>6443.9</v>
      </c>
      <c r="AI30" s="29" t="s">
        <v>0</v>
      </c>
      <c r="AJ30" s="32" t="s">
        <v>0</v>
      </c>
      <c r="AK30" s="29" t="s">
        <v>0</v>
      </c>
      <c r="AL30" s="32" t="s">
        <v>0</v>
      </c>
      <c r="AM30" s="29" t="s">
        <v>0</v>
      </c>
      <c r="AN30" s="32" t="s">
        <v>0</v>
      </c>
      <c r="AO30" s="29" t="s">
        <v>0</v>
      </c>
      <c r="AP30" s="29" t="s">
        <v>0</v>
      </c>
      <c r="AQ30" s="32" t="s">
        <v>0</v>
      </c>
      <c r="AR30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30" s="9" t="str">
        <f t="shared" si="9"/>
        <v>-</v>
      </c>
      <c r="AT30" s="9">
        <f>IF(RIGHT(ABY[[#This Row],[Device type]],7)="Winding","-",ABY[[#This Row],[Cont Winter MVA]])</f>
        <v>6.5540802558406313</v>
      </c>
      <c r="AU30" s="9" t="str">
        <f>IF(RIGHT(ABY[[#This Row],[Device type]],7)="Winding","-",ABY[[#This Row],[Cont Shoulder MVA]])</f>
        <v>-</v>
      </c>
      <c r="AV30" s="9">
        <f>IF(RIGHT(ABY[[#This Row],[Device type]],7)="Winding","-",ABY[[#This Row],[Cont Summer MVA]])</f>
        <v>4.8938121360948701</v>
      </c>
      <c r="AW30" s="9" t="str">
        <f>IF(RIGHT(ABY[[#This Row],[Device type]],7)="Winding","-",ABY[[#This Row],[24 Hr Winter MVA]])</f>
        <v>-</v>
      </c>
      <c r="AX30" s="9" t="str">
        <f>IF(RIGHT(ABY[[#This Row],[Device type]],7)="Winding","-",ABY[[#This Row],[24 Hr Summer MVA]])</f>
        <v>-</v>
      </c>
      <c r="AY30" s="9" t="str">
        <f>ABY[[#This Row],[Forwards MVA]]</f>
        <v>-</v>
      </c>
      <c r="AZ30" s="9" t="str">
        <f>ABY[[#This Row],[Relay MVA]]</f>
        <v>-</v>
      </c>
      <c r="BA30" s="9" t="str">
        <f>ABY[[#This Row],[CT MVA]]</f>
        <v>-</v>
      </c>
      <c r="BB30" s="9" t="str">
        <f>ABY[[#This Row],[Derating MVA]]</f>
        <v>-</v>
      </c>
      <c r="BC30" s="9" t="str">
        <f>ABY[[#This Row],[Station/Feeder]]&amp;ABY[[#This Row],[Lowest MVA]]</f>
        <v>CB2732_Raincliff4.89381213609487</v>
      </c>
      <c r="BD30" s="9" t="str">
        <f>CONCATENATE(ABY[[#This Row],[Supply Level]],ABY[[#This Row],[Station/Feeder]],ABY[[#This Row],[Voltage]],ABY[[#This Row],[Lowest A-No PTX]])</f>
        <v>DistributionFeederCB2732_Raincliff11256.858523103439</v>
      </c>
      <c r="BE30" s="9" t="str">
        <f>CONCATENATE(ABY[[#This Row],[Supply Level]],ABY[[#This Row],[Station/Feeder]],ABY[[#This Row],[Voltage]],ABY[[#This Row],[Lowest A-PTX]])</f>
        <v>DistributionFeederCB2732_Raincliff11256.858523103439</v>
      </c>
      <c r="BF30" s="9">
        <f>IF(MIN(ABY[[#This Row],[Summ Cont Winter A]:[Cable Derating]])=0,"",MIN(ABY[[#This Row],[Summ Cont Winter A]:[Cable Derating]]))</f>
        <v>4.8938121360948701</v>
      </c>
      <c r="BG30" s="57">
        <f>IFERROR(ABY[[#This Row],[Lowest MVA]]*1000/(ABY[[#This Row],[Voltage]]*SQRT(3)),"")</f>
        <v>256.85852310343915</v>
      </c>
      <c r="BH30" s="57">
        <f t="shared" si="10"/>
        <v>256.85852310343915</v>
      </c>
      <c r="BI30" s="9" t="str">
        <f>ABY[[#This Row],[From]]</f>
        <v>CB2732</v>
      </c>
      <c r="BJ30" s="9" t="str">
        <f>ABY[[#This Row],[To]]</f>
        <v>F234 SW.ST</v>
      </c>
      <c r="BK30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Line-DOG</v>
      </c>
      <c r="BL30" s="9">
        <f>ABY[[#This Row],[Voltage]]</f>
        <v>11</v>
      </c>
    </row>
    <row r="31" spans="1:64" s="1" customFormat="1" ht="15" hidden="1" customHeight="1" x14ac:dyDescent="0.25">
      <c r="A31" s="353" t="str">
        <f>CONCATENATE(ABY[[#This Row],[Supply Level]],ABY[[#This Row],[Station/Feeder]],ABY[[#This Row],[Voltage]])</f>
        <v>DistributionFeederCB2732_Raincliff11</v>
      </c>
      <c r="B31" s="353" t="str">
        <f>CONCATENATE(ABY[[#This Row],[Supply Level]],ABY[[#This Row],[Station/Feeder]],ABY[[#This Row],[Equipment ID]],ABY[[#This Row],[Voltage]],ABY[[#This Row],[Device type]])</f>
        <v>DistributionFeederCB2732_RaincliffF41311-</v>
      </c>
      <c r="C31" s="6" t="s">
        <v>1276</v>
      </c>
      <c r="D31" s="11" t="s">
        <v>103</v>
      </c>
      <c r="E31" s="46" t="s">
        <v>313</v>
      </c>
      <c r="F31" s="46" t="s">
        <v>317</v>
      </c>
      <c r="G31" s="57">
        <v>5</v>
      </c>
      <c r="H31" s="46" t="s">
        <v>325</v>
      </c>
      <c r="I31" s="46" t="s">
        <v>321</v>
      </c>
      <c r="J31" s="46" t="s">
        <v>240</v>
      </c>
      <c r="K31" s="46" t="s">
        <v>0</v>
      </c>
      <c r="L31" s="46" t="s">
        <v>0</v>
      </c>
      <c r="M31" s="57">
        <v>11</v>
      </c>
      <c r="N31" s="9">
        <v>400</v>
      </c>
      <c r="O31" s="9">
        <f t="shared" ref="O31" si="41">IF(OR(N31="",N31="-"),"-",N31*$M31*SQRT(3)/1000)</f>
        <v>7.6210235533030604</v>
      </c>
      <c r="P31" s="9">
        <v>400</v>
      </c>
      <c r="Q31" s="9">
        <f t="shared" ref="Q31" si="42">IF(OR(P31="",P31="-"),"-",P31*$M31*SQRT(3)/1000)</f>
        <v>7.6210235533030604</v>
      </c>
      <c r="R31" s="9">
        <v>400</v>
      </c>
      <c r="S31" s="9">
        <f t="shared" ref="S31" si="43">IF(OR(R31="",R31="-"),"-",R31*$M31*SQRT(3)/1000)</f>
        <v>7.6210235533030604</v>
      </c>
      <c r="T31" s="9" t="s">
        <v>0</v>
      </c>
      <c r="U31" s="9" t="str">
        <f t="shared" ref="U31" si="44">IF(OR(T31="",T31="-"),"-",T31*$M31*SQRT(3)/1000)</f>
        <v>-</v>
      </c>
      <c r="V31" s="9" t="s">
        <v>0</v>
      </c>
      <c r="W31" s="9" t="str">
        <f t="shared" ref="W31" si="45">IF(OR(V31="",V31="-"),"-",V31*$M31*SQRT(3)/1000)</f>
        <v>-</v>
      </c>
      <c r="X31" s="9" t="s">
        <v>0</v>
      </c>
      <c r="Y31" s="9" t="str">
        <f t="shared" ref="Y31" si="46">IF(OR(X31="",X31="-"),"-",X31*$M31*SQRT(3)/1000)</f>
        <v>-</v>
      </c>
      <c r="Z31" s="9" t="s">
        <v>0</v>
      </c>
      <c r="AA31" s="9" t="str">
        <f t="shared" ref="AA31" si="47">IF(OR(Z31="",Z31="-"),"-",Z31*$M31*SQRT(3)/1000)</f>
        <v>-</v>
      </c>
      <c r="AB31" s="9" t="s">
        <v>0</v>
      </c>
      <c r="AC31" s="9" t="str">
        <f t="shared" ref="AC31" si="48">IF(OR(AB31="",AB31="-"),"-",AB31*$M31*SQRT(3)/1000)</f>
        <v>-</v>
      </c>
      <c r="AD31" s="9" t="s">
        <v>0</v>
      </c>
      <c r="AE31" s="12" t="str">
        <f t="shared" ref="AE31" si="49">IF(OR(AD31="",AD31="-"),"-",AD31*$M31*SQRT(3)/1000)</f>
        <v>-</v>
      </c>
      <c r="AF31" s="29" t="s">
        <v>0</v>
      </c>
      <c r="AG31" s="29" t="s">
        <v>0</v>
      </c>
      <c r="AH31" s="29" t="s">
        <v>0</v>
      </c>
      <c r="AI31" s="29" t="s">
        <v>0</v>
      </c>
      <c r="AJ31" s="32" t="s">
        <v>0</v>
      </c>
      <c r="AK31" s="29" t="s">
        <v>0</v>
      </c>
      <c r="AL31" s="32" t="s">
        <v>0</v>
      </c>
      <c r="AM31" s="29" t="s">
        <v>0</v>
      </c>
      <c r="AN31" s="32" t="s">
        <v>0</v>
      </c>
      <c r="AO31" s="29" t="s">
        <v>0</v>
      </c>
      <c r="AP31" s="29" t="s">
        <v>0</v>
      </c>
      <c r="AQ31" s="32" t="s">
        <v>0</v>
      </c>
      <c r="AR31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31" s="9" t="str">
        <f t="shared" ref="AS31" si="50">IF(OR(AR31="",AR31="-"),"-",AR31*$M31*SQRT(3)/1000)</f>
        <v>-</v>
      </c>
      <c r="AT31" s="9">
        <f>IF(RIGHT(ABY[[#This Row],[Device type]],7)="Winding","-",ABY[[#This Row],[Cont Winter MVA]])</f>
        <v>7.6210235533030604</v>
      </c>
      <c r="AU31" s="9">
        <f>IF(RIGHT(ABY[[#This Row],[Device type]],7)="Winding","-",ABY[[#This Row],[Cont Shoulder MVA]])</f>
        <v>7.6210235533030604</v>
      </c>
      <c r="AV31" s="9">
        <f>IF(RIGHT(ABY[[#This Row],[Device type]],7)="Winding","-",ABY[[#This Row],[Cont Summer MVA]])</f>
        <v>7.6210235533030604</v>
      </c>
      <c r="AW31" s="9" t="str">
        <f>IF(RIGHT(ABY[[#This Row],[Device type]],7)="Winding","-",ABY[[#This Row],[24 Hr Winter MVA]])</f>
        <v>-</v>
      </c>
      <c r="AX31" s="9" t="str">
        <f>IF(RIGHT(ABY[[#This Row],[Device type]],7)="Winding","-",ABY[[#This Row],[24 Hr Summer MVA]])</f>
        <v>-</v>
      </c>
      <c r="AY31" s="9" t="str">
        <f>ABY[[#This Row],[Forwards MVA]]</f>
        <v>-</v>
      </c>
      <c r="AZ31" s="9" t="str">
        <f>ABY[[#This Row],[Relay MVA]]</f>
        <v>-</v>
      </c>
      <c r="BA31" s="9" t="str">
        <f>ABY[[#This Row],[CT MVA]]</f>
        <v>-</v>
      </c>
      <c r="BB31" s="9" t="str">
        <f>ABY[[#This Row],[Derating MVA]]</f>
        <v>-</v>
      </c>
      <c r="BC31" s="9" t="str">
        <f>ABY[[#This Row],[Station/Feeder]]&amp;ABY[[#This Row],[Lowest MVA]]</f>
        <v>CB2732_Raincliff7.62102355330306</v>
      </c>
      <c r="BD31" s="9" t="str">
        <f>CONCATENATE(ABY[[#This Row],[Supply Level]],ABY[[#This Row],[Station/Feeder]],ABY[[#This Row],[Voltage]],ABY[[#This Row],[Lowest A-No PTX]])</f>
        <v>DistributionFeederCB2732_Raincliff11400</v>
      </c>
      <c r="BE31" s="9" t="str">
        <f>CONCATENATE(ABY[[#This Row],[Supply Level]],ABY[[#This Row],[Station/Feeder]],ABY[[#This Row],[Voltage]],ABY[[#This Row],[Lowest A-PTX]])</f>
        <v>DistributionFeederCB2732_Raincliff11400</v>
      </c>
      <c r="BF31" s="9">
        <f>IF(MIN(ABY[[#This Row],[Summ Cont Winter A]:[Cable Derating]])=0,"",MIN(ABY[[#This Row],[Summ Cont Winter A]:[Cable Derating]]))</f>
        <v>7.6210235533030604</v>
      </c>
      <c r="BG31" s="57">
        <f>IFERROR(ABY[[#This Row],[Lowest MVA]]*1000/(ABY[[#This Row],[Voltage]]*SQRT(3)),"")</f>
        <v>400</v>
      </c>
      <c r="BH31" s="57">
        <f t="shared" si="10"/>
        <v>400</v>
      </c>
      <c r="BI31" s="9" t="str">
        <f>ABY[[#This Row],[From]]</f>
        <v>CB2732</v>
      </c>
      <c r="BJ31" s="9" t="str">
        <f>ABY[[#This Row],[To]]</f>
        <v>F234 SW.ST</v>
      </c>
      <c r="BK31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ABS-F413</v>
      </c>
      <c r="BL31" s="9">
        <f>ABY[[#This Row],[Voltage]]</f>
        <v>11</v>
      </c>
    </row>
    <row r="32" spans="1:64" s="1" customFormat="1" ht="15" hidden="1" customHeight="1" x14ac:dyDescent="0.25">
      <c r="A32" s="353" t="str">
        <f>CONCATENATE(ABY[[#This Row],[Supply Level]],ABY[[#This Row],[Station/Feeder]],ABY[[#This Row],[Voltage]])</f>
        <v>DistributionFeederCB2732_Raincliff11</v>
      </c>
      <c r="B32" s="353" t="str">
        <f>CONCATENATE(ABY[[#This Row],[Supply Level]],ABY[[#This Row],[Station/Feeder]],ABY[[#This Row],[Equipment ID]],ABY[[#This Row],[Voltage]],ABY[[#This Row],[Device type]])</f>
        <v>DistributionFeederCB2732_Raincliff19/14 Cu11-</v>
      </c>
      <c r="C32" s="6" t="s">
        <v>1276</v>
      </c>
      <c r="D32" s="11" t="s">
        <v>103</v>
      </c>
      <c r="E32" s="46" t="s">
        <v>313</v>
      </c>
      <c r="F32" s="46" t="s">
        <v>317</v>
      </c>
      <c r="G32" s="56">
        <v>6</v>
      </c>
      <c r="H32" s="46" t="s">
        <v>1289</v>
      </c>
      <c r="I32" s="46" t="s">
        <v>319</v>
      </c>
      <c r="J32" s="46" t="s">
        <v>69</v>
      </c>
      <c r="K32" s="46" t="s">
        <v>0</v>
      </c>
      <c r="L32" s="46" t="s">
        <v>0</v>
      </c>
      <c r="M32" s="57">
        <v>11</v>
      </c>
      <c r="N32" s="9">
        <v>321</v>
      </c>
      <c r="O32" s="9">
        <f t="shared" si="0"/>
        <v>6.1158714015257054</v>
      </c>
      <c r="P32" s="9" t="s">
        <v>0</v>
      </c>
      <c r="Q32" s="9" t="str">
        <f t="shared" si="1"/>
        <v>-</v>
      </c>
      <c r="R32" s="9">
        <v>241.6124594654155</v>
      </c>
      <c r="S32" s="9">
        <f t="shared" si="2"/>
        <v>4.6033356108935308</v>
      </c>
      <c r="T32" s="9" t="s">
        <v>0</v>
      </c>
      <c r="U32" s="9" t="str">
        <f t="shared" si="3"/>
        <v>-</v>
      </c>
      <c r="V32" s="9" t="s">
        <v>0</v>
      </c>
      <c r="W32" s="9" t="str">
        <f t="shared" si="4"/>
        <v>-</v>
      </c>
      <c r="X32" s="9" t="s">
        <v>0</v>
      </c>
      <c r="Y32" s="9" t="str">
        <f t="shared" si="5"/>
        <v>-</v>
      </c>
      <c r="Z32" s="9" t="s">
        <v>0</v>
      </c>
      <c r="AA32" s="9" t="str">
        <f t="shared" si="6"/>
        <v>-</v>
      </c>
      <c r="AB32" s="9" t="s">
        <v>0</v>
      </c>
      <c r="AC32" s="9" t="str">
        <f t="shared" si="7"/>
        <v>-</v>
      </c>
      <c r="AD32" s="9" t="s">
        <v>0</v>
      </c>
      <c r="AE32" s="12" t="str">
        <f t="shared" si="8"/>
        <v>-</v>
      </c>
      <c r="AF32" s="29" t="s">
        <v>0</v>
      </c>
      <c r="AG32" s="29" t="s">
        <v>0</v>
      </c>
      <c r="AH32" s="29">
        <v>48.3</v>
      </c>
      <c r="AI32" s="29" t="s">
        <v>0</v>
      </c>
      <c r="AJ32" s="32" t="s">
        <v>0</v>
      </c>
      <c r="AK32" s="29" t="s">
        <v>0</v>
      </c>
      <c r="AL32" s="32" t="s">
        <v>0</v>
      </c>
      <c r="AM32" s="29" t="s">
        <v>0</v>
      </c>
      <c r="AN32" s="32" t="s">
        <v>0</v>
      </c>
      <c r="AO32" s="29" t="s">
        <v>0</v>
      </c>
      <c r="AP32" s="29" t="s">
        <v>0</v>
      </c>
      <c r="AQ32" s="32" t="s">
        <v>0</v>
      </c>
      <c r="AR32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32" s="9" t="str">
        <f t="shared" si="9"/>
        <v>-</v>
      </c>
      <c r="AT32" s="9">
        <f>IF(RIGHT(ABY[[#This Row],[Device type]],7)="Winding","-",ABY[[#This Row],[Cont Winter MVA]])</f>
        <v>6.1158714015257054</v>
      </c>
      <c r="AU32" s="9" t="str">
        <f>IF(RIGHT(ABY[[#This Row],[Device type]],7)="Winding","-",ABY[[#This Row],[Cont Shoulder MVA]])</f>
        <v>-</v>
      </c>
      <c r="AV32" s="9">
        <f>IF(RIGHT(ABY[[#This Row],[Device type]],7)="Winding","-",ABY[[#This Row],[Cont Summer MVA]])</f>
        <v>4.6033356108935308</v>
      </c>
      <c r="AW32" s="9" t="str">
        <f>IF(RIGHT(ABY[[#This Row],[Device type]],7)="Winding","-",ABY[[#This Row],[24 Hr Winter MVA]])</f>
        <v>-</v>
      </c>
      <c r="AX32" s="9" t="str">
        <f>IF(RIGHT(ABY[[#This Row],[Device type]],7)="Winding","-",ABY[[#This Row],[24 Hr Summer MVA]])</f>
        <v>-</v>
      </c>
      <c r="AY32" s="9" t="str">
        <f>ABY[[#This Row],[Forwards MVA]]</f>
        <v>-</v>
      </c>
      <c r="AZ32" s="9" t="str">
        <f>ABY[[#This Row],[Relay MVA]]</f>
        <v>-</v>
      </c>
      <c r="BA32" s="9" t="str">
        <f>ABY[[#This Row],[CT MVA]]</f>
        <v>-</v>
      </c>
      <c r="BB32" s="9" t="str">
        <f>ABY[[#This Row],[Derating MVA]]</f>
        <v>-</v>
      </c>
      <c r="BC32" s="9" t="str">
        <f>ABY[[#This Row],[Station/Feeder]]&amp;ABY[[#This Row],[Lowest MVA]]</f>
        <v>CB2732_Raincliff4.60333561089353</v>
      </c>
      <c r="BD32" s="9" t="str">
        <f>CONCATENATE(ABY[[#This Row],[Supply Level]],ABY[[#This Row],[Station/Feeder]],ABY[[#This Row],[Voltage]],ABY[[#This Row],[Lowest A-No PTX]])</f>
        <v>DistributionFeederCB2732_Raincliff11241.612459465415</v>
      </c>
      <c r="BE32" s="9" t="str">
        <f>CONCATENATE(ABY[[#This Row],[Supply Level]],ABY[[#This Row],[Station/Feeder]],ABY[[#This Row],[Voltage]],ABY[[#This Row],[Lowest A-PTX]])</f>
        <v>DistributionFeederCB2732_Raincliff11241.612459465415</v>
      </c>
      <c r="BF32" s="9">
        <f>IF(MIN(ABY[[#This Row],[Summ Cont Winter A]:[Cable Derating]])=0,"",MIN(ABY[[#This Row],[Summ Cont Winter A]:[Cable Derating]]))</f>
        <v>4.6033356108935308</v>
      </c>
      <c r="BG32" s="57">
        <f>IFERROR(ABY[[#This Row],[Lowest MVA]]*1000/(ABY[[#This Row],[Voltage]]*SQRT(3)),"")</f>
        <v>241.61245946541547</v>
      </c>
      <c r="BH32" s="57">
        <f t="shared" si="10"/>
        <v>241.6124594654155</v>
      </c>
      <c r="BI32" s="9" t="str">
        <f>ABY[[#This Row],[From]]</f>
        <v>CB2732</v>
      </c>
      <c r="BJ32" s="9" t="str">
        <f>ABY[[#This Row],[To]]</f>
        <v>F234 SW.ST</v>
      </c>
      <c r="BK32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Line-19/14 Cu</v>
      </c>
      <c r="BL32" s="9">
        <f>ABY[[#This Row],[Voltage]]</f>
        <v>11</v>
      </c>
    </row>
    <row r="33" spans="1:64" s="1" customFormat="1" ht="15" hidden="1" customHeight="1" x14ac:dyDescent="0.25">
      <c r="A33" s="353" t="str">
        <f>CONCATENATE(ABY[[#This Row],[Supply Level]],ABY[[#This Row],[Station/Feeder]],ABY[[#This Row],[Voltage]])</f>
        <v>DistributionFeederCB2742_Cave11</v>
      </c>
      <c r="B33" s="353" t="str">
        <f>CONCATENATE(ABY[[#This Row],[Supply Level]],ABY[[#This Row],[Station/Feeder]],ABY[[#This Row],[Equipment ID]],ABY[[#This Row],[Voltage]],ABY[[#This Row],[Device type]])</f>
        <v>DistributionFeederCB2742_Cave3-1c 400 mm² Al XLPE11-</v>
      </c>
      <c r="C33" s="6" t="s">
        <v>1276</v>
      </c>
      <c r="D33" s="11" t="s">
        <v>115</v>
      </c>
      <c r="E33" s="46" t="s">
        <v>314</v>
      </c>
      <c r="F33" s="46" t="s">
        <v>323</v>
      </c>
      <c r="G33" s="57">
        <v>1</v>
      </c>
      <c r="H33" s="46" t="s">
        <v>324</v>
      </c>
      <c r="I33" s="46" t="s">
        <v>559</v>
      </c>
      <c r="J33" s="46" t="s">
        <v>250</v>
      </c>
      <c r="K33" s="46" t="s">
        <v>0</v>
      </c>
      <c r="L33" s="46" t="s">
        <v>0</v>
      </c>
      <c r="M33" s="57">
        <v>11</v>
      </c>
      <c r="N33" s="9">
        <v>537</v>
      </c>
      <c r="O33" s="9">
        <f t="shared" ref="O33" si="51">IF(OR(N33="",N33="-"),"-",N33*$M33*SQRT(3)/1000)</f>
        <v>10.231224120309358</v>
      </c>
      <c r="P33" s="9">
        <v>537</v>
      </c>
      <c r="Q33" s="9">
        <f t="shared" ref="Q33" si="52">IF(OR(P33="",P33="-"),"-",P33*$M33*SQRT(3)/1000)</f>
        <v>10.231224120309358</v>
      </c>
      <c r="R33" s="9">
        <v>537</v>
      </c>
      <c r="S33" s="9">
        <f t="shared" ref="S33" si="53">IF(OR(R33="",R33="-"),"-",R33*$M33*SQRT(3)/1000)</f>
        <v>10.231224120309358</v>
      </c>
      <c r="T33" s="9" t="s">
        <v>0</v>
      </c>
      <c r="U33" s="9" t="str">
        <f t="shared" ref="U33" si="54">IF(OR(T33="",T33="-"),"-",T33*$M33*SQRT(3)/1000)</f>
        <v>-</v>
      </c>
      <c r="V33" s="9" t="s">
        <v>0</v>
      </c>
      <c r="W33" s="9" t="str">
        <f t="shared" ref="W33" si="55">IF(OR(V33="",V33="-"),"-",V33*$M33*SQRT(3)/1000)</f>
        <v>-</v>
      </c>
      <c r="X33" s="9" t="s">
        <v>0</v>
      </c>
      <c r="Y33" s="9" t="str">
        <f t="shared" ref="Y33" si="56">IF(OR(X33="",X33="-"),"-",X33*$M33*SQRT(3)/1000)</f>
        <v>-</v>
      </c>
      <c r="Z33" s="9" t="s">
        <v>0</v>
      </c>
      <c r="AA33" s="9" t="str">
        <f t="shared" ref="AA33" si="57">IF(OR(Z33="",Z33="-"),"-",Z33*$M33*SQRT(3)/1000)</f>
        <v>-</v>
      </c>
      <c r="AB33" s="9" t="s">
        <v>0</v>
      </c>
      <c r="AC33" s="9" t="str">
        <f t="shared" ref="AC33" si="58">IF(OR(AB33="",AB33="-"),"-",AB33*$M33*SQRT(3)/1000)</f>
        <v>-</v>
      </c>
      <c r="AD33" s="9" t="s">
        <v>0</v>
      </c>
      <c r="AE33" s="12" t="str">
        <f t="shared" ref="AE33" si="59">IF(OR(AD33="",AD33="-"),"-",AD33*$M33*SQRT(3)/1000)</f>
        <v>-</v>
      </c>
      <c r="AF33" s="29">
        <v>1</v>
      </c>
      <c r="AG33" s="29" t="s">
        <v>265</v>
      </c>
      <c r="AH33" s="29">
        <v>34.799999999999997</v>
      </c>
      <c r="AI33" s="29">
        <v>1</v>
      </c>
      <c r="AJ33" s="32">
        <v>0.97</v>
      </c>
      <c r="AK33" s="29">
        <v>15</v>
      </c>
      <c r="AL33" s="32">
        <v>1</v>
      </c>
      <c r="AM33" s="29">
        <v>1.2</v>
      </c>
      <c r="AN33" s="32">
        <v>1</v>
      </c>
      <c r="AO33" s="29">
        <v>3</v>
      </c>
      <c r="AP33" s="29">
        <v>0.8</v>
      </c>
      <c r="AQ33" s="32">
        <v>0.85</v>
      </c>
      <c r="AR33" s="29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442.75650000000002</v>
      </c>
      <c r="AS33" s="9">
        <f t="shared" ref="AS33" si="60">IF(OR(AR33="",AR33="-"),"-",AR33*$M33*SQRT(3)/1000)</f>
        <v>8.4356442871950659</v>
      </c>
      <c r="AT33" s="9">
        <f>IF(RIGHT(ABY[[#This Row],[Device type]],7)="Winding","-",ABY[[#This Row],[Cont Winter MVA]])</f>
        <v>10.231224120309358</v>
      </c>
      <c r="AU33" s="9">
        <f>IF(RIGHT(ABY[[#This Row],[Device type]],7)="Winding","-",ABY[[#This Row],[Cont Shoulder MVA]])</f>
        <v>10.231224120309358</v>
      </c>
      <c r="AV33" s="9">
        <f>IF(RIGHT(ABY[[#This Row],[Device type]],7)="Winding","-",ABY[[#This Row],[Cont Summer MVA]])</f>
        <v>10.231224120309358</v>
      </c>
      <c r="AW33" s="9" t="str">
        <f>IF(RIGHT(ABY[[#This Row],[Device type]],7)="Winding","-",ABY[[#This Row],[24 Hr Winter MVA]])</f>
        <v>-</v>
      </c>
      <c r="AX33" s="9" t="str">
        <f>IF(RIGHT(ABY[[#This Row],[Device type]],7)="Winding","-",ABY[[#This Row],[24 Hr Summer MVA]])</f>
        <v>-</v>
      </c>
      <c r="AY33" s="9" t="str">
        <f>ABY[[#This Row],[Forwards MVA]]</f>
        <v>-</v>
      </c>
      <c r="AZ33" s="9" t="str">
        <f>ABY[[#This Row],[Relay MVA]]</f>
        <v>-</v>
      </c>
      <c r="BA33" s="9" t="str">
        <f>ABY[[#This Row],[CT MVA]]</f>
        <v>-</v>
      </c>
      <c r="BB33" s="9">
        <f>ABY[[#This Row],[Derating MVA]]</f>
        <v>8.4356442871950659</v>
      </c>
      <c r="BC33" s="9" t="str">
        <f>ABY[[#This Row],[Station/Feeder]]&amp;ABY[[#This Row],[Lowest MVA]]</f>
        <v>CB2742_Cave8.43564428719507</v>
      </c>
      <c r="BD33" s="9" t="str">
        <f>CONCATENATE(ABY[[#This Row],[Supply Level]],ABY[[#This Row],[Station/Feeder]],ABY[[#This Row],[Voltage]],ABY[[#This Row],[Lowest A-No PTX]])</f>
        <v>DistributionFeederCB2742_Cave11442.7565</v>
      </c>
      <c r="BE33" s="9" t="str">
        <f>CONCATENATE(ABY[[#This Row],[Supply Level]],ABY[[#This Row],[Station/Feeder]],ABY[[#This Row],[Voltage]],ABY[[#This Row],[Lowest A-PTX]])</f>
        <v>DistributionFeederCB2742_Cave11442.7565</v>
      </c>
      <c r="BF33" s="9">
        <f>IF(MIN(ABY[[#This Row],[Summ Cont Winter A]:[Cable Derating]])=0,"",MIN(ABY[[#This Row],[Summ Cont Winter A]:[Cable Derating]]))</f>
        <v>8.4356442871950659</v>
      </c>
      <c r="BG33" s="57">
        <f>IFERROR(ABY[[#This Row],[Lowest MVA]]*1000/(ABY[[#This Row],[Voltage]]*SQRT(3)),"")</f>
        <v>442.75650000000002</v>
      </c>
      <c r="BH33" s="57">
        <f t="shared" si="10"/>
        <v>442.75650000000002</v>
      </c>
      <c r="BI33" s="9" t="str">
        <f>ABY[[#This Row],[From]]</f>
        <v>CB2742</v>
      </c>
      <c r="BJ33" s="9" t="str">
        <f>ABY[[#This Row],[To]]</f>
        <v>Pole 53272</v>
      </c>
      <c r="BK33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Cable-3-1c 400 mm² Al XLPE</v>
      </c>
      <c r="BL33" s="9">
        <f>ABY[[#This Row],[Voltage]]</f>
        <v>11</v>
      </c>
    </row>
    <row r="34" spans="1:64" s="1" customFormat="1" ht="15" hidden="1" customHeight="1" x14ac:dyDescent="0.25">
      <c r="A34" s="353" t="str">
        <f>CONCATENATE(ABY[[#This Row],[Supply Level]],ABY[[#This Row],[Station/Feeder]],ABY[[#This Row],[Voltage]])</f>
        <v>DistributionFeederCB2742_Cave11</v>
      </c>
      <c r="B34" s="353" t="str">
        <f>CONCATENATE(ABY[[#This Row],[Supply Level]],ABY[[#This Row],[Station/Feeder]],ABY[[#This Row],[Equipment ID]],ABY[[#This Row],[Voltage]],ABY[[#This Row],[Device type]])</f>
        <v>DistributionFeederCB2742_CaveF24911-</v>
      </c>
      <c r="C34" s="6" t="s">
        <v>1276</v>
      </c>
      <c r="D34" s="11" t="s">
        <v>115</v>
      </c>
      <c r="E34" s="46" t="s">
        <v>314</v>
      </c>
      <c r="F34" s="46" t="s">
        <v>323</v>
      </c>
      <c r="G34" s="57">
        <v>2</v>
      </c>
      <c r="H34" s="46" t="s">
        <v>325</v>
      </c>
      <c r="I34" s="46" t="s">
        <v>322</v>
      </c>
      <c r="J34" s="46" t="s">
        <v>240</v>
      </c>
      <c r="K34" s="46" t="s">
        <v>0</v>
      </c>
      <c r="L34" s="46" t="s">
        <v>0</v>
      </c>
      <c r="M34" s="57">
        <v>11</v>
      </c>
      <c r="N34" s="9">
        <v>800</v>
      </c>
      <c r="O34" s="9">
        <f t="shared" si="0"/>
        <v>15.242047106606121</v>
      </c>
      <c r="P34" s="9">
        <v>800</v>
      </c>
      <c r="Q34" s="9">
        <f t="shared" si="1"/>
        <v>15.242047106606121</v>
      </c>
      <c r="R34" s="9">
        <v>800</v>
      </c>
      <c r="S34" s="9">
        <f t="shared" si="2"/>
        <v>15.242047106606121</v>
      </c>
      <c r="T34" s="9" t="s">
        <v>0</v>
      </c>
      <c r="U34" s="9" t="str">
        <f t="shared" si="3"/>
        <v>-</v>
      </c>
      <c r="V34" s="9" t="s">
        <v>0</v>
      </c>
      <c r="W34" s="9" t="str">
        <f t="shared" si="4"/>
        <v>-</v>
      </c>
      <c r="X34" s="9" t="s">
        <v>0</v>
      </c>
      <c r="Y34" s="9" t="str">
        <f t="shared" si="5"/>
        <v>-</v>
      </c>
      <c r="Z34" s="9" t="s">
        <v>0</v>
      </c>
      <c r="AA34" s="9" t="str">
        <f t="shared" si="6"/>
        <v>-</v>
      </c>
      <c r="AB34" s="9" t="s">
        <v>0</v>
      </c>
      <c r="AC34" s="9" t="str">
        <f t="shared" si="7"/>
        <v>-</v>
      </c>
      <c r="AD34" s="9" t="s">
        <v>0</v>
      </c>
      <c r="AE34" s="12" t="str">
        <f t="shared" si="8"/>
        <v>-</v>
      </c>
      <c r="AF34" s="29" t="s">
        <v>0</v>
      </c>
      <c r="AG34" s="29" t="s">
        <v>0</v>
      </c>
      <c r="AH34" s="29" t="s">
        <v>0</v>
      </c>
      <c r="AI34" s="29" t="s">
        <v>0</v>
      </c>
      <c r="AJ34" s="32" t="s">
        <v>0</v>
      </c>
      <c r="AK34" s="29" t="s">
        <v>0</v>
      </c>
      <c r="AL34" s="32" t="s">
        <v>0</v>
      </c>
      <c r="AM34" s="29" t="s">
        <v>0</v>
      </c>
      <c r="AN34" s="32" t="s">
        <v>0</v>
      </c>
      <c r="AO34" s="29" t="s">
        <v>0</v>
      </c>
      <c r="AP34" s="29" t="s">
        <v>0</v>
      </c>
      <c r="AQ34" s="32" t="s">
        <v>0</v>
      </c>
      <c r="AR34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34" s="9" t="str">
        <f t="shared" si="9"/>
        <v>-</v>
      </c>
      <c r="AT34" s="9">
        <f>IF(RIGHT(ABY[[#This Row],[Device type]],7)="Winding","-",ABY[[#This Row],[Cont Winter MVA]])</f>
        <v>15.242047106606121</v>
      </c>
      <c r="AU34" s="9">
        <f>IF(RIGHT(ABY[[#This Row],[Device type]],7)="Winding","-",ABY[[#This Row],[Cont Shoulder MVA]])</f>
        <v>15.242047106606121</v>
      </c>
      <c r="AV34" s="9">
        <f>IF(RIGHT(ABY[[#This Row],[Device type]],7)="Winding","-",ABY[[#This Row],[Cont Summer MVA]])</f>
        <v>15.242047106606121</v>
      </c>
      <c r="AW34" s="9" t="str">
        <f>IF(RIGHT(ABY[[#This Row],[Device type]],7)="Winding","-",ABY[[#This Row],[24 Hr Winter MVA]])</f>
        <v>-</v>
      </c>
      <c r="AX34" s="9" t="str">
        <f>IF(RIGHT(ABY[[#This Row],[Device type]],7)="Winding","-",ABY[[#This Row],[24 Hr Summer MVA]])</f>
        <v>-</v>
      </c>
      <c r="AY34" s="9" t="str">
        <f>ABY[[#This Row],[Forwards MVA]]</f>
        <v>-</v>
      </c>
      <c r="AZ34" s="9" t="str">
        <f>ABY[[#This Row],[Relay MVA]]</f>
        <v>-</v>
      </c>
      <c r="BA34" s="9" t="str">
        <f>ABY[[#This Row],[CT MVA]]</f>
        <v>-</v>
      </c>
      <c r="BB34" s="9" t="str">
        <f>ABY[[#This Row],[Derating MVA]]</f>
        <v>-</v>
      </c>
      <c r="BC34" s="9" t="str">
        <f>ABY[[#This Row],[Station/Feeder]]&amp;ABY[[#This Row],[Lowest MVA]]</f>
        <v>CB2742_Cave15.2420471066061</v>
      </c>
      <c r="BD34" s="9" t="str">
        <f>CONCATENATE(ABY[[#This Row],[Supply Level]],ABY[[#This Row],[Station/Feeder]],ABY[[#This Row],[Voltage]],ABY[[#This Row],[Lowest A-No PTX]])</f>
        <v>DistributionFeederCB2742_Cave11800</v>
      </c>
      <c r="BE34" s="9" t="str">
        <f>CONCATENATE(ABY[[#This Row],[Supply Level]],ABY[[#This Row],[Station/Feeder]],ABY[[#This Row],[Voltage]],ABY[[#This Row],[Lowest A-PTX]])</f>
        <v>DistributionFeederCB2742_Cave11800</v>
      </c>
      <c r="BF34" s="9">
        <f>IF(MIN(ABY[[#This Row],[Summ Cont Winter A]:[Cable Derating]])=0,"",MIN(ABY[[#This Row],[Summ Cont Winter A]:[Cable Derating]]))</f>
        <v>15.242047106606121</v>
      </c>
      <c r="BG34" s="57">
        <f>IFERROR(ABY[[#This Row],[Lowest MVA]]*1000/(ABY[[#This Row],[Voltage]]*SQRT(3)),"")</f>
        <v>800</v>
      </c>
      <c r="BH34" s="57">
        <f t="shared" si="10"/>
        <v>800</v>
      </c>
      <c r="BI34" s="9" t="str">
        <f>ABY[[#This Row],[From]]</f>
        <v>CB2742</v>
      </c>
      <c r="BJ34" s="9" t="str">
        <f>ABY[[#This Row],[To]]</f>
        <v>Pole 53272</v>
      </c>
      <c r="BK34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ABS-F249</v>
      </c>
      <c r="BL34" s="9">
        <f>ABY[[#This Row],[Voltage]]</f>
        <v>11</v>
      </c>
    </row>
    <row r="35" spans="1:64" s="1" customFormat="1" ht="15" hidden="1" customHeight="1" x14ac:dyDescent="0.25">
      <c r="A35" s="353" t="str">
        <f>CONCATENATE(ABY[[#This Row],[Supply Level]],ABY[[#This Row],[Station/Feeder]],ABY[[#This Row],[Voltage]])</f>
        <v>DistributionFeederCB2742_Cave11</v>
      </c>
      <c r="B35" s="353" t="str">
        <f>CONCATENATE(ABY[[#This Row],[Supply Level]],ABY[[#This Row],[Station/Feeder]],ABY[[#This Row],[Equipment ID]],ABY[[#This Row],[Voltage]],ABY[[#This Row],[Device type]])</f>
        <v>DistributionFeederCB2742_CaveDOG11-</v>
      </c>
      <c r="C35" s="6" t="s">
        <v>1276</v>
      </c>
      <c r="D35" s="11" t="s">
        <v>115</v>
      </c>
      <c r="E35" s="46" t="s">
        <v>314</v>
      </c>
      <c r="F35" s="46" t="s">
        <v>323</v>
      </c>
      <c r="G35" s="57">
        <v>3</v>
      </c>
      <c r="H35" s="46" t="s">
        <v>1289</v>
      </c>
      <c r="I35" s="46" t="s">
        <v>318</v>
      </c>
      <c r="J35" s="46" t="s">
        <v>69</v>
      </c>
      <c r="K35" s="46" t="s">
        <v>0</v>
      </c>
      <c r="L35" s="46" t="s">
        <v>0</v>
      </c>
      <c r="M35" s="57">
        <v>11</v>
      </c>
      <c r="N35" s="9">
        <v>344</v>
      </c>
      <c r="O35" s="9">
        <f t="shared" ref="O35:O36" si="61">IF(OR(N35="",N35="-"),"-",N35*$M35*SQRT(3)/1000)</f>
        <v>6.5540802558406313</v>
      </c>
      <c r="P35" s="9" t="s">
        <v>0</v>
      </c>
      <c r="Q35" s="9" t="str">
        <f t="shared" ref="Q35:Q36" si="62">IF(OR(P35="",P35="-"),"-",P35*$M35*SQRT(3)/1000)</f>
        <v>-</v>
      </c>
      <c r="R35" s="9">
        <v>256.85852310343915</v>
      </c>
      <c r="S35" s="9">
        <f t="shared" ref="S35:S36" si="63">IF(OR(R35="",R35="-"),"-",R35*$M35*SQRT(3)/1000)</f>
        <v>4.8938121360948701</v>
      </c>
      <c r="T35" s="9" t="s">
        <v>0</v>
      </c>
      <c r="U35" s="9" t="str">
        <f t="shared" ref="U35:U36" si="64">IF(OR(T35="",T35="-"),"-",T35*$M35*SQRT(3)/1000)</f>
        <v>-</v>
      </c>
      <c r="V35" s="9" t="s">
        <v>0</v>
      </c>
      <c r="W35" s="9" t="str">
        <f t="shared" ref="W35:W36" si="65">IF(OR(V35="",V35="-"),"-",V35*$M35*SQRT(3)/1000)</f>
        <v>-</v>
      </c>
      <c r="X35" s="9" t="s">
        <v>0</v>
      </c>
      <c r="Y35" s="9" t="str">
        <f t="shared" ref="Y35:Y36" si="66">IF(OR(X35="",X35="-"),"-",X35*$M35*SQRT(3)/1000)</f>
        <v>-</v>
      </c>
      <c r="Z35" s="9" t="s">
        <v>0</v>
      </c>
      <c r="AA35" s="9" t="str">
        <f t="shared" ref="AA35:AA36" si="67">IF(OR(Z35="",Z35="-"),"-",Z35*$M35*SQRT(3)/1000)</f>
        <v>-</v>
      </c>
      <c r="AB35" s="9" t="s">
        <v>0</v>
      </c>
      <c r="AC35" s="9" t="str">
        <f t="shared" ref="AC35:AC36" si="68">IF(OR(AB35="",AB35="-"),"-",AB35*$M35*SQRT(3)/1000)</f>
        <v>-</v>
      </c>
      <c r="AD35" s="9" t="s">
        <v>0</v>
      </c>
      <c r="AE35" s="12" t="str">
        <f t="shared" ref="AE35:AE36" si="69">IF(OR(AD35="",AD35="-"),"-",AD35*$M35*SQRT(3)/1000)</f>
        <v>-</v>
      </c>
      <c r="AF35" s="29" t="s">
        <v>0</v>
      </c>
      <c r="AG35" s="29" t="s">
        <v>0</v>
      </c>
      <c r="AH35" s="29">
        <v>19.100000000000001</v>
      </c>
      <c r="AI35" s="29" t="s">
        <v>0</v>
      </c>
      <c r="AJ35" s="32" t="s">
        <v>0</v>
      </c>
      <c r="AK35" s="29" t="s">
        <v>0</v>
      </c>
      <c r="AL35" s="32" t="s">
        <v>0</v>
      </c>
      <c r="AM35" s="29" t="s">
        <v>0</v>
      </c>
      <c r="AN35" s="32" t="s">
        <v>0</v>
      </c>
      <c r="AO35" s="29" t="s">
        <v>0</v>
      </c>
      <c r="AP35" s="29" t="s">
        <v>0</v>
      </c>
      <c r="AQ35" s="32" t="s">
        <v>0</v>
      </c>
      <c r="AR35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35" s="9" t="str">
        <f t="shared" ref="AS35:AS36" si="70">IF(OR(AR35="",AR35="-"),"-",AR35*$M35*SQRT(3)/1000)</f>
        <v>-</v>
      </c>
      <c r="AT35" s="9">
        <f>IF(RIGHT(ABY[[#This Row],[Device type]],7)="Winding","-",ABY[[#This Row],[Cont Winter MVA]])</f>
        <v>6.5540802558406313</v>
      </c>
      <c r="AU35" s="9" t="str">
        <f>IF(RIGHT(ABY[[#This Row],[Device type]],7)="Winding","-",ABY[[#This Row],[Cont Shoulder MVA]])</f>
        <v>-</v>
      </c>
      <c r="AV35" s="9">
        <f>IF(RIGHT(ABY[[#This Row],[Device type]],7)="Winding","-",ABY[[#This Row],[Cont Summer MVA]])</f>
        <v>4.8938121360948701</v>
      </c>
      <c r="AW35" s="9" t="str">
        <f>IF(RIGHT(ABY[[#This Row],[Device type]],7)="Winding","-",ABY[[#This Row],[24 Hr Winter MVA]])</f>
        <v>-</v>
      </c>
      <c r="AX35" s="9" t="str">
        <f>IF(RIGHT(ABY[[#This Row],[Device type]],7)="Winding","-",ABY[[#This Row],[24 Hr Summer MVA]])</f>
        <v>-</v>
      </c>
      <c r="AY35" s="9" t="str">
        <f>ABY[[#This Row],[Forwards MVA]]</f>
        <v>-</v>
      </c>
      <c r="AZ35" s="9" t="str">
        <f>ABY[[#This Row],[Relay MVA]]</f>
        <v>-</v>
      </c>
      <c r="BA35" s="9" t="str">
        <f>ABY[[#This Row],[CT MVA]]</f>
        <v>-</v>
      </c>
      <c r="BB35" s="9" t="str">
        <f>ABY[[#This Row],[Derating MVA]]</f>
        <v>-</v>
      </c>
      <c r="BC35" s="9" t="str">
        <f>ABY[[#This Row],[Station/Feeder]]&amp;ABY[[#This Row],[Lowest MVA]]</f>
        <v>CB2742_Cave4.89381213609487</v>
      </c>
      <c r="BD35" s="9" t="str">
        <f>CONCATENATE(ABY[[#This Row],[Supply Level]],ABY[[#This Row],[Station/Feeder]],ABY[[#This Row],[Voltage]],ABY[[#This Row],[Lowest A-No PTX]])</f>
        <v>DistributionFeederCB2742_Cave11256.858523103439</v>
      </c>
      <c r="BE35" s="9" t="str">
        <f>CONCATENATE(ABY[[#This Row],[Supply Level]],ABY[[#This Row],[Station/Feeder]],ABY[[#This Row],[Voltage]],ABY[[#This Row],[Lowest A-PTX]])</f>
        <v>DistributionFeederCB2742_Cave11256.858523103439</v>
      </c>
      <c r="BF35" s="9">
        <f>IF(MIN(ABY[[#This Row],[Summ Cont Winter A]:[Cable Derating]])=0,"",MIN(ABY[[#This Row],[Summ Cont Winter A]:[Cable Derating]]))</f>
        <v>4.8938121360948701</v>
      </c>
      <c r="BG35" s="57">
        <f>IFERROR(ABY[[#This Row],[Lowest MVA]]*1000/(ABY[[#This Row],[Voltage]]*SQRT(3)),"")</f>
        <v>256.85852310343915</v>
      </c>
      <c r="BH35" s="57">
        <f t="shared" si="10"/>
        <v>256.85852310343915</v>
      </c>
      <c r="BI35" s="9" t="str">
        <f>ABY[[#This Row],[From]]</f>
        <v>CB2742</v>
      </c>
      <c r="BJ35" s="9" t="str">
        <f>ABY[[#This Row],[To]]</f>
        <v>Pole 53272</v>
      </c>
      <c r="BK35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Line-DOG</v>
      </c>
      <c r="BL35" s="9">
        <f>ABY[[#This Row],[Voltage]]</f>
        <v>11</v>
      </c>
    </row>
    <row r="36" spans="1:64" s="1" customFormat="1" ht="15" hidden="1" customHeight="1" x14ac:dyDescent="0.25">
      <c r="A36" s="353" t="str">
        <f>CONCATENATE(ABY[[#This Row],[Supply Level]],ABY[[#This Row],[Station/Feeder]],ABY[[#This Row],[Voltage]])</f>
        <v>ZoneSubstationABY11</v>
      </c>
      <c r="B36" s="353" t="str">
        <f>CONCATENATE(ABY[[#This Row],[Supply Level]],ABY[[#This Row],[Station/Feeder]],ABY[[#This Row],[Equipment ID]],ABY[[#This Row],[Voltage]],ABY[[#This Row],[Device type]])</f>
        <v>ZoneSubstationABY3-1c 400 mm² Al XLPE11-</v>
      </c>
      <c r="C36" s="6" t="s">
        <v>1246</v>
      </c>
      <c r="D36" s="11" t="s">
        <v>79</v>
      </c>
      <c r="E36" s="46" t="s">
        <v>310</v>
      </c>
      <c r="F36" s="46" t="s">
        <v>327</v>
      </c>
      <c r="G36" s="57">
        <v>1</v>
      </c>
      <c r="H36" s="46" t="s">
        <v>324</v>
      </c>
      <c r="I36" s="46" t="s">
        <v>559</v>
      </c>
      <c r="J36" s="46" t="s">
        <v>250</v>
      </c>
      <c r="K36" s="46" t="s">
        <v>0</v>
      </c>
      <c r="L36" s="46" t="s">
        <v>0</v>
      </c>
      <c r="M36" s="57">
        <v>11</v>
      </c>
      <c r="N36" s="9">
        <v>537</v>
      </c>
      <c r="O36" s="9">
        <f t="shared" si="61"/>
        <v>10.231224120309358</v>
      </c>
      <c r="P36" s="9">
        <v>537</v>
      </c>
      <c r="Q36" s="9">
        <f t="shared" si="62"/>
        <v>10.231224120309358</v>
      </c>
      <c r="R36" s="9">
        <v>537</v>
      </c>
      <c r="S36" s="9">
        <f t="shared" si="63"/>
        <v>10.231224120309358</v>
      </c>
      <c r="T36" s="9" t="s">
        <v>0</v>
      </c>
      <c r="U36" s="9" t="str">
        <f t="shared" si="64"/>
        <v>-</v>
      </c>
      <c r="V36" s="9" t="s">
        <v>0</v>
      </c>
      <c r="W36" s="9" t="str">
        <f t="shared" si="65"/>
        <v>-</v>
      </c>
      <c r="X36" s="9" t="s">
        <v>0</v>
      </c>
      <c r="Y36" s="9" t="str">
        <f t="shared" si="66"/>
        <v>-</v>
      </c>
      <c r="Z36" s="9" t="s">
        <v>0</v>
      </c>
      <c r="AA36" s="9" t="str">
        <f t="shared" si="67"/>
        <v>-</v>
      </c>
      <c r="AB36" s="9" t="s">
        <v>0</v>
      </c>
      <c r="AC36" s="9" t="str">
        <f t="shared" si="68"/>
        <v>-</v>
      </c>
      <c r="AD36" s="9" t="s">
        <v>0</v>
      </c>
      <c r="AE36" s="12" t="str">
        <f t="shared" si="69"/>
        <v>-</v>
      </c>
      <c r="AF36" s="29">
        <v>1</v>
      </c>
      <c r="AG36" s="29" t="s">
        <v>265</v>
      </c>
      <c r="AH36" s="29">
        <v>61.9</v>
      </c>
      <c r="AI36" s="29">
        <v>1</v>
      </c>
      <c r="AJ36" s="32">
        <v>0.97</v>
      </c>
      <c r="AK36" s="29">
        <v>15</v>
      </c>
      <c r="AL36" s="32">
        <v>1</v>
      </c>
      <c r="AM36" s="29">
        <v>1.2</v>
      </c>
      <c r="AN36" s="32">
        <v>1</v>
      </c>
      <c r="AO36" s="29">
        <v>3</v>
      </c>
      <c r="AP36" s="29">
        <v>0.8</v>
      </c>
      <c r="AQ36" s="32">
        <v>0.85</v>
      </c>
      <c r="AR36" s="29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442.75650000000002</v>
      </c>
      <c r="AS36" s="9">
        <f t="shared" si="70"/>
        <v>8.4356442871950659</v>
      </c>
      <c r="AT36" s="9">
        <f>IF(RIGHT(ABY[[#This Row],[Device type]],7)="Winding","-",ABY[[#This Row],[Cont Winter MVA]])</f>
        <v>10.231224120309358</v>
      </c>
      <c r="AU36" s="9">
        <f>IF(RIGHT(ABY[[#This Row],[Device type]],7)="Winding","-",ABY[[#This Row],[Cont Shoulder MVA]])</f>
        <v>10.231224120309358</v>
      </c>
      <c r="AV36" s="9">
        <f>IF(RIGHT(ABY[[#This Row],[Device type]],7)="Winding","-",ABY[[#This Row],[Cont Summer MVA]])</f>
        <v>10.231224120309358</v>
      </c>
      <c r="AW36" s="9" t="str">
        <f>IF(RIGHT(ABY[[#This Row],[Device type]],7)="Winding","-",ABY[[#This Row],[24 Hr Winter MVA]])</f>
        <v>-</v>
      </c>
      <c r="AX36" s="9" t="str">
        <f>IF(RIGHT(ABY[[#This Row],[Device type]],7)="Winding","-",ABY[[#This Row],[24 Hr Summer MVA]])</f>
        <v>-</v>
      </c>
      <c r="AY36" s="9" t="str">
        <f>ABY[[#This Row],[Forwards MVA]]</f>
        <v>-</v>
      </c>
      <c r="AZ36" s="9" t="str">
        <f>ABY[[#This Row],[Relay MVA]]</f>
        <v>-</v>
      </c>
      <c r="BA36" s="9" t="str">
        <f>ABY[[#This Row],[CT MVA]]</f>
        <v>-</v>
      </c>
      <c r="BB36" s="9">
        <f>ABY[[#This Row],[Derating MVA]]</f>
        <v>8.4356442871950659</v>
      </c>
      <c r="BC36" s="9" t="str">
        <f>ABY[[#This Row],[Station/Feeder]]&amp;ABY[[#This Row],[Lowest MVA]]</f>
        <v>ABY8.43564428719507</v>
      </c>
      <c r="BD36" s="9" t="str">
        <f>CONCATENATE(ABY[[#This Row],[Supply Level]],ABY[[#This Row],[Station/Feeder]],ABY[[#This Row],[Voltage]],ABY[[#This Row],[Lowest A-No PTX]])</f>
        <v>ZoneSubstationABY11442.7565</v>
      </c>
      <c r="BE36" s="9" t="str">
        <f>CONCATENATE(ABY[[#This Row],[Supply Level]],ABY[[#This Row],[Station/Feeder]],ABY[[#This Row],[Voltage]],ABY[[#This Row],[Lowest A-PTX]])</f>
        <v>ZoneSubstationABY11442.7565</v>
      </c>
      <c r="BF36" s="9">
        <f>IF(MIN(ABY[[#This Row],[Summ Cont Winter A]:[Cable Derating]])=0,"",MIN(ABY[[#This Row],[Summ Cont Winter A]:[Cable Derating]]))</f>
        <v>8.4356442871950659</v>
      </c>
      <c r="BG36" s="57">
        <f>IFERROR(ABY[[#This Row],[Lowest MVA]]*1000/(ABY[[#This Row],[Voltage]]*SQRT(3)),"")</f>
        <v>442.75650000000002</v>
      </c>
      <c r="BH36" s="57">
        <f t="shared" si="10"/>
        <v>442.75650000000002</v>
      </c>
      <c r="BI36" s="9" t="str">
        <f>ABY[[#This Row],[From]]</f>
        <v>CB2722</v>
      </c>
      <c r="BJ36" s="9" t="str">
        <f>ABY[[#This Row],[To]]</f>
        <v>F268</v>
      </c>
      <c r="BK36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Cable-3-1c 400 mm² Al XLPE</v>
      </c>
      <c r="BL36" s="9">
        <f>ABY[[#This Row],[Voltage]]</f>
        <v>11</v>
      </c>
    </row>
    <row r="37" spans="1:64" s="1" customFormat="1" ht="15" hidden="1" customHeight="1" x14ac:dyDescent="0.25">
      <c r="A37" s="353" t="str">
        <f>CONCATENATE(ABY[[#This Row],[Supply Level]],ABY[[#This Row],[Station/Feeder]],ABY[[#This Row],[Voltage]])</f>
        <v>ZoneSubstationABY11</v>
      </c>
      <c r="B37" s="353" t="str">
        <f>CONCATENATE(ABY[[#This Row],[Supply Level]],ABY[[#This Row],[Station/Feeder]],ABY[[#This Row],[Equipment ID]],ABY[[#This Row],[Voltage]],ABY[[#This Row],[Device type]])</f>
        <v>ZoneSubstationABYF26811-</v>
      </c>
      <c r="C37" s="6" t="s">
        <v>1246</v>
      </c>
      <c r="D37" s="11" t="s">
        <v>79</v>
      </c>
      <c r="E37" s="46" t="s">
        <v>310</v>
      </c>
      <c r="F37" s="46" t="s">
        <v>327</v>
      </c>
      <c r="G37" s="57">
        <v>2</v>
      </c>
      <c r="H37" s="46" t="s">
        <v>325</v>
      </c>
      <c r="I37" s="46" t="s">
        <v>327</v>
      </c>
      <c r="J37" s="46" t="s">
        <v>240</v>
      </c>
      <c r="K37" s="46" t="s">
        <v>0</v>
      </c>
      <c r="L37" s="46" t="s">
        <v>0</v>
      </c>
      <c r="M37" s="57">
        <v>11</v>
      </c>
      <c r="N37" s="9">
        <v>800</v>
      </c>
      <c r="O37" s="9">
        <f t="shared" si="0"/>
        <v>15.242047106606121</v>
      </c>
      <c r="P37" s="9">
        <v>800</v>
      </c>
      <c r="Q37" s="9">
        <f t="shared" si="1"/>
        <v>15.242047106606121</v>
      </c>
      <c r="R37" s="9">
        <v>800</v>
      </c>
      <c r="S37" s="9">
        <f t="shared" si="2"/>
        <v>15.242047106606121</v>
      </c>
      <c r="T37" s="9" t="s">
        <v>0</v>
      </c>
      <c r="U37" s="9" t="str">
        <f t="shared" si="3"/>
        <v>-</v>
      </c>
      <c r="V37" s="9" t="s">
        <v>0</v>
      </c>
      <c r="W37" s="9" t="str">
        <f t="shared" si="4"/>
        <v>-</v>
      </c>
      <c r="X37" s="9" t="s">
        <v>0</v>
      </c>
      <c r="Y37" s="9" t="str">
        <f t="shared" si="5"/>
        <v>-</v>
      </c>
      <c r="Z37" s="9" t="s">
        <v>0</v>
      </c>
      <c r="AA37" s="9" t="str">
        <f t="shared" si="6"/>
        <v>-</v>
      </c>
      <c r="AB37" s="9" t="s">
        <v>0</v>
      </c>
      <c r="AC37" s="9" t="str">
        <f t="shared" si="7"/>
        <v>-</v>
      </c>
      <c r="AD37" s="9" t="s">
        <v>0</v>
      </c>
      <c r="AE37" s="12" t="str">
        <f t="shared" si="8"/>
        <v>-</v>
      </c>
      <c r="AF37" s="29" t="s">
        <v>0</v>
      </c>
      <c r="AG37" s="29" t="s">
        <v>0</v>
      </c>
      <c r="AH37" s="29" t="s">
        <v>0</v>
      </c>
      <c r="AI37" s="29" t="s">
        <v>0</v>
      </c>
      <c r="AJ37" s="32" t="s">
        <v>0</v>
      </c>
      <c r="AK37" s="29" t="s">
        <v>0</v>
      </c>
      <c r="AL37" s="32" t="s">
        <v>0</v>
      </c>
      <c r="AM37" s="29" t="s">
        <v>0</v>
      </c>
      <c r="AN37" s="32" t="s">
        <v>0</v>
      </c>
      <c r="AO37" s="29" t="s">
        <v>0</v>
      </c>
      <c r="AP37" s="29" t="s">
        <v>0</v>
      </c>
      <c r="AQ37" s="32" t="s">
        <v>0</v>
      </c>
      <c r="AR37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37" s="9" t="str">
        <f t="shared" si="9"/>
        <v>-</v>
      </c>
      <c r="AT37" s="9">
        <f>IF(RIGHT(ABY[[#This Row],[Device type]],7)="Winding","-",ABY[[#This Row],[Cont Winter MVA]])</f>
        <v>15.242047106606121</v>
      </c>
      <c r="AU37" s="9">
        <f>IF(RIGHT(ABY[[#This Row],[Device type]],7)="Winding","-",ABY[[#This Row],[Cont Shoulder MVA]])</f>
        <v>15.242047106606121</v>
      </c>
      <c r="AV37" s="9">
        <f>IF(RIGHT(ABY[[#This Row],[Device type]],7)="Winding","-",ABY[[#This Row],[Cont Summer MVA]])</f>
        <v>15.242047106606121</v>
      </c>
      <c r="AW37" s="9" t="str">
        <f>IF(RIGHT(ABY[[#This Row],[Device type]],7)="Winding","-",ABY[[#This Row],[24 Hr Winter MVA]])</f>
        <v>-</v>
      </c>
      <c r="AX37" s="9" t="str">
        <f>IF(RIGHT(ABY[[#This Row],[Device type]],7)="Winding","-",ABY[[#This Row],[24 Hr Summer MVA]])</f>
        <v>-</v>
      </c>
      <c r="AY37" s="9" t="str">
        <f>ABY[[#This Row],[Forwards MVA]]</f>
        <v>-</v>
      </c>
      <c r="AZ37" s="9" t="str">
        <f>ABY[[#This Row],[Relay MVA]]</f>
        <v>-</v>
      </c>
      <c r="BA37" s="9" t="str">
        <f>ABY[[#This Row],[CT MVA]]</f>
        <v>-</v>
      </c>
      <c r="BB37" s="9" t="str">
        <f>ABY[[#This Row],[Derating MVA]]</f>
        <v>-</v>
      </c>
      <c r="BC37" s="9" t="str">
        <f>ABY[[#This Row],[Station/Feeder]]&amp;ABY[[#This Row],[Lowest MVA]]</f>
        <v>ABY15.2420471066061</v>
      </c>
      <c r="BD37" s="9" t="str">
        <f>CONCATENATE(ABY[[#This Row],[Supply Level]],ABY[[#This Row],[Station/Feeder]],ABY[[#This Row],[Voltage]],ABY[[#This Row],[Lowest A-No PTX]])</f>
        <v>ZoneSubstationABY11800</v>
      </c>
      <c r="BE37" s="9" t="str">
        <f>CONCATENATE(ABY[[#This Row],[Supply Level]],ABY[[#This Row],[Station/Feeder]],ABY[[#This Row],[Voltage]],ABY[[#This Row],[Lowest A-PTX]])</f>
        <v>ZoneSubstationABY11800</v>
      </c>
      <c r="BF37" s="9">
        <f>IF(MIN(ABY[[#This Row],[Summ Cont Winter A]:[Cable Derating]])=0,"",MIN(ABY[[#This Row],[Summ Cont Winter A]:[Cable Derating]]))</f>
        <v>15.242047106606121</v>
      </c>
      <c r="BG37" s="57">
        <f>IFERROR(ABY[[#This Row],[Lowest MVA]]*1000/(ABY[[#This Row],[Voltage]]*SQRT(3)),"")</f>
        <v>800</v>
      </c>
      <c r="BH37" s="57">
        <f t="shared" ref="BH37:BH68" si="71">IF(MIN(N37,P37,R37,T37,V37,X37,Z37,AB37,AD37,AR37)=0,"",MIN(N37,P37,R37,T37,V37,X37,Z37,AB37,AD37,AR37))</f>
        <v>800</v>
      </c>
      <c r="BI37" s="9" t="str">
        <f>ABY[[#This Row],[From]]</f>
        <v>CB2722</v>
      </c>
      <c r="BJ37" s="9" t="str">
        <f>ABY[[#This Row],[To]]</f>
        <v>F268</v>
      </c>
      <c r="BK37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ABS-F268</v>
      </c>
      <c r="BL37" s="9">
        <f>ABY[[#This Row],[Voltage]]</f>
        <v>11</v>
      </c>
    </row>
    <row r="38" spans="1:64" s="1" customFormat="1" ht="15" hidden="1" customHeight="1" x14ac:dyDescent="0.25">
      <c r="A38" s="353" t="str">
        <f>CONCATENATE(ABY[[#This Row],[Supply Level]],ABY[[#This Row],[Station/Feeder]],ABY[[#This Row],[Voltage]])</f>
        <v>ZoneSubstationABY11</v>
      </c>
      <c r="B38" s="353" t="str">
        <f>CONCATENATE(ABY[[#This Row],[Supply Level]],ABY[[#This Row],[Station/Feeder]],ABY[[#This Row],[Equipment ID]],ABY[[#This Row],[Voltage]],ABY[[#This Row],[Device type]])</f>
        <v>ZoneSubstationABY120 mm² Cu11-</v>
      </c>
      <c r="C38" s="6" t="s">
        <v>1246</v>
      </c>
      <c r="D38" s="11" t="s">
        <v>79</v>
      </c>
      <c r="E38" s="46" t="s">
        <v>327</v>
      </c>
      <c r="F38" s="46" t="s">
        <v>328</v>
      </c>
      <c r="G38" s="57">
        <v>3</v>
      </c>
      <c r="H38" s="46" t="s">
        <v>1289</v>
      </c>
      <c r="I38" s="46" t="s">
        <v>1284</v>
      </c>
      <c r="J38" s="46" t="s">
        <v>69</v>
      </c>
      <c r="K38" s="46" t="s">
        <v>0</v>
      </c>
      <c r="L38" s="46" t="s">
        <v>0</v>
      </c>
      <c r="M38" s="57">
        <v>11</v>
      </c>
      <c r="N38" s="9">
        <v>486.32224851882188</v>
      </c>
      <c r="O38" s="9">
        <f t="shared" si="0"/>
        <v>9.2656832761431147</v>
      </c>
      <c r="P38" s="9" t="s">
        <v>0</v>
      </c>
      <c r="Q38" s="9" t="str">
        <f t="shared" si="1"/>
        <v>-</v>
      </c>
      <c r="R38" s="9">
        <v>363</v>
      </c>
      <c r="S38" s="9">
        <f t="shared" si="2"/>
        <v>6.9160788746225261</v>
      </c>
      <c r="T38" s="9" t="s">
        <v>0</v>
      </c>
      <c r="U38" s="9" t="str">
        <f t="shared" si="3"/>
        <v>-</v>
      </c>
      <c r="V38" s="9" t="s">
        <v>0</v>
      </c>
      <c r="W38" s="9" t="str">
        <f t="shared" si="4"/>
        <v>-</v>
      </c>
      <c r="X38" s="9" t="s">
        <v>0</v>
      </c>
      <c r="Y38" s="9" t="str">
        <f t="shared" si="5"/>
        <v>-</v>
      </c>
      <c r="Z38" s="9" t="s">
        <v>0</v>
      </c>
      <c r="AA38" s="9" t="str">
        <f t="shared" si="6"/>
        <v>-</v>
      </c>
      <c r="AB38" s="9" t="s">
        <v>0</v>
      </c>
      <c r="AC38" s="9" t="str">
        <f t="shared" si="7"/>
        <v>-</v>
      </c>
      <c r="AD38" s="9" t="s">
        <v>0</v>
      </c>
      <c r="AE38" s="12" t="str">
        <f t="shared" si="8"/>
        <v>-</v>
      </c>
      <c r="AF38" s="29" t="s">
        <v>0</v>
      </c>
      <c r="AG38" s="29" t="s">
        <v>0</v>
      </c>
      <c r="AH38" s="29">
        <v>2.1</v>
      </c>
      <c r="AI38" s="29" t="s">
        <v>0</v>
      </c>
      <c r="AJ38" s="32" t="s">
        <v>0</v>
      </c>
      <c r="AK38" s="29" t="s">
        <v>0</v>
      </c>
      <c r="AL38" s="32" t="s">
        <v>0</v>
      </c>
      <c r="AM38" s="29" t="s">
        <v>0</v>
      </c>
      <c r="AN38" s="32" t="s">
        <v>0</v>
      </c>
      <c r="AO38" s="29" t="s">
        <v>0</v>
      </c>
      <c r="AP38" s="29" t="s">
        <v>0</v>
      </c>
      <c r="AQ38" s="32" t="s">
        <v>0</v>
      </c>
      <c r="AR38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38" s="9" t="str">
        <f t="shared" si="9"/>
        <v>-</v>
      </c>
      <c r="AT38" s="9">
        <f>IF(RIGHT(ABY[[#This Row],[Device type]],7)="Winding","-",ABY[[#This Row],[Cont Winter MVA]])</f>
        <v>9.2656832761431147</v>
      </c>
      <c r="AU38" s="9" t="str">
        <f>IF(RIGHT(ABY[[#This Row],[Device type]],7)="Winding","-",ABY[[#This Row],[Cont Shoulder MVA]])</f>
        <v>-</v>
      </c>
      <c r="AV38" s="9">
        <f>IF(RIGHT(ABY[[#This Row],[Device type]],7)="Winding","-",ABY[[#This Row],[Cont Summer MVA]])</f>
        <v>6.9160788746225261</v>
      </c>
      <c r="AW38" s="9" t="str">
        <f>IF(RIGHT(ABY[[#This Row],[Device type]],7)="Winding","-",ABY[[#This Row],[24 Hr Winter MVA]])</f>
        <v>-</v>
      </c>
      <c r="AX38" s="9" t="str">
        <f>IF(RIGHT(ABY[[#This Row],[Device type]],7)="Winding","-",ABY[[#This Row],[24 Hr Summer MVA]])</f>
        <v>-</v>
      </c>
      <c r="AY38" s="9" t="str">
        <f>ABY[[#This Row],[Forwards MVA]]</f>
        <v>-</v>
      </c>
      <c r="AZ38" s="9" t="str">
        <f>ABY[[#This Row],[Relay MVA]]</f>
        <v>-</v>
      </c>
      <c r="BA38" s="9" t="str">
        <f>ABY[[#This Row],[CT MVA]]</f>
        <v>-</v>
      </c>
      <c r="BB38" s="9" t="str">
        <f>ABY[[#This Row],[Derating MVA]]</f>
        <v>-</v>
      </c>
      <c r="BC38" s="9" t="str">
        <f>ABY[[#This Row],[Station/Feeder]]&amp;ABY[[#This Row],[Lowest MVA]]</f>
        <v>ABY6.91607887462253</v>
      </c>
      <c r="BD38" s="9" t="str">
        <f>CONCATENATE(ABY[[#This Row],[Supply Level]],ABY[[#This Row],[Station/Feeder]],ABY[[#This Row],[Voltage]],ABY[[#This Row],[Lowest A-No PTX]])</f>
        <v>ZoneSubstationABY11363</v>
      </c>
      <c r="BE38" s="9" t="str">
        <f>CONCATENATE(ABY[[#This Row],[Supply Level]],ABY[[#This Row],[Station/Feeder]],ABY[[#This Row],[Voltage]],ABY[[#This Row],[Lowest A-PTX]])</f>
        <v>ZoneSubstationABY11363</v>
      </c>
      <c r="BF38" s="9">
        <f>IF(MIN(ABY[[#This Row],[Summ Cont Winter A]:[Cable Derating]])=0,"",MIN(ABY[[#This Row],[Summ Cont Winter A]:[Cable Derating]]))</f>
        <v>6.9160788746225261</v>
      </c>
      <c r="BG38" s="57">
        <f>IFERROR(ABY[[#This Row],[Lowest MVA]]*1000/(ABY[[#This Row],[Voltage]]*SQRT(3)),"")</f>
        <v>362.99999999999994</v>
      </c>
      <c r="BH38" s="57">
        <f t="shared" si="71"/>
        <v>363</v>
      </c>
      <c r="BI38" s="9" t="str">
        <f>ABY[[#This Row],[From]]</f>
        <v>F268</v>
      </c>
      <c r="BJ38" s="9" t="str">
        <f>ABY[[#This Row],[To]]</f>
        <v>C251</v>
      </c>
      <c r="BK38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Line-120 mm² Cu</v>
      </c>
      <c r="BL38" s="9">
        <f>ABY[[#This Row],[Voltage]]</f>
        <v>11</v>
      </c>
    </row>
    <row r="39" spans="1:64" s="1" customFormat="1" ht="15" hidden="1" customHeight="1" x14ac:dyDescent="0.25">
      <c r="A39" s="353" t="str">
        <f>CONCATENATE(ABY[[#This Row],[Supply Level]],ABY[[#This Row],[Station/Feeder]],ABY[[#This Row],[Voltage]])</f>
        <v>ZoneSubstationABY11</v>
      </c>
      <c r="B39" s="353" t="str">
        <f>CONCATENATE(ABY[[#This Row],[Supply Level]],ABY[[#This Row],[Station/Feeder]],ABY[[#This Row],[Equipment ID]],ABY[[#This Row],[Voltage]],ABY[[#This Row],[Device type]])</f>
        <v>ZoneSubstationABYC25111LV Winding</v>
      </c>
      <c r="C39" s="6" t="s">
        <v>1246</v>
      </c>
      <c r="D39" s="11" t="s">
        <v>79</v>
      </c>
      <c r="E39" s="46" t="s">
        <v>327</v>
      </c>
      <c r="F39" s="46" t="s">
        <v>328</v>
      </c>
      <c r="G39" s="57">
        <v>4</v>
      </c>
      <c r="H39" s="46" t="s">
        <v>275</v>
      </c>
      <c r="I39" s="46" t="s">
        <v>328</v>
      </c>
      <c r="J39" s="46" t="s">
        <v>19</v>
      </c>
      <c r="K39" s="46" t="s">
        <v>0</v>
      </c>
      <c r="L39" s="46" t="s">
        <v>37</v>
      </c>
      <c r="M39" s="57">
        <v>11</v>
      </c>
      <c r="N39" s="9">
        <v>393.6</v>
      </c>
      <c r="O39" s="9">
        <f t="shared" si="0"/>
        <v>7.4990871764502121</v>
      </c>
      <c r="P39" s="9">
        <v>393.6</v>
      </c>
      <c r="Q39" s="9">
        <f t="shared" si="1"/>
        <v>7.4990871764502121</v>
      </c>
      <c r="R39" s="9">
        <v>393.6</v>
      </c>
      <c r="S39" s="9">
        <f t="shared" si="2"/>
        <v>7.4990871764502121</v>
      </c>
      <c r="T39" s="9" t="s">
        <v>0</v>
      </c>
      <c r="U39" s="9" t="str">
        <f t="shared" si="3"/>
        <v>-</v>
      </c>
      <c r="V39" s="9" t="s">
        <v>0</v>
      </c>
      <c r="W39" s="9" t="str">
        <f t="shared" si="4"/>
        <v>-</v>
      </c>
      <c r="X39" s="9" t="s">
        <v>0</v>
      </c>
      <c r="Y39" s="9" t="str">
        <f t="shared" si="5"/>
        <v>-</v>
      </c>
      <c r="Z39" s="9" t="s">
        <v>0</v>
      </c>
      <c r="AA39" s="9" t="str">
        <f t="shared" si="6"/>
        <v>-</v>
      </c>
      <c r="AB39" s="9" t="s">
        <v>0</v>
      </c>
      <c r="AC39" s="9" t="str">
        <f t="shared" si="7"/>
        <v>-</v>
      </c>
      <c r="AD39" s="9" t="s">
        <v>0</v>
      </c>
      <c r="AE39" s="12" t="str">
        <f t="shared" si="8"/>
        <v>-</v>
      </c>
      <c r="AF39" s="29" t="s">
        <v>0</v>
      </c>
      <c r="AG39" s="29" t="s">
        <v>0</v>
      </c>
      <c r="AH39" s="29" t="s">
        <v>0</v>
      </c>
      <c r="AI39" s="29" t="s">
        <v>0</v>
      </c>
      <c r="AJ39" s="32" t="s">
        <v>0</v>
      </c>
      <c r="AK39" s="29" t="s">
        <v>0</v>
      </c>
      <c r="AL39" s="32" t="s">
        <v>0</v>
      </c>
      <c r="AM39" s="29" t="s">
        <v>0</v>
      </c>
      <c r="AN39" s="32" t="s">
        <v>0</v>
      </c>
      <c r="AO39" s="29" t="s">
        <v>0</v>
      </c>
      <c r="AP39" s="29" t="s">
        <v>0</v>
      </c>
      <c r="AQ39" s="32" t="s">
        <v>0</v>
      </c>
      <c r="AR39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39" s="9" t="str">
        <f t="shared" si="9"/>
        <v>-</v>
      </c>
      <c r="AT39" s="9" t="str">
        <f>IF(RIGHT(ABY[[#This Row],[Device type]],7)="Winding","-",ABY[[#This Row],[Cont Winter MVA]])</f>
        <v>-</v>
      </c>
      <c r="AU39" s="9" t="str">
        <f>IF(RIGHT(ABY[[#This Row],[Device type]],7)="Winding","-",ABY[[#This Row],[Cont Shoulder MVA]])</f>
        <v>-</v>
      </c>
      <c r="AV39" s="9" t="str">
        <f>IF(RIGHT(ABY[[#This Row],[Device type]],7)="Winding","-",ABY[[#This Row],[Cont Summer MVA]])</f>
        <v>-</v>
      </c>
      <c r="AW39" s="9" t="str">
        <f>IF(RIGHT(ABY[[#This Row],[Device type]],7)="Winding","-",ABY[[#This Row],[24 Hr Winter MVA]])</f>
        <v>-</v>
      </c>
      <c r="AX39" s="9" t="str">
        <f>IF(RIGHT(ABY[[#This Row],[Device type]],7)="Winding","-",ABY[[#This Row],[24 Hr Summer MVA]])</f>
        <v>-</v>
      </c>
      <c r="AY39" s="9" t="str">
        <f>ABY[[#This Row],[Forwards MVA]]</f>
        <v>-</v>
      </c>
      <c r="AZ39" s="9" t="str">
        <f>ABY[[#This Row],[Relay MVA]]</f>
        <v>-</v>
      </c>
      <c r="BA39" s="9" t="str">
        <f>ABY[[#This Row],[CT MVA]]</f>
        <v>-</v>
      </c>
      <c r="BB39" s="9" t="str">
        <f>ABY[[#This Row],[Derating MVA]]</f>
        <v>-</v>
      </c>
      <c r="BC39" s="9" t="str">
        <f>ABY[[#This Row],[Station/Feeder]]&amp;ABY[[#This Row],[Lowest MVA]]</f>
        <v>ABY</v>
      </c>
      <c r="BD39" s="9" t="str">
        <f>CONCATENATE(ABY[[#This Row],[Supply Level]],ABY[[#This Row],[Station/Feeder]],ABY[[#This Row],[Voltage]],ABY[[#This Row],[Lowest A-No PTX]])</f>
        <v>ZoneSubstationABY11</v>
      </c>
      <c r="BE39" s="9" t="str">
        <f>CONCATENATE(ABY[[#This Row],[Supply Level]],ABY[[#This Row],[Station/Feeder]],ABY[[#This Row],[Voltage]],ABY[[#This Row],[Lowest A-PTX]])</f>
        <v>ZoneSubstationABY11393.6</v>
      </c>
      <c r="BF39" s="9" t="str">
        <f>IF(MIN(ABY[[#This Row],[Summ Cont Winter A]:[Cable Derating]])=0,"",MIN(ABY[[#This Row],[Summ Cont Winter A]:[Cable Derating]]))</f>
        <v/>
      </c>
      <c r="BG39" s="57" t="str">
        <f>IFERROR(ABY[[#This Row],[Lowest MVA]]*1000/(ABY[[#This Row],[Voltage]]*SQRT(3)),"")</f>
        <v/>
      </c>
      <c r="BH39" s="57">
        <f t="shared" si="71"/>
        <v>393.6</v>
      </c>
      <c r="BI39" s="9" t="str">
        <f>ABY[[#This Row],[From]]</f>
        <v>F268</v>
      </c>
      <c r="BJ39" s="9" t="str">
        <f>ABY[[#This Row],[To]]</f>
        <v>C251</v>
      </c>
      <c r="BK39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Transformer-C251-LV Winding</v>
      </c>
      <c r="BL39" s="9">
        <f>ABY[[#This Row],[Voltage]]</f>
        <v>11</v>
      </c>
    </row>
    <row r="40" spans="1:64" s="1" customFormat="1" ht="15" hidden="1" customHeight="1" x14ac:dyDescent="0.25">
      <c r="A40" s="353" t="str">
        <f>CONCATENATE(ABY[[#This Row],[Supply Level]],ABY[[#This Row],[Station/Feeder]],ABY[[#This Row],[Voltage]])</f>
        <v>ZoneSubstationABY33</v>
      </c>
      <c r="B40" s="353" t="str">
        <f>CONCATENATE(ABY[[#This Row],[Supply Level]],ABY[[#This Row],[Station/Feeder]],ABY[[#This Row],[Equipment ID]],ABY[[#This Row],[Voltage]],ABY[[#This Row],[Device type]])</f>
        <v>ZoneSubstationABYC25133HV Winding</v>
      </c>
      <c r="C40" s="6" t="s">
        <v>1246</v>
      </c>
      <c r="D40" s="11" t="s">
        <v>79</v>
      </c>
      <c r="E40" s="46" t="s">
        <v>327</v>
      </c>
      <c r="F40" s="46" t="s">
        <v>328</v>
      </c>
      <c r="G40" s="57">
        <v>5</v>
      </c>
      <c r="H40" s="46" t="s">
        <v>275</v>
      </c>
      <c r="I40" s="46" t="s">
        <v>328</v>
      </c>
      <c r="J40" s="46" t="s">
        <v>19</v>
      </c>
      <c r="K40" s="46" t="s">
        <v>0</v>
      </c>
      <c r="L40" s="46" t="s">
        <v>36</v>
      </c>
      <c r="M40" s="57">
        <v>33</v>
      </c>
      <c r="N40" s="9">
        <v>131.19999999999999</v>
      </c>
      <c r="O40" s="9">
        <f>IF(OR(N40="",N40="-"),"-",N40*$M40*SQRT(3)/1000)</f>
        <v>7.4990871764502103</v>
      </c>
      <c r="P40" s="9">
        <v>131.19999999999999</v>
      </c>
      <c r="Q40" s="9">
        <f>IF(OR(P40="",P40="-"),"-",P40*$M40*SQRT(3)/1000)</f>
        <v>7.4990871764502103</v>
      </c>
      <c r="R40" s="9">
        <v>131.19999999999999</v>
      </c>
      <c r="S40" s="9">
        <f>IF(OR(R40="",R40="-"),"-",R40*$M40*SQRT(3)/1000)</f>
        <v>7.4990871764502103</v>
      </c>
      <c r="T40" s="9" t="s">
        <v>0</v>
      </c>
      <c r="U40" s="9" t="str">
        <f>IF(OR(T40="",T40="-"),"-",T40*$M40*SQRT(3)/1000)</f>
        <v>-</v>
      </c>
      <c r="V40" s="9" t="s">
        <v>0</v>
      </c>
      <c r="W40" s="9" t="str">
        <f>IF(OR(V40="",V40="-"),"-",V40*$M40*SQRT(3)/1000)</f>
        <v>-</v>
      </c>
      <c r="X40" s="9" t="s">
        <v>0</v>
      </c>
      <c r="Y40" s="9" t="str">
        <f>IF(OR(X40="",X40="-"),"-",X40*$M40*SQRT(3)/1000)</f>
        <v>-</v>
      </c>
      <c r="Z40" s="9" t="s">
        <v>0</v>
      </c>
      <c r="AA40" s="9" t="str">
        <f>IF(OR(Z40="",Z40="-"),"-",Z40*$M40*SQRT(3)/1000)</f>
        <v>-</v>
      </c>
      <c r="AB40" s="9" t="s">
        <v>0</v>
      </c>
      <c r="AC40" s="9" t="str">
        <f>IF(OR(AB40="",AB40="-"),"-",AB40*$M40*SQRT(3)/1000)</f>
        <v>-</v>
      </c>
      <c r="AD40" s="9" t="s">
        <v>0</v>
      </c>
      <c r="AE40" s="12" t="str">
        <f>IF(OR(AD40="",AD40="-"),"-",AD40*$M40*SQRT(3)/1000)</f>
        <v>-</v>
      </c>
      <c r="AF40" s="29" t="s">
        <v>0</v>
      </c>
      <c r="AG40" s="29" t="s">
        <v>0</v>
      </c>
      <c r="AH40" s="29" t="s">
        <v>0</v>
      </c>
      <c r="AI40" s="29" t="s">
        <v>0</v>
      </c>
      <c r="AJ40" s="32" t="s">
        <v>0</v>
      </c>
      <c r="AK40" s="29" t="s">
        <v>0</v>
      </c>
      <c r="AL40" s="32" t="s">
        <v>0</v>
      </c>
      <c r="AM40" s="29" t="s">
        <v>0</v>
      </c>
      <c r="AN40" s="32" t="s">
        <v>0</v>
      </c>
      <c r="AO40" s="29" t="s">
        <v>0</v>
      </c>
      <c r="AP40" s="29" t="s">
        <v>0</v>
      </c>
      <c r="AQ40" s="32" t="s">
        <v>0</v>
      </c>
      <c r="AR40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40" s="9" t="str">
        <f>IF(OR(AR40="",AR40="-"),"-",AR40*$M40*SQRT(3)/1000)</f>
        <v>-</v>
      </c>
      <c r="AT40" s="9" t="str">
        <f>IF(RIGHT(ABY[[#This Row],[Device type]],7)="Winding","-",ABY[[#This Row],[Cont Winter MVA]])</f>
        <v>-</v>
      </c>
      <c r="AU40" s="9" t="str">
        <f>IF(RIGHT(ABY[[#This Row],[Device type]],7)="Winding","-",ABY[[#This Row],[Cont Shoulder MVA]])</f>
        <v>-</v>
      </c>
      <c r="AV40" s="9" t="str">
        <f>IF(RIGHT(ABY[[#This Row],[Device type]],7)="Winding","-",ABY[[#This Row],[Cont Summer MVA]])</f>
        <v>-</v>
      </c>
      <c r="AW40" s="9" t="str">
        <f>IF(RIGHT(ABY[[#This Row],[Device type]],7)="Winding","-",ABY[[#This Row],[24 Hr Winter MVA]])</f>
        <v>-</v>
      </c>
      <c r="AX40" s="9" t="str">
        <f>IF(RIGHT(ABY[[#This Row],[Device type]],7)="Winding","-",ABY[[#This Row],[24 Hr Summer MVA]])</f>
        <v>-</v>
      </c>
      <c r="AY40" s="9" t="str">
        <f>ABY[[#This Row],[Forwards MVA]]</f>
        <v>-</v>
      </c>
      <c r="AZ40" s="9" t="str">
        <f>ABY[[#This Row],[Relay MVA]]</f>
        <v>-</v>
      </c>
      <c r="BA40" s="9" t="str">
        <f>ABY[[#This Row],[CT MVA]]</f>
        <v>-</v>
      </c>
      <c r="BB40" s="9" t="str">
        <f>ABY[[#This Row],[Derating MVA]]</f>
        <v>-</v>
      </c>
      <c r="BC40" s="9" t="str">
        <f>ABY[[#This Row],[Station/Feeder]]&amp;ABY[[#This Row],[Lowest MVA]]</f>
        <v>ABY</v>
      </c>
      <c r="BD40" s="9" t="str">
        <f>CONCATENATE(ABY[[#This Row],[Supply Level]],ABY[[#This Row],[Station/Feeder]],ABY[[#This Row],[Voltage]],ABY[[#This Row],[Lowest A-No PTX]])</f>
        <v>ZoneSubstationABY33</v>
      </c>
      <c r="BE40" s="9" t="str">
        <f>CONCATENATE(ABY[[#This Row],[Supply Level]],ABY[[#This Row],[Station/Feeder]],ABY[[#This Row],[Voltage]],ABY[[#This Row],[Lowest A-PTX]])</f>
        <v>ZoneSubstationABY33131.2</v>
      </c>
      <c r="BF40" s="9" t="str">
        <f>IF(MIN(ABY[[#This Row],[Summ Cont Winter A]:[Cable Derating]])=0,"",MIN(ABY[[#This Row],[Summ Cont Winter A]:[Cable Derating]]))</f>
        <v/>
      </c>
      <c r="BG40" s="57" t="str">
        <f>IFERROR(ABY[[#This Row],[Lowest MVA]]*1000/(ABY[[#This Row],[Voltage]]*SQRT(3)),"")</f>
        <v/>
      </c>
      <c r="BH40" s="57">
        <f t="shared" si="71"/>
        <v>131.19999999999999</v>
      </c>
      <c r="BI40" s="9" t="str">
        <f>ABY[[#This Row],[From]]</f>
        <v>F268</v>
      </c>
      <c r="BJ40" s="9" t="str">
        <f>ABY[[#This Row],[To]]</f>
        <v>C251</v>
      </c>
      <c r="BK40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Transformer-C251-HV Winding</v>
      </c>
      <c r="BL40" s="9">
        <f>ABY[[#This Row],[Voltage]]</f>
        <v>33</v>
      </c>
    </row>
    <row r="41" spans="1:64" s="1" customFormat="1" ht="15" hidden="1" customHeight="1" x14ac:dyDescent="0.25">
      <c r="A41" s="353" t="str">
        <f>CONCATENATE(ABY[[#This Row],[Supply Level]],ABY[[#This Row],[Station/Feeder]],ABY[[#This Row],[Voltage]])</f>
        <v>ZoneSubstationABY33</v>
      </c>
      <c r="B41" s="353" t="str">
        <f>CONCATENATE(ABY[[#This Row],[Supply Level]],ABY[[#This Row],[Station/Feeder]],ABY[[#This Row],[Equipment ID]],ABY[[#This Row],[Voltage]],ABY[[#This Row],[Device type]])</f>
        <v>ZoneSubstationABYIODINE33-</v>
      </c>
      <c r="C41" s="6" t="s">
        <v>1246</v>
      </c>
      <c r="D41" s="11" t="s">
        <v>79</v>
      </c>
      <c r="E41" s="46" t="s">
        <v>328</v>
      </c>
      <c r="F41" s="46" t="s">
        <v>330</v>
      </c>
      <c r="G41" s="57">
        <v>6</v>
      </c>
      <c r="H41" s="46" t="s">
        <v>1289</v>
      </c>
      <c r="I41" s="46" t="s">
        <v>329</v>
      </c>
      <c r="J41" s="46" t="s">
        <v>69</v>
      </c>
      <c r="K41" s="46" t="s">
        <v>0</v>
      </c>
      <c r="L41" s="46" t="s">
        <v>0</v>
      </c>
      <c r="M41" s="57">
        <v>33</v>
      </c>
      <c r="N41" s="9">
        <v>368.60397632070425</v>
      </c>
      <c r="O41" s="16">
        <f t="shared" si="0"/>
        <v>21.068546890359379</v>
      </c>
      <c r="P41" s="9" t="s">
        <v>0</v>
      </c>
      <c r="Q41" s="16" t="str">
        <f t="shared" si="1"/>
        <v>-</v>
      </c>
      <c r="R41" s="9">
        <v>275.38648791159613</v>
      </c>
      <c r="S41" s="16">
        <f t="shared" si="2"/>
        <v>15.740451829767617</v>
      </c>
      <c r="T41" s="9" t="s">
        <v>0</v>
      </c>
      <c r="U41" s="16" t="str">
        <f t="shared" si="3"/>
        <v>-</v>
      </c>
      <c r="V41" s="9" t="s">
        <v>0</v>
      </c>
      <c r="W41" s="16" t="str">
        <f t="shared" si="4"/>
        <v>-</v>
      </c>
      <c r="X41" s="9" t="s">
        <v>0</v>
      </c>
      <c r="Y41" s="16" t="str">
        <f t="shared" si="5"/>
        <v>-</v>
      </c>
      <c r="Z41" s="9" t="s">
        <v>0</v>
      </c>
      <c r="AA41" s="16" t="str">
        <f t="shared" si="6"/>
        <v>-</v>
      </c>
      <c r="AB41" s="9" t="s">
        <v>0</v>
      </c>
      <c r="AC41" s="16" t="str">
        <f t="shared" si="7"/>
        <v>-</v>
      </c>
      <c r="AD41" s="9" t="s">
        <v>0</v>
      </c>
      <c r="AE41" s="17" t="str">
        <f t="shared" si="8"/>
        <v>-</v>
      </c>
      <c r="AF41" s="29" t="s">
        <v>0</v>
      </c>
      <c r="AG41" s="29" t="s">
        <v>0</v>
      </c>
      <c r="AH41" s="29">
        <v>9.1</v>
      </c>
      <c r="AI41" s="29" t="s">
        <v>0</v>
      </c>
      <c r="AJ41" s="32" t="s">
        <v>0</v>
      </c>
      <c r="AK41" s="29" t="s">
        <v>0</v>
      </c>
      <c r="AL41" s="32" t="s">
        <v>0</v>
      </c>
      <c r="AM41" s="29" t="s">
        <v>0</v>
      </c>
      <c r="AN41" s="32" t="s">
        <v>0</v>
      </c>
      <c r="AO41" s="29" t="s">
        <v>0</v>
      </c>
      <c r="AP41" s="29" t="s">
        <v>0</v>
      </c>
      <c r="AQ41" s="32" t="s">
        <v>0</v>
      </c>
      <c r="AR41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41" s="9" t="str">
        <f t="shared" si="9"/>
        <v>-</v>
      </c>
      <c r="AT41" s="9">
        <f>IF(RIGHT(ABY[[#This Row],[Device type]],7)="Winding","-",ABY[[#This Row],[Cont Winter MVA]])</f>
        <v>21.068546890359379</v>
      </c>
      <c r="AU41" s="9" t="str">
        <f>IF(RIGHT(ABY[[#This Row],[Device type]],7)="Winding","-",ABY[[#This Row],[Cont Shoulder MVA]])</f>
        <v>-</v>
      </c>
      <c r="AV41" s="9">
        <f>IF(RIGHT(ABY[[#This Row],[Device type]],7)="Winding","-",ABY[[#This Row],[Cont Summer MVA]])</f>
        <v>15.740451829767617</v>
      </c>
      <c r="AW41" s="9" t="str">
        <f>IF(RIGHT(ABY[[#This Row],[Device type]],7)="Winding","-",ABY[[#This Row],[24 Hr Winter MVA]])</f>
        <v>-</v>
      </c>
      <c r="AX41" s="9" t="str">
        <f>IF(RIGHT(ABY[[#This Row],[Device type]],7)="Winding","-",ABY[[#This Row],[24 Hr Summer MVA]])</f>
        <v>-</v>
      </c>
      <c r="AY41" s="9" t="str">
        <f>ABY[[#This Row],[Forwards MVA]]</f>
        <v>-</v>
      </c>
      <c r="AZ41" s="9" t="str">
        <f>ABY[[#This Row],[Relay MVA]]</f>
        <v>-</v>
      </c>
      <c r="BA41" s="9" t="str">
        <f>ABY[[#This Row],[CT MVA]]</f>
        <v>-</v>
      </c>
      <c r="BB41" s="9" t="str">
        <f>ABY[[#This Row],[Derating MVA]]</f>
        <v>-</v>
      </c>
      <c r="BC41" s="9" t="str">
        <f>ABY[[#This Row],[Station/Feeder]]&amp;ABY[[#This Row],[Lowest MVA]]</f>
        <v>ABY15.7404518297676</v>
      </c>
      <c r="BD41" s="9" t="str">
        <f>CONCATENATE(ABY[[#This Row],[Supply Level]],ABY[[#This Row],[Station/Feeder]],ABY[[#This Row],[Voltage]],ABY[[#This Row],[Lowest A-No PTX]])</f>
        <v>ZoneSubstationABY33275.386487911596</v>
      </c>
      <c r="BE41" s="9" t="str">
        <f>CONCATENATE(ABY[[#This Row],[Supply Level]],ABY[[#This Row],[Station/Feeder]],ABY[[#This Row],[Voltage]],ABY[[#This Row],[Lowest A-PTX]])</f>
        <v>ZoneSubstationABY33275.386487911596</v>
      </c>
      <c r="BF41" s="9">
        <f>IF(MIN(ABY[[#This Row],[Summ Cont Winter A]:[Cable Derating]])=0,"",MIN(ABY[[#This Row],[Summ Cont Winter A]:[Cable Derating]]))</f>
        <v>15.740451829767617</v>
      </c>
      <c r="BG41" s="57">
        <f>IFERROR(ABY[[#This Row],[Lowest MVA]]*1000/(ABY[[#This Row],[Voltage]]*SQRT(3)),"")</f>
        <v>275.38648791159613</v>
      </c>
      <c r="BH41" s="57">
        <f t="shared" si="71"/>
        <v>275.38648791159613</v>
      </c>
      <c r="BI41" s="9" t="str">
        <f>ABY[[#This Row],[From]]</f>
        <v>C251</v>
      </c>
      <c r="BJ41" s="9" t="str">
        <f>ABY[[#This Row],[To]]</f>
        <v>CB4242</v>
      </c>
      <c r="BK41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Line-IODINE</v>
      </c>
      <c r="BL41" s="9">
        <f>ABY[[#This Row],[Voltage]]</f>
        <v>33</v>
      </c>
    </row>
    <row r="42" spans="1:64" s="1" customFormat="1" ht="15" customHeight="1" x14ac:dyDescent="0.25">
      <c r="A42" s="353" t="str">
        <f>CONCATENATE(ABY[[#This Row],[Supply Level]],ABY[[#This Row],[Station/Feeder]],ABY[[#This Row],[Voltage]])</f>
        <v>SubTransmissionCB2722_Fairlie33</v>
      </c>
      <c r="B42" s="353" t="str">
        <f>CONCATENATE(ABY[[#This Row],[Supply Level]],ABY[[#This Row],[Station/Feeder]],ABY[[#This Row],[Equipment ID]],ABY[[#This Row],[Voltage]],ABY[[#This Row],[Device type]])</f>
        <v>SubTransmissionCB2722_FairlieABY-CB424233Protection</v>
      </c>
      <c r="C42" s="6" t="s">
        <v>1245</v>
      </c>
      <c r="D42" s="11" t="s">
        <v>90</v>
      </c>
      <c r="E42" s="46" t="s">
        <v>328</v>
      </c>
      <c r="F42" s="46" t="s">
        <v>330</v>
      </c>
      <c r="G42" s="57">
        <v>7</v>
      </c>
      <c r="H42" s="46" t="s">
        <v>274</v>
      </c>
      <c r="I42" s="333" t="s">
        <v>2213</v>
      </c>
      <c r="J42" s="46" t="s">
        <v>15</v>
      </c>
      <c r="K42" s="46" t="s">
        <v>792</v>
      </c>
      <c r="L42" s="46" t="s">
        <v>1423</v>
      </c>
      <c r="M42" s="57">
        <v>33</v>
      </c>
      <c r="N42" s="9">
        <v>368.60397632070425</v>
      </c>
      <c r="O42" s="9">
        <f t="shared" si="0"/>
        <v>21.068546890359379</v>
      </c>
      <c r="P42" s="9">
        <v>2000</v>
      </c>
      <c r="Q42" s="9">
        <f t="shared" si="1"/>
        <v>114.31535329954589</v>
      </c>
      <c r="R42" s="9">
        <v>275.38648791159613</v>
      </c>
      <c r="S42" s="9">
        <f t="shared" si="2"/>
        <v>15.740451829767617</v>
      </c>
      <c r="T42" s="9" t="s">
        <v>0</v>
      </c>
      <c r="U42" s="9" t="str">
        <f t="shared" si="3"/>
        <v>-</v>
      </c>
      <c r="V42" s="9" t="s">
        <v>0</v>
      </c>
      <c r="W42" s="9" t="str">
        <f t="shared" si="4"/>
        <v>-</v>
      </c>
      <c r="X42" s="9">
        <f>VLOOKUP(ABY[[#This Row],[Equipment ID]],AEL_Protection_Data[#All],12,0)</f>
        <v>150</v>
      </c>
      <c r="Y42" s="9">
        <f t="shared" si="5"/>
        <v>8.5736514974659421</v>
      </c>
      <c r="Z42" s="9" t="s">
        <v>0</v>
      </c>
      <c r="AA42" s="9" t="str">
        <f t="shared" si="6"/>
        <v>-</v>
      </c>
      <c r="AB42" s="9" t="s">
        <v>0</v>
      </c>
      <c r="AC42" s="9" t="str">
        <f t="shared" si="7"/>
        <v>-</v>
      </c>
      <c r="AD42" s="9">
        <v>500</v>
      </c>
      <c r="AE42" s="12">
        <f t="shared" si="8"/>
        <v>28.578838324886473</v>
      </c>
      <c r="AF42" s="29" t="s">
        <v>0</v>
      </c>
      <c r="AG42" s="29" t="s">
        <v>0</v>
      </c>
      <c r="AH42" s="29" t="s">
        <v>0</v>
      </c>
      <c r="AI42" s="29" t="s">
        <v>0</v>
      </c>
      <c r="AJ42" s="32" t="s">
        <v>0</v>
      </c>
      <c r="AK42" s="29" t="s">
        <v>0</v>
      </c>
      <c r="AL42" s="32" t="s">
        <v>0</v>
      </c>
      <c r="AM42" s="29" t="s">
        <v>0</v>
      </c>
      <c r="AN42" s="32" t="s">
        <v>0</v>
      </c>
      <c r="AO42" s="29" t="s">
        <v>0</v>
      </c>
      <c r="AP42" s="29" t="s">
        <v>0</v>
      </c>
      <c r="AQ42" s="32" t="s">
        <v>0</v>
      </c>
      <c r="AR42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42" s="9" t="str">
        <f t="shared" si="9"/>
        <v>-</v>
      </c>
      <c r="AT42" s="9">
        <f>IF(RIGHT(ABY[[#This Row],[Device type]],7)="Winding","-",ABY[[#This Row],[Cont Winter MVA]])</f>
        <v>21.068546890359379</v>
      </c>
      <c r="AU42" s="9">
        <f>IF(RIGHT(ABY[[#This Row],[Device type]],7)="Winding","-",ABY[[#This Row],[Cont Shoulder MVA]])</f>
        <v>114.31535329954589</v>
      </c>
      <c r="AV42" s="9">
        <f>IF(RIGHT(ABY[[#This Row],[Device type]],7)="Winding","-",ABY[[#This Row],[Cont Summer MVA]])</f>
        <v>15.740451829767617</v>
      </c>
      <c r="AW42" s="9" t="str">
        <f>IF(RIGHT(ABY[[#This Row],[Device type]],7)="Winding","-",ABY[[#This Row],[24 Hr Winter MVA]])</f>
        <v>-</v>
      </c>
      <c r="AX42" s="9" t="str">
        <f>IF(RIGHT(ABY[[#This Row],[Device type]],7)="Winding","-",ABY[[#This Row],[24 Hr Summer MVA]])</f>
        <v>-</v>
      </c>
      <c r="AY42" s="9">
        <f>ABY[[#This Row],[Forwards MVA]]</f>
        <v>8.5736514974659421</v>
      </c>
      <c r="AZ42" s="9" t="str">
        <f>ABY[[#This Row],[Relay MVA]]</f>
        <v>-</v>
      </c>
      <c r="BA42" s="9">
        <f>ABY[[#This Row],[CT MVA]]</f>
        <v>28.578838324886473</v>
      </c>
      <c r="BB42" s="9" t="str">
        <f>ABY[[#This Row],[Derating MVA]]</f>
        <v>-</v>
      </c>
      <c r="BC42" s="9" t="str">
        <f>ABY[[#This Row],[Station/Feeder]]&amp;ABY[[#This Row],[Lowest MVA]]</f>
        <v>CB2722_Fairlie8.57365149746594</v>
      </c>
      <c r="BD42" s="9" t="str">
        <f>CONCATENATE(ABY[[#This Row],[Supply Level]],ABY[[#This Row],[Station/Feeder]],ABY[[#This Row],[Voltage]],ABY[[#This Row],[Lowest A-No PTX]])</f>
        <v>SubTransmissionCB2722_Fairlie33150</v>
      </c>
      <c r="BE42" s="9" t="str">
        <f>CONCATENATE(ABY[[#This Row],[Supply Level]],ABY[[#This Row],[Station/Feeder]],ABY[[#This Row],[Voltage]],ABY[[#This Row],[Lowest A-PTX]])</f>
        <v>SubTransmissionCB2722_Fairlie33150</v>
      </c>
      <c r="BF42" s="9">
        <f>IF(MIN(ABY[[#This Row],[Summ Cont Winter A]:[Cable Derating]])=0,"",MIN(ABY[[#This Row],[Summ Cont Winter A]:[Cable Derating]]))</f>
        <v>8.5736514974659421</v>
      </c>
      <c r="BG42" s="57">
        <f>IFERROR(ABY[[#This Row],[Lowest MVA]]*1000/(ABY[[#This Row],[Voltage]]*SQRT(3)),"")</f>
        <v>150</v>
      </c>
      <c r="BH42" s="57">
        <f t="shared" si="71"/>
        <v>150</v>
      </c>
      <c r="BI42" s="9" t="str">
        <f>ABY[[#This Row],[From]]</f>
        <v>C251</v>
      </c>
      <c r="BJ42" s="9" t="str">
        <f>ABY[[#This Row],[To]]</f>
        <v>CB4242</v>
      </c>
      <c r="BK42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Circuit Breaker-ABY-CB4242-Protection</v>
      </c>
      <c r="BL42" s="9">
        <f>ABY[[#This Row],[Voltage]]</f>
        <v>33</v>
      </c>
    </row>
    <row r="43" spans="1:64" s="1" customFormat="1" ht="15" hidden="1" customHeight="1" x14ac:dyDescent="0.25">
      <c r="A43" s="353" t="str">
        <f>CONCATENATE(ABY[[#This Row],[Supply Level]],ABY[[#This Row],[Station/Feeder]],ABY[[#This Row],[Voltage]])</f>
        <v>ZoneSubstationABY33</v>
      </c>
      <c r="B43" s="353" t="str">
        <f>CONCATENATE(ABY[[#This Row],[Supply Level]],ABY[[#This Row],[Station/Feeder]],ABY[[#This Row],[Equipment ID]],ABY[[#This Row],[Voltage]],ABY[[#This Row],[Device type]])</f>
        <v>ZoneSubstationABYIODINE33-</v>
      </c>
      <c r="C43" s="6" t="s">
        <v>1246</v>
      </c>
      <c r="D43" s="11" t="s">
        <v>79</v>
      </c>
      <c r="E43" s="46" t="s">
        <v>330</v>
      </c>
      <c r="F43" s="46" t="s">
        <v>331</v>
      </c>
      <c r="G43" s="57">
        <v>8</v>
      </c>
      <c r="H43" s="46" t="s">
        <v>1289</v>
      </c>
      <c r="I43" s="46" t="s">
        <v>329</v>
      </c>
      <c r="J43" s="46" t="s">
        <v>69</v>
      </c>
      <c r="K43" s="46" t="s">
        <v>0</v>
      </c>
      <c r="L43" s="46" t="s">
        <v>0</v>
      </c>
      <c r="M43" s="57">
        <v>33</v>
      </c>
      <c r="N43" s="9">
        <v>368.60397632070425</v>
      </c>
      <c r="O43" s="16">
        <f t="shared" ref="O43" si="72">IF(OR(N43="",N43="-"),"-",N43*$M43*SQRT(3)/1000)</f>
        <v>21.068546890359379</v>
      </c>
      <c r="P43" s="9" t="s">
        <v>0</v>
      </c>
      <c r="Q43" s="16" t="str">
        <f t="shared" ref="Q43" si="73">IF(OR(P43="",P43="-"),"-",P43*$M43*SQRT(3)/1000)</f>
        <v>-</v>
      </c>
      <c r="R43" s="9">
        <v>275.38648791159613</v>
      </c>
      <c r="S43" s="16">
        <f t="shared" ref="S43" si="74">IF(OR(R43="",R43="-"),"-",R43*$M43*SQRT(3)/1000)</f>
        <v>15.740451829767617</v>
      </c>
      <c r="T43" s="9" t="s">
        <v>0</v>
      </c>
      <c r="U43" s="16" t="str">
        <f t="shared" ref="U43" si="75">IF(OR(T43="",T43="-"),"-",T43*$M43*SQRT(3)/1000)</f>
        <v>-</v>
      </c>
      <c r="V43" s="9" t="s">
        <v>0</v>
      </c>
      <c r="W43" s="16" t="str">
        <f t="shared" ref="W43" si="76">IF(OR(V43="",V43="-"),"-",V43*$M43*SQRT(3)/1000)</f>
        <v>-</v>
      </c>
      <c r="X43" s="9" t="s">
        <v>0</v>
      </c>
      <c r="Y43" s="16" t="str">
        <f t="shared" ref="Y43" si="77">IF(OR(X43="",X43="-"),"-",X43*$M43*SQRT(3)/1000)</f>
        <v>-</v>
      </c>
      <c r="Z43" s="9" t="s">
        <v>0</v>
      </c>
      <c r="AA43" s="16" t="str">
        <f t="shared" ref="AA43" si="78">IF(OR(Z43="",Z43="-"),"-",Z43*$M43*SQRT(3)/1000)</f>
        <v>-</v>
      </c>
      <c r="AB43" s="9" t="s">
        <v>0</v>
      </c>
      <c r="AC43" s="16" t="str">
        <f t="shared" ref="AC43" si="79">IF(OR(AB43="",AB43="-"),"-",AB43*$M43*SQRT(3)/1000)</f>
        <v>-</v>
      </c>
      <c r="AD43" s="9" t="s">
        <v>0</v>
      </c>
      <c r="AE43" s="17" t="str">
        <f t="shared" ref="AE43" si="80">IF(OR(AD43="",AD43="-"),"-",AD43*$M43*SQRT(3)/1000)</f>
        <v>-</v>
      </c>
      <c r="AF43" s="29" t="s">
        <v>0</v>
      </c>
      <c r="AG43" s="29" t="s">
        <v>0</v>
      </c>
      <c r="AH43" s="29">
        <v>0.6</v>
      </c>
      <c r="AI43" s="29" t="s">
        <v>0</v>
      </c>
      <c r="AJ43" s="32" t="s">
        <v>0</v>
      </c>
      <c r="AK43" s="29" t="s">
        <v>0</v>
      </c>
      <c r="AL43" s="32" t="s">
        <v>0</v>
      </c>
      <c r="AM43" s="29" t="s">
        <v>0</v>
      </c>
      <c r="AN43" s="32" t="s">
        <v>0</v>
      </c>
      <c r="AO43" s="29" t="s">
        <v>0</v>
      </c>
      <c r="AP43" s="29" t="s">
        <v>0</v>
      </c>
      <c r="AQ43" s="32" t="s">
        <v>0</v>
      </c>
      <c r="AR43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43" s="9" t="str">
        <f t="shared" ref="AS43" si="81">IF(OR(AR43="",AR43="-"),"-",AR43*$M43*SQRT(3)/1000)</f>
        <v>-</v>
      </c>
      <c r="AT43" s="9">
        <f>IF(RIGHT(ABY[[#This Row],[Device type]],7)="Winding","-",ABY[[#This Row],[Cont Winter MVA]])</f>
        <v>21.068546890359379</v>
      </c>
      <c r="AU43" s="9" t="str">
        <f>IF(RIGHT(ABY[[#This Row],[Device type]],7)="Winding","-",ABY[[#This Row],[Cont Shoulder MVA]])</f>
        <v>-</v>
      </c>
      <c r="AV43" s="9">
        <f>IF(RIGHT(ABY[[#This Row],[Device type]],7)="Winding","-",ABY[[#This Row],[Cont Summer MVA]])</f>
        <v>15.740451829767617</v>
      </c>
      <c r="AW43" s="9" t="str">
        <f>IF(RIGHT(ABY[[#This Row],[Device type]],7)="Winding","-",ABY[[#This Row],[24 Hr Winter MVA]])</f>
        <v>-</v>
      </c>
      <c r="AX43" s="9" t="str">
        <f>IF(RIGHT(ABY[[#This Row],[Device type]],7)="Winding","-",ABY[[#This Row],[24 Hr Summer MVA]])</f>
        <v>-</v>
      </c>
      <c r="AY43" s="9" t="str">
        <f>ABY[[#This Row],[Forwards MVA]]</f>
        <v>-</v>
      </c>
      <c r="AZ43" s="9" t="str">
        <f>ABY[[#This Row],[Relay MVA]]</f>
        <v>-</v>
      </c>
      <c r="BA43" s="9" t="str">
        <f>ABY[[#This Row],[CT MVA]]</f>
        <v>-</v>
      </c>
      <c r="BB43" s="9" t="str">
        <f>ABY[[#This Row],[Derating MVA]]</f>
        <v>-</v>
      </c>
      <c r="BC43" s="9" t="str">
        <f>ABY[[#This Row],[Station/Feeder]]&amp;ABY[[#This Row],[Lowest MVA]]</f>
        <v>ABY15.7404518297676</v>
      </c>
      <c r="BD43" s="9" t="str">
        <f>CONCATENATE(ABY[[#This Row],[Supply Level]],ABY[[#This Row],[Station/Feeder]],ABY[[#This Row],[Voltage]],ABY[[#This Row],[Lowest A-No PTX]])</f>
        <v>ZoneSubstationABY33275.386487911596</v>
      </c>
      <c r="BE43" s="9" t="str">
        <f>CONCATENATE(ABY[[#This Row],[Supply Level]],ABY[[#This Row],[Station/Feeder]],ABY[[#This Row],[Voltage]],ABY[[#This Row],[Lowest A-PTX]])</f>
        <v>ZoneSubstationABY33275.386487911596</v>
      </c>
      <c r="BF43" s="9">
        <f>IF(MIN(ABY[[#This Row],[Summ Cont Winter A]:[Cable Derating]])=0,"",MIN(ABY[[#This Row],[Summ Cont Winter A]:[Cable Derating]]))</f>
        <v>15.740451829767617</v>
      </c>
      <c r="BG43" s="57">
        <f>IFERROR(ABY[[#This Row],[Lowest MVA]]*1000/(ABY[[#This Row],[Voltage]]*SQRT(3)),"")</f>
        <v>275.38648791159613</v>
      </c>
      <c r="BH43" s="57">
        <f t="shared" si="71"/>
        <v>275.38648791159613</v>
      </c>
      <c r="BI43" s="9" t="str">
        <f>ABY[[#This Row],[From]]</f>
        <v>CB4242</v>
      </c>
      <c r="BJ43" s="9" t="str">
        <f>ABY[[#This Row],[To]]</f>
        <v>F388</v>
      </c>
      <c r="BK43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Line-IODINE</v>
      </c>
      <c r="BL43" s="9">
        <f>ABY[[#This Row],[Voltage]]</f>
        <v>33</v>
      </c>
    </row>
    <row r="44" spans="1:64" s="1" customFormat="1" ht="15" hidden="1" customHeight="1" x14ac:dyDescent="0.25">
      <c r="A44" s="353" t="str">
        <f>CONCATENATE(ABY[[#This Row],[Supply Level]],ABY[[#This Row],[Station/Feeder]],ABY[[#This Row],[Voltage]])</f>
        <v>ZoneSubstationABY33</v>
      </c>
      <c r="B44" s="353" t="str">
        <f>CONCATENATE(ABY[[#This Row],[Supply Level]],ABY[[#This Row],[Station/Feeder]],ABY[[#This Row],[Equipment ID]],ABY[[#This Row],[Voltage]],ABY[[#This Row],[Device type]])</f>
        <v>ZoneSubstationABYCB424633-</v>
      </c>
      <c r="C44" s="6" t="s">
        <v>1246</v>
      </c>
      <c r="D44" s="11" t="s">
        <v>79</v>
      </c>
      <c r="E44" s="46" t="s">
        <v>330</v>
      </c>
      <c r="F44" s="46" t="s">
        <v>331</v>
      </c>
      <c r="G44" s="57">
        <v>9</v>
      </c>
      <c r="H44" s="46" t="s">
        <v>273</v>
      </c>
      <c r="I44" s="46" t="s">
        <v>336</v>
      </c>
      <c r="J44" s="46" t="s">
        <v>240</v>
      </c>
      <c r="K44" s="46" t="s">
        <v>0</v>
      </c>
      <c r="L44" s="46" t="s">
        <v>0</v>
      </c>
      <c r="M44" s="57">
        <v>33</v>
      </c>
      <c r="N44" s="9">
        <v>368.60397632070425</v>
      </c>
      <c r="O44" s="9">
        <f t="shared" si="0"/>
        <v>21.068546890359379</v>
      </c>
      <c r="P44" s="9">
        <v>800</v>
      </c>
      <c r="Q44" s="9">
        <f t="shared" si="1"/>
        <v>45.72614131981836</v>
      </c>
      <c r="R44" s="9">
        <v>275.38648791159613</v>
      </c>
      <c r="S44" s="9">
        <f t="shared" si="2"/>
        <v>15.740451829767617</v>
      </c>
      <c r="T44" s="9" t="s">
        <v>0</v>
      </c>
      <c r="U44" s="9" t="str">
        <f t="shared" si="3"/>
        <v>-</v>
      </c>
      <c r="V44" s="9" t="s">
        <v>0</v>
      </c>
      <c r="W44" s="9" t="str">
        <f t="shared" si="4"/>
        <v>-</v>
      </c>
      <c r="X44" s="9" t="s">
        <v>0</v>
      </c>
      <c r="Y44" s="9" t="str">
        <f t="shared" si="5"/>
        <v>-</v>
      </c>
      <c r="Z44" s="9" t="s">
        <v>0</v>
      </c>
      <c r="AA44" s="9" t="str">
        <f t="shared" si="6"/>
        <v>-</v>
      </c>
      <c r="AB44" s="9" t="s">
        <v>0</v>
      </c>
      <c r="AC44" s="9" t="str">
        <f t="shared" si="7"/>
        <v>-</v>
      </c>
      <c r="AD44" s="9" t="s">
        <v>0</v>
      </c>
      <c r="AE44" s="12" t="str">
        <f t="shared" si="8"/>
        <v>-</v>
      </c>
      <c r="AF44" s="29" t="s">
        <v>0</v>
      </c>
      <c r="AG44" s="29" t="s">
        <v>0</v>
      </c>
      <c r="AH44" s="29" t="s">
        <v>0</v>
      </c>
      <c r="AI44" s="29" t="s">
        <v>0</v>
      </c>
      <c r="AJ44" s="32" t="s">
        <v>0</v>
      </c>
      <c r="AK44" s="29" t="s">
        <v>0</v>
      </c>
      <c r="AL44" s="32" t="s">
        <v>0</v>
      </c>
      <c r="AM44" s="29" t="s">
        <v>0</v>
      </c>
      <c r="AN44" s="32" t="s">
        <v>0</v>
      </c>
      <c r="AO44" s="29" t="s">
        <v>0</v>
      </c>
      <c r="AP44" s="29" t="s">
        <v>0</v>
      </c>
      <c r="AQ44" s="32" t="s">
        <v>0</v>
      </c>
      <c r="AR44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44" s="9" t="str">
        <f t="shared" si="9"/>
        <v>-</v>
      </c>
      <c r="AT44" s="9">
        <f>IF(RIGHT(ABY[[#This Row],[Device type]],7)="Winding","-",ABY[[#This Row],[Cont Winter MVA]])</f>
        <v>21.068546890359379</v>
      </c>
      <c r="AU44" s="9">
        <f>IF(RIGHT(ABY[[#This Row],[Device type]],7)="Winding","-",ABY[[#This Row],[Cont Shoulder MVA]])</f>
        <v>45.72614131981836</v>
      </c>
      <c r="AV44" s="9">
        <f>IF(RIGHT(ABY[[#This Row],[Device type]],7)="Winding","-",ABY[[#This Row],[Cont Summer MVA]])</f>
        <v>15.740451829767617</v>
      </c>
      <c r="AW44" s="9" t="str">
        <f>IF(RIGHT(ABY[[#This Row],[Device type]],7)="Winding","-",ABY[[#This Row],[24 Hr Winter MVA]])</f>
        <v>-</v>
      </c>
      <c r="AX44" s="9" t="str">
        <f>IF(RIGHT(ABY[[#This Row],[Device type]],7)="Winding","-",ABY[[#This Row],[24 Hr Summer MVA]])</f>
        <v>-</v>
      </c>
      <c r="AY44" s="9" t="str">
        <f>ABY[[#This Row],[Forwards MVA]]</f>
        <v>-</v>
      </c>
      <c r="AZ44" s="9" t="str">
        <f>ABY[[#This Row],[Relay MVA]]</f>
        <v>-</v>
      </c>
      <c r="BA44" s="9" t="str">
        <f>ABY[[#This Row],[CT MVA]]</f>
        <v>-</v>
      </c>
      <c r="BB44" s="9" t="str">
        <f>ABY[[#This Row],[Derating MVA]]</f>
        <v>-</v>
      </c>
      <c r="BC44" s="9" t="str">
        <f>ABY[[#This Row],[Station/Feeder]]&amp;ABY[[#This Row],[Lowest MVA]]</f>
        <v>ABY15.7404518297676</v>
      </c>
      <c r="BD44" s="9" t="str">
        <f>CONCATENATE(ABY[[#This Row],[Supply Level]],ABY[[#This Row],[Station/Feeder]],ABY[[#This Row],[Voltage]],ABY[[#This Row],[Lowest A-No PTX]])</f>
        <v>ZoneSubstationABY33275.386487911596</v>
      </c>
      <c r="BE44" s="9" t="str">
        <f>CONCATENATE(ABY[[#This Row],[Supply Level]],ABY[[#This Row],[Station/Feeder]],ABY[[#This Row],[Voltage]],ABY[[#This Row],[Lowest A-PTX]])</f>
        <v>ZoneSubstationABY33275.386487911596</v>
      </c>
      <c r="BF44" s="9">
        <f>IF(MIN(ABY[[#This Row],[Summ Cont Winter A]:[Cable Derating]])=0,"",MIN(ABY[[#This Row],[Summ Cont Winter A]:[Cable Derating]]))</f>
        <v>15.740451829767617</v>
      </c>
      <c r="BG44" s="57">
        <f>IFERROR(ABY[[#This Row],[Lowest MVA]]*1000/(ABY[[#This Row],[Voltage]]*SQRT(3)),"")</f>
        <v>275.38648791159613</v>
      </c>
      <c r="BH44" s="57">
        <f t="shared" si="71"/>
        <v>275.38648791159613</v>
      </c>
      <c r="BI44" s="9" t="str">
        <f>ABY[[#This Row],[From]]</f>
        <v>CB4242</v>
      </c>
      <c r="BJ44" s="9" t="str">
        <f>ABY[[#This Row],[To]]</f>
        <v>F388</v>
      </c>
      <c r="BK44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ABS-CB4246</v>
      </c>
      <c r="BL44" s="9">
        <f>ABY[[#This Row],[Voltage]]</f>
        <v>33</v>
      </c>
    </row>
    <row r="45" spans="1:64" s="1" customFormat="1" ht="15" hidden="1" customHeight="1" x14ac:dyDescent="0.25">
      <c r="A45" s="353" t="str">
        <f>CONCATENATE(ABY[[#This Row],[Supply Level]],ABY[[#This Row],[Station/Feeder]],ABY[[#This Row],[Voltage]])</f>
        <v>ZoneSubstationABY33</v>
      </c>
      <c r="B45" s="353" t="str">
        <f>CONCATENATE(ABY[[#This Row],[Supply Level]],ABY[[#This Row],[Station/Feeder]],ABY[[#This Row],[Equipment ID]],ABY[[#This Row],[Voltage]],ABY[[#This Row],[Device type]])</f>
        <v>ZoneSubstationABYIODINE33-</v>
      </c>
      <c r="C45" s="6" t="s">
        <v>1246</v>
      </c>
      <c r="D45" s="11" t="s">
        <v>79</v>
      </c>
      <c r="E45" s="46" t="s">
        <v>330</v>
      </c>
      <c r="F45" s="46" t="s">
        <v>331</v>
      </c>
      <c r="G45" s="57">
        <v>10</v>
      </c>
      <c r="H45" s="46" t="s">
        <v>1289</v>
      </c>
      <c r="I45" s="46" t="s">
        <v>329</v>
      </c>
      <c r="J45" s="46" t="s">
        <v>69</v>
      </c>
      <c r="K45" s="46" t="s">
        <v>0</v>
      </c>
      <c r="L45" s="46" t="s">
        <v>0</v>
      </c>
      <c r="M45" s="57">
        <v>33</v>
      </c>
      <c r="N45" s="9">
        <v>368.60397632070425</v>
      </c>
      <c r="O45" s="16">
        <f t="shared" si="0"/>
        <v>21.068546890359379</v>
      </c>
      <c r="P45" s="9" t="s">
        <v>0</v>
      </c>
      <c r="Q45" s="16" t="str">
        <f t="shared" si="1"/>
        <v>-</v>
      </c>
      <c r="R45" s="9">
        <v>275.38648791159613</v>
      </c>
      <c r="S45" s="16">
        <f t="shared" si="2"/>
        <v>15.740451829767617</v>
      </c>
      <c r="T45" s="9" t="s">
        <v>0</v>
      </c>
      <c r="U45" s="16" t="str">
        <f t="shared" si="3"/>
        <v>-</v>
      </c>
      <c r="V45" s="9" t="s">
        <v>0</v>
      </c>
      <c r="W45" s="16" t="str">
        <f t="shared" si="4"/>
        <v>-</v>
      </c>
      <c r="X45" s="9" t="s">
        <v>0</v>
      </c>
      <c r="Y45" s="16" t="str">
        <f t="shared" si="5"/>
        <v>-</v>
      </c>
      <c r="Z45" s="9" t="s">
        <v>0</v>
      </c>
      <c r="AA45" s="16" t="str">
        <f t="shared" si="6"/>
        <v>-</v>
      </c>
      <c r="AB45" s="9" t="s">
        <v>0</v>
      </c>
      <c r="AC45" s="16" t="str">
        <f t="shared" si="7"/>
        <v>-</v>
      </c>
      <c r="AD45" s="9" t="s">
        <v>0</v>
      </c>
      <c r="AE45" s="17" t="str">
        <f t="shared" si="8"/>
        <v>-</v>
      </c>
      <c r="AF45" s="29" t="s">
        <v>0</v>
      </c>
      <c r="AG45" s="29" t="s">
        <v>0</v>
      </c>
      <c r="AH45" s="29">
        <v>14</v>
      </c>
      <c r="AI45" s="29" t="s">
        <v>0</v>
      </c>
      <c r="AJ45" s="32" t="s">
        <v>0</v>
      </c>
      <c r="AK45" s="29" t="s">
        <v>0</v>
      </c>
      <c r="AL45" s="32" t="s">
        <v>0</v>
      </c>
      <c r="AM45" s="29" t="s">
        <v>0</v>
      </c>
      <c r="AN45" s="32" t="s">
        <v>0</v>
      </c>
      <c r="AO45" s="29" t="s">
        <v>0</v>
      </c>
      <c r="AP45" s="29" t="s">
        <v>0</v>
      </c>
      <c r="AQ45" s="32" t="s">
        <v>0</v>
      </c>
      <c r="AR45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45" s="9" t="str">
        <f t="shared" si="9"/>
        <v>-</v>
      </c>
      <c r="AT45" s="9">
        <f>IF(RIGHT(ABY[[#This Row],[Device type]],7)="Winding","-",ABY[[#This Row],[Cont Winter MVA]])</f>
        <v>21.068546890359379</v>
      </c>
      <c r="AU45" s="9" t="str">
        <f>IF(RIGHT(ABY[[#This Row],[Device type]],7)="Winding","-",ABY[[#This Row],[Cont Shoulder MVA]])</f>
        <v>-</v>
      </c>
      <c r="AV45" s="9">
        <f>IF(RIGHT(ABY[[#This Row],[Device type]],7)="Winding","-",ABY[[#This Row],[Cont Summer MVA]])</f>
        <v>15.740451829767617</v>
      </c>
      <c r="AW45" s="9" t="str">
        <f>IF(RIGHT(ABY[[#This Row],[Device type]],7)="Winding","-",ABY[[#This Row],[24 Hr Winter MVA]])</f>
        <v>-</v>
      </c>
      <c r="AX45" s="9" t="str">
        <f>IF(RIGHT(ABY[[#This Row],[Device type]],7)="Winding","-",ABY[[#This Row],[24 Hr Summer MVA]])</f>
        <v>-</v>
      </c>
      <c r="AY45" s="9" t="str">
        <f>ABY[[#This Row],[Forwards MVA]]</f>
        <v>-</v>
      </c>
      <c r="AZ45" s="9" t="str">
        <f>ABY[[#This Row],[Relay MVA]]</f>
        <v>-</v>
      </c>
      <c r="BA45" s="9" t="str">
        <f>ABY[[#This Row],[CT MVA]]</f>
        <v>-</v>
      </c>
      <c r="BB45" s="9" t="str">
        <f>ABY[[#This Row],[Derating MVA]]</f>
        <v>-</v>
      </c>
      <c r="BC45" s="9" t="str">
        <f>ABY[[#This Row],[Station/Feeder]]&amp;ABY[[#This Row],[Lowest MVA]]</f>
        <v>ABY15.7404518297676</v>
      </c>
      <c r="BD45" s="9" t="str">
        <f>CONCATENATE(ABY[[#This Row],[Supply Level]],ABY[[#This Row],[Station/Feeder]],ABY[[#This Row],[Voltage]],ABY[[#This Row],[Lowest A-No PTX]])</f>
        <v>ZoneSubstationABY33275.386487911596</v>
      </c>
      <c r="BE45" s="9" t="str">
        <f>CONCATENATE(ABY[[#This Row],[Supply Level]],ABY[[#This Row],[Station/Feeder]],ABY[[#This Row],[Voltage]],ABY[[#This Row],[Lowest A-PTX]])</f>
        <v>ZoneSubstationABY33275.386487911596</v>
      </c>
      <c r="BF45" s="9">
        <f>IF(MIN(ABY[[#This Row],[Summ Cont Winter A]:[Cable Derating]])=0,"",MIN(ABY[[#This Row],[Summ Cont Winter A]:[Cable Derating]]))</f>
        <v>15.740451829767617</v>
      </c>
      <c r="BG45" s="57">
        <f>IFERROR(ABY[[#This Row],[Lowest MVA]]*1000/(ABY[[#This Row],[Voltage]]*SQRT(3)),"")</f>
        <v>275.38648791159613</v>
      </c>
      <c r="BH45" s="57">
        <f t="shared" si="71"/>
        <v>275.38648791159613</v>
      </c>
      <c r="BI45" s="9" t="str">
        <f>ABY[[#This Row],[From]]</f>
        <v>CB4242</v>
      </c>
      <c r="BJ45" s="9" t="str">
        <f>ABY[[#This Row],[To]]</f>
        <v>F388</v>
      </c>
      <c r="BK45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Line-IODINE</v>
      </c>
      <c r="BL45" s="9">
        <f>ABY[[#This Row],[Voltage]]</f>
        <v>33</v>
      </c>
    </row>
    <row r="46" spans="1:64" s="1" customFormat="1" ht="15" hidden="1" customHeight="1" x14ac:dyDescent="0.25">
      <c r="A46" s="353" t="str">
        <f>CONCATENATE(ABY[[#This Row],[Supply Level]],ABY[[#This Row],[Station/Feeder]],ABY[[#This Row],[Voltage]])</f>
        <v>ZoneSubstationABY33</v>
      </c>
      <c r="B46" s="353" t="str">
        <f>CONCATENATE(ABY[[#This Row],[Supply Level]],ABY[[#This Row],[Station/Feeder]],ABY[[#This Row],[Equipment ID]],ABY[[#This Row],[Voltage]],ABY[[#This Row],[Device type]])</f>
        <v>ZoneSubstationABY70 mm² Cu33-</v>
      </c>
      <c r="C46" s="6" t="s">
        <v>1246</v>
      </c>
      <c r="D46" s="11" t="s">
        <v>79</v>
      </c>
      <c r="E46" s="46" t="s">
        <v>330</v>
      </c>
      <c r="F46" s="46" t="s">
        <v>331</v>
      </c>
      <c r="G46" s="57">
        <v>11</v>
      </c>
      <c r="H46" s="46" t="s">
        <v>1289</v>
      </c>
      <c r="I46" s="46" t="s">
        <v>1283</v>
      </c>
      <c r="J46" s="46" t="s">
        <v>69</v>
      </c>
      <c r="K46" s="46" t="s">
        <v>0</v>
      </c>
      <c r="L46" s="46" t="s">
        <v>0</v>
      </c>
      <c r="M46" s="57">
        <v>33</v>
      </c>
      <c r="N46" s="9">
        <v>328</v>
      </c>
      <c r="O46" s="9">
        <f t="shared" ref="O46" si="82">IF(OR(N46="",N46="-"),"-",N46*$M46*SQRT(3)/1000)</f>
        <v>18.747717941125526</v>
      </c>
      <c r="P46" s="9" t="s">
        <v>0</v>
      </c>
      <c r="Q46" s="9" t="str">
        <f t="shared" ref="Q46" si="83">IF(OR(P46="",P46="-"),"-",P46*$M46*SQRT(3)/1000)</f>
        <v>-</v>
      </c>
      <c r="R46" s="9">
        <v>247</v>
      </c>
      <c r="S46" s="9">
        <f t="shared" ref="S46" si="84">IF(OR(R46="",R46="-"),"-",R46*$M46*SQRT(3)/1000)</f>
        <v>14.117946132493918</v>
      </c>
      <c r="T46" s="9" t="s">
        <v>0</v>
      </c>
      <c r="U46" s="9" t="str">
        <f t="shared" ref="U46" si="85">IF(OR(T46="",T46="-"),"-",T46*$M46*SQRT(3)/1000)</f>
        <v>-</v>
      </c>
      <c r="V46" s="9" t="s">
        <v>0</v>
      </c>
      <c r="W46" s="9" t="str">
        <f t="shared" ref="W46" si="86">IF(OR(V46="",V46="-"),"-",V46*$M46*SQRT(3)/1000)</f>
        <v>-</v>
      </c>
      <c r="X46" s="9" t="s">
        <v>0</v>
      </c>
      <c r="Y46" s="9" t="str">
        <f t="shared" ref="Y46" si="87">IF(OR(X46="",X46="-"),"-",X46*$M46*SQRT(3)/1000)</f>
        <v>-</v>
      </c>
      <c r="Z46" s="9" t="s">
        <v>0</v>
      </c>
      <c r="AA46" s="9" t="str">
        <f t="shared" ref="AA46" si="88">IF(OR(Z46="",Z46="-"),"-",Z46*$M46*SQRT(3)/1000)</f>
        <v>-</v>
      </c>
      <c r="AB46" s="9" t="s">
        <v>0</v>
      </c>
      <c r="AC46" s="9" t="str">
        <f t="shared" ref="AC46" si="89">IF(OR(AB46="",AB46="-"),"-",AB46*$M46*SQRT(3)/1000)</f>
        <v>-</v>
      </c>
      <c r="AD46" s="9" t="s">
        <v>0</v>
      </c>
      <c r="AE46" s="12" t="str">
        <f t="shared" ref="AE46" si="90">IF(OR(AD46="",AD46="-"),"-",AD46*$M46*SQRT(3)/1000)</f>
        <v>-</v>
      </c>
      <c r="AF46" s="29" t="s">
        <v>0</v>
      </c>
      <c r="AG46" s="29" t="s">
        <v>0</v>
      </c>
      <c r="AH46" s="29">
        <v>11.5</v>
      </c>
      <c r="AI46" s="29" t="s">
        <v>0</v>
      </c>
      <c r="AJ46" s="32" t="s">
        <v>0</v>
      </c>
      <c r="AK46" s="29" t="s">
        <v>0</v>
      </c>
      <c r="AL46" s="32" t="s">
        <v>0</v>
      </c>
      <c r="AM46" s="29" t="s">
        <v>0</v>
      </c>
      <c r="AN46" s="32" t="s">
        <v>0</v>
      </c>
      <c r="AO46" s="29" t="s">
        <v>0</v>
      </c>
      <c r="AP46" s="29" t="s">
        <v>0</v>
      </c>
      <c r="AQ46" s="32" t="s">
        <v>0</v>
      </c>
      <c r="AR46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46" s="9" t="str">
        <f t="shared" ref="AS46" si="91">IF(OR(AR46="",AR46="-"),"-",AR46*$M46*SQRT(3)/1000)</f>
        <v>-</v>
      </c>
      <c r="AT46" s="9">
        <f>IF(RIGHT(ABY[[#This Row],[Device type]],7)="Winding","-",ABY[[#This Row],[Cont Winter MVA]])</f>
        <v>18.747717941125526</v>
      </c>
      <c r="AU46" s="9" t="str">
        <f>IF(RIGHT(ABY[[#This Row],[Device type]],7)="Winding","-",ABY[[#This Row],[Cont Shoulder MVA]])</f>
        <v>-</v>
      </c>
      <c r="AV46" s="9">
        <f>IF(RIGHT(ABY[[#This Row],[Device type]],7)="Winding","-",ABY[[#This Row],[Cont Summer MVA]])</f>
        <v>14.117946132493918</v>
      </c>
      <c r="AW46" s="9" t="str">
        <f>IF(RIGHT(ABY[[#This Row],[Device type]],7)="Winding","-",ABY[[#This Row],[24 Hr Winter MVA]])</f>
        <v>-</v>
      </c>
      <c r="AX46" s="9" t="str">
        <f>IF(RIGHT(ABY[[#This Row],[Device type]],7)="Winding","-",ABY[[#This Row],[24 Hr Summer MVA]])</f>
        <v>-</v>
      </c>
      <c r="AY46" s="9" t="str">
        <f>ABY[[#This Row],[Forwards MVA]]</f>
        <v>-</v>
      </c>
      <c r="AZ46" s="9" t="str">
        <f>ABY[[#This Row],[Relay MVA]]</f>
        <v>-</v>
      </c>
      <c r="BA46" s="9" t="str">
        <f>ABY[[#This Row],[CT MVA]]</f>
        <v>-</v>
      </c>
      <c r="BB46" s="9" t="str">
        <f>ABY[[#This Row],[Derating MVA]]</f>
        <v>-</v>
      </c>
      <c r="BC46" s="9" t="str">
        <f>ABY[[#This Row],[Station/Feeder]]&amp;ABY[[#This Row],[Lowest MVA]]</f>
        <v>ABY14.1179461324939</v>
      </c>
      <c r="BD46" s="9" t="str">
        <f>CONCATENATE(ABY[[#This Row],[Supply Level]],ABY[[#This Row],[Station/Feeder]],ABY[[#This Row],[Voltage]],ABY[[#This Row],[Lowest A-No PTX]])</f>
        <v>ZoneSubstationABY33247</v>
      </c>
      <c r="BE46" s="9" t="str">
        <f>CONCATENATE(ABY[[#This Row],[Supply Level]],ABY[[#This Row],[Station/Feeder]],ABY[[#This Row],[Voltage]],ABY[[#This Row],[Lowest A-PTX]])</f>
        <v>ZoneSubstationABY33247</v>
      </c>
      <c r="BF46" s="9">
        <f>IF(MIN(ABY[[#This Row],[Summ Cont Winter A]:[Cable Derating]])=0,"",MIN(ABY[[#This Row],[Summ Cont Winter A]:[Cable Derating]]))</f>
        <v>14.117946132493918</v>
      </c>
      <c r="BG46" s="57">
        <f>IFERROR(ABY[[#This Row],[Lowest MVA]]*1000/(ABY[[#This Row],[Voltage]]*SQRT(3)),"")</f>
        <v>247.00000000000003</v>
      </c>
      <c r="BH46" s="57">
        <f t="shared" si="71"/>
        <v>247</v>
      </c>
      <c r="BI46" s="9" t="str">
        <f>ABY[[#This Row],[From]]</f>
        <v>CB4242</v>
      </c>
      <c r="BJ46" s="9" t="str">
        <f>ABY[[#This Row],[To]]</f>
        <v>F388</v>
      </c>
      <c r="BK46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Line-70 mm² Cu</v>
      </c>
      <c r="BL46" s="9">
        <f>ABY[[#This Row],[Voltage]]</f>
        <v>33</v>
      </c>
    </row>
    <row r="47" spans="1:64" s="1" customFormat="1" ht="15" customHeight="1" x14ac:dyDescent="0.25">
      <c r="A47" s="353" t="str">
        <f>CONCATENATE(ABY[[#This Row],[Supply Level]],ABY[[#This Row],[Station/Feeder]],ABY[[#This Row],[Voltage]])</f>
        <v>SubTransmissionCB2722_Fairlie33</v>
      </c>
      <c r="B47" s="353" t="str">
        <f>CONCATENATE(ABY[[#This Row],[Supply Level]],ABY[[#This Row],[Station/Feeder]],ABY[[#This Row],[Equipment ID]],ABY[[#This Row],[Voltage]],ABY[[#This Row],[Device type]])</f>
        <v>SubTransmissionCB2722_FairlieF38833-</v>
      </c>
      <c r="C47" s="6" t="s">
        <v>1245</v>
      </c>
      <c r="D47" s="11" t="s">
        <v>90</v>
      </c>
      <c r="E47" s="46" t="s">
        <v>331</v>
      </c>
      <c r="F47" s="46" t="s">
        <v>326</v>
      </c>
      <c r="G47" s="57">
        <v>1</v>
      </c>
      <c r="H47" s="46" t="s">
        <v>0</v>
      </c>
      <c r="I47" s="46" t="s">
        <v>331</v>
      </c>
      <c r="J47" s="46" t="s">
        <v>240</v>
      </c>
      <c r="K47" s="46" t="s">
        <v>0</v>
      </c>
      <c r="L47" s="46" t="s">
        <v>0</v>
      </c>
      <c r="M47" s="57">
        <v>33</v>
      </c>
      <c r="N47" s="9" t="s">
        <v>0</v>
      </c>
      <c r="O47" s="9" t="str">
        <f t="shared" si="0"/>
        <v>-</v>
      </c>
      <c r="P47" s="9" t="s">
        <v>0</v>
      </c>
      <c r="Q47" s="9" t="str">
        <f t="shared" si="1"/>
        <v>-</v>
      </c>
      <c r="R47" s="9">
        <v>247</v>
      </c>
      <c r="S47" s="9">
        <f t="shared" si="2"/>
        <v>14.117946132493918</v>
      </c>
      <c r="T47" s="9" t="s">
        <v>0</v>
      </c>
      <c r="U47" s="9" t="str">
        <f t="shared" si="3"/>
        <v>-</v>
      </c>
      <c r="V47" s="9" t="s">
        <v>0</v>
      </c>
      <c r="W47" s="9" t="str">
        <f t="shared" si="4"/>
        <v>-</v>
      </c>
      <c r="X47" s="9" t="s">
        <v>0</v>
      </c>
      <c r="Y47" s="9" t="str">
        <f t="shared" si="5"/>
        <v>-</v>
      </c>
      <c r="Z47" s="9" t="s">
        <v>0</v>
      </c>
      <c r="AA47" s="9" t="str">
        <f t="shared" si="6"/>
        <v>-</v>
      </c>
      <c r="AB47" s="9" t="s">
        <v>0</v>
      </c>
      <c r="AC47" s="9" t="str">
        <f t="shared" si="7"/>
        <v>-</v>
      </c>
      <c r="AD47" s="9" t="s">
        <v>0</v>
      </c>
      <c r="AE47" s="12" t="str">
        <f t="shared" si="8"/>
        <v>-</v>
      </c>
      <c r="AF47" s="29" t="s">
        <v>0</v>
      </c>
      <c r="AG47" s="29" t="s">
        <v>0</v>
      </c>
      <c r="AH47" s="29" t="s">
        <v>0</v>
      </c>
      <c r="AI47" s="29" t="s">
        <v>0</v>
      </c>
      <c r="AJ47" s="32" t="s">
        <v>0</v>
      </c>
      <c r="AK47" s="29" t="s">
        <v>0</v>
      </c>
      <c r="AL47" s="32" t="s">
        <v>0</v>
      </c>
      <c r="AM47" s="29" t="s">
        <v>0</v>
      </c>
      <c r="AN47" s="32" t="s">
        <v>0</v>
      </c>
      <c r="AO47" s="29" t="s">
        <v>0</v>
      </c>
      <c r="AP47" s="29" t="s">
        <v>0</v>
      </c>
      <c r="AQ47" s="32" t="s">
        <v>0</v>
      </c>
      <c r="AR47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47" s="9" t="str">
        <f t="shared" si="9"/>
        <v>-</v>
      </c>
      <c r="AT47" s="9" t="str">
        <f>IF(RIGHT(ABY[[#This Row],[Device type]],7)="Winding","-",ABY[[#This Row],[Cont Winter MVA]])</f>
        <v>-</v>
      </c>
      <c r="AU47" s="9" t="str">
        <f>IF(RIGHT(ABY[[#This Row],[Device type]],7)="Winding","-",ABY[[#This Row],[Cont Shoulder MVA]])</f>
        <v>-</v>
      </c>
      <c r="AV47" s="9">
        <f>IF(RIGHT(ABY[[#This Row],[Device type]],7)="Winding","-",ABY[[#This Row],[Cont Summer MVA]])</f>
        <v>14.117946132493918</v>
      </c>
      <c r="AW47" s="9" t="str">
        <f>IF(RIGHT(ABY[[#This Row],[Device type]],7)="Winding","-",ABY[[#This Row],[24 Hr Winter MVA]])</f>
        <v>-</v>
      </c>
      <c r="AX47" s="9" t="str">
        <f>IF(RIGHT(ABY[[#This Row],[Device type]],7)="Winding","-",ABY[[#This Row],[24 Hr Summer MVA]])</f>
        <v>-</v>
      </c>
      <c r="AY47" s="9" t="str">
        <f>ABY[[#This Row],[Forwards MVA]]</f>
        <v>-</v>
      </c>
      <c r="AZ47" s="9" t="str">
        <f>ABY[[#This Row],[Relay MVA]]</f>
        <v>-</v>
      </c>
      <c r="BA47" s="9" t="str">
        <f>ABY[[#This Row],[CT MVA]]</f>
        <v>-</v>
      </c>
      <c r="BB47" s="9" t="str">
        <f>ABY[[#This Row],[Derating MVA]]</f>
        <v>-</v>
      </c>
      <c r="BC47" s="9" t="str">
        <f>ABY[[#This Row],[Station/Feeder]]&amp;ABY[[#This Row],[Lowest MVA]]</f>
        <v>CB2722_Fairlie14.1179461324939</v>
      </c>
      <c r="BD47" s="9" t="str">
        <f>CONCATENATE(ABY[[#This Row],[Supply Level]],ABY[[#This Row],[Station/Feeder]],ABY[[#This Row],[Voltage]],ABY[[#This Row],[Lowest A-No PTX]])</f>
        <v>SubTransmissionCB2722_Fairlie33247</v>
      </c>
      <c r="BE47" s="9" t="str">
        <f>CONCATENATE(ABY[[#This Row],[Supply Level]],ABY[[#This Row],[Station/Feeder]],ABY[[#This Row],[Voltage]],ABY[[#This Row],[Lowest A-PTX]])</f>
        <v>SubTransmissionCB2722_Fairlie33247</v>
      </c>
      <c r="BF47" s="9">
        <f>IF(MIN(ABY[[#This Row],[Summ Cont Winter A]:[Cable Derating]])=0,"",MIN(ABY[[#This Row],[Summ Cont Winter A]:[Cable Derating]]))</f>
        <v>14.117946132493918</v>
      </c>
      <c r="BG47" s="57">
        <f>IFERROR(ABY[[#This Row],[Lowest MVA]]*1000/(ABY[[#This Row],[Voltage]]*SQRT(3)),"")</f>
        <v>247.00000000000003</v>
      </c>
      <c r="BH47" s="57">
        <f t="shared" si="71"/>
        <v>247</v>
      </c>
      <c r="BI47" s="9" t="str">
        <f>ABY[[#This Row],[From]]</f>
        <v>F388</v>
      </c>
      <c r="BJ47" s="9" t="str">
        <f>ABY[[#This Row],[To]]</f>
        <v>OPU T-off</v>
      </c>
      <c r="BK47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ABS-F388</v>
      </c>
      <c r="BL47" s="9">
        <f>ABY[[#This Row],[Voltage]]</f>
        <v>33</v>
      </c>
    </row>
    <row r="48" spans="1:64" s="1" customFormat="1" ht="15" customHeight="1" x14ac:dyDescent="0.25">
      <c r="A48" s="353" t="str">
        <f>CONCATENATE(ABY[[#This Row],[Supply Level]],ABY[[#This Row],[Station/Feeder]],ABY[[#This Row],[Voltage]])</f>
        <v>SubTransmissionCB2722_Fairlie33</v>
      </c>
      <c r="B48" s="353" t="str">
        <f>CONCATENATE(ABY[[#This Row],[Supply Level]],ABY[[#This Row],[Station/Feeder]],ABY[[#This Row],[Equipment ID]],ABY[[#This Row],[Voltage]],ABY[[#This Row],[Device type]])</f>
        <v>SubTransmissionCB2722_Fairlie70 mm² Cu33-</v>
      </c>
      <c r="C48" s="6" t="s">
        <v>1245</v>
      </c>
      <c r="D48" s="11" t="s">
        <v>90</v>
      </c>
      <c r="E48" s="46" t="s">
        <v>331</v>
      </c>
      <c r="F48" s="46" t="s">
        <v>326</v>
      </c>
      <c r="G48" s="57">
        <v>2</v>
      </c>
      <c r="H48" s="46" t="s">
        <v>1289</v>
      </c>
      <c r="I48" s="46" t="s">
        <v>1283</v>
      </c>
      <c r="J48" s="46" t="s">
        <v>69</v>
      </c>
      <c r="K48" s="46" t="s">
        <v>0</v>
      </c>
      <c r="L48" s="46" t="s">
        <v>0</v>
      </c>
      <c r="M48" s="57">
        <v>33</v>
      </c>
      <c r="N48" s="29">
        <v>328</v>
      </c>
      <c r="O48" s="29">
        <f t="shared" si="0"/>
        <v>18.747717941125526</v>
      </c>
      <c r="P48" s="29" t="s">
        <v>0</v>
      </c>
      <c r="Q48" s="29" t="str">
        <f t="shared" si="1"/>
        <v>-</v>
      </c>
      <c r="R48" s="29">
        <v>247</v>
      </c>
      <c r="S48" s="9">
        <f t="shared" si="2"/>
        <v>14.117946132493918</v>
      </c>
      <c r="T48" s="9" t="s">
        <v>0</v>
      </c>
      <c r="U48" s="9" t="str">
        <f t="shared" si="3"/>
        <v>-</v>
      </c>
      <c r="V48" s="9" t="s">
        <v>0</v>
      </c>
      <c r="W48" s="9" t="str">
        <f t="shared" si="4"/>
        <v>-</v>
      </c>
      <c r="X48" s="9" t="s">
        <v>0</v>
      </c>
      <c r="Y48" s="9" t="str">
        <f t="shared" si="5"/>
        <v>-</v>
      </c>
      <c r="Z48" s="9" t="s">
        <v>0</v>
      </c>
      <c r="AA48" s="9" t="str">
        <f t="shared" si="6"/>
        <v>-</v>
      </c>
      <c r="AB48" s="9" t="s">
        <v>0</v>
      </c>
      <c r="AC48" s="9" t="str">
        <f t="shared" si="7"/>
        <v>-</v>
      </c>
      <c r="AD48" s="9" t="s">
        <v>0</v>
      </c>
      <c r="AE48" s="12" t="str">
        <f t="shared" si="8"/>
        <v>-</v>
      </c>
      <c r="AF48" s="29" t="s">
        <v>0</v>
      </c>
      <c r="AG48" s="29" t="s">
        <v>0</v>
      </c>
      <c r="AH48" s="29">
        <v>27.7</v>
      </c>
      <c r="AI48" s="29" t="s">
        <v>0</v>
      </c>
      <c r="AJ48" s="32" t="s">
        <v>0</v>
      </c>
      <c r="AK48" s="29" t="s">
        <v>0</v>
      </c>
      <c r="AL48" s="32" t="s">
        <v>0</v>
      </c>
      <c r="AM48" s="29" t="s">
        <v>0</v>
      </c>
      <c r="AN48" s="32" t="s">
        <v>0</v>
      </c>
      <c r="AO48" s="29" t="s">
        <v>0</v>
      </c>
      <c r="AP48" s="29" t="s">
        <v>0</v>
      </c>
      <c r="AQ48" s="32" t="s">
        <v>0</v>
      </c>
      <c r="AR48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48" s="9" t="str">
        <f t="shared" si="9"/>
        <v>-</v>
      </c>
      <c r="AT48" s="9">
        <f>IF(RIGHT(ABY[[#This Row],[Device type]],7)="Winding","-",ABY[[#This Row],[Cont Winter MVA]])</f>
        <v>18.747717941125526</v>
      </c>
      <c r="AU48" s="9" t="str">
        <f>IF(RIGHT(ABY[[#This Row],[Device type]],7)="Winding","-",ABY[[#This Row],[Cont Shoulder MVA]])</f>
        <v>-</v>
      </c>
      <c r="AV48" s="9">
        <f>IF(RIGHT(ABY[[#This Row],[Device type]],7)="Winding","-",ABY[[#This Row],[Cont Summer MVA]])</f>
        <v>14.117946132493918</v>
      </c>
      <c r="AW48" s="9" t="str">
        <f>IF(RIGHT(ABY[[#This Row],[Device type]],7)="Winding","-",ABY[[#This Row],[24 Hr Winter MVA]])</f>
        <v>-</v>
      </c>
      <c r="AX48" s="9" t="str">
        <f>IF(RIGHT(ABY[[#This Row],[Device type]],7)="Winding","-",ABY[[#This Row],[24 Hr Summer MVA]])</f>
        <v>-</v>
      </c>
      <c r="AY48" s="9" t="str">
        <f>ABY[[#This Row],[Forwards MVA]]</f>
        <v>-</v>
      </c>
      <c r="AZ48" s="9" t="str">
        <f>ABY[[#This Row],[Relay MVA]]</f>
        <v>-</v>
      </c>
      <c r="BA48" s="9" t="str">
        <f>ABY[[#This Row],[CT MVA]]</f>
        <v>-</v>
      </c>
      <c r="BB48" s="9" t="str">
        <f>ABY[[#This Row],[Derating MVA]]</f>
        <v>-</v>
      </c>
      <c r="BC48" s="9" t="str">
        <f>ABY[[#This Row],[Station/Feeder]]&amp;ABY[[#This Row],[Lowest MVA]]</f>
        <v>CB2722_Fairlie14.1179461324939</v>
      </c>
      <c r="BD48" s="9" t="str">
        <f>CONCATENATE(ABY[[#This Row],[Supply Level]],ABY[[#This Row],[Station/Feeder]],ABY[[#This Row],[Voltage]],ABY[[#This Row],[Lowest A-No PTX]])</f>
        <v>SubTransmissionCB2722_Fairlie33247</v>
      </c>
      <c r="BE48" s="9" t="str">
        <f>CONCATENATE(ABY[[#This Row],[Supply Level]],ABY[[#This Row],[Station/Feeder]],ABY[[#This Row],[Voltage]],ABY[[#This Row],[Lowest A-PTX]])</f>
        <v>SubTransmissionCB2722_Fairlie33247</v>
      </c>
      <c r="BF48" s="9">
        <f>IF(MIN(ABY[[#This Row],[Summ Cont Winter A]:[Cable Derating]])=0,"",MIN(ABY[[#This Row],[Summ Cont Winter A]:[Cable Derating]]))</f>
        <v>14.117946132493918</v>
      </c>
      <c r="BG48" s="57">
        <f>IFERROR(ABY[[#This Row],[Lowest MVA]]*1000/(ABY[[#This Row],[Voltage]]*SQRT(3)),"")</f>
        <v>247.00000000000003</v>
      </c>
      <c r="BH48" s="57">
        <f t="shared" si="71"/>
        <v>247</v>
      </c>
      <c r="BI48" s="9" t="str">
        <f>ABY[[#This Row],[From]]</f>
        <v>F388</v>
      </c>
      <c r="BJ48" s="9" t="str">
        <f>ABY[[#This Row],[To]]</f>
        <v>OPU T-off</v>
      </c>
      <c r="BK48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Line-70 mm² Cu</v>
      </c>
      <c r="BL48" s="9">
        <f>ABY[[#This Row],[Voltage]]</f>
        <v>33</v>
      </c>
    </row>
    <row r="49" spans="1:64" s="1" customFormat="1" ht="15" customHeight="1" x14ac:dyDescent="0.25">
      <c r="A49" s="353" t="str">
        <f>CONCATENATE(ABY[[#This Row],[Supply Level]],ABY[[#This Row],[Station/Feeder]],ABY[[#This Row],[Voltage]])</f>
        <v>SubTransmissionCB2722_Fairlie33</v>
      </c>
      <c r="B49" s="353" t="str">
        <f>CONCATENATE(ABY[[#This Row],[Supply Level]],ABY[[#This Row],[Station/Feeder]],ABY[[#This Row],[Equipment ID]],ABY[[#This Row],[Voltage]],ABY[[#This Row],[Device type]])</f>
        <v>SubTransmissionCB2722_FairlieDOG33-</v>
      </c>
      <c r="C49" s="6" t="s">
        <v>1245</v>
      </c>
      <c r="D49" s="11" t="s">
        <v>90</v>
      </c>
      <c r="E49" s="46" t="s">
        <v>331</v>
      </c>
      <c r="F49" s="46" t="s">
        <v>326</v>
      </c>
      <c r="G49" s="57">
        <v>3</v>
      </c>
      <c r="H49" s="46" t="s">
        <v>1289</v>
      </c>
      <c r="I49" s="46" t="s">
        <v>318</v>
      </c>
      <c r="J49" s="46" t="s">
        <v>69</v>
      </c>
      <c r="K49" s="46" t="s">
        <v>0</v>
      </c>
      <c r="L49" s="46" t="s">
        <v>0</v>
      </c>
      <c r="M49" s="57">
        <v>33</v>
      </c>
      <c r="N49" s="9">
        <v>344</v>
      </c>
      <c r="O49" s="9">
        <f t="shared" ref="O49" si="92">IF(OR(N49="",N49="-"),"-",N49*$M49*SQRT(3)/1000)</f>
        <v>19.662240767521894</v>
      </c>
      <c r="P49" s="9" t="s">
        <v>0</v>
      </c>
      <c r="Q49" s="9" t="str">
        <f t="shared" ref="Q49" si="93">IF(OR(P49="",P49="-"),"-",P49*$M49*SQRT(3)/1000)</f>
        <v>-</v>
      </c>
      <c r="R49" s="9">
        <v>256.85852310343915</v>
      </c>
      <c r="S49" s="9">
        <f t="shared" ref="S49" si="94">IF(OR(R49="",R49="-"),"-",R49*$M49*SQRT(3)/1000)</f>
        <v>14.681436408284609</v>
      </c>
      <c r="T49" s="9" t="s">
        <v>0</v>
      </c>
      <c r="U49" s="9" t="str">
        <f t="shared" ref="U49" si="95">IF(OR(T49="",T49="-"),"-",T49*$M49*SQRT(3)/1000)</f>
        <v>-</v>
      </c>
      <c r="V49" s="9" t="s">
        <v>0</v>
      </c>
      <c r="W49" s="9" t="str">
        <f t="shared" ref="W49" si="96">IF(OR(V49="",V49="-"),"-",V49*$M49*SQRT(3)/1000)</f>
        <v>-</v>
      </c>
      <c r="X49" s="9" t="s">
        <v>0</v>
      </c>
      <c r="Y49" s="9" t="str">
        <f t="shared" ref="Y49" si="97">IF(OR(X49="",X49="-"),"-",X49*$M49*SQRT(3)/1000)</f>
        <v>-</v>
      </c>
      <c r="Z49" s="9" t="s">
        <v>0</v>
      </c>
      <c r="AA49" s="9" t="str">
        <f t="shared" ref="AA49" si="98">IF(OR(Z49="",Z49="-"),"-",Z49*$M49*SQRT(3)/1000)</f>
        <v>-</v>
      </c>
      <c r="AB49" s="9" t="s">
        <v>0</v>
      </c>
      <c r="AC49" s="9" t="str">
        <f t="shared" ref="AC49" si="99">IF(OR(AB49="",AB49="-"),"-",AB49*$M49*SQRT(3)/1000)</f>
        <v>-</v>
      </c>
      <c r="AD49" s="9" t="s">
        <v>0</v>
      </c>
      <c r="AE49" s="12" t="str">
        <f t="shared" ref="AE49" si="100">IF(OR(AD49="",AD49="-"),"-",AD49*$M49*SQRT(3)/1000)</f>
        <v>-</v>
      </c>
      <c r="AF49" s="29" t="s">
        <v>0</v>
      </c>
      <c r="AG49" s="29" t="s">
        <v>0</v>
      </c>
      <c r="AH49" s="29">
        <v>7241</v>
      </c>
      <c r="AI49" s="29" t="s">
        <v>0</v>
      </c>
      <c r="AJ49" s="32" t="s">
        <v>0</v>
      </c>
      <c r="AK49" s="29" t="s">
        <v>0</v>
      </c>
      <c r="AL49" s="32" t="s">
        <v>0</v>
      </c>
      <c r="AM49" s="29" t="s">
        <v>0</v>
      </c>
      <c r="AN49" s="32" t="s">
        <v>0</v>
      </c>
      <c r="AO49" s="29" t="s">
        <v>0</v>
      </c>
      <c r="AP49" s="29" t="s">
        <v>0</v>
      </c>
      <c r="AQ49" s="32" t="s">
        <v>0</v>
      </c>
      <c r="AR49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49" s="9" t="str">
        <f t="shared" ref="AS49" si="101">IF(OR(AR49="",AR49="-"),"-",AR49*$M49*SQRT(3)/1000)</f>
        <v>-</v>
      </c>
      <c r="AT49" s="9">
        <f>IF(RIGHT(ABY[[#This Row],[Device type]],7)="Winding","-",ABY[[#This Row],[Cont Winter MVA]])</f>
        <v>19.662240767521894</v>
      </c>
      <c r="AU49" s="9" t="str">
        <f>IF(RIGHT(ABY[[#This Row],[Device type]],7)="Winding","-",ABY[[#This Row],[Cont Shoulder MVA]])</f>
        <v>-</v>
      </c>
      <c r="AV49" s="9">
        <f>IF(RIGHT(ABY[[#This Row],[Device type]],7)="Winding","-",ABY[[#This Row],[Cont Summer MVA]])</f>
        <v>14.681436408284609</v>
      </c>
      <c r="AW49" s="9" t="str">
        <f>IF(RIGHT(ABY[[#This Row],[Device type]],7)="Winding","-",ABY[[#This Row],[24 Hr Winter MVA]])</f>
        <v>-</v>
      </c>
      <c r="AX49" s="9" t="str">
        <f>IF(RIGHT(ABY[[#This Row],[Device type]],7)="Winding","-",ABY[[#This Row],[24 Hr Summer MVA]])</f>
        <v>-</v>
      </c>
      <c r="AY49" s="9" t="str">
        <f>ABY[[#This Row],[Forwards MVA]]</f>
        <v>-</v>
      </c>
      <c r="AZ49" s="9" t="str">
        <f>ABY[[#This Row],[Relay MVA]]</f>
        <v>-</v>
      </c>
      <c r="BA49" s="9" t="str">
        <f>ABY[[#This Row],[CT MVA]]</f>
        <v>-</v>
      </c>
      <c r="BB49" s="9" t="str">
        <f>ABY[[#This Row],[Derating MVA]]</f>
        <v>-</v>
      </c>
      <c r="BC49" s="9" t="str">
        <f>ABY[[#This Row],[Station/Feeder]]&amp;ABY[[#This Row],[Lowest MVA]]</f>
        <v>CB2722_Fairlie14.6814364082846</v>
      </c>
      <c r="BD49" s="9" t="str">
        <f>CONCATENATE(ABY[[#This Row],[Supply Level]],ABY[[#This Row],[Station/Feeder]],ABY[[#This Row],[Voltage]],ABY[[#This Row],[Lowest A-No PTX]])</f>
        <v>SubTransmissionCB2722_Fairlie33256.858523103439</v>
      </c>
      <c r="BE49" s="9" t="str">
        <f>CONCATENATE(ABY[[#This Row],[Supply Level]],ABY[[#This Row],[Station/Feeder]],ABY[[#This Row],[Voltage]],ABY[[#This Row],[Lowest A-PTX]])</f>
        <v>SubTransmissionCB2722_Fairlie33256.858523103439</v>
      </c>
      <c r="BF49" s="9">
        <f>IF(MIN(ABY[[#This Row],[Summ Cont Winter A]:[Cable Derating]])=0,"",MIN(ABY[[#This Row],[Summ Cont Winter A]:[Cable Derating]]))</f>
        <v>14.681436408284609</v>
      </c>
      <c r="BG49" s="57">
        <f>IFERROR(ABY[[#This Row],[Lowest MVA]]*1000/(ABY[[#This Row],[Voltage]]*SQRT(3)),"")</f>
        <v>256.85852310343915</v>
      </c>
      <c r="BH49" s="57">
        <f t="shared" si="71"/>
        <v>256.85852310343915</v>
      </c>
      <c r="BI49" s="9" t="str">
        <f>ABY[[#This Row],[From]]</f>
        <v>F388</v>
      </c>
      <c r="BJ49" s="9" t="str">
        <f>ABY[[#This Row],[To]]</f>
        <v>OPU T-off</v>
      </c>
      <c r="BK49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Line-DOG</v>
      </c>
      <c r="BL49" s="9">
        <f>ABY[[#This Row],[Voltage]]</f>
        <v>33</v>
      </c>
    </row>
    <row r="50" spans="1:64" s="1" customFormat="1" ht="15" customHeight="1" x14ac:dyDescent="0.25">
      <c r="A50" s="353" t="str">
        <f>CONCATENATE(ABY[[#This Row],[Supply Level]],ABY[[#This Row],[Station/Feeder]],ABY[[#This Row],[Voltage]])</f>
        <v>SubTransmissionCB2722_Fairlie33</v>
      </c>
      <c r="B50" s="353" t="str">
        <f>CONCATENATE(ABY[[#This Row],[Supply Level]],ABY[[#This Row],[Station/Feeder]],ABY[[#This Row],[Equipment ID]],ABY[[#This Row],[Voltage]],ABY[[#This Row],[Device type]])</f>
        <v>SubTransmissionCB2722_FairliePETREL33-</v>
      </c>
      <c r="C50" s="6" t="s">
        <v>1245</v>
      </c>
      <c r="D50" s="11" t="s">
        <v>90</v>
      </c>
      <c r="E50" s="46" t="s">
        <v>331</v>
      </c>
      <c r="F50" s="46" t="s">
        <v>326</v>
      </c>
      <c r="G50" s="57">
        <v>4</v>
      </c>
      <c r="H50" s="46" t="s">
        <v>1289</v>
      </c>
      <c r="I50" s="46" t="s">
        <v>337</v>
      </c>
      <c r="J50" s="46" t="s">
        <v>69</v>
      </c>
      <c r="K50" s="46" t="s">
        <v>0</v>
      </c>
      <c r="L50" s="46" t="s">
        <v>0</v>
      </c>
      <c r="M50" s="57">
        <v>33</v>
      </c>
      <c r="N50" s="9">
        <v>230</v>
      </c>
      <c r="O50" s="9">
        <f t="shared" ref="O50" si="102">IF(OR(N50="",N50="-"),"-",N50*$M50*SQRT(3)/1000)</f>
        <v>13.146265629447779</v>
      </c>
      <c r="P50" s="9" t="s">
        <v>0</v>
      </c>
      <c r="Q50" s="9" t="str">
        <f t="shared" ref="Q50" si="103">IF(OR(P50="",P50="-"),"-",P50*$M50*SQRT(3)/1000)</f>
        <v>-</v>
      </c>
      <c r="R50" s="9">
        <v>172.83709311979482</v>
      </c>
      <c r="S50" s="9">
        <f t="shared" ref="S50" si="104">IF(OR(R50="",R50="-"),"-",R50*$M50*SQRT(3)/1000)</f>
        <v>9.8789666816279293</v>
      </c>
      <c r="T50" s="9" t="s">
        <v>0</v>
      </c>
      <c r="U50" s="9" t="str">
        <f t="shared" ref="U50" si="105">IF(OR(T50="",T50="-"),"-",T50*$M50*SQRT(3)/1000)</f>
        <v>-</v>
      </c>
      <c r="V50" s="9" t="s">
        <v>0</v>
      </c>
      <c r="W50" s="9" t="str">
        <f t="shared" ref="W50" si="106">IF(OR(V50="",V50="-"),"-",V50*$M50*SQRT(3)/1000)</f>
        <v>-</v>
      </c>
      <c r="X50" s="9" t="s">
        <v>0</v>
      </c>
      <c r="Y50" s="9" t="str">
        <f t="shared" ref="Y50" si="107">IF(OR(X50="",X50="-"),"-",X50*$M50*SQRT(3)/1000)</f>
        <v>-</v>
      </c>
      <c r="Z50" s="9" t="s">
        <v>0</v>
      </c>
      <c r="AA50" s="9" t="str">
        <f t="shared" ref="AA50" si="108">IF(OR(Z50="",Z50="-"),"-",Z50*$M50*SQRT(3)/1000)</f>
        <v>-</v>
      </c>
      <c r="AB50" s="9" t="s">
        <v>0</v>
      </c>
      <c r="AC50" s="9" t="str">
        <f t="shared" ref="AC50" si="109">IF(OR(AB50="",AB50="-"),"-",AB50*$M50*SQRT(3)/1000)</f>
        <v>-</v>
      </c>
      <c r="AD50" s="9" t="s">
        <v>0</v>
      </c>
      <c r="AE50" s="12" t="str">
        <f t="shared" ref="AE50" si="110">IF(OR(AD50="",AD50="-"),"-",AD50*$M50*SQRT(3)/1000)</f>
        <v>-</v>
      </c>
      <c r="AF50" s="29" t="s">
        <v>0</v>
      </c>
      <c r="AG50" s="29" t="s">
        <v>0</v>
      </c>
      <c r="AH50" s="29">
        <v>520.9</v>
      </c>
      <c r="AI50" s="29" t="s">
        <v>0</v>
      </c>
      <c r="AJ50" s="32" t="s">
        <v>0</v>
      </c>
      <c r="AK50" s="29" t="s">
        <v>0</v>
      </c>
      <c r="AL50" s="32" t="s">
        <v>0</v>
      </c>
      <c r="AM50" s="29" t="s">
        <v>0</v>
      </c>
      <c r="AN50" s="32" t="s">
        <v>0</v>
      </c>
      <c r="AO50" s="29" t="s">
        <v>0</v>
      </c>
      <c r="AP50" s="29" t="s">
        <v>0</v>
      </c>
      <c r="AQ50" s="32" t="s">
        <v>0</v>
      </c>
      <c r="AR50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50" s="9" t="str">
        <f t="shared" ref="AS50" si="111">IF(OR(AR50="",AR50="-"),"-",AR50*$M50*SQRT(3)/1000)</f>
        <v>-</v>
      </c>
      <c r="AT50" s="9">
        <f>IF(RIGHT(ABY[[#This Row],[Device type]],7)="Winding","-",ABY[[#This Row],[Cont Winter MVA]])</f>
        <v>13.146265629447779</v>
      </c>
      <c r="AU50" s="9" t="str">
        <f>IF(RIGHT(ABY[[#This Row],[Device type]],7)="Winding","-",ABY[[#This Row],[Cont Shoulder MVA]])</f>
        <v>-</v>
      </c>
      <c r="AV50" s="9">
        <f>IF(RIGHT(ABY[[#This Row],[Device type]],7)="Winding","-",ABY[[#This Row],[Cont Summer MVA]])</f>
        <v>9.8789666816279293</v>
      </c>
      <c r="AW50" s="9" t="str">
        <f>IF(RIGHT(ABY[[#This Row],[Device type]],7)="Winding","-",ABY[[#This Row],[24 Hr Winter MVA]])</f>
        <v>-</v>
      </c>
      <c r="AX50" s="9" t="str">
        <f>IF(RIGHT(ABY[[#This Row],[Device type]],7)="Winding","-",ABY[[#This Row],[24 Hr Summer MVA]])</f>
        <v>-</v>
      </c>
      <c r="AY50" s="9" t="str">
        <f>ABY[[#This Row],[Forwards MVA]]</f>
        <v>-</v>
      </c>
      <c r="AZ50" s="9" t="str">
        <f>ABY[[#This Row],[Relay MVA]]</f>
        <v>-</v>
      </c>
      <c r="BA50" s="9" t="str">
        <f>ABY[[#This Row],[CT MVA]]</f>
        <v>-</v>
      </c>
      <c r="BB50" s="9" t="str">
        <f>ABY[[#This Row],[Derating MVA]]</f>
        <v>-</v>
      </c>
      <c r="BC50" s="9" t="str">
        <f>ABY[[#This Row],[Station/Feeder]]&amp;ABY[[#This Row],[Lowest MVA]]</f>
        <v>CB2722_Fairlie9.87896668162793</v>
      </c>
      <c r="BD50" s="9" t="str">
        <f>CONCATENATE(ABY[[#This Row],[Supply Level]],ABY[[#This Row],[Station/Feeder]],ABY[[#This Row],[Voltage]],ABY[[#This Row],[Lowest A-No PTX]])</f>
        <v>SubTransmissionCB2722_Fairlie33172.837093119795</v>
      </c>
      <c r="BE50" s="9" t="str">
        <f>CONCATENATE(ABY[[#This Row],[Supply Level]],ABY[[#This Row],[Station/Feeder]],ABY[[#This Row],[Voltage]],ABY[[#This Row],[Lowest A-PTX]])</f>
        <v>SubTransmissionCB2722_Fairlie33172.837093119795</v>
      </c>
      <c r="BF50" s="9">
        <f>IF(MIN(ABY[[#This Row],[Summ Cont Winter A]:[Cable Derating]])=0,"",MIN(ABY[[#This Row],[Summ Cont Winter A]:[Cable Derating]]))</f>
        <v>9.8789666816279293</v>
      </c>
      <c r="BG50" s="57">
        <f>IFERROR(ABY[[#This Row],[Lowest MVA]]*1000/(ABY[[#This Row],[Voltage]]*SQRT(3)),"")</f>
        <v>172.83709311979484</v>
      </c>
      <c r="BH50" s="57">
        <f t="shared" si="71"/>
        <v>172.83709311979482</v>
      </c>
      <c r="BI50" s="9" t="str">
        <f>ABY[[#This Row],[From]]</f>
        <v>F388</v>
      </c>
      <c r="BJ50" s="9" t="str">
        <f>ABY[[#This Row],[To]]</f>
        <v>OPU T-off</v>
      </c>
      <c r="BK50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Line-PETREL</v>
      </c>
      <c r="BL50" s="9">
        <f>ABY[[#This Row],[Voltage]]</f>
        <v>33</v>
      </c>
    </row>
    <row r="51" spans="1:64" s="1" customFormat="1" ht="15" customHeight="1" x14ac:dyDescent="0.25">
      <c r="A51" s="353" t="str">
        <f>CONCATENATE(ABY[[#This Row],[Supply Level]],ABY[[#This Row],[Station/Feeder]],ABY[[#This Row],[Voltage]])</f>
        <v>SubTransmissionCB2722_Fairlie33</v>
      </c>
      <c r="B51" s="353" t="str">
        <f>CONCATENATE(ABY[[#This Row],[Supply Level]],ABY[[#This Row],[Station/Feeder]],ABY[[#This Row],[Equipment ID]],ABY[[#This Row],[Voltage]],ABY[[#This Row],[Device type]])</f>
        <v>SubTransmissionCB2722_FairlieDOG33-</v>
      </c>
      <c r="C51" s="6" t="s">
        <v>1245</v>
      </c>
      <c r="D51" s="11" t="s">
        <v>90</v>
      </c>
      <c r="E51" s="46" t="s">
        <v>331</v>
      </c>
      <c r="F51" s="46" t="s">
        <v>326</v>
      </c>
      <c r="G51" s="57">
        <v>5</v>
      </c>
      <c r="H51" s="46" t="s">
        <v>1289</v>
      </c>
      <c r="I51" s="46" t="s">
        <v>318</v>
      </c>
      <c r="J51" s="46" t="s">
        <v>69</v>
      </c>
      <c r="K51" s="46" t="s">
        <v>0</v>
      </c>
      <c r="L51" s="46" t="s">
        <v>0</v>
      </c>
      <c r="M51" s="57">
        <v>33</v>
      </c>
      <c r="N51" s="9">
        <v>344</v>
      </c>
      <c r="O51" s="9">
        <f>IF(OR(N51="",N51="-"),"-",N51*$M51*SQRT(3)/1000)</f>
        <v>19.662240767521894</v>
      </c>
      <c r="P51" s="9" t="s">
        <v>0</v>
      </c>
      <c r="Q51" s="9" t="str">
        <f>IF(OR(P51="",P51="-"),"-",P51*$M51*SQRT(3)/1000)</f>
        <v>-</v>
      </c>
      <c r="R51" s="9">
        <v>256.85852310343915</v>
      </c>
      <c r="S51" s="9">
        <f>IF(OR(R51="",R51="-"),"-",R51*$M51*SQRT(3)/1000)</f>
        <v>14.681436408284609</v>
      </c>
      <c r="T51" s="9" t="s">
        <v>0</v>
      </c>
      <c r="U51" s="9" t="str">
        <f>IF(OR(T51="",T51="-"),"-",T51*$M51*SQRT(3)/1000)</f>
        <v>-</v>
      </c>
      <c r="V51" s="9" t="s">
        <v>0</v>
      </c>
      <c r="W51" s="9" t="str">
        <f>IF(OR(V51="",V51="-"),"-",V51*$M51*SQRT(3)/1000)</f>
        <v>-</v>
      </c>
      <c r="X51" s="9" t="s">
        <v>0</v>
      </c>
      <c r="Y51" s="9" t="str">
        <f>IF(OR(X51="",X51="-"),"-",X51*$M51*SQRT(3)/1000)</f>
        <v>-</v>
      </c>
      <c r="Z51" s="9" t="s">
        <v>0</v>
      </c>
      <c r="AA51" s="9" t="str">
        <f>IF(OR(Z51="",Z51="-"),"-",Z51*$M51*SQRT(3)/1000)</f>
        <v>-</v>
      </c>
      <c r="AB51" s="9" t="s">
        <v>0</v>
      </c>
      <c r="AC51" s="9" t="str">
        <f>IF(OR(AB51="",AB51="-"),"-",AB51*$M51*SQRT(3)/1000)</f>
        <v>-</v>
      </c>
      <c r="AD51" s="9" t="s">
        <v>0</v>
      </c>
      <c r="AE51" s="12" t="str">
        <f>IF(OR(AD51="",AD51="-"),"-",AD51*$M51*SQRT(3)/1000)</f>
        <v>-</v>
      </c>
      <c r="AF51" s="29" t="s">
        <v>0</v>
      </c>
      <c r="AG51" s="29" t="s">
        <v>0</v>
      </c>
      <c r="AH51" s="29">
        <v>2714.4</v>
      </c>
      <c r="AI51" s="29" t="s">
        <v>0</v>
      </c>
      <c r="AJ51" s="32" t="s">
        <v>0</v>
      </c>
      <c r="AK51" s="29" t="s">
        <v>0</v>
      </c>
      <c r="AL51" s="32" t="s">
        <v>0</v>
      </c>
      <c r="AM51" s="29" t="s">
        <v>0</v>
      </c>
      <c r="AN51" s="32" t="s">
        <v>0</v>
      </c>
      <c r="AO51" s="29" t="s">
        <v>0</v>
      </c>
      <c r="AP51" s="29" t="s">
        <v>0</v>
      </c>
      <c r="AQ51" s="32" t="s">
        <v>0</v>
      </c>
      <c r="AR51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51" s="9" t="str">
        <f>IF(OR(AR51="",AR51="-"),"-",AR51*$M51*SQRT(3)/1000)</f>
        <v>-</v>
      </c>
      <c r="AT51" s="9">
        <f>IF(RIGHT(ABY[[#This Row],[Device type]],7)="Winding","-",ABY[[#This Row],[Cont Winter MVA]])</f>
        <v>19.662240767521894</v>
      </c>
      <c r="AU51" s="9" t="str">
        <f>IF(RIGHT(ABY[[#This Row],[Device type]],7)="Winding","-",ABY[[#This Row],[Cont Shoulder MVA]])</f>
        <v>-</v>
      </c>
      <c r="AV51" s="9">
        <f>IF(RIGHT(ABY[[#This Row],[Device type]],7)="Winding","-",ABY[[#This Row],[Cont Summer MVA]])</f>
        <v>14.681436408284609</v>
      </c>
      <c r="AW51" s="9" t="str">
        <f>IF(RIGHT(ABY[[#This Row],[Device type]],7)="Winding","-",ABY[[#This Row],[24 Hr Winter MVA]])</f>
        <v>-</v>
      </c>
      <c r="AX51" s="9" t="str">
        <f>IF(RIGHT(ABY[[#This Row],[Device type]],7)="Winding","-",ABY[[#This Row],[24 Hr Summer MVA]])</f>
        <v>-</v>
      </c>
      <c r="AY51" s="9" t="str">
        <f>ABY[[#This Row],[Forwards MVA]]</f>
        <v>-</v>
      </c>
      <c r="AZ51" s="9" t="str">
        <f>ABY[[#This Row],[Relay MVA]]</f>
        <v>-</v>
      </c>
      <c r="BA51" s="9" t="str">
        <f>ABY[[#This Row],[CT MVA]]</f>
        <v>-</v>
      </c>
      <c r="BB51" s="9" t="str">
        <f>ABY[[#This Row],[Derating MVA]]</f>
        <v>-</v>
      </c>
      <c r="BC51" s="9" t="str">
        <f>ABY[[#This Row],[Station/Feeder]]&amp;ABY[[#This Row],[Lowest MVA]]</f>
        <v>CB2722_Fairlie14.6814364082846</v>
      </c>
      <c r="BD51" s="9" t="str">
        <f>CONCATENATE(ABY[[#This Row],[Supply Level]],ABY[[#This Row],[Station/Feeder]],ABY[[#This Row],[Voltage]],ABY[[#This Row],[Lowest A-No PTX]])</f>
        <v>SubTransmissionCB2722_Fairlie33256.858523103439</v>
      </c>
      <c r="BE51" s="9" t="str">
        <f>CONCATENATE(ABY[[#This Row],[Supply Level]],ABY[[#This Row],[Station/Feeder]],ABY[[#This Row],[Voltage]],ABY[[#This Row],[Lowest A-PTX]])</f>
        <v>SubTransmissionCB2722_Fairlie33256.858523103439</v>
      </c>
      <c r="BF51" s="9">
        <f>IF(MIN(ABY[[#This Row],[Summ Cont Winter A]:[Cable Derating]])=0,"",MIN(ABY[[#This Row],[Summ Cont Winter A]:[Cable Derating]]))</f>
        <v>14.681436408284609</v>
      </c>
      <c r="BG51" s="57">
        <f>IFERROR(ABY[[#This Row],[Lowest MVA]]*1000/(ABY[[#This Row],[Voltage]]*SQRT(3)),"")</f>
        <v>256.85852310343915</v>
      </c>
      <c r="BH51" s="57">
        <f t="shared" si="71"/>
        <v>256.85852310343915</v>
      </c>
      <c r="BI51" s="9" t="str">
        <f>ABY[[#This Row],[From]]</f>
        <v>F388</v>
      </c>
      <c r="BJ51" s="9" t="str">
        <f>ABY[[#This Row],[To]]</f>
        <v>OPU T-off</v>
      </c>
      <c r="BK51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Line-DOG</v>
      </c>
      <c r="BL51" s="9">
        <f>ABY[[#This Row],[Voltage]]</f>
        <v>33</v>
      </c>
    </row>
    <row r="52" spans="1:64" s="1" customFormat="1" ht="15" customHeight="1" x14ac:dyDescent="0.25">
      <c r="A52" s="353" t="str">
        <f>CONCATENATE(ABY[[#This Row],[Supply Level]],ABY[[#This Row],[Station/Feeder]],ABY[[#This Row],[Voltage]])</f>
        <v>SubTransmissionCB2722_Fairlie33</v>
      </c>
      <c r="B52" s="353" t="str">
        <f>CONCATENATE(ABY[[#This Row],[Supply Level]],ABY[[#This Row],[Station/Feeder]],ABY[[#This Row],[Equipment ID]],ABY[[#This Row],[Voltage]],ABY[[#This Row],[Device type]])</f>
        <v>SubTransmissionCB2722_FairlieF30533-</v>
      </c>
      <c r="C52" s="6" t="s">
        <v>1245</v>
      </c>
      <c r="D52" s="11" t="s">
        <v>90</v>
      </c>
      <c r="E52" s="46" t="s">
        <v>331</v>
      </c>
      <c r="F52" s="46" t="s">
        <v>326</v>
      </c>
      <c r="G52" s="57">
        <v>6</v>
      </c>
      <c r="H52" s="46" t="s">
        <v>273</v>
      </c>
      <c r="I52" s="46" t="s">
        <v>338</v>
      </c>
      <c r="J52" s="46" t="s">
        <v>240</v>
      </c>
      <c r="K52" s="46" t="s">
        <v>0</v>
      </c>
      <c r="L52" s="46" t="s">
        <v>0</v>
      </c>
      <c r="M52" s="57">
        <v>33</v>
      </c>
      <c r="N52" s="9">
        <v>344</v>
      </c>
      <c r="O52" s="9">
        <f t="shared" si="0"/>
        <v>19.662240767521894</v>
      </c>
      <c r="P52" s="9" t="s">
        <v>0</v>
      </c>
      <c r="Q52" s="9" t="str">
        <f t="shared" si="1"/>
        <v>-</v>
      </c>
      <c r="R52" s="9">
        <v>256.85852310343915</v>
      </c>
      <c r="S52" s="9">
        <f t="shared" si="2"/>
        <v>14.681436408284609</v>
      </c>
      <c r="T52" s="9" t="s">
        <v>0</v>
      </c>
      <c r="U52" s="9" t="str">
        <f t="shared" si="3"/>
        <v>-</v>
      </c>
      <c r="V52" s="9" t="s">
        <v>0</v>
      </c>
      <c r="W52" s="9" t="str">
        <f t="shared" si="4"/>
        <v>-</v>
      </c>
      <c r="X52" s="9" t="s">
        <v>0</v>
      </c>
      <c r="Y52" s="9" t="str">
        <f t="shared" si="5"/>
        <v>-</v>
      </c>
      <c r="Z52" s="9" t="s">
        <v>0</v>
      </c>
      <c r="AA52" s="9" t="str">
        <f t="shared" si="6"/>
        <v>-</v>
      </c>
      <c r="AB52" s="9" t="s">
        <v>0</v>
      </c>
      <c r="AC52" s="9" t="str">
        <f t="shared" si="7"/>
        <v>-</v>
      </c>
      <c r="AD52" s="9" t="s">
        <v>0</v>
      </c>
      <c r="AE52" s="12" t="str">
        <f t="shared" si="8"/>
        <v>-</v>
      </c>
      <c r="AF52" s="29" t="s">
        <v>0</v>
      </c>
      <c r="AG52" s="29" t="s">
        <v>0</v>
      </c>
      <c r="AH52" s="29" t="s">
        <v>0</v>
      </c>
      <c r="AI52" s="29" t="s">
        <v>0</v>
      </c>
      <c r="AJ52" s="32" t="s">
        <v>0</v>
      </c>
      <c r="AK52" s="29" t="s">
        <v>0</v>
      </c>
      <c r="AL52" s="32" t="s">
        <v>0</v>
      </c>
      <c r="AM52" s="29" t="s">
        <v>0</v>
      </c>
      <c r="AN52" s="32" t="s">
        <v>0</v>
      </c>
      <c r="AO52" s="29" t="s">
        <v>0</v>
      </c>
      <c r="AP52" s="29" t="s">
        <v>0</v>
      </c>
      <c r="AQ52" s="32" t="s">
        <v>0</v>
      </c>
      <c r="AR52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52" s="9" t="str">
        <f t="shared" si="9"/>
        <v>-</v>
      </c>
      <c r="AT52" s="9">
        <f>IF(RIGHT(ABY[[#This Row],[Device type]],7)="Winding","-",ABY[[#This Row],[Cont Winter MVA]])</f>
        <v>19.662240767521894</v>
      </c>
      <c r="AU52" s="9" t="str">
        <f>IF(RIGHT(ABY[[#This Row],[Device type]],7)="Winding","-",ABY[[#This Row],[Cont Shoulder MVA]])</f>
        <v>-</v>
      </c>
      <c r="AV52" s="9">
        <f>IF(RIGHT(ABY[[#This Row],[Device type]],7)="Winding","-",ABY[[#This Row],[Cont Summer MVA]])</f>
        <v>14.681436408284609</v>
      </c>
      <c r="AW52" s="9" t="str">
        <f>IF(RIGHT(ABY[[#This Row],[Device type]],7)="Winding","-",ABY[[#This Row],[24 Hr Winter MVA]])</f>
        <v>-</v>
      </c>
      <c r="AX52" s="9" t="str">
        <f>IF(RIGHT(ABY[[#This Row],[Device type]],7)="Winding","-",ABY[[#This Row],[24 Hr Summer MVA]])</f>
        <v>-</v>
      </c>
      <c r="AY52" s="9" t="str">
        <f>ABY[[#This Row],[Forwards MVA]]</f>
        <v>-</v>
      </c>
      <c r="AZ52" s="9" t="str">
        <f>ABY[[#This Row],[Relay MVA]]</f>
        <v>-</v>
      </c>
      <c r="BA52" s="9" t="str">
        <f>ABY[[#This Row],[CT MVA]]</f>
        <v>-</v>
      </c>
      <c r="BB52" s="9" t="str">
        <f>ABY[[#This Row],[Derating MVA]]</f>
        <v>-</v>
      </c>
      <c r="BC52" s="9" t="str">
        <f>ABY[[#This Row],[Station/Feeder]]&amp;ABY[[#This Row],[Lowest MVA]]</f>
        <v>CB2722_Fairlie14.6814364082846</v>
      </c>
      <c r="BD52" s="9" t="str">
        <f>CONCATENATE(ABY[[#This Row],[Supply Level]],ABY[[#This Row],[Station/Feeder]],ABY[[#This Row],[Voltage]],ABY[[#This Row],[Lowest A-No PTX]])</f>
        <v>SubTransmissionCB2722_Fairlie33256.858523103439</v>
      </c>
      <c r="BE52" s="9" t="str">
        <f>CONCATENATE(ABY[[#This Row],[Supply Level]],ABY[[#This Row],[Station/Feeder]],ABY[[#This Row],[Voltage]],ABY[[#This Row],[Lowest A-PTX]])</f>
        <v>SubTransmissionCB2722_Fairlie33256.858523103439</v>
      </c>
      <c r="BF52" s="9">
        <f>IF(MIN(ABY[[#This Row],[Summ Cont Winter A]:[Cable Derating]])=0,"",MIN(ABY[[#This Row],[Summ Cont Winter A]:[Cable Derating]]))</f>
        <v>14.681436408284609</v>
      </c>
      <c r="BG52" s="57">
        <f>IFERROR(ABY[[#This Row],[Lowest MVA]]*1000/(ABY[[#This Row],[Voltage]]*SQRT(3)),"")</f>
        <v>256.85852310343915</v>
      </c>
      <c r="BH52" s="57">
        <f t="shared" si="71"/>
        <v>256.85852310343915</v>
      </c>
      <c r="BI52" s="9" t="str">
        <f>ABY[[#This Row],[From]]</f>
        <v>F388</v>
      </c>
      <c r="BJ52" s="9" t="str">
        <f>ABY[[#This Row],[To]]</f>
        <v>OPU T-off</v>
      </c>
      <c r="BK52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ABS-F305</v>
      </c>
      <c r="BL52" s="9">
        <f>ABY[[#This Row],[Voltage]]</f>
        <v>33</v>
      </c>
    </row>
    <row r="53" spans="1:64" s="1" customFormat="1" ht="15" customHeight="1" x14ac:dyDescent="0.25">
      <c r="A53" s="353" t="str">
        <f>CONCATENATE(ABY[[#This Row],[Supply Level]],ABY[[#This Row],[Station/Feeder]],ABY[[#This Row],[Voltage]])</f>
        <v>SubTransmissionCB2722_Fairlie33</v>
      </c>
      <c r="B53" s="353" t="str">
        <f>CONCATENATE(ABY[[#This Row],[Supply Level]],ABY[[#This Row],[Station/Feeder]],ABY[[#This Row],[Equipment ID]],ABY[[#This Row],[Voltage]],ABY[[#This Row],[Device type]])</f>
        <v>SubTransmissionCB2722_FairlieDOG33-</v>
      </c>
      <c r="C53" s="6" t="s">
        <v>1245</v>
      </c>
      <c r="D53" s="11" t="s">
        <v>90</v>
      </c>
      <c r="E53" s="46" t="s">
        <v>331</v>
      </c>
      <c r="F53" s="46" t="s">
        <v>326</v>
      </c>
      <c r="G53" s="57">
        <v>7</v>
      </c>
      <c r="H53" s="46" t="s">
        <v>1289</v>
      </c>
      <c r="I53" s="46" t="s">
        <v>318</v>
      </c>
      <c r="J53" s="46" t="s">
        <v>69</v>
      </c>
      <c r="K53" s="46" t="s">
        <v>0</v>
      </c>
      <c r="L53" s="46" t="s">
        <v>0</v>
      </c>
      <c r="M53" s="57">
        <v>33</v>
      </c>
      <c r="N53" s="9">
        <v>344</v>
      </c>
      <c r="O53" s="9">
        <f>IF(OR(N53="",N53="-"),"-",N53*$M53*SQRT(3)/1000)</f>
        <v>19.662240767521894</v>
      </c>
      <c r="P53" s="9" t="s">
        <v>0</v>
      </c>
      <c r="Q53" s="9" t="str">
        <f>IF(OR(P53="",P53="-"),"-",P53*$M53*SQRT(3)/1000)</f>
        <v>-</v>
      </c>
      <c r="R53" s="9">
        <v>256.85852310343915</v>
      </c>
      <c r="S53" s="9">
        <f>IF(OR(R53="",R53="-"),"-",R53*$M53*SQRT(3)/1000)</f>
        <v>14.681436408284609</v>
      </c>
      <c r="T53" s="9" t="s">
        <v>0</v>
      </c>
      <c r="U53" s="9" t="str">
        <f>IF(OR(T53="",T53="-"),"-",T53*$M53*SQRT(3)/1000)</f>
        <v>-</v>
      </c>
      <c r="V53" s="9" t="s">
        <v>0</v>
      </c>
      <c r="W53" s="9" t="str">
        <f>IF(OR(V53="",V53="-"),"-",V53*$M53*SQRT(3)/1000)</f>
        <v>-</v>
      </c>
      <c r="X53" s="9" t="s">
        <v>0</v>
      </c>
      <c r="Y53" s="9" t="str">
        <f>IF(OR(X53="",X53="-"),"-",X53*$M53*SQRT(3)/1000)</f>
        <v>-</v>
      </c>
      <c r="Z53" s="9" t="s">
        <v>0</v>
      </c>
      <c r="AA53" s="9" t="str">
        <f>IF(OR(Z53="",Z53="-"),"-",Z53*$M53*SQRT(3)/1000)</f>
        <v>-</v>
      </c>
      <c r="AB53" s="9" t="s">
        <v>0</v>
      </c>
      <c r="AC53" s="9" t="str">
        <f>IF(OR(AB53="",AB53="-"),"-",AB53*$M53*SQRT(3)/1000)</f>
        <v>-</v>
      </c>
      <c r="AD53" s="9" t="s">
        <v>0</v>
      </c>
      <c r="AE53" s="12" t="str">
        <f>IF(OR(AD53="",AD53="-"),"-",AD53*$M53*SQRT(3)/1000)</f>
        <v>-</v>
      </c>
      <c r="AF53" s="29" t="s">
        <v>0</v>
      </c>
      <c r="AG53" s="29" t="s">
        <v>0</v>
      </c>
      <c r="AH53" s="29">
        <v>7585</v>
      </c>
      <c r="AI53" s="29" t="s">
        <v>0</v>
      </c>
      <c r="AJ53" s="32" t="s">
        <v>0</v>
      </c>
      <c r="AK53" s="29" t="s">
        <v>0</v>
      </c>
      <c r="AL53" s="32" t="s">
        <v>0</v>
      </c>
      <c r="AM53" s="29" t="s">
        <v>0</v>
      </c>
      <c r="AN53" s="32" t="s">
        <v>0</v>
      </c>
      <c r="AO53" s="29" t="s">
        <v>0</v>
      </c>
      <c r="AP53" s="29" t="s">
        <v>0</v>
      </c>
      <c r="AQ53" s="32" t="s">
        <v>0</v>
      </c>
      <c r="AR53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53" s="9" t="str">
        <f>IF(OR(AR53="",AR53="-"),"-",AR53*$M53*SQRT(3)/1000)</f>
        <v>-</v>
      </c>
      <c r="AT53" s="9">
        <f>IF(RIGHT(ABY[[#This Row],[Device type]],7)="Winding","-",ABY[[#This Row],[Cont Winter MVA]])</f>
        <v>19.662240767521894</v>
      </c>
      <c r="AU53" s="9" t="str">
        <f>IF(RIGHT(ABY[[#This Row],[Device type]],7)="Winding","-",ABY[[#This Row],[Cont Shoulder MVA]])</f>
        <v>-</v>
      </c>
      <c r="AV53" s="9">
        <f>IF(RIGHT(ABY[[#This Row],[Device type]],7)="Winding","-",ABY[[#This Row],[Cont Summer MVA]])</f>
        <v>14.681436408284609</v>
      </c>
      <c r="AW53" s="9" t="str">
        <f>IF(RIGHT(ABY[[#This Row],[Device type]],7)="Winding","-",ABY[[#This Row],[24 Hr Winter MVA]])</f>
        <v>-</v>
      </c>
      <c r="AX53" s="9" t="str">
        <f>IF(RIGHT(ABY[[#This Row],[Device type]],7)="Winding","-",ABY[[#This Row],[24 Hr Summer MVA]])</f>
        <v>-</v>
      </c>
      <c r="AY53" s="9" t="str">
        <f>ABY[[#This Row],[Forwards MVA]]</f>
        <v>-</v>
      </c>
      <c r="AZ53" s="9" t="str">
        <f>ABY[[#This Row],[Relay MVA]]</f>
        <v>-</v>
      </c>
      <c r="BA53" s="9" t="str">
        <f>ABY[[#This Row],[CT MVA]]</f>
        <v>-</v>
      </c>
      <c r="BB53" s="9" t="str">
        <f>ABY[[#This Row],[Derating MVA]]</f>
        <v>-</v>
      </c>
      <c r="BC53" s="9" t="str">
        <f>ABY[[#This Row],[Station/Feeder]]&amp;ABY[[#This Row],[Lowest MVA]]</f>
        <v>CB2722_Fairlie14.6814364082846</v>
      </c>
      <c r="BD53" s="9" t="str">
        <f>CONCATENATE(ABY[[#This Row],[Supply Level]],ABY[[#This Row],[Station/Feeder]],ABY[[#This Row],[Voltage]],ABY[[#This Row],[Lowest A-No PTX]])</f>
        <v>SubTransmissionCB2722_Fairlie33256.858523103439</v>
      </c>
      <c r="BE53" s="9" t="str">
        <f>CONCATENATE(ABY[[#This Row],[Supply Level]],ABY[[#This Row],[Station/Feeder]],ABY[[#This Row],[Voltage]],ABY[[#This Row],[Lowest A-PTX]])</f>
        <v>SubTransmissionCB2722_Fairlie33256.858523103439</v>
      </c>
      <c r="BF53" s="9">
        <f>IF(MIN(ABY[[#This Row],[Summ Cont Winter A]:[Cable Derating]])=0,"",MIN(ABY[[#This Row],[Summ Cont Winter A]:[Cable Derating]]))</f>
        <v>14.681436408284609</v>
      </c>
      <c r="BG53" s="57">
        <f>IFERROR(ABY[[#This Row],[Lowest MVA]]*1000/(ABY[[#This Row],[Voltage]]*SQRT(3)),"")</f>
        <v>256.85852310343915</v>
      </c>
      <c r="BH53" s="57">
        <f t="shared" si="71"/>
        <v>256.85852310343915</v>
      </c>
      <c r="BI53" s="9" t="str">
        <f>ABY[[#This Row],[From]]</f>
        <v>F388</v>
      </c>
      <c r="BJ53" s="9" t="str">
        <f>ABY[[#This Row],[To]]</f>
        <v>OPU T-off</v>
      </c>
      <c r="BK53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Line-DOG</v>
      </c>
      <c r="BL53" s="9">
        <f>ABY[[#This Row],[Voltage]]</f>
        <v>33</v>
      </c>
    </row>
    <row r="54" spans="1:64" s="1" customFormat="1" ht="15" customHeight="1" x14ac:dyDescent="0.25">
      <c r="A54" s="353" t="str">
        <f>CONCATENATE(ABY[[#This Row],[Supply Level]],ABY[[#This Row],[Station/Feeder]],ABY[[#This Row],[Voltage]])</f>
        <v>SubTransmissionCB2722_Fairlie33</v>
      </c>
      <c r="B54" s="353" t="str">
        <f>CONCATENATE(ABY[[#This Row],[Supply Level]],ABY[[#This Row],[Station/Feeder]],ABY[[#This Row],[Equipment ID]],ABY[[#This Row],[Voltage]],ABY[[#This Row],[Device type]])</f>
        <v>SubTransmissionCB2722_FairlieF31733-</v>
      </c>
      <c r="C54" s="6" t="s">
        <v>1245</v>
      </c>
      <c r="D54" s="11" t="s">
        <v>90</v>
      </c>
      <c r="E54" s="46" t="s">
        <v>331</v>
      </c>
      <c r="F54" s="46" t="s">
        <v>326</v>
      </c>
      <c r="G54" s="57">
        <v>8</v>
      </c>
      <c r="H54" s="46" t="s">
        <v>273</v>
      </c>
      <c r="I54" s="46" t="s">
        <v>339</v>
      </c>
      <c r="J54" s="46" t="s">
        <v>240</v>
      </c>
      <c r="K54" s="46" t="s">
        <v>0</v>
      </c>
      <c r="L54" s="46" t="s">
        <v>0</v>
      </c>
      <c r="M54" s="57">
        <v>33</v>
      </c>
      <c r="N54" s="9">
        <v>344</v>
      </c>
      <c r="O54" s="9">
        <f t="shared" si="0"/>
        <v>19.662240767521894</v>
      </c>
      <c r="P54" s="9" t="s">
        <v>0</v>
      </c>
      <c r="Q54" s="9" t="str">
        <f t="shared" si="1"/>
        <v>-</v>
      </c>
      <c r="R54" s="9">
        <v>256.85852310343915</v>
      </c>
      <c r="S54" s="9">
        <f t="shared" si="2"/>
        <v>14.681436408284609</v>
      </c>
      <c r="T54" s="9" t="s">
        <v>0</v>
      </c>
      <c r="U54" s="9" t="str">
        <f t="shared" si="3"/>
        <v>-</v>
      </c>
      <c r="V54" s="9" t="s">
        <v>0</v>
      </c>
      <c r="W54" s="9" t="str">
        <f t="shared" si="4"/>
        <v>-</v>
      </c>
      <c r="X54" s="9" t="s">
        <v>0</v>
      </c>
      <c r="Y54" s="9" t="str">
        <f t="shared" si="5"/>
        <v>-</v>
      </c>
      <c r="Z54" s="9" t="s">
        <v>0</v>
      </c>
      <c r="AA54" s="9" t="str">
        <f t="shared" si="6"/>
        <v>-</v>
      </c>
      <c r="AB54" s="9" t="s">
        <v>0</v>
      </c>
      <c r="AC54" s="9" t="str">
        <f t="shared" si="7"/>
        <v>-</v>
      </c>
      <c r="AD54" s="9" t="s">
        <v>0</v>
      </c>
      <c r="AE54" s="12" t="str">
        <f t="shared" si="8"/>
        <v>-</v>
      </c>
      <c r="AF54" s="29" t="s">
        <v>0</v>
      </c>
      <c r="AG54" s="29" t="s">
        <v>0</v>
      </c>
      <c r="AH54" s="29" t="s">
        <v>0</v>
      </c>
      <c r="AI54" s="29" t="s">
        <v>0</v>
      </c>
      <c r="AJ54" s="32" t="s">
        <v>0</v>
      </c>
      <c r="AK54" s="29" t="s">
        <v>0</v>
      </c>
      <c r="AL54" s="32" t="s">
        <v>0</v>
      </c>
      <c r="AM54" s="29" t="s">
        <v>0</v>
      </c>
      <c r="AN54" s="32" t="s">
        <v>0</v>
      </c>
      <c r="AO54" s="29" t="s">
        <v>0</v>
      </c>
      <c r="AP54" s="29" t="s">
        <v>0</v>
      </c>
      <c r="AQ54" s="32" t="s">
        <v>0</v>
      </c>
      <c r="AR54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54" s="9" t="str">
        <f t="shared" si="9"/>
        <v>-</v>
      </c>
      <c r="AT54" s="9">
        <f>IF(RIGHT(ABY[[#This Row],[Device type]],7)="Winding","-",ABY[[#This Row],[Cont Winter MVA]])</f>
        <v>19.662240767521894</v>
      </c>
      <c r="AU54" s="9" t="str">
        <f>IF(RIGHT(ABY[[#This Row],[Device type]],7)="Winding","-",ABY[[#This Row],[Cont Shoulder MVA]])</f>
        <v>-</v>
      </c>
      <c r="AV54" s="9">
        <f>IF(RIGHT(ABY[[#This Row],[Device type]],7)="Winding","-",ABY[[#This Row],[Cont Summer MVA]])</f>
        <v>14.681436408284609</v>
      </c>
      <c r="AW54" s="9" t="str">
        <f>IF(RIGHT(ABY[[#This Row],[Device type]],7)="Winding","-",ABY[[#This Row],[24 Hr Winter MVA]])</f>
        <v>-</v>
      </c>
      <c r="AX54" s="9" t="str">
        <f>IF(RIGHT(ABY[[#This Row],[Device type]],7)="Winding","-",ABY[[#This Row],[24 Hr Summer MVA]])</f>
        <v>-</v>
      </c>
      <c r="AY54" s="9" t="str">
        <f>ABY[[#This Row],[Forwards MVA]]</f>
        <v>-</v>
      </c>
      <c r="AZ54" s="9" t="str">
        <f>ABY[[#This Row],[Relay MVA]]</f>
        <v>-</v>
      </c>
      <c r="BA54" s="9" t="str">
        <f>ABY[[#This Row],[CT MVA]]</f>
        <v>-</v>
      </c>
      <c r="BB54" s="9" t="str">
        <f>ABY[[#This Row],[Derating MVA]]</f>
        <v>-</v>
      </c>
      <c r="BC54" s="9" t="str">
        <f>ABY[[#This Row],[Station/Feeder]]&amp;ABY[[#This Row],[Lowest MVA]]</f>
        <v>CB2722_Fairlie14.6814364082846</v>
      </c>
      <c r="BD54" s="9" t="str">
        <f>CONCATENATE(ABY[[#This Row],[Supply Level]],ABY[[#This Row],[Station/Feeder]],ABY[[#This Row],[Voltage]],ABY[[#This Row],[Lowest A-No PTX]])</f>
        <v>SubTransmissionCB2722_Fairlie33256.858523103439</v>
      </c>
      <c r="BE54" s="9" t="str">
        <f>CONCATENATE(ABY[[#This Row],[Supply Level]],ABY[[#This Row],[Station/Feeder]],ABY[[#This Row],[Voltage]],ABY[[#This Row],[Lowest A-PTX]])</f>
        <v>SubTransmissionCB2722_Fairlie33256.858523103439</v>
      </c>
      <c r="BF54" s="9">
        <f>IF(MIN(ABY[[#This Row],[Summ Cont Winter A]:[Cable Derating]])=0,"",MIN(ABY[[#This Row],[Summ Cont Winter A]:[Cable Derating]]))</f>
        <v>14.681436408284609</v>
      </c>
      <c r="BG54" s="57">
        <f>IFERROR(ABY[[#This Row],[Lowest MVA]]*1000/(ABY[[#This Row],[Voltage]]*SQRT(3)),"")</f>
        <v>256.85852310343915</v>
      </c>
      <c r="BH54" s="57">
        <f t="shared" si="71"/>
        <v>256.85852310343915</v>
      </c>
      <c r="BI54" s="9" t="str">
        <f>ABY[[#This Row],[From]]</f>
        <v>F388</v>
      </c>
      <c r="BJ54" s="9" t="str">
        <f>ABY[[#This Row],[To]]</f>
        <v>OPU T-off</v>
      </c>
      <c r="BK54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ABS-F317</v>
      </c>
      <c r="BL54" s="9">
        <f>ABY[[#This Row],[Voltage]]</f>
        <v>33</v>
      </c>
    </row>
    <row r="55" spans="1:64" s="1" customFormat="1" ht="15.75" customHeight="1" thickBot="1" x14ac:dyDescent="0.3">
      <c r="A55" s="353" t="str">
        <f>CONCATENATE(ABY[[#This Row],[Supply Level]],ABY[[#This Row],[Station/Feeder]],ABY[[#This Row],[Voltage]])</f>
        <v>SubTransmissionCB2722_Fairlie33</v>
      </c>
      <c r="B55" s="354" t="str">
        <f>CONCATENATE(ABY[[#This Row],[Supply Level]],ABY[[#This Row],[Station/Feeder]],ABY[[#This Row],[Equipment ID]],ABY[[#This Row],[Voltage]],ABY[[#This Row],[Device type]])</f>
        <v>SubTransmissionCB2722_FairlieDOG33-</v>
      </c>
      <c r="C55" s="191" t="s">
        <v>1245</v>
      </c>
      <c r="D55" s="192" t="s">
        <v>90</v>
      </c>
      <c r="E55" s="196" t="s">
        <v>331</v>
      </c>
      <c r="F55" s="196" t="s">
        <v>326</v>
      </c>
      <c r="G55" s="197">
        <v>9</v>
      </c>
      <c r="H55" s="196" t="s">
        <v>1289</v>
      </c>
      <c r="I55" s="196" t="s">
        <v>318</v>
      </c>
      <c r="J55" s="196" t="s">
        <v>69</v>
      </c>
      <c r="K55" s="196" t="s">
        <v>0</v>
      </c>
      <c r="L55" s="196" t="s">
        <v>0</v>
      </c>
      <c r="M55" s="197">
        <v>33</v>
      </c>
      <c r="N55" s="155">
        <v>344</v>
      </c>
      <c r="O55" s="155">
        <f>IF(OR(N55="",N55="-"),"-",N55*$M55*SQRT(3)/1000)</f>
        <v>19.662240767521894</v>
      </c>
      <c r="P55" s="155" t="s">
        <v>0</v>
      </c>
      <c r="Q55" s="155" t="str">
        <f>IF(OR(P55="",P55="-"),"-",P55*$M55*SQRT(3)/1000)</f>
        <v>-</v>
      </c>
      <c r="R55" s="155">
        <v>256.85852310343915</v>
      </c>
      <c r="S55" s="155">
        <f>IF(OR(R55="",R55="-"),"-",R55*$M55*SQRT(3)/1000)</f>
        <v>14.681436408284609</v>
      </c>
      <c r="T55" s="155" t="s">
        <v>0</v>
      </c>
      <c r="U55" s="155" t="str">
        <f>IF(OR(T55="",T55="-"),"-",T55*$M55*SQRT(3)/1000)</f>
        <v>-</v>
      </c>
      <c r="V55" s="155" t="s">
        <v>0</v>
      </c>
      <c r="W55" s="155" t="str">
        <f>IF(OR(V55="",V55="-"),"-",V55*$M55*SQRT(3)/1000)</f>
        <v>-</v>
      </c>
      <c r="X55" s="155" t="s">
        <v>0</v>
      </c>
      <c r="Y55" s="155" t="str">
        <f>IF(OR(X55="",X55="-"),"-",X55*$M55*SQRT(3)/1000)</f>
        <v>-</v>
      </c>
      <c r="Z55" s="155" t="s">
        <v>0</v>
      </c>
      <c r="AA55" s="155" t="str">
        <f>IF(OR(Z55="",Z55="-"),"-",Z55*$M55*SQRT(3)/1000)</f>
        <v>-</v>
      </c>
      <c r="AB55" s="155" t="s">
        <v>0</v>
      </c>
      <c r="AC55" s="155" t="str">
        <f>IF(OR(AB55="",AB55="-"),"-",AB55*$M55*SQRT(3)/1000)</f>
        <v>-</v>
      </c>
      <c r="AD55" s="155" t="s">
        <v>0</v>
      </c>
      <c r="AE55" s="195" t="str">
        <f>IF(OR(AD55="",AD55="-"),"-",AD55*$M55*SQRT(3)/1000)</f>
        <v>-</v>
      </c>
      <c r="AF55" s="155" t="s">
        <v>0</v>
      </c>
      <c r="AG55" s="155" t="s">
        <v>0</v>
      </c>
      <c r="AH55" s="155">
        <v>174.1</v>
      </c>
      <c r="AI55" s="155" t="s">
        <v>0</v>
      </c>
      <c r="AJ55" s="175" t="s">
        <v>0</v>
      </c>
      <c r="AK55" s="155" t="s">
        <v>0</v>
      </c>
      <c r="AL55" s="175" t="s">
        <v>0</v>
      </c>
      <c r="AM55" s="155" t="s">
        <v>0</v>
      </c>
      <c r="AN55" s="175" t="s">
        <v>0</v>
      </c>
      <c r="AO55" s="155" t="s">
        <v>0</v>
      </c>
      <c r="AP55" s="155" t="s">
        <v>0</v>
      </c>
      <c r="AQ55" s="175" t="s">
        <v>0</v>
      </c>
      <c r="AR55" s="155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55" s="155" t="str">
        <f>IF(OR(AR55="",AR55="-"),"-",AR55*$M55*SQRT(3)/1000)</f>
        <v>-</v>
      </c>
      <c r="AT55" s="155">
        <f>IF(RIGHT(ABY[[#This Row],[Device type]],7)="Winding","-",ABY[[#This Row],[Cont Winter MVA]])</f>
        <v>19.662240767521894</v>
      </c>
      <c r="AU55" s="155" t="str">
        <f>IF(RIGHT(ABY[[#This Row],[Device type]],7)="Winding","-",ABY[[#This Row],[Cont Shoulder MVA]])</f>
        <v>-</v>
      </c>
      <c r="AV55" s="155">
        <f>IF(RIGHT(ABY[[#This Row],[Device type]],7)="Winding","-",ABY[[#This Row],[Cont Summer MVA]])</f>
        <v>14.681436408284609</v>
      </c>
      <c r="AW55" s="155" t="str">
        <f>IF(RIGHT(ABY[[#This Row],[Device type]],7)="Winding","-",ABY[[#This Row],[24 Hr Winter MVA]])</f>
        <v>-</v>
      </c>
      <c r="AX55" s="155" t="str">
        <f>IF(RIGHT(ABY[[#This Row],[Device type]],7)="Winding","-",ABY[[#This Row],[24 Hr Summer MVA]])</f>
        <v>-</v>
      </c>
      <c r="AY55" s="155" t="str">
        <f>ABY[[#This Row],[Forwards MVA]]</f>
        <v>-</v>
      </c>
      <c r="AZ55" s="155" t="str">
        <f>ABY[[#This Row],[Relay MVA]]</f>
        <v>-</v>
      </c>
      <c r="BA55" s="155" t="str">
        <f>ABY[[#This Row],[CT MVA]]</f>
        <v>-</v>
      </c>
      <c r="BB55" s="155" t="str">
        <f>ABY[[#This Row],[Derating MVA]]</f>
        <v>-</v>
      </c>
      <c r="BC55" s="155" t="str">
        <f>ABY[[#This Row],[Station/Feeder]]&amp;ABY[[#This Row],[Lowest MVA]]</f>
        <v>CB2722_Fairlie14.6814364082846</v>
      </c>
      <c r="BD55" s="155" t="str">
        <f>CONCATENATE(ABY[[#This Row],[Supply Level]],ABY[[#This Row],[Station/Feeder]],ABY[[#This Row],[Voltage]],ABY[[#This Row],[Lowest A-No PTX]])</f>
        <v>SubTransmissionCB2722_Fairlie33256.858523103439</v>
      </c>
      <c r="BE55" s="155" t="str">
        <f>CONCATENATE(ABY[[#This Row],[Supply Level]],ABY[[#This Row],[Station/Feeder]],ABY[[#This Row],[Voltage]],ABY[[#This Row],[Lowest A-PTX]])</f>
        <v>SubTransmissionCB2722_Fairlie33256.858523103439</v>
      </c>
      <c r="BF55" s="155">
        <f>IF(MIN(ABY[[#This Row],[Summ Cont Winter A]:[Cable Derating]])=0,"",MIN(ABY[[#This Row],[Summ Cont Winter A]:[Cable Derating]]))</f>
        <v>14.681436408284609</v>
      </c>
      <c r="BG55" s="197">
        <f>IFERROR(ABY[[#This Row],[Lowest MVA]]*1000/(ABY[[#This Row],[Voltage]]*SQRT(3)),"")</f>
        <v>256.85852310343915</v>
      </c>
      <c r="BH55" s="197">
        <f t="shared" si="71"/>
        <v>256.85852310343915</v>
      </c>
      <c r="BI55" s="155" t="str">
        <f>ABY[[#This Row],[From]]</f>
        <v>F388</v>
      </c>
      <c r="BJ55" s="155" t="str">
        <f>ABY[[#This Row],[To]]</f>
        <v>OPU T-off</v>
      </c>
      <c r="BK55" s="19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Line-DOG</v>
      </c>
      <c r="BL55" s="155">
        <f>ABY[[#This Row],[Voltage]]</f>
        <v>33</v>
      </c>
    </row>
    <row r="56" spans="1:64" s="1" customFormat="1" ht="15" hidden="1" customHeight="1" x14ac:dyDescent="0.25">
      <c r="A56" s="353" t="str">
        <f>CONCATENATE(ABY[[#This Row],[Supply Level]],ABY[[#This Row],[Station/Feeder]],ABY[[#This Row],[Voltage]])</f>
        <v>SubTransmissionOPU33</v>
      </c>
      <c r="B56" s="352" t="str">
        <f>CONCATENATE(ABY[[#This Row],[Supply Level]],ABY[[#This Row],[Station/Feeder]],ABY[[#This Row],[Equipment ID]],ABY[[#This Row],[Voltage]],ABY[[#This Row],[Device type]])</f>
        <v>SubTransmissionOPU70 mm² Cu33-</v>
      </c>
      <c r="C56" s="168" t="s">
        <v>1245</v>
      </c>
      <c r="D56" s="118" t="s">
        <v>346</v>
      </c>
      <c r="E56" s="45" t="s">
        <v>326</v>
      </c>
      <c r="F56" s="45" t="s">
        <v>341</v>
      </c>
      <c r="G56" s="119">
        <v>1</v>
      </c>
      <c r="H56" s="45" t="s">
        <v>1289</v>
      </c>
      <c r="I56" s="45" t="s">
        <v>1283</v>
      </c>
      <c r="J56" s="45" t="s">
        <v>69</v>
      </c>
      <c r="K56" s="45" t="s">
        <v>0</v>
      </c>
      <c r="L56" s="45" t="s">
        <v>0</v>
      </c>
      <c r="M56" s="119">
        <v>33</v>
      </c>
      <c r="N56" s="29">
        <v>328</v>
      </c>
      <c r="O56" s="29">
        <f t="shared" ref="O56" si="112">IF(OR(N56="",N56="-"),"-",N56*$M56*SQRT(3)/1000)</f>
        <v>18.747717941125526</v>
      </c>
      <c r="P56" s="29" t="s">
        <v>0</v>
      </c>
      <c r="Q56" s="29" t="str">
        <f t="shared" ref="Q56" si="113">IF(OR(P56="",P56="-"),"-",P56*$M56*SQRT(3)/1000)</f>
        <v>-</v>
      </c>
      <c r="R56" s="29">
        <v>247</v>
      </c>
      <c r="S56" s="29">
        <f t="shared" ref="S56" si="114">IF(OR(R56="",R56="-"),"-",R56*$M56*SQRT(3)/1000)</f>
        <v>14.117946132493918</v>
      </c>
      <c r="T56" s="29" t="s">
        <v>0</v>
      </c>
      <c r="U56" s="29" t="str">
        <f t="shared" ref="U56" si="115">IF(OR(T56="",T56="-"),"-",T56*$M56*SQRT(3)/1000)</f>
        <v>-</v>
      </c>
      <c r="V56" s="29" t="s">
        <v>0</v>
      </c>
      <c r="W56" s="29" t="str">
        <f t="shared" ref="W56" si="116">IF(OR(V56="",V56="-"),"-",V56*$M56*SQRT(3)/1000)</f>
        <v>-</v>
      </c>
      <c r="X56" s="29" t="s">
        <v>0</v>
      </c>
      <c r="Y56" s="29" t="str">
        <f t="shared" ref="Y56" si="117">IF(OR(X56="",X56="-"),"-",X56*$M56*SQRT(3)/1000)</f>
        <v>-</v>
      </c>
      <c r="Z56" s="29" t="s">
        <v>0</v>
      </c>
      <c r="AA56" s="29" t="str">
        <f t="shared" ref="AA56" si="118">IF(OR(Z56="",Z56="-"),"-",Z56*$M56*SQRT(3)/1000)</f>
        <v>-</v>
      </c>
      <c r="AB56" s="29" t="s">
        <v>0</v>
      </c>
      <c r="AC56" s="29" t="str">
        <f t="shared" ref="AC56" si="119">IF(OR(AB56="",AB56="-"),"-",AB56*$M56*SQRT(3)/1000)</f>
        <v>-</v>
      </c>
      <c r="AD56" s="29" t="s">
        <v>0</v>
      </c>
      <c r="AE56" s="169" t="str">
        <f t="shared" ref="AE56" si="120">IF(OR(AD56="",AD56="-"),"-",AD56*$M56*SQRT(3)/1000)</f>
        <v>-</v>
      </c>
      <c r="AF56" s="29" t="s">
        <v>0</v>
      </c>
      <c r="AG56" s="29" t="s">
        <v>0</v>
      </c>
      <c r="AH56" s="29">
        <v>7.2</v>
      </c>
      <c r="AI56" s="29" t="s">
        <v>0</v>
      </c>
      <c r="AJ56" s="32" t="s">
        <v>0</v>
      </c>
      <c r="AK56" s="29" t="s">
        <v>0</v>
      </c>
      <c r="AL56" s="32" t="s">
        <v>0</v>
      </c>
      <c r="AM56" s="29" t="s">
        <v>0</v>
      </c>
      <c r="AN56" s="32" t="s">
        <v>0</v>
      </c>
      <c r="AO56" s="29" t="s">
        <v>0</v>
      </c>
      <c r="AP56" s="29" t="s">
        <v>0</v>
      </c>
      <c r="AQ56" s="32" t="s">
        <v>0</v>
      </c>
      <c r="AR56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56" s="29" t="str">
        <f t="shared" ref="AS56" si="121">IF(OR(AR56="",AR56="-"),"-",AR56*$M56*SQRT(3)/1000)</f>
        <v>-</v>
      </c>
      <c r="AT56" s="29">
        <f>IF(RIGHT(ABY[[#This Row],[Device type]],7)="Winding","-",ABY[[#This Row],[Cont Winter MVA]])</f>
        <v>18.747717941125526</v>
      </c>
      <c r="AU56" s="29" t="str">
        <f>IF(RIGHT(ABY[[#This Row],[Device type]],7)="Winding","-",ABY[[#This Row],[Cont Shoulder MVA]])</f>
        <v>-</v>
      </c>
      <c r="AV56" s="29">
        <f>IF(RIGHT(ABY[[#This Row],[Device type]],7)="Winding","-",ABY[[#This Row],[Cont Summer MVA]])</f>
        <v>14.117946132493918</v>
      </c>
      <c r="AW56" s="29" t="str">
        <f>IF(RIGHT(ABY[[#This Row],[Device type]],7)="Winding","-",ABY[[#This Row],[24 Hr Winter MVA]])</f>
        <v>-</v>
      </c>
      <c r="AX56" s="29" t="str">
        <f>IF(RIGHT(ABY[[#This Row],[Device type]],7)="Winding","-",ABY[[#This Row],[24 Hr Summer MVA]])</f>
        <v>-</v>
      </c>
      <c r="AY56" s="29" t="str">
        <f>ABY[[#This Row],[Forwards MVA]]</f>
        <v>-</v>
      </c>
      <c r="AZ56" s="29" t="str">
        <f>ABY[[#This Row],[Relay MVA]]</f>
        <v>-</v>
      </c>
      <c r="BA56" s="29" t="str">
        <f>ABY[[#This Row],[CT MVA]]</f>
        <v>-</v>
      </c>
      <c r="BB56" s="29" t="str">
        <f>ABY[[#This Row],[Derating MVA]]</f>
        <v>-</v>
      </c>
      <c r="BC56" s="29" t="str">
        <f>ABY[[#This Row],[Station/Feeder]]&amp;ABY[[#This Row],[Lowest MVA]]</f>
        <v>OPU14.1179461324939</v>
      </c>
      <c r="BD56" s="29" t="str">
        <f>CONCATENATE(ABY[[#This Row],[Supply Level]],ABY[[#This Row],[Station/Feeder]],ABY[[#This Row],[Voltage]],ABY[[#This Row],[Lowest A-No PTX]])</f>
        <v>SubTransmissionOPU33247</v>
      </c>
      <c r="BE56" s="29" t="str">
        <f>CONCATENATE(ABY[[#This Row],[Supply Level]],ABY[[#This Row],[Station/Feeder]],ABY[[#This Row],[Voltage]],ABY[[#This Row],[Lowest A-PTX]])</f>
        <v>SubTransmissionOPU33247</v>
      </c>
      <c r="BF56" s="29">
        <f>IF(MIN(ABY[[#This Row],[Summ Cont Winter A]:[Cable Derating]])=0,"",MIN(ABY[[#This Row],[Summ Cont Winter A]:[Cable Derating]]))</f>
        <v>14.117946132493918</v>
      </c>
      <c r="BG56" s="119">
        <f>IFERROR(ABY[[#This Row],[Lowest MVA]]*1000/(ABY[[#This Row],[Voltage]]*SQRT(3)),"")</f>
        <v>247.00000000000003</v>
      </c>
      <c r="BH56" s="119">
        <f t="shared" si="71"/>
        <v>247</v>
      </c>
      <c r="BI56" s="29" t="str">
        <f>ABY[[#This Row],[From]]</f>
        <v>OPU T-off</v>
      </c>
      <c r="BJ56" s="29" t="str">
        <f>ABY[[#This Row],[To]]</f>
        <v>F328</v>
      </c>
      <c r="BK56" s="45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Line-70 mm² Cu</v>
      </c>
      <c r="BL56" s="29">
        <f>ABY[[#This Row],[Voltage]]</f>
        <v>33</v>
      </c>
    </row>
    <row r="57" spans="1:64" s="1" customFormat="1" ht="15" hidden="1" customHeight="1" x14ac:dyDescent="0.25">
      <c r="A57" s="353" t="str">
        <f>CONCATENATE(ABY[[#This Row],[Supply Level]],ABY[[#This Row],[Station/Feeder]],ABY[[#This Row],[Voltage]])</f>
        <v>SubTransmissionOPU33</v>
      </c>
      <c r="B57" s="353" t="str">
        <f>CONCATENATE(ABY[[#This Row],[Supply Level]],ABY[[#This Row],[Station/Feeder]],ABY[[#This Row],[Equipment ID]],ABY[[#This Row],[Voltage]],ABY[[#This Row],[Device type]])</f>
        <v>SubTransmissionOPUF39933-</v>
      </c>
      <c r="C57" s="6" t="s">
        <v>1245</v>
      </c>
      <c r="D57" s="11" t="s">
        <v>346</v>
      </c>
      <c r="E57" s="46" t="s">
        <v>326</v>
      </c>
      <c r="F57" s="46" t="s">
        <v>341</v>
      </c>
      <c r="G57" s="57">
        <v>2</v>
      </c>
      <c r="H57" s="46" t="s">
        <v>273</v>
      </c>
      <c r="I57" s="46" t="s">
        <v>333</v>
      </c>
      <c r="J57" s="46" t="s">
        <v>249</v>
      </c>
      <c r="K57" s="46" t="s">
        <v>0</v>
      </c>
      <c r="L57" s="46" t="s">
        <v>0</v>
      </c>
      <c r="M57" s="57">
        <v>33</v>
      </c>
      <c r="N57" s="9">
        <v>328</v>
      </c>
      <c r="O57" s="9">
        <f>IF(OR(N57="",N57="-"),"-",N57*$M57*SQRT(3)/1000)</f>
        <v>18.747717941125526</v>
      </c>
      <c r="P57" s="9">
        <v>630</v>
      </c>
      <c r="Q57" s="9">
        <f>IF(OR(P57="",P57="-"),"-",P57*$M57*SQRT(3)/1000)</f>
        <v>36.009336289356959</v>
      </c>
      <c r="R57" s="9">
        <v>247</v>
      </c>
      <c r="S57" s="9">
        <f>IF(OR(R57="",R57="-"),"-",R57*$M57*SQRT(3)/1000)</f>
        <v>14.117946132493918</v>
      </c>
      <c r="T57" s="9" t="s">
        <v>0</v>
      </c>
      <c r="U57" s="9" t="str">
        <f>IF(OR(T57="",T57="-"),"-",T57*$M57*SQRT(3)/1000)</f>
        <v>-</v>
      </c>
      <c r="V57" s="9" t="s">
        <v>0</v>
      </c>
      <c r="W57" s="9" t="str">
        <f>IF(OR(V57="",V57="-"),"-",V57*$M57*SQRT(3)/1000)</f>
        <v>-</v>
      </c>
      <c r="X57" s="9" t="s">
        <v>0</v>
      </c>
      <c r="Y57" s="9" t="str">
        <f>IF(OR(X57="",X57="-"),"-",X57*$M57*SQRT(3)/1000)</f>
        <v>-</v>
      </c>
      <c r="Z57" s="9" t="s">
        <v>0</v>
      </c>
      <c r="AA57" s="9" t="str">
        <f>IF(OR(Z57="",Z57="-"),"-",Z57*$M57*SQRT(3)/1000)</f>
        <v>-</v>
      </c>
      <c r="AB57" s="9" t="s">
        <v>0</v>
      </c>
      <c r="AC57" s="9" t="str">
        <f>IF(OR(AB57="",AB57="-"),"-",AB57*$M57*SQRT(3)/1000)</f>
        <v>-</v>
      </c>
      <c r="AD57" s="9" t="s">
        <v>0</v>
      </c>
      <c r="AE57" s="12" t="str">
        <f>IF(OR(AD57="",AD57="-"),"-",AD57*$M57*SQRT(3)/1000)</f>
        <v>-</v>
      </c>
      <c r="AF57" s="29" t="s">
        <v>0</v>
      </c>
      <c r="AG57" s="29" t="s">
        <v>0</v>
      </c>
      <c r="AH57" s="29" t="s">
        <v>0</v>
      </c>
      <c r="AI57" s="29" t="s">
        <v>0</v>
      </c>
      <c r="AJ57" s="32" t="s">
        <v>0</v>
      </c>
      <c r="AK57" s="29" t="s">
        <v>0</v>
      </c>
      <c r="AL57" s="32" t="s">
        <v>0</v>
      </c>
      <c r="AM57" s="29" t="s">
        <v>0</v>
      </c>
      <c r="AN57" s="32" t="s">
        <v>0</v>
      </c>
      <c r="AO57" s="29" t="s">
        <v>0</v>
      </c>
      <c r="AP57" s="29" t="s">
        <v>0</v>
      </c>
      <c r="AQ57" s="32" t="s">
        <v>0</v>
      </c>
      <c r="AR57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57" s="9" t="str">
        <f>IF(OR(AR57="",AR57="-"),"-",AR57*$M57*SQRT(3)/1000)</f>
        <v>-</v>
      </c>
      <c r="AT57" s="9">
        <f>IF(RIGHT(ABY[[#This Row],[Device type]],7)="Winding","-",ABY[[#This Row],[Cont Winter MVA]])</f>
        <v>18.747717941125526</v>
      </c>
      <c r="AU57" s="9">
        <f>IF(RIGHT(ABY[[#This Row],[Device type]],7)="Winding","-",ABY[[#This Row],[Cont Shoulder MVA]])</f>
        <v>36.009336289356959</v>
      </c>
      <c r="AV57" s="9">
        <f>IF(RIGHT(ABY[[#This Row],[Device type]],7)="Winding","-",ABY[[#This Row],[Cont Summer MVA]])</f>
        <v>14.117946132493918</v>
      </c>
      <c r="AW57" s="9" t="str">
        <f>IF(RIGHT(ABY[[#This Row],[Device type]],7)="Winding","-",ABY[[#This Row],[24 Hr Winter MVA]])</f>
        <v>-</v>
      </c>
      <c r="AX57" s="9" t="str">
        <f>IF(RIGHT(ABY[[#This Row],[Device type]],7)="Winding","-",ABY[[#This Row],[24 Hr Summer MVA]])</f>
        <v>-</v>
      </c>
      <c r="AY57" s="9" t="str">
        <f>ABY[[#This Row],[Forwards MVA]]</f>
        <v>-</v>
      </c>
      <c r="AZ57" s="9" t="str">
        <f>ABY[[#This Row],[Relay MVA]]</f>
        <v>-</v>
      </c>
      <c r="BA57" s="9" t="str">
        <f>ABY[[#This Row],[CT MVA]]</f>
        <v>-</v>
      </c>
      <c r="BB57" s="9" t="str">
        <f>ABY[[#This Row],[Derating MVA]]</f>
        <v>-</v>
      </c>
      <c r="BC57" s="9" t="str">
        <f>ABY[[#This Row],[Station/Feeder]]&amp;ABY[[#This Row],[Lowest MVA]]</f>
        <v>OPU14.1179461324939</v>
      </c>
      <c r="BD57" s="9" t="str">
        <f>CONCATENATE(ABY[[#This Row],[Supply Level]],ABY[[#This Row],[Station/Feeder]],ABY[[#This Row],[Voltage]],ABY[[#This Row],[Lowest A-No PTX]])</f>
        <v>SubTransmissionOPU33247</v>
      </c>
      <c r="BE57" s="9" t="str">
        <f>CONCATENATE(ABY[[#This Row],[Supply Level]],ABY[[#This Row],[Station/Feeder]],ABY[[#This Row],[Voltage]],ABY[[#This Row],[Lowest A-PTX]])</f>
        <v>SubTransmissionOPU33247</v>
      </c>
      <c r="BF57" s="9">
        <f>IF(MIN(ABY[[#This Row],[Summ Cont Winter A]:[Cable Derating]])=0,"",MIN(ABY[[#This Row],[Summ Cont Winter A]:[Cable Derating]]))</f>
        <v>14.117946132493918</v>
      </c>
      <c r="BG57" s="57">
        <f>IFERROR(ABY[[#This Row],[Lowest MVA]]*1000/(ABY[[#This Row],[Voltage]]*SQRT(3)),"")</f>
        <v>247.00000000000003</v>
      </c>
      <c r="BH57" s="57">
        <f t="shared" si="71"/>
        <v>247</v>
      </c>
      <c r="BI57" s="9" t="str">
        <f>ABY[[#This Row],[From]]</f>
        <v>OPU T-off</v>
      </c>
      <c r="BJ57" s="9" t="str">
        <f>ABY[[#This Row],[To]]</f>
        <v>F328</v>
      </c>
      <c r="BK57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Link-F399</v>
      </c>
      <c r="BL57" s="9">
        <f>ABY[[#This Row],[Voltage]]</f>
        <v>33</v>
      </c>
    </row>
    <row r="58" spans="1:64" s="1" customFormat="1" ht="15" hidden="1" customHeight="1" x14ac:dyDescent="0.25">
      <c r="A58" s="353" t="str">
        <f>CONCATENATE(ABY[[#This Row],[Supply Level]],ABY[[#This Row],[Station/Feeder]],ABY[[#This Row],[Voltage]])</f>
        <v>SubTransmissionOPU33</v>
      </c>
      <c r="B58" s="353" t="str">
        <f>CONCATENATE(ABY[[#This Row],[Supply Level]],ABY[[#This Row],[Station/Feeder]],ABY[[#This Row],[Equipment ID]],ABY[[#This Row],[Voltage]],ABY[[#This Row],[Device type]])</f>
        <v>SubTransmissionOPUOPU-F40033Protection</v>
      </c>
      <c r="C58" s="6" t="s">
        <v>1245</v>
      </c>
      <c r="D58" s="11" t="s">
        <v>346</v>
      </c>
      <c r="E58" s="46" t="s">
        <v>326</v>
      </c>
      <c r="F58" s="46" t="s">
        <v>341</v>
      </c>
      <c r="G58" s="57">
        <v>3</v>
      </c>
      <c r="H58" s="46" t="s">
        <v>343</v>
      </c>
      <c r="I58" s="46" t="s">
        <v>2411</v>
      </c>
      <c r="J58" s="46" t="s">
        <v>342</v>
      </c>
      <c r="K58" s="46" t="s">
        <v>1122</v>
      </c>
      <c r="L58" s="46" t="s">
        <v>1423</v>
      </c>
      <c r="M58" s="57">
        <v>33</v>
      </c>
      <c r="N58" s="9">
        <v>328</v>
      </c>
      <c r="O58" s="9">
        <f t="shared" si="0"/>
        <v>18.747717941125526</v>
      </c>
      <c r="P58" s="9">
        <v>630</v>
      </c>
      <c r="Q58" s="9">
        <f t="shared" si="1"/>
        <v>36.009336289356959</v>
      </c>
      <c r="R58" s="9">
        <v>247</v>
      </c>
      <c r="S58" s="9">
        <f t="shared" si="2"/>
        <v>14.117946132493918</v>
      </c>
      <c r="T58" s="9" t="s">
        <v>0</v>
      </c>
      <c r="U58" s="9" t="str">
        <f t="shared" si="3"/>
        <v>-</v>
      </c>
      <c r="V58" s="9" t="s">
        <v>0</v>
      </c>
      <c r="W58" s="9" t="str">
        <f t="shared" si="4"/>
        <v>-</v>
      </c>
      <c r="X58" s="9">
        <v>150</v>
      </c>
      <c r="Y58" s="9">
        <f t="shared" si="5"/>
        <v>8.5736514974659421</v>
      </c>
      <c r="Z58" s="9" t="s">
        <v>0</v>
      </c>
      <c r="AA58" s="9" t="str">
        <f t="shared" si="6"/>
        <v>-</v>
      </c>
      <c r="AB58" s="9" t="s">
        <v>0</v>
      </c>
      <c r="AC58" s="9" t="str">
        <f t="shared" si="7"/>
        <v>-</v>
      </c>
      <c r="AD58" s="9">
        <v>1000</v>
      </c>
      <c r="AE58" s="12">
        <f t="shared" si="8"/>
        <v>57.157676649772945</v>
      </c>
      <c r="AF58" s="29" t="s">
        <v>0</v>
      </c>
      <c r="AG58" s="29" t="s">
        <v>0</v>
      </c>
      <c r="AH58" s="29" t="s">
        <v>0</v>
      </c>
      <c r="AI58" s="29" t="s">
        <v>0</v>
      </c>
      <c r="AJ58" s="32" t="s">
        <v>0</v>
      </c>
      <c r="AK58" s="29" t="s">
        <v>0</v>
      </c>
      <c r="AL58" s="32" t="s">
        <v>0</v>
      </c>
      <c r="AM58" s="29" t="s">
        <v>0</v>
      </c>
      <c r="AN58" s="32" t="s">
        <v>0</v>
      </c>
      <c r="AO58" s="29" t="s">
        <v>0</v>
      </c>
      <c r="AP58" s="29" t="s">
        <v>0</v>
      </c>
      <c r="AQ58" s="32" t="s">
        <v>0</v>
      </c>
      <c r="AR58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58" s="9" t="str">
        <f t="shared" si="9"/>
        <v>-</v>
      </c>
      <c r="AT58" s="9">
        <f>IF(RIGHT(ABY[[#This Row],[Device type]],7)="Winding","-",ABY[[#This Row],[Cont Winter MVA]])</f>
        <v>18.747717941125526</v>
      </c>
      <c r="AU58" s="9">
        <f>IF(RIGHT(ABY[[#This Row],[Device type]],7)="Winding","-",ABY[[#This Row],[Cont Shoulder MVA]])</f>
        <v>36.009336289356959</v>
      </c>
      <c r="AV58" s="9">
        <f>IF(RIGHT(ABY[[#This Row],[Device type]],7)="Winding","-",ABY[[#This Row],[Cont Summer MVA]])</f>
        <v>14.117946132493918</v>
      </c>
      <c r="AW58" s="9" t="str">
        <f>IF(RIGHT(ABY[[#This Row],[Device type]],7)="Winding","-",ABY[[#This Row],[24 Hr Winter MVA]])</f>
        <v>-</v>
      </c>
      <c r="AX58" s="9" t="str">
        <f>IF(RIGHT(ABY[[#This Row],[Device type]],7)="Winding","-",ABY[[#This Row],[24 Hr Summer MVA]])</f>
        <v>-</v>
      </c>
      <c r="AY58" s="9">
        <f>ABY[[#This Row],[Forwards MVA]]</f>
        <v>8.5736514974659421</v>
      </c>
      <c r="AZ58" s="9" t="str">
        <f>ABY[[#This Row],[Relay MVA]]</f>
        <v>-</v>
      </c>
      <c r="BA58" s="9">
        <f>ABY[[#This Row],[CT MVA]]</f>
        <v>57.157676649772945</v>
      </c>
      <c r="BB58" s="9" t="str">
        <f>ABY[[#This Row],[Derating MVA]]</f>
        <v>-</v>
      </c>
      <c r="BC58" s="9" t="str">
        <f>ABY[[#This Row],[Station/Feeder]]&amp;ABY[[#This Row],[Lowest MVA]]</f>
        <v>OPU8.57365149746594</v>
      </c>
      <c r="BD58" s="9" t="str">
        <f>CONCATENATE(ABY[[#This Row],[Supply Level]],ABY[[#This Row],[Station/Feeder]],ABY[[#This Row],[Voltage]],ABY[[#This Row],[Lowest A-No PTX]])</f>
        <v>SubTransmissionOPU33150</v>
      </c>
      <c r="BE58" s="9" t="str">
        <f>CONCATENATE(ABY[[#This Row],[Supply Level]],ABY[[#This Row],[Station/Feeder]],ABY[[#This Row],[Voltage]],ABY[[#This Row],[Lowest A-PTX]])</f>
        <v>SubTransmissionOPU33150</v>
      </c>
      <c r="BF58" s="9">
        <f>IF(MIN(ABY[[#This Row],[Summ Cont Winter A]:[Cable Derating]])=0,"",MIN(ABY[[#This Row],[Summ Cont Winter A]:[Cable Derating]]))</f>
        <v>8.5736514974659421</v>
      </c>
      <c r="BG58" s="57">
        <f>IFERROR(ABY[[#This Row],[Lowest MVA]]*1000/(ABY[[#This Row],[Voltage]]*SQRT(3)),"")</f>
        <v>150</v>
      </c>
      <c r="BH58" s="57">
        <f t="shared" si="71"/>
        <v>150</v>
      </c>
      <c r="BI58" s="9" t="str">
        <f>ABY[[#This Row],[From]]</f>
        <v>OPU T-off</v>
      </c>
      <c r="BJ58" s="9" t="str">
        <f>ABY[[#This Row],[To]]</f>
        <v>F328</v>
      </c>
      <c r="BK58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Recloser -OPU-F400-Protection</v>
      </c>
      <c r="BL58" s="9">
        <f>ABY[[#This Row],[Voltage]]</f>
        <v>33</v>
      </c>
    </row>
    <row r="59" spans="1:64" s="1" customFormat="1" ht="15" hidden="1" customHeight="1" x14ac:dyDescent="0.25">
      <c r="A59" s="353" t="str">
        <f>CONCATENATE(ABY[[#This Row],[Supply Level]],ABY[[#This Row],[Station/Feeder]],ABY[[#This Row],[Voltage]])</f>
        <v>SubTransmissionOPU33</v>
      </c>
      <c r="B59" s="353" t="str">
        <f>CONCATENATE(ABY[[#This Row],[Supply Level]],ABY[[#This Row],[Station/Feeder]],ABY[[#This Row],[Equipment ID]],ABY[[#This Row],[Voltage]],ABY[[#This Row],[Device type]])</f>
        <v>SubTransmissionOPUF39833-</v>
      </c>
      <c r="C59" s="6" t="s">
        <v>1245</v>
      </c>
      <c r="D59" s="11" t="s">
        <v>346</v>
      </c>
      <c r="E59" s="46" t="s">
        <v>326</v>
      </c>
      <c r="F59" s="46" t="s">
        <v>341</v>
      </c>
      <c r="G59" s="57">
        <v>4</v>
      </c>
      <c r="H59" s="46" t="s">
        <v>273</v>
      </c>
      <c r="I59" s="46" t="s">
        <v>332</v>
      </c>
      <c r="J59" s="46" t="s">
        <v>240</v>
      </c>
      <c r="K59" s="46" t="s">
        <v>0</v>
      </c>
      <c r="L59" s="46" t="s">
        <v>0</v>
      </c>
      <c r="M59" s="57">
        <v>33</v>
      </c>
      <c r="N59" s="9">
        <v>328</v>
      </c>
      <c r="O59" s="9">
        <f t="shared" si="0"/>
        <v>18.747717941125526</v>
      </c>
      <c r="P59" s="9">
        <v>800</v>
      </c>
      <c r="Q59" s="9">
        <f t="shared" si="1"/>
        <v>45.72614131981836</v>
      </c>
      <c r="R59" s="9">
        <v>247</v>
      </c>
      <c r="S59" s="9">
        <f t="shared" si="2"/>
        <v>14.117946132493918</v>
      </c>
      <c r="T59" s="9" t="s">
        <v>0</v>
      </c>
      <c r="U59" s="9" t="str">
        <f t="shared" si="3"/>
        <v>-</v>
      </c>
      <c r="V59" s="9" t="s">
        <v>0</v>
      </c>
      <c r="W59" s="9" t="str">
        <f t="shared" si="4"/>
        <v>-</v>
      </c>
      <c r="X59" s="9" t="s">
        <v>0</v>
      </c>
      <c r="Y59" s="9" t="str">
        <f t="shared" si="5"/>
        <v>-</v>
      </c>
      <c r="Z59" s="9" t="s">
        <v>0</v>
      </c>
      <c r="AA59" s="9" t="str">
        <f t="shared" si="6"/>
        <v>-</v>
      </c>
      <c r="AB59" s="9" t="s">
        <v>0</v>
      </c>
      <c r="AC59" s="9" t="str">
        <f t="shared" si="7"/>
        <v>-</v>
      </c>
      <c r="AD59" s="9" t="s">
        <v>0</v>
      </c>
      <c r="AE59" s="12" t="str">
        <f t="shared" si="8"/>
        <v>-</v>
      </c>
      <c r="AF59" s="29" t="s">
        <v>0</v>
      </c>
      <c r="AG59" s="29" t="s">
        <v>0</v>
      </c>
      <c r="AH59" s="29" t="s">
        <v>0</v>
      </c>
      <c r="AI59" s="29" t="s">
        <v>0</v>
      </c>
      <c r="AJ59" s="32" t="s">
        <v>0</v>
      </c>
      <c r="AK59" s="29" t="s">
        <v>0</v>
      </c>
      <c r="AL59" s="32" t="s">
        <v>0</v>
      </c>
      <c r="AM59" s="29" t="s">
        <v>0</v>
      </c>
      <c r="AN59" s="32" t="s">
        <v>0</v>
      </c>
      <c r="AO59" s="29" t="s">
        <v>0</v>
      </c>
      <c r="AP59" s="29" t="s">
        <v>0</v>
      </c>
      <c r="AQ59" s="32" t="s">
        <v>0</v>
      </c>
      <c r="AR59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59" s="9" t="str">
        <f t="shared" si="9"/>
        <v>-</v>
      </c>
      <c r="AT59" s="9">
        <f>IF(RIGHT(ABY[[#This Row],[Device type]],7)="Winding","-",ABY[[#This Row],[Cont Winter MVA]])</f>
        <v>18.747717941125526</v>
      </c>
      <c r="AU59" s="9">
        <f>IF(RIGHT(ABY[[#This Row],[Device type]],7)="Winding","-",ABY[[#This Row],[Cont Shoulder MVA]])</f>
        <v>45.72614131981836</v>
      </c>
      <c r="AV59" s="9">
        <f>IF(RIGHT(ABY[[#This Row],[Device type]],7)="Winding","-",ABY[[#This Row],[Cont Summer MVA]])</f>
        <v>14.117946132493918</v>
      </c>
      <c r="AW59" s="9" t="str">
        <f>IF(RIGHT(ABY[[#This Row],[Device type]],7)="Winding","-",ABY[[#This Row],[24 Hr Winter MVA]])</f>
        <v>-</v>
      </c>
      <c r="AX59" s="9" t="str">
        <f>IF(RIGHT(ABY[[#This Row],[Device type]],7)="Winding","-",ABY[[#This Row],[24 Hr Summer MVA]])</f>
        <v>-</v>
      </c>
      <c r="AY59" s="9" t="str">
        <f>ABY[[#This Row],[Forwards MVA]]</f>
        <v>-</v>
      </c>
      <c r="AZ59" s="9" t="str">
        <f>ABY[[#This Row],[Relay MVA]]</f>
        <v>-</v>
      </c>
      <c r="BA59" s="9" t="str">
        <f>ABY[[#This Row],[CT MVA]]</f>
        <v>-</v>
      </c>
      <c r="BB59" s="9" t="str">
        <f>ABY[[#This Row],[Derating MVA]]</f>
        <v>-</v>
      </c>
      <c r="BC59" s="9" t="str">
        <f>ABY[[#This Row],[Station/Feeder]]&amp;ABY[[#This Row],[Lowest MVA]]</f>
        <v>OPU14.1179461324939</v>
      </c>
      <c r="BD59" s="9" t="str">
        <f>CONCATENATE(ABY[[#This Row],[Supply Level]],ABY[[#This Row],[Station/Feeder]],ABY[[#This Row],[Voltage]],ABY[[#This Row],[Lowest A-No PTX]])</f>
        <v>SubTransmissionOPU33247</v>
      </c>
      <c r="BE59" s="9" t="str">
        <f>CONCATENATE(ABY[[#This Row],[Supply Level]],ABY[[#This Row],[Station/Feeder]],ABY[[#This Row],[Voltage]],ABY[[#This Row],[Lowest A-PTX]])</f>
        <v>SubTransmissionOPU33247</v>
      </c>
      <c r="BF59" s="9">
        <f>IF(MIN(ABY[[#This Row],[Summ Cont Winter A]:[Cable Derating]])=0,"",MIN(ABY[[#This Row],[Summ Cont Winter A]:[Cable Derating]]))</f>
        <v>14.117946132493918</v>
      </c>
      <c r="BG59" s="57">
        <f>IFERROR(ABY[[#This Row],[Lowest MVA]]*1000/(ABY[[#This Row],[Voltage]]*SQRT(3)),"")</f>
        <v>247.00000000000003</v>
      </c>
      <c r="BH59" s="57">
        <f t="shared" si="71"/>
        <v>247</v>
      </c>
      <c r="BI59" s="9" t="str">
        <f>ABY[[#This Row],[From]]</f>
        <v>OPU T-off</v>
      </c>
      <c r="BJ59" s="9" t="str">
        <f>ABY[[#This Row],[To]]</f>
        <v>F328</v>
      </c>
      <c r="BK59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ABS-F398</v>
      </c>
      <c r="BL59" s="9">
        <f>ABY[[#This Row],[Voltage]]</f>
        <v>33</v>
      </c>
    </row>
    <row r="60" spans="1:64" s="1" customFormat="1" ht="15" hidden="1" customHeight="1" x14ac:dyDescent="0.25">
      <c r="A60" s="353" t="str">
        <f>CONCATENATE(ABY[[#This Row],[Supply Level]],ABY[[#This Row],[Station/Feeder]],ABY[[#This Row],[Voltage]])</f>
        <v>SubTransmissionOPU33</v>
      </c>
      <c r="B60" s="353" t="str">
        <f>CONCATENATE(ABY[[#This Row],[Supply Level]],ABY[[#This Row],[Station/Feeder]],ABY[[#This Row],[Equipment ID]],ABY[[#This Row],[Voltage]],ABY[[#This Row],[Device type]])</f>
        <v>SubTransmissionOPUF40133-</v>
      </c>
      <c r="C60" s="6" t="s">
        <v>1245</v>
      </c>
      <c r="D60" s="11" t="s">
        <v>346</v>
      </c>
      <c r="E60" s="46" t="s">
        <v>326</v>
      </c>
      <c r="F60" s="46" t="s">
        <v>341</v>
      </c>
      <c r="G60" s="57">
        <v>5</v>
      </c>
      <c r="H60" s="46" t="s">
        <v>273</v>
      </c>
      <c r="I60" s="46" t="s">
        <v>335</v>
      </c>
      <c r="J60" s="46" t="s">
        <v>249</v>
      </c>
      <c r="K60" s="46" t="s">
        <v>0</v>
      </c>
      <c r="L60" s="46" t="s">
        <v>0</v>
      </c>
      <c r="M60" s="57">
        <v>33</v>
      </c>
      <c r="N60" s="9">
        <v>328</v>
      </c>
      <c r="O60" s="9">
        <f t="shared" si="0"/>
        <v>18.747717941125526</v>
      </c>
      <c r="P60" s="9">
        <v>630</v>
      </c>
      <c r="Q60" s="9">
        <f t="shared" si="1"/>
        <v>36.009336289356959</v>
      </c>
      <c r="R60" s="9">
        <v>247</v>
      </c>
      <c r="S60" s="9">
        <f t="shared" si="2"/>
        <v>14.117946132493918</v>
      </c>
      <c r="T60" s="9" t="s">
        <v>0</v>
      </c>
      <c r="U60" s="9" t="str">
        <f t="shared" si="3"/>
        <v>-</v>
      </c>
      <c r="V60" s="9" t="s">
        <v>0</v>
      </c>
      <c r="W60" s="9" t="str">
        <f t="shared" si="4"/>
        <v>-</v>
      </c>
      <c r="X60" s="9" t="s">
        <v>0</v>
      </c>
      <c r="Y60" s="9" t="str">
        <f t="shared" si="5"/>
        <v>-</v>
      </c>
      <c r="Z60" s="9" t="s">
        <v>0</v>
      </c>
      <c r="AA60" s="9" t="str">
        <f t="shared" si="6"/>
        <v>-</v>
      </c>
      <c r="AB60" s="9" t="s">
        <v>0</v>
      </c>
      <c r="AC60" s="9" t="str">
        <f t="shared" si="7"/>
        <v>-</v>
      </c>
      <c r="AD60" s="9" t="s">
        <v>0</v>
      </c>
      <c r="AE60" s="12" t="str">
        <f t="shared" si="8"/>
        <v>-</v>
      </c>
      <c r="AF60" s="29" t="s">
        <v>0</v>
      </c>
      <c r="AG60" s="29" t="s">
        <v>0</v>
      </c>
      <c r="AH60" s="29" t="s">
        <v>0</v>
      </c>
      <c r="AI60" s="29" t="s">
        <v>0</v>
      </c>
      <c r="AJ60" s="32" t="s">
        <v>0</v>
      </c>
      <c r="AK60" s="29" t="s">
        <v>0</v>
      </c>
      <c r="AL60" s="32" t="s">
        <v>0</v>
      </c>
      <c r="AM60" s="29" t="s">
        <v>0</v>
      </c>
      <c r="AN60" s="32" t="s">
        <v>0</v>
      </c>
      <c r="AO60" s="29" t="s">
        <v>0</v>
      </c>
      <c r="AP60" s="29" t="s">
        <v>0</v>
      </c>
      <c r="AQ60" s="32" t="s">
        <v>0</v>
      </c>
      <c r="AR60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60" s="9" t="str">
        <f t="shared" si="9"/>
        <v>-</v>
      </c>
      <c r="AT60" s="9">
        <f>IF(RIGHT(ABY[[#This Row],[Device type]],7)="Winding","-",ABY[[#This Row],[Cont Winter MVA]])</f>
        <v>18.747717941125526</v>
      </c>
      <c r="AU60" s="9">
        <f>IF(RIGHT(ABY[[#This Row],[Device type]],7)="Winding","-",ABY[[#This Row],[Cont Shoulder MVA]])</f>
        <v>36.009336289356959</v>
      </c>
      <c r="AV60" s="9">
        <f>IF(RIGHT(ABY[[#This Row],[Device type]],7)="Winding","-",ABY[[#This Row],[Cont Summer MVA]])</f>
        <v>14.117946132493918</v>
      </c>
      <c r="AW60" s="9" t="str">
        <f>IF(RIGHT(ABY[[#This Row],[Device type]],7)="Winding","-",ABY[[#This Row],[24 Hr Winter MVA]])</f>
        <v>-</v>
      </c>
      <c r="AX60" s="9" t="str">
        <f>IF(RIGHT(ABY[[#This Row],[Device type]],7)="Winding","-",ABY[[#This Row],[24 Hr Summer MVA]])</f>
        <v>-</v>
      </c>
      <c r="AY60" s="9" t="str">
        <f>ABY[[#This Row],[Forwards MVA]]</f>
        <v>-</v>
      </c>
      <c r="AZ60" s="9" t="str">
        <f>ABY[[#This Row],[Relay MVA]]</f>
        <v>-</v>
      </c>
      <c r="BA60" s="9" t="str">
        <f>ABY[[#This Row],[CT MVA]]</f>
        <v>-</v>
      </c>
      <c r="BB60" s="9" t="str">
        <f>ABY[[#This Row],[Derating MVA]]</f>
        <v>-</v>
      </c>
      <c r="BC60" s="9" t="str">
        <f>ABY[[#This Row],[Station/Feeder]]&amp;ABY[[#This Row],[Lowest MVA]]</f>
        <v>OPU14.1179461324939</v>
      </c>
      <c r="BD60" s="9" t="str">
        <f>CONCATENATE(ABY[[#This Row],[Supply Level]],ABY[[#This Row],[Station/Feeder]],ABY[[#This Row],[Voltage]],ABY[[#This Row],[Lowest A-No PTX]])</f>
        <v>SubTransmissionOPU33247</v>
      </c>
      <c r="BE60" s="9" t="str">
        <f>CONCATENATE(ABY[[#This Row],[Supply Level]],ABY[[#This Row],[Station/Feeder]],ABY[[#This Row],[Voltage]],ABY[[#This Row],[Lowest A-PTX]])</f>
        <v>SubTransmissionOPU33247</v>
      </c>
      <c r="BF60" s="9">
        <f>IF(MIN(ABY[[#This Row],[Summ Cont Winter A]:[Cable Derating]])=0,"",MIN(ABY[[#This Row],[Summ Cont Winter A]:[Cable Derating]]))</f>
        <v>14.117946132493918</v>
      </c>
      <c r="BG60" s="57">
        <f>IFERROR(ABY[[#This Row],[Lowest MVA]]*1000/(ABY[[#This Row],[Voltage]]*SQRT(3)),"")</f>
        <v>247.00000000000003</v>
      </c>
      <c r="BH60" s="57">
        <f t="shared" si="71"/>
        <v>247</v>
      </c>
      <c r="BI60" s="9" t="str">
        <f>ABY[[#This Row],[From]]</f>
        <v>OPU T-off</v>
      </c>
      <c r="BJ60" s="9" t="str">
        <f>ABY[[#This Row],[To]]</f>
        <v>F328</v>
      </c>
      <c r="BK60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Link-F401</v>
      </c>
      <c r="BL60" s="9">
        <f>ABY[[#This Row],[Voltage]]</f>
        <v>33</v>
      </c>
    </row>
    <row r="61" spans="1:64" s="1" customFormat="1" ht="15" hidden="1" customHeight="1" x14ac:dyDescent="0.25">
      <c r="A61" s="353" t="str">
        <f>CONCATENATE(ABY[[#This Row],[Supply Level]],ABY[[#This Row],[Station/Feeder]],ABY[[#This Row],[Voltage]])</f>
        <v>SubTransmissionOPU33</v>
      </c>
      <c r="B61" s="353" t="str">
        <f>CONCATENATE(ABY[[#This Row],[Supply Level]],ABY[[#This Row],[Station/Feeder]],ABY[[#This Row],[Equipment ID]],ABY[[#This Row],[Voltage]],ABY[[#This Row],[Device type]])</f>
        <v>SubTransmissionOPU70 mm² Cu33-</v>
      </c>
      <c r="C61" s="6" t="s">
        <v>1245</v>
      </c>
      <c r="D61" s="11" t="s">
        <v>346</v>
      </c>
      <c r="E61" s="46" t="s">
        <v>326</v>
      </c>
      <c r="F61" s="46" t="s">
        <v>341</v>
      </c>
      <c r="G61" s="57">
        <v>6</v>
      </c>
      <c r="H61" s="46" t="s">
        <v>1289</v>
      </c>
      <c r="I61" s="46" t="s">
        <v>1283</v>
      </c>
      <c r="J61" s="46" t="s">
        <v>69</v>
      </c>
      <c r="K61" s="46" t="s">
        <v>0</v>
      </c>
      <c r="L61" s="46" t="s">
        <v>0</v>
      </c>
      <c r="M61" s="57">
        <v>33</v>
      </c>
      <c r="N61" s="9">
        <v>328</v>
      </c>
      <c r="O61" s="9">
        <f t="shared" si="0"/>
        <v>18.747717941125526</v>
      </c>
      <c r="P61" s="9" t="s">
        <v>0</v>
      </c>
      <c r="Q61" s="9" t="str">
        <f t="shared" si="1"/>
        <v>-</v>
      </c>
      <c r="R61" s="9">
        <v>247</v>
      </c>
      <c r="S61" s="9">
        <f t="shared" si="2"/>
        <v>14.117946132493918</v>
      </c>
      <c r="T61" s="9" t="s">
        <v>0</v>
      </c>
      <c r="U61" s="9" t="str">
        <f t="shared" si="3"/>
        <v>-</v>
      </c>
      <c r="V61" s="9" t="s">
        <v>0</v>
      </c>
      <c r="W61" s="9" t="str">
        <f t="shared" si="4"/>
        <v>-</v>
      </c>
      <c r="X61" s="9" t="s">
        <v>0</v>
      </c>
      <c r="Y61" s="9" t="str">
        <f t="shared" si="5"/>
        <v>-</v>
      </c>
      <c r="Z61" s="9" t="s">
        <v>0</v>
      </c>
      <c r="AA61" s="9" t="str">
        <f t="shared" si="6"/>
        <v>-</v>
      </c>
      <c r="AB61" s="9" t="s">
        <v>0</v>
      </c>
      <c r="AC61" s="9" t="str">
        <f t="shared" si="7"/>
        <v>-</v>
      </c>
      <c r="AD61" s="9" t="s">
        <v>0</v>
      </c>
      <c r="AE61" s="12" t="str">
        <f t="shared" si="8"/>
        <v>-</v>
      </c>
      <c r="AF61" s="29" t="s">
        <v>0</v>
      </c>
      <c r="AG61" s="29" t="s">
        <v>0</v>
      </c>
      <c r="AH61" s="29">
        <v>10.3</v>
      </c>
      <c r="AI61" s="29" t="s">
        <v>0</v>
      </c>
      <c r="AJ61" s="32" t="s">
        <v>0</v>
      </c>
      <c r="AK61" s="29" t="s">
        <v>0</v>
      </c>
      <c r="AL61" s="32" t="s">
        <v>0</v>
      </c>
      <c r="AM61" s="29" t="s">
        <v>0</v>
      </c>
      <c r="AN61" s="32" t="s">
        <v>0</v>
      </c>
      <c r="AO61" s="29" t="s">
        <v>0</v>
      </c>
      <c r="AP61" s="29" t="s">
        <v>0</v>
      </c>
      <c r="AQ61" s="32" t="s">
        <v>0</v>
      </c>
      <c r="AR61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61" s="9" t="str">
        <f t="shared" si="9"/>
        <v>-</v>
      </c>
      <c r="AT61" s="9">
        <f>IF(RIGHT(ABY[[#This Row],[Device type]],7)="Winding","-",ABY[[#This Row],[Cont Winter MVA]])</f>
        <v>18.747717941125526</v>
      </c>
      <c r="AU61" s="9" t="str">
        <f>IF(RIGHT(ABY[[#This Row],[Device type]],7)="Winding","-",ABY[[#This Row],[Cont Shoulder MVA]])</f>
        <v>-</v>
      </c>
      <c r="AV61" s="9">
        <f>IF(RIGHT(ABY[[#This Row],[Device type]],7)="Winding","-",ABY[[#This Row],[Cont Summer MVA]])</f>
        <v>14.117946132493918</v>
      </c>
      <c r="AW61" s="9" t="str">
        <f>IF(RIGHT(ABY[[#This Row],[Device type]],7)="Winding","-",ABY[[#This Row],[24 Hr Winter MVA]])</f>
        <v>-</v>
      </c>
      <c r="AX61" s="9" t="str">
        <f>IF(RIGHT(ABY[[#This Row],[Device type]],7)="Winding","-",ABY[[#This Row],[24 Hr Summer MVA]])</f>
        <v>-</v>
      </c>
      <c r="AY61" s="9" t="str">
        <f>ABY[[#This Row],[Forwards MVA]]</f>
        <v>-</v>
      </c>
      <c r="AZ61" s="9" t="str">
        <f>ABY[[#This Row],[Relay MVA]]</f>
        <v>-</v>
      </c>
      <c r="BA61" s="9" t="str">
        <f>ABY[[#This Row],[CT MVA]]</f>
        <v>-</v>
      </c>
      <c r="BB61" s="9" t="str">
        <f>ABY[[#This Row],[Derating MVA]]</f>
        <v>-</v>
      </c>
      <c r="BC61" s="9" t="str">
        <f>ABY[[#This Row],[Station/Feeder]]&amp;ABY[[#This Row],[Lowest MVA]]</f>
        <v>OPU14.1179461324939</v>
      </c>
      <c r="BD61" s="9" t="str">
        <f>CONCATENATE(ABY[[#This Row],[Supply Level]],ABY[[#This Row],[Station/Feeder]],ABY[[#This Row],[Voltage]],ABY[[#This Row],[Lowest A-No PTX]])</f>
        <v>SubTransmissionOPU33247</v>
      </c>
      <c r="BE61" s="9" t="str">
        <f>CONCATENATE(ABY[[#This Row],[Supply Level]],ABY[[#This Row],[Station/Feeder]],ABY[[#This Row],[Voltage]],ABY[[#This Row],[Lowest A-PTX]])</f>
        <v>SubTransmissionOPU33247</v>
      </c>
      <c r="BF61" s="9">
        <f>IF(MIN(ABY[[#This Row],[Summ Cont Winter A]:[Cable Derating]])=0,"",MIN(ABY[[#This Row],[Summ Cont Winter A]:[Cable Derating]]))</f>
        <v>14.117946132493918</v>
      </c>
      <c r="BG61" s="57">
        <f>IFERROR(ABY[[#This Row],[Lowest MVA]]*1000/(ABY[[#This Row],[Voltage]]*SQRT(3)),"")</f>
        <v>247.00000000000003</v>
      </c>
      <c r="BH61" s="57">
        <f t="shared" si="71"/>
        <v>247</v>
      </c>
      <c r="BI61" s="9" t="str">
        <f>ABY[[#This Row],[From]]</f>
        <v>OPU T-off</v>
      </c>
      <c r="BJ61" s="9" t="str">
        <f>ABY[[#This Row],[To]]</f>
        <v>F328</v>
      </c>
      <c r="BK61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Line-70 mm² Cu</v>
      </c>
      <c r="BL61" s="9">
        <f>ABY[[#This Row],[Voltage]]</f>
        <v>33</v>
      </c>
    </row>
    <row r="62" spans="1:64" s="1" customFormat="1" ht="15" hidden="1" customHeight="1" x14ac:dyDescent="0.25">
      <c r="A62" s="353" t="str">
        <f>CONCATENATE(ABY[[#This Row],[Supply Level]],ABY[[#This Row],[Station/Feeder]],ABY[[#This Row],[Voltage]])</f>
        <v>SubTransmissionOPU33</v>
      </c>
      <c r="B62" s="353" t="str">
        <f>CONCATENATE(ABY[[#This Row],[Supply Level]],ABY[[#This Row],[Station/Feeder]],ABY[[#This Row],[Equipment ID]],ABY[[#This Row],[Voltage]],ABY[[#This Row],[Device type]])</f>
        <v>SubTransmissionOPU3-1c 300 mm² AL XLPE33-</v>
      </c>
      <c r="C62" s="6" t="s">
        <v>1245</v>
      </c>
      <c r="D62" s="11" t="s">
        <v>346</v>
      </c>
      <c r="E62" s="46" t="s">
        <v>326</v>
      </c>
      <c r="F62" s="46" t="s">
        <v>341</v>
      </c>
      <c r="G62" s="57">
        <v>7</v>
      </c>
      <c r="H62" s="46" t="s">
        <v>276</v>
      </c>
      <c r="I62" s="46" t="s">
        <v>560</v>
      </c>
      <c r="J62" s="46" t="s">
        <v>250</v>
      </c>
      <c r="K62" s="46" t="s">
        <v>0</v>
      </c>
      <c r="L62" s="46" t="s">
        <v>0</v>
      </c>
      <c r="M62" s="57">
        <v>33</v>
      </c>
      <c r="N62" s="9">
        <v>414</v>
      </c>
      <c r="O62" s="9">
        <f t="shared" si="0"/>
        <v>23.663278133005999</v>
      </c>
      <c r="P62" s="9">
        <v>414</v>
      </c>
      <c r="Q62" s="9">
        <f t="shared" si="1"/>
        <v>23.663278133005999</v>
      </c>
      <c r="R62" s="9">
        <v>414</v>
      </c>
      <c r="S62" s="9">
        <f t="shared" si="2"/>
        <v>23.663278133005999</v>
      </c>
      <c r="T62" s="9" t="s">
        <v>0</v>
      </c>
      <c r="U62" s="9" t="str">
        <f t="shared" si="3"/>
        <v>-</v>
      </c>
      <c r="V62" s="9" t="s">
        <v>0</v>
      </c>
      <c r="W62" s="9" t="str">
        <f t="shared" si="4"/>
        <v>-</v>
      </c>
      <c r="X62" s="9" t="s">
        <v>0</v>
      </c>
      <c r="Y62" s="9" t="str">
        <f t="shared" si="5"/>
        <v>-</v>
      </c>
      <c r="Z62" s="9" t="s">
        <v>0</v>
      </c>
      <c r="AA62" s="9" t="str">
        <f t="shared" si="6"/>
        <v>-</v>
      </c>
      <c r="AB62" s="9" t="s">
        <v>0</v>
      </c>
      <c r="AC62" s="9" t="str">
        <f t="shared" si="7"/>
        <v>-</v>
      </c>
      <c r="AD62" s="9" t="s">
        <v>0</v>
      </c>
      <c r="AE62" s="12" t="str">
        <f t="shared" si="8"/>
        <v>-</v>
      </c>
      <c r="AF62" s="29">
        <v>1</v>
      </c>
      <c r="AG62" s="29" t="s">
        <v>344</v>
      </c>
      <c r="AH62" s="29">
        <v>96.7</v>
      </c>
      <c r="AI62" s="29">
        <v>1.1000000000000001</v>
      </c>
      <c r="AJ62" s="32">
        <v>0.96499999999999997</v>
      </c>
      <c r="AK62" s="29">
        <v>15</v>
      </c>
      <c r="AL62" s="32">
        <v>1</v>
      </c>
      <c r="AM62" s="29">
        <v>2</v>
      </c>
      <c r="AN62" s="32">
        <v>0.86</v>
      </c>
      <c r="AO62" s="29">
        <v>1</v>
      </c>
      <c r="AP62" s="29">
        <v>0</v>
      </c>
      <c r="AQ62" s="32">
        <v>1</v>
      </c>
      <c r="AR62" s="29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343.57859999999999</v>
      </c>
      <c r="AS62" s="9">
        <f t="shared" si="9"/>
        <v>19.638154522581679</v>
      </c>
      <c r="AT62" s="9">
        <f>IF(RIGHT(ABY[[#This Row],[Device type]],7)="Winding","-",ABY[[#This Row],[Cont Winter MVA]])</f>
        <v>23.663278133005999</v>
      </c>
      <c r="AU62" s="9">
        <f>IF(RIGHT(ABY[[#This Row],[Device type]],7)="Winding","-",ABY[[#This Row],[Cont Shoulder MVA]])</f>
        <v>23.663278133005999</v>
      </c>
      <c r="AV62" s="9">
        <f>IF(RIGHT(ABY[[#This Row],[Device type]],7)="Winding","-",ABY[[#This Row],[Cont Summer MVA]])</f>
        <v>23.663278133005999</v>
      </c>
      <c r="AW62" s="9" t="str">
        <f>IF(RIGHT(ABY[[#This Row],[Device type]],7)="Winding","-",ABY[[#This Row],[24 Hr Winter MVA]])</f>
        <v>-</v>
      </c>
      <c r="AX62" s="9" t="str">
        <f>IF(RIGHT(ABY[[#This Row],[Device type]],7)="Winding","-",ABY[[#This Row],[24 Hr Summer MVA]])</f>
        <v>-</v>
      </c>
      <c r="AY62" s="9" t="str">
        <f>ABY[[#This Row],[Forwards MVA]]</f>
        <v>-</v>
      </c>
      <c r="AZ62" s="9" t="str">
        <f>ABY[[#This Row],[Relay MVA]]</f>
        <v>-</v>
      </c>
      <c r="BA62" s="9" t="str">
        <f>ABY[[#This Row],[CT MVA]]</f>
        <v>-</v>
      </c>
      <c r="BB62" s="9">
        <f>ABY[[#This Row],[Derating MVA]]</f>
        <v>19.638154522581679</v>
      </c>
      <c r="BC62" s="9" t="str">
        <f>ABY[[#This Row],[Station/Feeder]]&amp;ABY[[#This Row],[Lowest MVA]]</f>
        <v>OPU19.6381545225817</v>
      </c>
      <c r="BD62" s="9" t="str">
        <f>CONCATENATE(ABY[[#This Row],[Supply Level]],ABY[[#This Row],[Station/Feeder]],ABY[[#This Row],[Voltage]],ABY[[#This Row],[Lowest A-No PTX]])</f>
        <v>SubTransmissionOPU33343.5786</v>
      </c>
      <c r="BE62" s="9" t="str">
        <f>CONCATENATE(ABY[[#This Row],[Supply Level]],ABY[[#This Row],[Station/Feeder]],ABY[[#This Row],[Voltage]],ABY[[#This Row],[Lowest A-PTX]])</f>
        <v>SubTransmissionOPU33343.5786</v>
      </c>
      <c r="BF62" s="9">
        <f>IF(MIN(ABY[[#This Row],[Summ Cont Winter A]:[Cable Derating]])=0,"",MIN(ABY[[#This Row],[Summ Cont Winter A]:[Cable Derating]]))</f>
        <v>19.638154522581679</v>
      </c>
      <c r="BG62" s="57">
        <f>IFERROR(ABY[[#This Row],[Lowest MVA]]*1000/(ABY[[#This Row],[Voltage]]*SQRT(3)),"")</f>
        <v>343.57860000000005</v>
      </c>
      <c r="BH62" s="57">
        <f t="shared" si="71"/>
        <v>343.57859999999999</v>
      </c>
      <c r="BI62" s="9" t="str">
        <f>ABY[[#This Row],[From]]</f>
        <v>OPU T-off</v>
      </c>
      <c r="BJ62" s="9" t="str">
        <f>ABY[[#This Row],[To]]</f>
        <v>F328</v>
      </c>
      <c r="BK62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Cable-3-1c 300 mm² AL XLPE</v>
      </c>
      <c r="BL62" s="9">
        <f>ABY[[#This Row],[Voltage]]</f>
        <v>33</v>
      </c>
    </row>
    <row r="63" spans="1:64" s="1" customFormat="1" ht="15" hidden="1" customHeight="1" x14ac:dyDescent="0.25">
      <c r="A63" s="353" t="str">
        <f>CONCATENATE(ABY[[#This Row],[Supply Level]],ABY[[#This Row],[Station/Feeder]],ABY[[#This Row],[Voltage]])</f>
        <v>SubTransmissionOPU33</v>
      </c>
      <c r="B63" s="353" t="str">
        <f>CONCATENATE(ABY[[#This Row],[Supply Level]],ABY[[#This Row],[Station/Feeder]],ABY[[#This Row],[Equipment ID]],ABY[[#This Row],[Voltage]],ABY[[#This Row],[Device type]])</f>
        <v>SubTransmissionOPUJAGUAR33-</v>
      </c>
      <c r="C63" s="6" t="s">
        <v>1245</v>
      </c>
      <c r="D63" s="11" t="s">
        <v>346</v>
      </c>
      <c r="E63" s="46" t="s">
        <v>326</v>
      </c>
      <c r="F63" s="46" t="s">
        <v>341</v>
      </c>
      <c r="G63" s="57">
        <v>8</v>
      </c>
      <c r="H63" s="46" t="s">
        <v>1289</v>
      </c>
      <c r="I63" s="46" t="s">
        <v>345</v>
      </c>
      <c r="J63" s="46" t="s">
        <v>69</v>
      </c>
      <c r="K63" s="46" t="s">
        <v>0</v>
      </c>
      <c r="L63" s="46" t="s">
        <v>0</v>
      </c>
      <c r="M63" s="57">
        <v>33</v>
      </c>
      <c r="N63" s="9">
        <v>523</v>
      </c>
      <c r="O63" s="9">
        <f>IF(OR(N63="",N63="-"),"-",N63*$M63*SQRT(3)/1000)</f>
        <v>29.89346488783125</v>
      </c>
      <c r="P63" s="9" t="s">
        <v>0</v>
      </c>
      <c r="Q63" s="9" t="str">
        <f>IF(OR(P63="",P63="-"),"-",P63*$M63*SQRT(3)/1000)</f>
        <v>-</v>
      </c>
      <c r="R63" s="9">
        <v>386.92827157177999</v>
      </c>
      <c r="S63" s="9">
        <f>IF(OR(R63="",R63="-"),"-",R63*$M63*SQRT(3)/1000)</f>
        <v>22.115921033155335</v>
      </c>
      <c r="T63" s="9" t="s">
        <v>0</v>
      </c>
      <c r="U63" s="9" t="str">
        <f>IF(OR(T63="",T63="-"),"-",T63*$M63*SQRT(3)/1000)</f>
        <v>-</v>
      </c>
      <c r="V63" s="9" t="s">
        <v>0</v>
      </c>
      <c r="W63" s="9" t="str">
        <f>IF(OR(V63="",V63="-"),"-",V63*$M63*SQRT(3)/1000)</f>
        <v>-</v>
      </c>
      <c r="X63" s="9" t="s">
        <v>0</v>
      </c>
      <c r="Y63" s="9" t="str">
        <f>IF(OR(X63="",X63="-"),"-",X63*$M63*SQRT(3)/1000)</f>
        <v>-</v>
      </c>
      <c r="Z63" s="9" t="s">
        <v>0</v>
      </c>
      <c r="AA63" s="9" t="str">
        <f>IF(OR(Z63="",Z63="-"),"-",Z63*$M63*SQRT(3)/1000)</f>
        <v>-</v>
      </c>
      <c r="AB63" s="9" t="s">
        <v>0</v>
      </c>
      <c r="AC63" s="9" t="str">
        <f>IF(OR(AB63="",AB63="-"),"-",AB63*$M63*SQRT(3)/1000)</f>
        <v>-</v>
      </c>
      <c r="AD63" s="9" t="s">
        <v>0</v>
      </c>
      <c r="AE63" s="12" t="str">
        <f>IF(OR(AD63="",AD63="-"),"-",AD63*$M63*SQRT(3)/1000)</f>
        <v>-</v>
      </c>
      <c r="AF63" s="29" t="s">
        <v>0</v>
      </c>
      <c r="AG63" s="29" t="s">
        <v>0</v>
      </c>
      <c r="AH63" s="29" t="s">
        <v>0</v>
      </c>
      <c r="AI63" s="29" t="s">
        <v>0</v>
      </c>
      <c r="AJ63" s="32" t="s">
        <v>0</v>
      </c>
      <c r="AK63" s="29" t="s">
        <v>0</v>
      </c>
      <c r="AL63" s="32" t="s">
        <v>0</v>
      </c>
      <c r="AM63" s="29" t="s">
        <v>0</v>
      </c>
      <c r="AN63" s="32" t="s">
        <v>0</v>
      </c>
      <c r="AO63" s="29" t="s">
        <v>0</v>
      </c>
      <c r="AP63" s="29" t="s">
        <v>0</v>
      </c>
      <c r="AQ63" s="32" t="s">
        <v>0</v>
      </c>
      <c r="AR63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63" s="9" t="str">
        <f>IF(OR(AR63="",AR63="-"),"-",AR63*$M63*SQRT(3)/1000)</f>
        <v>-</v>
      </c>
      <c r="AT63" s="9">
        <f>IF(RIGHT(ABY[[#This Row],[Device type]],7)="Winding","-",ABY[[#This Row],[Cont Winter MVA]])</f>
        <v>29.89346488783125</v>
      </c>
      <c r="AU63" s="9" t="str">
        <f>IF(RIGHT(ABY[[#This Row],[Device type]],7)="Winding","-",ABY[[#This Row],[Cont Shoulder MVA]])</f>
        <v>-</v>
      </c>
      <c r="AV63" s="9">
        <f>IF(RIGHT(ABY[[#This Row],[Device type]],7)="Winding","-",ABY[[#This Row],[Cont Summer MVA]])</f>
        <v>22.115921033155335</v>
      </c>
      <c r="AW63" s="9" t="str">
        <f>IF(RIGHT(ABY[[#This Row],[Device type]],7)="Winding","-",ABY[[#This Row],[24 Hr Winter MVA]])</f>
        <v>-</v>
      </c>
      <c r="AX63" s="9" t="str">
        <f>IF(RIGHT(ABY[[#This Row],[Device type]],7)="Winding","-",ABY[[#This Row],[24 Hr Summer MVA]])</f>
        <v>-</v>
      </c>
      <c r="AY63" s="9" t="str">
        <f>ABY[[#This Row],[Forwards MVA]]</f>
        <v>-</v>
      </c>
      <c r="AZ63" s="9" t="str">
        <f>ABY[[#This Row],[Relay MVA]]</f>
        <v>-</v>
      </c>
      <c r="BA63" s="9" t="str">
        <f>ABY[[#This Row],[CT MVA]]</f>
        <v>-</v>
      </c>
      <c r="BB63" s="9" t="str">
        <f>ABY[[#This Row],[Derating MVA]]</f>
        <v>-</v>
      </c>
      <c r="BC63" s="9" t="str">
        <f>ABY[[#This Row],[Station/Feeder]]&amp;ABY[[#This Row],[Lowest MVA]]</f>
        <v>OPU22.1159210331553</v>
      </c>
      <c r="BD63" s="9" t="str">
        <f>CONCATENATE(ABY[[#This Row],[Supply Level]],ABY[[#This Row],[Station/Feeder]],ABY[[#This Row],[Voltage]],ABY[[#This Row],[Lowest A-No PTX]])</f>
        <v>SubTransmissionOPU33386.92827157178</v>
      </c>
      <c r="BE63" s="9" t="str">
        <f>CONCATENATE(ABY[[#This Row],[Supply Level]],ABY[[#This Row],[Station/Feeder]],ABY[[#This Row],[Voltage]],ABY[[#This Row],[Lowest A-PTX]])</f>
        <v>SubTransmissionOPU33386.92827157178</v>
      </c>
      <c r="BF63" s="9">
        <f>IF(MIN(ABY[[#This Row],[Summ Cont Winter A]:[Cable Derating]])=0,"",MIN(ABY[[#This Row],[Summ Cont Winter A]:[Cable Derating]]))</f>
        <v>22.115921033155335</v>
      </c>
      <c r="BG63" s="57">
        <f>IFERROR(ABY[[#This Row],[Lowest MVA]]*1000/(ABY[[#This Row],[Voltage]]*SQRT(3)),"")</f>
        <v>386.92827157177999</v>
      </c>
      <c r="BH63" s="57">
        <f t="shared" si="71"/>
        <v>386.92827157177999</v>
      </c>
      <c r="BI63" s="9" t="str">
        <f>ABY[[#This Row],[From]]</f>
        <v>OPU T-off</v>
      </c>
      <c r="BJ63" s="9" t="str">
        <f>ABY[[#This Row],[To]]</f>
        <v>F328</v>
      </c>
      <c r="BK63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Line-JAGUAR</v>
      </c>
      <c r="BL63" s="9">
        <f>ABY[[#This Row],[Voltage]]</f>
        <v>33</v>
      </c>
    </row>
    <row r="64" spans="1:64" s="1" customFormat="1" ht="15" hidden="1" customHeight="1" x14ac:dyDescent="0.25">
      <c r="A64" s="353" t="str">
        <f>CONCATENATE(ABY[[#This Row],[Supply Level]],ABY[[#This Row],[Station/Feeder]],ABY[[#This Row],[Voltage]])</f>
        <v>SubTransmissionOPU33</v>
      </c>
      <c r="B64" s="353" t="str">
        <f>CONCATENATE(ABY[[#This Row],[Supply Level]],ABY[[#This Row],[Station/Feeder]],ABY[[#This Row],[Equipment ID]],ABY[[#This Row],[Voltage]],ABY[[#This Row],[Device type]])</f>
        <v>SubTransmissionOPUF32833-</v>
      </c>
      <c r="C64" s="6" t="s">
        <v>1245</v>
      </c>
      <c r="D64" s="11" t="s">
        <v>346</v>
      </c>
      <c r="E64" s="46" t="s">
        <v>326</v>
      </c>
      <c r="F64" s="46" t="s">
        <v>341</v>
      </c>
      <c r="G64" s="57">
        <v>9</v>
      </c>
      <c r="H64" s="46" t="s">
        <v>1289</v>
      </c>
      <c r="I64" s="46" t="s">
        <v>341</v>
      </c>
      <c r="J64" s="46" t="s">
        <v>240</v>
      </c>
      <c r="K64" s="46" t="s">
        <v>0</v>
      </c>
      <c r="L64" s="46" t="s">
        <v>0</v>
      </c>
      <c r="M64" s="57">
        <v>33</v>
      </c>
      <c r="N64" s="9" t="s">
        <v>0</v>
      </c>
      <c r="O64" s="9" t="str">
        <f t="shared" si="0"/>
        <v>-</v>
      </c>
      <c r="P64" s="9" t="s">
        <v>0</v>
      </c>
      <c r="Q64" s="9" t="str">
        <f t="shared" si="1"/>
        <v>-</v>
      </c>
      <c r="R64" s="9">
        <v>386.92827157177999</v>
      </c>
      <c r="S64" s="9">
        <f t="shared" si="2"/>
        <v>22.115921033155335</v>
      </c>
      <c r="T64" s="9" t="s">
        <v>0</v>
      </c>
      <c r="U64" s="9" t="str">
        <f t="shared" si="3"/>
        <v>-</v>
      </c>
      <c r="V64" s="9" t="s">
        <v>0</v>
      </c>
      <c r="W64" s="9" t="str">
        <f t="shared" si="4"/>
        <v>-</v>
      </c>
      <c r="X64" s="9" t="s">
        <v>0</v>
      </c>
      <c r="Y64" s="9" t="str">
        <f t="shared" si="5"/>
        <v>-</v>
      </c>
      <c r="Z64" s="9" t="s">
        <v>0</v>
      </c>
      <c r="AA64" s="9" t="str">
        <f t="shared" si="6"/>
        <v>-</v>
      </c>
      <c r="AB64" s="9" t="s">
        <v>0</v>
      </c>
      <c r="AC64" s="9" t="str">
        <f t="shared" si="7"/>
        <v>-</v>
      </c>
      <c r="AD64" s="9" t="s">
        <v>0</v>
      </c>
      <c r="AE64" s="12" t="str">
        <f t="shared" si="8"/>
        <v>-</v>
      </c>
      <c r="AF64" s="29" t="s">
        <v>0</v>
      </c>
      <c r="AG64" s="29" t="s">
        <v>0</v>
      </c>
      <c r="AH64" s="29" t="s">
        <v>0</v>
      </c>
      <c r="AI64" s="29" t="s">
        <v>0</v>
      </c>
      <c r="AJ64" s="32" t="s">
        <v>0</v>
      </c>
      <c r="AK64" s="29" t="s">
        <v>0</v>
      </c>
      <c r="AL64" s="32" t="s">
        <v>0</v>
      </c>
      <c r="AM64" s="29" t="s">
        <v>0</v>
      </c>
      <c r="AN64" s="32" t="s">
        <v>0</v>
      </c>
      <c r="AO64" s="29" t="s">
        <v>0</v>
      </c>
      <c r="AP64" s="29" t="s">
        <v>0</v>
      </c>
      <c r="AQ64" s="32" t="s">
        <v>0</v>
      </c>
      <c r="AR64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64" s="9" t="str">
        <f t="shared" si="9"/>
        <v>-</v>
      </c>
      <c r="AT64" s="9" t="str">
        <f>IF(RIGHT(ABY[[#This Row],[Device type]],7)="Winding","-",ABY[[#This Row],[Cont Winter MVA]])</f>
        <v>-</v>
      </c>
      <c r="AU64" s="9" t="str">
        <f>IF(RIGHT(ABY[[#This Row],[Device type]],7)="Winding","-",ABY[[#This Row],[Cont Shoulder MVA]])</f>
        <v>-</v>
      </c>
      <c r="AV64" s="9">
        <f>IF(RIGHT(ABY[[#This Row],[Device type]],7)="Winding","-",ABY[[#This Row],[Cont Summer MVA]])</f>
        <v>22.115921033155335</v>
      </c>
      <c r="AW64" s="9" t="str">
        <f>IF(RIGHT(ABY[[#This Row],[Device type]],7)="Winding","-",ABY[[#This Row],[24 Hr Winter MVA]])</f>
        <v>-</v>
      </c>
      <c r="AX64" s="9" t="str">
        <f>IF(RIGHT(ABY[[#This Row],[Device type]],7)="Winding","-",ABY[[#This Row],[24 Hr Summer MVA]])</f>
        <v>-</v>
      </c>
      <c r="AY64" s="9" t="str">
        <f>ABY[[#This Row],[Forwards MVA]]</f>
        <v>-</v>
      </c>
      <c r="AZ64" s="9" t="str">
        <f>ABY[[#This Row],[Relay MVA]]</f>
        <v>-</v>
      </c>
      <c r="BA64" s="9" t="str">
        <f>ABY[[#This Row],[CT MVA]]</f>
        <v>-</v>
      </c>
      <c r="BB64" s="9" t="str">
        <f>ABY[[#This Row],[Derating MVA]]</f>
        <v>-</v>
      </c>
      <c r="BC64" s="9" t="str">
        <f>ABY[[#This Row],[Station/Feeder]]&amp;ABY[[#This Row],[Lowest MVA]]</f>
        <v>OPU22.1159210331553</v>
      </c>
      <c r="BD64" s="9" t="str">
        <f>CONCATENATE(ABY[[#This Row],[Supply Level]],ABY[[#This Row],[Station/Feeder]],ABY[[#This Row],[Voltage]],ABY[[#This Row],[Lowest A-No PTX]])</f>
        <v>SubTransmissionOPU33386.92827157178</v>
      </c>
      <c r="BE64" s="9" t="str">
        <f>CONCATENATE(ABY[[#This Row],[Supply Level]],ABY[[#This Row],[Station/Feeder]],ABY[[#This Row],[Voltage]],ABY[[#This Row],[Lowest A-PTX]])</f>
        <v>SubTransmissionOPU33386.92827157178</v>
      </c>
      <c r="BF64" s="9">
        <f>IF(MIN(ABY[[#This Row],[Summ Cont Winter A]:[Cable Derating]])=0,"",MIN(ABY[[#This Row],[Summ Cont Winter A]:[Cable Derating]]))</f>
        <v>22.115921033155335</v>
      </c>
      <c r="BG64" s="57">
        <f>IFERROR(ABY[[#This Row],[Lowest MVA]]*1000/(ABY[[#This Row],[Voltage]]*SQRT(3)),"")</f>
        <v>386.92827157177999</v>
      </c>
      <c r="BH64" s="57">
        <f t="shared" si="71"/>
        <v>386.92827157177999</v>
      </c>
      <c r="BI64" s="9" t="str">
        <f>ABY[[#This Row],[From]]</f>
        <v>OPU T-off</v>
      </c>
      <c r="BJ64" s="9" t="str">
        <f>ABY[[#This Row],[To]]</f>
        <v>F328</v>
      </c>
      <c r="BK64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ABS-F328</v>
      </c>
      <c r="BL64" s="9">
        <f>ABY[[#This Row],[Voltage]]</f>
        <v>33</v>
      </c>
    </row>
    <row r="65" spans="1:64" s="1" customFormat="1" ht="15" hidden="1" customHeight="1" x14ac:dyDescent="0.25">
      <c r="A65" s="353" t="str">
        <f>CONCATENATE(ABY[[#This Row],[Supply Level]],ABY[[#This Row],[Station/Feeder]],ABY[[#This Row],[Voltage]])</f>
        <v>ZoneSubstationOPU33</v>
      </c>
      <c r="B65" s="353" t="str">
        <f>CONCATENATE(ABY[[#This Row],[Supply Level]],ABY[[#This Row],[Station/Feeder]],ABY[[#This Row],[Equipment ID]],ABY[[#This Row],[Voltage]],ABY[[#This Row],[Device type]])</f>
        <v>ZoneSubstationOPUJAGUAR33-</v>
      </c>
      <c r="C65" s="6" t="s">
        <v>1246</v>
      </c>
      <c r="D65" s="11" t="s">
        <v>346</v>
      </c>
      <c r="E65" s="46" t="s">
        <v>341</v>
      </c>
      <c r="F65" s="46" t="s">
        <v>340</v>
      </c>
      <c r="G65" s="57">
        <v>1</v>
      </c>
      <c r="H65" s="46" t="s">
        <v>1289</v>
      </c>
      <c r="I65" s="46" t="s">
        <v>345</v>
      </c>
      <c r="J65" s="46" t="s">
        <v>69</v>
      </c>
      <c r="K65" s="46" t="s">
        <v>0</v>
      </c>
      <c r="L65" s="46" t="s">
        <v>0</v>
      </c>
      <c r="M65" s="57">
        <v>33</v>
      </c>
      <c r="N65" s="9">
        <v>523</v>
      </c>
      <c r="O65" s="9">
        <f>IF(OR(N65="",N65="-"),"-",N65*$M65*SQRT(3)/1000)</f>
        <v>29.89346488783125</v>
      </c>
      <c r="P65" s="9" t="s">
        <v>0</v>
      </c>
      <c r="Q65" s="9" t="str">
        <f>IF(OR(P65="",P65="-"),"-",P65*$M65*SQRT(3)/1000)</f>
        <v>-</v>
      </c>
      <c r="R65" s="9">
        <v>386.92827157177999</v>
      </c>
      <c r="S65" s="9">
        <f>IF(OR(R65="",R65="-"),"-",R65*$M65*SQRT(3)/1000)</f>
        <v>22.115921033155335</v>
      </c>
      <c r="T65" s="9" t="s">
        <v>0</v>
      </c>
      <c r="U65" s="9" t="str">
        <f>IF(OR(T65="",T65="-"),"-",T65*$M65*SQRT(3)/1000)</f>
        <v>-</v>
      </c>
      <c r="V65" s="9" t="s">
        <v>0</v>
      </c>
      <c r="W65" s="9" t="str">
        <f>IF(OR(V65="",V65="-"),"-",V65*$M65*SQRT(3)/1000)</f>
        <v>-</v>
      </c>
      <c r="X65" s="9" t="s">
        <v>0</v>
      </c>
      <c r="Y65" s="9" t="str">
        <f>IF(OR(X65="",X65="-"),"-",X65*$M65*SQRT(3)/1000)</f>
        <v>-</v>
      </c>
      <c r="Z65" s="9" t="s">
        <v>0</v>
      </c>
      <c r="AA65" s="9" t="str">
        <f>IF(OR(Z65="",Z65="-"),"-",Z65*$M65*SQRT(3)/1000)</f>
        <v>-</v>
      </c>
      <c r="AB65" s="9" t="s">
        <v>0</v>
      </c>
      <c r="AC65" s="9" t="str">
        <f>IF(OR(AB65="",AB65="-"),"-",AB65*$M65*SQRT(3)/1000)</f>
        <v>-</v>
      </c>
      <c r="AD65" s="9" t="s">
        <v>0</v>
      </c>
      <c r="AE65" s="12" t="str">
        <f>IF(OR(AD65="",AD65="-"),"-",AD65*$M65*SQRT(3)/1000)</f>
        <v>-</v>
      </c>
      <c r="AF65" s="29" t="s">
        <v>0</v>
      </c>
      <c r="AG65" s="29" t="s">
        <v>0</v>
      </c>
      <c r="AH65" s="29">
        <v>18</v>
      </c>
      <c r="AI65" s="29" t="s">
        <v>0</v>
      </c>
      <c r="AJ65" s="32" t="s">
        <v>0</v>
      </c>
      <c r="AK65" s="29" t="s">
        <v>0</v>
      </c>
      <c r="AL65" s="32" t="s">
        <v>0</v>
      </c>
      <c r="AM65" s="29" t="s">
        <v>0</v>
      </c>
      <c r="AN65" s="32" t="s">
        <v>0</v>
      </c>
      <c r="AO65" s="29" t="s">
        <v>0</v>
      </c>
      <c r="AP65" s="29" t="s">
        <v>0</v>
      </c>
      <c r="AQ65" s="32" t="s">
        <v>0</v>
      </c>
      <c r="AR65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65" s="9" t="str">
        <f>IF(OR(AR65="",AR65="-"),"-",AR65*$M65*SQRT(3)/1000)</f>
        <v>-</v>
      </c>
      <c r="AT65" s="9">
        <f>IF(RIGHT(ABY[[#This Row],[Device type]],7)="Winding","-",ABY[[#This Row],[Cont Winter MVA]])</f>
        <v>29.89346488783125</v>
      </c>
      <c r="AU65" s="9" t="str">
        <f>IF(RIGHT(ABY[[#This Row],[Device type]],7)="Winding","-",ABY[[#This Row],[Cont Shoulder MVA]])</f>
        <v>-</v>
      </c>
      <c r="AV65" s="9">
        <f>IF(RIGHT(ABY[[#This Row],[Device type]],7)="Winding","-",ABY[[#This Row],[Cont Summer MVA]])</f>
        <v>22.115921033155335</v>
      </c>
      <c r="AW65" s="9" t="str">
        <f>IF(RIGHT(ABY[[#This Row],[Device type]],7)="Winding","-",ABY[[#This Row],[24 Hr Winter MVA]])</f>
        <v>-</v>
      </c>
      <c r="AX65" s="9" t="str">
        <f>IF(RIGHT(ABY[[#This Row],[Device type]],7)="Winding","-",ABY[[#This Row],[24 Hr Summer MVA]])</f>
        <v>-</v>
      </c>
      <c r="AY65" s="9" t="str">
        <f>ABY[[#This Row],[Forwards MVA]]</f>
        <v>-</v>
      </c>
      <c r="AZ65" s="9" t="str">
        <f>ABY[[#This Row],[Relay MVA]]</f>
        <v>-</v>
      </c>
      <c r="BA65" s="9" t="str">
        <f>ABY[[#This Row],[CT MVA]]</f>
        <v>-</v>
      </c>
      <c r="BB65" s="9" t="str">
        <f>ABY[[#This Row],[Derating MVA]]</f>
        <v>-</v>
      </c>
      <c r="BC65" s="9" t="str">
        <f>ABY[[#This Row],[Station/Feeder]]&amp;ABY[[#This Row],[Lowest MVA]]</f>
        <v>OPU22.1159210331553</v>
      </c>
      <c r="BD65" s="9" t="str">
        <f>CONCATENATE(ABY[[#This Row],[Supply Level]],ABY[[#This Row],[Station/Feeder]],ABY[[#This Row],[Voltage]],ABY[[#This Row],[Lowest A-No PTX]])</f>
        <v>ZoneSubstationOPU33386.92827157178</v>
      </c>
      <c r="BE65" s="9" t="str">
        <f>CONCATENATE(ABY[[#This Row],[Supply Level]],ABY[[#This Row],[Station/Feeder]],ABY[[#This Row],[Voltage]],ABY[[#This Row],[Lowest A-PTX]])</f>
        <v>ZoneSubstationOPU33386.92827157178</v>
      </c>
      <c r="BF65" s="9">
        <f>IF(MIN(ABY[[#This Row],[Summ Cont Winter A]:[Cable Derating]])=0,"",MIN(ABY[[#This Row],[Summ Cont Winter A]:[Cable Derating]]))</f>
        <v>22.115921033155335</v>
      </c>
      <c r="BG65" s="57">
        <f>IFERROR(ABY[[#This Row],[Lowest MVA]]*1000/(ABY[[#This Row],[Voltage]]*SQRT(3)),"")</f>
        <v>386.92827157177999</v>
      </c>
      <c r="BH65" s="57">
        <f t="shared" si="71"/>
        <v>386.92827157177999</v>
      </c>
      <c r="BI65" s="9" t="str">
        <f>ABY[[#This Row],[From]]</f>
        <v>F328</v>
      </c>
      <c r="BJ65" s="9" t="str">
        <f>ABY[[#This Row],[To]]</f>
        <v>OPU Gen</v>
      </c>
      <c r="BK65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Line-JAGUAR</v>
      </c>
      <c r="BL65" s="9">
        <f>ABY[[#This Row],[Voltage]]</f>
        <v>33</v>
      </c>
    </row>
    <row r="66" spans="1:64" s="1" customFormat="1" ht="15" hidden="1" customHeight="1" x14ac:dyDescent="0.25">
      <c r="A66" s="353" t="str">
        <f>CONCATENATE(ABY[[#This Row],[Supply Level]],ABY[[#This Row],[Station/Feeder]],ABY[[#This Row],[Voltage]])</f>
        <v>ZoneSubstationOPU33</v>
      </c>
      <c r="B66" s="353" t="str">
        <f>CONCATENATE(ABY[[#This Row],[Supply Level]],ABY[[#This Row],[Station/Feeder]],ABY[[#This Row],[Equipment ID]],ABY[[#This Row],[Voltage]],ABY[[#This Row],[Device type]])</f>
        <v>ZoneSubstationOPUF32933-</v>
      </c>
      <c r="C66" s="6" t="s">
        <v>1246</v>
      </c>
      <c r="D66" s="11" t="s">
        <v>346</v>
      </c>
      <c r="E66" s="46" t="s">
        <v>341</v>
      </c>
      <c r="F66" s="46" t="s">
        <v>340</v>
      </c>
      <c r="G66" s="57">
        <v>2</v>
      </c>
      <c r="H66" s="46" t="s">
        <v>0</v>
      </c>
      <c r="I66" s="46" t="s">
        <v>347</v>
      </c>
      <c r="J66" s="46" t="s">
        <v>240</v>
      </c>
      <c r="K66" s="46" t="s">
        <v>0</v>
      </c>
      <c r="L66" s="46" t="s">
        <v>0</v>
      </c>
      <c r="M66" s="57">
        <v>33</v>
      </c>
      <c r="N66" s="9" t="s">
        <v>0</v>
      </c>
      <c r="O66" s="9" t="str">
        <f t="shared" si="0"/>
        <v>-</v>
      </c>
      <c r="P66" s="9" t="s">
        <v>0</v>
      </c>
      <c r="Q66" s="9" t="str">
        <f t="shared" si="1"/>
        <v>-</v>
      </c>
      <c r="R66" s="9" t="s">
        <v>0</v>
      </c>
      <c r="S66" s="9" t="str">
        <f t="shared" si="2"/>
        <v>-</v>
      </c>
      <c r="T66" s="9" t="s">
        <v>0</v>
      </c>
      <c r="U66" s="9" t="str">
        <f t="shared" si="3"/>
        <v>-</v>
      </c>
      <c r="V66" s="9" t="s">
        <v>0</v>
      </c>
      <c r="W66" s="9" t="str">
        <f t="shared" si="4"/>
        <v>-</v>
      </c>
      <c r="X66" s="9" t="s">
        <v>0</v>
      </c>
      <c r="Y66" s="9" t="str">
        <f t="shared" si="5"/>
        <v>-</v>
      </c>
      <c r="Z66" s="9" t="s">
        <v>0</v>
      </c>
      <c r="AA66" s="9" t="str">
        <f t="shared" si="6"/>
        <v>-</v>
      </c>
      <c r="AB66" s="9" t="s">
        <v>0</v>
      </c>
      <c r="AC66" s="9" t="str">
        <f t="shared" si="7"/>
        <v>-</v>
      </c>
      <c r="AD66" s="9" t="s">
        <v>0</v>
      </c>
      <c r="AE66" s="12" t="str">
        <f t="shared" si="8"/>
        <v>-</v>
      </c>
      <c r="AF66" s="29" t="s">
        <v>0</v>
      </c>
      <c r="AG66" s="29" t="s">
        <v>0</v>
      </c>
      <c r="AH66" s="29" t="s">
        <v>0</v>
      </c>
      <c r="AI66" s="29" t="s">
        <v>0</v>
      </c>
      <c r="AJ66" s="32" t="s">
        <v>0</v>
      </c>
      <c r="AK66" s="29" t="s">
        <v>0</v>
      </c>
      <c r="AL66" s="32" t="s">
        <v>0</v>
      </c>
      <c r="AM66" s="29" t="s">
        <v>0</v>
      </c>
      <c r="AN66" s="32" t="s">
        <v>0</v>
      </c>
      <c r="AO66" s="29" t="s">
        <v>0</v>
      </c>
      <c r="AP66" s="29" t="s">
        <v>0</v>
      </c>
      <c r="AQ66" s="32" t="s">
        <v>0</v>
      </c>
      <c r="AR66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66" s="9" t="str">
        <f t="shared" si="9"/>
        <v>-</v>
      </c>
      <c r="AT66" s="9" t="str">
        <f>IF(RIGHT(ABY[[#This Row],[Device type]],7)="Winding","-",ABY[[#This Row],[Cont Winter MVA]])</f>
        <v>-</v>
      </c>
      <c r="AU66" s="9" t="str">
        <f>IF(RIGHT(ABY[[#This Row],[Device type]],7)="Winding","-",ABY[[#This Row],[Cont Shoulder MVA]])</f>
        <v>-</v>
      </c>
      <c r="AV66" s="9" t="str">
        <f>IF(RIGHT(ABY[[#This Row],[Device type]],7)="Winding","-",ABY[[#This Row],[Cont Summer MVA]])</f>
        <v>-</v>
      </c>
      <c r="AW66" s="9" t="str">
        <f>IF(RIGHT(ABY[[#This Row],[Device type]],7)="Winding","-",ABY[[#This Row],[24 Hr Winter MVA]])</f>
        <v>-</v>
      </c>
      <c r="AX66" s="9" t="str">
        <f>IF(RIGHT(ABY[[#This Row],[Device type]],7)="Winding","-",ABY[[#This Row],[24 Hr Summer MVA]])</f>
        <v>-</v>
      </c>
      <c r="AY66" s="9" t="str">
        <f>ABY[[#This Row],[Forwards MVA]]</f>
        <v>-</v>
      </c>
      <c r="AZ66" s="9" t="str">
        <f>ABY[[#This Row],[Relay MVA]]</f>
        <v>-</v>
      </c>
      <c r="BA66" s="9" t="str">
        <f>ABY[[#This Row],[CT MVA]]</f>
        <v>-</v>
      </c>
      <c r="BB66" s="9" t="str">
        <f>ABY[[#This Row],[Derating MVA]]</f>
        <v>-</v>
      </c>
      <c r="BC66" s="9" t="str">
        <f>ABY[[#This Row],[Station/Feeder]]&amp;ABY[[#This Row],[Lowest MVA]]</f>
        <v>OPU</v>
      </c>
      <c r="BD66" s="9" t="str">
        <f>CONCATENATE(ABY[[#This Row],[Supply Level]],ABY[[#This Row],[Station/Feeder]],ABY[[#This Row],[Voltage]],ABY[[#This Row],[Lowest A-No PTX]])</f>
        <v>ZoneSubstationOPU33</v>
      </c>
      <c r="BE66" s="9" t="str">
        <f>CONCATENATE(ABY[[#This Row],[Supply Level]],ABY[[#This Row],[Station/Feeder]],ABY[[#This Row],[Voltage]],ABY[[#This Row],[Lowest A-PTX]])</f>
        <v>ZoneSubstationOPU33</v>
      </c>
      <c r="BF66" s="9" t="str">
        <f>IF(MIN(ABY[[#This Row],[Summ Cont Winter A]:[Cable Derating]])=0,"",MIN(ABY[[#This Row],[Summ Cont Winter A]:[Cable Derating]]))</f>
        <v/>
      </c>
      <c r="BG66" s="57" t="str">
        <f>IFERROR(ABY[[#This Row],[Lowest MVA]]*1000/(ABY[[#This Row],[Voltage]]*SQRT(3)),"")</f>
        <v/>
      </c>
      <c r="BH66" s="57" t="str">
        <f t="shared" si="71"/>
        <v/>
      </c>
      <c r="BI66" s="9" t="str">
        <f>ABY[[#This Row],[From]]</f>
        <v>F328</v>
      </c>
      <c r="BJ66" s="9" t="str">
        <f>ABY[[#This Row],[To]]</f>
        <v>OPU Gen</v>
      </c>
      <c r="BK66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ABS-F329</v>
      </c>
      <c r="BL66" s="9">
        <f>ABY[[#This Row],[Voltage]]</f>
        <v>33</v>
      </c>
    </row>
    <row r="67" spans="1:64" s="1" customFormat="1" ht="15" hidden="1" customHeight="1" x14ac:dyDescent="0.25">
      <c r="A67" s="353" t="str">
        <f>CONCATENATE(ABY[[#This Row],[Supply Level]],ABY[[#This Row],[Station/Feeder]],ABY[[#This Row],[Voltage]])</f>
        <v>ZoneSubstationOPU33</v>
      </c>
      <c r="B67" s="353" t="str">
        <f>CONCATENATE(ABY[[#This Row],[Supply Level]],ABY[[#This Row],[Station/Feeder]],ABY[[#This Row],[Equipment ID]],ABY[[#This Row],[Voltage]],ABY[[#This Row],[Device type]])</f>
        <v>ZoneSubstationOPUC40733HV Winding</v>
      </c>
      <c r="C67" s="6" t="s">
        <v>1246</v>
      </c>
      <c r="D67" s="11" t="s">
        <v>346</v>
      </c>
      <c r="E67" s="46" t="s">
        <v>341</v>
      </c>
      <c r="F67" s="46" t="s">
        <v>340</v>
      </c>
      <c r="G67" s="57">
        <v>3</v>
      </c>
      <c r="H67" s="46" t="s">
        <v>275</v>
      </c>
      <c r="I67" s="46" t="s">
        <v>348</v>
      </c>
      <c r="J67" s="46" t="s">
        <v>19</v>
      </c>
      <c r="K67" s="46" t="s">
        <v>0</v>
      </c>
      <c r="L67" s="46" t="s">
        <v>36</v>
      </c>
      <c r="M67" s="57">
        <v>33</v>
      </c>
      <c r="N67" s="9">
        <f>9.2*1000/(ABY[[#This Row],[Voltage]]*SQRT(3))</f>
        <v>160.95825686498659</v>
      </c>
      <c r="O67" s="9">
        <f t="shared" si="0"/>
        <v>9.1999999999999993</v>
      </c>
      <c r="P67" s="9">
        <f>9.2*1000/(ABY[[#This Row],[Voltage]]*SQRT(3))</f>
        <v>160.95825686498659</v>
      </c>
      <c r="Q67" s="9">
        <f t="shared" si="1"/>
        <v>9.1999999999999993</v>
      </c>
      <c r="R67" s="9">
        <f>9.2*1000/(ABY[[#This Row],[Voltage]]*SQRT(3))</f>
        <v>160.95825686498659</v>
      </c>
      <c r="S67" s="9">
        <f t="shared" si="2"/>
        <v>9.1999999999999993</v>
      </c>
      <c r="T67" s="9" t="s">
        <v>0</v>
      </c>
      <c r="U67" s="9" t="str">
        <f t="shared" si="3"/>
        <v>-</v>
      </c>
      <c r="V67" s="9" t="s">
        <v>0</v>
      </c>
      <c r="W67" s="9" t="str">
        <f t="shared" si="4"/>
        <v>-</v>
      </c>
      <c r="X67" s="9" t="s">
        <v>0</v>
      </c>
      <c r="Y67" s="9" t="str">
        <f t="shared" si="5"/>
        <v>-</v>
      </c>
      <c r="Z67" s="9" t="s">
        <v>0</v>
      </c>
      <c r="AA67" s="9" t="str">
        <f t="shared" si="6"/>
        <v>-</v>
      </c>
      <c r="AB67" s="9" t="s">
        <v>0</v>
      </c>
      <c r="AC67" s="9" t="str">
        <f t="shared" si="7"/>
        <v>-</v>
      </c>
      <c r="AD67" s="9" t="s">
        <v>0</v>
      </c>
      <c r="AE67" s="12" t="str">
        <f t="shared" si="8"/>
        <v>-</v>
      </c>
      <c r="AF67" s="29" t="s">
        <v>0</v>
      </c>
      <c r="AG67" s="29" t="s">
        <v>0</v>
      </c>
      <c r="AH67" s="29" t="s">
        <v>0</v>
      </c>
      <c r="AI67" s="29" t="s">
        <v>0</v>
      </c>
      <c r="AJ67" s="32" t="s">
        <v>0</v>
      </c>
      <c r="AK67" s="29" t="s">
        <v>0</v>
      </c>
      <c r="AL67" s="32" t="s">
        <v>0</v>
      </c>
      <c r="AM67" s="29" t="s">
        <v>0</v>
      </c>
      <c r="AN67" s="32" t="s">
        <v>0</v>
      </c>
      <c r="AO67" s="29" t="s">
        <v>0</v>
      </c>
      <c r="AP67" s="29" t="s">
        <v>0</v>
      </c>
      <c r="AQ67" s="32" t="s">
        <v>0</v>
      </c>
      <c r="AR67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67" s="9" t="str">
        <f t="shared" si="9"/>
        <v>-</v>
      </c>
      <c r="AT67" s="9" t="str">
        <f>IF(RIGHT(ABY[[#This Row],[Device type]],7)="Winding","-",ABY[[#This Row],[Cont Winter MVA]])</f>
        <v>-</v>
      </c>
      <c r="AU67" s="9" t="str">
        <f>IF(RIGHT(ABY[[#This Row],[Device type]],7)="Winding","-",ABY[[#This Row],[Cont Shoulder MVA]])</f>
        <v>-</v>
      </c>
      <c r="AV67" s="9" t="str">
        <f>IF(RIGHT(ABY[[#This Row],[Device type]],7)="Winding","-",ABY[[#This Row],[Cont Summer MVA]])</f>
        <v>-</v>
      </c>
      <c r="AW67" s="9" t="str">
        <f>IF(RIGHT(ABY[[#This Row],[Device type]],7)="Winding","-",ABY[[#This Row],[24 Hr Winter MVA]])</f>
        <v>-</v>
      </c>
      <c r="AX67" s="9" t="str">
        <f>IF(RIGHT(ABY[[#This Row],[Device type]],7)="Winding","-",ABY[[#This Row],[24 Hr Summer MVA]])</f>
        <v>-</v>
      </c>
      <c r="AY67" s="9" t="str">
        <f>ABY[[#This Row],[Forwards MVA]]</f>
        <v>-</v>
      </c>
      <c r="AZ67" s="9" t="str">
        <f>ABY[[#This Row],[Relay MVA]]</f>
        <v>-</v>
      </c>
      <c r="BA67" s="9" t="str">
        <f>ABY[[#This Row],[CT MVA]]</f>
        <v>-</v>
      </c>
      <c r="BB67" s="9" t="str">
        <f>ABY[[#This Row],[Derating MVA]]</f>
        <v>-</v>
      </c>
      <c r="BC67" s="9" t="str">
        <f>ABY[[#This Row],[Station/Feeder]]&amp;ABY[[#This Row],[Lowest MVA]]</f>
        <v>OPU</v>
      </c>
      <c r="BD67" s="9" t="str">
        <f>CONCATENATE(ABY[[#This Row],[Supply Level]],ABY[[#This Row],[Station/Feeder]],ABY[[#This Row],[Voltage]],ABY[[#This Row],[Lowest A-No PTX]])</f>
        <v>ZoneSubstationOPU33</v>
      </c>
      <c r="BE67" s="9" t="str">
        <f>CONCATENATE(ABY[[#This Row],[Supply Level]],ABY[[#This Row],[Station/Feeder]],ABY[[#This Row],[Voltage]],ABY[[#This Row],[Lowest A-PTX]])</f>
        <v>ZoneSubstationOPU33160.958256864987</v>
      </c>
      <c r="BF67" s="9" t="str">
        <f>IF(MIN(ABY[[#This Row],[Summ Cont Winter A]:[Cable Derating]])=0,"",MIN(ABY[[#This Row],[Summ Cont Winter A]:[Cable Derating]]))</f>
        <v/>
      </c>
      <c r="BG67" s="57" t="str">
        <f>IFERROR(ABY[[#This Row],[Lowest MVA]]*1000/(ABY[[#This Row],[Voltage]]*SQRT(3)),"")</f>
        <v/>
      </c>
      <c r="BH67" s="57">
        <f t="shared" si="71"/>
        <v>160.95825686498659</v>
      </c>
      <c r="BI67" s="9" t="str">
        <f>ABY[[#This Row],[From]]</f>
        <v>F328</v>
      </c>
      <c r="BJ67" s="9" t="str">
        <f>ABY[[#This Row],[To]]</f>
        <v>OPU Gen</v>
      </c>
      <c r="BK67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Transformer-C407-HV Winding</v>
      </c>
      <c r="BL67" s="9">
        <f>ABY[[#This Row],[Voltage]]</f>
        <v>33</v>
      </c>
    </row>
    <row r="68" spans="1:64" s="1" customFormat="1" ht="15.75" hidden="1" customHeight="1" thickBot="1" x14ac:dyDescent="0.3">
      <c r="A68" s="353" t="str">
        <f>CONCATENATE(ABY[[#This Row],[Supply Level]],ABY[[#This Row],[Station/Feeder]],ABY[[#This Row],[Voltage]])</f>
        <v>ZoneSubstationOPU6.6</v>
      </c>
      <c r="B68" s="354" t="str">
        <f>CONCATENATE(ABY[[#This Row],[Supply Level]],ABY[[#This Row],[Station/Feeder]],ABY[[#This Row],[Equipment ID]],ABY[[#This Row],[Voltage]],ABY[[#This Row],[Device type]])</f>
        <v>ZoneSubstationOPUC4076.6LV Winding</v>
      </c>
      <c r="C68" s="14" t="s">
        <v>1246</v>
      </c>
      <c r="D68" s="13" t="s">
        <v>346</v>
      </c>
      <c r="E68" s="129" t="s">
        <v>341</v>
      </c>
      <c r="F68" s="129" t="s">
        <v>340</v>
      </c>
      <c r="G68" s="128">
        <v>4</v>
      </c>
      <c r="H68" s="129" t="s">
        <v>275</v>
      </c>
      <c r="I68" s="129" t="s">
        <v>348</v>
      </c>
      <c r="J68" s="129" t="s">
        <v>19</v>
      </c>
      <c r="K68" s="129" t="s">
        <v>0</v>
      </c>
      <c r="L68" s="129" t="s">
        <v>37</v>
      </c>
      <c r="M68" s="128">
        <v>6.6</v>
      </c>
      <c r="N68" s="16">
        <f>9.2*1000/(ABY[[#This Row],[Voltage]]*SQRT(3))</f>
        <v>804.79128432493303</v>
      </c>
      <c r="O68" s="16">
        <f t="shared" si="0"/>
        <v>9.1999999999999993</v>
      </c>
      <c r="P68" s="16">
        <f>9.2*1000/(ABY[[#This Row],[Voltage]]*SQRT(3))</f>
        <v>804.79128432493303</v>
      </c>
      <c r="Q68" s="16">
        <f t="shared" si="1"/>
        <v>9.1999999999999993</v>
      </c>
      <c r="R68" s="16">
        <f>9.2*1000/(ABY[[#This Row],[Voltage]]*SQRT(3))</f>
        <v>804.79128432493303</v>
      </c>
      <c r="S68" s="16">
        <f t="shared" si="2"/>
        <v>9.1999999999999993</v>
      </c>
      <c r="T68" s="16" t="s">
        <v>0</v>
      </c>
      <c r="U68" s="16" t="str">
        <f t="shared" si="3"/>
        <v>-</v>
      </c>
      <c r="V68" s="16" t="s">
        <v>0</v>
      </c>
      <c r="W68" s="16" t="str">
        <f t="shared" si="4"/>
        <v>-</v>
      </c>
      <c r="X68" s="16" t="s">
        <v>0</v>
      </c>
      <c r="Y68" s="16" t="str">
        <f t="shared" si="5"/>
        <v>-</v>
      </c>
      <c r="Z68" s="16" t="s">
        <v>0</v>
      </c>
      <c r="AA68" s="16" t="str">
        <f t="shared" si="6"/>
        <v>-</v>
      </c>
      <c r="AB68" s="16" t="s">
        <v>0</v>
      </c>
      <c r="AC68" s="16" t="str">
        <f t="shared" si="7"/>
        <v>-</v>
      </c>
      <c r="AD68" s="16" t="s">
        <v>0</v>
      </c>
      <c r="AE68" s="17" t="str">
        <f t="shared" si="8"/>
        <v>-</v>
      </c>
      <c r="AF68" s="126" t="s">
        <v>0</v>
      </c>
      <c r="AG68" s="126" t="s">
        <v>0</v>
      </c>
      <c r="AH68" s="126" t="s">
        <v>0</v>
      </c>
      <c r="AI68" s="126" t="s">
        <v>0</v>
      </c>
      <c r="AJ68" s="127" t="s">
        <v>0</v>
      </c>
      <c r="AK68" s="126" t="s">
        <v>0</v>
      </c>
      <c r="AL68" s="127" t="s">
        <v>0</v>
      </c>
      <c r="AM68" s="126" t="s">
        <v>0</v>
      </c>
      <c r="AN68" s="127" t="s">
        <v>0</v>
      </c>
      <c r="AO68" s="126" t="s">
        <v>0</v>
      </c>
      <c r="AP68" s="126" t="s">
        <v>0</v>
      </c>
      <c r="AQ68" s="127" t="s">
        <v>0</v>
      </c>
      <c r="AR68" s="126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68" s="16" t="str">
        <f t="shared" si="9"/>
        <v>-</v>
      </c>
      <c r="AT68" s="16" t="str">
        <f>IF(RIGHT(ABY[[#This Row],[Device type]],7)="Winding","-",ABY[[#This Row],[Cont Winter MVA]])</f>
        <v>-</v>
      </c>
      <c r="AU68" s="16" t="str">
        <f>IF(RIGHT(ABY[[#This Row],[Device type]],7)="Winding","-",ABY[[#This Row],[Cont Shoulder MVA]])</f>
        <v>-</v>
      </c>
      <c r="AV68" s="16" t="str">
        <f>IF(RIGHT(ABY[[#This Row],[Device type]],7)="Winding","-",ABY[[#This Row],[Cont Summer MVA]])</f>
        <v>-</v>
      </c>
      <c r="AW68" s="16" t="str">
        <f>IF(RIGHT(ABY[[#This Row],[Device type]],7)="Winding","-",ABY[[#This Row],[24 Hr Winter MVA]])</f>
        <v>-</v>
      </c>
      <c r="AX68" s="16" t="str">
        <f>IF(RIGHT(ABY[[#This Row],[Device type]],7)="Winding","-",ABY[[#This Row],[24 Hr Summer MVA]])</f>
        <v>-</v>
      </c>
      <c r="AY68" s="16" t="str">
        <f>ABY[[#This Row],[Forwards MVA]]</f>
        <v>-</v>
      </c>
      <c r="AZ68" s="16" t="str">
        <f>ABY[[#This Row],[Relay MVA]]</f>
        <v>-</v>
      </c>
      <c r="BA68" s="16" t="str">
        <f>ABY[[#This Row],[CT MVA]]</f>
        <v>-</v>
      </c>
      <c r="BB68" s="16" t="str">
        <f>ABY[[#This Row],[Derating MVA]]</f>
        <v>-</v>
      </c>
      <c r="BC68" s="16" t="str">
        <f>ABY[[#This Row],[Station/Feeder]]&amp;ABY[[#This Row],[Lowest MVA]]</f>
        <v>OPU</v>
      </c>
      <c r="BD68" s="16" t="str">
        <f>CONCATENATE(ABY[[#This Row],[Supply Level]],ABY[[#This Row],[Station/Feeder]],ABY[[#This Row],[Voltage]],ABY[[#This Row],[Lowest A-No PTX]])</f>
        <v>ZoneSubstationOPU6.6</v>
      </c>
      <c r="BE68" s="16" t="str">
        <f>CONCATENATE(ABY[[#This Row],[Supply Level]],ABY[[#This Row],[Station/Feeder]],ABY[[#This Row],[Voltage]],ABY[[#This Row],[Lowest A-PTX]])</f>
        <v>ZoneSubstationOPU6.6804.791284324933</v>
      </c>
      <c r="BF68" s="16" t="str">
        <f>IF(MIN(ABY[[#This Row],[Summ Cont Winter A]:[Cable Derating]])=0,"",MIN(ABY[[#This Row],[Summ Cont Winter A]:[Cable Derating]]))</f>
        <v/>
      </c>
      <c r="BG68" s="128" t="str">
        <f>IFERROR(ABY[[#This Row],[Lowest MVA]]*1000/(ABY[[#This Row],[Voltage]]*SQRT(3)),"")</f>
        <v/>
      </c>
      <c r="BH68" s="128">
        <f t="shared" si="71"/>
        <v>804.79128432493303</v>
      </c>
      <c r="BI68" s="16" t="str">
        <f>ABY[[#This Row],[From]]</f>
        <v>F328</v>
      </c>
      <c r="BJ68" s="16" t="str">
        <f>ABY[[#This Row],[To]]</f>
        <v>OPU Gen</v>
      </c>
      <c r="BK68" s="129" t="str">
        <f>IF(ABY[[#This Row],[Device type]]="-",ABY[[#This Row],[Equipment Type]]&amp;"-"&amp;ABY[[#This Row],[Equipment ID]],ABY[[#This Row],[Equipment Type]]&amp;"-"&amp;ABY[[#This Row],[Equipment ID]]&amp;"-"&amp;ABY[[#This Row],[Device type]])</f>
        <v>Transformer-C407-LV Winding</v>
      </c>
      <c r="BL68" s="16">
        <f>ABY[[#This Row],[Voltage]]</f>
        <v>6.6</v>
      </c>
    </row>
    <row r="69" spans="1:64" s="1" customFormat="1" ht="15" hidden="1" customHeight="1" x14ac:dyDescent="0.25">
      <c r="A69" s="353" t="str">
        <f>CONCATENATE(ABY[[#This Row],[Supply Level]],ABY[[#This Row],[Station/Feeder]],ABY[[#This Row],[Voltage]])</f>
        <v>ZoneSubstationFLE33</v>
      </c>
      <c r="B69" s="352" t="str">
        <f>CONCATENATE(ABY[[#This Row],[Supply Level]],ABY[[#This Row],[Station/Feeder]],ABY[[#This Row],[Equipment ID]],ABY[[#This Row],[Voltage]],ABY[[#This Row],[Device type]])</f>
        <v>ZoneSubstationFLE70 mm² Cu33-</v>
      </c>
      <c r="C69" s="3" t="s">
        <v>1246</v>
      </c>
      <c r="D69" s="10" t="s">
        <v>158</v>
      </c>
      <c r="E69" s="188" t="s">
        <v>326</v>
      </c>
      <c r="F69" s="188" t="s">
        <v>349</v>
      </c>
      <c r="G69" s="61">
        <v>1</v>
      </c>
      <c r="H69" s="188" t="s">
        <v>1289</v>
      </c>
      <c r="I69" s="188" t="s">
        <v>1283</v>
      </c>
      <c r="J69" s="188" t="s">
        <v>69</v>
      </c>
      <c r="K69" s="188" t="s">
        <v>0</v>
      </c>
      <c r="L69" s="188" t="s">
        <v>0</v>
      </c>
      <c r="M69" s="61">
        <v>33</v>
      </c>
      <c r="N69" s="5">
        <v>328</v>
      </c>
      <c r="O69" s="5">
        <f t="shared" ref="O69" si="122">IF(OR(N69="",N69="-"),"-",N69*$M69*SQRT(3)/1000)</f>
        <v>18.747717941125526</v>
      </c>
      <c r="P69" s="5" t="s">
        <v>0</v>
      </c>
      <c r="Q69" s="5" t="str">
        <f t="shared" ref="Q69" si="123">IF(OR(P69="",P69="-"),"-",P69*$M69*SQRT(3)/1000)</f>
        <v>-</v>
      </c>
      <c r="R69" s="5">
        <v>247</v>
      </c>
      <c r="S69" s="5">
        <f t="shared" ref="S69" si="124">IF(OR(R69="",R69="-"),"-",R69*$M69*SQRT(3)/1000)</f>
        <v>14.117946132493918</v>
      </c>
      <c r="T69" s="5" t="s">
        <v>0</v>
      </c>
      <c r="U69" s="5" t="str">
        <f t="shared" ref="U69" si="125">IF(OR(T69="",T69="-"),"-",T69*$M69*SQRT(3)/1000)</f>
        <v>-</v>
      </c>
      <c r="V69" s="5" t="s">
        <v>0</v>
      </c>
      <c r="W69" s="5" t="str">
        <f t="shared" ref="W69" si="126">IF(OR(V69="",V69="-"),"-",V69*$M69*SQRT(3)/1000)</f>
        <v>-</v>
      </c>
      <c r="X69" s="5" t="s">
        <v>0</v>
      </c>
      <c r="Y69" s="5" t="str">
        <f t="shared" ref="Y69" si="127">IF(OR(X69="",X69="-"),"-",X69*$M69*SQRT(3)/1000)</f>
        <v>-</v>
      </c>
      <c r="Z69" s="5" t="s">
        <v>0</v>
      </c>
      <c r="AA69" s="5" t="str">
        <f t="shared" ref="AA69" si="128">IF(OR(Z69="",Z69="-"),"-",Z69*$M69*SQRT(3)/1000)</f>
        <v>-</v>
      </c>
      <c r="AB69" s="5" t="s">
        <v>0</v>
      </c>
      <c r="AC69" s="5" t="str">
        <f t="shared" ref="AC69" si="129">IF(OR(AB69="",AB69="-"),"-",AB69*$M69*SQRT(3)/1000)</f>
        <v>-</v>
      </c>
      <c r="AD69" s="5" t="s">
        <v>0</v>
      </c>
      <c r="AE69" s="158" t="str">
        <f t="shared" ref="AE69" si="130">IF(OR(AD69="",AD69="-"),"-",AD69*$M69*SQRT(3)/1000)</f>
        <v>-</v>
      </c>
      <c r="AF69" s="5" t="s">
        <v>0</v>
      </c>
      <c r="AG69" s="5" t="s">
        <v>0</v>
      </c>
      <c r="AH69" s="5">
        <v>0.3</v>
      </c>
      <c r="AI69" s="5" t="s">
        <v>0</v>
      </c>
      <c r="AJ69" s="139" t="s">
        <v>0</v>
      </c>
      <c r="AK69" s="5" t="s">
        <v>0</v>
      </c>
      <c r="AL69" s="139" t="s">
        <v>0</v>
      </c>
      <c r="AM69" s="5" t="s">
        <v>0</v>
      </c>
      <c r="AN69" s="139" t="s">
        <v>0</v>
      </c>
      <c r="AO69" s="5" t="s">
        <v>0</v>
      </c>
      <c r="AP69" s="5" t="s">
        <v>0</v>
      </c>
      <c r="AQ69" s="139" t="s">
        <v>0</v>
      </c>
      <c r="AR69" s="5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69" s="5" t="str">
        <f t="shared" ref="AS69" si="131">IF(OR(AR69="",AR69="-"),"-",AR69*$M69*SQRT(3)/1000)</f>
        <v>-</v>
      </c>
      <c r="AT69" s="5">
        <f>IF(RIGHT(ABY[[#This Row],[Device type]],7)="Winding","-",ABY[[#This Row],[Cont Winter MVA]])</f>
        <v>18.747717941125526</v>
      </c>
      <c r="AU69" s="5" t="str">
        <f>IF(RIGHT(ABY[[#This Row],[Device type]],7)="Winding","-",ABY[[#This Row],[Cont Shoulder MVA]])</f>
        <v>-</v>
      </c>
      <c r="AV69" s="5">
        <f>IF(RIGHT(ABY[[#This Row],[Device type]],7)="Winding","-",ABY[[#This Row],[Cont Summer MVA]])</f>
        <v>14.117946132493918</v>
      </c>
      <c r="AW69" s="5" t="str">
        <f>IF(RIGHT(ABY[[#This Row],[Device type]],7)="Winding","-",ABY[[#This Row],[24 Hr Winter MVA]])</f>
        <v>-</v>
      </c>
      <c r="AX69" s="5" t="str">
        <f>IF(RIGHT(ABY[[#This Row],[Device type]],7)="Winding","-",ABY[[#This Row],[24 Hr Summer MVA]])</f>
        <v>-</v>
      </c>
      <c r="AY69" s="5" t="str">
        <f>ABY[[#This Row],[Forwards MVA]]</f>
        <v>-</v>
      </c>
      <c r="AZ69" s="5" t="str">
        <f>ABY[[#This Row],[Relay MVA]]</f>
        <v>-</v>
      </c>
      <c r="BA69" s="5" t="str">
        <f>ABY[[#This Row],[CT MVA]]</f>
        <v>-</v>
      </c>
      <c r="BB69" s="5" t="str">
        <f>ABY[[#This Row],[Derating MVA]]</f>
        <v>-</v>
      </c>
      <c r="BC69" s="5" t="str">
        <f>ABY[[#This Row],[Station/Feeder]]&amp;ABY[[#This Row],[Lowest MVA]]</f>
        <v>FLE14.1179461324939</v>
      </c>
      <c r="BD69" s="5" t="str">
        <f>CONCATENATE(ABY[[#This Row],[Supply Level]],ABY[[#This Row],[Station/Feeder]],ABY[[#This Row],[Voltage]],ABY[[#This Row],[Lowest A-No PTX]])</f>
        <v>ZoneSubstationFLE33247</v>
      </c>
      <c r="BE69" s="5" t="str">
        <f>CONCATENATE(ABY[[#This Row],[Supply Level]],ABY[[#This Row],[Station/Feeder]],ABY[[#This Row],[Voltage]],ABY[[#This Row],[Lowest A-PTX]])</f>
        <v>ZoneSubstationFLE33247</v>
      </c>
      <c r="BF69" s="5">
        <f>IF(MIN(ABY[[#This Row],[Summ Cont Winter A]:[Cable Derating]])=0,"",MIN(ABY[[#This Row],[Summ Cont Winter A]:[Cable Derating]]))</f>
        <v>14.117946132493918</v>
      </c>
      <c r="BG69" s="61">
        <f>IFERROR(ABY[[#This Row],[Lowest MVA]]*1000/(ABY[[#This Row],[Voltage]]*SQRT(3)),"")</f>
        <v>247.00000000000003</v>
      </c>
      <c r="BH69" s="61">
        <f t="shared" ref="BH69:BH98" si="132">IF(MIN(N69,P69,R69,T69,V69,X69,Z69,AB69,AD69,AR69)=0,"",MIN(N69,P69,R69,T69,V69,X69,Z69,AB69,AD69,AR69))</f>
        <v>247</v>
      </c>
      <c r="BI69" s="5" t="str">
        <f>ABY[[#This Row],[From]]</f>
        <v>OPU T-off</v>
      </c>
      <c r="BJ69" s="5" t="str">
        <f>ABY[[#This Row],[To]]</f>
        <v>F377</v>
      </c>
      <c r="BK69" s="188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Line-70 mm² Cu</v>
      </c>
      <c r="BL69" s="5">
        <f>ABY[[#This Row],[Voltage]]</f>
        <v>33</v>
      </c>
    </row>
    <row r="70" spans="1:64" s="1" customFormat="1" ht="15" hidden="1" customHeight="1" x14ac:dyDescent="0.25">
      <c r="A70" s="353" t="str">
        <f>CONCATENATE(ABY[[#This Row],[Supply Level]],ABY[[#This Row],[Station/Feeder]],ABY[[#This Row],[Voltage]])</f>
        <v>ZoneSubstationFLE33</v>
      </c>
      <c r="B70" s="353" t="str">
        <f>CONCATENATE(ABY[[#This Row],[Supply Level]],ABY[[#This Row],[Station/Feeder]],ABY[[#This Row],[Equipment ID]],ABY[[#This Row],[Voltage]],ABY[[#This Row],[Device type]])</f>
        <v>ZoneSubstationFLEF38533-</v>
      </c>
      <c r="C70" s="6" t="s">
        <v>1246</v>
      </c>
      <c r="D70" s="11" t="s">
        <v>158</v>
      </c>
      <c r="E70" s="46" t="s">
        <v>326</v>
      </c>
      <c r="F70" s="46" t="s">
        <v>349</v>
      </c>
      <c r="G70" s="57">
        <v>2</v>
      </c>
      <c r="H70" s="46" t="s">
        <v>0</v>
      </c>
      <c r="I70" s="46" t="s">
        <v>350</v>
      </c>
      <c r="J70" s="46" t="s">
        <v>240</v>
      </c>
      <c r="K70" s="46" t="s">
        <v>0</v>
      </c>
      <c r="L70" s="46" t="s">
        <v>0</v>
      </c>
      <c r="M70" s="57">
        <v>33</v>
      </c>
      <c r="N70" s="9">
        <v>328</v>
      </c>
      <c r="O70" s="9">
        <f>IF(OR(N70="",N70="-"),"-",N70*$M70*SQRT(3)/1000)</f>
        <v>18.747717941125526</v>
      </c>
      <c r="P70" s="9" t="s">
        <v>0</v>
      </c>
      <c r="Q70" s="9" t="str">
        <f>IF(OR(P70="",P70="-"),"-",P70*$M70*SQRT(3)/1000)</f>
        <v>-</v>
      </c>
      <c r="R70" s="9">
        <v>247</v>
      </c>
      <c r="S70" s="9">
        <f>IF(OR(R70="",R70="-"),"-",R70*$M70*SQRT(3)/1000)</f>
        <v>14.117946132493918</v>
      </c>
      <c r="T70" s="9" t="s">
        <v>0</v>
      </c>
      <c r="U70" s="9" t="str">
        <f>IF(OR(T70="",T70="-"),"-",T70*$M70*SQRT(3)/1000)</f>
        <v>-</v>
      </c>
      <c r="V70" s="9" t="s">
        <v>0</v>
      </c>
      <c r="W70" s="9" t="str">
        <f>IF(OR(V70="",V70="-"),"-",V70*$M70*SQRT(3)/1000)</f>
        <v>-</v>
      </c>
      <c r="X70" s="9" t="s">
        <v>0</v>
      </c>
      <c r="Y70" s="9" t="str">
        <f>IF(OR(X70="",X70="-"),"-",X70*$M70*SQRT(3)/1000)</f>
        <v>-</v>
      </c>
      <c r="Z70" s="9" t="s">
        <v>0</v>
      </c>
      <c r="AA70" s="9" t="str">
        <f>IF(OR(Z70="",Z70="-"),"-",Z70*$M70*SQRT(3)/1000)</f>
        <v>-</v>
      </c>
      <c r="AB70" s="9" t="s">
        <v>0</v>
      </c>
      <c r="AC70" s="9" t="str">
        <f>IF(OR(AB70="",AB70="-"),"-",AB70*$M70*SQRT(3)/1000)</f>
        <v>-</v>
      </c>
      <c r="AD70" s="9" t="s">
        <v>0</v>
      </c>
      <c r="AE70" s="12" t="str">
        <f>IF(OR(AD70="",AD70="-"),"-",AD70*$M70*SQRT(3)/1000)</f>
        <v>-</v>
      </c>
      <c r="AF70" s="29" t="s">
        <v>0</v>
      </c>
      <c r="AG70" s="29" t="s">
        <v>0</v>
      </c>
      <c r="AH70" s="29" t="s">
        <v>0</v>
      </c>
      <c r="AI70" s="29" t="s">
        <v>0</v>
      </c>
      <c r="AJ70" s="32" t="s">
        <v>0</v>
      </c>
      <c r="AK70" s="29" t="s">
        <v>0</v>
      </c>
      <c r="AL70" s="32" t="s">
        <v>0</v>
      </c>
      <c r="AM70" s="29" t="s">
        <v>0</v>
      </c>
      <c r="AN70" s="32" t="s">
        <v>0</v>
      </c>
      <c r="AO70" s="29" t="s">
        <v>0</v>
      </c>
      <c r="AP70" s="29" t="s">
        <v>0</v>
      </c>
      <c r="AQ70" s="32" t="s">
        <v>0</v>
      </c>
      <c r="AR70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70" s="9" t="str">
        <f>IF(OR(AR70="",AR70="-"),"-",AR70*$M70*SQRT(3)/1000)</f>
        <v>-</v>
      </c>
      <c r="AT70" s="9">
        <f>IF(RIGHT(ABY[[#This Row],[Device type]],7)="Winding","-",ABY[[#This Row],[Cont Winter MVA]])</f>
        <v>18.747717941125526</v>
      </c>
      <c r="AU70" s="9" t="str">
        <f>IF(RIGHT(ABY[[#This Row],[Device type]],7)="Winding","-",ABY[[#This Row],[Cont Shoulder MVA]])</f>
        <v>-</v>
      </c>
      <c r="AV70" s="9">
        <f>IF(RIGHT(ABY[[#This Row],[Device type]],7)="Winding","-",ABY[[#This Row],[Cont Summer MVA]])</f>
        <v>14.117946132493918</v>
      </c>
      <c r="AW70" s="9" t="str">
        <f>IF(RIGHT(ABY[[#This Row],[Device type]],7)="Winding","-",ABY[[#This Row],[24 Hr Winter MVA]])</f>
        <v>-</v>
      </c>
      <c r="AX70" s="9" t="str">
        <f>IF(RIGHT(ABY[[#This Row],[Device type]],7)="Winding","-",ABY[[#This Row],[24 Hr Summer MVA]])</f>
        <v>-</v>
      </c>
      <c r="AY70" s="9" t="str">
        <f>ABY[[#This Row],[Forwards MVA]]</f>
        <v>-</v>
      </c>
      <c r="AZ70" s="9" t="str">
        <f>ABY[[#This Row],[Relay MVA]]</f>
        <v>-</v>
      </c>
      <c r="BA70" s="9" t="str">
        <f>ABY[[#This Row],[CT MVA]]</f>
        <v>-</v>
      </c>
      <c r="BB70" s="9" t="str">
        <f>ABY[[#This Row],[Derating MVA]]</f>
        <v>-</v>
      </c>
      <c r="BC70" s="9" t="str">
        <f>ABY[[#This Row],[Station/Feeder]]&amp;ABY[[#This Row],[Lowest MVA]]</f>
        <v>FLE14.1179461324939</v>
      </c>
      <c r="BD70" s="9" t="str">
        <f>CONCATENATE(ABY[[#This Row],[Supply Level]],ABY[[#This Row],[Station/Feeder]],ABY[[#This Row],[Voltage]],ABY[[#This Row],[Lowest A-No PTX]])</f>
        <v>ZoneSubstationFLE33247</v>
      </c>
      <c r="BE70" s="9" t="str">
        <f>CONCATENATE(ABY[[#This Row],[Supply Level]],ABY[[#This Row],[Station/Feeder]],ABY[[#This Row],[Voltage]],ABY[[#This Row],[Lowest A-PTX]])</f>
        <v>ZoneSubstationFLE33247</v>
      </c>
      <c r="BF70" s="9">
        <f>IF(MIN(ABY[[#This Row],[Summ Cont Winter A]:[Cable Derating]])=0,"",MIN(ABY[[#This Row],[Summ Cont Winter A]:[Cable Derating]]))</f>
        <v>14.117946132493918</v>
      </c>
      <c r="BG70" s="57">
        <f>IFERROR(ABY[[#This Row],[Lowest MVA]]*1000/(ABY[[#This Row],[Voltage]]*SQRT(3)),"")</f>
        <v>247.00000000000003</v>
      </c>
      <c r="BH70" s="57">
        <f t="shared" si="132"/>
        <v>247</v>
      </c>
      <c r="BI70" s="9" t="str">
        <f>ABY[[#This Row],[From]]</f>
        <v>OPU T-off</v>
      </c>
      <c r="BJ70" s="9" t="str">
        <f>ABY[[#This Row],[To]]</f>
        <v>F377</v>
      </c>
      <c r="BK70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ABS-F385</v>
      </c>
      <c r="BL70" s="9">
        <f>ABY[[#This Row],[Voltage]]</f>
        <v>33</v>
      </c>
    </row>
    <row r="71" spans="1:64" s="1" customFormat="1" ht="15" hidden="1" customHeight="1" x14ac:dyDescent="0.25">
      <c r="A71" s="353" t="str">
        <f>CONCATENATE(ABY[[#This Row],[Supply Level]],ABY[[#This Row],[Station/Feeder]],ABY[[#This Row],[Voltage]])</f>
        <v>ZoneSubstationFLE33</v>
      </c>
      <c r="B71" s="353" t="str">
        <f>CONCATENATE(ABY[[#This Row],[Supply Level]],ABY[[#This Row],[Station/Feeder]],ABY[[#This Row],[Equipment ID]],ABY[[#This Row],[Voltage]],ABY[[#This Row],[Device type]])</f>
        <v>ZoneSubstationFLE70 mm² Cu33-</v>
      </c>
      <c r="C71" s="6" t="s">
        <v>1246</v>
      </c>
      <c r="D71" s="11" t="s">
        <v>158</v>
      </c>
      <c r="E71" s="46" t="s">
        <v>326</v>
      </c>
      <c r="F71" s="46" t="s">
        <v>349</v>
      </c>
      <c r="G71" s="57">
        <v>3</v>
      </c>
      <c r="H71" s="46" t="s">
        <v>1289</v>
      </c>
      <c r="I71" s="46" t="s">
        <v>1283</v>
      </c>
      <c r="J71" s="46" t="s">
        <v>69</v>
      </c>
      <c r="K71" s="46" t="s">
        <v>0</v>
      </c>
      <c r="L71" s="46" t="s">
        <v>0</v>
      </c>
      <c r="M71" s="57">
        <v>33</v>
      </c>
      <c r="N71" s="9">
        <v>328</v>
      </c>
      <c r="O71" s="9">
        <f t="shared" ref="O71" si="133">IF(OR(N71="",N71="-"),"-",N71*$M71*SQRT(3)/1000)</f>
        <v>18.747717941125526</v>
      </c>
      <c r="P71" s="9" t="s">
        <v>0</v>
      </c>
      <c r="Q71" s="9" t="str">
        <f t="shared" ref="Q71" si="134">IF(OR(P71="",P71="-"),"-",P71*$M71*SQRT(3)/1000)</f>
        <v>-</v>
      </c>
      <c r="R71" s="9">
        <v>247</v>
      </c>
      <c r="S71" s="9">
        <f t="shared" ref="S71" si="135">IF(OR(R71="",R71="-"),"-",R71*$M71*SQRT(3)/1000)</f>
        <v>14.117946132493918</v>
      </c>
      <c r="T71" s="9" t="s">
        <v>0</v>
      </c>
      <c r="U71" s="9" t="str">
        <f t="shared" ref="U71" si="136">IF(OR(T71="",T71="-"),"-",T71*$M71*SQRT(3)/1000)</f>
        <v>-</v>
      </c>
      <c r="V71" s="9" t="s">
        <v>0</v>
      </c>
      <c r="W71" s="9" t="str">
        <f t="shared" ref="W71" si="137">IF(OR(V71="",V71="-"),"-",V71*$M71*SQRT(3)/1000)</f>
        <v>-</v>
      </c>
      <c r="X71" s="9" t="s">
        <v>0</v>
      </c>
      <c r="Y71" s="9" t="str">
        <f t="shared" ref="Y71" si="138">IF(OR(X71="",X71="-"),"-",X71*$M71*SQRT(3)/1000)</f>
        <v>-</v>
      </c>
      <c r="Z71" s="9" t="s">
        <v>0</v>
      </c>
      <c r="AA71" s="9" t="str">
        <f t="shared" ref="AA71" si="139">IF(OR(Z71="",Z71="-"),"-",Z71*$M71*SQRT(3)/1000)</f>
        <v>-</v>
      </c>
      <c r="AB71" s="9" t="s">
        <v>0</v>
      </c>
      <c r="AC71" s="9" t="str">
        <f t="shared" ref="AC71" si="140">IF(OR(AB71="",AB71="-"),"-",AB71*$M71*SQRT(3)/1000)</f>
        <v>-</v>
      </c>
      <c r="AD71" s="9" t="s">
        <v>0</v>
      </c>
      <c r="AE71" s="12" t="str">
        <f t="shared" ref="AE71" si="141">IF(OR(AD71="",AD71="-"),"-",AD71*$M71*SQRT(3)/1000)</f>
        <v>-</v>
      </c>
      <c r="AF71" s="29" t="s">
        <v>0</v>
      </c>
      <c r="AG71" s="29" t="s">
        <v>0</v>
      </c>
      <c r="AH71" s="29">
        <v>12.1</v>
      </c>
      <c r="AI71" s="29" t="s">
        <v>0</v>
      </c>
      <c r="AJ71" s="32" t="s">
        <v>0</v>
      </c>
      <c r="AK71" s="29" t="s">
        <v>0</v>
      </c>
      <c r="AL71" s="32" t="s">
        <v>0</v>
      </c>
      <c r="AM71" s="29" t="s">
        <v>0</v>
      </c>
      <c r="AN71" s="32" t="s">
        <v>0</v>
      </c>
      <c r="AO71" s="29" t="s">
        <v>0</v>
      </c>
      <c r="AP71" s="29" t="s">
        <v>0</v>
      </c>
      <c r="AQ71" s="32" t="s">
        <v>0</v>
      </c>
      <c r="AR71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71" s="9" t="str">
        <f t="shared" ref="AS71" si="142">IF(OR(AR71="",AR71="-"),"-",AR71*$M71*SQRT(3)/1000)</f>
        <v>-</v>
      </c>
      <c r="AT71" s="9">
        <f>IF(RIGHT(ABY[[#This Row],[Device type]],7)="Winding","-",ABY[[#This Row],[Cont Winter MVA]])</f>
        <v>18.747717941125526</v>
      </c>
      <c r="AU71" s="9" t="str">
        <f>IF(RIGHT(ABY[[#This Row],[Device type]],7)="Winding","-",ABY[[#This Row],[Cont Shoulder MVA]])</f>
        <v>-</v>
      </c>
      <c r="AV71" s="9">
        <f>IF(RIGHT(ABY[[#This Row],[Device type]],7)="Winding","-",ABY[[#This Row],[Cont Summer MVA]])</f>
        <v>14.117946132493918</v>
      </c>
      <c r="AW71" s="9" t="str">
        <f>IF(RIGHT(ABY[[#This Row],[Device type]],7)="Winding","-",ABY[[#This Row],[24 Hr Winter MVA]])</f>
        <v>-</v>
      </c>
      <c r="AX71" s="9" t="str">
        <f>IF(RIGHT(ABY[[#This Row],[Device type]],7)="Winding","-",ABY[[#This Row],[24 Hr Summer MVA]])</f>
        <v>-</v>
      </c>
      <c r="AY71" s="9" t="str">
        <f>ABY[[#This Row],[Forwards MVA]]</f>
        <v>-</v>
      </c>
      <c r="AZ71" s="9" t="str">
        <f>ABY[[#This Row],[Relay MVA]]</f>
        <v>-</v>
      </c>
      <c r="BA71" s="9" t="str">
        <f>ABY[[#This Row],[CT MVA]]</f>
        <v>-</v>
      </c>
      <c r="BB71" s="9" t="str">
        <f>ABY[[#This Row],[Derating MVA]]</f>
        <v>-</v>
      </c>
      <c r="BC71" s="9" t="str">
        <f>ABY[[#This Row],[Station/Feeder]]&amp;ABY[[#This Row],[Lowest MVA]]</f>
        <v>FLE14.1179461324939</v>
      </c>
      <c r="BD71" s="9" t="str">
        <f>CONCATENATE(ABY[[#This Row],[Supply Level]],ABY[[#This Row],[Station/Feeder]],ABY[[#This Row],[Voltage]],ABY[[#This Row],[Lowest A-No PTX]])</f>
        <v>ZoneSubstationFLE33247</v>
      </c>
      <c r="BE71" s="9" t="str">
        <f>CONCATENATE(ABY[[#This Row],[Supply Level]],ABY[[#This Row],[Station/Feeder]],ABY[[#This Row],[Voltage]],ABY[[#This Row],[Lowest A-PTX]])</f>
        <v>ZoneSubstationFLE33247</v>
      </c>
      <c r="BF71" s="9">
        <f>IF(MIN(ABY[[#This Row],[Summ Cont Winter A]:[Cable Derating]])=0,"",MIN(ABY[[#This Row],[Summ Cont Winter A]:[Cable Derating]]))</f>
        <v>14.117946132493918</v>
      </c>
      <c r="BG71" s="57">
        <f>IFERROR(ABY[[#This Row],[Lowest MVA]]*1000/(ABY[[#This Row],[Voltage]]*SQRT(3)),"")</f>
        <v>247.00000000000003</v>
      </c>
      <c r="BH71" s="57">
        <f t="shared" si="132"/>
        <v>247</v>
      </c>
      <c r="BI71" s="9" t="str">
        <f>ABY[[#This Row],[From]]</f>
        <v>OPU T-off</v>
      </c>
      <c r="BJ71" s="9" t="str">
        <f>ABY[[#This Row],[To]]</f>
        <v>F377</v>
      </c>
      <c r="BK71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Line-70 mm² Cu</v>
      </c>
      <c r="BL71" s="9">
        <f>ABY[[#This Row],[Voltage]]</f>
        <v>33</v>
      </c>
    </row>
    <row r="72" spans="1:64" s="1" customFormat="1" ht="15" hidden="1" customHeight="1" x14ac:dyDescent="0.25">
      <c r="A72" s="353" t="str">
        <f>CONCATENATE(ABY[[#This Row],[Supply Level]],ABY[[#This Row],[Station/Feeder]],ABY[[#This Row],[Voltage]])</f>
        <v>ZoneSubstationFLE33</v>
      </c>
      <c r="B72" s="353" t="str">
        <f>CONCATENATE(ABY[[#This Row],[Supply Level]],ABY[[#This Row],[Station/Feeder]],ABY[[#This Row],[Equipment ID]],ABY[[#This Row],[Voltage]],ABY[[#This Row],[Device type]])</f>
        <v>ZoneSubstationFLEF30733-</v>
      </c>
      <c r="C72" s="6" t="s">
        <v>1246</v>
      </c>
      <c r="D72" s="11" t="s">
        <v>158</v>
      </c>
      <c r="E72" s="46" t="s">
        <v>326</v>
      </c>
      <c r="F72" s="46" t="s">
        <v>349</v>
      </c>
      <c r="G72" s="57">
        <v>4</v>
      </c>
      <c r="H72" s="46" t="s">
        <v>0</v>
      </c>
      <c r="I72" s="46" t="s">
        <v>351</v>
      </c>
      <c r="J72" s="46" t="s">
        <v>240</v>
      </c>
      <c r="K72" s="46" t="s">
        <v>0</v>
      </c>
      <c r="L72" s="46" t="s">
        <v>0</v>
      </c>
      <c r="M72" s="57">
        <v>33</v>
      </c>
      <c r="N72" s="9" t="s">
        <v>0</v>
      </c>
      <c r="O72" s="9" t="str">
        <f t="shared" si="0"/>
        <v>-</v>
      </c>
      <c r="P72" s="9" t="s">
        <v>0</v>
      </c>
      <c r="Q72" s="9" t="str">
        <f t="shared" si="1"/>
        <v>-</v>
      </c>
      <c r="R72" s="9" t="s">
        <v>0</v>
      </c>
      <c r="S72" s="9" t="str">
        <f t="shared" si="2"/>
        <v>-</v>
      </c>
      <c r="T72" s="9" t="s">
        <v>0</v>
      </c>
      <c r="U72" s="9" t="str">
        <f t="shared" si="3"/>
        <v>-</v>
      </c>
      <c r="V72" s="9" t="s">
        <v>0</v>
      </c>
      <c r="W72" s="9" t="str">
        <f t="shared" si="4"/>
        <v>-</v>
      </c>
      <c r="X72" s="9" t="s">
        <v>0</v>
      </c>
      <c r="Y72" s="9" t="str">
        <f t="shared" si="5"/>
        <v>-</v>
      </c>
      <c r="Z72" s="9" t="s">
        <v>0</v>
      </c>
      <c r="AA72" s="9" t="str">
        <f t="shared" si="6"/>
        <v>-</v>
      </c>
      <c r="AB72" s="9" t="s">
        <v>0</v>
      </c>
      <c r="AC72" s="9" t="str">
        <f t="shared" si="7"/>
        <v>-</v>
      </c>
      <c r="AD72" s="9" t="s">
        <v>0</v>
      </c>
      <c r="AE72" s="12" t="str">
        <f t="shared" si="8"/>
        <v>-</v>
      </c>
      <c r="AF72" s="29" t="s">
        <v>0</v>
      </c>
      <c r="AG72" s="29" t="s">
        <v>0</v>
      </c>
      <c r="AH72" s="29" t="s">
        <v>0</v>
      </c>
      <c r="AI72" s="29" t="s">
        <v>0</v>
      </c>
      <c r="AJ72" s="32" t="s">
        <v>0</v>
      </c>
      <c r="AK72" s="29" t="s">
        <v>0</v>
      </c>
      <c r="AL72" s="32" t="s">
        <v>0</v>
      </c>
      <c r="AM72" s="29" t="s">
        <v>0</v>
      </c>
      <c r="AN72" s="32" t="s">
        <v>0</v>
      </c>
      <c r="AO72" s="29" t="s">
        <v>0</v>
      </c>
      <c r="AP72" s="29" t="s">
        <v>0</v>
      </c>
      <c r="AQ72" s="32" t="s">
        <v>0</v>
      </c>
      <c r="AR72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72" s="9" t="str">
        <f t="shared" si="9"/>
        <v>-</v>
      </c>
      <c r="AT72" s="9" t="str">
        <f>IF(RIGHT(ABY[[#This Row],[Device type]],7)="Winding","-",ABY[[#This Row],[Cont Winter MVA]])</f>
        <v>-</v>
      </c>
      <c r="AU72" s="9" t="str">
        <f>IF(RIGHT(ABY[[#This Row],[Device type]],7)="Winding","-",ABY[[#This Row],[Cont Shoulder MVA]])</f>
        <v>-</v>
      </c>
      <c r="AV72" s="9" t="str">
        <f>IF(RIGHT(ABY[[#This Row],[Device type]],7)="Winding","-",ABY[[#This Row],[Cont Summer MVA]])</f>
        <v>-</v>
      </c>
      <c r="AW72" s="9" t="str">
        <f>IF(RIGHT(ABY[[#This Row],[Device type]],7)="Winding","-",ABY[[#This Row],[24 Hr Winter MVA]])</f>
        <v>-</v>
      </c>
      <c r="AX72" s="9" t="str">
        <f>IF(RIGHT(ABY[[#This Row],[Device type]],7)="Winding","-",ABY[[#This Row],[24 Hr Summer MVA]])</f>
        <v>-</v>
      </c>
      <c r="AY72" s="9" t="str">
        <f>ABY[[#This Row],[Forwards MVA]]</f>
        <v>-</v>
      </c>
      <c r="AZ72" s="9" t="str">
        <f>ABY[[#This Row],[Relay MVA]]</f>
        <v>-</v>
      </c>
      <c r="BA72" s="9" t="str">
        <f>ABY[[#This Row],[CT MVA]]</f>
        <v>-</v>
      </c>
      <c r="BB72" s="9" t="str">
        <f>ABY[[#This Row],[Derating MVA]]</f>
        <v>-</v>
      </c>
      <c r="BC72" s="9" t="str">
        <f>ABY[[#This Row],[Station/Feeder]]&amp;ABY[[#This Row],[Lowest MVA]]</f>
        <v>FLE</v>
      </c>
      <c r="BD72" s="9" t="str">
        <f>CONCATENATE(ABY[[#This Row],[Supply Level]],ABY[[#This Row],[Station/Feeder]],ABY[[#This Row],[Voltage]],ABY[[#This Row],[Lowest A-No PTX]])</f>
        <v>ZoneSubstationFLE33</v>
      </c>
      <c r="BE72" s="9" t="str">
        <f>CONCATENATE(ABY[[#This Row],[Supply Level]],ABY[[#This Row],[Station/Feeder]],ABY[[#This Row],[Voltage]],ABY[[#This Row],[Lowest A-PTX]])</f>
        <v>ZoneSubstationFLE33</v>
      </c>
      <c r="BF72" s="9" t="str">
        <f>IF(MIN(ABY[[#This Row],[Summ Cont Winter A]:[Cable Derating]])=0,"",MIN(ABY[[#This Row],[Summ Cont Winter A]:[Cable Derating]]))</f>
        <v/>
      </c>
      <c r="BG72" s="57" t="str">
        <f>IFERROR(ABY[[#This Row],[Lowest MVA]]*1000/(ABY[[#This Row],[Voltage]]*SQRT(3)),"")</f>
        <v/>
      </c>
      <c r="BH72" s="57" t="str">
        <f t="shared" si="132"/>
        <v/>
      </c>
      <c r="BI72" s="9" t="str">
        <f>ABY[[#This Row],[From]]</f>
        <v>OPU T-off</v>
      </c>
      <c r="BJ72" s="9" t="str">
        <f>ABY[[#This Row],[To]]</f>
        <v>F377</v>
      </c>
      <c r="BK72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ABS-F307</v>
      </c>
      <c r="BL72" s="9">
        <f>ABY[[#This Row],[Voltage]]</f>
        <v>33</v>
      </c>
    </row>
    <row r="73" spans="1:64" s="1" customFormat="1" hidden="1" x14ac:dyDescent="0.25">
      <c r="A73" s="353" t="str">
        <f>CONCATENATE(ABY[[#This Row],[Supply Level]],ABY[[#This Row],[Station/Feeder]],ABY[[#This Row],[Voltage]])</f>
        <v>ZoneSubstationFLE33</v>
      </c>
      <c r="B73" s="353" t="str">
        <f>CONCATENATE(ABY[[#This Row],[Supply Level]],ABY[[#This Row],[Station/Feeder]],ABY[[#This Row],[Equipment ID]],ABY[[#This Row],[Voltage]],ABY[[#This Row],[Device type]])</f>
        <v>ZoneSubstationFLEFLE-F32333Protection</v>
      </c>
      <c r="C73" s="6" t="s">
        <v>1246</v>
      </c>
      <c r="D73" s="11" t="s">
        <v>158</v>
      </c>
      <c r="E73" s="46" t="s">
        <v>326</v>
      </c>
      <c r="F73" s="46" t="s">
        <v>349</v>
      </c>
      <c r="G73" s="57">
        <v>5</v>
      </c>
      <c r="H73" s="46" t="s">
        <v>274</v>
      </c>
      <c r="I73" s="46" t="s">
        <v>2412</v>
      </c>
      <c r="J73" s="46" t="s">
        <v>15</v>
      </c>
      <c r="K73" s="46" t="s">
        <v>1121</v>
      </c>
      <c r="L73" s="46" t="s">
        <v>1423</v>
      </c>
      <c r="M73" s="57">
        <v>33</v>
      </c>
      <c r="N73" s="9">
        <v>560</v>
      </c>
      <c r="O73" s="9">
        <f t="shared" si="0"/>
        <v>32.00829892387285</v>
      </c>
      <c r="P73" s="9">
        <v>560</v>
      </c>
      <c r="Q73" s="9">
        <f t="shared" si="1"/>
        <v>32.00829892387285</v>
      </c>
      <c r="R73" s="9">
        <v>560</v>
      </c>
      <c r="S73" s="9">
        <f t="shared" si="2"/>
        <v>32.00829892387285</v>
      </c>
      <c r="T73" s="9" t="s">
        <v>0</v>
      </c>
      <c r="U73" s="9" t="str">
        <f t="shared" si="3"/>
        <v>-</v>
      </c>
      <c r="V73" s="9" t="s">
        <v>0</v>
      </c>
      <c r="W73" s="9" t="str">
        <f t="shared" si="4"/>
        <v>-</v>
      </c>
      <c r="X73" s="9">
        <f>VLOOKUP(ABY[[#This Row],[Equipment ID]],AEL_Protection_Data[#All],12,0)</f>
        <v>100</v>
      </c>
      <c r="Y73" s="9">
        <f t="shared" si="5"/>
        <v>5.715767664977295</v>
      </c>
      <c r="Z73" s="9" t="s">
        <v>0</v>
      </c>
      <c r="AA73" s="9" t="str">
        <f t="shared" si="6"/>
        <v>-</v>
      </c>
      <c r="AB73" s="9" t="s">
        <v>0</v>
      </c>
      <c r="AC73" s="9" t="str">
        <f t="shared" si="7"/>
        <v>-</v>
      </c>
      <c r="AD73" s="9">
        <v>500</v>
      </c>
      <c r="AE73" s="12">
        <f t="shared" si="8"/>
        <v>28.578838324886473</v>
      </c>
      <c r="AF73" s="29" t="s">
        <v>0</v>
      </c>
      <c r="AG73" s="29" t="s">
        <v>0</v>
      </c>
      <c r="AH73" s="29" t="s">
        <v>0</v>
      </c>
      <c r="AI73" s="29" t="s">
        <v>0</v>
      </c>
      <c r="AJ73" s="32" t="s">
        <v>0</v>
      </c>
      <c r="AK73" s="29" t="s">
        <v>0</v>
      </c>
      <c r="AL73" s="32" t="s">
        <v>0</v>
      </c>
      <c r="AM73" s="29" t="s">
        <v>0</v>
      </c>
      <c r="AN73" s="32" t="s">
        <v>0</v>
      </c>
      <c r="AO73" s="29" t="s">
        <v>0</v>
      </c>
      <c r="AP73" s="29" t="s">
        <v>0</v>
      </c>
      <c r="AQ73" s="32" t="s">
        <v>0</v>
      </c>
      <c r="AR73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73" s="9" t="str">
        <f t="shared" si="9"/>
        <v>-</v>
      </c>
      <c r="AT73" s="9">
        <f>IF(RIGHT(ABY[[#This Row],[Device type]],7)="Winding","-",ABY[[#This Row],[Cont Winter MVA]])</f>
        <v>32.00829892387285</v>
      </c>
      <c r="AU73" s="9">
        <f>IF(RIGHT(ABY[[#This Row],[Device type]],7)="Winding","-",ABY[[#This Row],[Cont Shoulder MVA]])</f>
        <v>32.00829892387285</v>
      </c>
      <c r="AV73" s="9">
        <f>IF(RIGHT(ABY[[#This Row],[Device type]],7)="Winding","-",ABY[[#This Row],[Cont Summer MVA]])</f>
        <v>32.00829892387285</v>
      </c>
      <c r="AW73" s="9" t="str">
        <f>IF(RIGHT(ABY[[#This Row],[Device type]],7)="Winding","-",ABY[[#This Row],[24 Hr Winter MVA]])</f>
        <v>-</v>
      </c>
      <c r="AX73" s="9" t="str">
        <f>IF(RIGHT(ABY[[#This Row],[Device type]],7)="Winding","-",ABY[[#This Row],[24 Hr Summer MVA]])</f>
        <v>-</v>
      </c>
      <c r="AY73" s="9">
        <f>ABY[[#This Row],[Forwards MVA]]</f>
        <v>5.715767664977295</v>
      </c>
      <c r="AZ73" s="9" t="str">
        <f>ABY[[#This Row],[Relay MVA]]</f>
        <v>-</v>
      </c>
      <c r="BA73" s="9">
        <f>ABY[[#This Row],[CT MVA]]</f>
        <v>28.578838324886473</v>
      </c>
      <c r="BB73" s="9" t="str">
        <f>ABY[[#This Row],[Derating MVA]]</f>
        <v>-</v>
      </c>
      <c r="BC73" s="9" t="str">
        <f>ABY[[#This Row],[Station/Feeder]]&amp;ABY[[#This Row],[Lowest MVA]]</f>
        <v>FLE5.7157676649773</v>
      </c>
      <c r="BD73" s="9" t="str">
        <f>CONCATENATE(ABY[[#This Row],[Supply Level]],ABY[[#This Row],[Station/Feeder]],ABY[[#This Row],[Voltage]],ABY[[#This Row],[Lowest A-No PTX]])</f>
        <v>ZoneSubstationFLE33100</v>
      </c>
      <c r="BE73" s="9" t="str">
        <f>CONCATENATE(ABY[[#This Row],[Supply Level]],ABY[[#This Row],[Station/Feeder]],ABY[[#This Row],[Voltage]],ABY[[#This Row],[Lowest A-PTX]])</f>
        <v>ZoneSubstationFLE33100</v>
      </c>
      <c r="BF73" s="9">
        <f>IF(MIN(ABY[[#This Row],[Summ Cont Winter A]:[Cable Derating]])=0,"",MIN(ABY[[#This Row],[Summ Cont Winter A]:[Cable Derating]]))</f>
        <v>5.715767664977295</v>
      </c>
      <c r="BG73" s="57">
        <f>IFERROR(ABY[[#This Row],[Lowest MVA]]*1000/(ABY[[#This Row],[Voltage]]*SQRT(3)),"")</f>
        <v>100</v>
      </c>
      <c r="BH73" s="57">
        <f t="shared" si="132"/>
        <v>100</v>
      </c>
      <c r="BI73" s="9" t="str">
        <f>ABY[[#This Row],[From]]</f>
        <v>OPU T-off</v>
      </c>
      <c r="BJ73" s="9" t="str">
        <f>ABY[[#This Row],[To]]</f>
        <v>F377</v>
      </c>
      <c r="BK73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Circuit Breaker-FLE-F323-Protection</v>
      </c>
      <c r="BL73" s="9">
        <f>ABY[[#This Row],[Voltage]]</f>
        <v>33</v>
      </c>
    </row>
    <row r="74" spans="1:64" s="1" customFormat="1" ht="15" hidden="1" customHeight="1" x14ac:dyDescent="0.25">
      <c r="A74" s="353" t="str">
        <f>CONCATENATE(ABY[[#This Row],[Supply Level]],ABY[[#This Row],[Station/Feeder]],ABY[[#This Row],[Voltage]])</f>
        <v>ZoneSubstationFLE33</v>
      </c>
      <c r="B74" s="353" t="str">
        <f>CONCATENATE(ABY[[#This Row],[Supply Level]],ABY[[#This Row],[Station/Feeder]],ABY[[#This Row],[Equipment ID]],ABY[[#This Row],[Voltage]],ABY[[#This Row],[Device type]])</f>
        <v>ZoneSubstationFLEC133HV Winding</v>
      </c>
      <c r="C74" s="6" t="s">
        <v>1246</v>
      </c>
      <c r="D74" s="11" t="s">
        <v>158</v>
      </c>
      <c r="E74" s="46" t="s">
        <v>326</v>
      </c>
      <c r="F74" s="46" t="s">
        <v>349</v>
      </c>
      <c r="G74" s="57">
        <v>6</v>
      </c>
      <c r="H74" s="46" t="s">
        <v>275</v>
      </c>
      <c r="I74" s="46" t="s">
        <v>352</v>
      </c>
      <c r="J74" s="46" t="s">
        <v>19</v>
      </c>
      <c r="K74" s="46" t="s">
        <v>0</v>
      </c>
      <c r="L74" s="46" t="s">
        <v>36</v>
      </c>
      <c r="M74" s="57">
        <v>33</v>
      </c>
      <c r="N74" s="9">
        <f>6.25*1000/(ABY[[#This Row],[Voltage]]*SQRT(3))</f>
        <v>109.34664189197458</v>
      </c>
      <c r="O74" s="9">
        <f t="shared" ref="O74:O78" si="143">IF(OR(N74="",N74="-"),"-",N74*$M74*SQRT(3)/1000)</f>
        <v>6.25</v>
      </c>
      <c r="P74" s="9">
        <f>ABY[[#This Row],[Cont Winter A]]</f>
        <v>109.34664189197458</v>
      </c>
      <c r="Q74" s="9">
        <f t="shared" ref="Q74:Q78" si="144">IF(OR(P74="",P74="-"),"-",P74*$M74*SQRT(3)/1000)</f>
        <v>6.25</v>
      </c>
      <c r="R74" s="9">
        <f>ABY[[#This Row],[Cont Winter A]]</f>
        <v>109.34664189197458</v>
      </c>
      <c r="S74" s="9">
        <f t="shared" ref="S74:S78" si="145">IF(OR(R74="",R74="-"),"-",R74*$M74*SQRT(3)/1000)</f>
        <v>6.25</v>
      </c>
      <c r="T74" s="9" t="s">
        <v>0</v>
      </c>
      <c r="U74" s="9" t="str">
        <f t="shared" ref="U74:U78" si="146">IF(OR(T74="",T74="-"),"-",T74*$M74*SQRT(3)/1000)</f>
        <v>-</v>
      </c>
      <c r="V74" s="9" t="s">
        <v>0</v>
      </c>
      <c r="W74" s="9" t="str">
        <f t="shared" ref="W74:W78" si="147">IF(OR(V74="",V74="-"),"-",V74*$M74*SQRT(3)/1000)</f>
        <v>-</v>
      </c>
      <c r="X74" s="9" t="s">
        <v>0</v>
      </c>
      <c r="Y74" s="9" t="str">
        <f t="shared" ref="Y74:Y78" si="148">IF(OR(X74="",X74="-"),"-",X74*$M74*SQRT(3)/1000)</f>
        <v>-</v>
      </c>
      <c r="Z74" s="9" t="s">
        <v>0</v>
      </c>
      <c r="AA74" s="9" t="str">
        <f t="shared" ref="AA74:AA78" si="149">IF(OR(Z74="",Z74="-"),"-",Z74*$M74*SQRT(3)/1000)</f>
        <v>-</v>
      </c>
      <c r="AB74" s="9" t="s">
        <v>0</v>
      </c>
      <c r="AC74" s="9" t="str">
        <f t="shared" ref="AC74:AC78" si="150">IF(OR(AB74="",AB74="-"),"-",AB74*$M74*SQRT(3)/1000)</f>
        <v>-</v>
      </c>
      <c r="AD74" s="9" t="s">
        <v>0</v>
      </c>
      <c r="AE74" s="12" t="str">
        <f t="shared" ref="AE74:AE78" si="151">IF(OR(AD74="",AD74="-"),"-",AD74*$M74*SQRT(3)/1000)</f>
        <v>-</v>
      </c>
      <c r="AF74" s="29" t="s">
        <v>0</v>
      </c>
      <c r="AG74" s="29" t="s">
        <v>0</v>
      </c>
      <c r="AH74" s="9" t="s">
        <v>0</v>
      </c>
      <c r="AI74" s="29" t="s">
        <v>0</v>
      </c>
      <c r="AJ74" s="32" t="s">
        <v>0</v>
      </c>
      <c r="AK74" s="29" t="s">
        <v>0</v>
      </c>
      <c r="AL74" s="32" t="s">
        <v>0</v>
      </c>
      <c r="AM74" s="29" t="s">
        <v>0</v>
      </c>
      <c r="AN74" s="32" t="s">
        <v>0</v>
      </c>
      <c r="AO74" s="29" t="s">
        <v>0</v>
      </c>
      <c r="AP74" s="32" t="s">
        <v>0</v>
      </c>
      <c r="AQ74" s="32" t="s">
        <v>0</v>
      </c>
      <c r="AR74" s="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74" s="9" t="str">
        <f t="shared" ref="AS74:AS78" si="152">IF(OR(AR74="",AR74="-"),"-",AR74*$M74*SQRT(3)/1000)</f>
        <v>-</v>
      </c>
      <c r="AT74" s="9" t="str">
        <f>IF(RIGHT(ABY[[#This Row],[Device type]],7)="Winding","-",ABY[[#This Row],[Cont Winter MVA]])</f>
        <v>-</v>
      </c>
      <c r="AU74" s="9" t="str">
        <f>IF(RIGHT(ABY[[#This Row],[Device type]],7)="Winding","-",ABY[[#This Row],[Cont Shoulder MVA]])</f>
        <v>-</v>
      </c>
      <c r="AV74" s="9" t="str">
        <f>IF(RIGHT(ABY[[#This Row],[Device type]],7)="Winding","-",ABY[[#This Row],[Cont Summer MVA]])</f>
        <v>-</v>
      </c>
      <c r="AW74" s="9" t="str">
        <f>IF(RIGHT(ABY[[#This Row],[Device type]],7)="Winding","-",ABY[[#This Row],[24 Hr Winter MVA]])</f>
        <v>-</v>
      </c>
      <c r="AX74" s="9" t="str">
        <f>IF(RIGHT(ABY[[#This Row],[Device type]],7)="Winding","-",ABY[[#This Row],[24 Hr Summer MVA]])</f>
        <v>-</v>
      </c>
      <c r="AY74" s="9" t="str">
        <f>ABY[[#This Row],[Forwards MVA]]</f>
        <v>-</v>
      </c>
      <c r="AZ74" s="9" t="str">
        <f>ABY[[#This Row],[Relay MVA]]</f>
        <v>-</v>
      </c>
      <c r="BA74" s="9" t="str">
        <f>ABY[[#This Row],[CT MVA]]</f>
        <v>-</v>
      </c>
      <c r="BB74" s="9" t="str">
        <f>ABY[[#This Row],[Derating MVA]]</f>
        <v>-</v>
      </c>
      <c r="BC74" s="9" t="str">
        <f>ABY[[#This Row],[Station/Feeder]]&amp;ABY[[#This Row],[Lowest MVA]]</f>
        <v>FLE</v>
      </c>
      <c r="BD74" s="9" t="str">
        <f>CONCATENATE(ABY[[#This Row],[Supply Level]],ABY[[#This Row],[Station/Feeder]],ABY[[#This Row],[Voltage]],ABY[[#This Row],[Lowest A-No PTX]])</f>
        <v>ZoneSubstationFLE33</v>
      </c>
      <c r="BE74" s="9" t="str">
        <f>CONCATENATE(ABY[[#This Row],[Supply Level]],ABY[[#This Row],[Station/Feeder]],ABY[[#This Row],[Voltage]],ABY[[#This Row],[Lowest A-PTX]])</f>
        <v>ZoneSubstationFLE33109.346641891975</v>
      </c>
      <c r="BF74" s="9" t="str">
        <f>IF(MIN(ABY[[#This Row],[Summ Cont Winter A]:[Cable Derating]])=0,"",MIN(ABY[[#This Row],[Summ Cont Winter A]:[Cable Derating]]))</f>
        <v/>
      </c>
      <c r="BG74" s="57" t="str">
        <f>IFERROR(ABY[[#This Row],[Lowest MVA]]*1000/(ABY[[#This Row],[Voltage]]*SQRT(3)),"")</f>
        <v/>
      </c>
      <c r="BH74" s="57">
        <f t="shared" si="132"/>
        <v>109.34664189197458</v>
      </c>
      <c r="BI74" s="9" t="str">
        <f>ABY[[#This Row],[From]]</f>
        <v>OPU T-off</v>
      </c>
      <c r="BJ74" s="9" t="str">
        <f>ABY[[#This Row],[To]]</f>
        <v>F377</v>
      </c>
      <c r="BK74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Transformer-C1-HV Winding</v>
      </c>
      <c r="BL74" s="9">
        <f>ABY[[#This Row],[Voltage]]</f>
        <v>33</v>
      </c>
    </row>
    <row r="75" spans="1:64" s="1" customFormat="1" ht="15" hidden="1" customHeight="1" x14ac:dyDescent="0.25">
      <c r="A75" s="353" t="str">
        <f>CONCATENATE(ABY[[#This Row],[Supply Level]],ABY[[#This Row],[Station/Feeder]],ABY[[#This Row],[Voltage]])</f>
        <v>ZoneSubstationFLE11.1001</v>
      </c>
      <c r="B75" s="353" t="str">
        <f>CONCATENATE(ABY[[#This Row],[Supply Level]],ABY[[#This Row],[Station/Feeder]],ABY[[#This Row],[Equipment ID]],ABY[[#This Row],[Voltage]],ABY[[#This Row],[Device type]])</f>
        <v>ZoneSubstationFLEC111.1001LV Winding</v>
      </c>
      <c r="C75" s="6" t="s">
        <v>1246</v>
      </c>
      <c r="D75" s="11" t="s">
        <v>158</v>
      </c>
      <c r="E75" s="46" t="s">
        <v>326</v>
      </c>
      <c r="F75" s="46" t="s">
        <v>349</v>
      </c>
      <c r="G75" s="57">
        <v>7</v>
      </c>
      <c r="H75" s="46" t="s">
        <v>275</v>
      </c>
      <c r="I75" s="46" t="s">
        <v>352</v>
      </c>
      <c r="J75" s="46" t="s">
        <v>19</v>
      </c>
      <c r="K75" s="46" t="s">
        <v>0</v>
      </c>
      <c r="L75" s="46" t="s">
        <v>37</v>
      </c>
      <c r="M75" s="57">
        <f>11*1.0091</f>
        <v>11.100100000000001</v>
      </c>
      <c r="N75" s="9">
        <f>6.25*1000/(ABY[[#This Row],[Voltage]]*SQRT(3))</f>
        <v>325.08168236638954</v>
      </c>
      <c r="O75" s="9">
        <f t="shared" si="143"/>
        <v>6.25</v>
      </c>
      <c r="P75" s="9">
        <f>ABY[[#This Row],[Cont Winter A]]</f>
        <v>325.08168236638954</v>
      </c>
      <c r="Q75" s="9">
        <f t="shared" si="144"/>
        <v>6.25</v>
      </c>
      <c r="R75" s="9">
        <f>ABY[[#This Row],[Cont Winter A]]</f>
        <v>325.08168236638954</v>
      </c>
      <c r="S75" s="9">
        <f t="shared" si="145"/>
        <v>6.25</v>
      </c>
      <c r="T75" s="9" t="s">
        <v>0</v>
      </c>
      <c r="U75" s="9" t="str">
        <f t="shared" si="146"/>
        <v>-</v>
      </c>
      <c r="V75" s="9" t="s">
        <v>0</v>
      </c>
      <c r="W75" s="9" t="str">
        <f t="shared" si="147"/>
        <v>-</v>
      </c>
      <c r="X75" s="9" t="s">
        <v>0</v>
      </c>
      <c r="Y75" s="9" t="str">
        <f t="shared" si="148"/>
        <v>-</v>
      </c>
      <c r="Z75" s="9" t="s">
        <v>0</v>
      </c>
      <c r="AA75" s="9" t="str">
        <f t="shared" si="149"/>
        <v>-</v>
      </c>
      <c r="AB75" s="9" t="s">
        <v>0</v>
      </c>
      <c r="AC75" s="9" t="str">
        <f t="shared" si="150"/>
        <v>-</v>
      </c>
      <c r="AD75" s="9" t="s">
        <v>0</v>
      </c>
      <c r="AE75" s="12" t="str">
        <f t="shared" si="151"/>
        <v>-</v>
      </c>
      <c r="AF75" s="29" t="s">
        <v>0</v>
      </c>
      <c r="AG75" s="29" t="s">
        <v>0</v>
      </c>
      <c r="AH75" s="9" t="s">
        <v>0</v>
      </c>
      <c r="AI75" s="29" t="s">
        <v>0</v>
      </c>
      <c r="AJ75" s="32" t="s">
        <v>0</v>
      </c>
      <c r="AK75" s="29" t="s">
        <v>0</v>
      </c>
      <c r="AL75" s="32" t="s">
        <v>0</v>
      </c>
      <c r="AM75" s="29" t="s">
        <v>0</v>
      </c>
      <c r="AN75" s="32" t="s">
        <v>0</v>
      </c>
      <c r="AO75" s="29" t="s">
        <v>0</v>
      </c>
      <c r="AP75" s="32" t="s">
        <v>0</v>
      </c>
      <c r="AQ75" s="32" t="s">
        <v>0</v>
      </c>
      <c r="AR75" s="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75" s="9" t="str">
        <f t="shared" si="152"/>
        <v>-</v>
      </c>
      <c r="AT75" s="9" t="str">
        <f>IF(RIGHT(ABY[[#This Row],[Device type]],7)="Winding","-",ABY[[#This Row],[Cont Winter MVA]])</f>
        <v>-</v>
      </c>
      <c r="AU75" s="9" t="str">
        <f>IF(RIGHT(ABY[[#This Row],[Device type]],7)="Winding","-",ABY[[#This Row],[Cont Shoulder MVA]])</f>
        <v>-</v>
      </c>
      <c r="AV75" s="9" t="str">
        <f>IF(RIGHT(ABY[[#This Row],[Device type]],7)="Winding","-",ABY[[#This Row],[Cont Summer MVA]])</f>
        <v>-</v>
      </c>
      <c r="AW75" s="9" t="str">
        <f>IF(RIGHT(ABY[[#This Row],[Device type]],7)="Winding","-",ABY[[#This Row],[24 Hr Winter MVA]])</f>
        <v>-</v>
      </c>
      <c r="AX75" s="9" t="str">
        <f>IF(RIGHT(ABY[[#This Row],[Device type]],7)="Winding","-",ABY[[#This Row],[24 Hr Summer MVA]])</f>
        <v>-</v>
      </c>
      <c r="AY75" s="9" t="str">
        <f>ABY[[#This Row],[Forwards MVA]]</f>
        <v>-</v>
      </c>
      <c r="AZ75" s="9" t="str">
        <f>ABY[[#This Row],[Relay MVA]]</f>
        <v>-</v>
      </c>
      <c r="BA75" s="9" t="str">
        <f>ABY[[#This Row],[CT MVA]]</f>
        <v>-</v>
      </c>
      <c r="BB75" s="9" t="str">
        <f>ABY[[#This Row],[Derating MVA]]</f>
        <v>-</v>
      </c>
      <c r="BC75" s="9" t="str">
        <f>ABY[[#This Row],[Station/Feeder]]&amp;ABY[[#This Row],[Lowest MVA]]</f>
        <v>FLE</v>
      </c>
      <c r="BD75" s="9" t="str">
        <f>CONCATENATE(ABY[[#This Row],[Supply Level]],ABY[[#This Row],[Station/Feeder]],ABY[[#This Row],[Voltage]],ABY[[#This Row],[Lowest A-No PTX]])</f>
        <v>ZoneSubstationFLE11.1001</v>
      </c>
      <c r="BE75" s="9" t="str">
        <f>CONCATENATE(ABY[[#This Row],[Supply Level]],ABY[[#This Row],[Station/Feeder]],ABY[[#This Row],[Voltage]],ABY[[#This Row],[Lowest A-PTX]])</f>
        <v>ZoneSubstationFLE11.1001325.08168236639</v>
      </c>
      <c r="BF75" s="9" t="str">
        <f>IF(MIN(ABY[[#This Row],[Summ Cont Winter A]:[Cable Derating]])=0,"",MIN(ABY[[#This Row],[Summ Cont Winter A]:[Cable Derating]]))</f>
        <v/>
      </c>
      <c r="BG75" s="57" t="str">
        <f>IFERROR(ABY[[#This Row],[Lowest MVA]]*1000/(ABY[[#This Row],[Voltage]]*SQRT(3)),"")</f>
        <v/>
      </c>
      <c r="BH75" s="57">
        <f t="shared" si="132"/>
        <v>325.08168236638954</v>
      </c>
      <c r="BI75" s="9" t="str">
        <f>ABY[[#This Row],[From]]</f>
        <v>OPU T-off</v>
      </c>
      <c r="BJ75" s="9" t="str">
        <f>ABY[[#This Row],[To]]</f>
        <v>F377</v>
      </c>
      <c r="BK75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Transformer-C1-LV Winding</v>
      </c>
      <c r="BL75" s="9">
        <f>ABY[[#This Row],[Voltage]]</f>
        <v>11.100100000000001</v>
      </c>
    </row>
    <row r="76" spans="1:64" s="1" customFormat="1" ht="15" hidden="1" customHeight="1" x14ac:dyDescent="0.25">
      <c r="A76" s="353" t="str">
        <f>CONCATENATE(ABY[[#This Row],[Supply Level]],ABY[[#This Row],[Station/Feeder]],ABY[[#This Row],[Voltage]])</f>
        <v>ZoneSubstationFLE11.1001</v>
      </c>
      <c r="B76" s="353" t="str">
        <f>CONCATENATE(ABY[[#This Row],[Supply Level]],ABY[[#This Row],[Station/Feeder]],ABY[[#This Row],[Equipment ID]],ABY[[#This Row],[Voltage]],ABY[[#This Row],[Device type]])</f>
        <v>ZoneSubstationFLEIODINE11.1001-</v>
      </c>
      <c r="C76" s="6" t="s">
        <v>1246</v>
      </c>
      <c r="D76" s="11" t="s">
        <v>158</v>
      </c>
      <c r="E76" s="46" t="s">
        <v>326</v>
      </c>
      <c r="F76" s="46" t="s">
        <v>349</v>
      </c>
      <c r="G76" s="57">
        <v>8</v>
      </c>
      <c r="H76" s="46" t="s">
        <v>1290</v>
      </c>
      <c r="I76" s="46" t="s">
        <v>329</v>
      </c>
      <c r="J76" s="46" t="s">
        <v>69</v>
      </c>
      <c r="K76" s="46" t="s">
        <v>0</v>
      </c>
      <c r="L76" s="46" t="s">
        <v>0</v>
      </c>
      <c r="M76" s="57">
        <f t="shared" ref="M76:M98" si="153">11*1.0091</f>
        <v>11.100100000000001</v>
      </c>
      <c r="N76" s="9">
        <v>368.60397632070425</v>
      </c>
      <c r="O76" s="16">
        <f t="shared" si="143"/>
        <v>7.0867568890205499</v>
      </c>
      <c r="P76" s="9" t="s">
        <v>0</v>
      </c>
      <c r="Q76" s="16" t="str">
        <f t="shared" si="144"/>
        <v>-</v>
      </c>
      <c r="R76" s="9">
        <v>390</v>
      </c>
      <c r="S76" s="16">
        <f t="shared" si="145"/>
        <v>7.4981154959471663</v>
      </c>
      <c r="T76" s="9" t="s">
        <v>0</v>
      </c>
      <c r="U76" s="16" t="str">
        <f t="shared" si="146"/>
        <v>-</v>
      </c>
      <c r="V76" s="9" t="s">
        <v>0</v>
      </c>
      <c r="W76" s="16" t="str">
        <f t="shared" si="147"/>
        <v>-</v>
      </c>
      <c r="X76" s="9" t="s">
        <v>0</v>
      </c>
      <c r="Y76" s="16" t="str">
        <f t="shared" si="148"/>
        <v>-</v>
      </c>
      <c r="Z76" s="9" t="s">
        <v>0</v>
      </c>
      <c r="AA76" s="16" t="str">
        <f t="shared" si="149"/>
        <v>-</v>
      </c>
      <c r="AB76" s="9" t="s">
        <v>0</v>
      </c>
      <c r="AC76" s="16" t="str">
        <f t="shared" si="150"/>
        <v>-</v>
      </c>
      <c r="AD76" s="9" t="s">
        <v>0</v>
      </c>
      <c r="AE76" s="17" t="str">
        <f t="shared" si="151"/>
        <v>-</v>
      </c>
      <c r="AF76" s="29" t="s">
        <v>0</v>
      </c>
      <c r="AG76" s="29" t="s">
        <v>0</v>
      </c>
      <c r="AH76" s="29">
        <v>5</v>
      </c>
      <c r="AI76" s="29" t="s">
        <v>0</v>
      </c>
      <c r="AJ76" s="32" t="s">
        <v>0</v>
      </c>
      <c r="AK76" s="29" t="s">
        <v>0</v>
      </c>
      <c r="AL76" s="32" t="s">
        <v>0</v>
      </c>
      <c r="AM76" s="29" t="s">
        <v>0</v>
      </c>
      <c r="AN76" s="32" t="s">
        <v>0</v>
      </c>
      <c r="AO76" s="29" t="s">
        <v>0</v>
      </c>
      <c r="AP76" s="29" t="s">
        <v>0</v>
      </c>
      <c r="AQ76" s="32" t="s">
        <v>0</v>
      </c>
      <c r="AR76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76" s="9" t="str">
        <f t="shared" si="152"/>
        <v>-</v>
      </c>
      <c r="AT76" s="9">
        <f>IF(RIGHT(ABY[[#This Row],[Device type]],7)="Winding","-",ABY[[#This Row],[Cont Winter MVA]])</f>
        <v>7.0867568890205499</v>
      </c>
      <c r="AU76" s="9" t="str">
        <f>IF(RIGHT(ABY[[#This Row],[Device type]],7)="Winding","-",ABY[[#This Row],[Cont Shoulder MVA]])</f>
        <v>-</v>
      </c>
      <c r="AV76" s="9">
        <f>IF(RIGHT(ABY[[#This Row],[Device type]],7)="Winding","-",ABY[[#This Row],[Cont Summer MVA]])</f>
        <v>7.4981154959471663</v>
      </c>
      <c r="AW76" s="9" t="str">
        <f>IF(RIGHT(ABY[[#This Row],[Device type]],7)="Winding","-",ABY[[#This Row],[24 Hr Winter MVA]])</f>
        <v>-</v>
      </c>
      <c r="AX76" s="9" t="str">
        <f>IF(RIGHT(ABY[[#This Row],[Device type]],7)="Winding","-",ABY[[#This Row],[24 Hr Summer MVA]])</f>
        <v>-</v>
      </c>
      <c r="AY76" s="9" t="str">
        <f>ABY[[#This Row],[Forwards MVA]]</f>
        <v>-</v>
      </c>
      <c r="AZ76" s="9" t="str">
        <f>ABY[[#This Row],[Relay MVA]]</f>
        <v>-</v>
      </c>
      <c r="BA76" s="9" t="str">
        <f>ABY[[#This Row],[CT MVA]]</f>
        <v>-</v>
      </c>
      <c r="BB76" s="9" t="str">
        <f>ABY[[#This Row],[Derating MVA]]</f>
        <v>-</v>
      </c>
      <c r="BC76" s="9" t="str">
        <f>ABY[[#This Row],[Station/Feeder]]&amp;ABY[[#This Row],[Lowest MVA]]</f>
        <v>FLE7.08675688902055</v>
      </c>
      <c r="BD76" s="9" t="str">
        <f>CONCATENATE(ABY[[#This Row],[Supply Level]],ABY[[#This Row],[Station/Feeder]],ABY[[#This Row],[Voltage]],ABY[[#This Row],[Lowest A-No PTX]])</f>
        <v>ZoneSubstationFLE11.1001368.603976320704</v>
      </c>
      <c r="BE76" s="9" t="str">
        <f>CONCATENATE(ABY[[#This Row],[Supply Level]],ABY[[#This Row],[Station/Feeder]],ABY[[#This Row],[Voltage]],ABY[[#This Row],[Lowest A-PTX]])</f>
        <v>ZoneSubstationFLE11.1001368.603976320704</v>
      </c>
      <c r="BF76" s="9">
        <f>IF(MIN(ABY[[#This Row],[Summ Cont Winter A]:[Cable Derating]])=0,"",MIN(ABY[[#This Row],[Summ Cont Winter A]:[Cable Derating]]))</f>
        <v>7.0867568890205499</v>
      </c>
      <c r="BG76" s="57">
        <f>IFERROR(ABY[[#This Row],[Lowest MVA]]*1000/(ABY[[#This Row],[Voltage]]*SQRT(3)),"")</f>
        <v>368.60397632070425</v>
      </c>
      <c r="BH76" s="57">
        <f t="shared" si="132"/>
        <v>368.60397632070425</v>
      </c>
      <c r="BI76" s="9" t="str">
        <f>ABY[[#This Row],[From]]</f>
        <v>OPU T-off</v>
      </c>
      <c r="BJ76" s="9" t="str">
        <f>ABY[[#This Row],[To]]</f>
        <v>F377</v>
      </c>
      <c r="BK76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Line-IODINE</v>
      </c>
      <c r="BL76" s="9">
        <f>ABY[[#This Row],[Voltage]]</f>
        <v>11.100100000000001</v>
      </c>
    </row>
    <row r="77" spans="1:64" s="1" customFormat="1" ht="15" hidden="1" customHeight="1" x14ac:dyDescent="0.25">
      <c r="A77" s="353" t="str">
        <f>CONCATENATE(ABY[[#This Row],[Supply Level]],ABY[[#This Row],[Station/Feeder]],ABY[[#This Row],[Voltage]])</f>
        <v>ZoneSubstationFLE11.1001</v>
      </c>
      <c r="B77" s="353" t="str">
        <f>CONCATENATE(ABY[[#This Row],[Supply Level]],ABY[[#This Row],[Station/Feeder]],ABY[[#This Row],[Equipment ID]],ABY[[#This Row],[Voltage]],ABY[[#This Row],[Device type]])</f>
        <v>ZoneSubstationFLEFX3811.1001-</v>
      </c>
      <c r="C77" s="6" t="s">
        <v>1246</v>
      </c>
      <c r="D77" s="11" t="s">
        <v>158</v>
      </c>
      <c r="E77" s="46" t="s">
        <v>326</v>
      </c>
      <c r="F77" s="46" t="s">
        <v>349</v>
      </c>
      <c r="G77" s="57">
        <v>9</v>
      </c>
      <c r="H77" s="46" t="s">
        <v>273</v>
      </c>
      <c r="I77" s="46" t="s">
        <v>353</v>
      </c>
      <c r="J77" s="46" t="s">
        <v>240</v>
      </c>
      <c r="K77" s="46" t="s">
        <v>0</v>
      </c>
      <c r="L77" s="46" t="s">
        <v>0</v>
      </c>
      <c r="M77" s="57">
        <f t="shared" si="153"/>
        <v>11.100100000000001</v>
      </c>
      <c r="N77" s="9">
        <v>600</v>
      </c>
      <c r="O77" s="9">
        <f t="shared" si="143"/>
        <v>11.535562301457178</v>
      </c>
      <c r="P77" s="9">
        <v>600</v>
      </c>
      <c r="Q77" s="9">
        <f t="shared" si="144"/>
        <v>11.535562301457178</v>
      </c>
      <c r="R77" s="9">
        <v>600</v>
      </c>
      <c r="S77" s="9">
        <f t="shared" si="145"/>
        <v>11.535562301457178</v>
      </c>
      <c r="T77" s="9" t="s">
        <v>0</v>
      </c>
      <c r="U77" s="9" t="str">
        <f t="shared" si="146"/>
        <v>-</v>
      </c>
      <c r="V77" s="9" t="s">
        <v>0</v>
      </c>
      <c r="W77" s="9" t="str">
        <f t="shared" si="147"/>
        <v>-</v>
      </c>
      <c r="X77" s="9" t="s">
        <v>0</v>
      </c>
      <c r="Y77" s="9" t="str">
        <f t="shared" si="148"/>
        <v>-</v>
      </c>
      <c r="Z77" s="9" t="s">
        <v>0</v>
      </c>
      <c r="AA77" s="9" t="str">
        <f t="shared" si="149"/>
        <v>-</v>
      </c>
      <c r="AB77" s="9" t="s">
        <v>0</v>
      </c>
      <c r="AC77" s="9" t="str">
        <f t="shared" si="150"/>
        <v>-</v>
      </c>
      <c r="AD77" s="9" t="s">
        <v>0</v>
      </c>
      <c r="AE77" s="12" t="str">
        <f t="shared" si="151"/>
        <v>-</v>
      </c>
      <c r="AF77" s="29" t="s">
        <v>0</v>
      </c>
      <c r="AG77" s="29" t="s">
        <v>0</v>
      </c>
      <c r="AH77" s="9" t="s">
        <v>0</v>
      </c>
      <c r="AI77" s="29" t="s">
        <v>0</v>
      </c>
      <c r="AJ77" s="32" t="s">
        <v>0</v>
      </c>
      <c r="AK77" s="29" t="s">
        <v>0</v>
      </c>
      <c r="AL77" s="32" t="s">
        <v>0</v>
      </c>
      <c r="AM77" s="29" t="s">
        <v>0</v>
      </c>
      <c r="AN77" s="32" t="s">
        <v>0</v>
      </c>
      <c r="AO77" s="29" t="s">
        <v>0</v>
      </c>
      <c r="AP77" s="32" t="s">
        <v>0</v>
      </c>
      <c r="AQ77" s="32" t="s">
        <v>0</v>
      </c>
      <c r="AR77" s="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77" s="9" t="str">
        <f t="shared" si="152"/>
        <v>-</v>
      </c>
      <c r="AT77" s="9">
        <f>IF(RIGHT(ABY[[#This Row],[Device type]],7)="Winding","-",ABY[[#This Row],[Cont Winter MVA]])</f>
        <v>11.535562301457178</v>
      </c>
      <c r="AU77" s="9">
        <f>IF(RIGHT(ABY[[#This Row],[Device type]],7)="Winding","-",ABY[[#This Row],[Cont Shoulder MVA]])</f>
        <v>11.535562301457178</v>
      </c>
      <c r="AV77" s="9">
        <f>IF(RIGHT(ABY[[#This Row],[Device type]],7)="Winding","-",ABY[[#This Row],[Cont Summer MVA]])</f>
        <v>11.535562301457178</v>
      </c>
      <c r="AW77" s="9" t="str">
        <f>IF(RIGHT(ABY[[#This Row],[Device type]],7)="Winding","-",ABY[[#This Row],[24 Hr Winter MVA]])</f>
        <v>-</v>
      </c>
      <c r="AX77" s="9" t="str">
        <f>IF(RIGHT(ABY[[#This Row],[Device type]],7)="Winding","-",ABY[[#This Row],[24 Hr Summer MVA]])</f>
        <v>-</v>
      </c>
      <c r="AY77" s="9" t="str">
        <f>ABY[[#This Row],[Forwards MVA]]</f>
        <v>-</v>
      </c>
      <c r="AZ77" s="9" t="str">
        <f>ABY[[#This Row],[Relay MVA]]</f>
        <v>-</v>
      </c>
      <c r="BA77" s="9" t="str">
        <f>ABY[[#This Row],[CT MVA]]</f>
        <v>-</v>
      </c>
      <c r="BB77" s="9" t="str">
        <f>ABY[[#This Row],[Derating MVA]]</f>
        <v>-</v>
      </c>
      <c r="BC77" s="9" t="str">
        <f>ABY[[#This Row],[Station/Feeder]]&amp;ABY[[#This Row],[Lowest MVA]]</f>
        <v>FLE11.5355623014572</v>
      </c>
      <c r="BD77" s="9" t="str">
        <f>CONCATENATE(ABY[[#This Row],[Supply Level]],ABY[[#This Row],[Station/Feeder]],ABY[[#This Row],[Voltage]],ABY[[#This Row],[Lowest A-No PTX]])</f>
        <v>ZoneSubstationFLE11.1001600</v>
      </c>
      <c r="BE77" s="9" t="str">
        <f>CONCATENATE(ABY[[#This Row],[Supply Level]],ABY[[#This Row],[Station/Feeder]],ABY[[#This Row],[Voltage]],ABY[[#This Row],[Lowest A-PTX]])</f>
        <v>ZoneSubstationFLE11.1001600</v>
      </c>
      <c r="BF77" s="9">
        <f>IF(MIN(ABY[[#This Row],[Summ Cont Winter A]:[Cable Derating]])=0,"",MIN(ABY[[#This Row],[Summ Cont Winter A]:[Cable Derating]]))</f>
        <v>11.535562301457178</v>
      </c>
      <c r="BG77" s="57">
        <f>IFERROR(ABY[[#This Row],[Lowest MVA]]*1000/(ABY[[#This Row],[Voltage]]*SQRT(3)),"")</f>
        <v>600</v>
      </c>
      <c r="BH77" s="57">
        <f t="shared" si="132"/>
        <v>600</v>
      </c>
      <c r="BI77" s="9" t="str">
        <f>ABY[[#This Row],[From]]</f>
        <v>OPU T-off</v>
      </c>
      <c r="BJ77" s="9" t="str">
        <f>ABY[[#This Row],[To]]</f>
        <v>F377</v>
      </c>
      <c r="BK77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ABS-FX38</v>
      </c>
      <c r="BL77" s="9">
        <f>ABY[[#This Row],[Voltage]]</f>
        <v>11.100100000000001</v>
      </c>
    </row>
    <row r="78" spans="1:64" s="1" customFormat="1" ht="15" hidden="1" customHeight="1" x14ac:dyDescent="0.25">
      <c r="A78" s="353" t="str">
        <f>CONCATENATE(ABY[[#This Row],[Supply Level]],ABY[[#This Row],[Station/Feeder]],ABY[[#This Row],[Voltage]])</f>
        <v>ZoneSubstationFLE11.1001</v>
      </c>
      <c r="B78" s="353" t="str">
        <f>CONCATENATE(ABY[[#This Row],[Supply Level]],ABY[[#This Row],[Station/Feeder]],ABY[[#This Row],[Equipment ID]],ABY[[#This Row],[Voltage]],ABY[[#This Row],[Device type]])</f>
        <v>ZoneSubstationFLE3-1c 300 mm² AL XLPE11.1001-</v>
      </c>
      <c r="C78" s="6" t="s">
        <v>1246</v>
      </c>
      <c r="D78" s="11" t="s">
        <v>158</v>
      </c>
      <c r="E78" s="46" t="s">
        <v>326</v>
      </c>
      <c r="F78" s="46" t="s">
        <v>349</v>
      </c>
      <c r="G78" s="57">
        <v>10</v>
      </c>
      <c r="H78" s="46" t="s">
        <v>276</v>
      </c>
      <c r="I78" s="46" t="s">
        <v>560</v>
      </c>
      <c r="J78" s="46" t="s">
        <v>250</v>
      </c>
      <c r="K78" s="46" t="s">
        <v>0</v>
      </c>
      <c r="L78" s="46" t="s">
        <v>0</v>
      </c>
      <c r="M78" s="57">
        <f t="shared" si="153"/>
        <v>11.100100000000001</v>
      </c>
      <c r="N78" s="9">
        <v>414</v>
      </c>
      <c r="O78" s="9">
        <f t="shared" si="143"/>
        <v>7.9595379880054526</v>
      </c>
      <c r="P78" s="9">
        <v>414</v>
      </c>
      <c r="Q78" s="9">
        <f t="shared" si="144"/>
        <v>7.9595379880054526</v>
      </c>
      <c r="R78" s="9">
        <v>414</v>
      </c>
      <c r="S78" s="9">
        <f t="shared" si="145"/>
        <v>7.9595379880054526</v>
      </c>
      <c r="T78" s="9" t="s">
        <v>0</v>
      </c>
      <c r="U78" s="9" t="str">
        <f t="shared" si="146"/>
        <v>-</v>
      </c>
      <c r="V78" s="9" t="s">
        <v>0</v>
      </c>
      <c r="W78" s="9" t="str">
        <f t="shared" si="147"/>
        <v>-</v>
      </c>
      <c r="X78" s="9" t="s">
        <v>0</v>
      </c>
      <c r="Y78" s="9" t="str">
        <f t="shared" si="148"/>
        <v>-</v>
      </c>
      <c r="Z78" s="9" t="s">
        <v>0</v>
      </c>
      <c r="AA78" s="9" t="str">
        <f t="shared" si="149"/>
        <v>-</v>
      </c>
      <c r="AB78" s="9" t="s">
        <v>0</v>
      </c>
      <c r="AC78" s="9" t="str">
        <f t="shared" si="150"/>
        <v>-</v>
      </c>
      <c r="AD78" s="9" t="s">
        <v>0</v>
      </c>
      <c r="AE78" s="12" t="str">
        <f t="shared" si="151"/>
        <v>-</v>
      </c>
      <c r="AF78" s="29">
        <v>1</v>
      </c>
      <c r="AG78" s="29" t="s">
        <v>344</v>
      </c>
      <c r="AH78" s="29">
        <v>18.399999999999999</v>
      </c>
      <c r="AI78" s="29">
        <v>1</v>
      </c>
      <c r="AJ78" s="32">
        <v>0.98</v>
      </c>
      <c r="AK78" s="29">
        <v>15</v>
      </c>
      <c r="AL78" s="32">
        <v>1</v>
      </c>
      <c r="AM78" s="29">
        <v>1.2</v>
      </c>
      <c r="AN78" s="32">
        <v>1</v>
      </c>
      <c r="AO78" s="29">
        <v>1</v>
      </c>
      <c r="AP78" s="29">
        <v>0</v>
      </c>
      <c r="AQ78" s="32">
        <v>1</v>
      </c>
      <c r="AR78" s="29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405.71999999999997</v>
      </c>
      <c r="AS78" s="9">
        <f t="shared" si="152"/>
        <v>7.800347228245343</v>
      </c>
      <c r="AT78" s="9">
        <f>IF(RIGHT(ABY[[#This Row],[Device type]],7)="Winding","-",ABY[[#This Row],[Cont Winter MVA]])</f>
        <v>7.9595379880054526</v>
      </c>
      <c r="AU78" s="9">
        <f>IF(RIGHT(ABY[[#This Row],[Device type]],7)="Winding","-",ABY[[#This Row],[Cont Shoulder MVA]])</f>
        <v>7.9595379880054526</v>
      </c>
      <c r="AV78" s="9">
        <f>IF(RIGHT(ABY[[#This Row],[Device type]],7)="Winding","-",ABY[[#This Row],[Cont Summer MVA]])</f>
        <v>7.9595379880054526</v>
      </c>
      <c r="AW78" s="9" t="str">
        <f>IF(RIGHT(ABY[[#This Row],[Device type]],7)="Winding","-",ABY[[#This Row],[24 Hr Winter MVA]])</f>
        <v>-</v>
      </c>
      <c r="AX78" s="9" t="str">
        <f>IF(RIGHT(ABY[[#This Row],[Device type]],7)="Winding","-",ABY[[#This Row],[24 Hr Summer MVA]])</f>
        <v>-</v>
      </c>
      <c r="AY78" s="9" t="str">
        <f>ABY[[#This Row],[Forwards MVA]]</f>
        <v>-</v>
      </c>
      <c r="AZ78" s="9" t="str">
        <f>ABY[[#This Row],[Relay MVA]]</f>
        <v>-</v>
      </c>
      <c r="BA78" s="9" t="str">
        <f>ABY[[#This Row],[CT MVA]]</f>
        <v>-</v>
      </c>
      <c r="BB78" s="9">
        <f>ABY[[#This Row],[Derating MVA]]</f>
        <v>7.800347228245343</v>
      </c>
      <c r="BC78" s="9" t="str">
        <f>ABY[[#This Row],[Station/Feeder]]&amp;ABY[[#This Row],[Lowest MVA]]</f>
        <v>FLE7.80034722824534</v>
      </c>
      <c r="BD78" s="9" t="str">
        <f>CONCATENATE(ABY[[#This Row],[Supply Level]],ABY[[#This Row],[Station/Feeder]],ABY[[#This Row],[Voltage]],ABY[[#This Row],[Lowest A-No PTX]])</f>
        <v>ZoneSubstationFLE11.1001405.72</v>
      </c>
      <c r="BE78" s="9" t="str">
        <f>CONCATENATE(ABY[[#This Row],[Supply Level]],ABY[[#This Row],[Station/Feeder]],ABY[[#This Row],[Voltage]],ABY[[#This Row],[Lowest A-PTX]])</f>
        <v>ZoneSubstationFLE11.1001405.72</v>
      </c>
      <c r="BF78" s="9">
        <f>IF(MIN(ABY[[#This Row],[Summ Cont Winter A]:[Cable Derating]])=0,"",MIN(ABY[[#This Row],[Summ Cont Winter A]:[Cable Derating]]))</f>
        <v>7.800347228245343</v>
      </c>
      <c r="BG78" s="57">
        <f>IFERROR(ABY[[#This Row],[Lowest MVA]]*1000/(ABY[[#This Row],[Voltage]]*SQRT(3)),"")</f>
        <v>405.71999999999997</v>
      </c>
      <c r="BH78" s="57">
        <f t="shared" si="132"/>
        <v>405.71999999999997</v>
      </c>
      <c r="BI78" s="9" t="str">
        <f>ABY[[#This Row],[From]]</f>
        <v>OPU T-off</v>
      </c>
      <c r="BJ78" s="9" t="str">
        <f>ABY[[#This Row],[To]]</f>
        <v>F377</v>
      </c>
      <c r="BK78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Cable-3-1c 300 mm² AL XLPE</v>
      </c>
      <c r="BL78" s="9">
        <f>ABY[[#This Row],[Voltage]]</f>
        <v>11.100100000000001</v>
      </c>
    </row>
    <row r="79" spans="1:64" s="1" customFormat="1" hidden="1" x14ac:dyDescent="0.25">
      <c r="A79" s="353" t="str">
        <f>CONCATENATE(ABY[[#This Row],[Supply Level]],ABY[[#This Row],[Station/Feeder]],ABY[[#This Row],[Voltage]])</f>
        <v>ZoneSubstationFLE11.1001</v>
      </c>
      <c r="B79" s="353" t="str">
        <f>CONCATENATE(ABY[[#This Row],[Supply Level]],ABY[[#This Row],[Station/Feeder]],ABY[[#This Row],[Equipment ID]],ABY[[#This Row],[Voltage]],ABY[[#This Row],[Device type]])</f>
        <v>ZoneSubstationFLEFLE-F37711.1001Protection</v>
      </c>
      <c r="C79" s="6" t="s">
        <v>1246</v>
      </c>
      <c r="D79" s="11" t="s">
        <v>158</v>
      </c>
      <c r="E79" s="46" t="s">
        <v>326</v>
      </c>
      <c r="F79" s="46" t="s">
        <v>349</v>
      </c>
      <c r="G79" s="57">
        <v>11</v>
      </c>
      <c r="H79" s="46" t="s">
        <v>274</v>
      </c>
      <c r="I79" s="46" t="s">
        <v>2413</v>
      </c>
      <c r="J79" s="46" t="s">
        <v>15</v>
      </c>
      <c r="K79" s="46" t="s">
        <v>791</v>
      </c>
      <c r="L79" s="46" t="s">
        <v>1423</v>
      </c>
      <c r="M79" s="57">
        <f t="shared" si="153"/>
        <v>11.100100000000001</v>
      </c>
      <c r="N79" s="9">
        <v>630</v>
      </c>
      <c r="O79" s="9">
        <f t="shared" ref="O79:O81" si="154">IF(OR(N79="",N79="-"),"-",N79*$M79*SQRT(3)/1000)</f>
        <v>12.112340416530037</v>
      </c>
      <c r="P79" s="9">
        <v>630</v>
      </c>
      <c r="Q79" s="9">
        <f t="shared" ref="Q79:Q81" si="155">IF(OR(P79="",P79="-"),"-",P79*$M79*SQRT(3)/1000)</f>
        <v>12.112340416530037</v>
      </c>
      <c r="R79" s="9">
        <v>630</v>
      </c>
      <c r="S79" s="9">
        <f t="shared" ref="S79:S81" si="156">IF(OR(R79="",R79="-"),"-",R79*$M79*SQRT(3)/1000)</f>
        <v>12.112340416530037</v>
      </c>
      <c r="T79" s="9" t="s">
        <v>0</v>
      </c>
      <c r="U79" s="9" t="str">
        <f t="shared" ref="U79:U81" si="157">IF(OR(T79="",T79="-"),"-",T79*$M79*SQRT(3)/1000)</f>
        <v>-</v>
      </c>
      <c r="V79" s="9" t="s">
        <v>0</v>
      </c>
      <c r="W79" s="9" t="str">
        <f t="shared" ref="W79:W81" si="158">IF(OR(V79="",V79="-"),"-",V79*$M79*SQRT(3)/1000)</f>
        <v>-</v>
      </c>
      <c r="X79" s="9">
        <f>VLOOKUP(ABY[[#This Row],[Equipment ID]],AEL_Protection_Data[#All],12,0)</f>
        <v>280</v>
      </c>
      <c r="Y79" s="9">
        <f t="shared" ref="Y79:Y81" si="159">IF(OR(X79="",X79="-"),"-",X79*$M79*SQRT(3)/1000)</f>
        <v>5.3832624073466819</v>
      </c>
      <c r="Z79" s="9" t="s">
        <v>0</v>
      </c>
      <c r="AA79" s="9" t="str">
        <f t="shared" ref="AA79:AA81" si="160">IF(OR(Z79="",Z79="-"),"-",Z79*$M79*SQRT(3)/1000)</f>
        <v>-</v>
      </c>
      <c r="AB79" s="9" t="s">
        <v>0</v>
      </c>
      <c r="AC79" s="9" t="str">
        <f t="shared" ref="AC79:AC81" si="161">IF(OR(AB79="",AB79="-"),"-",AB79*$M79*SQRT(3)/1000)</f>
        <v>-</v>
      </c>
      <c r="AD79" s="9">
        <v>400</v>
      </c>
      <c r="AE79" s="12">
        <f t="shared" ref="AE79:AE81" si="162">IF(OR(AD79="",AD79="-"),"-",AD79*$M79*SQRT(3)/1000)</f>
        <v>7.6903748676381189</v>
      </c>
      <c r="AF79" s="29" t="s">
        <v>0</v>
      </c>
      <c r="AG79" s="29" t="s">
        <v>0</v>
      </c>
      <c r="AH79" s="9" t="s">
        <v>0</v>
      </c>
      <c r="AI79" s="29" t="s">
        <v>0</v>
      </c>
      <c r="AJ79" s="32" t="s">
        <v>0</v>
      </c>
      <c r="AK79" s="29" t="s">
        <v>0</v>
      </c>
      <c r="AL79" s="32" t="s">
        <v>0</v>
      </c>
      <c r="AM79" s="29" t="s">
        <v>0</v>
      </c>
      <c r="AN79" s="32" t="s">
        <v>0</v>
      </c>
      <c r="AO79" s="29" t="s">
        <v>0</v>
      </c>
      <c r="AP79" s="32" t="s">
        <v>0</v>
      </c>
      <c r="AQ79" s="32" t="s">
        <v>0</v>
      </c>
      <c r="AR79" s="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79" s="9" t="str">
        <f t="shared" ref="AS79:AS81" si="163">IF(OR(AR79="",AR79="-"),"-",AR79*$M79*SQRT(3)/1000)</f>
        <v>-</v>
      </c>
      <c r="AT79" s="9">
        <f>IF(RIGHT(ABY[[#This Row],[Device type]],7)="Winding","-",ABY[[#This Row],[Cont Winter MVA]])</f>
        <v>12.112340416530037</v>
      </c>
      <c r="AU79" s="9">
        <f>IF(RIGHT(ABY[[#This Row],[Device type]],7)="Winding","-",ABY[[#This Row],[Cont Shoulder MVA]])</f>
        <v>12.112340416530037</v>
      </c>
      <c r="AV79" s="9">
        <f>IF(RIGHT(ABY[[#This Row],[Device type]],7)="Winding","-",ABY[[#This Row],[Cont Summer MVA]])</f>
        <v>12.112340416530037</v>
      </c>
      <c r="AW79" s="9" t="str">
        <f>IF(RIGHT(ABY[[#This Row],[Device type]],7)="Winding","-",ABY[[#This Row],[24 Hr Winter MVA]])</f>
        <v>-</v>
      </c>
      <c r="AX79" s="9" t="str">
        <f>IF(RIGHT(ABY[[#This Row],[Device type]],7)="Winding","-",ABY[[#This Row],[24 Hr Summer MVA]])</f>
        <v>-</v>
      </c>
      <c r="AY79" s="9">
        <f>ABY[[#This Row],[Forwards MVA]]</f>
        <v>5.3832624073466819</v>
      </c>
      <c r="AZ79" s="9" t="str">
        <f>ABY[[#This Row],[Relay MVA]]</f>
        <v>-</v>
      </c>
      <c r="BA79" s="9">
        <f>ABY[[#This Row],[CT MVA]]</f>
        <v>7.6903748676381189</v>
      </c>
      <c r="BB79" s="9" t="str">
        <f>ABY[[#This Row],[Derating MVA]]</f>
        <v>-</v>
      </c>
      <c r="BC79" s="9" t="str">
        <f>ABY[[#This Row],[Station/Feeder]]&amp;ABY[[#This Row],[Lowest MVA]]</f>
        <v>FLE5.38326240734668</v>
      </c>
      <c r="BD79" s="9" t="str">
        <f>CONCATENATE(ABY[[#This Row],[Supply Level]],ABY[[#This Row],[Station/Feeder]],ABY[[#This Row],[Voltage]],ABY[[#This Row],[Lowest A-No PTX]])</f>
        <v>ZoneSubstationFLE11.1001280</v>
      </c>
      <c r="BE79" s="9" t="str">
        <f>CONCATENATE(ABY[[#This Row],[Supply Level]],ABY[[#This Row],[Station/Feeder]],ABY[[#This Row],[Voltage]],ABY[[#This Row],[Lowest A-PTX]])</f>
        <v>ZoneSubstationFLE11.1001280</v>
      </c>
      <c r="BF79" s="9">
        <f>IF(MIN(ABY[[#This Row],[Summ Cont Winter A]:[Cable Derating]])=0,"",MIN(ABY[[#This Row],[Summ Cont Winter A]:[Cable Derating]]))</f>
        <v>5.3832624073466819</v>
      </c>
      <c r="BG79" s="57">
        <f>IFERROR(ABY[[#This Row],[Lowest MVA]]*1000/(ABY[[#This Row],[Voltage]]*SQRT(3)),"")</f>
        <v>279.99999999999994</v>
      </c>
      <c r="BH79" s="57">
        <f t="shared" si="132"/>
        <v>280</v>
      </c>
      <c r="BI79" s="9" t="str">
        <f>ABY[[#This Row],[From]]</f>
        <v>OPU T-off</v>
      </c>
      <c r="BJ79" s="9" t="str">
        <f>ABY[[#This Row],[To]]</f>
        <v>F377</v>
      </c>
      <c r="BK79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Circuit Breaker-FLE-F377-Protection</v>
      </c>
      <c r="BL79" s="9">
        <f>ABY[[#This Row],[Voltage]]</f>
        <v>11.100100000000001</v>
      </c>
    </row>
    <row r="80" spans="1:64" s="1" customFormat="1" hidden="1" x14ac:dyDescent="0.25">
      <c r="A80" s="353" t="str">
        <f>CONCATENATE(ABY[[#This Row],[Supply Level]],ABY[[#This Row],[Station/Feeder]],ABY[[#This Row],[Voltage]])</f>
        <v>DistributionFeederF374_Cricklewood11.1001</v>
      </c>
      <c r="B80" s="353" t="str">
        <f>CONCATENATE(ABY[[#This Row],[Supply Level]],ABY[[#This Row],[Station/Feeder]],ABY[[#This Row],[Equipment ID]],ABY[[#This Row],[Voltage]],ABY[[#This Row],[Device type]])</f>
        <v>DistributionFeederF374_CricklewoodFLE-F37611.1001-</v>
      </c>
      <c r="C80" s="6" t="s">
        <v>1276</v>
      </c>
      <c r="D80" s="11" t="s">
        <v>166</v>
      </c>
      <c r="E80" s="46" t="s">
        <v>349</v>
      </c>
      <c r="F80" s="46" t="s">
        <v>357</v>
      </c>
      <c r="G80" s="57">
        <v>1</v>
      </c>
      <c r="H80" s="46" t="s">
        <v>274</v>
      </c>
      <c r="I80" s="46" t="s">
        <v>2414</v>
      </c>
      <c r="J80" s="46" t="s">
        <v>15</v>
      </c>
      <c r="K80" s="46" t="s">
        <v>0</v>
      </c>
      <c r="L80" s="46" t="s">
        <v>0</v>
      </c>
      <c r="M80" s="57">
        <f t="shared" si="153"/>
        <v>11.100100000000001</v>
      </c>
      <c r="N80" s="9">
        <v>630</v>
      </c>
      <c r="O80" s="9">
        <f>IF(OR(N80="",N80="-"),"-",N80*$M80*SQRT(3)/1000)</f>
        <v>12.112340416530037</v>
      </c>
      <c r="P80" s="9">
        <v>630</v>
      </c>
      <c r="Q80" s="9">
        <f>IF(OR(P80="",P80="-"),"-",P80*$M80*SQRT(3)/1000)</f>
        <v>12.112340416530037</v>
      </c>
      <c r="R80" s="9">
        <v>630</v>
      </c>
      <c r="S80" s="9">
        <f>IF(OR(R80="",R80="-"),"-",R80*$M80*SQRT(3)/1000)</f>
        <v>12.112340416530037</v>
      </c>
      <c r="T80" s="9" t="s">
        <v>0</v>
      </c>
      <c r="U80" s="9" t="str">
        <f>IF(OR(T80="",T80="-"),"-",T80*$M80*SQRT(3)/1000)</f>
        <v>-</v>
      </c>
      <c r="V80" s="9" t="s">
        <v>0</v>
      </c>
      <c r="W80" s="9" t="str">
        <f>IF(OR(V80="",V80="-"),"-",V80*$M80*SQRT(3)/1000)</f>
        <v>-</v>
      </c>
      <c r="X80" s="9" t="s">
        <v>0</v>
      </c>
      <c r="Y80" s="9" t="str">
        <f>IF(OR(X80="",X80="-"),"-",X80*$M80*SQRT(3)/1000)</f>
        <v>-</v>
      </c>
      <c r="Z80" s="9" t="s">
        <v>0</v>
      </c>
      <c r="AA80" s="9" t="str">
        <f>IF(OR(Z80="",Z80="-"),"-",Z80*$M80*SQRT(3)/1000)</f>
        <v>-</v>
      </c>
      <c r="AB80" s="9" t="s">
        <v>0</v>
      </c>
      <c r="AC80" s="9" t="str">
        <f>IF(OR(AB80="",AB80="-"),"-",AB80*$M80*SQRT(3)/1000)</f>
        <v>-</v>
      </c>
      <c r="AD80" s="9" t="s">
        <v>0</v>
      </c>
      <c r="AE80" s="12" t="str">
        <f>IF(OR(AD80="",AD80="-"),"-",AD80*$M80*SQRT(3)/1000)</f>
        <v>-</v>
      </c>
      <c r="AF80" s="29" t="s">
        <v>0</v>
      </c>
      <c r="AG80" s="29" t="s">
        <v>0</v>
      </c>
      <c r="AH80" s="9" t="s">
        <v>0</v>
      </c>
      <c r="AI80" s="29" t="s">
        <v>0</v>
      </c>
      <c r="AJ80" s="32" t="s">
        <v>0</v>
      </c>
      <c r="AK80" s="29" t="s">
        <v>0</v>
      </c>
      <c r="AL80" s="32" t="s">
        <v>0</v>
      </c>
      <c r="AM80" s="29" t="s">
        <v>0</v>
      </c>
      <c r="AN80" s="32" t="s">
        <v>0</v>
      </c>
      <c r="AO80" s="29" t="s">
        <v>0</v>
      </c>
      <c r="AP80" s="32" t="s">
        <v>0</v>
      </c>
      <c r="AQ80" s="32" t="s">
        <v>0</v>
      </c>
      <c r="AR80" s="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80" s="9" t="str">
        <f>IF(OR(AR80="",AR80="-"),"-",AR80*$M80*SQRT(3)/1000)</f>
        <v>-</v>
      </c>
      <c r="AT80" s="9">
        <f>IF(RIGHT(ABY[[#This Row],[Device type]],7)="Winding","-",ABY[[#This Row],[Cont Winter MVA]])</f>
        <v>12.112340416530037</v>
      </c>
      <c r="AU80" s="9">
        <f>IF(RIGHT(ABY[[#This Row],[Device type]],7)="Winding","-",ABY[[#This Row],[Cont Shoulder MVA]])</f>
        <v>12.112340416530037</v>
      </c>
      <c r="AV80" s="9">
        <f>IF(RIGHT(ABY[[#This Row],[Device type]],7)="Winding","-",ABY[[#This Row],[Cont Summer MVA]])</f>
        <v>12.112340416530037</v>
      </c>
      <c r="AW80" s="9" t="str">
        <f>IF(RIGHT(ABY[[#This Row],[Device type]],7)="Winding","-",ABY[[#This Row],[24 Hr Winter MVA]])</f>
        <v>-</v>
      </c>
      <c r="AX80" s="9" t="str">
        <f>IF(RIGHT(ABY[[#This Row],[Device type]],7)="Winding","-",ABY[[#This Row],[24 Hr Summer MVA]])</f>
        <v>-</v>
      </c>
      <c r="AY80" s="9" t="str">
        <f>ABY[[#This Row],[Forwards MVA]]</f>
        <v>-</v>
      </c>
      <c r="AZ80" s="9" t="str">
        <f>ABY[[#This Row],[Relay MVA]]</f>
        <v>-</v>
      </c>
      <c r="BA80" s="9" t="str">
        <f>ABY[[#This Row],[CT MVA]]</f>
        <v>-</v>
      </c>
      <c r="BB80" s="9" t="str">
        <f>ABY[[#This Row],[Derating MVA]]</f>
        <v>-</v>
      </c>
      <c r="BC80" s="9" t="str">
        <f>ABY[[#This Row],[Station/Feeder]]&amp;ABY[[#This Row],[Lowest MVA]]</f>
        <v>F374_Cricklewood12.11234041653</v>
      </c>
      <c r="BD80" s="9" t="str">
        <f>CONCATENATE(ABY[[#This Row],[Supply Level]],ABY[[#This Row],[Station/Feeder]],ABY[[#This Row],[Voltage]],ABY[[#This Row],[Lowest A-No PTX]])</f>
        <v>DistributionFeederF374_Cricklewood11.1001630</v>
      </c>
      <c r="BE80" s="9" t="str">
        <f>CONCATENATE(ABY[[#This Row],[Supply Level]],ABY[[#This Row],[Station/Feeder]],ABY[[#This Row],[Voltage]],ABY[[#This Row],[Lowest A-PTX]])</f>
        <v>DistributionFeederF374_Cricklewood11.1001630</v>
      </c>
      <c r="BF80" s="9">
        <f>IF(MIN(ABY[[#This Row],[Summ Cont Winter A]:[Cable Derating]])=0,"",MIN(ABY[[#This Row],[Summ Cont Winter A]:[Cable Derating]]))</f>
        <v>12.112340416530037</v>
      </c>
      <c r="BG80" s="57">
        <f>IFERROR(ABY[[#This Row],[Lowest MVA]]*1000/(ABY[[#This Row],[Voltage]]*SQRT(3)),"")</f>
        <v>630</v>
      </c>
      <c r="BH80" s="57">
        <f t="shared" si="132"/>
        <v>630</v>
      </c>
      <c r="BI80" s="9" t="str">
        <f>ABY[[#This Row],[From]]</f>
        <v>F377</v>
      </c>
      <c r="BJ80" s="9" t="str">
        <f>ABY[[#This Row],[To]]</f>
        <v>Pole 11915</v>
      </c>
      <c r="BK80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Circuit Breaker-FLE-F376</v>
      </c>
      <c r="BL80" s="9">
        <f>ABY[[#This Row],[Voltage]]</f>
        <v>11.100100000000001</v>
      </c>
    </row>
    <row r="81" spans="1:64" s="1" customFormat="1" ht="15" hidden="1" customHeight="1" x14ac:dyDescent="0.25">
      <c r="A81" s="353" t="str">
        <f>CONCATENATE(ABY[[#This Row],[Supply Level]],ABY[[#This Row],[Station/Feeder]],ABY[[#This Row],[Voltage]])</f>
        <v>DistributionFeederF374_Cricklewood11.1001</v>
      </c>
      <c r="B81" s="353" t="str">
        <f>CONCATENATE(ABY[[#This Row],[Supply Level]],ABY[[#This Row],[Station/Feeder]],ABY[[#This Row],[Equipment ID]],ABY[[#This Row],[Voltage]],ABY[[#This Row],[Device type]])</f>
        <v>DistributionFeederF374_Cricklewood3-1c 300 mm² AL XLPE11.1001-</v>
      </c>
      <c r="C81" s="6" t="s">
        <v>1276</v>
      </c>
      <c r="D81" s="11" t="s">
        <v>166</v>
      </c>
      <c r="E81" s="46" t="s">
        <v>349</v>
      </c>
      <c r="F81" s="46" t="s">
        <v>357</v>
      </c>
      <c r="G81" s="57">
        <v>2</v>
      </c>
      <c r="H81" s="46" t="s">
        <v>276</v>
      </c>
      <c r="I81" s="46" t="s">
        <v>560</v>
      </c>
      <c r="J81" s="46" t="s">
        <v>250</v>
      </c>
      <c r="K81" s="46" t="s">
        <v>0</v>
      </c>
      <c r="L81" s="46" t="s">
        <v>0</v>
      </c>
      <c r="M81" s="57">
        <f t="shared" si="153"/>
        <v>11.100100000000001</v>
      </c>
      <c r="N81" s="9">
        <v>466</v>
      </c>
      <c r="O81" s="9">
        <f t="shared" si="154"/>
        <v>8.9592867207984099</v>
      </c>
      <c r="P81" s="9">
        <v>466</v>
      </c>
      <c r="Q81" s="9">
        <f t="shared" si="155"/>
        <v>8.9592867207984099</v>
      </c>
      <c r="R81" s="9">
        <v>466</v>
      </c>
      <c r="S81" s="9">
        <f t="shared" si="156"/>
        <v>8.9592867207984099</v>
      </c>
      <c r="T81" s="9" t="s">
        <v>0</v>
      </c>
      <c r="U81" s="9" t="str">
        <f t="shared" si="157"/>
        <v>-</v>
      </c>
      <c r="V81" s="9" t="s">
        <v>0</v>
      </c>
      <c r="W81" s="9" t="str">
        <f t="shared" si="158"/>
        <v>-</v>
      </c>
      <c r="X81" s="9" t="s">
        <v>0</v>
      </c>
      <c r="Y81" s="9" t="str">
        <f t="shared" si="159"/>
        <v>-</v>
      </c>
      <c r="Z81" s="9" t="s">
        <v>0</v>
      </c>
      <c r="AA81" s="9" t="str">
        <f t="shared" si="160"/>
        <v>-</v>
      </c>
      <c r="AB81" s="9" t="s">
        <v>0</v>
      </c>
      <c r="AC81" s="9" t="str">
        <f t="shared" si="161"/>
        <v>-</v>
      </c>
      <c r="AD81" s="9" t="s">
        <v>0</v>
      </c>
      <c r="AE81" s="12" t="str">
        <f t="shared" si="162"/>
        <v>-</v>
      </c>
      <c r="AF81" s="29">
        <v>1</v>
      </c>
      <c r="AG81" s="29" t="s">
        <v>265</v>
      </c>
      <c r="AH81" s="29">
        <v>2</v>
      </c>
      <c r="AI81" s="29">
        <v>0</v>
      </c>
      <c r="AJ81" s="32">
        <v>1</v>
      </c>
      <c r="AK81" s="29">
        <v>15</v>
      </c>
      <c r="AL81" s="32">
        <v>1</v>
      </c>
      <c r="AM81" s="29">
        <v>1.2</v>
      </c>
      <c r="AN81" s="32">
        <v>1</v>
      </c>
      <c r="AO81" s="29">
        <v>1</v>
      </c>
      <c r="AP81" s="29">
        <v>0</v>
      </c>
      <c r="AQ81" s="32">
        <v>1</v>
      </c>
      <c r="AR81" s="29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466</v>
      </c>
      <c r="AS81" s="9">
        <f t="shared" si="163"/>
        <v>8.9592867207984099</v>
      </c>
      <c r="AT81" s="9">
        <f>IF(RIGHT(ABY[[#This Row],[Device type]],7)="Winding","-",ABY[[#This Row],[Cont Winter MVA]])</f>
        <v>8.9592867207984099</v>
      </c>
      <c r="AU81" s="9">
        <f>IF(RIGHT(ABY[[#This Row],[Device type]],7)="Winding","-",ABY[[#This Row],[Cont Shoulder MVA]])</f>
        <v>8.9592867207984099</v>
      </c>
      <c r="AV81" s="9">
        <f>IF(RIGHT(ABY[[#This Row],[Device type]],7)="Winding","-",ABY[[#This Row],[Cont Summer MVA]])</f>
        <v>8.9592867207984099</v>
      </c>
      <c r="AW81" s="9" t="str">
        <f>IF(RIGHT(ABY[[#This Row],[Device type]],7)="Winding","-",ABY[[#This Row],[24 Hr Winter MVA]])</f>
        <v>-</v>
      </c>
      <c r="AX81" s="9" t="str">
        <f>IF(RIGHT(ABY[[#This Row],[Device type]],7)="Winding","-",ABY[[#This Row],[24 Hr Summer MVA]])</f>
        <v>-</v>
      </c>
      <c r="AY81" s="9" t="str">
        <f>ABY[[#This Row],[Forwards MVA]]</f>
        <v>-</v>
      </c>
      <c r="AZ81" s="9" t="str">
        <f>ABY[[#This Row],[Relay MVA]]</f>
        <v>-</v>
      </c>
      <c r="BA81" s="9" t="str">
        <f>ABY[[#This Row],[CT MVA]]</f>
        <v>-</v>
      </c>
      <c r="BB81" s="9">
        <f>ABY[[#This Row],[Derating MVA]]</f>
        <v>8.9592867207984099</v>
      </c>
      <c r="BC81" s="9" t="str">
        <f>ABY[[#This Row],[Station/Feeder]]&amp;ABY[[#This Row],[Lowest MVA]]</f>
        <v>F374_Cricklewood8.95928672079841</v>
      </c>
      <c r="BD81" s="9" t="str">
        <f>CONCATENATE(ABY[[#This Row],[Supply Level]],ABY[[#This Row],[Station/Feeder]],ABY[[#This Row],[Voltage]],ABY[[#This Row],[Lowest A-No PTX]])</f>
        <v>DistributionFeederF374_Cricklewood11.1001466</v>
      </c>
      <c r="BE81" s="9" t="str">
        <f>CONCATENATE(ABY[[#This Row],[Supply Level]],ABY[[#This Row],[Station/Feeder]],ABY[[#This Row],[Voltage]],ABY[[#This Row],[Lowest A-PTX]])</f>
        <v>DistributionFeederF374_Cricklewood11.1001466</v>
      </c>
      <c r="BF81" s="9">
        <f>IF(MIN(ABY[[#This Row],[Summ Cont Winter A]:[Cable Derating]])=0,"",MIN(ABY[[#This Row],[Summ Cont Winter A]:[Cable Derating]]))</f>
        <v>8.9592867207984099</v>
      </c>
      <c r="BG81" s="57">
        <f>IFERROR(ABY[[#This Row],[Lowest MVA]]*1000/(ABY[[#This Row],[Voltage]]*SQRT(3)),"")</f>
        <v>466.00000000000006</v>
      </c>
      <c r="BH81" s="57">
        <f t="shared" si="132"/>
        <v>466</v>
      </c>
      <c r="BI81" s="9" t="str">
        <f>ABY[[#This Row],[From]]</f>
        <v>F377</v>
      </c>
      <c r="BJ81" s="9" t="str">
        <f>ABY[[#This Row],[To]]</f>
        <v>Pole 11915</v>
      </c>
      <c r="BK81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Cable-3-1c 300 mm² AL XLPE</v>
      </c>
      <c r="BL81" s="9">
        <f>ABY[[#This Row],[Voltage]]</f>
        <v>11.100100000000001</v>
      </c>
    </row>
    <row r="82" spans="1:64" s="1" customFormat="1" hidden="1" x14ac:dyDescent="0.25">
      <c r="A82" s="353" t="str">
        <f>CONCATENATE(ABY[[#This Row],[Supply Level]],ABY[[#This Row],[Station/Feeder]],ABY[[#This Row],[Voltage]])</f>
        <v>DistributionFeederF374_Cricklewood11.1001</v>
      </c>
      <c r="B82" s="353" t="str">
        <f>CONCATENATE(ABY[[#This Row],[Supply Level]],ABY[[#This Row],[Station/Feeder]],ABY[[#This Row],[Equipment ID]],ABY[[#This Row],[Voltage]],ABY[[#This Row],[Device type]])</f>
        <v>DistributionFeederF374_CricklewoodFLE-F37511.1001-</v>
      </c>
      <c r="C82" s="6" t="s">
        <v>1276</v>
      </c>
      <c r="D82" s="11" t="s">
        <v>166</v>
      </c>
      <c r="E82" s="46" t="s">
        <v>349</v>
      </c>
      <c r="F82" s="46" t="s">
        <v>357</v>
      </c>
      <c r="G82" s="57">
        <v>3</v>
      </c>
      <c r="H82" s="46" t="s">
        <v>274</v>
      </c>
      <c r="I82" s="46" t="s">
        <v>2415</v>
      </c>
      <c r="J82" s="46" t="s">
        <v>15</v>
      </c>
      <c r="K82" s="46" t="s">
        <v>0</v>
      </c>
      <c r="L82" s="46" t="s">
        <v>0</v>
      </c>
      <c r="M82" s="57">
        <f t="shared" si="153"/>
        <v>11.100100000000001</v>
      </c>
      <c r="N82" s="9">
        <v>630</v>
      </c>
      <c r="O82" s="9">
        <f t="shared" ref="O82:O85" si="164">IF(OR(N82="",N82="-"),"-",N82*$M82*SQRT(3)/1000)</f>
        <v>12.112340416530037</v>
      </c>
      <c r="P82" s="9">
        <v>630</v>
      </c>
      <c r="Q82" s="9">
        <f t="shared" ref="Q82:Q85" si="165">IF(OR(P82="",P82="-"),"-",P82*$M82*SQRT(3)/1000)</f>
        <v>12.112340416530037</v>
      </c>
      <c r="R82" s="9">
        <v>630</v>
      </c>
      <c r="S82" s="9">
        <f t="shared" ref="S82:S85" si="166">IF(OR(R82="",R82="-"),"-",R82*$M82*SQRT(3)/1000)</f>
        <v>12.112340416530037</v>
      </c>
      <c r="T82" s="9" t="s">
        <v>0</v>
      </c>
      <c r="U82" s="9" t="str">
        <f t="shared" ref="U82:U85" si="167">IF(OR(T82="",T82="-"),"-",T82*$M82*SQRT(3)/1000)</f>
        <v>-</v>
      </c>
      <c r="V82" s="9" t="s">
        <v>0</v>
      </c>
      <c r="W82" s="9" t="str">
        <f t="shared" ref="W82:W85" si="168">IF(OR(V82="",V82="-"),"-",V82*$M82*SQRT(3)/1000)</f>
        <v>-</v>
      </c>
      <c r="X82" s="9" t="s">
        <v>0</v>
      </c>
      <c r="Y82" s="9" t="str">
        <f t="shared" ref="Y82:Y85" si="169">IF(OR(X82="",X82="-"),"-",X82*$M82*SQRT(3)/1000)</f>
        <v>-</v>
      </c>
      <c r="Z82" s="9" t="s">
        <v>0</v>
      </c>
      <c r="AA82" s="9" t="str">
        <f t="shared" ref="AA82:AA85" si="170">IF(OR(Z82="",Z82="-"),"-",Z82*$M82*SQRT(3)/1000)</f>
        <v>-</v>
      </c>
      <c r="AB82" s="9" t="s">
        <v>0</v>
      </c>
      <c r="AC82" s="9" t="str">
        <f t="shared" ref="AC82:AC85" si="171">IF(OR(AB82="",AB82="-"),"-",AB82*$M82*SQRT(3)/1000)</f>
        <v>-</v>
      </c>
      <c r="AD82" s="9" t="s">
        <v>0</v>
      </c>
      <c r="AE82" s="12" t="str">
        <f t="shared" ref="AE82:AE85" si="172">IF(OR(AD82="",AD82="-"),"-",AD82*$M82*SQRT(3)/1000)</f>
        <v>-</v>
      </c>
      <c r="AF82" s="29" t="s">
        <v>0</v>
      </c>
      <c r="AG82" s="29" t="s">
        <v>0</v>
      </c>
      <c r="AH82" s="9" t="s">
        <v>0</v>
      </c>
      <c r="AI82" s="29" t="s">
        <v>0</v>
      </c>
      <c r="AJ82" s="32" t="s">
        <v>0</v>
      </c>
      <c r="AK82" s="29" t="s">
        <v>0</v>
      </c>
      <c r="AL82" s="32" t="s">
        <v>0</v>
      </c>
      <c r="AM82" s="29" t="s">
        <v>0</v>
      </c>
      <c r="AN82" s="32" t="s">
        <v>0</v>
      </c>
      <c r="AO82" s="29" t="s">
        <v>0</v>
      </c>
      <c r="AP82" s="32" t="s">
        <v>0</v>
      </c>
      <c r="AQ82" s="32" t="s">
        <v>0</v>
      </c>
      <c r="AR82" s="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82" s="9" t="str">
        <f t="shared" ref="AS82:AS85" si="173">IF(OR(AR82="",AR82="-"),"-",AR82*$M82*SQRT(3)/1000)</f>
        <v>-</v>
      </c>
      <c r="AT82" s="9">
        <f>IF(RIGHT(ABY[[#This Row],[Device type]],7)="Winding","-",ABY[[#This Row],[Cont Winter MVA]])</f>
        <v>12.112340416530037</v>
      </c>
      <c r="AU82" s="9">
        <f>IF(RIGHT(ABY[[#This Row],[Device type]],7)="Winding","-",ABY[[#This Row],[Cont Shoulder MVA]])</f>
        <v>12.112340416530037</v>
      </c>
      <c r="AV82" s="9">
        <f>IF(RIGHT(ABY[[#This Row],[Device type]],7)="Winding","-",ABY[[#This Row],[Cont Summer MVA]])</f>
        <v>12.112340416530037</v>
      </c>
      <c r="AW82" s="9" t="str">
        <f>IF(RIGHT(ABY[[#This Row],[Device type]],7)="Winding","-",ABY[[#This Row],[24 Hr Winter MVA]])</f>
        <v>-</v>
      </c>
      <c r="AX82" s="9" t="str">
        <f>IF(RIGHT(ABY[[#This Row],[Device type]],7)="Winding","-",ABY[[#This Row],[24 Hr Summer MVA]])</f>
        <v>-</v>
      </c>
      <c r="AY82" s="9" t="str">
        <f>ABY[[#This Row],[Forwards MVA]]</f>
        <v>-</v>
      </c>
      <c r="AZ82" s="9" t="str">
        <f>ABY[[#This Row],[Relay MVA]]</f>
        <v>-</v>
      </c>
      <c r="BA82" s="9" t="str">
        <f>ABY[[#This Row],[CT MVA]]</f>
        <v>-</v>
      </c>
      <c r="BB82" s="9" t="str">
        <f>ABY[[#This Row],[Derating MVA]]</f>
        <v>-</v>
      </c>
      <c r="BC82" s="9" t="str">
        <f>ABY[[#This Row],[Station/Feeder]]&amp;ABY[[#This Row],[Lowest MVA]]</f>
        <v>F374_Cricklewood12.11234041653</v>
      </c>
      <c r="BD82" s="9" t="str">
        <f>CONCATENATE(ABY[[#This Row],[Supply Level]],ABY[[#This Row],[Station/Feeder]],ABY[[#This Row],[Voltage]],ABY[[#This Row],[Lowest A-No PTX]])</f>
        <v>DistributionFeederF374_Cricklewood11.1001630</v>
      </c>
      <c r="BE82" s="9" t="str">
        <f>CONCATENATE(ABY[[#This Row],[Supply Level]],ABY[[#This Row],[Station/Feeder]],ABY[[#This Row],[Voltage]],ABY[[#This Row],[Lowest A-PTX]])</f>
        <v>DistributionFeederF374_Cricklewood11.1001630</v>
      </c>
      <c r="BF82" s="9">
        <f>IF(MIN(ABY[[#This Row],[Summ Cont Winter A]:[Cable Derating]])=0,"",MIN(ABY[[#This Row],[Summ Cont Winter A]:[Cable Derating]]))</f>
        <v>12.112340416530037</v>
      </c>
      <c r="BG82" s="57">
        <f>IFERROR(ABY[[#This Row],[Lowest MVA]]*1000/(ABY[[#This Row],[Voltage]]*SQRT(3)),"")</f>
        <v>630</v>
      </c>
      <c r="BH82" s="57">
        <f t="shared" si="132"/>
        <v>630</v>
      </c>
      <c r="BI82" s="9" t="str">
        <f>ABY[[#This Row],[From]]</f>
        <v>F377</v>
      </c>
      <c r="BJ82" s="9" t="str">
        <f>ABY[[#This Row],[To]]</f>
        <v>Pole 11915</v>
      </c>
      <c r="BK82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Circuit Breaker-FLE-F375</v>
      </c>
      <c r="BL82" s="9">
        <f>ABY[[#This Row],[Voltage]]</f>
        <v>11.100100000000001</v>
      </c>
    </row>
    <row r="83" spans="1:64" s="1" customFormat="1" hidden="1" x14ac:dyDescent="0.25">
      <c r="A83" s="353" t="str">
        <f>CONCATENATE(ABY[[#This Row],[Supply Level]],ABY[[#This Row],[Station/Feeder]],ABY[[#This Row],[Voltage]])</f>
        <v>DistributionFeederF374_Cricklewood11.1001</v>
      </c>
      <c r="B83" s="353" t="str">
        <f>CONCATENATE(ABY[[#This Row],[Supply Level]],ABY[[#This Row],[Station/Feeder]],ABY[[#This Row],[Equipment ID]],ABY[[#This Row],[Voltage]],ABY[[#This Row],[Device type]])</f>
        <v>DistributionFeederF374_CricklewoodFLE-F37411.1001Protection</v>
      </c>
      <c r="C83" s="6" t="s">
        <v>1276</v>
      </c>
      <c r="D83" s="11" t="s">
        <v>166</v>
      </c>
      <c r="E83" s="46" t="s">
        <v>349</v>
      </c>
      <c r="F83" s="46" t="s">
        <v>357</v>
      </c>
      <c r="G83" s="57">
        <v>4</v>
      </c>
      <c r="H83" s="46" t="s">
        <v>274</v>
      </c>
      <c r="I83" s="46" t="s">
        <v>2416</v>
      </c>
      <c r="J83" s="46" t="s">
        <v>15</v>
      </c>
      <c r="K83" s="46" t="s">
        <v>791</v>
      </c>
      <c r="L83" s="46" t="s">
        <v>1423</v>
      </c>
      <c r="M83" s="57">
        <f t="shared" si="153"/>
        <v>11.100100000000001</v>
      </c>
      <c r="N83" s="9">
        <v>630</v>
      </c>
      <c r="O83" s="9">
        <f t="shared" si="164"/>
        <v>12.112340416530037</v>
      </c>
      <c r="P83" s="9">
        <v>630</v>
      </c>
      <c r="Q83" s="9">
        <f t="shared" si="165"/>
        <v>12.112340416530037</v>
      </c>
      <c r="R83" s="9">
        <v>630</v>
      </c>
      <c r="S83" s="9">
        <f t="shared" si="166"/>
        <v>12.112340416530037</v>
      </c>
      <c r="T83" s="9" t="s">
        <v>0</v>
      </c>
      <c r="U83" s="9" t="str">
        <f t="shared" si="167"/>
        <v>-</v>
      </c>
      <c r="V83" s="9" t="s">
        <v>0</v>
      </c>
      <c r="W83" s="9" t="str">
        <f t="shared" si="168"/>
        <v>-</v>
      </c>
      <c r="X83" s="9">
        <f>VLOOKUP(ABY[[#This Row],[Equipment ID]],AEL_Protection_Data[#All],12,0)</f>
        <v>192</v>
      </c>
      <c r="Y83" s="9">
        <f t="shared" si="169"/>
        <v>3.6913799364662974</v>
      </c>
      <c r="Z83" s="9" t="s">
        <v>0</v>
      </c>
      <c r="AA83" s="9" t="str">
        <f t="shared" si="170"/>
        <v>-</v>
      </c>
      <c r="AB83" s="9" t="s">
        <v>0</v>
      </c>
      <c r="AC83" s="9" t="str">
        <f t="shared" si="171"/>
        <v>-</v>
      </c>
      <c r="AD83" s="9">
        <v>400</v>
      </c>
      <c r="AE83" s="12">
        <f t="shared" si="172"/>
        <v>7.6903748676381189</v>
      </c>
      <c r="AF83" s="29" t="s">
        <v>0</v>
      </c>
      <c r="AG83" s="29" t="s">
        <v>0</v>
      </c>
      <c r="AH83" s="9" t="s">
        <v>0</v>
      </c>
      <c r="AI83" s="29" t="s">
        <v>0</v>
      </c>
      <c r="AJ83" s="32" t="s">
        <v>0</v>
      </c>
      <c r="AK83" s="29" t="s">
        <v>0</v>
      </c>
      <c r="AL83" s="32" t="s">
        <v>0</v>
      </c>
      <c r="AM83" s="29" t="s">
        <v>0</v>
      </c>
      <c r="AN83" s="32" t="s">
        <v>0</v>
      </c>
      <c r="AO83" s="29" t="s">
        <v>0</v>
      </c>
      <c r="AP83" s="32" t="s">
        <v>0</v>
      </c>
      <c r="AQ83" s="32" t="s">
        <v>0</v>
      </c>
      <c r="AR83" s="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83" s="9" t="str">
        <f t="shared" si="173"/>
        <v>-</v>
      </c>
      <c r="AT83" s="9">
        <f>IF(RIGHT(ABY[[#This Row],[Device type]],7)="Winding","-",ABY[[#This Row],[Cont Winter MVA]])</f>
        <v>12.112340416530037</v>
      </c>
      <c r="AU83" s="9">
        <f>IF(RIGHT(ABY[[#This Row],[Device type]],7)="Winding","-",ABY[[#This Row],[Cont Shoulder MVA]])</f>
        <v>12.112340416530037</v>
      </c>
      <c r="AV83" s="9">
        <f>IF(RIGHT(ABY[[#This Row],[Device type]],7)="Winding","-",ABY[[#This Row],[Cont Summer MVA]])</f>
        <v>12.112340416530037</v>
      </c>
      <c r="AW83" s="9" t="str">
        <f>IF(RIGHT(ABY[[#This Row],[Device type]],7)="Winding","-",ABY[[#This Row],[24 Hr Winter MVA]])</f>
        <v>-</v>
      </c>
      <c r="AX83" s="9" t="str">
        <f>IF(RIGHT(ABY[[#This Row],[Device type]],7)="Winding","-",ABY[[#This Row],[24 Hr Summer MVA]])</f>
        <v>-</v>
      </c>
      <c r="AY83" s="9">
        <f>ABY[[#This Row],[Forwards MVA]]</f>
        <v>3.6913799364662974</v>
      </c>
      <c r="AZ83" s="9" t="str">
        <f>ABY[[#This Row],[Relay MVA]]</f>
        <v>-</v>
      </c>
      <c r="BA83" s="9">
        <f>ABY[[#This Row],[CT MVA]]</f>
        <v>7.6903748676381189</v>
      </c>
      <c r="BB83" s="9" t="str">
        <f>ABY[[#This Row],[Derating MVA]]</f>
        <v>-</v>
      </c>
      <c r="BC83" s="9" t="str">
        <f>ABY[[#This Row],[Station/Feeder]]&amp;ABY[[#This Row],[Lowest MVA]]</f>
        <v>F374_Cricklewood3.6913799364663</v>
      </c>
      <c r="BD83" s="9" t="str">
        <f>CONCATENATE(ABY[[#This Row],[Supply Level]],ABY[[#This Row],[Station/Feeder]],ABY[[#This Row],[Voltage]],ABY[[#This Row],[Lowest A-No PTX]])</f>
        <v>DistributionFeederF374_Cricklewood11.1001192</v>
      </c>
      <c r="BE83" s="9" t="str">
        <f>CONCATENATE(ABY[[#This Row],[Supply Level]],ABY[[#This Row],[Station/Feeder]],ABY[[#This Row],[Voltage]],ABY[[#This Row],[Lowest A-PTX]])</f>
        <v>DistributionFeederF374_Cricklewood11.1001192</v>
      </c>
      <c r="BF83" s="9">
        <f>IF(MIN(ABY[[#This Row],[Summ Cont Winter A]:[Cable Derating]])=0,"",MIN(ABY[[#This Row],[Summ Cont Winter A]:[Cable Derating]]))</f>
        <v>3.6913799364662974</v>
      </c>
      <c r="BG83" s="57">
        <f>IFERROR(ABY[[#This Row],[Lowest MVA]]*1000/(ABY[[#This Row],[Voltage]]*SQRT(3)),"")</f>
        <v>192.00000000000003</v>
      </c>
      <c r="BH83" s="57">
        <f t="shared" si="132"/>
        <v>192</v>
      </c>
      <c r="BI83" s="9" t="str">
        <f>ABY[[#This Row],[From]]</f>
        <v>F377</v>
      </c>
      <c r="BJ83" s="9" t="str">
        <f>ABY[[#This Row],[To]]</f>
        <v>Pole 11915</v>
      </c>
      <c r="BK83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Circuit Breaker-FLE-F374-Protection</v>
      </c>
      <c r="BL83" s="9">
        <f>ABY[[#This Row],[Voltage]]</f>
        <v>11.100100000000001</v>
      </c>
    </row>
    <row r="84" spans="1:64" s="1" customFormat="1" ht="15" hidden="1" customHeight="1" x14ac:dyDescent="0.25">
      <c r="A84" s="353" t="str">
        <f>CONCATENATE(ABY[[#This Row],[Supply Level]],ABY[[#This Row],[Station/Feeder]],ABY[[#This Row],[Voltage]])</f>
        <v>DistributionFeederF374_Cricklewood11.1001</v>
      </c>
      <c r="B84" s="353" t="str">
        <f>CONCATENATE(ABY[[#This Row],[Supply Level]],ABY[[#This Row],[Station/Feeder]],ABY[[#This Row],[Equipment ID]],ABY[[#This Row],[Voltage]],ABY[[#This Row],[Device type]])</f>
        <v>DistributionFeederF374_Cricklewood3-1c 185 mm² AL XLPE11.1001-</v>
      </c>
      <c r="C84" s="6" t="s">
        <v>1276</v>
      </c>
      <c r="D84" s="11" t="s">
        <v>166</v>
      </c>
      <c r="E84" s="46" t="s">
        <v>349</v>
      </c>
      <c r="F84" s="46" t="s">
        <v>357</v>
      </c>
      <c r="G84" s="57">
        <v>5</v>
      </c>
      <c r="H84" s="46" t="s">
        <v>276</v>
      </c>
      <c r="I84" s="46" t="s">
        <v>561</v>
      </c>
      <c r="J84" s="46" t="s">
        <v>250</v>
      </c>
      <c r="K84" s="46" t="s">
        <v>0</v>
      </c>
      <c r="L84" s="46" t="s">
        <v>0</v>
      </c>
      <c r="M84" s="57">
        <f t="shared" si="153"/>
        <v>11.100100000000001</v>
      </c>
      <c r="N84" s="9">
        <v>362</v>
      </c>
      <c r="O84" s="9">
        <f t="shared" si="164"/>
        <v>6.9597892552124971</v>
      </c>
      <c r="P84" s="9">
        <v>362</v>
      </c>
      <c r="Q84" s="9">
        <f t="shared" si="165"/>
        <v>6.9597892552124971</v>
      </c>
      <c r="R84" s="9">
        <v>362</v>
      </c>
      <c r="S84" s="9">
        <f t="shared" si="166"/>
        <v>6.9597892552124971</v>
      </c>
      <c r="T84" s="9" t="s">
        <v>0</v>
      </c>
      <c r="U84" s="9" t="str">
        <f t="shared" si="167"/>
        <v>-</v>
      </c>
      <c r="V84" s="9" t="s">
        <v>0</v>
      </c>
      <c r="W84" s="9" t="str">
        <f t="shared" si="168"/>
        <v>-</v>
      </c>
      <c r="X84" s="9" t="s">
        <v>0</v>
      </c>
      <c r="Y84" s="9" t="str">
        <f t="shared" si="169"/>
        <v>-</v>
      </c>
      <c r="Z84" s="9" t="s">
        <v>0</v>
      </c>
      <c r="AA84" s="9" t="str">
        <f t="shared" si="170"/>
        <v>-</v>
      </c>
      <c r="AB84" s="9" t="s">
        <v>0</v>
      </c>
      <c r="AC84" s="9" t="str">
        <f t="shared" si="171"/>
        <v>-</v>
      </c>
      <c r="AD84" s="9" t="s">
        <v>0</v>
      </c>
      <c r="AE84" s="12" t="str">
        <f t="shared" si="172"/>
        <v>-</v>
      </c>
      <c r="AF84" s="29">
        <v>1</v>
      </c>
      <c r="AG84" s="29" t="s">
        <v>265</v>
      </c>
      <c r="AH84" s="29">
        <v>41.7</v>
      </c>
      <c r="AI84" s="29">
        <v>0.9</v>
      </c>
      <c r="AJ84" s="32">
        <v>0.99</v>
      </c>
      <c r="AK84" s="29">
        <v>15</v>
      </c>
      <c r="AL84" s="32">
        <v>1</v>
      </c>
      <c r="AM84" s="29">
        <v>1.2</v>
      </c>
      <c r="AN84" s="32">
        <v>1</v>
      </c>
      <c r="AO84" s="29">
        <v>1</v>
      </c>
      <c r="AP84" s="29">
        <v>0</v>
      </c>
      <c r="AQ84" s="32">
        <v>1</v>
      </c>
      <c r="AR84" s="29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358.38</v>
      </c>
      <c r="AS84" s="9">
        <f t="shared" si="173"/>
        <v>6.8901913626603717</v>
      </c>
      <c r="AT84" s="9">
        <f>IF(RIGHT(ABY[[#This Row],[Device type]],7)="Winding","-",ABY[[#This Row],[Cont Winter MVA]])</f>
        <v>6.9597892552124971</v>
      </c>
      <c r="AU84" s="9">
        <f>IF(RIGHT(ABY[[#This Row],[Device type]],7)="Winding","-",ABY[[#This Row],[Cont Shoulder MVA]])</f>
        <v>6.9597892552124971</v>
      </c>
      <c r="AV84" s="9">
        <f>IF(RIGHT(ABY[[#This Row],[Device type]],7)="Winding","-",ABY[[#This Row],[Cont Summer MVA]])</f>
        <v>6.9597892552124971</v>
      </c>
      <c r="AW84" s="9" t="str">
        <f>IF(RIGHT(ABY[[#This Row],[Device type]],7)="Winding","-",ABY[[#This Row],[24 Hr Winter MVA]])</f>
        <v>-</v>
      </c>
      <c r="AX84" s="9" t="str">
        <f>IF(RIGHT(ABY[[#This Row],[Device type]],7)="Winding","-",ABY[[#This Row],[24 Hr Summer MVA]])</f>
        <v>-</v>
      </c>
      <c r="AY84" s="9" t="str">
        <f>ABY[[#This Row],[Forwards MVA]]</f>
        <v>-</v>
      </c>
      <c r="AZ84" s="9" t="str">
        <f>ABY[[#This Row],[Relay MVA]]</f>
        <v>-</v>
      </c>
      <c r="BA84" s="9" t="str">
        <f>ABY[[#This Row],[CT MVA]]</f>
        <v>-</v>
      </c>
      <c r="BB84" s="9">
        <f>ABY[[#This Row],[Derating MVA]]</f>
        <v>6.8901913626603717</v>
      </c>
      <c r="BC84" s="9" t="str">
        <f>ABY[[#This Row],[Station/Feeder]]&amp;ABY[[#This Row],[Lowest MVA]]</f>
        <v>F374_Cricklewood6.89019136266037</v>
      </c>
      <c r="BD84" s="9" t="str">
        <f>CONCATENATE(ABY[[#This Row],[Supply Level]],ABY[[#This Row],[Station/Feeder]],ABY[[#This Row],[Voltage]],ABY[[#This Row],[Lowest A-No PTX]])</f>
        <v>DistributionFeederF374_Cricklewood11.1001358.38</v>
      </c>
      <c r="BE84" s="9" t="str">
        <f>CONCATENATE(ABY[[#This Row],[Supply Level]],ABY[[#This Row],[Station/Feeder]],ABY[[#This Row],[Voltage]],ABY[[#This Row],[Lowest A-PTX]])</f>
        <v>DistributionFeederF374_Cricklewood11.1001358.38</v>
      </c>
      <c r="BF84" s="9">
        <f>IF(MIN(ABY[[#This Row],[Summ Cont Winter A]:[Cable Derating]])=0,"",MIN(ABY[[#This Row],[Summ Cont Winter A]:[Cable Derating]]))</f>
        <v>6.8901913626603717</v>
      </c>
      <c r="BG84" s="57">
        <f>IFERROR(ABY[[#This Row],[Lowest MVA]]*1000/(ABY[[#This Row],[Voltage]]*SQRT(3)),"")</f>
        <v>358.38</v>
      </c>
      <c r="BH84" s="57">
        <f t="shared" si="132"/>
        <v>358.38</v>
      </c>
      <c r="BI84" s="9" t="str">
        <f>ABY[[#This Row],[From]]</f>
        <v>F377</v>
      </c>
      <c r="BJ84" s="9" t="str">
        <f>ABY[[#This Row],[To]]</f>
        <v>Pole 11915</v>
      </c>
      <c r="BK84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Cable-3-1c 185 mm² AL XLPE</v>
      </c>
      <c r="BL84" s="9">
        <f>ABY[[#This Row],[Voltage]]</f>
        <v>11.100100000000001</v>
      </c>
    </row>
    <row r="85" spans="1:64" s="1" customFormat="1" ht="15" hidden="1" customHeight="1" x14ac:dyDescent="0.25">
      <c r="A85" s="353" t="str">
        <f>CONCATENATE(ABY[[#This Row],[Supply Level]],ABY[[#This Row],[Station/Feeder]],ABY[[#This Row],[Voltage]])</f>
        <v>DistributionFeederF374_Cricklewood11.1001</v>
      </c>
      <c r="B85" s="353" t="str">
        <f>CONCATENATE(ABY[[#This Row],[Supply Level]],ABY[[#This Row],[Station/Feeder]],ABY[[#This Row],[Equipment ID]],ABY[[#This Row],[Voltage]],ABY[[#This Row],[Device type]])</f>
        <v>DistributionFeederF374_CricklewoodF31111.1001-</v>
      </c>
      <c r="C85" s="6" t="s">
        <v>1276</v>
      </c>
      <c r="D85" s="11" t="s">
        <v>166</v>
      </c>
      <c r="E85" s="46" t="s">
        <v>349</v>
      </c>
      <c r="F85" s="46" t="s">
        <v>357</v>
      </c>
      <c r="G85" s="57">
        <v>6</v>
      </c>
      <c r="H85" s="46" t="s">
        <v>0</v>
      </c>
      <c r="I85" s="46" t="s">
        <v>358</v>
      </c>
      <c r="J85" s="46" t="s">
        <v>249</v>
      </c>
      <c r="K85" s="46" t="s">
        <v>0</v>
      </c>
      <c r="L85" s="46" t="s">
        <v>0</v>
      </c>
      <c r="M85" s="57">
        <f t="shared" si="153"/>
        <v>11.100100000000001</v>
      </c>
      <c r="N85" s="9" t="s">
        <v>0</v>
      </c>
      <c r="O85" s="9" t="str">
        <f t="shared" si="164"/>
        <v>-</v>
      </c>
      <c r="P85" s="9" t="s">
        <v>0</v>
      </c>
      <c r="Q85" s="9" t="str">
        <f t="shared" si="165"/>
        <v>-</v>
      </c>
      <c r="R85" s="9" t="s">
        <v>0</v>
      </c>
      <c r="S85" s="9" t="str">
        <f t="shared" si="166"/>
        <v>-</v>
      </c>
      <c r="T85" s="9" t="s">
        <v>0</v>
      </c>
      <c r="U85" s="9" t="str">
        <f t="shared" si="167"/>
        <v>-</v>
      </c>
      <c r="V85" s="9" t="s">
        <v>0</v>
      </c>
      <c r="W85" s="9" t="str">
        <f t="shared" si="168"/>
        <v>-</v>
      </c>
      <c r="X85" s="9" t="s">
        <v>0</v>
      </c>
      <c r="Y85" s="9" t="str">
        <f t="shared" si="169"/>
        <v>-</v>
      </c>
      <c r="Z85" s="9" t="s">
        <v>0</v>
      </c>
      <c r="AA85" s="9" t="str">
        <f t="shared" si="170"/>
        <v>-</v>
      </c>
      <c r="AB85" s="9" t="s">
        <v>0</v>
      </c>
      <c r="AC85" s="9" t="str">
        <f t="shared" si="171"/>
        <v>-</v>
      </c>
      <c r="AD85" s="9" t="s">
        <v>0</v>
      </c>
      <c r="AE85" s="12" t="str">
        <f t="shared" si="172"/>
        <v>-</v>
      </c>
      <c r="AF85" s="29" t="s">
        <v>0</v>
      </c>
      <c r="AG85" s="29" t="s">
        <v>0</v>
      </c>
      <c r="AH85" s="9" t="s">
        <v>0</v>
      </c>
      <c r="AI85" s="29" t="s">
        <v>0</v>
      </c>
      <c r="AJ85" s="32" t="s">
        <v>0</v>
      </c>
      <c r="AK85" s="29" t="s">
        <v>0</v>
      </c>
      <c r="AL85" s="32" t="s">
        <v>0</v>
      </c>
      <c r="AM85" s="29" t="s">
        <v>0</v>
      </c>
      <c r="AN85" s="32" t="s">
        <v>0</v>
      </c>
      <c r="AO85" s="29" t="s">
        <v>0</v>
      </c>
      <c r="AP85" s="32" t="s">
        <v>0</v>
      </c>
      <c r="AQ85" s="32" t="s">
        <v>0</v>
      </c>
      <c r="AR85" s="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85" s="9" t="str">
        <f t="shared" si="173"/>
        <v>-</v>
      </c>
      <c r="AT85" s="9" t="str">
        <f>IF(RIGHT(ABY[[#This Row],[Device type]],7)="Winding","-",ABY[[#This Row],[Cont Winter MVA]])</f>
        <v>-</v>
      </c>
      <c r="AU85" s="9" t="str">
        <f>IF(RIGHT(ABY[[#This Row],[Device type]],7)="Winding","-",ABY[[#This Row],[Cont Shoulder MVA]])</f>
        <v>-</v>
      </c>
      <c r="AV85" s="9" t="str">
        <f>IF(RIGHT(ABY[[#This Row],[Device type]],7)="Winding","-",ABY[[#This Row],[Cont Summer MVA]])</f>
        <v>-</v>
      </c>
      <c r="AW85" s="9" t="str">
        <f>IF(RIGHT(ABY[[#This Row],[Device type]],7)="Winding","-",ABY[[#This Row],[24 Hr Winter MVA]])</f>
        <v>-</v>
      </c>
      <c r="AX85" s="9" t="str">
        <f>IF(RIGHT(ABY[[#This Row],[Device type]],7)="Winding","-",ABY[[#This Row],[24 Hr Summer MVA]])</f>
        <v>-</v>
      </c>
      <c r="AY85" s="9" t="str">
        <f>ABY[[#This Row],[Forwards MVA]]</f>
        <v>-</v>
      </c>
      <c r="AZ85" s="9" t="str">
        <f>ABY[[#This Row],[Relay MVA]]</f>
        <v>-</v>
      </c>
      <c r="BA85" s="9" t="str">
        <f>ABY[[#This Row],[CT MVA]]</f>
        <v>-</v>
      </c>
      <c r="BB85" s="9" t="str">
        <f>ABY[[#This Row],[Derating MVA]]</f>
        <v>-</v>
      </c>
      <c r="BC85" s="9" t="str">
        <f>ABY[[#This Row],[Station/Feeder]]&amp;ABY[[#This Row],[Lowest MVA]]</f>
        <v>F374_Cricklewood</v>
      </c>
      <c r="BD85" s="9" t="str">
        <f>CONCATENATE(ABY[[#This Row],[Supply Level]],ABY[[#This Row],[Station/Feeder]],ABY[[#This Row],[Voltage]],ABY[[#This Row],[Lowest A-No PTX]])</f>
        <v>DistributionFeederF374_Cricklewood11.1001</v>
      </c>
      <c r="BE85" s="9" t="str">
        <f>CONCATENATE(ABY[[#This Row],[Supply Level]],ABY[[#This Row],[Station/Feeder]],ABY[[#This Row],[Voltage]],ABY[[#This Row],[Lowest A-PTX]])</f>
        <v>DistributionFeederF374_Cricklewood11.1001</v>
      </c>
      <c r="BF85" s="9" t="str">
        <f>IF(MIN(ABY[[#This Row],[Summ Cont Winter A]:[Cable Derating]])=0,"",MIN(ABY[[#This Row],[Summ Cont Winter A]:[Cable Derating]]))</f>
        <v/>
      </c>
      <c r="BG85" s="57" t="str">
        <f>IFERROR(ABY[[#This Row],[Lowest MVA]]*1000/(ABY[[#This Row],[Voltage]]*SQRT(3)),"")</f>
        <v/>
      </c>
      <c r="BH85" s="57" t="str">
        <f t="shared" si="132"/>
        <v/>
      </c>
      <c r="BI85" s="9" t="str">
        <f>ABY[[#This Row],[From]]</f>
        <v>F377</v>
      </c>
      <c r="BJ85" s="9" t="str">
        <f>ABY[[#This Row],[To]]</f>
        <v>Pole 11915</v>
      </c>
      <c r="BK85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Link-F311</v>
      </c>
      <c r="BL85" s="9">
        <f>ABY[[#This Row],[Voltage]]</f>
        <v>11.100100000000001</v>
      </c>
    </row>
    <row r="86" spans="1:64" s="1" customFormat="1" ht="15" hidden="1" customHeight="1" x14ac:dyDescent="0.25">
      <c r="A86" s="353" t="str">
        <f>CONCATENATE(ABY[[#This Row],[Supply Level]],ABY[[#This Row],[Station/Feeder]],ABY[[#This Row],[Voltage]])</f>
        <v>DistributionFeederF374_Cricklewood11.1001</v>
      </c>
      <c r="B86" s="353" t="str">
        <f>CONCATENATE(ABY[[#This Row],[Supply Level]],ABY[[#This Row],[Station/Feeder]],ABY[[#This Row],[Equipment ID]],ABY[[#This Row],[Voltage]],ABY[[#This Row],[Device type]])</f>
        <v>DistributionFeederF374_CricklewoodMINK11.1001-</v>
      </c>
      <c r="C86" s="6" t="s">
        <v>1276</v>
      </c>
      <c r="D86" s="11" t="s">
        <v>166</v>
      </c>
      <c r="E86" s="46" t="s">
        <v>349</v>
      </c>
      <c r="F86" s="46" t="s">
        <v>357</v>
      </c>
      <c r="G86" s="57">
        <v>7</v>
      </c>
      <c r="H86" s="46" t="s">
        <v>1289</v>
      </c>
      <c r="I86" s="46" t="s">
        <v>282</v>
      </c>
      <c r="J86" s="46" t="s">
        <v>69</v>
      </c>
      <c r="K86" s="46" t="s">
        <v>0</v>
      </c>
      <c r="L86" s="46" t="s">
        <v>0</v>
      </c>
      <c r="M86" s="57">
        <f t="shared" si="153"/>
        <v>11.100100000000001</v>
      </c>
      <c r="N86" s="9">
        <v>251</v>
      </c>
      <c r="O86" s="9">
        <f t="shared" ref="O86:O90" si="174">IF(OR(N86="",N86="-"),"-",N86*$M86*SQRT(3)/1000)</f>
        <v>4.8257102294429188</v>
      </c>
      <c r="P86" s="9" t="s">
        <v>0</v>
      </c>
      <c r="Q86" s="9" t="str">
        <f t="shared" ref="Q86:Q90" si="175">IF(OR(P86="",P86="-"),"-",P86*$M86*SQRT(3)/1000)</f>
        <v>-</v>
      </c>
      <c r="R86" s="9">
        <v>188.62660722014468</v>
      </c>
      <c r="S86" s="9">
        <f t="shared" ref="S86:S90" si="176">IF(OR(R86="",R86="-"),"-",R86*$M86*SQRT(3)/1000)</f>
        <v>3.6265232988341185</v>
      </c>
      <c r="T86" s="9" t="s">
        <v>0</v>
      </c>
      <c r="U86" s="9" t="str">
        <f t="shared" ref="U86:U90" si="177">IF(OR(T86="",T86="-"),"-",T86*$M86*SQRT(3)/1000)</f>
        <v>-</v>
      </c>
      <c r="V86" s="9" t="s">
        <v>0</v>
      </c>
      <c r="W86" s="9" t="str">
        <f t="shared" ref="W86:W90" si="178">IF(OR(V86="",V86="-"),"-",V86*$M86*SQRT(3)/1000)</f>
        <v>-</v>
      </c>
      <c r="X86" s="9" t="s">
        <v>0</v>
      </c>
      <c r="Y86" s="9" t="str">
        <f t="shared" ref="Y86:Y90" si="179">IF(OR(X86="",X86="-"),"-",X86*$M86*SQRT(3)/1000)</f>
        <v>-</v>
      </c>
      <c r="Z86" s="9" t="s">
        <v>0</v>
      </c>
      <c r="AA86" s="9" t="str">
        <f t="shared" ref="AA86:AA90" si="180">IF(OR(Z86="",Z86="-"),"-",Z86*$M86*SQRT(3)/1000)</f>
        <v>-</v>
      </c>
      <c r="AB86" s="9" t="s">
        <v>0</v>
      </c>
      <c r="AC86" s="9" t="str">
        <f t="shared" ref="AC86:AC90" si="181">IF(OR(AB86="",AB86="-"),"-",AB86*$M86*SQRT(3)/1000)</f>
        <v>-</v>
      </c>
      <c r="AD86" s="9" t="s">
        <v>0</v>
      </c>
      <c r="AE86" s="12" t="str">
        <f t="shared" ref="AE86:AE90" si="182">IF(OR(AD86="",AD86="-"),"-",AD86*$M86*SQRT(3)/1000)</f>
        <v>-</v>
      </c>
      <c r="AF86" s="29" t="s">
        <v>0</v>
      </c>
      <c r="AG86" s="29" t="s">
        <v>0</v>
      </c>
      <c r="AH86" s="9">
        <v>174.1</v>
      </c>
      <c r="AI86" s="29" t="s">
        <v>0</v>
      </c>
      <c r="AJ86" s="32" t="s">
        <v>0</v>
      </c>
      <c r="AK86" s="29" t="s">
        <v>0</v>
      </c>
      <c r="AL86" s="32" t="s">
        <v>0</v>
      </c>
      <c r="AM86" s="29" t="s">
        <v>0</v>
      </c>
      <c r="AN86" s="32" t="s">
        <v>0</v>
      </c>
      <c r="AO86" s="29" t="s">
        <v>0</v>
      </c>
      <c r="AP86" s="32" t="s">
        <v>0</v>
      </c>
      <c r="AQ86" s="32" t="s">
        <v>0</v>
      </c>
      <c r="AR86" s="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86" s="9" t="str">
        <f t="shared" ref="AS86:AS90" si="183">IF(OR(AR86="",AR86="-"),"-",AR86*$M86*SQRT(3)/1000)</f>
        <v>-</v>
      </c>
      <c r="AT86" s="9">
        <f>IF(RIGHT(ABY[[#This Row],[Device type]],7)="Winding","-",ABY[[#This Row],[Cont Winter MVA]])</f>
        <v>4.8257102294429188</v>
      </c>
      <c r="AU86" s="9" t="str">
        <f>IF(RIGHT(ABY[[#This Row],[Device type]],7)="Winding","-",ABY[[#This Row],[Cont Shoulder MVA]])</f>
        <v>-</v>
      </c>
      <c r="AV86" s="9">
        <f>IF(RIGHT(ABY[[#This Row],[Device type]],7)="Winding","-",ABY[[#This Row],[Cont Summer MVA]])</f>
        <v>3.6265232988341185</v>
      </c>
      <c r="AW86" s="9" t="str">
        <f>IF(RIGHT(ABY[[#This Row],[Device type]],7)="Winding","-",ABY[[#This Row],[24 Hr Winter MVA]])</f>
        <v>-</v>
      </c>
      <c r="AX86" s="9" t="str">
        <f>IF(RIGHT(ABY[[#This Row],[Device type]],7)="Winding","-",ABY[[#This Row],[24 Hr Summer MVA]])</f>
        <v>-</v>
      </c>
      <c r="AY86" s="9" t="str">
        <f>ABY[[#This Row],[Forwards MVA]]</f>
        <v>-</v>
      </c>
      <c r="AZ86" s="9" t="str">
        <f>ABY[[#This Row],[Relay MVA]]</f>
        <v>-</v>
      </c>
      <c r="BA86" s="9" t="str">
        <f>ABY[[#This Row],[CT MVA]]</f>
        <v>-</v>
      </c>
      <c r="BB86" s="9" t="str">
        <f>ABY[[#This Row],[Derating MVA]]</f>
        <v>-</v>
      </c>
      <c r="BC86" s="9" t="str">
        <f>ABY[[#This Row],[Station/Feeder]]&amp;ABY[[#This Row],[Lowest MVA]]</f>
        <v>F374_Cricklewood3.62652329883412</v>
      </c>
      <c r="BD86" s="9" t="str">
        <f>CONCATENATE(ABY[[#This Row],[Supply Level]],ABY[[#This Row],[Station/Feeder]],ABY[[#This Row],[Voltage]],ABY[[#This Row],[Lowest A-No PTX]])</f>
        <v>DistributionFeederF374_Cricklewood11.1001188.626607220145</v>
      </c>
      <c r="BE86" s="9" t="str">
        <f>CONCATENATE(ABY[[#This Row],[Supply Level]],ABY[[#This Row],[Station/Feeder]],ABY[[#This Row],[Voltage]],ABY[[#This Row],[Lowest A-PTX]])</f>
        <v>DistributionFeederF374_Cricklewood11.1001188.626607220145</v>
      </c>
      <c r="BF86" s="9">
        <f>IF(MIN(ABY[[#This Row],[Summ Cont Winter A]:[Cable Derating]])=0,"",MIN(ABY[[#This Row],[Summ Cont Winter A]:[Cable Derating]]))</f>
        <v>3.6265232988341185</v>
      </c>
      <c r="BG86" s="57">
        <f>IFERROR(ABY[[#This Row],[Lowest MVA]]*1000/(ABY[[#This Row],[Voltage]]*SQRT(3)),"")</f>
        <v>188.62660722014468</v>
      </c>
      <c r="BH86" s="57">
        <f t="shared" si="132"/>
        <v>188.62660722014468</v>
      </c>
      <c r="BI86" s="9" t="str">
        <f>ABY[[#This Row],[From]]</f>
        <v>F377</v>
      </c>
      <c r="BJ86" s="9" t="str">
        <f>ABY[[#This Row],[To]]</f>
        <v>Pole 11915</v>
      </c>
      <c r="BK86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Line-MINK</v>
      </c>
      <c r="BL86" s="9">
        <f>ABY[[#This Row],[Voltage]]</f>
        <v>11.100100000000001</v>
      </c>
    </row>
    <row r="87" spans="1:64" s="1" customFormat="1" hidden="1" x14ac:dyDescent="0.25">
      <c r="A87" s="353" t="str">
        <f>CONCATENATE(ABY[[#This Row],[Supply Level]],ABY[[#This Row],[Station/Feeder]],ABY[[#This Row],[Voltage]])</f>
        <v>DistributionFeederF380_Fairlie Rural11.1001</v>
      </c>
      <c r="B87" s="353" t="str">
        <f>CONCATENATE(ABY[[#This Row],[Supply Level]],ABY[[#This Row],[Station/Feeder]],ABY[[#This Row],[Equipment ID]],ABY[[#This Row],[Voltage]],ABY[[#This Row],[Device type]])</f>
        <v>DistributionFeederF380_Fairlie RuralFLE-F38011.1001Protection</v>
      </c>
      <c r="C87" s="6" t="s">
        <v>1276</v>
      </c>
      <c r="D87" s="11" t="s">
        <v>174</v>
      </c>
      <c r="E87" s="46" t="s">
        <v>355</v>
      </c>
      <c r="F87" s="46" t="s">
        <v>360</v>
      </c>
      <c r="G87" s="57">
        <v>1</v>
      </c>
      <c r="H87" s="46" t="s">
        <v>274</v>
      </c>
      <c r="I87" s="46" t="s">
        <v>2417</v>
      </c>
      <c r="J87" s="46" t="s">
        <v>15</v>
      </c>
      <c r="K87" s="46" t="s">
        <v>791</v>
      </c>
      <c r="L87" s="46" t="s">
        <v>1423</v>
      </c>
      <c r="M87" s="57">
        <f t="shared" si="153"/>
        <v>11.100100000000001</v>
      </c>
      <c r="N87" s="9">
        <v>630</v>
      </c>
      <c r="O87" s="9">
        <f t="shared" si="174"/>
        <v>12.112340416530037</v>
      </c>
      <c r="P87" s="9">
        <v>630</v>
      </c>
      <c r="Q87" s="9">
        <f t="shared" si="175"/>
        <v>12.112340416530037</v>
      </c>
      <c r="R87" s="9">
        <v>630</v>
      </c>
      <c r="S87" s="9">
        <f t="shared" si="176"/>
        <v>12.112340416530037</v>
      </c>
      <c r="T87" s="9" t="s">
        <v>0</v>
      </c>
      <c r="U87" s="9" t="str">
        <f t="shared" si="177"/>
        <v>-</v>
      </c>
      <c r="V87" s="9" t="s">
        <v>0</v>
      </c>
      <c r="W87" s="9" t="str">
        <f t="shared" si="178"/>
        <v>-</v>
      </c>
      <c r="X87" s="9">
        <f>VLOOKUP(ABY[[#This Row],[Equipment ID]],AEL_Protection_Data[#All],12,0)</f>
        <v>192</v>
      </c>
      <c r="Y87" s="9">
        <f t="shared" si="179"/>
        <v>3.6913799364662974</v>
      </c>
      <c r="Z87" s="9" t="s">
        <v>0</v>
      </c>
      <c r="AA87" s="9" t="str">
        <f t="shared" si="180"/>
        <v>-</v>
      </c>
      <c r="AB87" s="9" t="s">
        <v>0</v>
      </c>
      <c r="AC87" s="9" t="str">
        <f t="shared" si="181"/>
        <v>-</v>
      </c>
      <c r="AD87" s="9">
        <v>400</v>
      </c>
      <c r="AE87" s="12">
        <f t="shared" si="182"/>
        <v>7.6903748676381189</v>
      </c>
      <c r="AF87" s="29" t="s">
        <v>0</v>
      </c>
      <c r="AG87" s="29" t="s">
        <v>0</v>
      </c>
      <c r="AH87" s="9" t="s">
        <v>0</v>
      </c>
      <c r="AI87" s="29" t="s">
        <v>0</v>
      </c>
      <c r="AJ87" s="32" t="s">
        <v>0</v>
      </c>
      <c r="AK87" s="29" t="s">
        <v>0</v>
      </c>
      <c r="AL87" s="32" t="s">
        <v>0</v>
      </c>
      <c r="AM87" s="29" t="s">
        <v>0</v>
      </c>
      <c r="AN87" s="32" t="s">
        <v>0</v>
      </c>
      <c r="AO87" s="29" t="s">
        <v>0</v>
      </c>
      <c r="AP87" s="32" t="s">
        <v>0</v>
      </c>
      <c r="AQ87" s="32" t="s">
        <v>0</v>
      </c>
      <c r="AR87" s="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87" s="9" t="str">
        <f t="shared" si="183"/>
        <v>-</v>
      </c>
      <c r="AT87" s="9">
        <f>IF(RIGHT(ABY[[#This Row],[Device type]],7)="Winding","-",ABY[[#This Row],[Cont Winter MVA]])</f>
        <v>12.112340416530037</v>
      </c>
      <c r="AU87" s="9">
        <f>IF(RIGHT(ABY[[#This Row],[Device type]],7)="Winding","-",ABY[[#This Row],[Cont Shoulder MVA]])</f>
        <v>12.112340416530037</v>
      </c>
      <c r="AV87" s="9">
        <f>IF(RIGHT(ABY[[#This Row],[Device type]],7)="Winding","-",ABY[[#This Row],[Cont Summer MVA]])</f>
        <v>12.112340416530037</v>
      </c>
      <c r="AW87" s="9" t="str">
        <f>IF(RIGHT(ABY[[#This Row],[Device type]],7)="Winding","-",ABY[[#This Row],[24 Hr Winter MVA]])</f>
        <v>-</v>
      </c>
      <c r="AX87" s="9" t="str">
        <f>IF(RIGHT(ABY[[#This Row],[Device type]],7)="Winding","-",ABY[[#This Row],[24 Hr Summer MVA]])</f>
        <v>-</v>
      </c>
      <c r="AY87" s="9">
        <f>ABY[[#This Row],[Forwards MVA]]</f>
        <v>3.6913799364662974</v>
      </c>
      <c r="AZ87" s="9" t="str">
        <f>ABY[[#This Row],[Relay MVA]]</f>
        <v>-</v>
      </c>
      <c r="BA87" s="9">
        <f>ABY[[#This Row],[CT MVA]]</f>
        <v>7.6903748676381189</v>
      </c>
      <c r="BB87" s="9" t="str">
        <f>ABY[[#This Row],[Derating MVA]]</f>
        <v>-</v>
      </c>
      <c r="BC87" s="9" t="str">
        <f>ABY[[#This Row],[Station/Feeder]]&amp;ABY[[#This Row],[Lowest MVA]]</f>
        <v>F380_Fairlie Rural3.6913799364663</v>
      </c>
      <c r="BD87" s="9" t="str">
        <f>CONCATENATE(ABY[[#This Row],[Supply Level]],ABY[[#This Row],[Station/Feeder]],ABY[[#This Row],[Voltage]],ABY[[#This Row],[Lowest A-No PTX]])</f>
        <v>DistributionFeederF380_Fairlie Rural11.1001192</v>
      </c>
      <c r="BE87" s="9" t="str">
        <f>CONCATENATE(ABY[[#This Row],[Supply Level]],ABY[[#This Row],[Station/Feeder]],ABY[[#This Row],[Voltage]],ABY[[#This Row],[Lowest A-PTX]])</f>
        <v>DistributionFeederF380_Fairlie Rural11.1001192</v>
      </c>
      <c r="BF87" s="9">
        <f>IF(MIN(ABY[[#This Row],[Summ Cont Winter A]:[Cable Derating]])=0,"",MIN(ABY[[#This Row],[Summ Cont Winter A]:[Cable Derating]]))</f>
        <v>3.6913799364662974</v>
      </c>
      <c r="BG87" s="57">
        <f>IFERROR(ABY[[#This Row],[Lowest MVA]]*1000/(ABY[[#This Row],[Voltage]]*SQRT(3)),"")</f>
        <v>192.00000000000003</v>
      </c>
      <c r="BH87" s="57">
        <f t="shared" si="132"/>
        <v>192</v>
      </c>
      <c r="BI87" s="9" t="str">
        <f>ABY[[#This Row],[From]]</f>
        <v>F380</v>
      </c>
      <c r="BJ87" s="9" t="str">
        <f>ABY[[#This Row],[To]]</f>
        <v>Pole 15164</v>
      </c>
      <c r="BK87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Circuit Breaker-FLE-F380-Protection</v>
      </c>
      <c r="BL87" s="9">
        <f>ABY[[#This Row],[Voltage]]</f>
        <v>11.100100000000001</v>
      </c>
    </row>
    <row r="88" spans="1:64" s="1" customFormat="1" ht="15" hidden="1" customHeight="1" x14ac:dyDescent="0.25">
      <c r="A88" s="353" t="str">
        <f>CONCATENATE(ABY[[#This Row],[Supply Level]],ABY[[#This Row],[Station/Feeder]],ABY[[#This Row],[Voltage]])</f>
        <v>DistributionFeederF380_Fairlie Rural11.1001</v>
      </c>
      <c r="B88" s="353" t="str">
        <f>CONCATENATE(ABY[[#This Row],[Supply Level]],ABY[[#This Row],[Station/Feeder]],ABY[[#This Row],[Equipment ID]],ABY[[#This Row],[Voltage]],ABY[[#This Row],[Device type]])</f>
        <v>DistributionFeederF380_Fairlie Rural3-1c 185 mm² AL XLPE11.1001-</v>
      </c>
      <c r="C88" s="6" t="s">
        <v>1276</v>
      </c>
      <c r="D88" s="11" t="s">
        <v>174</v>
      </c>
      <c r="E88" s="46" t="s">
        <v>355</v>
      </c>
      <c r="F88" s="46" t="s">
        <v>360</v>
      </c>
      <c r="G88" s="57">
        <v>2</v>
      </c>
      <c r="H88" s="46" t="s">
        <v>276</v>
      </c>
      <c r="I88" s="46" t="s">
        <v>561</v>
      </c>
      <c r="J88" s="46" t="s">
        <v>250</v>
      </c>
      <c r="K88" s="46" t="s">
        <v>0</v>
      </c>
      <c r="L88" s="46" t="s">
        <v>0</v>
      </c>
      <c r="M88" s="57">
        <f t="shared" si="153"/>
        <v>11.100100000000001</v>
      </c>
      <c r="N88" s="9">
        <v>362</v>
      </c>
      <c r="O88" s="9">
        <f t="shared" si="174"/>
        <v>6.9597892552124971</v>
      </c>
      <c r="P88" s="9">
        <v>362</v>
      </c>
      <c r="Q88" s="9">
        <f t="shared" si="175"/>
        <v>6.9597892552124971</v>
      </c>
      <c r="R88" s="9">
        <v>362</v>
      </c>
      <c r="S88" s="9">
        <f t="shared" si="176"/>
        <v>6.9597892552124971</v>
      </c>
      <c r="T88" s="9" t="s">
        <v>0</v>
      </c>
      <c r="U88" s="9" t="str">
        <f t="shared" si="177"/>
        <v>-</v>
      </c>
      <c r="V88" s="9" t="s">
        <v>0</v>
      </c>
      <c r="W88" s="9" t="str">
        <f t="shared" si="178"/>
        <v>-</v>
      </c>
      <c r="X88" s="9" t="s">
        <v>0</v>
      </c>
      <c r="Y88" s="9" t="str">
        <f t="shared" si="179"/>
        <v>-</v>
      </c>
      <c r="Z88" s="9" t="s">
        <v>0</v>
      </c>
      <c r="AA88" s="9" t="str">
        <f t="shared" si="180"/>
        <v>-</v>
      </c>
      <c r="AB88" s="9" t="s">
        <v>0</v>
      </c>
      <c r="AC88" s="9" t="str">
        <f t="shared" si="181"/>
        <v>-</v>
      </c>
      <c r="AD88" s="9" t="s">
        <v>0</v>
      </c>
      <c r="AE88" s="12" t="str">
        <f t="shared" si="182"/>
        <v>-</v>
      </c>
      <c r="AF88" s="29">
        <v>1</v>
      </c>
      <c r="AG88" s="29" t="s">
        <v>265</v>
      </c>
      <c r="AH88" s="29">
        <v>15.8</v>
      </c>
      <c r="AI88" s="29">
        <v>1.25</v>
      </c>
      <c r="AJ88" s="32">
        <v>0.96</v>
      </c>
      <c r="AK88" s="29">
        <v>15</v>
      </c>
      <c r="AL88" s="32">
        <v>1</v>
      </c>
      <c r="AM88" s="29">
        <v>1.2</v>
      </c>
      <c r="AN88" s="32">
        <v>1</v>
      </c>
      <c r="AO88" s="29">
        <v>3</v>
      </c>
      <c r="AP88" s="29">
        <v>0.45</v>
      </c>
      <c r="AQ88" s="32">
        <v>0.8</v>
      </c>
      <c r="AR88" s="29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278.01600000000002</v>
      </c>
      <c r="AS88" s="9">
        <f t="shared" si="183"/>
        <v>5.3451181480031984</v>
      </c>
      <c r="AT88" s="9">
        <f>IF(RIGHT(ABY[[#This Row],[Device type]],7)="Winding","-",ABY[[#This Row],[Cont Winter MVA]])</f>
        <v>6.9597892552124971</v>
      </c>
      <c r="AU88" s="9">
        <f>IF(RIGHT(ABY[[#This Row],[Device type]],7)="Winding","-",ABY[[#This Row],[Cont Shoulder MVA]])</f>
        <v>6.9597892552124971</v>
      </c>
      <c r="AV88" s="9">
        <f>IF(RIGHT(ABY[[#This Row],[Device type]],7)="Winding","-",ABY[[#This Row],[Cont Summer MVA]])</f>
        <v>6.9597892552124971</v>
      </c>
      <c r="AW88" s="9" t="str">
        <f>IF(RIGHT(ABY[[#This Row],[Device type]],7)="Winding","-",ABY[[#This Row],[24 Hr Winter MVA]])</f>
        <v>-</v>
      </c>
      <c r="AX88" s="9" t="str">
        <f>IF(RIGHT(ABY[[#This Row],[Device type]],7)="Winding","-",ABY[[#This Row],[24 Hr Summer MVA]])</f>
        <v>-</v>
      </c>
      <c r="AY88" s="9" t="str">
        <f>ABY[[#This Row],[Forwards MVA]]</f>
        <v>-</v>
      </c>
      <c r="AZ88" s="9" t="str">
        <f>ABY[[#This Row],[Relay MVA]]</f>
        <v>-</v>
      </c>
      <c r="BA88" s="9" t="str">
        <f>ABY[[#This Row],[CT MVA]]</f>
        <v>-</v>
      </c>
      <c r="BB88" s="9">
        <f>ABY[[#This Row],[Derating MVA]]</f>
        <v>5.3451181480031984</v>
      </c>
      <c r="BC88" s="9" t="str">
        <f>ABY[[#This Row],[Station/Feeder]]&amp;ABY[[#This Row],[Lowest MVA]]</f>
        <v>F380_Fairlie Rural5.3451181480032</v>
      </c>
      <c r="BD88" s="9" t="str">
        <f>CONCATENATE(ABY[[#This Row],[Supply Level]],ABY[[#This Row],[Station/Feeder]],ABY[[#This Row],[Voltage]],ABY[[#This Row],[Lowest A-No PTX]])</f>
        <v>DistributionFeederF380_Fairlie Rural11.1001278.016</v>
      </c>
      <c r="BE88" s="9" t="str">
        <f>CONCATENATE(ABY[[#This Row],[Supply Level]],ABY[[#This Row],[Station/Feeder]],ABY[[#This Row],[Voltage]],ABY[[#This Row],[Lowest A-PTX]])</f>
        <v>DistributionFeederF380_Fairlie Rural11.1001278.016</v>
      </c>
      <c r="BF88" s="9">
        <f>IF(MIN(ABY[[#This Row],[Summ Cont Winter A]:[Cable Derating]])=0,"",MIN(ABY[[#This Row],[Summ Cont Winter A]:[Cable Derating]]))</f>
        <v>5.3451181480031984</v>
      </c>
      <c r="BG88" s="57">
        <f>IFERROR(ABY[[#This Row],[Lowest MVA]]*1000/(ABY[[#This Row],[Voltage]]*SQRT(3)),"")</f>
        <v>278.01600000000002</v>
      </c>
      <c r="BH88" s="57">
        <f t="shared" si="132"/>
        <v>278.01600000000002</v>
      </c>
      <c r="BI88" s="9" t="str">
        <f>ABY[[#This Row],[From]]</f>
        <v>F380</v>
      </c>
      <c r="BJ88" s="9" t="str">
        <f>ABY[[#This Row],[To]]</f>
        <v>Pole 15164</v>
      </c>
      <c r="BK88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Cable-3-1c 185 mm² AL XLPE</v>
      </c>
      <c r="BL88" s="9">
        <f>ABY[[#This Row],[Voltage]]</f>
        <v>11.100100000000001</v>
      </c>
    </row>
    <row r="89" spans="1:64" s="1" customFormat="1" ht="15" hidden="1" customHeight="1" x14ac:dyDescent="0.25">
      <c r="A89" s="353" t="str">
        <f>CONCATENATE(ABY[[#This Row],[Supply Level]],ABY[[#This Row],[Station/Feeder]],ABY[[#This Row],[Voltage]])</f>
        <v>DistributionFeederF380_Fairlie Rural11.1001</v>
      </c>
      <c r="B89" s="353" t="str">
        <f>CONCATENATE(ABY[[#This Row],[Supply Level]],ABY[[#This Row],[Station/Feeder]],ABY[[#This Row],[Equipment ID]],ABY[[#This Row],[Voltage]],ABY[[#This Row],[Device type]])</f>
        <v>DistributionFeederF380_Fairlie RuralF32211.1001-</v>
      </c>
      <c r="C89" s="6" t="s">
        <v>1276</v>
      </c>
      <c r="D89" s="11" t="s">
        <v>174</v>
      </c>
      <c r="E89" s="46" t="s">
        <v>355</v>
      </c>
      <c r="F89" s="46" t="s">
        <v>360</v>
      </c>
      <c r="G89" s="57">
        <v>3</v>
      </c>
      <c r="H89" s="46" t="s">
        <v>0</v>
      </c>
      <c r="I89" s="46" t="s">
        <v>359</v>
      </c>
      <c r="J89" s="46" t="s">
        <v>240</v>
      </c>
      <c r="K89" s="46" t="s">
        <v>0</v>
      </c>
      <c r="L89" s="46" t="s">
        <v>0</v>
      </c>
      <c r="M89" s="57">
        <f t="shared" si="153"/>
        <v>11.100100000000001</v>
      </c>
      <c r="N89" s="9" t="s">
        <v>0</v>
      </c>
      <c r="O89" s="9" t="str">
        <f t="shared" si="174"/>
        <v>-</v>
      </c>
      <c r="P89" s="9" t="s">
        <v>0</v>
      </c>
      <c r="Q89" s="9" t="str">
        <f t="shared" si="175"/>
        <v>-</v>
      </c>
      <c r="R89" s="9" t="s">
        <v>0</v>
      </c>
      <c r="S89" s="9" t="str">
        <f t="shared" si="176"/>
        <v>-</v>
      </c>
      <c r="T89" s="9" t="s">
        <v>0</v>
      </c>
      <c r="U89" s="9" t="str">
        <f t="shared" si="177"/>
        <v>-</v>
      </c>
      <c r="V89" s="9" t="s">
        <v>0</v>
      </c>
      <c r="W89" s="9" t="str">
        <f t="shared" si="178"/>
        <v>-</v>
      </c>
      <c r="X89" s="9" t="s">
        <v>0</v>
      </c>
      <c r="Y89" s="9" t="str">
        <f t="shared" si="179"/>
        <v>-</v>
      </c>
      <c r="Z89" s="9" t="s">
        <v>0</v>
      </c>
      <c r="AA89" s="9" t="str">
        <f t="shared" si="180"/>
        <v>-</v>
      </c>
      <c r="AB89" s="9" t="s">
        <v>0</v>
      </c>
      <c r="AC89" s="9" t="str">
        <f t="shared" si="181"/>
        <v>-</v>
      </c>
      <c r="AD89" s="9" t="s">
        <v>0</v>
      </c>
      <c r="AE89" s="12" t="str">
        <f t="shared" si="182"/>
        <v>-</v>
      </c>
      <c r="AF89" s="29" t="s">
        <v>0</v>
      </c>
      <c r="AG89" s="29" t="s">
        <v>0</v>
      </c>
      <c r="AH89" s="9" t="s">
        <v>0</v>
      </c>
      <c r="AI89" s="29" t="s">
        <v>0</v>
      </c>
      <c r="AJ89" s="32" t="s">
        <v>0</v>
      </c>
      <c r="AK89" s="29" t="s">
        <v>0</v>
      </c>
      <c r="AL89" s="32" t="s">
        <v>0</v>
      </c>
      <c r="AM89" s="29" t="s">
        <v>0</v>
      </c>
      <c r="AN89" s="32" t="s">
        <v>0</v>
      </c>
      <c r="AO89" s="29" t="s">
        <v>0</v>
      </c>
      <c r="AP89" s="32" t="s">
        <v>0</v>
      </c>
      <c r="AQ89" s="32" t="s">
        <v>0</v>
      </c>
      <c r="AR89" s="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89" s="9" t="str">
        <f t="shared" si="183"/>
        <v>-</v>
      </c>
      <c r="AT89" s="9" t="str">
        <f>IF(RIGHT(ABY[[#This Row],[Device type]],7)="Winding","-",ABY[[#This Row],[Cont Winter MVA]])</f>
        <v>-</v>
      </c>
      <c r="AU89" s="9" t="str">
        <f>IF(RIGHT(ABY[[#This Row],[Device type]],7)="Winding","-",ABY[[#This Row],[Cont Shoulder MVA]])</f>
        <v>-</v>
      </c>
      <c r="AV89" s="9" t="str">
        <f>IF(RIGHT(ABY[[#This Row],[Device type]],7)="Winding","-",ABY[[#This Row],[Cont Summer MVA]])</f>
        <v>-</v>
      </c>
      <c r="AW89" s="9" t="str">
        <f>IF(RIGHT(ABY[[#This Row],[Device type]],7)="Winding","-",ABY[[#This Row],[24 Hr Winter MVA]])</f>
        <v>-</v>
      </c>
      <c r="AX89" s="9" t="str">
        <f>IF(RIGHT(ABY[[#This Row],[Device type]],7)="Winding","-",ABY[[#This Row],[24 Hr Summer MVA]])</f>
        <v>-</v>
      </c>
      <c r="AY89" s="9" t="str">
        <f>ABY[[#This Row],[Forwards MVA]]</f>
        <v>-</v>
      </c>
      <c r="AZ89" s="9" t="str">
        <f>ABY[[#This Row],[Relay MVA]]</f>
        <v>-</v>
      </c>
      <c r="BA89" s="9" t="str">
        <f>ABY[[#This Row],[CT MVA]]</f>
        <v>-</v>
      </c>
      <c r="BB89" s="9" t="str">
        <f>ABY[[#This Row],[Derating MVA]]</f>
        <v>-</v>
      </c>
      <c r="BC89" s="9" t="str">
        <f>ABY[[#This Row],[Station/Feeder]]&amp;ABY[[#This Row],[Lowest MVA]]</f>
        <v>F380_Fairlie Rural</v>
      </c>
      <c r="BD89" s="9" t="str">
        <f>CONCATENATE(ABY[[#This Row],[Supply Level]],ABY[[#This Row],[Station/Feeder]],ABY[[#This Row],[Voltage]],ABY[[#This Row],[Lowest A-No PTX]])</f>
        <v>DistributionFeederF380_Fairlie Rural11.1001</v>
      </c>
      <c r="BE89" s="9" t="str">
        <f>CONCATENATE(ABY[[#This Row],[Supply Level]],ABY[[#This Row],[Station/Feeder]],ABY[[#This Row],[Voltage]],ABY[[#This Row],[Lowest A-PTX]])</f>
        <v>DistributionFeederF380_Fairlie Rural11.1001</v>
      </c>
      <c r="BF89" s="9" t="str">
        <f>IF(MIN(ABY[[#This Row],[Summ Cont Winter A]:[Cable Derating]])=0,"",MIN(ABY[[#This Row],[Summ Cont Winter A]:[Cable Derating]]))</f>
        <v/>
      </c>
      <c r="BG89" s="57" t="str">
        <f>IFERROR(ABY[[#This Row],[Lowest MVA]]*1000/(ABY[[#This Row],[Voltage]]*SQRT(3)),"")</f>
        <v/>
      </c>
      <c r="BH89" s="57" t="str">
        <f t="shared" si="132"/>
        <v/>
      </c>
      <c r="BI89" s="9" t="str">
        <f>ABY[[#This Row],[From]]</f>
        <v>F380</v>
      </c>
      <c r="BJ89" s="9" t="str">
        <f>ABY[[#This Row],[To]]</f>
        <v>Pole 15164</v>
      </c>
      <c r="BK89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ABS-F322</v>
      </c>
      <c r="BL89" s="9">
        <f>ABY[[#This Row],[Voltage]]</f>
        <v>11.100100000000001</v>
      </c>
    </row>
    <row r="90" spans="1:64" s="1" customFormat="1" ht="15" hidden="1" customHeight="1" x14ac:dyDescent="0.25">
      <c r="A90" s="353" t="str">
        <f>CONCATENATE(ABY[[#This Row],[Supply Level]],ABY[[#This Row],[Station/Feeder]],ABY[[#This Row],[Voltage]])</f>
        <v>DistributionFeederF380_Fairlie Rural11.1001</v>
      </c>
      <c r="B90" s="353" t="str">
        <f>CONCATENATE(ABY[[#This Row],[Supply Level]],ABY[[#This Row],[Station/Feeder]],ABY[[#This Row],[Equipment ID]],ABY[[#This Row],[Voltage]],ABY[[#This Row],[Device type]])</f>
        <v>DistributionFeederF380_Fairlie Rural70 mm² Cu11.1001-</v>
      </c>
      <c r="C90" s="6" t="s">
        <v>1276</v>
      </c>
      <c r="D90" s="11" t="s">
        <v>174</v>
      </c>
      <c r="E90" s="46" t="s">
        <v>355</v>
      </c>
      <c r="F90" s="46" t="s">
        <v>360</v>
      </c>
      <c r="G90" s="57">
        <v>4</v>
      </c>
      <c r="H90" s="46" t="s">
        <v>1289</v>
      </c>
      <c r="I90" s="46" t="s">
        <v>1283</v>
      </c>
      <c r="J90" s="46" t="s">
        <v>69</v>
      </c>
      <c r="K90" s="46" t="s">
        <v>0</v>
      </c>
      <c r="L90" s="46" t="s">
        <v>0</v>
      </c>
      <c r="M90" s="57">
        <f t="shared" si="153"/>
        <v>11.100100000000001</v>
      </c>
      <c r="N90" s="9">
        <v>328</v>
      </c>
      <c r="O90" s="9">
        <f t="shared" si="174"/>
        <v>6.3061073914632573</v>
      </c>
      <c r="P90" s="9" t="s">
        <v>0</v>
      </c>
      <c r="Q90" s="9" t="str">
        <f t="shared" si="175"/>
        <v>-</v>
      </c>
      <c r="R90" s="9">
        <v>247</v>
      </c>
      <c r="S90" s="9">
        <f t="shared" si="176"/>
        <v>4.7488064807665378</v>
      </c>
      <c r="T90" s="9" t="s">
        <v>0</v>
      </c>
      <c r="U90" s="9" t="str">
        <f t="shared" si="177"/>
        <v>-</v>
      </c>
      <c r="V90" s="9" t="s">
        <v>0</v>
      </c>
      <c r="W90" s="9" t="str">
        <f t="shared" si="178"/>
        <v>-</v>
      </c>
      <c r="X90" s="9" t="s">
        <v>0</v>
      </c>
      <c r="Y90" s="9" t="str">
        <f t="shared" si="179"/>
        <v>-</v>
      </c>
      <c r="Z90" s="9" t="s">
        <v>0</v>
      </c>
      <c r="AA90" s="9" t="str">
        <f t="shared" si="180"/>
        <v>-</v>
      </c>
      <c r="AB90" s="9" t="s">
        <v>0</v>
      </c>
      <c r="AC90" s="9" t="str">
        <f t="shared" si="181"/>
        <v>-</v>
      </c>
      <c r="AD90" s="9" t="s">
        <v>0</v>
      </c>
      <c r="AE90" s="12" t="str">
        <f t="shared" si="182"/>
        <v>-</v>
      </c>
      <c r="AF90" s="29" t="s">
        <v>0</v>
      </c>
      <c r="AG90" s="29" t="s">
        <v>0</v>
      </c>
      <c r="AH90" s="29">
        <v>27.2</v>
      </c>
      <c r="AI90" s="29" t="s">
        <v>0</v>
      </c>
      <c r="AJ90" s="32" t="s">
        <v>0</v>
      </c>
      <c r="AK90" s="29" t="s">
        <v>0</v>
      </c>
      <c r="AL90" s="32" t="s">
        <v>0</v>
      </c>
      <c r="AM90" s="29" t="s">
        <v>0</v>
      </c>
      <c r="AN90" s="32" t="s">
        <v>0</v>
      </c>
      <c r="AO90" s="29" t="s">
        <v>0</v>
      </c>
      <c r="AP90" s="29" t="s">
        <v>0</v>
      </c>
      <c r="AQ90" s="32" t="s">
        <v>0</v>
      </c>
      <c r="AR90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90" s="9" t="str">
        <f t="shared" si="183"/>
        <v>-</v>
      </c>
      <c r="AT90" s="9">
        <f>IF(RIGHT(ABY[[#This Row],[Device type]],7)="Winding","-",ABY[[#This Row],[Cont Winter MVA]])</f>
        <v>6.3061073914632573</v>
      </c>
      <c r="AU90" s="9" t="str">
        <f>IF(RIGHT(ABY[[#This Row],[Device type]],7)="Winding","-",ABY[[#This Row],[Cont Shoulder MVA]])</f>
        <v>-</v>
      </c>
      <c r="AV90" s="9">
        <f>IF(RIGHT(ABY[[#This Row],[Device type]],7)="Winding","-",ABY[[#This Row],[Cont Summer MVA]])</f>
        <v>4.7488064807665378</v>
      </c>
      <c r="AW90" s="9" t="str">
        <f>IF(RIGHT(ABY[[#This Row],[Device type]],7)="Winding","-",ABY[[#This Row],[24 Hr Winter MVA]])</f>
        <v>-</v>
      </c>
      <c r="AX90" s="9" t="str">
        <f>IF(RIGHT(ABY[[#This Row],[Device type]],7)="Winding","-",ABY[[#This Row],[24 Hr Summer MVA]])</f>
        <v>-</v>
      </c>
      <c r="AY90" s="9" t="str">
        <f>ABY[[#This Row],[Forwards MVA]]</f>
        <v>-</v>
      </c>
      <c r="AZ90" s="9" t="str">
        <f>ABY[[#This Row],[Relay MVA]]</f>
        <v>-</v>
      </c>
      <c r="BA90" s="9" t="str">
        <f>ABY[[#This Row],[CT MVA]]</f>
        <v>-</v>
      </c>
      <c r="BB90" s="9" t="str">
        <f>ABY[[#This Row],[Derating MVA]]</f>
        <v>-</v>
      </c>
      <c r="BC90" s="9" t="str">
        <f>ABY[[#This Row],[Station/Feeder]]&amp;ABY[[#This Row],[Lowest MVA]]</f>
        <v>F380_Fairlie Rural4.74880648076654</v>
      </c>
      <c r="BD90" s="9" t="str">
        <f>CONCATENATE(ABY[[#This Row],[Supply Level]],ABY[[#This Row],[Station/Feeder]],ABY[[#This Row],[Voltage]],ABY[[#This Row],[Lowest A-No PTX]])</f>
        <v>DistributionFeederF380_Fairlie Rural11.1001247</v>
      </c>
      <c r="BE90" s="9" t="str">
        <f>CONCATENATE(ABY[[#This Row],[Supply Level]],ABY[[#This Row],[Station/Feeder]],ABY[[#This Row],[Voltage]],ABY[[#This Row],[Lowest A-PTX]])</f>
        <v>DistributionFeederF380_Fairlie Rural11.1001247</v>
      </c>
      <c r="BF90" s="9">
        <f>IF(MIN(ABY[[#This Row],[Summ Cont Winter A]:[Cable Derating]])=0,"",MIN(ABY[[#This Row],[Summ Cont Winter A]:[Cable Derating]]))</f>
        <v>4.7488064807665378</v>
      </c>
      <c r="BG90" s="57">
        <f>IFERROR(ABY[[#This Row],[Lowest MVA]]*1000/(ABY[[#This Row],[Voltage]]*SQRT(3)),"")</f>
        <v>246.99999999999997</v>
      </c>
      <c r="BH90" s="57">
        <f t="shared" si="132"/>
        <v>247</v>
      </c>
      <c r="BI90" s="9" t="str">
        <f>ABY[[#This Row],[From]]</f>
        <v>F380</v>
      </c>
      <c r="BJ90" s="9" t="str">
        <f>ABY[[#This Row],[To]]</f>
        <v>Pole 15164</v>
      </c>
      <c r="BK90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Line-70 mm² Cu</v>
      </c>
      <c r="BL90" s="9">
        <f>ABY[[#This Row],[Voltage]]</f>
        <v>11.100100000000001</v>
      </c>
    </row>
    <row r="91" spans="1:64" s="1" customFormat="1" hidden="1" x14ac:dyDescent="0.25">
      <c r="A91" s="353" t="str">
        <f>CONCATENATE(ABY[[#This Row],[Supply Level]],ABY[[#This Row],[Station/Feeder]],ABY[[#This Row],[Voltage]])</f>
        <v>DistributionFeederF383_Fairlie Township11.1001</v>
      </c>
      <c r="B91" s="353" t="str">
        <f>CONCATENATE(ABY[[#This Row],[Supply Level]],ABY[[#This Row],[Station/Feeder]],ABY[[#This Row],[Equipment ID]],ABY[[#This Row],[Voltage]],ABY[[#This Row],[Device type]])</f>
        <v>DistributionFeederF383_Fairlie TownshipFLE-F38311.1001Protection</v>
      </c>
      <c r="C91" s="6" t="s">
        <v>1276</v>
      </c>
      <c r="D91" s="11" t="s">
        <v>180</v>
      </c>
      <c r="E91" s="46" t="s">
        <v>356</v>
      </c>
      <c r="F91" s="46" t="s">
        <v>363</v>
      </c>
      <c r="G91" s="57">
        <v>1</v>
      </c>
      <c r="H91" s="46" t="s">
        <v>274</v>
      </c>
      <c r="I91" s="46" t="s">
        <v>2418</v>
      </c>
      <c r="J91" s="46" t="s">
        <v>15</v>
      </c>
      <c r="K91" s="46" t="s">
        <v>791</v>
      </c>
      <c r="L91" s="46" t="s">
        <v>1423</v>
      </c>
      <c r="M91" s="57">
        <f t="shared" si="153"/>
        <v>11.100100000000001</v>
      </c>
      <c r="N91" s="9">
        <v>630</v>
      </c>
      <c r="O91" s="9">
        <f t="shared" ref="O91" si="184">IF(OR(N91="",N91="-"),"-",N91*$M91*SQRT(3)/1000)</f>
        <v>12.112340416530037</v>
      </c>
      <c r="P91" s="9">
        <v>630</v>
      </c>
      <c r="Q91" s="9">
        <f t="shared" ref="Q91" si="185">IF(OR(P91="",P91="-"),"-",P91*$M91*SQRT(3)/1000)</f>
        <v>12.112340416530037</v>
      </c>
      <c r="R91" s="9">
        <v>630</v>
      </c>
      <c r="S91" s="9">
        <f t="shared" ref="S91" si="186">IF(OR(R91="",R91="-"),"-",R91*$M91*SQRT(3)/1000)</f>
        <v>12.112340416530037</v>
      </c>
      <c r="T91" s="9" t="s">
        <v>0</v>
      </c>
      <c r="U91" s="9" t="str">
        <f t="shared" ref="U91" si="187">IF(OR(T91="",T91="-"),"-",T91*$M91*SQRT(3)/1000)</f>
        <v>-</v>
      </c>
      <c r="V91" s="9" t="s">
        <v>0</v>
      </c>
      <c r="W91" s="9" t="str">
        <f t="shared" ref="W91" si="188">IF(OR(V91="",V91="-"),"-",V91*$M91*SQRT(3)/1000)</f>
        <v>-</v>
      </c>
      <c r="X91" s="9">
        <f>VLOOKUP(ABY[[#This Row],[Equipment ID]],AEL_Protection_Data[#All],12,0)</f>
        <v>192</v>
      </c>
      <c r="Y91" s="9">
        <f t="shared" ref="Y91" si="189">IF(OR(X91="",X91="-"),"-",X91*$M91*SQRT(3)/1000)</f>
        <v>3.6913799364662974</v>
      </c>
      <c r="Z91" s="9" t="s">
        <v>0</v>
      </c>
      <c r="AA91" s="9" t="str">
        <f t="shared" ref="AA91" si="190">IF(OR(Z91="",Z91="-"),"-",Z91*$M91*SQRT(3)/1000)</f>
        <v>-</v>
      </c>
      <c r="AB91" s="9" t="s">
        <v>0</v>
      </c>
      <c r="AC91" s="9" t="str">
        <f t="shared" ref="AC91" si="191">IF(OR(AB91="",AB91="-"),"-",AB91*$M91*SQRT(3)/1000)</f>
        <v>-</v>
      </c>
      <c r="AD91" s="9">
        <v>400</v>
      </c>
      <c r="AE91" s="12">
        <f t="shared" ref="AE91" si="192">IF(OR(AD91="",AD91="-"),"-",AD91*$M91*SQRT(3)/1000)</f>
        <v>7.6903748676381189</v>
      </c>
      <c r="AF91" s="29" t="s">
        <v>0</v>
      </c>
      <c r="AG91" s="29" t="s">
        <v>0</v>
      </c>
      <c r="AH91" s="9" t="s">
        <v>0</v>
      </c>
      <c r="AI91" s="29" t="s">
        <v>0</v>
      </c>
      <c r="AJ91" s="32" t="s">
        <v>0</v>
      </c>
      <c r="AK91" s="29" t="s">
        <v>0</v>
      </c>
      <c r="AL91" s="32" t="s">
        <v>0</v>
      </c>
      <c r="AM91" s="29" t="s">
        <v>0</v>
      </c>
      <c r="AN91" s="32" t="s">
        <v>0</v>
      </c>
      <c r="AO91" s="29" t="s">
        <v>0</v>
      </c>
      <c r="AP91" s="32" t="s">
        <v>0</v>
      </c>
      <c r="AQ91" s="32" t="s">
        <v>0</v>
      </c>
      <c r="AR91" s="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91" s="9" t="str">
        <f t="shared" ref="AS91" si="193">IF(OR(AR91="",AR91="-"),"-",AR91*$M91*SQRT(3)/1000)</f>
        <v>-</v>
      </c>
      <c r="AT91" s="9">
        <f>IF(RIGHT(ABY[[#This Row],[Device type]],7)="Winding","-",ABY[[#This Row],[Cont Winter MVA]])</f>
        <v>12.112340416530037</v>
      </c>
      <c r="AU91" s="9">
        <f>IF(RIGHT(ABY[[#This Row],[Device type]],7)="Winding","-",ABY[[#This Row],[Cont Shoulder MVA]])</f>
        <v>12.112340416530037</v>
      </c>
      <c r="AV91" s="9">
        <f>IF(RIGHT(ABY[[#This Row],[Device type]],7)="Winding","-",ABY[[#This Row],[Cont Summer MVA]])</f>
        <v>12.112340416530037</v>
      </c>
      <c r="AW91" s="9" t="str">
        <f>IF(RIGHT(ABY[[#This Row],[Device type]],7)="Winding","-",ABY[[#This Row],[24 Hr Winter MVA]])</f>
        <v>-</v>
      </c>
      <c r="AX91" s="9" t="str">
        <f>IF(RIGHT(ABY[[#This Row],[Device type]],7)="Winding","-",ABY[[#This Row],[24 Hr Summer MVA]])</f>
        <v>-</v>
      </c>
      <c r="AY91" s="9">
        <f>ABY[[#This Row],[Forwards MVA]]</f>
        <v>3.6913799364662974</v>
      </c>
      <c r="AZ91" s="9" t="str">
        <f>ABY[[#This Row],[Relay MVA]]</f>
        <v>-</v>
      </c>
      <c r="BA91" s="9">
        <f>ABY[[#This Row],[CT MVA]]</f>
        <v>7.6903748676381189</v>
      </c>
      <c r="BB91" s="9" t="str">
        <f>ABY[[#This Row],[Derating MVA]]</f>
        <v>-</v>
      </c>
      <c r="BC91" s="9" t="str">
        <f>ABY[[#This Row],[Station/Feeder]]&amp;ABY[[#This Row],[Lowest MVA]]</f>
        <v>F383_Fairlie Township3.6913799364663</v>
      </c>
      <c r="BD91" s="9" t="str">
        <f>CONCATENATE(ABY[[#This Row],[Supply Level]],ABY[[#This Row],[Station/Feeder]],ABY[[#This Row],[Voltage]],ABY[[#This Row],[Lowest A-No PTX]])</f>
        <v>DistributionFeederF383_Fairlie Township11.1001192</v>
      </c>
      <c r="BE91" s="9" t="str">
        <f>CONCATENATE(ABY[[#This Row],[Supply Level]],ABY[[#This Row],[Station/Feeder]],ABY[[#This Row],[Voltage]],ABY[[#This Row],[Lowest A-PTX]])</f>
        <v>DistributionFeederF383_Fairlie Township11.1001192</v>
      </c>
      <c r="BF91" s="9">
        <f>IF(MIN(ABY[[#This Row],[Summ Cont Winter A]:[Cable Derating]])=0,"",MIN(ABY[[#This Row],[Summ Cont Winter A]:[Cable Derating]]))</f>
        <v>3.6913799364662974</v>
      </c>
      <c r="BG91" s="57">
        <f>IFERROR(ABY[[#This Row],[Lowest MVA]]*1000/(ABY[[#This Row],[Voltage]]*SQRT(3)),"")</f>
        <v>192.00000000000003</v>
      </c>
      <c r="BH91" s="57">
        <f t="shared" si="132"/>
        <v>192</v>
      </c>
      <c r="BI91" s="9" t="str">
        <f>ABY[[#This Row],[From]]</f>
        <v>F383</v>
      </c>
      <c r="BJ91" s="9" t="str">
        <f>ABY[[#This Row],[To]]</f>
        <v>Pole 15305</v>
      </c>
      <c r="BK91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Circuit Breaker-FLE-F383-Protection</v>
      </c>
      <c r="BL91" s="9">
        <f>ABY[[#This Row],[Voltage]]</f>
        <v>11.100100000000001</v>
      </c>
    </row>
    <row r="92" spans="1:64" s="1" customFormat="1" ht="15" hidden="1" customHeight="1" x14ac:dyDescent="0.25">
      <c r="A92" s="353" t="str">
        <f>CONCATENATE(ABY[[#This Row],[Supply Level]],ABY[[#This Row],[Station/Feeder]],ABY[[#This Row],[Voltage]])</f>
        <v>DistributionFeederF383_Fairlie Township11.1001</v>
      </c>
      <c r="B92" s="353" t="str">
        <f>CONCATENATE(ABY[[#This Row],[Supply Level]],ABY[[#This Row],[Station/Feeder]],ABY[[#This Row],[Equipment ID]],ABY[[#This Row],[Voltage]],ABY[[#This Row],[Device type]])</f>
        <v>DistributionFeederF383_Fairlie Township3-1c 185 mm² AL XLPE11.1001-</v>
      </c>
      <c r="C92" s="6" t="s">
        <v>1276</v>
      </c>
      <c r="D92" s="11" t="s">
        <v>180</v>
      </c>
      <c r="E92" s="46" t="s">
        <v>356</v>
      </c>
      <c r="F92" s="46" t="s">
        <v>363</v>
      </c>
      <c r="G92" s="57">
        <v>2</v>
      </c>
      <c r="H92" s="46" t="s">
        <v>276</v>
      </c>
      <c r="I92" s="46" t="s">
        <v>561</v>
      </c>
      <c r="J92" s="46" t="s">
        <v>250</v>
      </c>
      <c r="K92" s="46" t="s">
        <v>0</v>
      </c>
      <c r="L92" s="46" t="s">
        <v>0</v>
      </c>
      <c r="M92" s="57">
        <f t="shared" si="153"/>
        <v>11.100100000000001</v>
      </c>
      <c r="N92" s="9">
        <v>362</v>
      </c>
      <c r="O92" s="9">
        <f t="shared" ref="O92:O94" si="194">IF(OR(N92="",N92="-"),"-",N92*$M92*SQRT(3)/1000)</f>
        <v>6.9597892552124971</v>
      </c>
      <c r="P92" s="9">
        <v>362</v>
      </c>
      <c r="Q92" s="9">
        <f t="shared" ref="Q92:Q94" si="195">IF(OR(P92="",P92="-"),"-",P92*$M92*SQRT(3)/1000)</f>
        <v>6.9597892552124971</v>
      </c>
      <c r="R92" s="9">
        <v>362</v>
      </c>
      <c r="S92" s="9">
        <f t="shared" ref="S92:S94" si="196">IF(OR(R92="",R92="-"),"-",R92*$M92*SQRT(3)/1000)</f>
        <v>6.9597892552124971</v>
      </c>
      <c r="T92" s="9" t="s">
        <v>0</v>
      </c>
      <c r="U92" s="9" t="str">
        <f t="shared" ref="U92:U93" si="197">IF(OR(T92="",T92="-"),"-",T92*$M92*SQRT(3)/1000)</f>
        <v>-</v>
      </c>
      <c r="V92" s="9" t="s">
        <v>0</v>
      </c>
      <c r="W92" s="9" t="str">
        <f t="shared" ref="W92:W93" si="198">IF(OR(V92="",V92="-"),"-",V92*$M92*SQRT(3)/1000)</f>
        <v>-</v>
      </c>
      <c r="X92" s="9" t="s">
        <v>0</v>
      </c>
      <c r="Y92" s="9" t="str">
        <f t="shared" ref="Y92:Y93" si="199">IF(OR(X92="",X92="-"),"-",X92*$M92*SQRT(3)/1000)</f>
        <v>-</v>
      </c>
      <c r="Z92" s="9" t="s">
        <v>0</v>
      </c>
      <c r="AA92" s="9" t="str">
        <f t="shared" ref="AA92:AA93" si="200">IF(OR(Z92="",Z92="-"),"-",Z92*$M92*SQRT(3)/1000)</f>
        <v>-</v>
      </c>
      <c r="AB92" s="9" t="s">
        <v>0</v>
      </c>
      <c r="AC92" s="9" t="str">
        <f t="shared" ref="AC92:AC93" si="201">IF(OR(AB92="",AB92="-"),"-",AB92*$M92*SQRT(3)/1000)</f>
        <v>-</v>
      </c>
      <c r="AD92" s="9" t="s">
        <v>0</v>
      </c>
      <c r="AE92" s="12" t="str">
        <f t="shared" ref="AE92:AE93" si="202">IF(OR(AD92="",AD92="-"),"-",AD92*$M92*SQRT(3)/1000)</f>
        <v>-</v>
      </c>
      <c r="AF92" s="29">
        <v>1</v>
      </c>
      <c r="AG92" s="29" t="s">
        <v>265</v>
      </c>
      <c r="AH92" s="29">
        <v>67.5</v>
      </c>
      <c r="AI92" s="29">
        <v>1.25</v>
      </c>
      <c r="AJ92" s="32">
        <v>0.96</v>
      </c>
      <c r="AK92" s="29">
        <v>15</v>
      </c>
      <c r="AL92" s="32">
        <v>1</v>
      </c>
      <c r="AM92" s="29">
        <v>1.2</v>
      </c>
      <c r="AN92" s="32">
        <v>1</v>
      </c>
      <c r="AO92" s="29">
        <v>3</v>
      </c>
      <c r="AP92" s="29">
        <v>0.45</v>
      </c>
      <c r="AQ92" s="32">
        <v>0.8</v>
      </c>
      <c r="AR92" s="29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278.01600000000002</v>
      </c>
      <c r="AS92" s="9">
        <f t="shared" ref="AS92:AS93" si="203">IF(OR(AR92="",AR92="-"),"-",AR92*$M92*SQRT(3)/1000)</f>
        <v>5.3451181480031984</v>
      </c>
      <c r="AT92" s="9">
        <f>IF(RIGHT(ABY[[#This Row],[Device type]],7)="Winding","-",ABY[[#This Row],[Cont Winter MVA]])</f>
        <v>6.9597892552124971</v>
      </c>
      <c r="AU92" s="9">
        <f>IF(RIGHT(ABY[[#This Row],[Device type]],7)="Winding","-",ABY[[#This Row],[Cont Shoulder MVA]])</f>
        <v>6.9597892552124971</v>
      </c>
      <c r="AV92" s="9">
        <f>IF(RIGHT(ABY[[#This Row],[Device type]],7)="Winding","-",ABY[[#This Row],[Cont Summer MVA]])</f>
        <v>6.9597892552124971</v>
      </c>
      <c r="AW92" s="9" t="str">
        <f>IF(RIGHT(ABY[[#This Row],[Device type]],7)="Winding","-",ABY[[#This Row],[24 Hr Winter MVA]])</f>
        <v>-</v>
      </c>
      <c r="AX92" s="9" t="str">
        <f>IF(RIGHT(ABY[[#This Row],[Device type]],7)="Winding","-",ABY[[#This Row],[24 Hr Summer MVA]])</f>
        <v>-</v>
      </c>
      <c r="AY92" s="9" t="str">
        <f>ABY[[#This Row],[Forwards MVA]]</f>
        <v>-</v>
      </c>
      <c r="AZ92" s="9" t="str">
        <f>ABY[[#This Row],[Relay MVA]]</f>
        <v>-</v>
      </c>
      <c r="BA92" s="9" t="str">
        <f>ABY[[#This Row],[CT MVA]]</f>
        <v>-</v>
      </c>
      <c r="BB92" s="9">
        <f>ABY[[#This Row],[Derating MVA]]</f>
        <v>5.3451181480031984</v>
      </c>
      <c r="BC92" s="9" t="str">
        <f>ABY[[#This Row],[Station/Feeder]]&amp;ABY[[#This Row],[Lowest MVA]]</f>
        <v>F383_Fairlie Township5.3451181480032</v>
      </c>
      <c r="BD92" s="9" t="str">
        <f>CONCATENATE(ABY[[#This Row],[Supply Level]],ABY[[#This Row],[Station/Feeder]],ABY[[#This Row],[Voltage]],ABY[[#This Row],[Lowest A-No PTX]])</f>
        <v>DistributionFeederF383_Fairlie Township11.1001278.016</v>
      </c>
      <c r="BE92" s="9" t="str">
        <f>CONCATENATE(ABY[[#This Row],[Supply Level]],ABY[[#This Row],[Station/Feeder]],ABY[[#This Row],[Voltage]],ABY[[#This Row],[Lowest A-PTX]])</f>
        <v>DistributionFeederF383_Fairlie Township11.1001278.016</v>
      </c>
      <c r="BF92" s="9">
        <f>IF(MIN(ABY[[#This Row],[Summ Cont Winter A]:[Cable Derating]])=0,"",MIN(ABY[[#This Row],[Summ Cont Winter A]:[Cable Derating]]))</f>
        <v>5.3451181480031984</v>
      </c>
      <c r="BG92" s="57">
        <f>IFERROR(ABY[[#This Row],[Lowest MVA]]*1000/(ABY[[#This Row],[Voltage]]*SQRT(3)),"")</f>
        <v>278.01600000000002</v>
      </c>
      <c r="BH92" s="57">
        <f t="shared" si="132"/>
        <v>278.01600000000002</v>
      </c>
      <c r="BI92" s="9" t="str">
        <f>ABY[[#This Row],[From]]</f>
        <v>F383</v>
      </c>
      <c r="BJ92" s="9" t="str">
        <f>ABY[[#This Row],[To]]</f>
        <v>Pole 15305</v>
      </c>
      <c r="BK92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Cable-3-1c 185 mm² AL XLPE</v>
      </c>
      <c r="BL92" s="9">
        <f>ABY[[#This Row],[Voltage]]</f>
        <v>11.100100000000001</v>
      </c>
    </row>
    <row r="93" spans="1:64" s="1" customFormat="1" ht="15" hidden="1" customHeight="1" x14ac:dyDescent="0.25">
      <c r="A93" s="353" t="str">
        <f>CONCATENATE(ABY[[#This Row],[Supply Level]],ABY[[#This Row],[Station/Feeder]],ABY[[#This Row],[Voltage]])</f>
        <v>DistributionFeederF383_Fairlie Township11.1001</v>
      </c>
      <c r="B93" s="353" t="str">
        <f>CONCATENATE(ABY[[#This Row],[Supply Level]],ABY[[#This Row],[Station/Feeder]],ABY[[#This Row],[Equipment ID]],ABY[[#This Row],[Voltage]],ABY[[#This Row],[Device type]])</f>
        <v>DistributionFeederF383_Fairlie TownshipF37011.1001-</v>
      </c>
      <c r="C93" s="6" t="s">
        <v>1276</v>
      </c>
      <c r="D93" s="11" t="s">
        <v>180</v>
      </c>
      <c r="E93" s="46" t="s">
        <v>356</v>
      </c>
      <c r="F93" s="46" t="s">
        <v>363</v>
      </c>
      <c r="G93" s="57">
        <v>3</v>
      </c>
      <c r="H93" s="46" t="s">
        <v>273</v>
      </c>
      <c r="I93" s="46" t="s">
        <v>361</v>
      </c>
      <c r="J93" s="46" t="s">
        <v>240</v>
      </c>
      <c r="K93" s="46" t="s">
        <v>0</v>
      </c>
      <c r="L93" s="46" t="s">
        <v>0</v>
      </c>
      <c r="M93" s="57">
        <f t="shared" si="153"/>
        <v>11.100100000000001</v>
      </c>
      <c r="N93" s="9">
        <v>300</v>
      </c>
      <c r="O93" s="9">
        <f t="shared" si="194"/>
        <v>5.767781150728589</v>
      </c>
      <c r="P93" s="9">
        <v>300</v>
      </c>
      <c r="Q93" s="9">
        <f t="shared" si="195"/>
        <v>5.767781150728589</v>
      </c>
      <c r="R93" s="9">
        <v>300</v>
      </c>
      <c r="S93" s="9">
        <f t="shared" si="196"/>
        <v>5.767781150728589</v>
      </c>
      <c r="T93" s="9" t="s">
        <v>0</v>
      </c>
      <c r="U93" s="9" t="str">
        <f t="shared" si="197"/>
        <v>-</v>
      </c>
      <c r="V93" s="9" t="s">
        <v>0</v>
      </c>
      <c r="W93" s="9" t="str">
        <f t="shared" si="198"/>
        <v>-</v>
      </c>
      <c r="X93" s="9" t="s">
        <v>0</v>
      </c>
      <c r="Y93" s="9" t="str">
        <f t="shared" si="199"/>
        <v>-</v>
      </c>
      <c r="Z93" s="9" t="s">
        <v>0</v>
      </c>
      <c r="AA93" s="9" t="str">
        <f t="shared" si="200"/>
        <v>-</v>
      </c>
      <c r="AB93" s="9" t="s">
        <v>0</v>
      </c>
      <c r="AC93" s="9" t="str">
        <f t="shared" si="201"/>
        <v>-</v>
      </c>
      <c r="AD93" s="9" t="s">
        <v>0</v>
      </c>
      <c r="AE93" s="12" t="str">
        <f t="shared" si="202"/>
        <v>-</v>
      </c>
      <c r="AF93" s="29" t="s">
        <v>0</v>
      </c>
      <c r="AG93" s="29" t="s">
        <v>0</v>
      </c>
      <c r="AH93" s="9" t="s">
        <v>0</v>
      </c>
      <c r="AI93" s="29" t="s">
        <v>0</v>
      </c>
      <c r="AJ93" s="32" t="s">
        <v>0</v>
      </c>
      <c r="AK93" s="29" t="s">
        <v>0</v>
      </c>
      <c r="AL93" s="32" t="s">
        <v>0</v>
      </c>
      <c r="AM93" s="29" t="s">
        <v>0</v>
      </c>
      <c r="AN93" s="32" t="s">
        <v>0</v>
      </c>
      <c r="AO93" s="29" t="s">
        <v>0</v>
      </c>
      <c r="AP93" s="32" t="s">
        <v>0</v>
      </c>
      <c r="AQ93" s="32" t="s">
        <v>0</v>
      </c>
      <c r="AR93" s="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93" s="9" t="str">
        <f t="shared" si="203"/>
        <v>-</v>
      </c>
      <c r="AT93" s="9">
        <f>IF(RIGHT(ABY[[#This Row],[Device type]],7)="Winding","-",ABY[[#This Row],[Cont Winter MVA]])</f>
        <v>5.767781150728589</v>
      </c>
      <c r="AU93" s="9">
        <f>IF(RIGHT(ABY[[#This Row],[Device type]],7)="Winding","-",ABY[[#This Row],[Cont Shoulder MVA]])</f>
        <v>5.767781150728589</v>
      </c>
      <c r="AV93" s="9">
        <f>IF(RIGHT(ABY[[#This Row],[Device type]],7)="Winding","-",ABY[[#This Row],[Cont Summer MVA]])</f>
        <v>5.767781150728589</v>
      </c>
      <c r="AW93" s="9" t="str">
        <f>IF(RIGHT(ABY[[#This Row],[Device type]],7)="Winding","-",ABY[[#This Row],[24 Hr Winter MVA]])</f>
        <v>-</v>
      </c>
      <c r="AX93" s="9" t="str">
        <f>IF(RIGHT(ABY[[#This Row],[Device type]],7)="Winding","-",ABY[[#This Row],[24 Hr Summer MVA]])</f>
        <v>-</v>
      </c>
      <c r="AY93" s="9" t="str">
        <f>ABY[[#This Row],[Forwards MVA]]</f>
        <v>-</v>
      </c>
      <c r="AZ93" s="9" t="str">
        <f>ABY[[#This Row],[Relay MVA]]</f>
        <v>-</v>
      </c>
      <c r="BA93" s="9" t="str">
        <f>ABY[[#This Row],[CT MVA]]</f>
        <v>-</v>
      </c>
      <c r="BB93" s="9" t="str">
        <f>ABY[[#This Row],[Derating MVA]]</f>
        <v>-</v>
      </c>
      <c r="BC93" s="9" t="str">
        <f>ABY[[#This Row],[Station/Feeder]]&amp;ABY[[#This Row],[Lowest MVA]]</f>
        <v>F383_Fairlie Township5.76778115072859</v>
      </c>
      <c r="BD93" s="9" t="str">
        <f>CONCATENATE(ABY[[#This Row],[Supply Level]],ABY[[#This Row],[Station/Feeder]],ABY[[#This Row],[Voltage]],ABY[[#This Row],[Lowest A-No PTX]])</f>
        <v>DistributionFeederF383_Fairlie Township11.1001300</v>
      </c>
      <c r="BE93" s="9" t="str">
        <f>CONCATENATE(ABY[[#This Row],[Supply Level]],ABY[[#This Row],[Station/Feeder]],ABY[[#This Row],[Voltage]],ABY[[#This Row],[Lowest A-PTX]])</f>
        <v>DistributionFeederF383_Fairlie Township11.1001300</v>
      </c>
      <c r="BF93" s="9">
        <f>IF(MIN(ABY[[#This Row],[Summ Cont Winter A]:[Cable Derating]])=0,"",MIN(ABY[[#This Row],[Summ Cont Winter A]:[Cable Derating]]))</f>
        <v>5.767781150728589</v>
      </c>
      <c r="BG93" s="57">
        <f>IFERROR(ABY[[#This Row],[Lowest MVA]]*1000/(ABY[[#This Row],[Voltage]]*SQRT(3)),"")</f>
        <v>300</v>
      </c>
      <c r="BH93" s="57">
        <f t="shared" si="132"/>
        <v>300</v>
      </c>
      <c r="BI93" s="9" t="str">
        <f>ABY[[#This Row],[From]]</f>
        <v>F383</v>
      </c>
      <c r="BJ93" s="9" t="str">
        <f>ABY[[#This Row],[To]]</f>
        <v>Pole 15305</v>
      </c>
      <c r="BK93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ABS-F370</v>
      </c>
      <c r="BL93" s="9">
        <f>ABY[[#This Row],[Voltage]]</f>
        <v>11.100100000000001</v>
      </c>
    </row>
    <row r="94" spans="1:64" s="1" customFormat="1" ht="15" hidden="1" customHeight="1" x14ac:dyDescent="0.25">
      <c r="A94" s="353" t="str">
        <f>CONCATENATE(ABY[[#This Row],[Supply Level]],ABY[[#This Row],[Station/Feeder]],ABY[[#This Row],[Voltage]])</f>
        <v>DistributionFeederF383_Fairlie Township11.1001</v>
      </c>
      <c r="B94" s="353" t="str">
        <f>CONCATENATE(ABY[[#This Row],[Supply Level]],ABY[[#This Row],[Station/Feeder]],ABY[[#This Row],[Equipment ID]],ABY[[#This Row],[Voltage]],ABY[[#This Row],[Device type]])</f>
        <v>DistributionFeederF383_Fairlie Township19/14 Cu11.1001-</v>
      </c>
      <c r="C94" s="6" t="s">
        <v>1276</v>
      </c>
      <c r="D94" s="11" t="s">
        <v>180</v>
      </c>
      <c r="E94" s="46" t="s">
        <v>356</v>
      </c>
      <c r="F94" s="46" t="s">
        <v>363</v>
      </c>
      <c r="G94" s="57">
        <v>4</v>
      </c>
      <c r="H94" s="46" t="s">
        <v>1289</v>
      </c>
      <c r="I94" s="46" t="s">
        <v>319</v>
      </c>
      <c r="J94" s="46" t="s">
        <v>69</v>
      </c>
      <c r="K94" s="46" t="s">
        <v>0</v>
      </c>
      <c r="L94" s="46" t="s">
        <v>0</v>
      </c>
      <c r="M94" s="57">
        <f t="shared" si="153"/>
        <v>11.100100000000001</v>
      </c>
      <c r="N94" s="9">
        <v>321</v>
      </c>
      <c r="O94" s="9">
        <f t="shared" si="194"/>
        <v>6.1715258312795891</v>
      </c>
      <c r="P94" s="9" t="s">
        <v>0</v>
      </c>
      <c r="Q94" s="9" t="str">
        <f t="shared" si="195"/>
        <v>-</v>
      </c>
      <c r="R94" s="9">
        <v>241.6124594654155</v>
      </c>
      <c r="S94" s="9">
        <f t="shared" si="196"/>
        <v>4.6452259649526626</v>
      </c>
      <c r="T94" s="9" t="s">
        <v>0</v>
      </c>
      <c r="U94" s="9" t="str">
        <f t="shared" si="3"/>
        <v>-</v>
      </c>
      <c r="V94" s="9" t="s">
        <v>0</v>
      </c>
      <c r="W94" s="9" t="str">
        <f t="shared" si="4"/>
        <v>-</v>
      </c>
      <c r="X94" s="9" t="s">
        <v>0</v>
      </c>
      <c r="Y94" s="9" t="str">
        <f t="shared" si="5"/>
        <v>-</v>
      </c>
      <c r="Z94" s="9" t="s">
        <v>0</v>
      </c>
      <c r="AA94" s="9" t="str">
        <f t="shared" si="6"/>
        <v>-</v>
      </c>
      <c r="AB94" s="9" t="s">
        <v>0</v>
      </c>
      <c r="AC94" s="9" t="str">
        <f t="shared" si="7"/>
        <v>-</v>
      </c>
      <c r="AD94" s="9" t="s">
        <v>0</v>
      </c>
      <c r="AE94" s="12" t="str">
        <f t="shared" si="8"/>
        <v>-</v>
      </c>
      <c r="AF94" s="29" t="s">
        <v>0</v>
      </c>
      <c r="AG94" s="29" t="s">
        <v>0</v>
      </c>
      <c r="AH94" s="29">
        <v>14.67</v>
      </c>
      <c r="AI94" s="29" t="s">
        <v>0</v>
      </c>
      <c r="AJ94" s="32" t="s">
        <v>0</v>
      </c>
      <c r="AK94" s="29" t="s">
        <v>0</v>
      </c>
      <c r="AL94" s="32" t="s">
        <v>0</v>
      </c>
      <c r="AM94" s="29" t="s">
        <v>0</v>
      </c>
      <c r="AN94" s="32" t="s">
        <v>0</v>
      </c>
      <c r="AO94" s="29" t="s">
        <v>0</v>
      </c>
      <c r="AP94" s="29" t="s">
        <v>0</v>
      </c>
      <c r="AQ94" s="32" t="s">
        <v>0</v>
      </c>
      <c r="AR94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94" s="9" t="str">
        <f t="shared" si="9"/>
        <v>-</v>
      </c>
      <c r="AT94" s="9">
        <f>IF(RIGHT(ABY[[#This Row],[Device type]],7)="Winding","-",ABY[[#This Row],[Cont Winter MVA]])</f>
        <v>6.1715258312795891</v>
      </c>
      <c r="AU94" s="9" t="str">
        <f>IF(RIGHT(ABY[[#This Row],[Device type]],7)="Winding","-",ABY[[#This Row],[Cont Shoulder MVA]])</f>
        <v>-</v>
      </c>
      <c r="AV94" s="9">
        <f>IF(RIGHT(ABY[[#This Row],[Device type]],7)="Winding","-",ABY[[#This Row],[Cont Summer MVA]])</f>
        <v>4.6452259649526626</v>
      </c>
      <c r="AW94" s="9" t="str">
        <f>IF(RIGHT(ABY[[#This Row],[Device type]],7)="Winding","-",ABY[[#This Row],[24 Hr Winter MVA]])</f>
        <v>-</v>
      </c>
      <c r="AX94" s="9" t="str">
        <f>IF(RIGHT(ABY[[#This Row],[Device type]],7)="Winding","-",ABY[[#This Row],[24 Hr Summer MVA]])</f>
        <v>-</v>
      </c>
      <c r="AY94" s="9" t="str">
        <f>ABY[[#This Row],[Forwards MVA]]</f>
        <v>-</v>
      </c>
      <c r="AZ94" s="9" t="str">
        <f>ABY[[#This Row],[Relay MVA]]</f>
        <v>-</v>
      </c>
      <c r="BA94" s="9" t="str">
        <f>ABY[[#This Row],[CT MVA]]</f>
        <v>-</v>
      </c>
      <c r="BB94" s="9" t="str">
        <f>ABY[[#This Row],[Derating MVA]]</f>
        <v>-</v>
      </c>
      <c r="BC94" s="9" t="str">
        <f>ABY[[#This Row],[Station/Feeder]]&amp;ABY[[#This Row],[Lowest MVA]]</f>
        <v>F383_Fairlie Township4.64522596495266</v>
      </c>
      <c r="BD94" s="9" t="str">
        <f>CONCATENATE(ABY[[#This Row],[Supply Level]],ABY[[#This Row],[Station/Feeder]],ABY[[#This Row],[Voltage]],ABY[[#This Row],[Lowest A-No PTX]])</f>
        <v>DistributionFeederF383_Fairlie Township11.1001241.612459465415</v>
      </c>
      <c r="BE94" s="9" t="str">
        <f>CONCATENATE(ABY[[#This Row],[Supply Level]],ABY[[#This Row],[Station/Feeder]],ABY[[#This Row],[Voltage]],ABY[[#This Row],[Lowest A-PTX]])</f>
        <v>DistributionFeederF383_Fairlie Township11.1001241.612459465415</v>
      </c>
      <c r="BF94" s="9">
        <f>IF(MIN(ABY[[#This Row],[Summ Cont Winter A]:[Cable Derating]])=0,"",MIN(ABY[[#This Row],[Summ Cont Winter A]:[Cable Derating]]))</f>
        <v>4.6452259649526626</v>
      </c>
      <c r="BG94" s="57">
        <f>IFERROR(ABY[[#This Row],[Lowest MVA]]*1000/(ABY[[#This Row],[Voltage]]*SQRT(3)),"")</f>
        <v>241.6124594654155</v>
      </c>
      <c r="BH94" s="57">
        <f t="shared" si="132"/>
        <v>241.6124594654155</v>
      </c>
      <c r="BI94" s="9" t="str">
        <f>ABY[[#This Row],[From]]</f>
        <v>F383</v>
      </c>
      <c r="BJ94" s="9" t="str">
        <f>ABY[[#This Row],[To]]</f>
        <v>Pole 15305</v>
      </c>
      <c r="BK94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Line-19/14 Cu</v>
      </c>
      <c r="BL94" s="9">
        <f>ABY[[#This Row],[Voltage]]</f>
        <v>11.100100000000001</v>
      </c>
    </row>
    <row r="95" spans="1:64" s="1" customFormat="1" ht="15" hidden="1" customHeight="1" x14ac:dyDescent="0.25">
      <c r="A95" s="353" t="str">
        <f>CONCATENATE(ABY[[#This Row],[Supply Level]],ABY[[#This Row],[Station/Feeder]],ABY[[#This Row],[Voltage]])</f>
        <v>DistributionFeederF383_Fairlie Township11.1001</v>
      </c>
      <c r="B95" s="353" t="str">
        <f>CONCATENATE(ABY[[#This Row],[Supply Level]],ABY[[#This Row],[Station/Feeder]],ABY[[#This Row],[Equipment ID]],ABY[[#This Row],[Voltage]],ABY[[#This Row],[Device type]])</f>
        <v>DistributionFeederF383_Fairlie TownshipF26311.1001-</v>
      </c>
      <c r="C95" s="6" t="s">
        <v>1276</v>
      </c>
      <c r="D95" s="11" t="s">
        <v>180</v>
      </c>
      <c r="E95" s="46" t="s">
        <v>356</v>
      </c>
      <c r="F95" s="46" t="s">
        <v>363</v>
      </c>
      <c r="G95" s="57">
        <v>5</v>
      </c>
      <c r="H95" s="46" t="s">
        <v>0</v>
      </c>
      <c r="I95" s="46" t="s">
        <v>362</v>
      </c>
      <c r="J95" s="46" t="s">
        <v>240</v>
      </c>
      <c r="K95" s="46" t="s">
        <v>0</v>
      </c>
      <c r="L95" s="46" t="s">
        <v>0</v>
      </c>
      <c r="M95" s="57">
        <f t="shared" si="153"/>
        <v>11.100100000000001</v>
      </c>
      <c r="N95" s="9">
        <v>600</v>
      </c>
      <c r="O95" s="9">
        <f t="shared" ref="O95:O96" si="204">IF(OR(N95="",N95="-"),"-",N95*$M95*SQRT(3)/1000)</f>
        <v>11.535562301457178</v>
      </c>
      <c r="P95" s="9" t="s">
        <v>0</v>
      </c>
      <c r="Q95" s="9" t="str">
        <f t="shared" ref="Q95:Q96" si="205">IF(OR(P95="",P95="-"),"-",P95*$M95*SQRT(3)/1000)</f>
        <v>-</v>
      </c>
      <c r="R95" s="9">
        <v>241.6124594654155</v>
      </c>
      <c r="S95" s="9">
        <f t="shared" ref="S95:S96" si="206">IF(OR(R95="",R95="-"),"-",R95*$M95*SQRT(3)/1000)</f>
        <v>4.6452259649526626</v>
      </c>
      <c r="T95" s="9" t="s">
        <v>0</v>
      </c>
      <c r="U95" s="9" t="str">
        <f t="shared" ref="U95:U96" si="207">IF(OR(T95="",T95="-"),"-",T95*$M95*SQRT(3)/1000)</f>
        <v>-</v>
      </c>
      <c r="V95" s="9" t="s">
        <v>0</v>
      </c>
      <c r="W95" s="9" t="str">
        <f t="shared" ref="W95:W96" si="208">IF(OR(V95="",V95="-"),"-",V95*$M95*SQRT(3)/1000)</f>
        <v>-</v>
      </c>
      <c r="X95" s="9" t="s">
        <v>0</v>
      </c>
      <c r="Y95" s="9" t="str">
        <f t="shared" ref="Y95:Y96" si="209">IF(OR(X95="",X95="-"),"-",X95*$M95*SQRT(3)/1000)</f>
        <v>-</v>
      </c>
      <c r="Z95" s="9" t="s">
        <v>0</v>
      </c>
      <c r="AA95" s="9" t="str">
        <f t="shared" ref="AA95:AA96" si="210">IF(OR(Z95="",Z95="-"),"-",Z95*$M95*SQRT(3)/1000)</f>
        <v>-</v>
      </c>
      <c r="AB95" s="9" t="s">
        <v>0</v>
      </c>
      <c r="AC95" s="9" t="str">
        <f t="shared" ref="AC95:AC96" si="211">IF(OR(AB95="",AB95="-"),"-",AB95*$M95*SQRT(3)/1000)</f>
        <v>-</v>
      </c>
      <c r="AD95" s="9" t="s">
        <v>0</v>
      </c>
      <c r="AE95" s="12" t="str">
        <f t="shared" ref="AE95:AE96" si="212">IF(OR(AD95="",AD95="-"),"-",AD95*$M95*SQRT(3)/1000)</f>
        <v>-</v>
      </c>
      <c r="AF95" s="29" t="s">
        <v>0</v>
      </c>
      <c r="AG95" s="29" t="s">
        <v>0</v>
      </c>
      <c r="AH95" s="29" t="s">
        <v>0</v>
      </c>
      <c r="AI95" s="29" t="s">
        <v>0</v>
      </c>
      <c r="AJ95" s="32" t="s">
        <v>0</v>
      </c>
      <c r="AK95" s="29" t="s">
        <v>0</v>
      </c>
      <c r="AL95" s="32" t="s">
        <v>0</v>
      </c>
      <c r="AM95" s="29" t="s">
        <v>0</v>
      </c>
      <c r="AN95" s="32" t="s">
        <v>0</v>
      </c>
      <c r="AO95" s="29" t="s">
        <v>0</v>
      </c>
      <c r="AP95" s="29" t="s">
        <v>0</v>
      </c>
      <c r="AQ95" s="32" t="s">
        <v>0</v>
      </c>
      <c r="AR95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95" s="9" t="str">
        <f t="shared" ref="AS95:AS96" si="213">IF(OR(AR95="",AR95="-"),"-",AR95*$M95*SQRT(3)/1000)</f>
        <v>-</v>
      </c>
      <c r="AT95" s="9">
        <f>IF(RIGHT(ABY[[#This Row],[Device type]],7)="Winding","-",ABY[[#This Row],[Cont Winter MVA]])</f>
        <v>11.535562301457178</v>
      </c>
      <c r="AU95" s="9" t="str">
        <f>IF(RIGHT(ABY[[#This Row],[Device type]],7)="Winding","-",ABY[[#This Row],[Cont Shoulder MVA]])</f>
        <v>-</v>
      </c>
      <c r="AV95" s="9">
        <f>IF(RIGHT(ABY[[#This Row],[Device type]],7)="Winding","-",ABY[[#This Row],[Cont Summer MVA]])</f>
        <v>4.6452259649526626</v>
      </c>
      <c r="AW95" s="9" t="str">
        <f>IF(RIGHT(ABY[[#This Row],[Device type]],7)="Winding","-",ABY[[#This Row],[24 Hr Winter MVA]])</f>
        <v>-</v>
      </c>
      <c r="AX95" s="9" t="str">
        <f>IF(RIGHT(ABY[[#This Row],[Device type]],7)="Winding","-",ABY[[#This Row],[24 Hr Summer MVA]])</f>
        <v>-</v>
      </c>
      <c r="AY95" s="9" t="str">
        <f>ABY[[#This Row],[Forwards MVA]]</f>
        <v>-</v>
      </c>
      <c r="AZ95" s="9" t="str">
        <f>ABY[[#This Row],[Relay MVA]]</f>
        <v>-</v>
      </c>
      <c r="BA95" s="9" t="str">
        <f>ABY[[#This Row],[CT MVA]]</f>
        <v>-</v>
      </c>
      <c r="BB95" s="9" t="str">
        <f>ABY[[#This Row],[Derating MVA]]</f>
        <v>-</v>
      </c>
      <c r="BC95" s="9" t="str">
        <f>ABY[[#This Row],[Station/Feeder]]&amp;ABY[[#This Row],[Lowest MVA]]</f>
        <v>F383_Fairlie Township4.64522596495266</v>
      </c>
      <c r="BD95" s="9" t="str">
        <f>CONCATENATE(ABY[[#This Row],[Supply Level]],ABY[[#This Row],[Station/Feeder]],ABY[[#This Row],[Voltage]],ABY[[#This Row],[Lowest A-No PTX]])</f>
        <v>DistributionFeederF383_Fairlie Township11.1001241.612459465415</v>
      </c>
      <c r="BE95" s="9" t="str">
        <f>CONCATENATE(ABY[[#This Row],[Supply Level]],ABY[[#This Row],[Station/Feeder]],ABY[[#This Row],[Voltage]],ABY[[#This Row],[Lowest A-PTX]])</f>
        <v>DistributionFeederF383_Fairlie Township11.1001241.612459465415</v>
      </c>
      <c r="BF95" s="9">
        <f>IF(MIN(ABY[[#This Row],[Summ Cont Winter A]:[Cable Derating]])=0,"",MIN(ABY[[#This Row],[Summ Cont Winter A]:[Cable Derating]]))</f>
        <v>4.6452259649526626</v>
      </c>
      <c r="BG95" s="57">
        <f>IFERROR(ABY[[#This Row],[Lowest MVA]]*1000/(ABY[[#This Row],[Voltage]]*SQRT(3)),"")</f>
        <v>241.6124594654155</v>
      </c>
      <c r="BH95" s="57">
        <f t="shared" si="132"/>
        <v>241.6124594654155</v>
      </c>
      <c r="BI95" s="9" t="str">
        <f>ABY[[#This Row],[From]]</f>
        <v>F383</v>
      </c>
      <c r="BJ95" s="9" t="str">
        <f>ABY[[#This Row],[To]]</f>
        <v>Pole 15305</v>
      </c>
      <c r="BK95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ABS-F263</v>
      </c>
      <c r="BL95" s="9">
        <f>ABY[[#This Row],[Voltage]]</f>
        <v>11.100100000000001</v>
      </c>
    </row>
    <row r="96" spans="1:64" s="1" customFormat="1" ht="15" hidden="1" customHeight="1" x14ac:dyDescent="0.25">
      <c r="A96" s="353" t="str">
        <f>CONCATENATE(ABY[[#This Row],[Supply Level]],ABY[[#This Row],[Station/Feeder]],ABY[[#This Row],[Voltage]])</f>
        <v>DistributionFeederF383_Fairlie Township11.1001</v>
      </c>
      <c r="B96" s="353" t="str">
        <f>CONCATENATE(ABY[[#This Row],[Supply Level]],ABY[[#This Row],[Station/Feeder]],ABY[[#This Row],[Equipment ID]],ABY[[#This Row],[Voltage]],ABY[[#This Row],[Device type]])</f>
        <v>DistributionFeederF383_Fairlie Township19/14 Cu11.1001-</v>
      </c>
      <c r="C96" s="6" t="s">
        <v>1276</v>
      </c>
      <c r="D96" s="11" t="s">
        <v>180</v>
      </c>
      <c r="E96" s="46" t="s">
        <v>356</v>
      </c>
      <c r="F96" s="46" t="s">
        <v>363</v>
      </c>
      <c r="G96" s="57">
        <v>6</v>
      </c>
      <c r="H96" s="46" t="s">
        <v>1289</v>
      </c>
      <c r="I96" s="46" t="s">
        <v>319</v>
      </c>
      <c r="J96" s="46" t="s">
        <v>69</v>
      </c>
      <c r="K96" s="46" t="s">
        <v>0</v>
      </c>
      <c r="L96" s="46" t="s">
        <v>0</v>
      </c>
      <c r="M96" s="57">
        <f t="shared" si="153"/>
        <v>11.100100000000001</v>
      </c>
      <c r="N96" s="9">
        <v>321</v>
      </c>
      <c r="O96" s="9">
        <f t="shared" si="204"/>
        <v>6.1715258312795891</v>
      </c>
      <c r="P96" s="9" t="s">
        <v>0</v>
      </c>
      <c r="Q96" s="9" t="str">
        <f t="shared" si="205"/>
        <v>-</v>
      </c>
      <c r="R96" s="9">
        <v>241.6124594654155</v>
      </c>
      <c r="S96" s="9">
        <f t="shared" si="206"/>
        <v>4.6452259649526626</v>
      </c>
      <c r="T96" s="9" t="s">
        <v>0</v>
      </c>
      <c r="U96" s="9" t="str">
        <f t="shared" si="207"/>
        <v>-</v>
      </c>
      <c r="V96" s="9" t="s">
        <v>0</v>
      </c>
      <c r="W96" s="9" t="str">
        <f t="shared" si="208"/>
        <v>-</v>
      </c>
      <c r="X96" s="9" t="s">
        <v>0</v>
      </c>
      <c r="Y96" s="9" t="str">
        <f t="shared" si="209"/>
        <v>-</v>
      </c>
      <c r="Z96" s="9" t="s">
        <v>0</v>
      </c>
      <c r="AA96" s="9" t="str">
        <f t="shared" si="210"/>
        <v>-</v>
      </c>
      <c r="AB96" s="9" t="s">
        <v>0</v>
      </c>
      <c r="AC96" s="9" t="str">
        <f t="shared" si="211"/>
        <v>-</v>
      </c>
      <c r="AD96" s="9" t="s">
        <v>0</v>
      </c>
      <c r="AE96" s="12" t="str">
        <f t="shared" si="212"/>
        <v>-</v>
      </c>
      <c r="AF96" s="29" t="s">
        <v>0</v>
      </c>
      <c r="AG96" s="29" t="s">
        <v>0</v>
      </c>
      <c r="AH96" s="29">
        <v>411.7</v>
      </c>
      <c r="AI96" s="29" t="s">
        <v>0</v>
      </c>
      <c r="AJ96" s="32" t="s">
        <v>0</v>
      </c>
      <c r="AK96" s="29" t="s">
        <v>0</v>
      </c>
      <c r="AL96" s="32" t="s">
        <v>0</v>
      </c>
      <c r="AM96" s="29" t="s">
        <v>0</v>
      </c>
      <c r="AN96" s="32" t="s">
        <v>0</v>
      </c>
      <c r="AO96" s="29" t="s">
        <v>0</v>
      </c>
      <c r="AP96" s="29" t="s">
        <v>0</v>
      </c>
      <c r="AQ96" s="32" t="s">
        <v>0</v>
      </c>
      <c r="AR96" s="29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96" s="9" t="str">
        <f t="shared" si="213"/>
        <v>-</v>
      </c>
      <c r="AT96" s="9">
        <f>IF(RIGHT(ABY[[#This Row],[Device type]],7)="Winding","-",ABY[[#This Row],[Cont Winter MVA]])</f>
        <v>6.1715258312795891</v>
      </c>
      <c r="AU96" s="9" t="str">
        <f>IF(RIGHT(ABY[[#This Row],[Device type]],7)="Winding","-",ABY[[#This Row],[Cont Shoulder MVA]])</f>
        <v>-</v>
      </c>
      <c r="AV96" s="9">
        <f>IF(RIGHT(ABY[[#This Row],[Device type]],7)="Winding","-",ABY[[#This Row],[Cont Summer MVA]])</f>
        <v>4.6452259649526626</v>
      </c>
      <c r="AW96" s="9" t="str">
        <f>IF(RIGHT(ABY[[#This Row],[Device type]],7)="Winding","-",ABY[[#This Row],[24 Hr Winter MVA]])</f>
        <v>-</v>
      </c>
      <c r="AX96" s="9" t="str">
        <f>IF(RIGHT(ABY[[#This Row],[Device type]],7)="Winding","-",ABY[[#This Row],[24 Hr Summer MVA]])</f>
        <v>-</v>
      </c>
      <c r="AY96" s="9" t="str">
        <f>ABY[[#This Row],[Forwards MVA]]</f>
        <v>-</v>
      </c>
      <c r="AZ96" s="9" t="str">
        <f>ABY[[#This Row],[Relay MVA]]</f>
        <v>-</v>
      </c>
      <c r="BA96" s="9" t="str">
        <f>ABY[[#This Row],[CT MVA]]</f>
        <v>-</v>
      </c>
      <c r="BB96" s="9" t="str">
        <f>ABY[[#This Row],[Derating MVA]]</f>
        <v>-</v>
      </c>
      <c r="BC96" s="9" t="str">
        <f>ABY[[#This Row],[Station/Feeder]]&amp;ABY[[#This Row],[Lowest MVA]]</f>
        <v>F383_Fairlie Township4.64522596495266</v>
      </c>
      <c r="BD96" s="9" t="str">
        <f>CONCATENATE(ABY[[#This Row],[Supply Level]],ABY[[#This Row],[Station/Feeder]],ABY[[#This Row],[Voltage]],ABY[[#This Row],[Lowest A-No PTX]])</f>
        <v>DistributionFeederF383_Fairlie Township11.1001241.612459465415</v>
      </c>
      <c r="BE96" s="9" t="str">
        <f>CONCATENATE(ABY[[#This Row],[Supply Level]],ABY[[#This Row],[Station/Feeder]],ABY[[#This Row],[Voltage]],ABY[[#This Row],[Lowest A-PTX]])</f>
        <v>DistributionFeederF383_Fairlie Township11.1001241.612459465415</v>
      </c>
      <c r="BF96" s="9">
        <f>IF(MIN(ABY[[#This Row],[Summ Cont Winter A]:[Cable Derating]])=0,"",MIN(ABY[[#This Row],[Summ Cont Winter A]:[Cable Derating]]))</f>
        <v>4.6452259649526626</v>
      </c>
      <c r="BG96" s="57">
        <f>IFERROR(ABY[[#This Row],[Lowest MVA]]*1000/(ABY[[#This Row],[Voltage]]*SQRT(3)),"")</f>
        <v>241.6124594654155</v>
      </c>
      <c r="BH96" s="57">
        <f t="shared" si="132"/>
        <v>241.6124594654155</v>
      </c>
      <c r="BI96" s="9" t="str">
        <f>ABY[[#This Row],[From]]</f>
        <v>F383</v>
      </c>
      <c r="BJ96" s="9" t="str">
        <f>ABY[[#This Row],[To]]</f>
        <v>Pole 15305</v>
      </c>
      <c r="BK96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Line-19/14 Cu</v>
      </c>
      <c r="BL96" s="9">
        <f>ABY[[#This Row],[Voltage]]</f>
        <v>11.100100000000001</v>
      </c>
    </row>
    <row r="97" spans="1:64" s="1" customFormat="1" ht="15" hidden="1" customHeight="1" x14ac:dyDescent="0.25">
      <c r="A97" s="353" t="str">
        <f>CONCATENATE(ABY[[#This Row],[Supply Level]],ABY[[#This Row],[Station/Feeder]],ABY[[#This Row],[Voltage]])</f>
        <v>DistributionFeederF383_Fairlie Township11.1001</v>
      </c>
      <c r="B97" s="353" t="str">
        <f>CONCATENATE(ABY[[#This Row],[Supply Level]],ABY[[#This Row],[Station/Feeder]],ABY[[#This Row],[Equipment ID]],ABY[[#This Row],[Voltage]],ABY[[#This Row],[Device type]])</f>
        <v>DistributionFeederF383_Fairlie Township1-3c 95 mm² AL PILC11.1001-</v>
      </c>
      <c r="C97" s="6" t="s">
        <v>1276</v>
      </c>
      <c r="D97" s="11" t="s">
        <v>180</v>
      </c>
      <c r="E97" s="46" t="s">
        <v>356</v>
      </c>
      <c r="F97" s="46" t="s">
        <v>363</v>
      </c>
      <c r="G97" s="57">
        <v>7</v>
      </c>
      <c r="H97" s="46" t="s">
        <v>276</v>
      </c>
      <c r="I97" s="46" t="s">
        <v>567</v>
      </c>
      <c r="J97" s="46" t="s">
        <v>250</v>
      </c>
      <c r="K97" s="46" t="s">
        <v>0</v>
      </c>
      <c r="L97" s="46" t="s">
        <v>0</v>
      </c>
      <c r="M97" s="57">
        <f t="shared" si="153"/>
        <v>11.100100000000001</v>
      </c>
      <c r="N97" s="9">
        <v>205</v>
      </c>
      <c r="O97" s="9">
        <f>IF(OR(N97="",N97="-"),"-",N97*$M97*SQRT(3)/1000)</f>
        <v>3.9413171196645354</v>
      </c>
      <c r="P97" s="9">
        <v>205</v>
      </c>
      <c r="Q97" s="9">
        <f>IF(OR(P97="",P97="-"),"-",P97*$M97*SQRT(3)/1000)</f>
        <v>3.9413171196645354</v>
      </c>
      <c r="R97" s="9">
        <v>205</v>
      </c>
      <c r="S97" s="9">
        <f>IF(OR(R97="",R97="-"),"-",R97*$M97*SQRT(3)/1000)</f>
        <v>3.9413171196645354</v>
      </c>
      <c r="T97" s="9" t="s">
        <v>0</v>
      </c>
      <c r="U97" s="9" t="str">
        <f>IF(OR(T97="",T97="-"),"-",T97*$M97*SQRT(3)/1000)</f>
        <v>-</v>
      </c>
      <c r="V97" s="9" t="s">
        <v>0</v>
      </c>
      <c r="W97" s="9" t="str">
        <f>IF(OR(V97="",V97="-"),"-",V97*$M97*SQRT(3)/1000)</f>
        <v>-</v>
      </c>
      <c r="X97" s="9" t="s">
        <v>0</v>
      </c>
      <c r="Y97" s="9" t="str">
        <f>IF(OR(X97="",X97="-"),"-",X97*$M97*SQRT(3)/1000)</f>
        <v>-</v>
      </c>
      <c r="Z97" s="9" t="s">
        <v>0</v>
      </c>
      <c r="AA97" s="9" t="str">
        <f>IF(OR(Z97="",Z97="-"),"-",Z97*$M97*SQRT(3)/1000)</f>
        <v>-</v>
      </c>
      <c r="AB97" s="9" t="s">
        <v>0</v>
      </c>
      <c r="AC97" s="9" t="str">
        <f>IF(OR(AB97="",AB97="-"),"-",AB97*$M97*SQRT(3)/1000)</f>
        <v>-</v>
      </c>
      <c r="AD97" s="9" t="s">
        <v>0</v>
      </c>
      <c r="AE97" s="12" t="str">
        <f>IF(OR(AD97="",AD97="-"),"-",AD97*$M97*SQRT(3)/1000)</f>
        <v>-</v>
      </c>
      <c r="AF97" s="29">
        <v>3</v>
      </c>
      <c r="AG97" s="29" t="s">
        <v>265</v>
      </c>
      <c r="AH97" s="29">
        <v>292.39999999999998</v>
      </c>
      <c r="AI97" s="29">
        <v>1</v>
      </c>
      <c r="AJ97" s="32">
        <v>0.98</v>
      </c>
      <c r="AK97" s="29">
        <v>15</v>
      </c>
      <c r="AL97" s="32">
        <v>1</v>
      </c>
      <c r="AM97" s="29">
        <v>1.2</v>
      </c>
      <c r="AN97" s="32">
        <v>1</v>
      </c>
      <c r="AO97" s="29">
        <v>2</v>
      </c>
      <c r="AP97" s="29">
        <v>0.15</v>
      </c>
      <c r="AQ97" s="32">
        <v>0.85</v>
      </c>
      <c r="AR97" s="29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170.76499999999999</v>
      </c>
      <c r="AS97" s="9">
        <f>IF(OR(AR97="",AR97="-"),"-",AR97*$M97*SQRT(3)/1000)</f>
        <v>3.283117160680558</v>
      </c>
      <c r="AT97" s="9">
        <f>IF(RIGHT(ABY[[#This Row],[Device type]],7)="Winding","-",ABY[[#This Row],[Cont Winter MVA]])</f>
        <v>3.9413171196645354</v>
      </c>
      <c r="AU97" s="9">
        <f>IF(RIGHT(ABY[[#This Row],[Device type]],7)="Winding","-",ABY[[#This Row],[Cont Shoulder MVA]])</f>
        <v>3.9413171196645354</v>
      </c>
      <c r="AV97" s="9">
        <f>IF(RIGHT(ABY[[#This Row],[Device type]],7)="Winding","-",ABY[[#This Row],[Cont Summer MVA]])</f>
        <v>3.9413171196645354</v>
      </c>
      <c r="AW97" s="9" t="str">
        <f>IF(RIGHT(ABY[[#This Row],[Device type]],7)="Winding","-",ABY[[#This Row],[24 Hr Winter MVA]])</f>
        <v>-</v>
      </c>
      <c r="AX97" s="9" t="str">
        <f>IF(RIGHT(ABY[[#This Row],[Device type]],7)="Winding","-",ABY[[#This Row],[24 Hr Summer MVA]])</f>
        <v>-</v>
      </c>
      <c r="AY97" s="9" t="str">
        <f>ABY[[#This Row],[Forwards MVA]]</f>
        <v>-</v>
      </c>
      <c r="AZ97" s="9" t="str">
        <f>ABY[[#This Row],[Relay MVA]]</f>
        <v>-</v>
      </c>
      <c r="BA97" s="9" t="str">
        <f>ABY[[#This Row],[CT MVA]]</f>
        <v>-</v>
      </c>
      <c r="BB97" s="9">
        <f>ABY[[#This Row],[Derating MVA]]</f>
        <v>3.283117160680558</v>
      </c>
      <c r="BC97" s="9" t="str">
        <f>ABY[[#This Row],[Station/Feeder]]&amp;ABY[[#This Row],[Lowest MVA]]</f>
        <v>F383_Fairlie Township3.28311716068056</v>
      </c>
      <c r="BD97" s="9" t="str">
        <f>CONCATENATE(ABY[[#This Row],[Supply Level]],ABY[[#This Row],[Station/Feeder]],ABY[[#This Row],[Voltage]],ABY[[#This Row],[Lowest A-No PTX]])</f>
        <v>DistributionFeederF383_Fairlie Township11.1001170.765</v>
      </c>
      <c r="BE97" s="9" t="str">
        <f>CONCATENATE(ABY[[#This Row],[Supply Level]],ABY[[#This Row],[Station/Feeder]],ABY[[#This Row],[Voltage]],ABY[[#This Row],[Lowest A-PTX]])</f>
        <v>DistributionFeederF383_Fairlie Township11.1001170.765</v>
      </c>
      <c r="BF97" s="9">
        <f>IF(MIN(ABY[[#This Row],[Summ Cont Winter A]:[Cable Derating]])=0,"",MIN(ABY[[#This Row],[Summ Cont Winter A]:[Cable Derating]]))</f>
        <v>3.283117160680558</v>
      </c>
      <c r="BG97" s="57">
        <f>IFERROR(ABY[[#This Row],[Lowest MVA]]*1000/(ABY[[#This Row],[Voltage]]*SQRT(3)),"")</f>
        <v>170.76499999999999</v>
      </c>
      <c r="BH97" s="57">
        <f t="shared" si="132"/>
        <v>170.76499999999999</v>
      </c>
      <c r="BI97" s="9" t="str">
        <f>ABY[[#This Row],[From]]</f>
        <v>F383</v>
      </c>
      <c r="BJ97" s="9" t="str">
        <f>ABY[[#This Row],[To]]</f>
        <v>Pole 15305</v>
      </c>
      <c r="BK97" s="46" t="str">
        <f>IF(ABY[[#This Row],[Device type]]="-",ABY[[#This Row],[Equipment Type]]&amp;"-"&amp;ABY[[#This Row],[Equipment ID]],ABY[[#This Row],[Equipment Type]]&amp;"-"&amp;ABY[[#This Row],[Equipment ID]]&amp;"-"&amp;ABY[[#This Row],[Device type]])</f>
        <v>Cable-1-3c 95 mm² AL PILC</v>
      </c>
      <c r="BL97" s="9">
        <f>ABY[[#This Row],[Voltage]]</f>
        <v>11.100100000000001</v>
      </c>
    </row>
    <row r="98" spans="1:64" s="1" customFormat="1" ht="15.75" hidden="1" customHeight="1" thickBot="1" x14ac:dyDescent="0.3">
      <c r="A98" s="354" t="str">
        <f>CONCATENATE(ABY[[#This Row],[Supply Level]],ABY[[#This Row],[Station/Feeder]],ABY[[#This Row],[Voltage]])</f>
        <v>DistributionFeederF383_Fairlie Township11.1001</v>
      </c>
      <c r="B98" s="354" t="str">
        <f>CONCATENATE(ABY[[#This Row],[Supply Level]],ABY[[#This Row],[Station/Feeder]],ABY[[#This Row],[Equipment ID]],ABY[[#This Row],[Voltage]],ABY[[#This Row],[Device type]])</f>
        <v>DistributionFeederF383_Fairlie Township7/10 Cu11.1001-</v>
      </c>
      <c r="C98" s="191" t="s">
        <v>1276</v>
      </c>
      <c r="D98" s="192" t="s">
        <v>180</v>
      </c>
      <c r="E98" s="196" t="s">
        <v>356</v>
      </c>
      <c r="F98" s="196" t="s">
        <v>363</v>
      </c>
      <c r="G98" s="194">
        <v>8</v>
      </c>
      <c r="H98" s="196" t="s">
        <v>1289</v>
      </c>
      <c r="I98" s="196" t="s">
        <v>364</v>
      </c>
      <c r="J98" s="196" t="s">
        <v>69</v>
      </c>
      <c r="K98" s="196" t="s">
        <v>0</v>
      </c>
      <c r="L98" s="196" t="s">
        <v>0</v>
      </c>
      <c r="M98" s="197">
        <f t="shared" si="153"/>
        <v>11.100100000000001</v>
      </c>
      <c r="N98" s="155">
        <v>285</v>
      </c>
      <c r="O98" s="155">
        <f>IF(OR(N98="",N98="-"),"-",N98*$M98*SQRT(3)/1000)</f>
        <v>5.4793920931921596</v>
      </c>
      <c r="P98" s="155" t="s">
        <v>0</v>
      </c>
      <c r="Q98" s="155" t="str">
        <f>IF(OR(P98="",P98="-"),"-",P98*$M98*SQRT(3)/1000)</f>
        <v>-</v>
      </c>
      <c r="R98" s="155">
        <v>214.93968866104075</v>
      </c>
      <c r="S98" s="155">
        <f>IF(OR(R98="",R98="-"),"-",R98*$M98*SQRT(3)/1000)</f>
        <v>4.1324169493420744</v>
      </c>
      <c r="T98" s="155" t="s">
        <v>0</v>
      </c>
      <c r="U98" s="155" t="str">
        <f>IF(OR(T98="",T98="-"),"-",T98*$M98*SQRT(3)/1000)</f>
        <v>-</v>
      </c>
      <c r="V98" s="155" t="s">
        <v>0</v>
      </c>
      <c r="W98" s="155" t="str">
        <f>IF(OR(V98="",V98="-"),"-",V98*$M98*SQRT(3)/1000)</f>
        <v>-</v>
      </c>
      <c r="X98" s="155" t="s">
        <v>0</v>
      </c>
      <c r="Y98" s="155" t="str">
        <f>IF(OR(X98="",X98="-"),"-",X98*$M98*SQRT(3)/1000)</f>
        <v>-</v>
      </c>
      <c r="Z98" s="155" t="s">
        <v>0</v>
      </c>
      <c r="AA98" s="155" t="str">
        <f>IF(OR(Z98="",Z98="-"),"-",Z98*$M98*SQRT(3)/1000)</f>
        <v>-</v>
      </c>
      <c r="AB98" s="155" t="s">
        <v>0</v>
      </c>
      <c r="AC98" s="155" t="str">
        <f>IF(OR(AB98="",AB98="-"),"-",AB98*$M98*SQRT(3)/1000)</f>
        <v>-</v>
      </c>
      <c r="AD98" s="155" t="s">
        <v>0</v>
      </c>
      <c r="AE98" s="195" t="str">
        <f>IF(OR(AD98="",AD98="-"),"-",AD98*$M98*SQRT(3)/1000)</f>
        <v>-</v>
      </c>
      <c r="AF98" s="185" t="s">
        <v>0</v>
      </c>
      <c r="AG98" s="185" t="s">
        <v>0</v>
      </c>
      <c r="AH98" s="155">
        <v>146</v>
      </c>
      <c r="AI98" s="185" t="s">
        <v>0</v>
      </c>
      <c r="AJ98" s="199" t="s">
        <v>0</v>
      </c>
      <c r="AK98" s="185" t="s">
        <v>0</v>
      </c>
      <c r="AL98" s="199" t="s">
        <v>0</v>
      </c>
      <c r="AM98" s="185" t="s">
        <v>0</v>
      </c>
      <c r="AN98" s="199" t="s">
        <v>0</v>
      </c>
      <c r="AO98" s="185" t="s">
        <v>0</v>
      </c>
      <c r="AP98" s="199" t="s">
        <v>0</v>
      </c>
      <c r="AQ98" s="199" t="s">
        <v>0</v>
      </c>
      <c r="AR98" s="155" t="str">
        <f>IFERROR(IF(ABY[[#This Row],[Equipment Type]]="Cable",MAX(ABY[[#This Row],[Cont Winter A]],ABY[[#This Row],[Cont Shoulder A]],ABY[[#This Row],[Cont Summer A]])*(ABY[[#This Row],[Depth Factor]]*ABY[[#This Row],[Soil Temp Factor]]*ABY[[#This Row],[Soil TR Factor]]*ABY[[#This Row],[Mutual Heat Factor]]),"-"),"-")</f>
        <v>-</v>
      </c>
      <c r="AS98" s="155" t="str">
        <f>IF(OR(AR98="",AR98="-"),"-",AR98*$M98*SQRT(3)/1000)</f>
        <v>-</v>
      </c>
      <c r="AT98" s="155">
        <f>IF(RIGHT(ABY[[#This Row],[Device type]],7)="Winding","-",ABY[[#This Row],[Cont Winter MVA]])</f>
        <v>5.4793920931921596</v>
      </c>
      <c r="AU98" s="155" t="str">
        <f>IF(RIGHT(ABY[[#This Row],[Device type]],7)="Winding","-",ABY[[#This Row],[Cont Shoulder MVA]])</f>
        <v>-</v>
      </c>
      <c r="AV98" s="155">
        <f>IF(RIGHT(ABY[[#This Row],[Device type]],7)="Winding","-",ABY[[#This Row],[Cont Summer MVA]])</f>
        <v>4.1324169493420744</v>
      </c>
      <c r="AW98" s="155" t="str">
        <f>IF(RIGHT(ABY[[#This Row],[Device type]],7)="Winding","-",ABY[[#This Row],[24 Hr Winter MVA]])</f>
        <v>-</v>
      </c>
      <c r="AX98" s="155" t="str">
        <f>IF(RIGHT(ABY[[#This Row],[Device type]],7)="Winding","-",ABY[[#This Row],[24 Hr Summer MVA]])</f>
        <v>-</v>
      </c>
      <c r="AY98" s="155" t="str">
        <f>ABY[[#This Row],[Forwards MVA]]</f>
        <v>-</v>
      </c>
      <c r="AZ98" s="155" t="str">
        <f>ABY[[#This Row],[Relay MVA]]</f>
        <v>-</v>
      </c>
      <c r="BA98" s="155" t="str">
        <f>ABY[[#This Row],[CT MVA]]</f>
        <v>-</v>
      </c>
      <c r="BB98" s="155" t="str">
        <f>ABY[[#This Row],[Derating MVA]]</f>
        <v>-</v>
      </c>
      <c r="BC98" s="155" t="str">
        <f>ABY[[#This Row],[Station/Feeder]]&amp;ABY[[#This Row],[Lowest MVA]]</f>
        <v>F383_Fairlie Township4.13241694934207</v>
      </c>
      <c r="BD98" s="155" t="str">
        <f>CONCATENATE(ABY[[#This Row],[Supply Level]],ABY[[#This Row],[Station/Feeder]],ABY[[#This Row],[Voltage]],ABY[[#This Row],[Lowest A-No PTX]])</f>
        <v>DistributionFeederF383_Fairlie Township11.1001214.939688661041</v>
      </c>
      <c r="BE98" s="155" t="str">
        <f>CONCATENATE(ABY[[#This Row],[Supply Level]],ABY[[#This Row],[Station/Feeder]],ABY[[#This Row],[Voltage]],ABY[[#This Row],[Lowest A-PTX]])</f>
        <v>DistributionFeederF383_Fairlie Township11.1001214.939688661041</v>
      </c>
      <c r="BF98" s="155">
        <f>IF(MIN(ABY[[#This Row],[Summ Cont Winter A]:[Cable Derating]])=0,"",MIN(ABY[[#This Row],[Summ Cont Winter A]:[Cable Derating]]))</f>
        <v>4.1324169493420744</v>
      </c>
      <c r="BG98" s="197">
        <f>IFERROR(ABY[[#This Row],[Lowest MVA]]*1000/(ABY[[#This Row],[Voltage]]*SQRT(3)),"")</f>
        <v>214.93968866104075</v>
      </c>
      <c r="BH98" s="197">
        <f t="shared" si="132"/>
        <v>214.93968866104075</v>
      </c>
      <c r="BI98" s="155" t="str">
        <f>ABY[[#This Row],[From]]</f>
        <v>F383</v>
      </c>
      <c r="BJ98" s="155" t="str">
        <f>ABY[[#This Row],[To]]</f>
        <v>Pole 15305</v>
      </c>
      <c r="BK98" s="196" t="str">
        <f>IF(ABY[[#This Row],[Device type]]="-",ABY[[#This Row],[Equipment Type]]&amp;"-"&amp;ABY[[#This Row],[Equipment ID]],ABY[[#This Row],[Equipment Type]]&amp;"-"&amp;ABY[[#This Row],[Equipment ID]]&amp;"-"&amp;ABY[[#This Row],[Device type]])</f>
        <v>OH Line-7/10 Cu</v>
      </c>
      <c r="BL98" s="155">
        <f>ABY[[#This Row],[Voltage]]</f>
        <v>11.100100000000001</v>
      </c>
    </row>
    <row r="99" spans="1:64" s="1" customFormat="1" x14ac:dyDescent="0.25">
      <c r="A99" s="355"/>
      <c r="B99" s="355"/>
      <c r="C99" s="42"/>
      <c r="D99" s="42"/>
      <c r="E99" s="42"/>
      <c r="F99" s="42"/>
      <c r="G99" s="58"/>
      <c r="H99" s="42"/>
      <c r="I99" s="42"/>
      <c r="J99" s="42"/>
      <c r="K99" s="42"/>
      <c r="L99" s="42"/>
      <c r="M99" s="58"/>
      <c r="N99" s="67" t="s">
        <v>0</v>
      </c>
      <c r="O99" s="42" t="s">
        <v>0</v>
      </c>
      <c r="P99" s="42" t="s">
        <v>0</v>
      </c>
      <c r="Q99" s="42" t="s">
        <v>0</v>
      </c>
      <c r="R99" s="42" t="s">
        <v>0</v>
      </c>
      <c r="S99" s="42" t="s">
        <v>0</v>
      </c>
      <c r="T99" s="42" t="s">
        <v>0</v>
      </c>
      <c r="U99" s="42" t="s">
        <v>0</v>
      </c>
      <c r="V99" s="42" t="s">
        <v>0</v>
      </c>
      <c r="W99" s="42" t="s">
        <v>0</v>
      </c>
      <c r="X99" s="42" t="s">
        <v>0</v>
      </c>
      <c r="Y99" s="42" t="s">
        <v>0</v>
      </c>
      <c r="Z99" s="42" t="s">
        <v>0</v>
      </c>
      <c r="AA99" s="42" t="s">
        <v>0</v>
      </c>
      <c r="AB99" s="42" t="s">
        <v>0</v>
      </c>
      <c r="AC99" s="42" t="s">
        <v>0</v>
      </c>
      <c r="AD99" s="42" t="s">
        <v>0</v>
      </c>
      <c r="AE99" s="42" t="s">
        <v>0</v>
      </c>
      <c r="AF99" s="42" t="s">
        <v>0</v>
      </c>
      <c r="AG99" s="42" t="s">
        <v>0</v>
      </c>
      <c r="AH99" s="42" t="s">
        <v>0</v>
      </c>
      <c r="AI99" s="42" t="s">
        <v>0</v>
      </c>
      <c r="AJ99" s="50" t="s">
        <v>0</v>
      </c>
      <c r="AK99" s="42" t="s">
        <v>0</v>
      </c>
      <c r="AL99" s="50" t="s">
        <v>0</v>
      </c>
      <c r="AM99" s="42" t="s">
        <v>0</v>
      </c>
      <c r="AN99" s="50" t="s">
        <v>0</v>
      </c>
      <c r="AO99" s="42" t="s">
        <v>0</v>
      </c>
      <c r="AP99" s="42" t="s">
        <v>0</v>
      </c>
      <c r="AQ99" s="50" t="s">
        <v>0</v>
      </c>
      <c r="AR99" s="42" t="s">
        <v>0</v>
      </c>
      <c r="AS99" s="42" t="s">
        <v>0</v>
      </c>
      <c r="AT99" s="51">
        <f>IF(SUBTOTAL(105,ABY[Summ Cont Winter A])=0,"",SUBTOTAL(105,ABY[Summ Cont Winter A]))</f>
        <v>12.00311209645232</v>
      </c>
      <c r="AU99" s="51">
        <f>IF(SUBTOTAL(105,ABY[Summ Cont Shoulder MVA])=0,"",SUBTOTAL(105,ABY[Summ Cont Shoulder MVA]))</f>
        <v>12.00311209645232</v>
      </c>
      <c r="AV99" s="51">
        <f>IF(SUBTOTAL(105,ABY[Summ Cont Summer A])=0,"",SUBTOTAL(105,ABY[Summ Cont Summer A]))</f>
        <v>9.8789666816279293</v>
      </c>
      <c r="AW99" s="51" t="str">
        <f>IF(SUBTOTAL(105,ABY[Summ Post Winter A])=0,"",SUBTOTAL(105,ABY[Summ Post Winter A]))</f>
        <v/>
      </c>
      <c r="AX99" s="51" t="str">
        <f>IF(SUBTOTAL(105,ABY[Summ Post Summer A])=0,"",SUBTOTAL(105,ABY[Summ Post Summer A]))</f>
        <v/>
      </c>
      <c r="AY99" s="51">
        <f>IF(SUBTOTAL(105,ABY[Summ Forward A])=0,"",SUBTOTAL(105,ABY[Summ Forward A]))</f>
        <v>8.5736514974659421</v>
      </c>
      <c r="AZ99" s="51">
        <f>IF(SUBTOTAL(105,ABY[Summ Reverse A])=0,"",SUBTOTAL(105,ABY[Summ Reverse A]))</f>
        <v>17.147302994931884</v>
      </c>
      <c r="BA99" s="51">
        <f>IF(SUBTOTAL(105,ABY[Summ CT A])=0,"",SUBTOTAL(105,ABY[Summ CT A]))</f>
        <v>11.43153532995459</v>
      </c>
      <c r="BB99" s="51" t="str">
        <f>IF(SUBTOTAL(105,ABY[Cable Derating])=0,"",SUBTOTAL(105,ABY[Cable Derating]))</f>
        <v/>
      </c>
      <c r="BC99" s="51" t="s">
        <v>0</v>
      </c>
      <c r="BD99" s="51" t="s">
        <v>0</v>
      </c>
      <c r="BE99" s="51"/>
      <c r="BF99" s="284">
        <f>SUBTOTAL(105,ABY[Lowest MVA])</f>
        <v>8.5736514974659421</v>
      </c>
      <c r="BG99" s="285" t="s">
        <v>0</v>
      </c>
      <c r="BH99" s="285"/>
      <c r="BI99" s="42" t="s">
        <v>0</v>
      </c>
      <c r="BJ99" s="42" t="s">
        <v>0</v>
      </c>
      <c r="BK99" s="42" t="s">
        <v>0</v>
      </c>
      <c r="BL99" s="42" t="s">
        <v>0</v>
      </c>
    </row>
  </sheetData>
  <mergeCells count="31">
    <mergeCell ref="E1:H1"/>
    <mergeCell ref="AF1:AS1"/>
    <mergeCell ref="AT2:AV2"/>
    <mergeCell ref="AW2:AX2"/>
    <mergeCell ref="AY2:BA2"/>
    <mergeCell ref="AD2:AE2"/>
    <mergeCell ref="AI2:AJ2"/>
    <mergeCell ref="AK2:AL2"/>
    <mergeCell ref="AM2:AN2"/>
    <mergeCell ref="AO2:AQ2"/>
    <mergeCell ref="AR2:AS2"/>
    <mergeCell ref="AT1:BL1"/>
    <mergeCell ref="N2:O2"/>
    <mergeCell ref="P2:Q2"/>
    <mergeCell ref="R2:S2"/>
    <mergeCell ref="T2:U2"/>
    <mergeCell ref="BK2:BK3"/>
    <mergeCell ref="BL2:BL3"/>
    <mergeCell ref="BB2:BB3"/>
    <mergeCell ref="BI2:BI3"/>
    <mergeCell ref="I1:J1"/>
    <mergeCell ref="K1:L1"/>
    <mergeCell ref="N1:S1"/>
    <mergeCell ref="T1:W1"/>
    <mergeCell ref="X1:AE1"/>
    <mergeCell ref="V2:W2"/>
    <mergeCell ref="X2:Y2"/>
    <mergeCell ref="Z2:AA2"/>
    <mergeCell ref="AB2:AC2"/>
    <mergeCell ref="BJ2:BJ3"/>
    <mergeCell ref="BF2:BH2"/>
  </mergeCells>
  <pageMargins left="0.7" right="0.7" top="0.75" bottom="0.75" header="0.3" footer="0.3"/>
  <pageSetup paperSize="9" orientation="portrait" r:id="rId1"/>
  <ignoredErrors>
    <ignoredError sqref="P13:P16 R13:R16 V13:V16 P18:P21 R18:R20 V18:V20" formula="1"/>
  </ignoredErrors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600-000000000000}">
          <x14:formula1>
            <xm:f>'Dropdown List'!$A$2:$A$8</xm:f>
          </x14:formula1>
          <xm:sqref>C5:C98</xm:sqref>
        </x14:dataValidation>
        <x14:dataValidation type="list" allowBlank="1" showInputMessage="1" showErrorMessage="1" xr:uid="{00000000-0002-0000-0600-000001000000}">
          <x14:formula1>
            <xm:f>'Dropdown List'!$A$27:$A$35</xm:f>
          </x14:formula1>
          <xm:sqref>D69:D98 D5:D55</xm:sqref>
        </x14:dataValidation>
        <x14:dataValidation type="list" allowBlank="1" showInputMessage="1" showErrorMessage="1" xr:uid="{00000000-0002-0000-0600-000002000000}">
          <x14:formula1>
            <xm:f>'Dropdown List'!$A$27:$A$36</xm:f>
          </x14:formula1>
          <xm:sqref>D56:D68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BL94"/>
  <sheetViews>
    <sheetView showGridLines="0" zoomScaleNormal="100" workbookViewId="0">
      <pane xSplit="13" ySplit="4" topLeftCell="N5" activePane="bottomRight" state="frozen"/>
      <selection pane="topRight" activeCell="N1" sqref="N1"/>
      <selection pane="bottomLeft" activeCell="A5" sqref="A5"/>
      <selection pane="bottomRight" activeCell="H13" sqref="H13"/>
    </sheetView>
  </sheetViews>
  <sheetFormatPr defaultRowHeight="15" x14ac:dyDescent="0.25"/>
  <cols>
    <col min="1" max="1" width="44.7109375" hidden="1" customWidth="1"/>
    <col min="2" max="2" width="25.7109375" hidden="1" customWidth="1"/>
    <col min="3" max="3" width="25.7109375" customWidth="1"/>
    <col min="4" max="4" width="20" bestFit="1" customWidth="1"/>
    <col min="5" max="6" width="15.42578125" bestFit="1" customWidth="1"/>
    <col min="7" max="7" width="9.42578125" bestFit="1" customWidth="1"/>
    <col min="8" max="8" width="48.42578125" bestFit="1" customWidth="1"/>
    <col min="9" max="9" width="29.42578125" bestFit="1" customWidth="1"/>
    <col min="10" max="10" width="19.28515625" bestFit="1" customWidth="1"/>
    <col min="11" max="11" width="15.42578125" bestFit="1" customWidth="1"/>
    <col min="12" max="12" width="20.85546875" bestFit="1" customWidth="1"/>
    <col min="13" max="13" width="10.7109375" bestFit="1" customWidth="1"/>
    <col min="14" max="14" width="15" bestFit="1" customWidth="1"/>
    <col min="15" max="15" width="17.42578125" bestFit="1" customWidth="1"/>
    <col min="16" max="16" width="16.28515625" bestFit="1" customWidth="1"/>
    <col min="17" max="17" width="18.85546875" bestFit="1" customWidth="1"/>
    <col min="18" max="18" width="15.85546875" bestFit="1" customWidth="1"/>
    <col min="19" max="19" width="18.42578125" bestFit="1" customWidth="1"/>
    <col min="20" max="20" width="15.42578125" hidden="1" customWidth="1"/>
    <col min="21" max="21" width="18" hidden="1" customWidth="1"/>
    <col min="22" max="22" width="16.28515625" hidden="1" customWidth="1"/>
    <col min="23" max="23" width="18.85546875" hidden="1" customWidth="1"/>
    <col min="24" max="24" width="12.28515625" bestFit="1" customWidth="1"/>
    <col min="25" max="25" width="15.28515625" bestFit="1" customWidth="1"/>
    <col min="26" max="26" width="12.140625" bestFit="1" customWidth="1"/>
    <col min="27" max="27" width="14.5703125" bestFit="1" customWidth="1"/>
    <col min="28" max="28" width="10.42578125" bestFit="1" customWidth="1"/>
    <col min="29" max="29" width="12.85546875" bestFit="1" customWidth="1"/>
    <col min="30" max="30" width="8.42578125" bestFit="1" customWidth="1"/>
    <col min="31" max="31" width="10.85546875" bestFit="1" customWidth="1"/>
    <col min="32" max="32" width="8.7109375" bestFit="1" customWidth="1"/>
    <col min="33" max="33" width="10.28515625" bestFit="1" customWidth="1"/>
    <col min="34" max="34" width="11.28515625" customWidth="1"/>
    <col min="35" max="35" width="11.28515625" bestFit="1" customWidth="1"/>
    <col min="36" max="36" width="14.140625" bestFit="1" customWidth="1"/>
    <col min="37" max="37" width="13.140625" bestFit="1" customWidth="1"/>
    <col min="38" max="38" width="16.42578125" bestFit="1" customWidth="1"/>
    <col min="39" max="39" width="15.42578125" bestFit="1" customWidth="1"/>
    <col min="40" max="40" width="14.28515625" bestFit="1" customWidth="1"/>
    <col min="41" max="41" width="8.28515625" bestFit="1" customWidth="1"/>
    <col min="42" max="42" width="11.28515625" bestFit="1" customWidth="1"/>
    <col min="43" max="43" width="18.42578125" bestFit="1" customWidth="1"/>
    <col min="44" max="44" width="12.5703125" bestFit="1" customWidth="1"/>
    <col min="45" max="45" width="15" bestFit="1" customWidth="1"/>
    <col min="46" max="46" width="19.5703125" bestFit="1" customWidth="1"/>
    <col min="47" max="47" width="23.42578125" bestFit="1" customWidth="1"/>
    <col min="48" max="48" width="20.42578125" bestFit="1" customWidth="1"/>
    <col min="49" max="49" width="19.28515625" hidden="1" customWidth="1"/>
    <col min="50" max="50" width="20.140625" hidden="1" customWidth="1"/>
    <col min="51" max="51" width="16.7109375" bestFit="1" customWidth="1"/>
    <col min="52" max="52" width="16.5703125" bestFit="1" customWidth="1"/>
    <col min="53" max="53" width="12.85546875" bestFit="1" customWidth="1"/>
    <col min="54" max="54" width="15.28515625" bestFit="1" customWidth="1"/>
    <col min="55" max="57" width="36.140625" hidden="1" customWidth="1"/>
    <col min="58" max="58" width="14" bestFit="1" customWidth="1"/>
    <col min="59" max="59" width="11.5703125" bestFit="1" customWidth="1"/>
    <col min="60" max="60" width="11.5703125" customWidth="1"/>
    <col min="61" max="62" width="15.42578125" bestFit="1" customWidth="1"/>
    <col min="63" max="63" width="42.140625" hidden="1" customWidth="1"/>
    <col min="64" max="64" width="15.140625" bestFit="1" customWidth="1"/>
  </cols>
  <sheetData>
    <row r="1" spans="1:64" s="337" customFormat="1" ht="15" customHeight="1" thickBot="1" x14ac:dyDescent="0.3">
      <c r="A1" s="18" t="s">
        <v>2398</v>
      </c>
      <c r="B1" s="18" t="s">
        <v>2398</v>
      </c>
      <c r="C1" s="18" t="s">
        <v>51</v>
      </c>
      <c r="D1" s="18" t="s">
        <v>73</v>
      </c>
      <c r="E1" s="605" t="s">
        <v>237</v>
      </c>
      <c r="F1" s="607"/>
      <c r="G1" s="607"/>
      <c r="H1" s="606"/>
      <c r="I1" s="605" t="s">
        <v>6</v>
      </c>
      <c r="J1" s="606"/>
      <c r="K1" s="605" t="s">
        <v>29</v>
      </c>
      <c r="L1" s="606"/>
      <c r="M1" s="18" t="s">
        <v>40</v>
      </c>
      <c r="N1" s="605" t="s">
        <v>263</v>
      </c>
      <c r="O1" s="607"/>
      <c r="P1" s="607"/>
      <c r="Q1" s="607"/>
      <c r="R1" s="607"/>
      <c r="S1" s="606"/>
      <c r="T1" s="605" t="s">
        <v>14</v>
      </c>
      <c r="U1" s="607"/>
      <c r="V1" s="607"/>
      <c r="W1" s="606"/>
      <c r="X1" s="605" t="s">
        <v>35</v>
      </c>
      <c r="Y1" s="607"/>
      <c r="Z1" s="607"/>
      <c r="AA1" s="607"/>
      <c r="AB1" s="607"/>
      <c r="AC1" s="607"/>
      <c r="AD1" s="607"/>
      <c r="AE1" s="606"/>
      <c r="AF1" s="605" t="s">
        <v>251</v>
      </c>
      <c r="AG1" s="607"/>
      <c r="AH1" s="607"/>
      <c r="AI1" s="607"/>
      <c r="AJ1" s="607"/>
      <c r="AK1" s="607"/>
      <c r="AL1" s="607"/>
      <c r="AM1" s="607"/>
      <c r="AN1" s="607"/>
      <c r="AO1" s="607"/>
      <c r="AP1" s="607"/>
      <c r="AQ1" s="607"/>
      <c r="AR1" s="607"/>
      <c r="AS1" s="606"/>
      <c r="AT1" s="605" t="s">
        <v>293</v>
      </c>
      <c r="AU1" s="607"/>
      <c r="AV1" s="607"/>
      <c r="AW1" s="607"/>
      <c r="AX1" s="607"/>
      <c r="AY1" s="607"/>
      <c r="AZ1" s="607"/>
      <c r="BA1" s="607"/>
      <c r="BB1" s="607"/>
      <c r="BC1" s="607"/>
      <c r="BD1" s="607"/>
      <c r="BE1" s="607"/>
      <c r="BF1" s="607"/>
      <c r="BG1" s="607"/>
      <c r="BH1" s="607"/>
      <c r="BI1" s="607"/>
      <c r="BJ1" s="607"/>
      <c r="BK1" s="607"/>
      <c r="BL1" s="606"/>
    </row>
    <row r="2" spans="1:64" s="337" customFormat="1" ht="18" customHeight="1" thickBot="1" x14ac:dyDescent="0.3">
      <c r="A2" s="19" t="s">
        <v>2396</v>
      </c>
      <c r="B2" s="19" t="s">
        <v>1423</v>
      </c>
      <c r="C2" s="19" t="s">
        <v>3</v>
      </c>
      <c r="D2" s="19" t="s">
        <v>1276</v>
      </c>
      <c r="E2" s="19" t="s">
        <v>1</v>
      </c>
      <c r="F2" s="19" t="s">
        <v>2</v>
      </c>
      <c r="G2" s="19" t="s">
        <v>238</v>
      </c>
      <c r="H2" s="611" t="s">
        <v>692</v>
      </c>
      <c r="I2" s="19" t="s">
        <v>21</v>
      </c>
      <c r="J2" s="19" t="s">
        <v>22</v>
      </c>
      <c r="K2" s="19" t="s">
        <v>693</v>
      </c>
      <c r="L2" s="19" t="s">
        <v>694</v>
      </c>
      <c r="M2" s="19" t="s">
        <v>41</v>
      </c>
      <c r="N2" s="613" t="s">
        <v>39</v>
      </c>
      <c r="O2" s="614"/>
      <c r="P2" s="613" t="s">
        <v>65</v>
      </c>
      <c r="Q2" s="614"/>
      <c r="R2" s="613" t="s">
        <v>38</v>
      </c>
      <c r="S2" s="614"/>
      <c r="T2" s="605" t="s">
        <v>39</v>
      </c>
      <c r="U2" s="606"/>
      <c r="V2" s="605" t="s">
        <v>38</v>
      </c>
      <c r="W2" s="606"/>
      <c r="X2" s="605" t="s">
        <v>30</v>
      </c>
      <c r="Y2" s="606"/>
      <c r="Z2" s="605" t="s">
        <v>31</v>
      </c>
      <c r="AA2" s="606"/>
      <c r="AB2" s="605" t="s">
        <v>32</v>
      </c>
      <c r="AC2" s="606"/>
      <c r="AD2" s="605" t="s">
        <v>33</v>
      </c>
      <c r="AE2" s="606"/>
      <c r="AF2" s="34" t="s">
        <v>259</v>
      </c>
      <c r="AG2" s="34" t="s">
        <v>253</v>
      </c>
      <c r="AH2" s="25" t="s">
        <v>71</v>
      </c>
      <c r="AI2" s="613" t="s">
        <v>252</v>
      </c>
      <c r="AJ2" s="614"/>
      <c r="AK2" s="613" t="s">
        <v>254</v>
      </c>
      <c r="AL2" s="614"/>
      <c r="AM2" s="613" t="s">
        <v>695</v>
      </c>
      <c r="AN2" s="614"/>
      <c r="AO2" s="613" t="s">
        <v>257</v>
      </c>
      <c r="AP2" s="615"/>
      <c r="AQ2" s="614"/>
      <c r="AR2" s="605" t="s">
        <v>262</v>
      </c>
      <c r="AS2" s="606"/>
      <c r="AT2" s="605" t="s">
        <v>263</v>
      </c>
      <c r="AU2" s="607"/>
      <c r="AV2" s="606"/>
      <c r="AW2" s="605" t="s">
        <v>299</v>
      </c>
      <c r="AX2" s="606"/>
      <c r="AY2" s="605" t="s">
        <v>35</v>
      </c>
      <c r="AZ2" s="607"/>
      <c r="BA2" s="606"/>
      <c r="BB2" s="603" t="s">
        <v>294</v>
      </c>
      <c r="BC2" s="114" t="s">
        <v>21</v>
      </c>
      <c r="BD2" s="360" t="s">
        <v>2397</v>
      </c>
      <c r="BE2" s="360" t="s">
        <v>2397</v>
      </c>
      <c r="BF2" s="608" t="s">
        <v>1282</v>
      </c>
      <c r="BG2" s="609"/>
      <c r="BH2" s="610"/>
      <c r="BI2" s="603" t="s">
        <v>1</v>
      </c>
      <c r="BJ2" s="603" t="s">
        <v>2</v>
      </c>
      <c r="BK2" s="603" t="s">
        <v>6</v>
      </c>
      <c r="BL2" s="603" t="s">
        <v>298</v>
      </c>
    </row>
    <row r="3" spans="1:64" s="337" customFormat="1" ht="15.75" thickBot="1" x14ac:dyDescent="0.3">
      <c r="A3" s="347" t="s">
        <v>2395</v>
      </c>
      <c r="B3" s="347" t="s">
        <v>2395</v>
      </c>
      <c r="C3" s="117" t="s">
        <v>0</v>
      </c>
      <c r="D3" s="117" t="s">
        <v>0</v>
      </c>
      <c r="E3" s="117" t="s">
        <v>0</v>
      </c>
      <c r="F3" s="117" t="s">
        <v>0</v>
      </c>
      <c r="G3" s="117" t="s">
        <v>0</v>
      </c>
      <c r="H3" s="612"/>
      <c r="I3" s="117" t="s">
        <v>0</v>
      </c>
      <c r="J3" s="117" t="s">
        <v>0</v>
      </c>
      <c r="K3" s="117" t="s">
        <v>0</v>
      </c>
      <c r="L3" s="117" t="s">
        <v>0</v>
      </c>
      <c r="M3" s="19" t="s">
        <v>27</v>
      </c>
      <c r="N3" s="19" t="s">
        <v>26</v>
      </c>
      <c r="O3" s="19" t="s">
        <v>28</v>
      </c>
      <c r="P3" s="19" t="s">
        <v>26</v>
      </c>
      <c r="Q3" s="19" t="s">
        <v>28</v>
      </c>
      <c r="R3" s="19" t="s">
        <v>26</v>
      </c>
      <c r="S3" s="19" t="s">
        <v>28</v>
      </c>
      <c r="T3" s="19" t="s">
        <v>26</v>
      </c>
      <c r="U3" s="19" t="s">
        <v>28</v>
      </c>
      <c r="V3" s="19" t="s">
        <v>26</v>
      </c>
      <c r="W3" s="19" t="s">
        <v>28</v>
      </c>
      <c r="X3" s="19" t="s">
        <v>26</v>
      </c>
      <c r="Y3" s="19" t="s">
        <v>28</v>
      </c>
      <c r="Z3" s="19" t="s">
        <v>26</v>
      </c>
      <c r="AA3" s="19" t="s">
        <v>28</v>
      </c>
      <c r="AB3" s="19" t="s">
        <v>26</v>
      </c>
      <c r="AC3" s="19" t="s">
        <v>28</v>
      </c>
      <c r="AD3" s="19" t="s">
        <v>26</v>
      </c>
      <c r="AE3" s="19" t="s">
        <v>28</v>
      </c>
      <c r="AF3" s="117" t="s">
        <v>260</v>
      </c>
      <c r="AG3" s="117" t="s">
        <v>26</v>
      </c>
      <c r="AH3" s="21" t="s">
        <v>72</v>
      </c>
      <c r="AI3" s="117" t="s">
        <v>72</v>
      </c>
      <c r="AJ3" s="30" t="s">
        <v>264</v>
      </c>
      <c r="AK3" s="117" t="s">
        <v>255</v>
      </c>
      <c r="AL3" s="30" t="s">
        <v>264</v>
      </c>
      <c r="AM3" s="117" t="s">
        <v>256</v>
      </c>
      <c r="AN3" s="30" t="s">
        <v>264</v>
      </c>
      <c r="AO3" s="117" t="s">
        <v>261</v>
      </c>
      <c r="AP3" s="117" t="s">
        <v>258</v>
      </c>
      <c r="AQ3" s="30" t="s">
        <v>264</v>
      </c>
      <c r="AR3" s="117" t="s">
        <v>26</v>
      </c>
      <c r="AS3" s="117" t="s">
        <v>28</v>
      </c>
      <c r="AT3" s="116" t="s">
        <v>39</v>
      </c>
      <c r="AU3" s="116" t="s">
        <v>65</v>
      </c>
      <c r="AV3" s="116" t="s">
        <v>38</v>
      </c>
      <c r="AW3" s="113" t="s">
        <v>39</v>
      </c>
      <c r="AX3" s="113" t="s">
        <v>38</v>
      </c>
      <c r="AY3" s="113" t="s">
        <v>30</v>
      </c>
      <c r="AZ3" s="113" t="s">
        <v>295</v>
      </c>
      <c r="BA3" s="113" t="s">
        <v>297</v>
      </c>
      <c r="BB3" s="604"/>
      <c r="BC3" s="115" t="s">
        <v>372</v>
      </c>
      <c r="BD3" s="383" t="s">
        <v>372</v>
      </c>
      <c r="BE3" s="383" t="s">
        <v>372</v>
      </c>
      <c r="BF3" s="371" t="s">
        <v>1280</v>
      </c>
      <c r="BG3" s="371" t="s">
        <v>1281</v>
      </c>
      <c r="BH3" s="371" t="s">
        <v>1281</v>
      </c>
      <c r="BI3" s="604"/>
      <c r="BJ3" s="604"/>
      <c r="BK3" s="604"/>
      <c r="BL3" s="604"/>
    </row>
    <row r="4" spans="1:64" s="338" customFormat="1" ht="15.75" thickBot="1" x14ac:dyDescent="0.3">
      <c r="A4" s="364" t="s">
        <v>2399</v>
      </c>
      <c r="B4" s="364" t="s">
        <v>2400</v>
      </c>
      <c r="C4" s="198" t="s">
        <v>1184</v>
      </c>
      <c r="D4" s="22" t="s">
        <v>1481</v>
      </c>
      <c r="E4" s="37" t="s">
        <v>1</v>
      </c>
      <c r="F4" s="37" t="s">
        <v>2</v>
      </c>
      <c r="G4" s="54" t="s">
        <v>238</v>
      </c>
      <c r="H4" s="23" t="s">
        <v>692</v>
      </c>
      <c r="I4" s="22" t="s">
        <v>1482</v>
      </c>
      <c r="J4" s="22" t="s">
        <v>1428</v>
      </c>
      <c r="K4" s="22" t="s">
        <v>693</v>
      </c>
      <c r="L4" s="37" t="s">
        <v>1483</v>
      </c>
      <c r="M4" s="54" t="s">
        <v>41</v>
      </c>
      <c r="N4" s="23" t="s">
        <v>1484</v>
      </c>
      <c r="O4" s="23" t="s">
        <v>1485</v>
      </c>
      <c r="P4" s="23" t="s">
        <v>1486</v>
      </c>
      <c r="Q4" s="23" t="s">
        <v>1487</v>
      </c>
      <c r="R4" s="23" t="s">
        <v>1488</v>
      </c>
      <c r="S4" s="23" t="s">
        <v>1489</v>
      </c>
      <c r="T4" s="23" t="s">
        <v>1490</v>
      </c>
      <c r="U4" s="23" t="s">
        <v>1491</v>
      </c>
      <c r="V4" s="23" t="s">
        <v>1492</v>
      </c>
      <c r="W4" s="23" t="s">
        <v>1493</v>
      </c>
      <c r="X4" s="23" t="s">
        <v>1494</v>
      </c>
      <c r="Y4" s="23" t="s">
        <v>1495</v>
      </c>
      <c r="Z4" s="23" t="s">
        <v>1496</v>
      </c>
      <c r="AA4" s="23" t="s">
        <v>1497</v>
      </c>
      <c r="AB4" s="23" t="s">
        <v>1498</v>
      </c>
      <c r="AC4" s="23" t="s">
        <v>1499</v>
      </c>
      <c r="AD4" s="23" t="s">
        <v>1500</v>
      </c>
      <c r="AE4" s="23" t="s">
        <v>1501</v>
      </c>
      <c r="AF4" s="23" t="s">
        <v>259</v>
      </c>
      <c r="AG4" s="23" t="s">
        <v>253</v>
      </c>
      <c r="AH4" s="23" t="s">
        <v>71</v>
      </c>
      <c r="AI4" s="23" t="s">
        <v>1502</v>
      </c>
      <c r="AJ4" s="31" t="s">
        <v>1503</v>
      </c>
      <c r="AK4" s="23" t="s">
        <v>1504</v>
      </c>
      <c r="AL4" s="31" t="s">
        <v>1505</v>
      </c>
      <c r="AM4" s="23" t="s">
        <v>1506</v>
      </c>
      <c r="AN4" s="31" t="s">
        <v>1507</v>
      </c>
      <c r="AO4" s="23" t="s">
        <v>1508</v>
      </c>
      <c r="AP4" s="31" t="s">
        <v>1509</v>
      </c>
      <c r="AQ4" s="31" t="s">
        <v>1510</v>
      </c>
      <c r="AR4" s="23" t="s">
        <v>1511</v>
      </c>
      <c r="AS4" s="23" t="s">
        <v>1512</v>
      </c>
      <c r="AT4" s="23" t="s">
        <v>1513</v>
      </c>
      <c r="AU4" s="23" t="s">
        <v>1514</v>
      </c>
      <c r="AV4" s="23" t="s">
        <v>1515</v>
      </c>
      <c r="AW4" s="23" t="s">
        <v>1516</v>
      </c>
      <c r="AX4" s="23" t="s">
        <v>1517</v>
      </c>
      <c r="AY4" s="23" t="s">
        <v>1518</v>
      </c>
      <c r="AZ4" s="23" t="s">
        <v>1519</v>
      </c>
      <c r="BA4" s="23" t="s">
        <v>1520</v>
      </c>
      <c r="BB4" s="23" t="s">
        <v>1521</v>
      </c>
      <c r="BC4" s="23" t="s">
        <v>1522</v>
      </c>
      <c r="BD4" s="23" t="s">
        <v>2652</v>
      </c>
      <c r="BE4" s="23" t="s">
        <v>2653</v>
      </c>
      <c r="BF4" s="23" t="s">
        <v>1523</v>
      </c>
      <c r="BG4" s="54" t="s">
        <v>2602</v>
      </c>
      <c r="BH4" s="54" t="s">
        <v>2603</v>
      </c>
      <c r="BI4" s="23" t="s">
        <v>1524</v>
      </c>
      <c r="BJ4" s="23" t="s">
        <v>1525</v>
      </c>
      <c r="BK4" s="23" t="s">
        <v>1526</v>
      </c>
      <c r="BL4" s="23" t="s">
        <v>1527</v>
      </c>
    </row>
    <row r="5" spans="1:64" s="337" customFormat="1" x14ac:dyDescent="0.25">
      <c r="A5" s="3" t="str">
        <f>CONCATENATE(BPD[[#This Row],[Supply Level]],BPD[[#This Row],[Station/Feeder]],BPD[[#This Row],[Voltage]])</f>
        <v>GXPBPD_GXP110</v>
      </c>
      <c r="B5" s="3" t="str">
        <f>CONCATENATE(BPD[[#This Row],[Supply Level]],BPD[[#This Row],[Station/Feeder]],BPD[[#This Row],[Equipment ID]],BPD[[#This Row],[Voltage]],BPD[[#This Row],[Device type]])</f>
        <v>GXPBPD_GXPBPD-T2-CB482110Other Equipment</v>
      </c>
      <c r="C5" s="3" t="s">
        <v>4</v>
      </c>
      <c r="D5" s="176" t="s">
        <v>366</v>
      </c>
      <c r="E5" s="3" t="s">
        <v>603</v>
      </c>
      <c r="F5" s="3" t="s">
        <v>243</v>
      </c>
      <c r="G5" s="26">
        <v>1</v>
      </c>
      <c r="H5" s="38" t="s">
        <v>696</v>
      </c>
      <c r="I5" s="3" t="s">
        <v>2483</v>
      </c>
      <c r="J5" s="38" t="s">
        <v>16</v>
      </c>
      <c r="K5" s="38" t="s">
        <v>1369</v>
      </c>
      <c r="L5" s="38" t="s">
        <v>48</v>
      </c>
      <c r="M5" s="139">
        <v>110</v>
      </c>
      <c r="N5" s="5">
        <v>180</v>
      </c>
      <c r="O5" s="5">
        <f t="shared" ref="O5:O40" si="0">IF(OR(N5="",N5="-"),"-",N5*$M5*SQRT(3)/1000)</f>
        <v>34.294605989863769</v>
      </c>
      <c r="P5" s="5">
        <v>180</v>
      </c>
      <c r="Q5" s="5">
        <f t="shared" ref="Q5:Q40" si="1">IF(OR(P5="",P5="-"),"-",P5*$M5*SQRT(3)/1000)</f>
        <v>34.294605989863769</v>
      </c>
      <c r="R5" s="5">
        <v>180</v>
      </c>
      <c r="S5" s="5">
        <f t="shared" ref="S5:S58" si="2">IF(OR(R5="",R5="-"),"-",R5*$M5*SQRT(3)/1000)</f>
        <v>34.294605989863769</v>
      </c>
      <c r="T5" s="5">
        <v>180</v>
      </c>
      <c r="U5" s="5">
        <f t="shared" ref="U5:U40" si="3">IF(OR(T5="",T5="-"),"-",T5*$M5*SQRT(3)/1000)</f>
        <v>34.294605989863769</v>
      </c>
      <c r="V5" s="5">
        <v>180</v>
      </c>
      <c r="W5" s="5">
        <f t="shared" ref="W5:W40" si="4">IF(OR(V5="",V5="-"),"-",V5*$M5*SQRT(3)/1000)</f>
        <v>34.294605989863769</v>
      </c>
      <c r="X5" s="5">
        <v>180</v>
      </c>
      <c r="Y5" s="5">
        <f t="shared" ref="Y5:Y40" si="5">IF(OR(X5="",X5="-"),"-",X5*$M5*SQRT(3)/1000)</f>
        <v>34.294605989863769</v>
      </c>
      <c r="Z5" s="5">
        <v>180</v>
      </c>
      <c r="AA5" s="5">
        <f t="shared" ref="AA5:AA27" si="6">IF(OR(Z5="",Z5="-"),"-",Z5*$M5*SQRT(3)/1000)</f>
        <v>34.294605989863769</v>
      </c>
      <c r="AB5" s="5" t="s">
        <v>0</v>
      </c>
      <c r="AC5" s="5" t="str">
        <f t="shared" ref="AC5:AC27" si="7">IF(OR(AB5="",AB5="-"),"-",AB5*$M5*SQRT(3)/1000)</f>
        <v>-</v>
      </c>
      <c r="AD5" s="5" t="s">
        <v>0</v>
      </c>
      <c r="AE5" s="5" t="str">
        <f t="shared" ref="AE5:AE27" si="8">IF(OR(AD5="",AD5="-"),"-",AD5*$M5*SQRT(3)/1000)</f>
        <v>-</v>
      </c>
      <c r="AF5" s="5" t="s">
        <v>0</v>
      </c>
      <c r="AG5" s="5" t="s">
        <v>0</v>
      </c>
      <c r="AH5" s="5" t="s">
        <v>0</v>
      </c>
      <c r="AI5" s="5" t="s">
        <v>0</v>
      </c>
      <c r="AJ5" s="5" t="s">
        <v>0</v>
      </c>
      <c r="AK5" s="5" t="s">
        <v>0</v>
      </c>
      <c r="AL5" s="5" t="s">
        <v>0</v>
      </c>
      <c r="AM5" s="5" t="s">
        <v>0</v>
      </c>
      <c r="AN5" s="5" t="s">
        <v>0</v>
      </c>
      <c r="AO5" s="5" t="s">
        <v>0</v>
      </c>
      <c r="AP5" s="5" t="s">
        <v>0</v>
      </c>
      <c r="AQ5" s="5" t="s">
        <v>0</v>
      </c>
      <c r="AR5" s="5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5" s="5" t="str">
        <f t="shared" ref="AS5:AS40" si="9">IF(OR(AR5="",AR5="-"),"-",AR5*$M5*SQRT(3)/1000)</f>
        <v>-</v>
      </c>
      <c r="AT5" s="5">
        <f>IF(RIGHT(BPD[[#This Row],[Device type]],7)="Winding","-",BPD[[#This Row],[Cont Winter MVA]])</f>
        <v>34.294605989863769</v>
      </c>
      <c r="AU5" s="5">
        <f>IF(RIGHT(BPD[[#This Row],[Device type]],7)="Winding","-",BPD[[#This Row],[Cont Shoulder MVA]])</f>
        <v>34.294605989863769</v>
      </c>
      <c r="AV5" s="5">
        <f>IF(RIGHT(BPD[[#This Row],[Device type]],7)="Winding","-",BPD[[#This Row],[Cont Summer MVA]])</f>
        <v>34.294605989863769</v>
      </c>
      <c r="AW5" s="5">
        <f>BPD[[#This Row],[24 Hr Winter MVA]]</f>
        <v>34.294605989863769</v>
      </c>
      <c r="AX5" s="5">
        <f>BPD[[#This Row],[24 Hr Summer MVA]]</f>
        <v>34.294605989863769</v>
      </c>
      <c r="AY5" s="5">
        <f>BPD[[#This Row],[Forwards MVA]]</f>
        <v>34.294605989863769</v>
      </c>
      <c r="AZ5" s="5" t="str">
        <f>BPD[[#This Row],[Relay MVA]]</f>
        <v>-</v>
      </c>
      <c r="BA5" s="5" t="str">
        <f>BPD[[#This Row],[CT MVA]]</f>
        <v>-</v>
      </c>
      <c r="BB5" s="5" t="str">
        <f>BPD[[#This Row],[Derating MVA]]</f>
        <v>-</v>
      </c>
      <c r="BC5" s="5" t="str">
        <f>BPD[[#This Row],[Station/Feeder]]&amp;BPD[[#This Row],[Lowest MVA]]</f>
        <v>BPD_GXP34.2946059898638</v>
      </c>
      <c r="BD5" s="29" t="str">
        <f>CONCATENATE(BPD[[#This Row],[Supply Level]],BPD[[#This Row],[Station/Feeder]],BPD[[#This Row],[Voltage]],BPD[[#This Row],[Lowest A-No PTX]])</f>
        <v>GXPBPD_GXP110180</v>
      </c>
      <c r="BE5" s="29" t="str">
        <f>CONCATENATE(BPD[[#This Row],[Supply Level]],BPD[[#This Row],[Station/Feeder]],BPD[[#This Row],[Voltage]],BPD[[#This Row],[Lowest A-PTX]])</f>
        <v>GXPBPD_GXP110180</v>
      </c>
      <c r="BF5" s="5">
        <f>IF(MIN(BPD[[#This Row],[Summ Cont Winter A]:[Cable Derating]])=0,"",MIN(BPD[[#This Row],[Summ Cont Winter A]:[Cable Derating]]))</f>
        <v>34.294605989863769</v>
      </c>
      <c r="BG5" s="5">
        <f>IFERROR(BPD[[#This Row],[Lowest MVA]]*1000/(BPD[[#This Row],[Voltage]]*SQRT(3)),"")</f>
        <v>180</v>
      </c>
      <c r="BH5" s="5">
        <f t="shared" ref="BH5:BH37" si="10">IF(MIN(N5,P5,R5,T5,V5,X5,Z5,AB5,AD5,AR5)=0,"",MIN(N5,P5,R5,T5,V5,X5,Z5,AB5,AD5,AR5))</f>
        <v>180</v>
      </c>
      <c r="BI5" s="5" t="str">
        <f>BPD[[#This Row],[From]]</f>
        <v>110 kV Bus</v>
      </c>
      <c r="BJ5" s="5" t="str">
        <f>BPD[[#This Row],[To]]</f>
        <v>11 kV Bus</v>
      </c>
      <c r="BK5" s="5" t="str">
        <f>IF(BPD[[#This Row],[Device type]]="-",BPD[[#This Row],[Equipment Type]]&amp;"-"&amp;BPD[[#This Row],[Equipment ID]],BPD[[#This Row],[Equipment Type]]&amp;"-"&amp;BPD[[#This Row],[Equipment ID]]&amp;"-"&amp;BPD[[#This Row],[Device type]])</f>
        <v>Current Transformer-BPD-T2-CB482-Other Equipment</v>
      </c>
      <c r="BL5" s="5">
        <f>BPD[[#This Row],[Voltage]]</f>
        <v>110</v>
      </c>
    </row>
    <row r="6" spans="1:64" s="337" customFormat="1" x14ac:dyDescent="0.25">
      <c r="A6" s="6" t="str">
        <f>CONCATENATE(BPD[[#This Row],[Supply Level]],BPD[[#This Row],[Station/Feeder]],BPD[[#This Row],[Voltage]])</f>
        <v>GXPBPD_GXP110</v>
      </c>
      <c r="B6" s="6" t="str">
        <f>CONCATENATE(BPD[[#This Row],[Supply Level]],BPD[[#This Row],[Station/Feeder]],BPD[[#This Row],[Equipment ID]],BPD[[#This Row],[Voltage]],BPD[[#This Row],[Device type]])</f>
        <v>GXPBPD_GXPDS446110Disconnector</v>
      </c>
      <c r="C6" s="6" t="s">
        <v>4</v>
      </c>
      <c r="D6" s="6" t="s">
        <v>366</v>
      </c>
      <c r="E6" s="6" t="s">
        <v>603</v>
      </c>
      <c r="F6" s="6" t="s">
        <v>697</v>
      </c>
      <c r="G6" s="27">
        <v>2</v>
      </c>
      <c r="H6" s="7" t="s">
        <v>698</v>
      </c>
      <c r="I6" s="6" t="s">
        <v>697</v>
      </c>
      <c r="J6" s="7" t="s">
        <v>17</v>
      </c>
      <c r="K6" s="7" t="s">
        <v>699</v>
      </c>
      <c r="L6" s="7" t="s">
        <v>17</v>
      </c>
      <c r="M6" s="43">
        <v>110</v>
      </c>
      <c r="N6" s="9">
        <v>630</v>
      </c>
      <c r="O6" s="9">
        <f t="shared" si="0"/>
        <v>120.03112096452318</v>
      </c>
      <c r="P6" s="9">
        <v>630</v>
      </c>
      <c r="Q6" s="9">
        <f t="shared" si="1"/>
        <v>120.03112096452318</v>
      </c>
      <c r="R6" s="9">
        <v>630</v>
      </c>
      <c r="S6" s="9">
        <f t="shared" si="2"/>
        <v>120.03112096452318</v>
      </c>
      <c r="T6" s="9" t="s">
        <v>0</v>
      </c>
      <c r="U6" s="9" t="str">
        <f t="shared" si="3"/>
        <v>-</v>
      </c>
      <c r="V6" s="9" t="s">
        <v>0</v>
      </c>
      <c r="W6" s="9" t="str">
        <f t="shared" si="4"/>
        <v>-</v>
      </c>
      <c r="X6" s="9" t="s">
        <v>0</v>
      </c>
      <c r="Y6" s="9" t="str">
        <f t="shared" si="5"/>
        <v>-</v>
      </c>
      <c r="Z6" s="9" t="s">
        <v>0</v>
      </c>
      <c r="AA6" s="9" t="str">
        <f t="shared" si="6"/>
        <v>-</v>
      </c>
      <c r="AB6" s="9" t="s">
        <v>0</v>
      </c>
      <c r="AC6" s="9" t="str">
        <f t="shared" si="7"/>
        <v>-</v>
      </c>
      <c r="AD6" s="9" t="s">
        <v>0</v>
      </c>
      <c r="AE6" s="9" t="str">
        <f t="shared" si="8"/>
        <v>-</v>
      </c>
      <c r="AF6" s="9" t="s">
        <v>0</v>
      </c>
      <c r="AG6" s="9" t="s">
        <v>0</v>
      </c>
      <c r="AH6" s="9" t="s">
        <v>0</v>
      </c>
      <c r="AI6" s="9" t="s">
        <v>0</v>
      </c>
      <c r="AJ6" s="9" t="s">
        <v>0</v>
      </c>
      <c r="AK6" s="9" t="s">
        <v>0</v>
      </c>
      <c r="AL6" s="9" t="s">
        <v>0</v>
      </c>
      <c r="AM6" s="9" t="s">
        <v>0</v>
      </c>
      <c r="AN6" s="9" t="s">
        <v>0</v>
      </c>
      <c r="AO6" s="9" t="s">
        <v>0</v>
      </c>
      <c r="AP6" s="9" t="s">
        <v>0</v>
      </c>
      <c r="AQ6" s="9" t="s">
        <v>0</v>
      </c>
      <c r="AR6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6" s="9" t="str">
        <f t="shared" si="9"/>
        <v>-</v>
      </c>
      <c r="AT6" s="9">
        <f>IF(RIGHT(BPD[[#This Row],[Device type]],7)="Winding","-",BPD[[#This Row],[Cont Winter MVA]])</f>
        <v>120.03112096452318</v>
      </c>
      <c r="AU6" s="9">
        <f>IF(RIGHT(BPD[[#This Row],[Device type]],7)="Winding","-",BPD[[#This Row],[Cont Shoulder MVA]])</f>
        <v>120.03112096452318</v>
      </c>
      <c r="AV6" s="9">
        <f>IF(RIGHT(BPD[[#This Row],[Device type]],7)="Winding","-",BPD[[#This Row],[Cont Summer MVA]])</f>
        <v>120.03112096452318</v>
      </c>
      <c r="AW6" s="9" t="str">
        <f>BPD[[#This Row],[24 Hr Winter MVA]]</f>
        <v>-</v>
      </c>
      <c r="AX6" s="9" t="str">
        <f>BPD[[#This Row],[24 Hr Summer MVA]]</f>
        <v>-</v>
      </c>
      <c r="AY6" s="9" t="str">
        <f>BPD[[#This Row],[Forwards MVA]]</f>
        <v>-</v>
      </c>
      <c r="AZ6" s="9" t="str">
        <f>BPD[[#This Row],[Relay MVA]]</f>
        <v>-</v>
      </c>
      <c r="BA6" s="9" t="str">
        <f>BPD[[#This Row],[CT MVA]]</f>
        <v>-</v>
      </c>
      <c r="BB6" s="9" t="str">
        <f>BPD[[#This Row],[Derating MVA]]</f>
        <v>-</v>
      </c>
      <c r="BC6" s="9" t="str">
        <f>BPD[[#This Row],[Station/Feeder]]&amp;BPD[[#This Row],[Lowest MVA]]</f>
        <v>BPD_GXP120.031120964523</v>
      </c>
      <c r="BD6" s="9" t="str">
        <f>CONCATENATE(BPD[[#This Row],[Supply Level]],BPD[[#This Row],[Station/Feeder]],BPD[[#This Row],[Voltage]],BPD[[#This Row],[Lowest A-No PTX]])</f>
        <v>GXPBPD_GXP110630</v>
      </c>
      <c r="BE6" s="9" t="str">
        <f>CONCATENATE(BPD[[#This Row],[Supply Level]],BPD[[#This Row],[Station/Feeder]],BPD[[#This Row],[Voltage]],BPD[[#This Row],[Lowest A-PTX]])</f>
        <v>GXPBPD_GXP110630</v>
      </c>
      <c r="BF6" s="9">
        <f>IF(MIN(BPD[[#This Row],[Summ Cont Winter A]:[Cable Derating]])=0,"",MIN(BPD[[#This Row],[Summ Cont Winter A]:[Cable Derating]]))</f>
        <v>120.03112096452318</v>
      </c>
      <c r="BG6" s="9">
        <f>IFERROR(BPD[[#This Row],[Lowest MVA]]*1000/(BPD[[#This Row],[Voltage]]*SQRT(3)),"")</f>
        <v>630</v>
      </c>
      <c r="BH6" s="9">
        <f t="shared" si="10"/>
        <v>630</v>
      </c>
      <c r="BI6" s="9" t="str">
        <f>BPD[[#This Row],[From]]</f>
        <v>110 kV Bus</v>
      </c>
      <c r="BJ6" s="9" t="str">
        <f>BPD[[#This Row],[To]]</f>
        <v>DS446</v>
      </c>
      <c r="BK6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Disconnector-DS446-Disconnector</v>
      </c>
      <c r="BL6" s="9">
        <f>BPD[[#This Row],[Voltage]]</f>
        <v>110</v>
      </c>
    </row>
    <row r="7" spans="1:64" s="337" customFormat="1" x14ac:dyDescent="0.25">
      <c r="A7" s="6" t="str">
        <f>CONCATENATE(BPD[[#This Row],[Supply Level]],BPD[[#This Row],[Station/Feeder]],BPD[[#This Row],[Voltage]])</f>
        <v>GXPBPD_GXP110</v>
      </c>
      <c r="B7" s="6" t="str">
        <f>CONCATENATE(BPD[[#This Row],[Supply Level]],BPD[[#This Row],[Station/Feeder]],BPD[[#This Row],[Equipment ID]],BPD[[#This Row],[Voltage]],BPD[[#This Row],[Device type]])</f>
        <v>GXPBPD_GXPDS486110Disconnector</v>
      </c>
      <c r="C7" s="6" t="s">
        <v>4</v>
      </c>
      <c r="D7" s="118" t="s">
        <v>366</v>
      </c>
      <c r="E7" s="6" t="s">
        <v>603</v>
      </c>
      <c r="F7" s="6" t="s">
        <v>700</v>
      </c>
      <c r="G7" s="27">
        <v>3</v>
      </c>
      <c r="H7" s="7" t="s">
        <v>701</v>
      </c>
      <c r="I7" s="6" t="s">
        <v>700</v>
      </c>
      <c r="J7" s="7" t="s">
        <v>17</v>
      </c>
      <c r="K7" s="7" t="s">
        <v>702</v>
      </c>
      <c r="L7" s="7" t="s">
        <v>17</v>
      </c>
      <c r="M7" s="43">
        <v>110</v>
      </c>
      <c r="N7" s="9">
        <v>630</v>
      </c>
      <c r="O7" s="9">
        <f t="shared" si="0"/>
        <v>120.03112096452318</v>
      </c>
      <c r="P7" s="9">
        <v>630</v>
      </c>
      <c r="Q7" s="9">
        <f t="shared" si="1"/>
        <v>120.03112096452318</v>
      </c>
      <c r="R7" s="9">
        <v>630</v>
      </c>
      <c r="S7" s="9">
        <f t="shared" si="2"/>
        <v>120.03112096452318</v>
      </c>
      <c r="T7" s="9" t="s">
        <v>0</v>
      </c>
      <c r="U7" s="9" t="str">
        <f t="shared" si="3"/>
        <v>-</v>
      </c>
      <c r="V7" s="9" t="s">
        <v>0</v>
      </c>
      <c r="W7" s="9" t="str">
        <f t="shared" si="4"/>
        <v>-</v>
      </c>
      <c r="X7" s="9" t="s">
        <v>0</v>
      </c>
      <c r="Y7" s="9" t="str">
        <f t="shared" si="5"/>
        <v>-</v>
      </c>
      <c r="Z7" s="9" t="s">
        <v>0</v>
      </c>
      <c r="AA7" s="9" t="str">
        <f t="shared" si="6"/>
        <v>-</v>
      </c>
      <c r="AB7" s="9" t="s">
        <v>0</v>
      </c>
      <c r="AC7" s="9" t="str">
        <f t="shared" si="7"/>
        <v>-</v>
      </c>
      <c r="AD7" s="9" t="s">
        <v>0</v>
      </c>
      <c r="AE7" s="9" t="str">
        <f t="shared" si="8"/>
        <v>-</v>
      </c>
      <c r="AF7" s="9" t="s">
        <v>0</v>
      </c>
      <c r="AG7" s="9" t="s">
        <v>0</v>
      </c>
      <c r="AH7" s="9" t="s">
        <v>0</v>
      </c>
      <c r="AI7" s="9" t="s">
        <v>0</v>
      </c>
      <c r="AJ7" s="9" t="s">
        <v>0</v>
      </c>
      <c r="AK7" s="9" t="s">
        <v>0</v>
      </c>
      <c r="AL7" s="9" t="s">
        <v>0</v>
      </c>
      <c r="AM7" s="9" t="s">
        <v>0</v>
      </c>
      <c r="AN7" s="9" t="s">
        <v>0</v>
      </c>
      <c r="AO7" s="9" t="s">
        <v>0</v>
      </c>
      <c r="AP7" s="9" t="s">
        <v>0</v>
      </c>
      <c r="AQ7" s="9" t="s">
        <v>0</v>
      </c>
      <c r="AR7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7" s="9" t="str">
        <f t="shared" si="9"/>
        <v>-</v>
      </c>
      <c r="AT7" s="9">
        <f>IF(RIGHT(BPD[[#This Row],[Device type]],7)="Winding","-",BPD[[#This Row],[Cont Winter MVA]])</f>
        <v>120.03112096452318</v>
      </c>
      <c r="AU7" s="9">
        <f>IF(RIGHT(BPD[[#This Row],[Device type]],7)="Winding","-",BPD[[#This Row],[Cont Shoulder MVA]])</f>
        <v>120.03112096452318</v>
      </c>
      <c r="AV7" s="9">
        <f>IF(RIGHT(BPD[[#This Row],[Device type]],7)="Winding","-",BPD[[#This Row],[Cont Summer MVA]])</f>
        <v>120.03112096452318</v>
      </c>
      <c r="AW7" s="9" t="str">
        <f>BPD[[#This Row],[24 Hr Winter MVA]]</f>
        <v>-</v>
      </c>
      <c r="AX7" s="9" t="str">
        <f>BPD[[#This Row],[24 Hr Summer MVA]]</f>
        <v>-</v>
      </c>
      <c r="AY7" s="9" t="str">
        <f>BPD[[#This Row],[Forwards MVA]]</f>
        <v>-</v>
      </c>
      <c r="AZ7" s="9" t="str">
        <f>BPD[[#This Row],[Relay MVA]]</f>
        <v>-</v>
      </c>
      <c r="BA7" s="9" t="str">
        <f>BPD[[#This Row],[CT MVA]]</f>
        <v>-</v>
      </c>
      <c r="BB7" s="9" t="str">
        <f>BPD[[#This Row],[Derating MVA]]</f>
        <v>-</v>
      </c>
      <c r="BC7" s="9" t="str">
        <f>BPD[[#This Row],[Station/Feeder]]&amp;BPD[[#This Row],[Lowest MVA]]</f>
        <v>BPD_GXP120.031120964523</v>
      </c>
      <c r="BD7" s="9" t="str">
        <f>CONCATENATE(BPD[[#This Row],[Supply Level]],BPD[[#This Row],[Station/Feeder]],BPD[[#This Row],[Voltage]],BPD[[#This Row],[Lowest A-No PTX]])</f>
        <v>GXPBPD_GXP110630</v>
      </c>
      <c r="BE7" s="9" t="str">
        <f>CONCATENATE(BPD[[#This Row],[Supply Level]],BPD[[#This Row],[Station/Feeder]],BPD[[#This Row],[Voltage]],BPD[[#This Row],[Lowest A-PTX]])</f>
        <v>GXPBPD_GXP110630</v>
      </c>
      <c r="BF7" s="9">
        <f>IF(MIN(BPD[[#This Row],[Summ Cont Winter A]:[Cable Derating]])=0,"",MIN(BPD[[#This Row],[Summ Cont Winter A]:[Cable Derating]]))</f>
        <v>120.03112096452318</v>
      </c>
      <c r="BG7" s="9">
        <f>IFERROR(BPD[[#This Row],[Lowest MVA]]*1000/(BPD[[#This Row],[Voltage]]*SQRT(3)),"")</f>
        <v>630</v>
      </c>
      <c r="BH7" s="9">
        <f t="shared" si="10"/>
        <v>630</v>
      </c>
      <c r="BI7" s="9" t="str">
        <f>BPD[[#This Row],[From]]</f>
        <v>110 kV Bus</v>
      </c>
      <c r="BJ7" s="9" t="str">
        <f>BPD[[#This Row],[To]]</f>
        <v>DS486</v>
      </c>
      <c r="BK7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Disconnector-DS486-Disconnector</v>
      </c>
      <c r="BL7" s="9">
        <f>BPD[[#This Row],[Voltage]]</f>
        <v>110</v>
      </c>
    </row>
    <row r="8" spans="1:64" s="337" customFormat="1" x14ac:dyDescent="0.25">
      <c r="A8" s="6" t="str">
        <f>CONCATENATE(BPD[[#This Row],[Supply Level]],BPD[[#This Row],[Station/Feeder]],BPD[[#This Row],[Voltage]])</f>
        <v>GXPBPD_GXP110</v>
      </c>
      <c r="B8" s="6" t="str">
        <f>CONCATENATE(BPD[[#This Row],[Supply Level]],BPD[[#This Row],[Station/Feeder]],BPD[[#This Row],[Equipment ID]],BPD[[#This Row],[Voltage]],BPD[[#This Row],[Device type]])</f>
        <v>GXPBPD_GXPWOLF110-</v>
      </c>
      <c r="C8" s="6" t="s">
        <v>4</v>
      </c>
      <c r="D8" s="11" t="s">
        <v>366</v>
      </c>
      <c r="E8" s="6" t="s">
        <v>603</v>
      </c>
      <c r="F8" s="6" t="s">
        <v>703</v>
      </c>
      <c r="G8" s="27">
        <v>4</v>
      </c>
      <c r="H8" s="7" t="s">
        <v>696</v>
      </c>
      <c r="I8" s="6" t="s">
        <v>472</v>
      </c>
      <c r="J8" s="7" t="s">
        <v>69</v>
      </c>
      <c r="K8" s="7" t="s">
        <v>0</v>
      </c>
      <c r="L8" s="7" t="s">
        <v>0</v>
      </c>
      <c r="M8" s="43">
        <v>110</v>
      </c>
      <c r="N8" s="9">
        <v>422</v>
      </c>
      <c r="O8" s="9">
        <f t="shared" si="0"/>
        <v>80.401798487347278</v>
      </c>
      <c r="P8" s="9">
        <v>386</v>
      </c>
      <c r="Q8" s="9">
        <f t="shared" si="1"/>
        <v>73.542877289374516</v>
      </c>
      <c r="R8" s="9">
        <v>345</v>
      </c>
      <c r="S8" s="9">
        <f t="shared" si="2"/>
        <v>65.731328147238898</v>
      </c>
      <c r="T8" s="9" t="s">
        <v>0</v>
      </c>
      <c r="U8" s="9" t="str">
        <f t="shared" si="3"/>
        <v>-</v>
      </c>
      <c r="V8" s="9" t="s">
        <v>0</v>
      </c>
      <c r="W8" s="9" t="str">
        <f t="shared" si="4"/>
        <v>-</v>
      </c>
      <c r="X8" s="9" t="s">
        <v>0</v>
      </c>
      <c r="Y8" s="9" t="str">
        <f t="shared" si="5"/>
        <v>-</v>
      </c>
      <c r="Z8" s="9" t="s">
        <v>0</v>
      </c>
      <c r="AA8" s="9" t="str">
        <f t="shared" si="6"/>
        <v>-</v>
      </c>
      <c r="AB8" s="9" t="s">
        <v>0</v>
      </c>
      <c r="AC8" s="9" t="str">
        <f t="shared" si="7"/>
        <v>-</v>
      </c>
      <c r="AD8" s="9" t="s">
        <v>0</v>
      </c>
      <c r="AE8" s="9" t="str">
        <f t="shared" si="8"/>
        <v>-</v>
      </c>
      <c r="AF8" s="9" t="s">
        <v>0</v>
      </c>
      <c r="AG8" s="9" t="s">
        <v>0</v>
      </c>
      <c r="AH8" s="9" t="s">
        <v>0</v>
      </c>
      <c r="AI8" s="9" t="s">
        <v>0</v>
      </c>
      <c r="AJ8" s="9" t="s">
        <v>0</v>
      </c>
      <c r="AK8" s="9" t="s">
        <v>0</v>
      </c>
      <c r="AL8" s="9" t="s">
        <v>0</v>
      </c>
      <c r="AM8" s="9" t="s">
        <v>0</v>
      </c>
      <c r="AN8" s="9" t="s">
        <v>0</v>
      </c>
      <c r="AO8" s="9" t="s">
        <v>0</v>
      </c>
      <c r="AP8" s="9" t="s">
        <v>0</v>
      </c>
      <c r="AQ8" s="9" t="s">
        <v>0</v>
      </c>
      <c r="AR8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8" s="9" t="str">
        <f t="shared" si="9"/>
        <v>-</v>
      </c>
      <c r="AT8" s="9">
        <f>IF(RIGHT(BPD[[#This Row],[Device type]],7)="Winding","-",BPD[[#This Row],[Cont Winter MVA]])</f>
        <v>80.401798487347278</v>
      </c>
      <c r="AU8" s="9">
        <f>IF(RIGHT(BPD[[#This Row],[Device type]],7)="Winding","-",BPD[[#This Row],[Cont Shoulder MVA]])</f>
        <v>73.542877289374516</v>
      </c>
      <c r="AV8" s="9">
        <f>IF(RIGHT(BPD[[#This Row],[Device type]],7)="Winding","-",BPD[[#This Row],[Cont Summer MVA]])</f>
        <v>65.731328147238898</v>
      </c>
      <c r="AW8" s="9" t="str">
        <f>BPD[[#This Row],[24 Hr Winter MVA]]</f>
        <v>-</v>
      </c>
      <c r="AX8" s="9" t="str">
        <f>BPD[[#This Row],[24 Hr Summer MVA]]</f>
        <v>-</v>
      </c>
      <c r="AY8" s="9" t="str">
        <f>BPD[[#This Row],[Forwards MVA]]</f>
        <v>-</v>
      </c>
      <c r="AZ8" s="9" t="str">
        <f>BPD[[#This Row],[Relay MVA]]</f>
        <v>-</v>
      </c>
      <c r="BA8" s="9" t="str">
        <f>BPD[[#This Row],[CT MVA]]</f>
        <v>-</v>
      </c>
      <c r="BB8" s="9" t="str">
        <f>BPD[[#This Row],[Derating MVA]]</f>
        <v>-</v>
      </c>
      <c r="BC8" s="9" t="str">
        <f>BPD[[#This Row],[Station/Feeder]]&amp;BPD[[#This Row],[Lowest MVA]]</f>
        <v>BPD_GXP65.7313281472389</v>
      </c>
      <c r="BD8" s="9" t="str">
        <f>CONCATENATE(BPD[[#This Row],[Supply Level]],BPD[[#This Row],[Station/Feeder]],BPD[[#This Row],[Voltage]],BPD[[#This Row],[Lowest A-No PTX]])</f>
        <v>GXPBPD_GXP110345</v>
      </c>
      <c r="BE8" s="9" t="str">
        <f>CONCATENATE(BPD[[#This Row],[Supply Level]],BPD[[#This Row],[Station/Feeder]],BPD[[#This Row],[Voltage]],BPD[[#This Row],[Lowest A-PTX]])</f>
        <v>GXPBPD_GXP110345</v>
      </c>
      <c r="BF8" s="9">
        <f>IF(MIN(BPD[[#This Row],[Summ Cont Winter A]:[Cable Derating]])=0,"",MIN(BPD[[#This Row],[Summ Cont Winter A]:[Cable Derating]]))</f>
        <v>65.731328147238898</v>
      </c>
      <c r="BG8" s="9">
        <f>IFERROR(BPD[[#This Row],[Lowest MVA]]*1000/(BPD[[#This Row],[Voltage]]*SQRT(3)),"")</f>
        <v>345</v>
      </c>
      <c r="BH8" s="9">
        <f t="shared" si="10"/>
        <v>345</v>
      </c>
      <c r="BI8" s="9" t="str">
        <f>BPD[[#This Row],[From]]</f>
        <v>110 kV Bus</v>
      </c>
      <c r="BJ8" s="9" t="str">
        <f>BPD[[#This Row],[To]]</f>
        <v>BPD T-off</v>
      </c>
      <c r="BK8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OH Line-WOLF</v>
      </c>
      <c r="BL8" s="9">
        <f>BPD[[#This Row],[Voltage]]</f>
        <v>110</v>
      </c>
    </row>
    <row r="9" spans="1:64" s="337" customFormat="1" x14ac:dyDescent="0.25">
      <c r="A9" s="6" t="str">
        <f>CONCATENATE(BPD[[#This Row],[Supply Level]],BPD[[#This Row],[Station/Feeder]],BPD[[#This Row],[Voltage]])</f>
        <v>GXPBPD_GXP110</v>
      </c>
      <c r="B9" s="6" t="str">
        <f>CONCATENATE(BPD[[#This Row],[Supply Level]],BPD[[#This Row],[Station/Feeder]],BPD[[#This Row],[Equipment ID]],BPD[[#This Row],[Voltage]],BPD[[#This Row],[Device type]])</f>
        <v>GXPBPD_GXPBPD-T1-CB442110Other Equipment</v>
      </c>
      <c r="C9" s="6" t="s">
        <v>4</v>
      </c>
      <c r="D9" s="11" t="s">
        <v>366</v>
      </c>
      <c r="E9" s="6" t="s">
        <v>603</v>
      </c>
      <c r="F9" s="6" t="s">
        <v>697</v>
      </c>
      <c r="G9" s="27">
        <v>5</v>
      </c>
      <c r="H9" s="7" t="s">
        <v>698</v>
      </c>
      <c r="I9" s="6" t="s">
        <v>2478</v>
      </c>
      <c r="J9" s="7" t="s">
        <v>16</v>
      </c>
      <c r="K9" s="7" t="s">
        <v>704</v>
      </c>
      <c r="L9" s="7" t="s">
        <v>48</v>
      </c>
      <c r="M9" s="43">
        <v>110</v>
      </c>
      <c r="N9" s="9">
        <v>240</v>
      </c>
      <c r="O9" s="9">
        <f t="shared" si="0"/>
        <v>45.72614131981836</v>
      </c>
      <c r="P9" s="9">
        <v>240</v>
      </c>
      <c r="Q9" s="9">
        <f t="shared" si="1"/>
        <v>45.72614131981836</v>
      </c>
      <c r="R9" s="9">
        <v>240</v>
      </c>
      <c r="S9" s="9">
        <f t="shared" si="2"/>
        <v>45.72614131981836</v>
      </c>
      <c r="T9" s="9">
        <v>240</v>
      </c>
      <c r="U9" s="9">
        <f t="shared" si="3"/>
        <v>45.72614131981836</v>
      </c>
      <c r="V9" s="9">
        <v>240</v>
      </c>
      <c r="W9" s="9">
        <f t="shared" si="4"/>
        <v>45.72614131981836</v>
      </c>
      <c r="X9" s="9" t="s">
        <v>0</v>
      </c>
      <c r="Y9" s="9" t="str">
        <f t="shared" si="5"/>
        <v>-</v>
      </c>
      <c r="Z9" s="9" t="s">
        <v>0</v>
      </c>
      <c r="AA9" s="9" t="str">
        <f t="shared" si="6"/>
        <v>-</v>
      </c>
      <c r="AB9" s="9" t="s">
        <v>0</v>
      </c>
      <c r="AC9" s="9" t="str">
        <f t="shared" si="7"/>
        <v>-</v>
      </c>
      <c r="AD9" s="9" t="s">
        <v>0</v>
      </c>
      <c r="AE9" s="9" t="str">
        <f t="shared" si="8"/>
        <v>-</v>
      </c>
      <c r="AF9" s="9" t="s">
        <v>0</v>
      </c>
      <c r="AG9" s="9" t="s">
        <v>0</v>
      </c>
      <c r="AH9" s="9" t="s">
        <v>0</v>
      </c>
      <c r="AI9" s="9" t="s">
        <v>0</v>
      </c>
      <c r="AJ9" s="9" t="s">
        <v>0</v>
      </c>
      <c r="AK9" s="9" t="s">
        <v>0</v>
      </c>
      <c r="AL9" s="9" t="s">
        <v>0</v>
      </c>
      <c r="AM9" s="9" t="s">
        <v>0</v>
      </c>
      <c r="AN9" s="9" t="s">
        <v>0</v>
      </c>
      <c r="AO9" s="9" t="s">
        <v>0</v>
      </c>
      <c r="AP9" s="9" t="s">
        <v>0</v>
      </c>
      <c r="AQ9" s="9" t="s">
        <v>0</v>
      </c>
      <c r="AR9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9" s="9" t="str">
        <f t="shared" si="9"/>
        <v>-</v>
      </c>
      <c r="AT9" s="9">
        <f>IF(RIGHT(BPD[[#This Row],[Device type]],7)="Winding","-",BPD[[#This Row],[Cont Winter MVA]])</f>
        <v>45.72614131981836</v>
      </c>
      <c r="AU9" s="9">
        <f>IF(RIGHT(BPD[[#This Row],[Device type]],7)="Winding","-",BPD[[#This Row],[Cont Shoulder MVA]])</f>
        <v>45.72614131981836</v>
      </c>
      <c r="AV9" s="9">
        <f>IF(RIGHT(BPD[[#This Row],[Device type]],7)="Winding","-",BPD[[#This Row],[Cont Summer MVA]])</f>
        <v>45.72614131981836</v>
      </c>
      <c r="AW9" s="9">
        <f>BPD[[#This Row],[24 Hr Winter MVA]]</f>
        <v>45.72614131981836</v>
      </c>
      <c r="AX9" s="9">
        <f>BPD[[#This Row],[24 Hr Summer MVA]]</f>
        <v>45.72614131981836</v>
      </c>
      <c r="AY9" s="9" t="str">
        <f>BPD[[#This Row],[Forwards MVA]]</f>
        <v>-</v>
      </c>
      <c r="AZ9" s="9" t="str">
        <f>BPD[[#This Row],[Relay MVA]]</f>
        <v>-</v>
      </c>
      <c r="BA9" s="9" t="str">
        <f>BPD[[#This Row],[CT MVA]]</f>
        <v>-</v>
      </c>
      <c r="BB9" s="9" t="str">
        <f>BPD[[#This Row],[Derating MVA]]</f>
        <v>-</v>
      </c>
      <c r="BC9" s="9" t="str">
        <f>BPD[[#This Row],[Station/Feeder]]&amp;BPD[[#This Row],[Lowest MVA]]</f>
        <v>BPD_GXP45.7261413198184</v>
      </c>
      <c r="BD9" s="9" t="str">
        <f>CONCATENATE(BPD[[#This Row],[Supply Level]],BPD[[#This Row],[Station/Feeder]],BPD[[#This Row],[Voltage]],BPD[[#This Row],[Lowest A-No PTX]])</f>
        <v>GXPBPD_GXP110240</v>
      </c>
      <c r="BE9" s="9" t="str">
        <f>CONCATENATE(BPD[[#This Row],[Supply Level]],BPD[[#This Row],[Station/Feeder]],BPD[[#This Row],[Voltage]],BPD[[#This Row],[Lowest A-PTX]])</f>
        <v>GXPBPD_GXP110240</v>
      </c>
      <c r="BF9" s="9">
        <f>IF(MIN(BPD[[#This Row],[Summ Cont Winter A]:[Cable Derating]])=0,"",MIN(BPD[[#This Row],[Summ Cont Winter A]:[Cable Derating]]))</f>
        <v>45.72614131981836</v>
      </c>
      <c r="BG9" s="9">
        <f>IFERROR(BPD[[#This Row],[Lowest MVA]]*1000/(BPD[[#This Row],[Voltage]]*SQRT(3)),"")</f>
        <v>240</v>
      </c>
      <c r="BH9" s="9">
        <f t="shared" si="10"/>
        <v>240</v>
      </c>
      <c r="BI9" s="9" t="str">
        <f>BPD[[#This Row],[From]]</f>
        <v>110 kV Bus</v>
      </c>
      <c r="BJ9" s="9" t="str">
        <f>BPD[[#This Row],[To]]</f>
        <v>DS446</v>
      </c>
      <c r="BK9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Current Transformer-BPD-T1-CB442-Other Equipment</v>
      </c>
      <c r="BL9" s="9">
        <f>BPD[[#This Row],[Voltage]]</f>
        <v>110</v>
      </c>
    </row>
    <row r="10" spans="1:64" s="337" customFormat="1" x14ac:dyDescent="0.25">
      <c r="A10" s="6" t="str">
        <f>CONCATENATE(BPD[[#This Row],[Supply Level]],BPD[[#This Row],[Station/Feeder]],BPD[[#This Row],[Voltage]])</f>
        <v>GXPBPD_GXP110</v>
      </c>
      <c r="B10" s="6" t="str">
        <f>CONCATENATE(BPD[[#This Row],[Supply Level]],BPD[[#This Row],[Station/Feeder]],BPD[[#This Row],[Equipment ID]],BPD[[#This Row],[Voltage]],BPD[[#This Row],[Device type]])</f>
        <v>GXPBPD_GXPBPD-T1-CB442110Protection</v>
      </c>
      <c r="C10" s="6" t="s">
        <v>4</v>
      </c>
      <c r="D10" s="11" t="s">
        <v>366</v>
      </c>
      <c r="E10" s="6" t="s">
        <v>603</v>
      </c>
      <c r="F10" s="6" t="s">
        <v>697</v>
      </c>
      <c r="G10" s="27">
        <v>1</v>
      </c>
      <c r="H10" s="7" t="s">
        <v>1370</v>
      </c>
      <c r="I10" s="6" t="s">
        <v>2478</v>
      </c>
      <c r="J10" s="7" t="s">
        <v>15</v>
      </c>
      <c r="K10" s="7" t="s">
        <v>1121</v>
      </c>
      <c r="L10" s="7" t="s">
        <v>1423</v>
      </c>
      <c r="M10" s="43">
        <v>110</v>
      </c>
      <c r="N10" s="9">
        <v>3150</v>
      </c>
      <c r="O10" s="9">
        <f t="shared" si="0"/>
        <v>600.15560482261594</v>
      </c>
      <c r="P10" s="9">
        <v>3150</v>
      </c>
      <c r="Q10" s="9">
        <f t="shared" si="1"/>
        <v>600.15560482261594</v>
      </c>
      <c r="R10" s="9">
        <v>3150</v>
      </c>
      <c r="S10" s="9">
        <f t="shared" si="2"/>
        <v>600.15560482261594</v>
      </c>
      <c r="T10" s="9" t="s">
        <v>0</v>
      </c>
      <c r="U10" s="9" t="str">
        <f t="shared" si="3"/>
        <v>-</v>
      </c>
      <c r="V10" s="9" t="s">
        <v>0</v>
      </c>
      <c r="W10" s="9" t="str">
        <f t="shared" si="4"/>
        <v>-</v>
      </c>
      <c r="X10" s="9">
        <f>VLOOKUP(BPD[[#This Row],[Equipment ID]],AEL_Protection_Data[#All],12,0)</f>
        <v>292</v>
      </c>
      <c r="Y10" s="9">
        <f t="shared" si="5"/>
        <v>55.633471939112333</v>
      </c>
      <c r="Z10" s="9">
        <v>219</v>
      </c>
      <c r="AA10" s="9">
        <f t="shared" si="6"/>
        <v>41.725103954334251</v>
      </c>
      <c r="AB10" s="9">
        <v>600</v>
      </c>
      <c r="AC10" s="9">
        <f t="shared" si="7"/>
        <v>114.31535329954589</v>
      </c>
      <c r="AD10" s="9">
        <v>240</v>
      </c>
      <c r="AE10" s="9">
        <f t="shared" si="8"/>
        <v>45.72614131981836</v>
      </c>
      <c r="AF10" s="9" t="s">
        <v>0</v>
      </c>
      <c r="AG10" s="9" t="s">
        <v>0</v>
      </c>
      <c r="AH10" s="9" t="s">
        <v>0</v>
      </c>
      <c r="AI10" s="9" t="s">
        <v>0</v>
      </c>
      <c r="AJ10" s="9" t="s">
        <v>0</v>
      </c>
      <c r="AK10" s="9" t="s">
        <v>0</v>
      </c>
      <c r="AL10" s="9" t="s">
        <v>0</v>
      </c>
      <c r="AM10" s="9" t="s">
        <v>0</v>
      </c>
      <c r="AN10" s="9" t="s">
        <v>0</v>
      </c>
      <c r="AO10" s="9" t="s">
        <v>0</v>
      </c>
      <c r="AP10" s="9" t="s">
        <v>0</v>
      </c>
      <c r="AQ10" s="9" t="s">
        <v>0</v>
      </c>
      <c r="AR10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10" s="9" t="str">
        <f t="shared" si="9"/>
        <v>-</v>
      </c>
      <c r="AT10" s="9">
        <f>IF(RIGHT(BPD[[#This Row],[Device type]],7)="Winding","-",BPD[[#This Row],[Cont Winter MVA]])</f>
        <v>600.15560482261594</v>
      </c>
      <c r="AU10" s="9">
        <f>IF(RIGHT(BPD[[#This Row],[Device type]],7)="Winding","-",BPD[[#This Row],[Cont Shoulder MVA]])</f>
        <v>600.15560482261594</v>
      </c>
      <c r="AV10" s="9">
        <f>IF(RIGHT(BPD[[#This Row],[Device type]],7)="Winding","-",BPD[[#This Row],[Cont Summer MVA]])</f>
        <v>600.15560482261594</v>
      </c>
      <c r="AW10" s="9" t="str">
        <f>BPD[[#This Row],[24 Hr Winter MVA]]</f>
        <v>-</v>
      </c>
      <c r="AX10" s="9" t="str">
        <f>BPD[[#This Row],[24 Hr Summer MVA]]</f>
        <v>-</v>
      </c>
      <c r="AY10" s="9">
        <f>BPD[[#This Row],[Forwards MVA]]</f>
        <v>55.633471939112333</v>
      </c>
      <c r="AZ10" s="9">
        <f>BPD[[#This Row],[Relay MVA]]</f>
        <v>114.31535329954589</v>
      </c>
      <c r="BA10" s="9">
        <f>BPD[[#This Row],[CT MVA]]</f>
        <v>45.72614131981836</v>
      </c>
      <c r="BB10" s="9" t="str">
        <f>BPD[[#This Row],[Derating MVA]]</f>
        <v>-</v>
      </c>
      <c r="BC10" s="9" t="str">
        <f>BPD[[#This Row],[Station/Feeder]]&amp;BPD[[#This Row],[Lowest MVA]]</f>
        <v>BPD_GXP45.7261413198184</v>
      </c>
      <c r="BD10" s="9" t="str">
        <f>CONCATENATE(BPD[[#This Row],[Supply Level]],BPD[[#This Row],[Station/Feeder]],BPD[[#This Row],[Voltage]],BPD[[#This Row],[Lowest A-No PTX]])</f>
        <v>GXPBPD_GXP110240</v>
      </c>
      <c r="BE10" s="9" t="str">
        <f>CONCATENATE(BPD[[#This Row],[Supply Level]],BPD[[#This Row],[Station/Feeder]],BPD[[#This Row],[Voltage]],BPD[[#This Row],[Lowest A-PTX]])</f>
        <v>GXPBPD_GXP110219</v>
      </c>
      <c r="BF10" s="9">
        <f>IF(MIN(BPD[[#This Row],[Summ Cont Winter A]:[Cable Derating]])=0,"",MIN(BPD[[#This Row],[Summ Cont Winter A]:[Cable Derating]]))</f>
        <v>45.72614131981836</v>
      </c>
      <c r="BG10" s="9">
        <f>IFERROR(BPD[[#This Row],[Lowest MVA]]*1000/(BPD[[#This Row],[Voltage]]*SQRT(3)),"")</f>
        <v>240</v>
      </c>
      <c r="BH10" s="9">
        <f t="shared" si="10"/>
        <v>219</v>
      </c>
      <c r="BI10" s="9" t="str">
        <f>BPD[[#This Row],[From]]</f>
        <v>110 kV Bus</v>
      </c>
      <c r="BJ10" s="9" t="str">
        <f>BPD[[#This Row],[To]]</f>
        <v>DS446</v>
      </c>
      <c r="BK10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Breaker-BPD-T1-CB442-Protection</v>
      </c>
      <c r="BL10" s="9">
        <f>BPD[[#This Row],[Voltage]]</f>
        <v>110</v>
      </c>
    </row>
    <row r="11" spans="1:64" s="337" customFormat="1" ht="15.75" thickBot="1" x14ac:dyDescent="0.3">
      <c r="A11" s="6" t="str">
        <f>CONCATENATE(BPD[[#This Row],[Supply Level]],BPD[[#This Row],[Station/Feeder]],BPD[[#This Row],[Voltage]])</f>
        <v>GXPBPD_GXP110</v>
      </c>
      <c r="B11" s="6" t="str">
        <f>CONCATENATE(BPD[[#This Row],[Supply Level]],BPD[[#This Row],[Station/Feeder]],BPD[[#This Row],[Equipment ID]],BPD[[#This Row],[Voltage]],BPD[[#This Row],[Device type]])</f>
        <v>GXPBPD_GXPBPD-T2-CB482110Protection</v>
      </c>
      <c r="C11" s="6" t="s">
        <v>4</v>
      </c>
      <c r="D11" s="11" t="s">
        <v>366</v>
      </c>
      <c r="E11" s="6" t="s">
        <v>603</v>
      </c>
      <c r="F11" s="6" t="s">
        <v>700</v>
      </c>
      <c r="G11" s="27">
        <v>3</v>
      </c>
      <c r="H11" s="7" t="s">
        <v>1371</v>
      </c>
      <c r="I11" s="6" t="s">
        <v>2483</v>
      </c>
      <c r="J11" s="7" t="s">
        <v>15</v>
      </c>
      <c r="K11" s="7" t="s">
        <v>1121</v>
      </c>
      <c r="L11" s="7" t="s">
        <v>1423</v>
      </c>
      <c r="M11" s="43">
        <v>110</v>
      </c>
      <c r="N11" s="9">
        <v>3150</v>
      </c>
      <c r="O11" s="9">
        <f t="shared" si="0"/>
        <v>600.15560482261594</v>
      </c>
      <c r="P11" s="9">
        <v>3150</v>
      </c>
      <c r="Q11" s="9">
        <f t="shared" si="1"/>
        <v>600.15560482261594</v>
      </c>
      <c r="R11" s="9">
        <v>3150</v>
      </c>
      <c r="S11" s="9">
        <f t="shared" si="2"/>
        <v>600.15560482261594</v>
      </c>
      <c r="T11" s="9" t="s">
        <v>0</v>
      </c>
      <c r="U11" s="9" t="str">
        <f t="shared" si="3"/>
        <v>-</v>
      </c>
      <c r="V11" s="9" t="s">
        <v>0</v>
      </c>
      <c r="W11" s="9" t="str">
        <f t="shared" si="4"/>
        <v>-</v>
      </c>
      <c r="X11" s="9">
        <f>VLOOKUP(BPD[[#This Row],[Equipment ID]],AEL_Protection_Data[#All],12,0)</f>
        <v>146</v>
      </c>
      <c r="Y11" s="9">
        <f t="shared" si="5"/>
        <v>27.816735969556166</v>
      </c>
      <c r="Z11" s="9">
        <v>110</v>
      </c>
      <c r="AA11" s="9">
        <f t="shared" si="6"/>
        <v>20.957814771583411</v>
      </c>
      <c r="AB11" s="9">
        <v>600</v>
      </c>
      <c r="AC11" s="9">
        <f t="shared" si="7"/>
        <v>114.31535329954589</v>
      </c>
      <c r="AD11" s="9">
        <v>240</v>
      </c>
      <c r="AE11" s="9">
        <f t="shared" si="8"/>
        <v>45.72614131981836</v>
      </c>
      <c r="AF11" s="9" t="s">
        <v>0</v>
      </c>
      <c r="AG11" s="9" t="s">
        <v>0</v>
      </c>
      <c r="AH11" s="9" t="s">
        <v>0</v>
      </c>
      <c r="AI11" s="9" t="s">
        <v>0</v>
      </c>
      <c r="AJ11" s="9" t="s">
        <v>0</v>
      </c>
      <c r="AK11" s="9" t="s">
        <v>0</v>
      </c>
      <c r="AL11" s="9" t="s">
        <v>0</v>
      </c>
      <c r="AM11" s="9" t="s">
        <v>0</v>
      </c>
      <c r="AN11" s="9" t="s">
        <v>0</v>
      </c>
      <c r="AO11" s="9" t="s">
        <v>0</v>
      </c>
      <c r="AP11" s="9" t="s">
        <v>0</v>
      </c>
      <c r="AQ11" s="9" t="s">
        <v>0</v>
      </c>
      <c r="AR11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11" s="9" t="str">
        <f t="shared" si="9"/>
        <v>-</v>
      </c>
      <c r="AT11" s="9">
        <f>IF(RIGHT(BPD[[#This Row],[Device type]],7)="Winding","-",BPD[[#This Row],[Cont Winter MVA]])</f>
        <v>600.15560482261594</v>
      </c>
      <c r="AU11" s="9">
        <f>IF(RIGHT(BPD[[#This Row],[Device type]],7)="Winding","-",BPD[[#This Row],[Cont Shoulder MVA]])</f>
        <v>600.15560482261594</v>
      </c>
      <c r="AV11" s="9">
        <f>IF(RIGHT(BPD[[#This Row],[Device type]],7)="Winding","-",BPD[[#This Row],[Cont Summer MVA]])</f>
        <v>600.15560482261594</v>
      </c>
      <c r="AW11" s="9" t="str">
        <f>BPD[[#This Row],[24 Hr Winter MVA]]</f>
        <v>-</v>
      </c>
      <c r="AX11" s="9" t="str">
        <f>BPD[[#This Row],[24 Hr Summer MVA]]</f>
        <v>-</v>
      </c>
      <c r="AY11" s="9">
        <f>BPD[[#This Row],[Forwards MVA]]</f>
        <v>27.816735969556166</v>
      </c>
      <c r="AZ11" s="9">
        <f>BPD[[#This Row],[Relay MVA]]</f>
        <v>114.31535329954589</v>
      </c>
      <c r="BA11" s="9">
        <f>BPD[[#This Row],[CT MVA]]</f>
        <v>45.72614131981836</v>
      </c>
      <c r="BB11" s="9" t="str">
        <f>BPD[[#This Row],[Derating MVA]]</f>
        <v>-</v>
      </c>
      <c r="BC11" s="9" t="str">
        <f>BPD[[#This Row],[Station/Feeder]]&amp;BPD[[#This Row],[Lowest MVA]]</f>
        <v>BPD_GXP27.8167359695562</v>
      </c>
      <c r="BD11" s="9" t="str">
        <f>CONCATENATE(BPD[[#This Row],[Supply Level]],BPD[[#This Row],[Station/Feeder]],BPD[[#This Row],[Voltage]],BPD[[#This Row],[Lowest A-No PTX]])</f>
        <v>GXPBPD_GXP110146</v>
      </c>
      <c r="BE11" s="9" t="str">
        <f>CONCATENATE(BPD[[#This Row],[Supply Level]],BPD[[#This Row],[Station/Feeder]],BPD[[#This Row],[Voltage]],BPD[[#This Row],[Lowest A-PTX]])</f>
        <v>GXPBPD_GXP110110</v>
      </c>
      <c r="BF11" s="9">
        <f>IF(MIN(BPD[[#This Row],[Summ Cont Winter A]:[Cable Derating]])=0,"",MIN(BPD[[#This Row],[Summ Cont Winter A]:[Cable Derating]]))</f>
        <v>27.816735969556166</v>
      </c>
      <c r="BG11" s="9">
        <f>IFERROR(BPD[[#This Row],[Lowest MVA]]*1000/(BPD[[#This Row],[Voltage]]*SQRT(3)),"")</f>
        <v>146</v>
      </c>
      <c r="BH11" s="9">
        <f t="shared" si="10"/>
        <v>110</v>
      </c>
      <c r="BI11" s="9" t="str">
        <f>BPD[[#This Row],[From]]</f>
        <v>110 kV Bus</v>
      </c>
      <c r="BJ11" s="9" t="str">
        <f>BPD[[#This Row],[To]]</f>
        <v>DS486</v>
      </c>
      <c r="BK11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Breaker-BPD-T2-CB482-Protection</v>
      </c>
      <c r="BL11" s="9">
        <f>BPD[[#This Row],[Voltage]]</f>
        <v>110</v>
      </c>
    </row>
    <row r="12" spans="1:64" s="337" customFormat="1" x14ac:dyDescent="0.25">
      <c r="A12" s="3" t="str">
        <f>CONCATENATE(BPD[[#This Row],[Supply Level]],BPD[[#This Row],[Station/Feeder]],BPD[[#This Row],[Voltage]],"T2")</f>
        <v>ZoneSubstationBPD110T2</v>
      </c>
      <c r="B12" s="3" t="str">
        <f>CONCATENATE(BPD[[#This Row],[Supply Level]],BPD[[#This Row],[Station/Feeder]],BPD[[#This Row],[Equipment ID]],BPD[[#This Row],[Voltage]],BPD[[#This Row],[Device type]])</f>
        <v>ZoneSubstationBPDBPD-T2-CB482110Other Equipment</v>
      </c>
      <c r="C12" s="3" t="s">
        <v>1246</v>
      </c>
      <c r="D12" s="176" t="s">
        <v>80</v>
      </c>
      <c r="E12" s="3" t="s">
        <v>603</v>
      </c>
      <c r="F12" s="3" t="s">
        <v>243</v>
      </c>
      <c r="G12" s="26">
        <v>1</v>
      </c>
      <c r="H12" s="38" t="s">
        <v>696</v>
      </c>
      <c r="I12" s="3" t="s">
        <v>2483</v>
      </c>
      <c r="J12" s="38" t="s">
        <v>16</v>
      </c>
      <c r="K12" s="38" t="s">
        <v>1369</v>
      </c>
      <c r="L12" s="38" t="s">
        <v>48</v>
      </c>
      <c r="M12" s="139">
        <v>110</v>
      </c>
      <c r="N12" s="5">
        <v>180</v>
      </c>
      <c r="O12" s="5">
        <f t="shared" ref="O12:O18" si="11">IF(OR(N12="",N12="-"),"-",N12*$M12*SQRT(3)/1000)</f>
        <v>34.294605989863769</v>
      </c>
      <c r="P12" s="5">
        <v>180</v>
      </c>
      <c r="Q12" s="5">
        <f t="shared" ref="Q12:Q18" si="12">IF(OR(P12="",P12="-"),"-",P12*$M12*SQRT(3)/1000)</f>
        <v>34.294605989863769</v>
      </c>
      <c r="R12" s="5">
        <v>180</v>
      </c>
      <c r="S12" s="5">
        <f t="shared" ref="S12:S18" si="13">IF(OR(R12="",R12="-"),"-",R12*$M12*SQRT(3)/1000)</f>
        <v>34.294605989863769</v>
      </c>
      <c r="T12" s="5">
        <v>180</v>
      </c>
      <c r="U12" s="5">
        <f t="shared" ref="U12:U18" si="14">IF(OR(T12="",T12="-"),"-",T12*$M12*SQRT(3)/1000)</f>
        <v>34.294605989863769</v>
      </c>
      <c r="V12" s="5">
        <v>180</v>
      </c>
      <c r="W12" s="5">
        <f t="shared" ref="W12:W18" si="15">IF(OR(V12="",V12="-"),"-",V12*$M12*SQRT(3)/1000)</f>
        <v>34.294605989863769</v>
      </c>
      <c r="X12" s="5">
        <v>180</v>
      </c>
      <c r="Y12" s="5">
        <f t="shared" ref="Y12:Y18" si="16">IF(OR(X12="",X12="-"),"-",X12*$M12*SQRT(3)/1000)</f>
        <v>34.294605989863769</v>
      </c>
      <c r="Z12" s="5">
        <v>180</v>
      </c>
      <c r="AA12" s="5">
        <f t="shared" ref="AA12:AA18" si="17">IF(OR(Z12="",Z12="-"),"-",Z12*$M12*SQRT(3)/1000)</f>
        <v>34.294605989863769</v>
      </c>
      <c r="AB12" s="5" t="s">
        <v>0</v>
      </c>
      <c r="AC12" s="5" t="str">
        <f t="shared" ref="AC12:AC18" si="18">IF(OR(AB12="",AB12="-"),"-",AB12*$M12*SQRT(3)/1000)</f>
        <v>-</v>
      </c>
      <c r="AD12" s="5" t="s">
        <v>0</v>
      </c>
      <c r="AE12" s="5" t="str">
        <f t="shared" ref="AE12:AE18" si="19">IF(OR(AD12="",AD12="-"),"-",AD12*$M12*SQRT(3)/1000)</f>
        <v>-</v>
      </c>
      <c r="AF12" s="5" t="s">
        <v>0</v>
      </c>
      <c r="AG12" s="5" t="s">
        <v>0</v>
      </c>
      <c r="AH12" s="5" t="s">
        <v>0</v>
      </c>
      <c r="AI12" s="5" t="s">
        <v>0</v>
      </c>
      <c r="AJ12" s="5" t="s">
        <v>0</v>
      </c>
      <c r="AK12" s="5" t="s">
        <v>0</v>
      </c>
      <c r="AL12" s="5" t="s">
        <v>0</v>
      </c>
      <c r="AM12" s="5" t="s">
        <v>0</v>
      </c>
      <c r="AN12" s="5" t="s">
        <v>0</v>
      </c>
      <c r="AO12" s="5" t="s">
        <v>0</v>
      </c>
      <c r="AP12" s="5" t="s">
        <v>0</v>
      </c>
      <c r="AQ12" s="5" t="s">
        <v>0</v>
      </c>
      <c r="AR12" s="5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12" s="5" t="str">
        <f t="shared" ref="AS12:AS18" si="20">IF(OR(AR12="",AR12="-"),"-",AR12*$M12*SQRT(3)/1000)</f>
        <v>-</v>
      </c>
      <c r="AT12" s="5">
        <f>IF(RIGHT(BPD[[#This Row],[Device type]],7)="Winding","-",BPD[[#This Row],[Cont Winter MVA]])</f>
        <v>34.294605989863769</v>
      </c>
      <c r="AU12" s="5">
        <f>IF(RIGHT(BPD[[#This Row],[Device type]],7)="Winding","-",BPD[[#This Row],[Cont Shoulder MVA]])</f>
        <v>34.294605989863769</v>
      </c>
      <c r="AV12" s="5">
        <f>IF(RIGHT(BPD[[#This Row],[Device type]],7)="Winding","-",BPD[[#This Row],[Cont Summer MVA]])</f>
        <v>34.294605989863769</v>
      </c>
      <c r="AW12" s="5">
        <f>BPD[[#This Row],[24 Hr Winter MVA]]</f>
        <v>34.294605989863769</v>
      </c>
      <c r="AX12" s="5">
        <f>BPD[[#This Row],[24 Hr Summer MVA]]</f>
        <v>34.294605989863769</v>
      </c>
      <c r="AY12" s="5">
        <f>BPD[[#This Row],[Forwards MVA]]</f>
        <v>34.294605989863769</v>
      </c>
      <c r="AZ12" s="5" t="str">
        <f>BPD[[#This Row],[Relay MVA]]</f>
        <v>-</v>
      </c>
      <c r="BA12" s="5" t="str">
        <f>BPD[[#This Row],[CT MVA]]</f>
        <v>-</v>
      </c>
      <c r="BB12" s="5" t="str">
        <f>BPD[[#This Row],[Derating MVA]]</f>
        <v>-</v>
      </c>
      <c r="BC12" s="5" t="str">
        <f>BPD[[#This Row],[Station/Feeder]]&amp;BPD[[#This Row],[Lowest MVA]]</f>
        <v>BPD34.2946059898638</v>
      </c>
      <c r="BD12" s="29" t="str">
        <f>CONCATENATE(BPD[[#This Row],[Supply Level]],BPD[[#This Row],[Station/Feeder]],BPD[[#This Row],[Voltage]],BPD[[#This Row],[Lowest A-No PTX]])</f>
        <v>ZoneSubstationBPD110180</v>
      </c>
      <c r="BE12" s="29" t="str">
        <f>CONCATENATE(BPD[[#This Row],[Supply Level]],BPD[[#This Row],[Station/Feeder]],BPD[[#This Row],[Voltage]],BPD[[#This Row],[Lowest A-PTX]])</f>
        <v>ZoneSubstationBPD110180</v>
      </c>
      <c r="BF12" s="5">
        <f>IF(MIN(BPD[[#This Row],[Summ Cont Winter A]:[Cable Derating]])=0,"",MIN(BPD[[#This Row],[Summ Cont Winter A]:[Cable Derating]]))</f>
        <v>34.294605989863769</v>
      </c>
      <c r="BG12" s="5">
        <f>IFERROR(BPD[[#This Row],[Lowest MVA]]*1000/(BPD[[#This Row],[Voltage]]*SQRT(3)),"")</f>
        <v>180</v>
      </c>
      <c r="BH12" s="5">
        <f t="shared" si="10"/>
        <v>180</v>
      </c>
      <c r="BI12" s="5" t="str">
        <f>BPD[[#This Row],[From]]</f>
        <v>110 kV Bus</v>
      </c>
      <c r="BJ12" s="5" t="str">
        <f>BPD[[#This Row],[To]]</f>
        <v>11 kV Bus</v>
      </c>
      <c r="BK12" s="5" t="str">
        <f>IF(BPD[[#This Row],[Device type]]="-",BPD[[#This Row],[Equipment Type]]&amp;"-"&amp;BPD[[#This Row],[Equipment ID]],BPD[[#This Row],[Equipment Type]]&amp;"-"&amp;BPD[[#This Row],[Equipment ID]]&amp;"-"&amp;BPD[[#This Row],[Device type]])</f>
        <v>Current Transformer-BPD-T2-CB482-Other Equipment</v>
      </c>
      <c r="BL12" s="5">
        <f>BPD[[#This Row],[Voltage]]</f>
        <v>110</v>
      </c>
    </row>
    <row r="13" spans="1:64" s="337" customFormat="1" x14ac:dyDescent="0.25">
      <c r="A13" s="6" t="str">
        <f>CONCATENATE(BPD[[#This Row],[Supply Level]],BPD[[#This Row],[Station/Feeder]],BPD[[#This Row],[Voltage]],"T1")</f>
        <v>ZoneSubstationBPD110T1</v>
      </c>
      <c r="B13" s="6" t="str">
        <f>CONCATENATE(BPD[[#This Row],[Supply Level]],BPD[[#This Row],[Station/Feeder]],BPD[[#This Row],[Equipment ID]],BPD[[#This Row],[Voltage]],BPD[[#This Row],[Device type]])</f>
        <v>ZoneSubstationBPDDS446110Disconnector</v>
      </c>
      <c r="C13" s="6" t="s">
        <v>1246</v>
      </c>
      <c r="D13" s="6" t="s">
        <v>80</v>
      </c>
      <c r="E13" s="6" t="s">
        <v>603</v>
      </c>
      <c r="F13" s="6" t="s">
        <v>697</v>
      </c>
      <c r="G13" s="27">
        <v>2</v>
      </c>
      <c r="H13" s="7" t="s">
        <v>698</v>
      </c>
      <c r="I13" s="6" t="s">
        <v>697</v>
      </c>
      <c r="J13" s="7" t="s">
        <v>17</v>
      </c>
      <c r="K13" s="7" t="s">
        <v>699</v>
      </c>
      <c r="L13" s="7" t="s">
        <v>17</v>
      </c>
      <c r="M13" s="43">
        <v>110</v>
      </c>
      <c r="N13" s="9">
        <v>630</v>
      </c>
      <c r="O13" s="9">
        <f t="shared" si="11"/>
        <v>120.03112096452318</v>
      </c>
      <c r="P13" s="9">
        <v>630</v>
      </c>
      <c r="Q13" s="9">
        <f t="shared" si="12"/>
        <v>120.03112096452318</v>
      </c>
      <c r="R13" s="9">
        <v>630</v>
      </c>
      <c r="S13" s="9">
        <f t="shared" si="13"/>
        <v>120.03112096452318</v>
      </c>
      <c r="T13" s="9" t="s">
        <v>0</v>
      </c>
      <c r="U13" s="9" t="str">
        <f t="shared" si="14"/>
        <v>-</v>
      </c>
      <c r="V13" s="9" t="s">
        <v>0</v>
      </c>
      <c r="W13" s="9" t="str">
        <f t="shared" si="15"/>
        <v>-</v>
      </c>
      <c r="X13" s="9" t="s">
        <v>0</v>
      </c>
      <c r="Y13" s="9" t="str">
        <f t="shared" si="16"/>
        <v>-</v>
      </c>
      <c r="Z13" s="9" t="s">
        <v>0</v>
      </c>
      <c r="AA13" s="9" t="str">
        <f t="shared" si="17"/>
        <v>-</v>
      </c>
      <c r="AB13" s="9" t="s">
        <v>0</v>
      </c>
      <c r="AC13" s="9" t="str">
        <f t="shared" si="18"/>
        <v>-</v>
      </c>
      <c r="AD13" s="9" t="s">
        <v>0</v>
      </c>
      <c r="AE13" s="9" t="str">
        <f t="shared" si="19"/>
        <v>-</v>
      </c>
      <c r="AF13" s="9" t="s">
        <v>0</v>
      </c>
      <c r="AG13" s="9" t="s">
        <v>0</v>
      </c>
      <c r="AH13" s="9" t="s">
        <v>0</v>
      </c>
      <c r="AI13" s="9" t="s">
        <v>0</v>
      </c>
      <c r="AJ13" s="9" t="s">
        <v>0</v>
      </c>
      <c r="AK13" s="9" t="s">
        <v>0</v>
      </c>
      <c r="AL13" s="9" t="s">
        <v>0</v>
      </c>
      <c r="AM13" s="9" t="s">
        <v>0</v>
      </c>
      <c r="AN13" s="9" t="s">
        <v>0</v>
      </c>
      <c r="AO13" s="9" t="s">
        <v>0</v>
      </c>
      <c r="AP13" s="9" t="s">
        <v>0</v>
      </c>
      <c r="AQ13" s="9" t="s">
        <v>0</v>
      </c>
      <c r="AR13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13" s="9" t="str">
        <f t="shared" si="20"/>
        <v>-</v>
      </c>
      <c r="AT13" s="9">
        <f>IF(RIGHT(BPD[[#This Row],[Device type]],7)="Winding","-",BPD[[#This Row],[Cont Winter MVA]])</f>
        <v>120.03112096452318</v>
      </c>
      <c r="AU13" s="9">
        <f>IF(RIGHT(BPD[[#This Row],[Device type]],7)="Winding","-",BPD[[#This Row],[Cont Shoulder MVA]])</f>
        <v>120.03112096452318</v>
      </c>
      <c r="AV13" s="9">
        <f>IF(RIGHT(BPD[[#This Row],[Device type]],7)="Winding","-",BPD[[#This Row],[Cont Summer MVA]])</f>
        <v>120.03112096452318</v>
      </c>
      <c r="AW13" s="9" t="str">
        <f>BPD[[#This Row],[24 Hr Winter MVA]]</f>
        <v>-</v>
      </c>
      <c r="AX13" s="9" t="str">
        <f>BPD[[#This Row],[24 Hr Summer MVA]]</f>
        <v>-</v>
      </c>
      <c r="AY13" s="9" t="str">
        <f>BPD[[#This Row],[Forwards MVA]]</f>
        <v>-</v>
      </c>
      <c r="AZ13" s="9" t="str">
        <f>BPD[[#This Row],[Relay MVA]]</f>
        <v>-</v>
      </c>
      <c r="BA13" s="9" t="str">
        <f>BPD[[#This Row],[CT MVA]]</f>
        <v>-</v>
      </c>
      <c r="BB13" s="9" t="str">
        <f>BPD[[#This Row],[Derating MVA]]</f>
        <v>-</v>
      </c>
      <c r="BC13" s="9" t="str">
        <f>BPD[[#This Row],[Station/Feeder]]&amp;BPD[[#This Row],[Lowest MVA]]</f>
        <v>BPD120.031120964523</v>
      </c>
      <c r="BD13" s="9" t="str">
        <f>CONCATENATE(BPD[[#This Row],[Supply Level]],BPD[[#This Row],[Station/Feeder]],BPD[[#This Row],[Voltage]],BPD[[#This Row],[Lowest A-No PTX]])</f>
        <v>ZoneSubstationBPD110630</v>
      </c>
      <c r="BE13" s="9" t="str">
        <f>CONCATENATE(BPD[[#This Row],[Supply Level]],BPD[[#This Row],[Station/Feeder]],BPD[[#This Row],[Voltage]],BPD[[#This Row],[Lowest A-PTX]])</f>
        <v>ZoneSubstationBPD110630</v>
      </c>
      <c r="BF13" s="9">
        <f>IF(MIN(BPD[[#This Row],[Summ Cont Winter A]:[Cable Derating]])=0,"",MIN(BPD[[#This Row],[Summ Cont Winter A]:[Cable Derating]]))</f>
        <v>120.03112096452318</v>
      </c>
      <c r="BG13" s="9">
        <f>IFERROR(BPD[[#This Row],[Lowest MVA]]*1000/(BPD[[#This Row],[Voltage]]*SQRT(3)),"")</f>
        <v>630</v>
      </c>
      <c r="BH13" s="9">
        <f t="shared" si="10"/>
        <v>630</v>
      </c>
      <c r="BI13" s="9" t="str">
        <f>BPD[[#This Row],[From]]</f>
        <v>110 kV Bus</v>
      </c>
      <c r="BJ13" s="9" t="str">
        <f>BPD[[#This Row],[To]]</f>
        <v>DS446</v>
      </c>
      <c r="BK13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Disconnector-DS446-Disconnector</v>
      </c>
      <c r="BL13" s="9">
        <f>BPD[[#This Row],[Voltage]]</f>
        <v>110</v>
      </c>
    </row>
    <row r="14" spans="1:64" s="337" customFormat="1" x14ac:dyDescent="0.25">
      <c r="A14" s="6" t="str">
        <f>CONCATENATE(BPD[[#This Row],[Supply Level]],BPD[[#This Row],[Station/Feeder]],BPD[[#This Row],[Voltage]],"T2")</f>
        <v>ZoneSubstationBPD110T2</v>
      </c>
      <c r="B14" s="6" t="str">
        <f>CONCATENATE(BPD[[#This Row],[Supply Level]],BPD[[#This Row],[Station/Feeder]],BPD[[#This Row],[Equipment ID]],BPD[[#This Row],[Voltage]],BPD[[#This Row],[Device type]])</f>
        <v>ZoneSubstationBPDDS486110Disconnector</v>
      </c>
      <c r="C14" s="6" t="s">
        <v>1246</v>
      </c>
      <c r="D14" s="118" t="s">
        <v>80</v>
      </c>
      <c r="E14" s="6" t="s">
        <v>603</v>
      </c>
      <c r="F14" s="6" t="s">
        <v>700</v>
      </c>
      <c r="G14" s="27">
        <v>3</v>
      </c>
      <c r="H14" s="7" t="s">
        <v>701</v>
      </c>
      <c r="I14" s="6" t="s">
        <v>700</v>
      </c>
      <c r="J14" s="7" t="s">
        <v>17</v>
      </c>
      <c r="K14" s="7" t="s">
        <v>702</v>
      </c>
      <c r="L14" s="7" t="s">
        <v>17</v>
      </c>
      <c r="M14" s="43">
        <v>110</v>
      </c>
      <c r="N14" s="9">
        <v>630</v>
      </c>
      <c r="O14" s="9">
        <f t="shared" si="11"/>
        <v>120.03112096452318</v>
      </c>
      <c r="P14" s="9">
        <v>630</v>
      </c>
      <c r="Q14" s="9">
        <f t="shared" si="12"/>
        <v>120.03112096452318</v>
      </c>
      <c r="R14" s="9">
        <v>630</v>
      </c>
      <c r="S14" s="9">
        <f t="shared" si="13"/>
        <v>120.03112096452318</v>
      </c>
      <c r="T14" s="9" t="s">
        <v>0</v>
      </c>
      <c r="U14" s="9" t="str">
        <f t="shared" si="14"/>
        <v>-</v>
      </c>
      <c r="V14" s="9" t="s">
        <v>0</v>
      </c>
      <c r="W14" s="9" t="str">
        <f t="shared" si="15"/>
        <v>-</v>
      </c>
      <c r="X14" s="9" t="s">
        <v>0</v>
      </c>
      <c r="Y14" s="9" t="str">
        <f t="shared" si="16"/>
        <v>-</v>
      </c>
      <c r="Z14" s="9" t="s">
        <v>0</v>
      </c>
      <c r="AA14" s="9" t="str">
        <f t="shared" si="17"/>
        <v>-</v>
      </c>
      <c r="AB14" s="9" t="s">
        <v>0</v>
      </c>
      <c r="AC14" s="9" t="str">
        <f t="shared" si="18"/>
        <v>-</v>
      </c>
      <c r="AD14" s="9" t="s">
        <v>0</v>
      </c>
      <c r="AE14" s="9" t="str">
        <f t="shared" si="19"/>
        <v>-</v>
      </c>
      <c r="AF14" s="9" t="s">
        <v>0</v>
      </c>
      <c r="AG14" s="9" t="s">
        <v>0</v>
      </c>
      <c r="AH14" s="9" t="s">
        <v>0</v>
      </c>
      <c r="AI14" s="9" t="s">
        <v>0</v>
      </c>
      <c r="AJ14" s="9" t="s">
        <v>0</v>
      </c>
      <c r="AK14" s="9" t="s">
        <v>0</v>
      </c>
      <c r="AL14" s="9" t="s">
        <v>0</v>
      </c>
      <c r="AM14" s="9" t="s">
        <v>0</v>
      </c>
      <c r="AN14" s="9" t="s">
        <v>0</v>
      </c>
      <c r="AO14" s="9" t="s">
        <v>0</v>
      </c>
      <c r="AP14" s="9" t="s">
        <v>0</v>
      </c>
      <c r="AQ14" s="9" t="s">
        <v>0</v>
      </c>
      <c r="AR14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14" s="9" t="str">
        <f t="shared" si="20"/>
        <v>-</v>
      </c>
      <c r="AT14" s="9">
        <f>IF(RIGHT(BPD[[#This Row],[Device type]],7)="Winding","-",BPD[[#This Row],[Cont Winter MVA]])</f>
        <v>120.03112096452318</v>
      </c>
      <c r="AU14" s="9">
        <f>IF(RIGHT(BPD[[#This Row],[Device type]],7)="Winding","-",BPD[[#This Row],[Cont Shoulder MVA]])</f>
        <v>120.03112096452318</v>
      </c>
      <c r="AV14" s="9">
        <f>IF(RIGHT(BPD[[#This Row],[Device type]],7)="Winding","-",BPD[[#This Row],[Cont Summer MVA]])</f>
        <v>120.03112096452318</v>
      </c>
      <c r="AW14" s="9" t="str">
        <f>BPD[[#This Row],[24 Hr Winter MVA]]</f>
        <v>-</v>
      </c>
      <c r="AX14" s="9" t="str">
        <f>BPD[[#This Row],[24 Hr Summer MVA]]</f>
        <v>-</v>
      </c>
      <c r="AY14" s="9" t="str">
        <f>BPD[[#This Row],[Forwards MVA]]</f>
        <v>-</v>
      </c>
      <c r="AZ14" s="9" t="str">
        <f>BPD[[#This Row],[Relay MVA]]</f>
        <v>-</v>
      </c>
      <c r="BA14" s="9" t="str">
        <f>BPD[[#This Row],[CT MVA]]</f>
        <v>-</v>
      </c>
      <c r="BB14" s="9" t="str">
        <f>BPD[[#This Row],[Derating MVA]]</f>
        <v>-</v>
      </c>
      <c r="BC14" s="9" t="str">
        <f>BPD[[#This Row],[Station/Feeder]]&amp;BPD[[#This Row],[Lowest MVA]]</f>
        <v>BPD120.031120964523</v>
      </c>
      <c r="BD14" s="9" t="str">
        <f>CONCATENATE(BPD[[#This Row],[Supply Level]],BPD[[#This Row],[Station/Feeder]],BPD[[#This Row],[Voltage]],BPD[[#This Row],[Lowest A-No PTX]])</f>
        <v>ZoneSubstationBPD110630</v>
      </c>
      <c r="BE14" s="9" t="str">
        <f>CONCATENATE(BPD[[#This Row],[Supply Level]],BPD[[#This Row],[Station/Feeder]],BPD[[#This Row],[Voltage]],BPD[[#This Row],[Lowest A-PTX]])</f>
        <v>ZoneSubstationBPD110630</v>
      </c>
      <c r="BF14" s="9">
        <f>IF(MIN(BPD[[#This Row],[Summ Cont Winter A]:[Cable Derating]])=0,"",MIN(BPD[[#This Row],[Summ Cont Winter A]:[Cable Derating]]))</f>
        <v>120.03112096452318</v>
      </c>
      <c r="BG14" s="9">
        <f>IFERROR(BPD[[#This Row],[Lowest MVA]]*1000/(BPD[[#This Row],[Voltage]]*SQRT(3)),"")</f>
        <v>630</v>
      </c>
      <c r="BH14" s="9">
        <f t="shared" si="10"/>
        <v>630</v>
      </c>
      <c r="BI14" s="9" t="str">
        <f>BPD[[#This Row],[From]]</f>
        <v>110 kV Bus</v>
      </c>
      <c r="BJ14" s="9" t="str">
        <f>BPD[[#This Row],[To]]</f>
        <v>DS486</v>
      </c>
      <c r="BK14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Disconnector-DS486-Disconnector</v>
      </c>
      <c r="BL14" s="9">
        <f>BPD[[#This Row],[Voltage]]</f>
        <v>110</v>
      </c>
    </row>
    <row r="15" spans="1:64" s="337" customFormat="1" x14ac:dyDescent="0.25">
      <c r="A15" s="6" t="str">
        <f>CONCATENATE(BPD[[#This Row],[Supply Level]],BPD[[#This Row],[Station/Feeder]],BPD[[#This Row],[Voltage]],"T2")</f>
        <v>ZoneSubstationBPD110T2</v>
      </c>
      <c r="B15" s="6" t="str">
        <f>CONCATENATE(BPD[[#This Row],[Supply Level]],BPD[[#This Row],[Station/Feeder]],BPD[[#This Row],[Equipment ID]],BPD[[#This Row],[Voltage]],BPD[[#This Row],[Device type]])</f>
        <v>ZoneSubstationBPDWOLF110-</v>
      </c>
      <c r="C15" s="6" t="s">
        <v>1246</v>
      </c>
      <c r="D15" s="11" t="s">
        <v>80</v>
      </c>
      <c r="E15" s="6" t="s">
        <v>603</v>
      </c>
      <c r="F15" s="6" t="s">
        <v>703</v>
      </c>
      <c r="G15" s="27">
        <v>4</v>
      </c>
      <c r="H15" s="7" t="s">
        <v>696</v>
      </c>
      <c r="I15" s="6" t="s">
        <v>472</v>
      </c>
      <c r="J15" s="7" t="s">
        <v>69</v>
      </c>
      <c r="K15" s="7" t="s">
        <v>0</v>
      </c>
      <c r="L15" s="7" t="s">
        <v>0</v>
      </c>
      <c r="M15" s="43">
        <v>110</v>
      </c>
      <c r="N15" s="9">
        <v>422</v>
      </c>
      <c r="O15" s="9">
        <f t="shared" si="11"/>
        <v>80.401798487347278</v>
      </c>
      <c r="P15" s="9">
        <v>386</v>
      </c>
      <c r="Q15" s="9">
        <f t="shared" si="12"/>
        <v>73.542877289374516</v>
      </c>
      <c r="R15" s="9">
        <v>345</v>
      </c>
      <c r="S15" s="9">
        <f t="shared" si="13"/>
        <v>65.731328147238898</v>
      </c>
      <c r="T15" s="9" t="s">
        <v>0</v>
      </c>
      <c r="U15" s="9" t="str">
        <f t="shared" si="14"/>
        <v>-</v>
      </c>
      <c r="V15" s="9" t="s">
        <v>0</v>
      </c>
      <c r="W15" s="9" t="str">
        <f t="shared" si="15"/>
        <v>-</v>
      </c>
      <c r="X15" s="9" t="s">
        <v>0</v>
      </c>
      <c r="Y15" s="9" t="str">
        <f t="shared" si="16"/>
        <v>-</v>
      </c>
      <c r="Z15" s="9" t="s">
        <v>0</v>
      </c>
      <c r="AA15" s="9" t="str">
        <f t="shared" si="17"/>
        <v>-</v>
      </c>
      <c r="AB15" s="9" t="s">
        <v>0</v>
      </c>
      <c r="AC15" s="9" t="str">
        <f t="shared" si="18"/>
        <v>-</v>
      </c>
      <c r="AD15" s="9" t="s">
        <v>0</v>
      </c>
      <c r="AE15" s="9" t="str">
        <f t="shared" si="19"/>
        <v>-</v>
      </c>
      <c r="AF15" s="9" t="s">
        <v>0</v>
      </c>
      <c r="AG15" s="9" t="s">
        <v>0</v>
      </c>
      <c r="AH15" s="9" t="s">
        <v>0</v>
      </c>
      <c r="AI15" s="9" t="s">
        <v>0</v>
      </c>
      <c r="AJ15" s="9" t="s">
        <v>0</v>
      </c>
      <c r="AK15" s="9" t="s">
        <v>0</v>
      </c>
      <c r="AL15" s="9" t="s">
        <v>0</v>
      </c>
      <c r="AM15" s="9" t="s">
        <v>0</v>
      </c>
      <c r="AN15" s="9" t="s">
        <v>0</v>
      </c>
      <c r="AO15" s="9" t="s">
        <v>0</v>
      </c>
      <c r="AP15" s="9" t="s">
        <v>0</v>
      </c>
      <c r="AQ15" s="9" t="s">
        <v>0</v>
      </c>
      <c r="AR15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15" s="9" t="str">
        <f t="shared" si="20"/>
        <v>-</v>
      </c>
      <c r="AT15" s="9">
        <f>IF(RIGHT(BPD[[#This Row],[Device type]],7)="Winding","-",BPD[[#This Row],[Cont Winter MVA]])</f>
        <v>80.401798487347278</v>
      </c>
      <c r="AU15" s="9">
        <f>IF(RIGHT(BPD[[#This Row],[Device type]],7)="Winding","-",BPD[[#This Row],[Cont Shoulder MVA]])</f>
        <v>73.542877289374516</v>
      </c>
      <c r="AV15" s="9">
        <f>IF(RIGHT(BPD[[#This Row],[Device type]],7)="Winding","-",BPD[[#This Row],[Cont Summer MVA]])</f>
        <v>65.731328147238898</v>
      </c>
      <c r="AW15" s="9" t="str">
        <f>BPD[[#This Row],[24 Hr Winter MVA]]</f>
        <v>-</v>
      </c>
      <c r="AX15" s="9" t="str">
        <f>BPD[[#This Row],[24 Hr Summer MVA]]</f>
        <v>-</v>
      </c>
      <c r="AY15" s="9" t="str">
        <f>BPD[[#This Row],[Forwards MVA]]</f>
        <v>-</v>
      </c>
      <c r="AZ15" s="9" t="str">
        <f>BPD[[#This Row],[Relay MVA]]</f>
        <v>-</v>
      </c>
      <c r="BA15" s="9" t="str">
        <f>BPD[[#This Row],[CT MVA]]</f>
        <v>-</v>
      </c>
      <c r="BB15" s="9" t="str">
        <f>BPD[[#This Row],[Derating MVA]]</f>
        <v>-</v>
      </c>
      <c r="BC15" s="9" t="str">
        <f>BPD[[#This Row],[Station/Feeder]]&amp;BPD[[#This Row],[Lowest MVA]]</f>
        <v>BPD65.7313281472389</v>
      </c>
      <c r="BD15" s="9" t="str">
        <f>CONCATENATE(BPD[[#This Row],[Supply Level]],BPD[[#This Row],[Station/Feeder]],BPD[[#This Row],[Voltage]],BPD[[#This Row],[Lowest A-No PTX]])</f>
        <v>ZoneSubstationBPD110345</v>
      </c>
      <c r="BE15" s="9" t="str">
        <f>CONCATENATE(BPD[[#This Row],[Supply Level]],BPD[[#This Row],[Station/Feeder]],BPD[[#This Row],[Voltage]],BPD[[#This Row],[Lowest A-PTX]])</f>
        <v>ZoneSubstationBPD110345</v>
      </c>
      <c r="BF15" s="9">
        <f>IF(MIN(BPD[[#This Row],[Summ Cont Winter A]:[Cable Derating]])=0,"",MIN(BPD[[#This Row],[Summ Cont Winter A]:[Cable Derating]]))</f>
        <v>65.731328147238898</v>
      </c>
      <c r="BG15" s="9">
        <f>IFERROR(BPD[[#This Row],[Lowest MVA]]*1000/(BPD[[#This Row],[Voltage]]*SQRT(3)),"")</f>
        <v>345</v>
      </c>
      <c r="BH15" s="9">
        <f t="shared" si="10"/>
        <v>345</v>
      </c>
      <c r="BI15" s="9" t="str">
        <f>BPD[[#This Row],[From]]</f>
        <v>110 kV Bus</v>
      </c>
      <c r="BJ15" s="9" t="str">
        <f>BPD[[#This Row],[To]]</f>
        <v>BPD T-off</v>
      </c>
      <c r="BK15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OH Line-WOLF</v>
      </c>
      <c r="BL15" s="9">
        <f>BPD[[#This Row],[Voltage]]</f>
        <v>110</v>
      </c>
    </row>
    <row r="16" spans="1:64" s="337" customFormat="1" x14ac:dyDescent="0.25">
      <c r="A16" s="6" t="str">
        <f>CONCATENATE(BPD[[#This Row],[Supply Level]],BPD[[#This Row],[Station/Feeder]],BPD[[#This Row],[Voltage]],"T1")</f>
        <v>ZoneSubstationBPD110T1</v>
      </c>
      <c r="B16" s="6" t="str">
        <f>CONCATENATE(BPD[[#This Row],[Supply Level]],BPD[[#This Row],[Station/Feeder]],BPD[[#This Row],[Equipment ID]],BPD[[#This Row],[Voltage]],BPD[[#This Row],[Device type]])</f>
        <v>ZoneSubstationBPDBPD-T1-CB442110Other Equipment</v>
      </c>
      <c r="C16" s="6" t="s">
        <v>1246</v>
      </c>
      <c r="D16" s="11" t="s">
        <v>80</v>
      </c>
      <c r="E16" s="6" t="s">
        <v>603</v>
      </c>
      <c r="F16" s="6" t="s">
        <v>697</v>
      </c>
      <c r="G16" s="27">
        <v>5</v>
      </c>
      <c r="H16" s="7" t="s">
        <v>698</v>
      </c>
      <c r="I16" s="6" t="s">
        <v>2478</v>
      </c>
      <c r="J16" s="7" t="s">
        <v>16</v>
      </c>
      <c r="K16" s="7" t="s">
        <v>704</v>
      </c>
      <c r="L16" s="7" t="s">
        <v>48</v>
      </c>
      <c r="M16" s="43">
        <v>110</v>
      </c>
      <c r="N16" s="9">
        <v>240</v>
      </c>
      <c r="O16" s="9">
        <f t="shared" si="11"/>
        <v>45.72614131981836</v>
      </c>
      <c r="P16" s="9">
        <v>240</v>
      </c>
      <c r="Q16" s="9">
        <f t="shared" si="12"/>
        <v>45.72614131981836</v>
      </c>
      <c r="R16" s="9">
        <v>240</v>
      </c>
      <c r="S16" s="9">
        <f t="shared" si="13"/>
        <v>45.72614131981836</v>
      </c>
      <c r="T16" s="9">
        <v>240</v>
      </c>
      <c r="U16" s="9">
        <f t="shared" si="14"/>
        <v>45.72614131981836</v>
      </c>
      <c r="V16" s="9">
        <v>240</v>
      </c>
      <c r="W16" s="9">
        <f t="shared" si="15"/>
        <v>45.72614131981836</v>
      </c>
      <c r="X16" s="9" t="s">
        <v>0</v>
      </c>
      <c r="Y16" s="9" t="str">
        <f t="shared" si="16"/>
        <v>-</v>
      </c>
      <c r="Z16" s="9" t="s">
        <v>0</v>
      </c>
      <c r="AA16" s="9" t="str">
        <f t="shared" si="17"/>
        <v>-</v>
      </c>
      <c r="AB16" s="9" t="s">
        <v>0</v>
      </c>
      <c r="AC16" s="9" t="str">
        <f t="shared" si="18"/>
        <v>-</v>
      </c>
      <c r="AD16" s="9" t="s">
        <v>0</v>
      </c>
      <c r="AE16" s="9" t="str">
        <f t="shared" si="19"/>
        <v>-</v>
      </c>
      <c r="AF16" s="9" t="s">
        <v>0</v>
      </c>
      <c r="AG16" s="9" t="s">
        <v>0</v>
      </c>
      <c r="AH16" s="9" t="s">
        <v>0</v>
      </c>
      <c r="AI16" s="9" t="s">
        <v>0</v>
      </c>
      <c r="AJ16" s="9" t="s">
        <v>0</v>
      </c>
      <c r="AK16" s="9" t="s">
        <v>0</v>
      </c>
      <c r="AL16" s="9" t="s">
        <v>0</v>
      </c>
      <c r="AM16" s="9" t="s">
        <v>0</v>
      </c>
      <c r="AN16" s="9" t="s">
        <v>0</v>
      </c>
      <c r="AO16" s="9" t="s">
        <v>0</v>
      </c>
      <c r="AP16" s="9" t="s">
        <v>0</v>
      </c>
      <c r="AQ16" s="9" t="s">
        <v>0</v>
      </c>
      <c r="AR16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16" s="9" t="str">
        <f t="shared" si="20"/>
        <v>-</v>
      </c>
      <c r="AT16" s="9">
        <f>IF(RIGHT(BPD[[#This Row],[Device type]],7)="Winding","-",BPD[[#This Row],[Cont Winter MVA]])</f>
        <v>45.72614131981836</v>
      </c>
      <c r="AU16" s="9">
        <f>IF(RIGHT(BPD[[#This Row],[Device type]],7)="Winding","-",BPD[[#This Row],[Cont Shoulder MVA]])</f>
        <v>45.72614131981836</v>
      </c>
      <c r="AV16" s="9">
        <f>IF(RIGHT(BPD[[#This Row],[Device type]],7)="Winding","-",BPD[[#This Row],[Cont Summer MVA]])</f>
        <v>45.72614131981836</v>
      </c>
      <c r="AW16" s="9">
        <f>BPD[[#This Row],[24 Hr Winter MVA]]</f>
        <v>45.72614131981836</v>
      </c>
      <c r="AX16" s="9">
        <f>BPD[[#This Row],[24 Hr Summer MVA]]</f>
        <v>45.72614131981836</v>
      </c>
      <c r="AY16" s="9" t="str">
        <f>BPD[[#This Row],[Forwards MVA]]</f>
        <v>-</v>
      </c>
      <c r="AZ16" s="9" t="str">
        <f>BPD[[#This Row],[Relay MVA]]</f>
        <v>-</v>
      </c>
      <c r="BA16" s="9" t="str">
        <f>BPD[[#This Row],[CT MVA]]</f>
        <v>-</v>
      </c>
      <c r="BB16" s="9" t="str">
        <f>BPD[[#This Row],[Derating MVA]]</f>
        <v>-</v>
      </c>
      <c r="BC16" s="9" t="str">
        <f>BPD[[#This Row],[Station/Feeder]]&amp;BPD[[#This Row],[Lowest MVA]]</f>
        <v>BPD45.7261413198184</v>
      </c>
      <c r="BD16" s="9" t="str">
        <f>CONCATENATE(BPD[[#This Row],[Supply Level]],BPD[[#This Row],[Station/Feeder]],BPD[[#This Row],[Voltage]],BPD[[#This Row],[Lowest A-No PTX]])</f>
        <v>ZoneSubstationBPD110240</v>
      </c>
      <c r="BE16" s="9" t="str">
        <f>CONCATENATE(BPD[[#This Row],[Supply Level]],BPD[[#This Row],[Station/Feeder]],BPD[[#This Row],[Voltage]],BPD[[#This Row],[Lowest A-PTX]])</f>
        <v>ZoneSubstationBPD110240</v>
      </c>
      <c r="BF16" s="9">
        <f>IF(MIN(BPD[[#This Row],[Summ Cont Winter A]:[Cable Derating]])=0,"",MIN(BPD[[#This Row],[Summ Cont Winter A]:[Cable Derating]]))</f>
        <v>45.72614131981836</v>
      </c>
      <c r="BG16" s="9">
        <f>IFERROR(BPD[[#This Row],[Lowest MVA]]*1000/(BPD[[#This Row],[Voltage]]*SQRT(3)),"")</f>
        <v>240</v>
      </c>
      <c r="BH16" s="9">
        <f t="shared" si="10"/>
        <v>240</v>
      </c>
      <c r="BI16" s="9" t="str">
        <f>BPD[[#This Row],[From]]</f>
        <v>110 kV Bus</v>
      </c>
      <c r="BJ16" s="9" t="str">
        <f>BPD[[#This Row],[To]]</f>
        <v>DS446</v>
      </c>
      <c r="BK16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Current Transformer-BPD-T1-CB442-Other Equipment</v>
      </c>
      <c r="BL16" s="9">
        <f>BPD[[#This Row],[Voltage]]</f>
        <v>110</v>
      </c>
    </row>
    <row r="17" spans="1:64" s="337" customFormat="1" x14ac:dyDescent="0.25">
      <c r="A17" s="6" t="str">
        <f>CONCATENATE(BPD[[#This Row],[Supply Level]],BPD[[#This Row],[Station/Feeder]],BPD[[#This Row],[Voltage]],"T1")</f>
        <v>ZoneSubstationBPD110T1</v>
      </c>
      <c r="B17" s="6" t="str">
        <f>CONCATENATE(BPD[[#This Row],[Supply Level]],BPD[[#This Row],[Station/Feeder]],BPD[[#This Row],[Equipment ID]],BPD[[#This Row],[Voltage]],BPD[[#This Row],[Device type]])</f>
        <v>ZoneSubstationBPDBPD-T1-CB442110Protection</v>
      </c>
      <c r="C17" s="6" t="s">
        <v>1246</v>
      </c>
      <c r="D17" s="11" t="s">
        <v>80</v>
      </c>
      <c r="E17" s="6" t="s">
        <v>603</v>
      </c>
      <c r="F17" s="6" t="s">
        <v>697</v>
      </c>
      <c r="G17" s="27">
        <v>1</v>
      </c>
      <c r="H17" s="7" t="s">
        <v>1370</v>
      </c>
      <c r="I17" s="6" t="s">
        <v>2478</v>
      </c>
      <c r="J17" s="7" t="s">
        <v>15</v>
      </c>
      <c r="K17" s="7" t="s">
        <v>1121</v>
      </c>
      <c r="L17" s="7" t="s">
        <v>1423</v>
      </c>
      <c r="M17" s="43">
        <v>110</v>
      </c>
      <c r="N17" s="9">
        <v>3150</v>
      </c>
      <c r="O17" s="9">
        <f t="shared" si="11"/>
        <v>600.15560482261594</v>
      </c>
      <c r="P17" s="9">
        <v>3150</v>
      </c>
      <c r="Q17" s="9">
        <f t="shared" si="12"/>
        <v>600.15560482261594</v>
      </c>
      <c r="R17" s="9">
        <v>3150</v>
      </c>
      <c r="S17" s="9">
        <f t="shared" si="13"/>
        <v>600.15560482261594</v>
      </c>
      <c r="T17" s="9" t="s">
        <v>0</v>
      </c>
      <c r="U17" s="9" t="str">
        <f t="shared" si="14"/>
        <v>-</v>
      </c>
      <c r="V17" s="9" t="s">
        <v>0</v>
      </c>
      <c r="W17" s="9" t="str">
        <f t="shared" si="15"/>
        <v>-</v>
      </c>
      <c r="X17" s="9">
        <f>VLOOKUP(BPD[[#This Row],[Equipment ID]],AEL_Protection_Data[#All],12,0)</f>
        <v>292</v>
      </c>
      <c r="Y17" s="9">
        <f t="shared" si="16"/>
        <v>55.633471939112333</v>
      </c>
      <c r="Z17" s="9">
        <v>219</v>
      </c>
      <c r="AA17" s="9">
        <f t="shared" si="17"/>
        <v>41.725103954334251</v>
      </c>
      <c r="AB17" s="9">
        <v>600</v>
      </c>
      <c r="AC17" s="9">
        <f t="shared" si="18"/>
        <v>114.31535329954589</v>
      </c>
      <c r="AD17" s="9">
        <v>240</v>
      </c>
      <c r="AE17" s="9">
        <f t="shared" si="19"/>
        <v>45.72614131981836</v>
      </c>
      <c r="AF17" s="9" t="s">
        <v>0</v>
      </c>
      <c r="AG17" s="9" t="s">
        <v>0</v>
      </c>
      <c r="AH17" s="9" t="s">
        <v>0</v>
      </c>
      <c r="AI17" s="9" t="s">
        <v>0</v>
      </c>
      <c r="AJ17" s="9" t="s">
        <v>0</v>
      </c>
      <c r="AK17" s="9" t="s">
        <v>0</v>
      </c>
      <c r="AL17" s="9" t="s">
        <v>0</v>
      </c>
      <c r="AM17" s="9" t="s">
        <v>0</v>
      </c>
      <c r="AN17" s="9" t="s">
        <v>0</v>
      </c>
      <c r="AO17" s="9" t="s">
        <v>0</v>
      </c>
      <c r="AP17" s="9" t="s">
        <v>0</v>
      </c>
      <c r="AQ17" s="9" t="s">
        <v>0</v>
      </c>
      <c r="AR17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17" s="9" t="str">
        <f t="shared" si="20"/>
        <v>-</v>
      </c>
      <c r="AT17" s="9">
        <f>IF(RIGHT(BPD[[#This Row],[Device type]],7)="Winding","-",BPD[[#This Row],[Cont Winter MVA]])</f>
        <v>600.15560482261594</v>
      </c>
      <c r="AU17" s="9">
        <f>IF(RIGHT(BPD[[#This Row],[Device type]],7)="Winding","-",BPD[[#This Row],[Cont Shoulder MVA]])</f>
        <v>600.15560482261594</v>
      </c>
      <c r="AV17" s="9">
        <f>IF(RIGHT(BPD[[#This Row],[Device type]],7)="Winding","-",BPD[[#This Row],[Cont Summer MVA]])</f>
        <v>600.15560482261594</v>
      </c>
      <c r="AW17" s="9" t="str">
        <f>BPD[[#This Row],[24 Hr Winter MVA]]</f>
        <v>-</v>
      </c>
      <c r="AX17" s="9" t="str">
        <f>BPD[[#This Row],[24 Hr Summer MVA]]</f>
        <v>-</v>
      </c>
      <c r="AY17" s="9">
        <f>BPD[[#This Row],[Forwards MVA]]</f>
        <v>55.633471939112333</v>
      </c>
      <c r="AZ17" s="9">
        <f>BPD[[#This Row],[Relay MVA]]</f>
        <v>114.31535329954589</v>
      </c>
      <c r="BA17" s="9">
        <f>BPD[[#This Row],[CT MVA]]</f>
        <v>45.72614131981836</v>
      </c>
      <c r="BB17" s="9" t="str">
        <f>BPD[[#This Row],[Derating MVA]]</f>
        <v>-</v>
      </c>
      <c r="BC17" s="9" t="str">
        <f>BPD[[#This Row],[Station/Feeder]]&amp;BPD[[#This Row],[Lowest MVA]]</f>
        <v>BPD45.7261413198184</v>
      </c>
      <c r="BD17" s="9" t="str">
        <f>CONCATENATE(BPD[[#This Row],[Supply Level]],BPD[[#This Row],[Station/Feeder]],BPD[[#This Row],[Voltage]],BPD[[#This Row],[Lowest A-No PTX]])</f>
        <v>ZoneSubstationBPD110240</v>
      </c>
      <c r="BE17" s="9" t="str">
        <f>CONCATENATE(BPD[[#This Row],[Supply Level]],BPD[[#This Row],[Station/Feeder]],BPD[[#This Row],[Voltage]],BPD[[#This Row],[Lowest A-PTX]])</f>
        <v>ZoneSubstationBPD110219</v>
      </c>
      <c r="BF17" s="9">
        <f>IF(MIN(BPD[[#This Row],[Summ Cont Winter A]:[Cable Derating]])=0,"",MIN(BPD[[#This Row],[Summ Cont Winter A]:[Cable Derating]]))</f>
        <v>45.72614131981836</v>
      </c>
      <c r="BG17" s="9">
        <f>IFERROR(BPD[[#This Row],[Lowest MVA]]*1000/(BPD[[#This Row],[Voltage]]*SQRT(3)),"")</f>
        <v>240</v>
      </c>
      <c r="BH17" s="9">
        <f t="shared" si="10"/>
        <v>219</v>
      </c>
      <c r="BI17" s="9" t="str">
        <f>BPD[[#This Row],[From]]</f>
        <v>110 kV Bus</v>
      </c>
      <c r="BJ17" s="9" t="str">
        <f>BPD[[#This Row],[To]]</f>
        <v>DS446</v>
      </c>
      <c r="BK17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Breaker-BPD-T1-CB442-Protection</v>
      </c>
      <c r="BL17" s="9">
        <f>BPD[[#This Row],[Voltage]]</f>
        <v>110</v>
      </c>
    </row>
    <row r="18" spans="1:64" s="337" customFormat="1" x14ac:dyDescent="0.25">
      <c r="A18" s="6" t="str">
        <f>CONCATENATE(BPD[[#This Row],[Supply Level]],BPD[[#This Row],[Station/Feeder]],BPD[[#This Row],[Voltage]],"T2")</f>
        <v>ZoneSubstationBPD110T2</v>
      </c>
      <c r="B18" s="6" t="str">
        <f>CONCATENATE(BPD[[#This Row],[Supply Level]],BPD[[#This Row],[Station/Feeder]],BPD[[#This Row],[Equipment ID]],BPD[[#This Row],[Voltage]],BPD[[#This Row],[Device type]])</f>
        <v>ZoneSubstationBPDBPD-T2-CB482110Protection</v>
      </c>
      <c r="C18" s="6" t="s">
        <v>1246</v>
      </c>
      <c r="D18" s="11" t="s">
        <v>80</v>
      </c>
      <c r="E18" s="6" t="s">
        <v>603</v>
      </c>
      <c r="F18" s="6" t="s">
        <v>700</v>
      </c>
      <c r="G18" s="27">
        <v>3</v>
      </c>
      <c r="H18" s="7" t="s">
        <v>1371</v>
      </c>
      <c r="I18" s="6" t="s">
        <v>2483</v>
      </c>
      <c r="J18" s="7" t="s">
        <v>15</v>
      </c>
      <c r="K18" s="7" t="s">
        <v>1121</v>
      </c>
      <c r="L18" s="7" t="s">
        <v>1423</v>
      </c>
      <c r="M18" s="43">
        <v>110</v>
      </c>
      <c r="N18" s="9">
        <v>3150</v>
      </c>
      <c r="O18" s="9">
        <f t="shared" si="11"/>
        <v>600.15560482261594</v>
      </c>
      <c r="P18" s="9">
        <v>3150</v>
      </c>
      <c r="Q18" s="9">
        <f t="shared" si="12"/>
        <v>600.15560482261594</v>
      </c>
      <c r="R18" s="9">
        <v>3150</v>
      </c>
      <c r="S18" s="9">
        <f t="shared" si="13"/>
        <v>600.15560482261594</v>
      </c>
      <c r="T18" s="9" t="s">
        <v>0</v>
      </c>
      <c r="U18" s="9" t="str">
        <f t="shared" si="14"/>
        <v>-</v>
      </c>
      <c r="V18" s="9" t="s">
        <v>0</v>
      </c>
      <c r="W18" s="9" t="str">
        <f t="shared" si="15"/>
        <v>-</v>
      </c>
      <c r="X18" s="9">
        <f>VLOOKUP(BPD[[#This Row],[Equipment ID]],AEL_Protection_Data[#All],12,0)</f>
        <v>146</v>
      </c>
      <c r="Y18" s="9">
        <f t="shared" si="16"/>
        <v>27.816735969556166</v>
      </c>
      <c r="Z18" s="9">
        <v>110</v>
      </c>
      <c r="AA18" s="9">
        <f t="shared" si="17"/>
        <v>20.957814771583411</v>
      </c>
      <c r="AB18" s="9">
        <v>600</v>
      </c>
      <c r="AC18" s="9">
        <f t="shared" si="18"/>
        <v>114.31535329954589</v>
      </c>
      <c r="AD18" s="9">
        <v>240</v>
      </c>
      <c r="AE18" s="9">
        <f t="shared" si="19"/>
        <v>45.72614131981836</v>
      </c>
      <c r="AF18" s="9" t="s">
        <v>0</v>
      </c>
      <c r="AG18" s="9" t="s">
        <v>0</v>
      </c>
      <c r="AH18" s="9" t="s">
        <v>0</v>
      </c>
      <c r="AI18" s="9" t="s">
        <v>0</v>
      </c>
      <c r="AJ18" s="9" t="s">
        <v>0</v>
      </c>
      <c r="AK18" s="9" t="s">
        <v>0</v>
      </c>
      <c r="AL18" s="9" t="s">
        <v>0</v>
      </c>
      <c r="AM18" s="9" t="s">
        <v>0</v>
      </c>
      <c r="AN18" s="9" t="s">
        <v>0</v>
      </c>
      <c r="AO18" s="9" t="s">
        <v>0</v>
      </c>
      <c r="AP18" s="9" t="s">
        <v>0</v>
      </c>
      <c r="AQ18" s="9" t="s">
        <v>0</v>
      </c>
      <c r="AR18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18" s="9" t="str">
        <f t="shared" si="20"/>
        <v>-</v>
      </c>
      <c r="AT18" s="9">
        <f>IF(RIGHT(BPD[[#This Row],[Device type]],7)="Winding","-",BPD[[#This Row],[Cont Winter MVA]])</f>
        <v>600.15560482261594</v>
      </c>
      <c r="AU18" s="9">
        <f>IF(RIGHT(BPD[[#This Row],[Device type]],7)="Winding","-",BPD[[#This Row],[Cont Shoulder MVA]])</f>
        <v>600.15560482261594</v>
      </c>
      <c r="AV18" s="9">
        <f>IF(RIGHT(BPD[[#This Row],[Device type]],7)="Winding","-",BPD[[#This Row],[Cont Summer MVA]])</f>
        <v>600.15560482261594</v>
      </c>
      <c r="AW18" s="9" t="str">
        <f>BPD[[#This Row],[24 Hr Winter MVA]]</f>
        <v>-</v>
      </c>
      <c r="AX18" s="9" t="str">
        <f>BPD[[#This Row],[24 Hr Summer MVA]]</f>
        <v>-</v>
      </c>
      <c r="AY18" s="9">
        <f>BPD[[#This Row],[Forwards MVA]]</f>
        <v>27.816735969556166</v>
      </c>
      <c r="AZ18" s="9">
        <f>BPD[[#This Row],[Relay MVA]]</f>
        <v>114.31535329954589</v>
      </c>
      <c r="BA18" s="9">
        <f>BPD[[#This Row],[CT MVA]]</f>
        <v>45.72614131981836</v>
      </c>
      <c r="BB18" s="9" t="str">
        <f>BPD[[#This Row],[Derating MVA]]</f>
        <v>-</v>
      </c>
      <c r="BC18" s="9" t="str">
        <f>BPD[[#This Row],[Station/Feeder]]&amp;BPD[[#This Row],[Lowest MVA]]</f>
        <v>BPD27.8167359695562</v>
      </c>
      <c r="BD18" s="9" t="str">
        <f>CONCATENATE(BPD[[#This Row],[Supply Level]],BPD[[#This Row],[Station/Feeder]],BPD[[#This Row],[Voltage]],BPD[[#This Row],[Lowest A-No PTX]])</f>
        <v>ZoneSubstationBPD110146</v>
      </c>
      <c r="BE18" s="9" t="str">
        <f>CONCATENATE(BPD[[#This Row],[Supply Level]],BPD[[#This Row],[Station/Feeder]],BPD[[#This Row],[Voltage]],BPD[[#This Row],[Lowest A-PTX]])</f>
        <v>ZoneSubstationBPD110110</v>
      </c>
      <c r="BF18" s="9">
        <f>IF(MIN(BPD[[#This Row],[Summ Cont Winter A]:[Cable Derating]])=0,"",MIN(BPD[[#This Row],[Summ Cont Winter A]:[Cable Derating]]))</f>
        <v>27.816735969556166</v>
      </c>
      <c r="BG18" s="9">
        <f>IFERROR(BPD[[#This Row],[Lowest MVA]]*1000/(BPD[[#This Row],[Voltage]]*SQRT(3)),"")</f>
        <v>146</v>
      </c>
      <c r="BH18" s="9">
        <f t="shared" si="10"/>
        <v>110</v>
      </c>
      <c r="BI18" s="9" t="str">
        <f>BPD[[#This Row],[From]]</f>
        <v>110 kV Bus</v>
      </c>
      <c r="BJ18" s="9" t="str">
        <f>BPD[[#This Row],[To]]</f>
        <v>DS486</v>
      </c>
      <c r="BK18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Breaker-BPD-T2-CB482-Protection</v>
      </c>
      <c r="BL18" s="9">
        <f>BPD[[#This Row],[Voltage]]</f>
        <v>110</v>
      </c>
    </row>
    <row r="19" spans="1:64" s="337" customFormat="1" x14ac:dyDescent="0.25">
      <c r="A19" s="6" t="str">
        <f>CONCATENATE(BPD[[#This Row],[Supply Level]],BPD[[#This Row],[Station/Feeder]],BPD[[#This Row],[Voltage]],"T2")</f>
        <v>ZoneSubstationBPD110T2</v>
      </c>
      <c r="B19" s="6" t="str">
        <f>CONCATENATE(BPD[[#This Row],[Supply Level]],BPD[[#This Row],[Station/Feeder]],BPD[[#This Row],[Equipment ID]],BPD[[#This Row],[Voltage]],BPD[[#This Row],[Device type]])</f>
        <v>ZoneSubstationBPDT2/A1067110HV Winding</v>
      </c>
      <c r="C19" s="6" t="s">
        <v>1246</v>
      </c>
      <c r="D19" s="11" t="s">
        <v>80</v>
      </c>
      <c r="E19" s="6" t="s">
        <v>706</v>
      </c>
      <c r="F19" s="6" t="s">
        <v>243</v>
      </c>
      <c r="G19" s="27">
        <v>5</v>
      </c>
      <c r="H19" s="7" t="s">
        <v>707</v>
      </c>
      <c r="I19" s="6" t="s">
        <v>708</v>
      </c>
      <c r="J19" s="7" t="s">
        <v>19</v>
      </c>
      <c r="K19" s="7" t="s">
        <v>0</v>
      </c>
      <c r="L19" s="7" t="s">
        <v>36</v>
      </c>
      <c r="M19" s="43">
        <v>110</v>
      </c>
      <c r="N19" s="9">
        <f>20000/(BPD[[#This Row],[Voltage]]*SQRT(3))</f>
        <v>104.9727762162956</v>
      </c>
      <c r="O19" s="9">
        <f t="shared" si="0"/>
        <v>20</v>
      </c>
      <c r="P19" s="9">
        <f>BPD[[#This Row],[Cont Winter A]]</f>
        <v>104.9727762162956</v>
      </c>
      <c r="Q19" s="9">
        <f t="shared" si="1"/>
        <v>20</v>
      </c>
      <c r="R19" s="9">
        <f>BPD[[#This Row],[Cont Shoulder A]]</f>
        <v>104.9727762162956</v>
      </c>
      <c r="S19" s="9">
        <f t="shared" si="2"/>
        <v>20</v>
      </c>
      <c r="T19" s="9" t="s">
        <v>0</v>
      </c>
      <c r="U19" s="9" t="str">
        <f t="shared" si="3"/>
        <v>-</v>
      </c>
      <c r="V19" s="9" t="s">
        <v>0</v>
      </c>
      <c r="W19" s="9" t="str">
        <f t="shared" si="4"/>
        <v>-</v>
      </c>
      <c r="X19" s="9" t="s">
        <v>0</v>
      </c>
      <c r="Y19" s="9" t="str">
        <f t="shared" si="5"/>
        <v>-</v>
      </c>
      <c r="Z19" s="9" t="s">
        <v>0</v>
      </c>
      <c r="AA19" s="9" t="str">
        <f t="shared" si="6"/>
        <v>-</v>
      </c>
      <c r="AB19" s="9" t="s">
        <v>0</v>
      </c>
      <c r="AC19" s="9" t="str">
        <f t="shared" si="7"/>
        <v>-</v>
      </c>
      <c r="AD19" s="9" t="s">
        <v>0</v>
      </c>
      <c r="AE19" s="9" t="str">
        <f t="shared" si="8"/>
        <v>-</v>
      </c>
      <c r="AF19" s="9" t="s">
        <v>0</v>
      </c>
      <c r="AG19" s="9" t="s">
        <v>0</v>
      </c>
      <c r="AH19" s="9" t="s">
        <v>0</v>
      </c>
      <c r="AI19" s="9" t="s">
        <v>0</v>
      </c>
      <c r="AJ19" s="9" t="s">
        <v>0</v>
      </c>
      <c r="AK19" s="9" t="s">
        <v>0</v>
      </c>
      <c r="AL19" s="9" t="s">
        <v>0</v>
      </c>
      <c r="AM19" s="9" t="s">
        <v>0</v>
      </c>
      <c r="AN19" s="9" t="s">
        <v>0</v>
      </c>
      <c r="AO19" s="9" t="s">
        <v>0</v>
      </c>
      <c r="AP19" s="9" t="s">
        <v>0</v>
      </c>
      <c r="AQ19" s="9" t="s">
        <v>0</v>
      </c>
      <c r="AR19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19" s="9" t="str">
        <f t="shared" si="9"/>
        <v>-</v>
      </c>
      <c r="AT19" s="9" t="str">
        <f>IF(RIGHT(BPD[[#This Row],[Device type]],7)="Winding","-",BPD[[#This Row],[Cont Winter MVA]])</f>
        <v>-</v>
      </c>
      <c r="AU19" s="9" t="str">
        <f>IF(RIGHT(BPD[[#This Row],[Device type]],7)="Winding","-",BPD[[#This Row],[Cont Shoulder MVA]])</f>
        <v>-</v>
      </c>
      <c r="AV19" s="9" t="str">
        <f>IF(RIGHT(BPD[[#This Row],[Device type]],7)="Winding","-",BPD[[#This Row],[Cont Summer MVA]])</f>
        <v>-</v>
      </c>
      <c r="AW19" s="9" t="str">
        <f>BPD[[#This Row],[24 Hr Winter MVA]]</f>
        <v>-</v>
      </c>
      <c r="AX19" s="9" t="str">
        <f>BPD[[#This Row],[24 Hr Summer MVA]]</f>
        <v>-</v>
      </c>
      <c r="AY19" s="9" t="str">
        <f>BPD[[#This Row],[Forwards MVA]]</f>
        <v>-</v>
      </c>
      <c r="AZ19" s="9" t="str">
        <f>BPD[[#This Row],[Relay MVA]]</f>
        <v>-</v>
      </c>
      <c r="BA19" s="9" t="str">
        <f>BPD[[#This Row],[CT MVA]]</f>
        <v>-</v>
      </c>
      <c r="BB19" s="9" t="str">
        <f>BPD[[#This Row],[Derating MVA]]</f>
        <v>-</v>
      </c>
      <c r="BC19" s="9" t="str">
        <f>BPD[[#This Row],[Station/Feeder]]&amp;BPD[[#This Row],[Lowest MVA]]</f>
        <v>BPD</v>
      </c>
      <c r="BD19" s="9" t="str">
        <f>CONCATENATE(BPD[[#This Row],[Supply Level]],BPD[[#This Row],[Station/Feeder]],BPD[[#This Row],[Voltage]],BPD[[#This Row],[Lowest A-No PTX]])</f>
        <v>ZoneSubstationBPD110</v>
      </c>
      <c r="BE19" s="9" t="str">
        <f>CONCATENATE(BPD[[#This Row],[Supply Level]],BPD[[#This Row],[Station/Feeder]],BPD[[#This Row],[Voltage]],BPD[[#This Row],[Lowest A-PTX]])</f>
        <v>ZoneSubstationBPD110104.972776216296</v>
      </c>
      <c r="BF19" s="9" t="str">
        <f>IF(MIN(BPD[[#This Row],[Summ Cont Winter A]:[Cable Derating]])=0,"",MIN(BPD[[#This Row],[Summ Cont Winter A]:[Cable Derating]]))</f>
        <v/>
      </c>
      <c r="BG19" s="9" t="str">
        <f>IFERROR(BPD[[#This Row],[Lowest MVA]]*1000/(BPD[[#This Row],[Voltage]]*SQRT(3)),"")</f>
        <v/>
      </c>
      <c r="BH19" s="9">
        <f t="shared" si="10"/>
        <v>104.9727762162956</v>
      </c>
      <c r="BI19" s="9" t="str">
        <f>BPD[[#This Row],[From]]</f>
        <v>CB482</v>
      </c>
      <c r="BJ19" s="9" t="str">
        <f>BPD[[#This Row],[To]]</f>
        <v>11 kV Bus</v>
      </c>
      <c r="BK19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Transformer-T2/A1067-HV Winding</v>
      </c>
      <c r="BL19" s="9">
        <f>BPD[[#This Row],[Voltage]]</f>
        <v>110</v>
      </c>
    </row>
    <row r="20" spans="1:64" s="337" customFormat="1" x14ac:dyDescent="0.25">
      <c r="A20" s="6" t="str">
        <f>CONCATENATE(BPD[[#This Row],[Supply Level]],BPD[[#This Row],[Station/Feeder]],BPD[[#This Row],[Voltage]],"T2")</f>
        <v>ZoneSubstationBPD11.22T2</v>
      </c>
      <c r="B20" s="6" t="str">
        <f>CONCATENATE(BPD[[#This Row],[Supply Level]],BPD[[#This Row],[Station/Feeder]],BPD[[#This Row],[Equipment ID]],BPD[[#This Row],[Voltage]],BPD[[#This Row],[Device type]])</f>
        <v>ZoneSubstationBPDT2/A106711.22Secondary LV Winding</v>
      </c>
      <c r="C20" s="6" t="s">
        <v>1246</v>
      </c>
      <c r="D20" s="11" t="s">
        <v>80</v>
      </c>
      <c r="E20" s="6" t="s">
        <v>706</v>
      </c>
      <c r="F20" s="6" t="s">
        <v>243</v>
      </c>
      <c r="G20" s="27">
        <v>5</v>
      </c>
      <c r="H20" s="7" t="s">
        <v>707</v>
      </c>
      <c r="I20" s="6" t="s">
        <v>708</v>
      </c>
      <c r="J20" s="7" t="s">
        <v>19</v>
      </c>
      <c r="K20" s="7" t="s">
        <v>0</v>
      </c>
      <c r="L20" s="7" t="s">
        <v>1129</v>
      </c>
      <c r="M20" s="43">
        <f>11*1.02</f>
        <v>11.22</v>
      </c>
      <c r="N20" s="9">
        <f>15000/(BPD[[#This Row],[Voltage]]*SQRT(3))</f>
        <v>771.85864864923235</v>
      </c>
      <c r="O20" s="9">
        <f t="shared" si="0"/>
        <v>15.000000000000002</v>
      </c>
      <c r="P20" s="9">
        <f>BPD[[#This Row],[Cont Winter A]]</f>
        <v>771.85864864923235</v>
      </c>
      <c r="Q20" s="9">
        <f t="shared" si="1"/>
        <v>15.000000000000002</v>
      </c>
      <c r="R20" s="9">
        <f>BPD[[#This Row],[Cont Shoulder A]]</f>
        <v>771.85864864923235</v>
      </c>
      <c r="S20" s="9">
        <f t="shared" si="2"/>
        <v>15.000000000000002</v>
      </c>
      <c r="T20" s="9" t="s">
        <v>0</v>
      </c>
      <c r="U20" s="9" t="str">
        <f t="shared" si="3"/>
        <v>-</v>
      </c>
      <c r="V20" s="9" t="s">
        <v>0</v>
      </c>
      <c r="W20" s="9" t="str">
        <f t="shared" si="4"/>
        <v>-</v>
      </c>
      <c r="X20" s="9" t="s">
        <v>0</v>
      </c>
      <c r="Y20" s="9" t="str">
        <f t="shared" si="5"/>
        <v>-</v>
      </c>
      <c r="Z20" s="9" t="s">
        <v>0</v>
      </c>
      <c r="AA20" s="9" t="str">
        <f t="shared" si="6"/>
        <v>-</v>
      </c>
      <c r="AB20" s="9" t="s">
        <v>0</v>
      </c>
      <c r="AC20" s="9" t="str">
        <f t="shared" si="7"/>
        <v>-</v>
      </c>
      <c r="AD20" s="9" t="s">
        <v>0</v>
      </c>
      <c r="AE20" s="9" t="str">
        <f t="shared" si="8"/>
        <v>-</v>
      </c>
      <c r="AF20" s="9" t="s">
        <v>0</v>
      </c>
      <c r="AG20" s="9" t="s">
        <v>0</v>
      </c>
      <c r="AH20" s="9" t="s">
        <v>0</v>
      </c>
      <c r="AI20" s="9" t="s">
        <v>0</v>
      </c>
      <c r="AJ20" s="9" t="s">
        <v>0</v>
      </c>
      <c r="AK20" s="9" t="s">
        <v>0</v>
      </c>
      <c r="AL20" s="9" t="s">
        <v>0</v>
      </c>
      <c r="AM20" s="9" t="s">
        <v>0</v>
      </c>
      <c r="AN20" s="9" t="s">
        <v>0</v>
      </c>
      <c r="AO20" s="9" t="s">
        <v>0</v>
      </c>
      <c r="AP20" s="9" t="s">
        <v>0</v>
      </c>
      <c r="AQ20" s="9" t="s">
        <v>0</v>
      </c>
      <c r="AR20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20" s="9" t="str">
        <f t="shared" si="9"/>
        <v>-</v>
      </c>
      <c r="AT20" s="9" t="str">
        <f>IF(RIGHT(BPD[[#This Row],[Device type]],7)="Winding","-",BPD[[#This Row],[Cont Winter MVA]])</f>
        <v>-</v>
      </c>
      <c r="AU20" s="9" t="str">
        <f>IF(RIGHT(BPD[[#This Row],[Device type]],7)="Winding","-",BPD[[#This Row],[Cont Shoulder MVA]])</f>
        <v>-</v>
      </c>
      <c r="AV20" s="9" t="str">
        <f>IF(RIGHT(BPD[[#This Row],[Device type]],7)="Winding","-",BPD[[#This Row],[Cont Summer MVA]])</f>
        <v>-</v>
      </c>
      <c r="AW20" s="9" t="str">
        <f>BPD[[#This Row],[24 Hr Winter MVA]]</f>
        <v>-</v>
      </c>
      <c r="AX20" s="9" t="str">
        <f>BPD[[#This Row],[24 Hr Summer MVA]]</f>
        <v>-</v>
      </c>
      <c r="AY20" s="9" t="str">
        <f>BPD[[#This Row],[Forwards MVA]]</f>
        <v>-</v>
      </c>
      <c r="AZ20" s="9" t="str">
        <f>BPD[[#This Row],[Relay MVA]]</f>
        <v>-</v>
      </c>
      <c r="BA20" s="9" t="str">
        <f>BPD[[#This Row],[CT MVA]]</f>
        <v>-</v>
      </c>
      <c r="BB20" s="9" t="str">
        <f>BPD[[#This Row],[Derating MVA]]</f>
        <v>-</v>
      </c>
      <c r="BC20" s="9" t="str">
        <f>BPD[[#This Row],[Station/Feeder]]&amp;BPD[[#This Row],[Lowest MVA]]</f>
        <v>BPD</v>
      </c>
      <c r="BD20" s="9" t="str">
        <f>CONCATENATE(BPD[[#This Row],[Supply Level]],BPD[[#This Row],[Station/Feeder]],BPD[[#This Row],[Voltage]],BPD[[#This Row],[Lowest A-No PTX]])</f>
        <v>ZoneSubstationBPD11.22</v>
      </c>
      <c r="BE20" s="9" t="str">
        <f>CONCATENATE(BPD[[#This Row],[Supply Level]],BPD[[#This Row],[Station/Feeder]],BPD[[#This Row],[Voltage]],BPD[[#This Row],[Lowest A-PTX]])</f>
        <v>ZoneSubstationBPD11.22771.858648649232</v>
      </c>
      <c r="BF20" s="9" t="str">
        <f>IF(MIN(BPD[[#This Row],[Summ Cont Winter A]:[Cable Derating]])=0,"",MIN(BPD[[#This Row],[Summ Cont Winter A]:[Cable Derating]]))</f>
        <v/>
      </c>
      <c r="BG20" s="9" t="str">
        <f>IFERROR(BPD[[#This Row],[Lowest MVA]]*1000/(BPD[[#This Row],[Voltage]]*SQRT(3)),"")</f>
        <v/>
      </c>
      <c r="BH20" s="9">
        <f t="shared" si="10"/>
        <v>771.85864864923235</v>
      </c>
      <c r="BI20" s="9" t="str">
        <f>BPD[[#This Row],[From]]</f>
        <v>CB482</v>
      </c>
      <c r="BJ20" s="9" t="str">
        <f>BPD[[#This Row],[To]]</f>
        <v>11 kV Bus</v>
      </c>
      <c r="BK20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Transformer-T2/A1067-Secondary LV Winding</v>
      </c>
      <c r="BL20" s="9">
        <f>BPD[[#This Row],[Voltage]]</f>
        <v>11.22</v>
      </c>
    </row>
    <row r="21" spans="1:64" s="337" customFormat="1" x14ac:dyDescent="0.25">
      <c r="A21" s="6" t="str">
        <f>CONCATENATE(BPD[[#This Row],[Supply Level]],BPD[[#This Row],[Station/Feeder]],BPD[[#This Row],[Voltage]],"T2")</f>
        <v>ZoneSubstationBPD33T2</v>
      </c>
      <c r="B21" s="6" t="str">
        <f>CONCATENATE(BPD[[#This Row],[Supply Level]],BPD[[#This Row],[Station/Feeder]],BPD[[#This Row],[Equipment ID]],BPD[[#This Row],[Voltage]],BPD[[#This Row],[Device type]])</f>
        <v>ZoneSubstationBPDT2/A106733Territary LV Winding</v>
      </c>
      <c r="C21" s="6" t="s">
        <v>1246</v>
      </c>
      <c r="D21" s="11" t="s">
        <v>80</v>
      </c>
      <c r="E21" s="6" t="s">
        <v>706</v>
      </c>
      <c r="F21" s="6" t="s">
        <v>243</v>
      </c>
      <c r="G21" s="27">
        <v>5</v>
      </c>
      <c r="H21" s="7" t="s">
        <v>707</v>
      </c>
      <c r="I21" s="6" t="s">
        <v>708</v>
      </c>
      <c r="J21" s="7" t="s">
        <v>19</v>
      </c>
      <c r="K21" s="7" t="s">
        <v>0</v>
      </c>
      <c r="L21" s="7" t="s">
        <v>1130</v>
      </c>
      <c r="M21" s="43">
        <v>33</v>
      </c>
      <c r="N21" s="9">
        <f>15000/(BPD[[#This Row],[Voltage]]*SQRT(3))</f>
        <v>262.43194054073899</v>
      </c>
      <c r="O21" s="9">
        <f t="shared" si="0"/>
        <v>14.999999999999998</v>
      </c>
      <c r="P21" s="9">
        <f>BPD[[#This Row],[Cont Winter A]]</f>
        <v>262.43194054073899</v>
      </c>
      <c r="Q21" s="9">
        <f t="shared" si="1"/>
        <v>14.999999999999998</v>
      </c>
      <c r="R21" s="9">
        <f>BPD[[#This Row],[Cont Shoulder A]]</f>
        <v>262.43194054073899</v>
      </c>
      <c r="S21" s="9">
        <f t="shared" si="2"/>
        <v>14.999999999999998</v>
      </c>
      <c r="T21" s="9" t="s">
        <v>0</v>
      </c>
      <c r="U21" s="9" t="str">
        <f t="shared" si="3"/>
        <v>-</v>
      </c>
      <c r="V21" s="9" t="s">
        <v>0</v>
      </c>
      <c r="W21" s="9" t="str">
        <f t="shared" si="4"/>
        <v>-</v>
      </c>
      <c r="X21" s="9" t="s">
        <v>0</v>
      </c>
      <c r="Y21" s="9" t="str">
        <f t="shared" si="5"/>
        <v>-</v>
      </c>
      <c r="Z21" s="9" t="s">
        <v>0</v>
      </c>
      <c r="AA21" s="9" t="str">
        <f t="shared" si="6"/>
        <v>-</v>
      </c>
      <c r="AB21" s="9" t="s">
        <v>0</v>
      </c>
      <c r="AC21" s="9" t="str">
        <f t="shared" si="7"/>
        <v>-</v>
      </c>
      <c r="AD21" s="9" t="s">
        <v>0</v>
      </c>
      <c r="AE21" s="9" t="str">
        <f t="shared" si="8"/>
        <v>-</v>
      </c>
      <c r="AF21" s="9" t="s">
        <v>0</v>
      </c>
      <c r="AG21" s="9" t="s">
        <v>0</v>
      </c>
      <c r="AH21" s="9" t="s">
        <v>0</v>
      </c>
      <c r="AI21" s="9" t="s">
        <v>0</v>
      </c>
      <c r="AJ21" s="9" t="s">
        <v>0</v>
      </c>
      <c r="AK21" s="9" t="s">
        <v>0</v>
      </c>
      <c r="AL21" s="9" t="s">
        <v>0</v>
      </c>
      <c r="AM21" s="9" t="s">
        <v>0</v>
      </c>
      <c r="AN21" s="9" t="s">
        <v>0</v>
      </c>
      <c r="AO21" s="9" t="s">
        <v>0</v>
      </c>
      <c r="AP21" s="9" t="s">
        <v>0</v>
      </c>
      <c r="AQ21" s="9" t="s">
        <v>0</v>
      </c>
      <c r="AR21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21" s="9" t="str">
        <f t="shared" si="9"/>
        <v>-</v>
      </c>
      <c r="AT21" s="9" t="str">
        <f>IF(RIGHT(BPD[[#This Row],[Device type]],7)="Winding","-",BPD[[#This Row],[Cont Winter MVA]])</f>
        <v>-</v>
      </c>
      <c r="AU21" s="9" t="str">
        <f>IF(RIGHT(BPD[[#This Row],[Device type]],7)="Winding","-",BPD[[#This Row],[Cont Shoulder MVA]])</f>
        <v>-</v>
      </c>
      <c r="AV21" s="9" t="str">
        <f>IF(RIGHT(BPD[[#This Row],[Device type]],7)="Winding","-",BPD[[#This Row],[Cont Summer MVA]])</f>
        <v>-</v>
      </c>
      <c r="AW21" s="9" t="str">
        <f>BPD[[#This Row],[24 Hr Winter MVA]]</f>
        <v>-</v>
      </c>
      <c r="AX21" s="9" t="str">
        <f>BPD[[#This Row],[24 Hr Summer MVA]]</f>
        <v>-</v>
      </c>
      <c r="AY21" s="9" t="str">
        <f>BPD[[#This Row],[Forwards MVA]]</f>
        <v>-</v>
      </c>
      <c r="AZ21" s="9" t="str">
        <f>BPD[[#This Row],[Relay MVA]]</f>
        <v>-</v>
      </c>
      <c r="BA21" s="9" t="str">
        <f>BPD[[#This Row],[CT MVA]]</f>
        <v>-</v>
      </c>
      <c r="BB21" s="9" t="str">
        <f>BPD[[#This Row],[Derating MVA]]</f>
        <v>-</v>
      </c>
      <c r="BC21" s="9" t="str">
        <f>BPD[[#This Row],[Station/Feeder]]&amp;BPD[[#This Row],[Lowest MVA]]</f>
        <v>BPD</v>
      </c>
      <c r="BD21" s="9" t="str">
        <f>CONCATENATE(BPD[[#This Row],[Supply Level]],BPD[[#This Row],[Station/Feeder]],BPD[[#This Row],[Voltage]],BPD[[#This Row],[Lowest A-No PTX]])</f>
        <v>ZoneSubstationBPD33</v>
      </c>
      <c r="BE21" s="9" t="str">
        <f>CONCATENATE(BPD[[#This Row],[Supply Level]],BPD[[#This Row],[Station/Feeder]],BPD[[#This Row],[Voltage]],BPD[[#This Row],[Lowest A-PTX]])</f>
        <v>ZoneSubstationBPD33262.431940540739</v>
      </c>
      <c r="BF21" s="9" t="str">
        <f>IF(MIN(BPD[[#This Row],[Summ Cont Winter A]:[Cable Derating]])=0,"",MIN(BPD[[#This Row],[Summ Cont Winter A]:[Cable Derating]]))</f>
        <v/>
      </c>
      <c r="BG21" s="9" t="str">
        <f>IFERROR(BPD[[#This Row],[Lowest MVA]]*1000/(BPD[[#This Row],[Voltage]]*SQRT(3)),"")</f>
        <v/>
      </c>
      <c r="BH21" s="9">
        <f t="shared" si="10"/>
        <v>262.43194054073899</v>
      </c>
      <c r="BI21" s="9" t="str">
        <f>BPD[[#This Row],[From]]</f>
        <v>CB482</v>
      </c>
      <c r="BJ21" s="9" t="str">
        <f>BPD[[#This Row],[To]]</f>
        <v>11 kV Bus</v>
      </c>
      <c r="BK21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Transformer-T2/A1067-Territary LV Winding</v>
      </c>
      <c r="BL21" s="9">
        <f>BPD[[#This Row],[Voltage]]</f>
        <v>33</v>
      </c>
    </row>
    <row r="22" spans="1:64" s="337" customFormat="1" x14ac:dyDescent="0.25">
      <c r="A22" s="6" t="str">
        <f>CONCATENATE(BPD[[#This Row],[Supply Level]],BPD[[#This Row],[Station/Feeder]],BPD[[#This Row],[Voltage]],"T1")</f>
        <v>ZoneSubstationBPD110T1</v>
      </c>
      <c r="B22" s="6" t="str">
        <f>CONCATENATE(BPD[[#This Row],[Supply Level]],BPD[[#This Row],[Station/Feeder]],BPD[[#This Row],[Equipment ID]],BPD[[#This Row],[Voltage]],BPD[[#This Row],[Device type]])</f>
        <v>ZoneSubstationBPDT1/A1067110HV Winding</v>
      </c>
      <c r="C22" s="6" t="s">
        <v>1246</v>
      </c>
      <c r="D22" s="11" t="s">
        <v>80</v>
      </c>
      <c r="E22" s="6" t="s">
        <v>705</v>
      </c>
      <c r="F22" s="6" t="s">
        <v>243</v>
      </c>
      <c r="G22" s="27">
        <v>5</v>
      </c>
      <c r="H22" s="7" t="s">
        <v>707</v>
      </c>
      <c r="I22" s="6" t="s">
        <v>709</v>
      </c>
      <c r="J22" s="7" t="s">
        <v>19</v>
      </c>
      <c r="K22" s="7" t="s">
        <v>0</v>
      </c>
      <c r="L22" s="7" t="s">
        <v>36</v>
      </c>
      <c r="M22" s="43">
        <v>110</v>
      </c>
      <c r="N22" s="9">
        <f>40000/(BPD[[#This Row],[Voltage]]*SQRT(3))</f>
        <v>209.9455524325912</v>
      </c>
      <c r="O22" s="9">
        <f t="shared" si="0"/>
        <v>40</v>
      </c>
      <c r="P22" s="9">
        <f>BPD[[#This Row],[Cont Winter A]]</f>
        <v>209.9455524325912</v>
      </c>
      <c r="Q22" s="9">
        <f t="shared" si="1"/>
        <v>40</v>
      </c>
      <c r="R22" s="9">
        <f>BPD[[#This Row],[Cont Shoulder A]]</f>
        <v>209.9455524325912</v>
      </c>
      <c r="S22" s="9">
        <f t="shared" si="2"/>
        <v>40</v>
      </c>
      <c r="T22" s="9" t="s">
        <v>0</v>
      </c>
      <c r="U22" s="9" t="str">
        <f t="shared" si="3"/>
        <v>-</v>
      </c>
      <c r="V22" s="9" t="s">
        <v>0</v>
      </c>
      <c r="W22" s="9" t="str">
        <f t="shared" si="4"/>
        <v>-</v>
      </c>
      <c r="X22" s="9" t="s">
        <v>0</v>
      </c>
      <c r="Y22" s="9" t="str">
        <f t="shared" si="5"/>
        <v>-</v>
      </c>
      <c r="Z22" s="9" t="s">
        <v>0</v>
      </c>
      <c r="AA22" s="9" t="str">
        <f t="shared" si="6"/>
        <v>-</v>
      </c>
      <c r="AB22" s="9" t="s">
        <v>0</v>
      </c>
      <c r="AC22" s="9" t="str">
        <f t="shared" si="7"/>
        <v>-</v>
      </c>
      <c r="AD22" s="9" t="s">
        <v>0</v>
      </c>
      <c r="AE22" s="9" t="str">
        <f t="shared" si="8"/>
        <v>-</v>
      </c>
      <c r="AF22" s="9" t="s">
        <v>0</v>
      </c>
      <c r="AG22" s="9" t="s">
        <v>0</v>
      </c>
      <c r="AH22" s="9" t="s">
        <v>0</v>
      </c>
      <c r="AI22" s="9" t="s">
        <v>0</v>
      </c>
      <c r="AJ22" s="9" t="s">
        <v>0</v>
      </c>
      <c r="AK22" s="9" t="s">
        <v>0</v>
      </c>
      <c r="AL22" s="9" t="s">
        <v>0</v>
      </c>
      <c r="AM22" s="9" t="s">
        <v>0</v>
      </c>
      <c r="AN22" s="9" t="s">
        <v>0</v>
      </c>
      <c r="AO22" s="9" t="s">
        <v>0</v>
      </c>
      <c r="AP22" s="9" t="s">
        <v>0</v>
      </c>
      <c r="AQ22" s="9" t="s">
        <v>0</v>
      </c>
      <c r="AR22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22" s="9" t="str">
        <f t="shared" si="9"/>
        <v>-</v>
      </c>
      <c r="AT22" s="9" t="str">
        <f>IF(RIGHT(BPD[[#This Row],[Device type]],7)="Winding","-",BPD[[#This Row],[Cont Winter MVA]])</f>
        <v>-</v>
      </c>
      <c r="AU22" s="9" t="str">
        <f>IF(RIGHT(BPD[[#This Row],[Device type]],7)="Winding","-",BPD[[#This Row],[Cont Shoulder MVA]])</f>
        <v>-</v>
      </c>
      <c r="AV22" s="9" t="str">
        <f>IF(RIGHT(BPD[[#This Row],[Device type]],7)="Winding","-",BPD[[#This Row],[Cont Summer MVA]])</f>
        <v>-</v>
      </c>
      <c r="AW22" s="9" t="str">
        <f>BPD[[#This Row],[24 Hr Winter MVA]]</f>
        <v>-</v>
      </c>
      <c r="AX22" s="9" t="str">
        <f>BPD[[#This Row],[24 Hr Summer MVA]]</f>
        <v>-</v>
      </c>
      <c r="AY22" s="9" t="str">
        <f>BPD[[#This Row],[Forwards MVA]]</f>
        <v>-</v>
      </c>
      <c r="AZ22" s="9" t="str">
        <f>BPD[[#This Row],[Relay MVA]]</f>
        <v>-</v>
      </c>
      <c r="BA22" s="9" t="str">
        <f>BPD[[#This Row],[CT MVA]]</f>
        <v>-</v>
      </c>
      <c r="BB22" s="9" t="str">
        <f>BPD[[#This Row],[Derating MVA]]</f>
        <v>-</v>
      </c>
      <c r="BC22" s="9" t="str">
        <f>BPD[[#This Row],[Station/Feeder]]&amp;BPD[[#This Row],[Lowest MVA]]</f>
        <v>BPD</v>
      </c>
      <c r="BD22" s="9" t="str">
        <f>CONCATENATE(BPD[[#This Row],[Supply Level]],BPD[[#This Row],[Station/Feeder]],BPD[[#This Row],[Voltage]],BPD[[#This Row],[Lowest A-No PTX]])</f>
        <v>ZoneSubstationBPD110</v>
      </c>
      <c r="BE22" s="9" t="str">
        <f>CONCATENATE(BPD[[#This Row],[Supply Level]],BPD[[#This Row],[Station/Feeder]],BPD[[#This Row],[Voltage]],BPD[[#This Row],[Lowest A-PTX]])</f>
        <v>ZoneSubstationBPD110209.945552432591</v>
      </c>
      <c r="BF22" s="9" t="str">
        <f>IF(MIN(BPD[[#This Row],[Summ Cont Winter A]:[Cable Derating]])=0,"",MIN(BPD[[#This Row],[Summ Cont Winter A]:[Cable Derating]]))</f>
        <v/>
      </c>
      <c r="BG22" s="9" t="str">
        <f>IFERROR(BPD[[#This Row],[Lowest MVA]]*1000/(BPD[[#This Row],[Voltage]]*SQRT(3)),"")</f>
        <v/>
      </c>
      <c r="BH22" s="9">
        <f t="shared" si="10"/>
        <v>209.9455524325912</v>
      </c>
      <c r="BI22" s="9" t="str">
        <f>BPD[[#This Row],[From]]</f>
        <v>CB442</v>
      </c>
      <c r="BJ22" s="9" t="str">
        <f>BPD[[#This Row],[To]]</f>
        <v>11 kV Bus</v>
      </c>
      <c r="BK22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Transformer-T1/A1067-HV Winding</v>
      </c>
      <c r="BL22" s="9">
        <f>BPD[[#This Row],[Voltage]]</f>
        <v>110</v>
      </c>
    </row>
    <row r="23" spans="1:64" s="337" customFormat="1" x14ac:dyDescent="0.25">
      <c r="A23" s="6" t="str">
        <f>CONCATENATE(BPD[[#This Row],[Supply Level]],BPD[[#This Row],[Station/Feeder]],BPD[[#This Row],[Voltage]],"T1")</f>
        <v>ZoneSubstationBPD11.22T1</v>
      </c>
      <c r="B23" s="6" t="str">
        <f>CONCATENATE(BPD[[#This Row],[Supply Level]],BPD[[#This Row],[Station/Feeder]],BPD[[#This Row],[Equipment ID]],BPD[[#This Row],[Voltage]],BPD[[#This Row],[Device type]])</f>
        <v>ZoneSubstationBPDT1/A106711.22Secondary LV Winding</v>
      </c>
      <c r="C23" s="6" t="s">
        <v>1246</v>
      </c>
      <c r="D23" s="11" t="s">
        <v>80</v>
      </c>
      <c r="E23" s="6" t="s">
        <v>705</v>
      </c>
      <c r="F23" s="6" t="s">
        <v>243</v>
      </c>
      <c r="G23" s="27">
        <v>5</v>
      </c>
      <c r="H23" s="7" t="s">
        <v>707</v>
      </c>
      <c r="I23" s="6" t="s">
        <v>709</v>
      </c>
      <c r="J23" s="7" t="s">
        <v>19</v>
      </c>
      <c r="K23" s="7" t="s">
        <v>0</v>
      </c>
      <c r="L23" s="7" t="s">
        <v>1129</v>
      </c>
      <c r="M23" s="43">
        <f>11*1.02</f>
        <v>11.22</v>
      </c>
      <c r="N23" s="9">
        <f>30000/(BPD[[#This Row],[Voltage]]*SQRT(3))</f>
        <v>1543.7172972984647</v>
      </c>
      <c r="O23" s="9">
        <f t="shared" si="0"/>
        <v>30.000000000000004</v>
      </c>
      <c r="P23" s="9">
        <f>BPD[[#This Row],[Cont Winter A]]</f>
        <v>1543.7172972984647</v>
      </c>
      <c r="Q23" s="9">
        <f t="shared" si="1"/>
        <v>30.000000000000004</v>
      </c>
      <c r="R23" s="9">
        <f>BPD[[#This Row],[Cont Shoulder A]]</f>
        <v>1543.7172972984647</v>
      </c>
      <c r="S23" s="9">
        <f t="shared" si="2"/>
        <v>30.000000000000004</v>
      </c>
      <c r="T23" s="9" t="s">
        <v>0</v>
      </c>
      <c r="U23" s="9" t="str">
        <f t="shared" si="3"/>
        <v>-</v>
      </c>
      <c r="V23" s="9" t="s">
        <v>0</v>
      </c>
      <c r="W23" s="9" t="str">
        <f t="shared" si="4"/>
        <v>-</v>
      </c>
      <c r="X23" s="9" t="s">
        <v>0</v>
      </c>
      <c r="Y23" s="9" t="str">
        <f t="shared" si="5"/>
        <v>-</v>
      </c>
      <c r="Z23" s="9" t="s">
        <v>0</v>
      </c>
      <c r="AA23" s="9" t="str">
        <f t="shared" si="6"/>
        <v>-</v>
      </c>
      <c r="AB23" s="9" t="s">
        <v>0</v>
      </c>
      <c r="AC23" s="9" t="str">
        <f t="shared" si="7"/>
        <v>-</v>
      </c>
      <c r="AD23" s="9" t="s">
        <v>0</v>
      </c>
      <c r="AE23" s="9" t="str">
        <f t="shared" si="8"/>
        <v>-</v>
      </c>
      <c r="AF23" s="9" t="s">
        <v>0</v>
      </c>
      <c r="AG23" s="9" t="s">
        <v>0</v>
      </c>
      <c r="AH23" s="9" t="s">
        <v>0</v>
      </c>
      <c r="AI23" s="9" t="s">
        <v>0</v>
      </c>
      <c r="AJ23" s="9" t="s">
        <v>0</v>
      </c>
      <c r="AK23" s="9" t="s">
        <v>0</v>
      </c>
      <c r="AL23" s="9" t="s">
        <v>0</v>
      </c>
      <c r="AM23" s="9" t="s">
        <v>0</v>
      </c>
      <c r="AN23" s="9" t="s">
        <v>0</v>
      </c>
      <c r="AO23" s="9" t="s">
        <v>0</v>
      </c>
      <c r="AP23" s="9" t="s">
        <v>0</v>
      </c>
      <c r="AQ23" s="9" t="s">
        <v>0</v>
      </c>
      <c r="AR23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23" s="9" t="str">
        <f t="shared" si="9"/>
        <v>-</v>
      </c>
      <c r="AT23" s="9" t="str">
        <f>IF(RIGHT(BPD[[#This Row],[Device type]],7)="Winding","-",BPD[[#This Row],[Cont Winter MVA]])</f>
        <v>-</v>
      </c>
      <c r="AU23" s="9" t="str">
        <f>IF(RIGHT(BPD[[#This Row],[Device type]],7)="Winding","-",BPD[[#This Row],[Cont Shoulder MVA]])</f>
        <v>-</v>
      </c>
      <c r="AV23" s="9" t="str">
        <f>IF(RIGHT(BPD[[#This Row],[Device type]],7)="Winding","-",BPD[[#This Row],[Cont Summer MVA]])</f>
        <v>-</v>
      </c>
      <c r="AW23" s="9" t="str">
        <f>BPD[[#This Row],[24 Hr Winter MVA]]</f>
        <v>-</v>
      </c>
      <c r="AX23" s="9" t="str">
        <f>BPD[[#This Row],[24 Hr Summer MVA]]</f>
        <v>-</v>
      </c>
      <c r="AY23" s="9" t="str">
        <f>BPD[[#This Row],[Forwards MVA]]</f>
        <v>-</v>
      </c>
      <c r="AZ23" s="9" t="str">
        <f>BPD[[#This Row],[Relay MVA]]</f>
        <v>-</v>
      </c>
      <c r="BA23" s="9" t="str">
        <f>BPD[[#This Row],[CT MVA]]</f>
        <v>-</v>
      </c>
      <c r="BB23" s="9" t="str">
        <f>BPD[[#This Row],[Derating MVA]]</f>
        <v>-</v>
      </c>
      <c r="BC23" s="9" t="str">
        <f>BPD[[#This Row],[Station/Feeder]]&amp;BPD[[#This Row],[Lowest MVA]]</f>
        <v>BPD</v>
      </c>
      <c r="BD23" s="9" t="str">
        <f>CONCATENATE(BPD[[#This Row],[Supply Level]],BPD[[#This Row],[Station/Feeder]],BPD[[#This Row],[Voltage]],BPD[[#This Row],[Lowest A-No PTX]])</f>
        <v>ZoneSubstationBPD11.22</v>
      </c>
      <c r="BE23" s="9" t="str">
        <f>CONCATENATE(BPD[[#This Row],[Supply Level]],BPD[[#This Row],[Station/Feeder]],BPD[[#This Row],[Voltage]],BPD[[#This Row],[Lowest A-PTX]])</f>
        <v>ZoneSubstationBPD11.221543.71729729846</v>
      </c>
      <c r="BF23" s="9" t="str">
        <f>IF(MIN(BPD[[#This Row],[Summ Cont Winter A]:[Cable Derating]])=0,"",MIN(BPD[[#This Row],[Summ Cont Winter A]:[Cable Derating]]))</f>
        <v/>
      </c>
      <c r="BG23" s="9" t="str">
        <f>IFERROR(BPD[[#This Row],[Lowest MVA]]*1000/(BPD[[#This Row],[Voltage]]*SQRT(3)),"")</f>
        <v/>
      </c>
      <c r="BH23" s="9">
        <f t="shared" si="10"/>
        <v>1543.7172972984647</v>
      </c>
      <c r="BI23" s="9" t="str">
        <f>BPD[[#This Row],[From]]</f>
        <v>CB442</v>
      </c>
      <c r="BJ23" s="9" t="str">
        <f>BPD[[#This Row],[To]]</f>
        <v>11 kV Bus</v>
      </c>
      <c r="BK23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Transformer-T1/A1067-Secondary LV Winding</v>
      </c>
      <c r="BL23" s="9">
        <f>BPD[[#This Row],[Voltage]]</f>
        <v>11.22</v>
      </c>
    </row>
    <row r="24" spans="1:64" s="337" customFormat="1" x14ac:dyDescent="0.25">
      <c r="A24" s="6" t="str">
        <f>CONCATENATE(BPD[[#This Row],[Supply Level]],BPD[[#This Row],[Station/Feeder]],BPD[[#This Row],[Voltage]],"T1")</f>
        <v>ZoneSubstationBPD33T1</v>
      </c>
      <c r="B24" s="6" t="str">
        <f>CONCATENATE(BPD[[#This Row],[Supply Level]],BPD[[#This Row],[Station/Feeder]],BPD[[#This Row],[Equipment ID]],BPD[[#This Row],[Voltage]],BPD[[#This Row],[Device type]])</f>
        <v>ZoneSubstationBPDT1/A106733Territary LV Winding</v>
      </c>
      <c r="C24" s="6" t="s">
        <v>1246</v>
      </c>
      <c r="D24" s="11" t="s">
        <v>80</v>
      </c>
      <c r="E24" s="6" t="s">
        <v>705</v>
      </c>
      <c r="F24" s="6" t="s">
        <v>243</v>
      </c>
      <c r="G24" s="27">
        <v>5</v>
      </c>
      <c r="H24" s="7" t="s">
        <v>707</v>
      </c>
      <c r="I24" s="6" t="s">
        <v>709</v>
      </c>
      <c r="J24" s="7" t="s">
        <v>19</v>
      </c>
      <c r="K24" s="7" t="s">
        <v>0</v>
      </c>
      <c r="L24" s="7" t="s">
        <v>1130</v>
      </c>
      <c r="M24" s="43">
        <v>33</v>
      </c>
      <c r="N24" s="9">
        <f>20000/(BPD[[#This Row],[Voltage]]*SQRT(3))</f>
        <v>349.90925405431869</v>
      </c>
      <c r="O24" s="9">
        <f t="shared" si="0"/>
        <v>20.000000000000004</v>
      </c>
      <c r="P24" s="9">
        <f>BPD[[#This Row],[Cont Winter A]]</f>
        <v>349.90925405431869</v>
      </c>
      <c r="Q24" s="9">
        <f t="shared" si="1"/>
        <v>20.000000000000004</v>
      </c>
      <c r="R24" s="9">
        <f>BPD[[#This Row],[Cont Shoulder A]]</f>
        <v>349.90925405431869</v>
      </c>
      <c r="S24" s="9">
        <f t="shared" si="2"/>
        <v>20.000000000000004</v>
      </c>
      <c r="T24" s="9" t="s">
        <v>0</v>
      </c>
      <c r="U24" s="9" t="str">
        <f t="shared" si="3"/>
        <v>-</v>
      </c>
      <c r="V24" s="9" t="s">
        <v>0</v>
      </c>
      <c r="W24" s="9" t="str">
        <f t="shared" si="4"/>
        <v>-</v>
      </c>
      <c r="X24" s="9" t="s">
        <v>0</v>
      </c>
      <c r="Y24" s="9" t="str">
        <f t="shared" si="5"/>
        <v>-</v>
      </c>
      <c r="Z24" s="9" t="s">
        <v>0</v>
      </c>
      <c r="AA24" s="9" t="str">
        <f t="shared" si="6"/>
        <v>-</v>
      </c>
      <c r="AB24" s="9" t="s">
        <v>0</v>
      </c>
      <c r="AC24" s="9" t="str">
        <f t="shared" si="7"/>
        <v>-</v>
      </c>
      <c r="AD24" s="9" t="s">
        <v>0</v>
      </c>
      <c r="AE24" s="9" t="str">
        <f t="shared" si="8"/>
        <v>-</v>
      </c>
      <c r="AF24" s="9" t="s">
        <v>0</v>
      </c>
      <c r="AG24" s="9" t="s">
        <v>0</v>
      </c>
      <c r="AH24" s="9" t="s">
        <v>0</v>
      </c>
      <c r="AI24" s="9" t="s">
        <v>0</v>
      </c>
      <c r="AJ24" s="9" t="s">
        <v>0</v>
      </c>
      <c r="AK24" s="9" t="s">
        <v>0</v>
      </c>
      <c r="AL24" s="9" t="s">
        <v>0</v>
      </c>
      <c r="AM24" s="9" t="s">
        <v>0</v>
      </c>
      <c r="AN24" s="9" t="s">
        <v>0</v>
      </c>
      <c r="AO24" s="9" t="s">
        <v>0</v>
      </c>
      <c r="AP24" s="9" t="s">
        <v>0</v>
      </c>
      <c r="AQ24" s="9" t="s">
        <v>0</v>
      </c>
      <c r="AR24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24" s="9" t="str">
        <f t="shared" si="9"/>
        <v>-</v>
      </c>
      <c r="AT24" s="9" t="str">
        <f>IF(RIGHT(BPD[[#This Row],[Device type]],7)="Winding","-",BPD[[#This Row],[Cont Winter MVA]])</f>
        <v>-</v>
      </c>
      <c r="AU24" s="9" t="str">
        <f>IF(RIGHT(BPD[[#This Row],[Device type]],7)="Winding","-",BPD[[#This Row],[Cont Shoulder MVA]])</f>
        <v>-</v>
      </c>
      <c r="AV24" s="9" t="str">
        <f>IF(RIGHT(BPD[[#This Row],[Device type]],7)="Winding","-",BPD[[#This Row],[Cont Summer MVA]])</f>
        <v>-</v>
      </c>
      <c r="AW24" s="9" t="str">
        <f>BPD[[#This Row],[24 Hr Winter MVA]]</f>
        <v>-</v>
      </c>
      <c r="AX24" s="9" t="str">
        <f>BPD[[#This Row],[24 Hr Summer MVA]]</f>
        <v>-</v>
      </c>
      <c r="AY24" s="9" t="str">
        <f>BPD[[#This Row],[Forwards MVA]]</f>
        <v>-</v>
      </c>
      <c r="AZ24" s="9" t="str">
        <f>BPD[[#This Row],[Relay MVA]]</f>
        <v>-</v>
      </c>
      <c r="BA24" s="9" t="str">
        <f>BPD[[#This Row],[CT MVA]]</f>
        <v>-</v>
      </c>
      <c r="BB24" s="9" t="str">
        <f>BPD[[#This Row],[Derating MVA]]</f>
        <v>-</v>
      </c>
      <c r="BC24" s="9" t="str">
        <f>BPD[[#This Row],[Station/Feeder]]&amp;BPD[[#This Row],[Lowest MVA]]</f>
        <v>BPD</v>
      </c>
      <c r="BD24" s="9" t="str">
        <f>CONCATENATE(BPD[[#This Row],[Supply Level]],BPD[[#This Row],[Station/Feeder]],BPD[[#This Row],[Voltage]],BPD[[#This Row],[Lowest A-No PTX]])</f>
        <v>ZoneSubstationBPD33</v>
      </c>
      <c r="BE24" s="9" t="str">
        <f>CONCATENATE(BPD[[#This Row],[Supply Level]],BPD[[#This Row],[Station/Feeder]],BPD[[#This Row],[Voltage]],BPD[[#This Row],[Lowest A-PTX]])</f>
        <v>ZoneSubstationBPD33349.909254054319</v>
      </c>
      <c r="BF24" s="9" t="str">
        <f>IF(MIN(BPD[[#This Row],[Summ Cont Winter A]:[Cable Derating]])=0,"",MIN(BPD[[#This Row],[Summ Cont Winter A]:[Cable Derating]]))</f>
        <v/>
      </c>
      <c r="BG24" s="9" t="str">
        <f>IFERROR(BPD[[#This Row],[Lowest MVA]]*1000/(BPD[[#This Row],[Voltage]]*SQRT(3)),"")</f>
        <v/>
      </c>
      <c r="BH24" s="9">
        <f t="shared" si="10"/>
        <v>349.90925405431869</v>
      </c>
      <c r="BI24" s="9" t="str">
        <f>BPD[[#This Row],[From]]</f>
        <v>CB442</v>
      </c>
      <c r="BJ24" s="9" t="str">
        <f>BPD[[#This Row],[To]]</f>
        <v>11 kV Bus</v>
      </c>
      <c r="BK24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Transformer-T1/A1067-Territary LV Winding</v>
      </c>
      <c r="BL24" s="9">
        <f>BPD[[#This Row],[Voltage]]</f>
        <v>33</v>
      </c>
    </row>
    <row r="25" spans="1:64" s="337" customFormat="1" x14ac:dyDescent="0.25">
      <c r="A25" s="6" t="str">
        <f>CONCATENATE(BPD[[#This Row],[Supply Level]],BPD[[#This Row],[Station/Feeder]],BPD[[#This Row],[Voltage]],"T1")</f>
        <v>ZoneSubstationBPD11.22T1</v>
      </c>
      <c r="B25" s="6" t="str">
        <f>CONCATENATE(BPD[[#This Row],[Supply Level]],BPD[[#This Row],[Station/Feeder]],BPD[[#This Row],[Equipment ID]],BPD[[#This Row],[Voltage]],BPD[[#This Row],[Device type]])</f>
        <v>ZoneSubstationBPDBPD-T1-CB3511.22Protection</v>
      </c>
      <c r="C25" s="6" t="s">
        <v>1246</v>
      </c>
      <c r="D25" s="11" t="s">
        <v>80</v>
      </c>
      <c r="E25" s="6" t="s">
        <v>603</v>
      </c>
      <c r="F25" s="6" t="s">
        <v>243</v>
      </c>
      <c r="G25" s="27">
        <v>6</v>
      </c>
      <c r="H25" s="7" t="s">
        <v>759</v>
      </c>
      <c r="I25" s="6" t="s">
        <v>2480</v>
      </c>
      <c r="J25" s="7" t="s">
        <v>15</v>
      </c>
      <c r="K25" s="7" t="s">
        <v>791</v>
      </c>
      <c r="L25" s="7" t="s">
        <v>1423</v>
      </c>
      <c r="M25" s="43">
        <f t="shared" ref="M25:M60" si="21">11*1.02</f>
        <v>11.22</v>
      </c>
      <c r="N25" s="9">
        <v>2500</v>
      </c>
      <c r="O25" s="9">
        <f t="shared" si="0"/>
        <v>48.584025152307007</v>
      </c>
      <c r="P25" s="9">
        <v>2500</v>
      </c>
      <c r="Q25" s="9">
        <f t="shared" si="1"/>
        <v>48.584025152307007</v>
      </c>
      <c r="R25" s="9">
        <v>2500</v>
      </c>
      <c r="S25" s="9">
        <f t="shared" si="2"/>
        <v>48.584025152307007</v>
      </c>
      <c r="T25" s="9" t="s">
        <v>0</v>
      </c>
      <c r="U25" s="9" t="str">
        <f t="shared" si="3"/>
        <v>-</v>
      </c>
      <c r="V25" s="9" t="s">
        <v>0</v>
      </c>
      <c r="W25" s="9" t="str">
        <f t="shared" si="4"/>
        <v>-</v>
      </c>
      <c r="X25" s="9">
        <f>VLOOKUP(BPD[[#This Row],[Equipment ID]],AEL_Protection_Data[#All],12,0)</f>
        <v>2208</v>
      </c>
      <c r="Y25" s="9">
        <f t="shared" si="5"/>
        <v>42.909411014517552</v>
      </c>
      <c r="Z25" s="9" t="s">
        <v>0</v>
      </c>
      <c r="AA25" s="9" t="str">
        <f t="shared" si="6"/>
        <v>-</v>
      </c>
      <c r="AB25" s="9" t="s">
        <v>0</v>
      </c>
      <c r="AC25" s="9" t="str">
        <f t="shared" si="7"/>
        <v>-</v>
      </c>
      <c r="AD25" s="9" t="s">
        <v>0</v>
      </c>
      <c r="AE25" s="9" t="str">
        <f t="shared" si="8"/>
        <v>-</v>
      </c>
      <c r="AF25" s="9" t="s">
        <v>0</v>
      </c>
      <c r="AG25" s="9" t="s">
        <v>0</v>
      </c>
      <c r="AH25" s="9" t="s">
        <v>0</v>
      </c>
      <c r="AI25" s="9" t="s">
        <v>0</v>
      </c>
      <c r="AJ25" s="9" t="s">
        <v>0</v>
      </c>
      <c r="AK25" s="9" t="s">
        <v>0</v>
      </c>
      <c r="AL25" s="9" t="s">
        <v>0</v>
      </c>
      <c r="AM25" s="9" t="s">
        <v>0</v>
      </c>
      <c r="AN25" s="9" t="s">
        <v>0</v>
      </c>
      <c r="AO25" s="9" t="s">
        <v>0</v>
      </c>
      <c r="AP25" s="9" t="s">
        <v>0</v>
      </c>
      <c r="AQ25" s="9" t="s">
        <v>0</v>
      </c>
      <c r="AR25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25" s="9" t="str">
        <f t="shared" si="9"/>
        <v>-</v>
      </c>
      <c r="AT25" s="9">
        <f>IF(RIGHT(BPD[[#This Row],[Device type]],7)="Winding","-",BPD[[#This Row],[Cont Winter MVA]])</f>
        <v>48.584025152307007</v>
      </c>
      <c r="AU25" s="9">
        <f>IF(RIGHT(BPD[[#This Row],[Device type]],7)="Winding","-",BPD[[#This Row],[Cont Shoulder MVA]])</f>
        <v>48.584025152307007</v>
      </c>
      <c r="AV25" s="9">
        <f>IF(RIGHT(BPD[[#This Row],[Device type]],7)="Winding","-",BPD[[#This Row],[Cont Summer MVA]])</f>
        <v>48.584025152307007</v>
      </c>
      <c r="AW25" s="9" t="str">
        <f>BPD[[#This Row],[24 Hr Winter MVA]]</f>
        <v>-</v>
      </c>
      <c r="AX25" s="9" t="str">
        <f>BPD[[#This Row],[24 Hr Summer MVA]]</f>
        <v>-</v>
      </c>
      <c r="AY25" s="9">
        <f>BPD[[#This Row],[Forwards MVA]]</f>
        <v>42.909411014517552</v>
      </c>
      <c r="AZ25" s="9" t="str">
        <f>BPD[[#This Row],[Relay MVA]]</f>
        <v>-</v>
      </c>
      <c r="BA25" s="9" t="str">
        <f>BPD[[#This Row],[CT MVA]]</f>
        <v>-</v>
      </c>
      <c r="BB25" s="9" t="str">
        <f>BPD[[#This Row],[Derating MVA]]</f>
        <v>-</v>
      </c>
      <c r="BC25" s="9" t="str">
        <f>BPD[[#This Row],[Station/Feeder]]&amp;BPD[[#This Row],[Lowest MVA]]</f>
        <v>BPD42.9094110145176</v>
      </c>
      <c r="BD25" s="9" t="str">
        <f>CONCATENATE(BPD[[#This Row],[Supply Level]],BPD[[#This Row],[Station/Feeder]],BPD[[#This Row],[Voltage]],BPD[[#This Row],[Lowest A-No PTX]])</f>
        <v>ZoneSubstationBPD11.222208</v>
      </c>
      <c r="BE25" s="9" t="str">
        <f>CONCATENATE(BPD[[#This Row],[Supply Level]],BPD[[#This Row],[Station/Feeder]],BPD[[#This Row],[Voltage]],BPD[[#This Row],[Lowest A-PTX]])</f>
        <v>ZoneSubstationBPD11.222208</v>
      </c>
      <c r="BF25" s="9">
        <f>IF(MIN(BPD[[#This Row],[Summ Cont Winter A]:[Cable Derating]])=0,"",MIN(BPD[[#This Row],[Summ Cont Winter A]:[Cable Derating]]))</f>
        <v>42.909411014517552</v>
      </c>
      <c r="BG25" s="9">
        <f>IFERROR(BPD[[#This Row],[Lowest MVA]]*1000/(BPD[[#This Row],[Voltage]]*SQRT(3)),"")</f>
        <v>2208</v>
      </c>
      <c r="BH25" s="9">
        <f t="shared" si="10"/>
        <v>2208</v>
      </c>
      <c r="BI25" s="9" t="str">
        <f>BPD[[#This Row],[From]]</f>
        <v>110 kV Bus</v>
      </c>
      <c r="BJ25" s="9" t="str">
        <f>BPD[[#This Row],[To]]</f>
        <v>11 kV Bus</v>
      </c>
      <c r="BK25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Breaker-BPD-T1-CB35-Protection</v>
      </c>
      <c r="BL25" s="9">
        <f>BPD[[#This Row],[Voltage]]</f>
        <v>11.22</v>
      </c>
    </row>
    <row r="26" spans="1:64" s="337" customFormat="1" x14ac:dyDescent="0.25">
      <c r="A26" s="6" t="str">
        <f>CONCATENATE(BPD[[#This Row],[Supply Level]],BPD[[#This Row],[Station/Feeder]],BPD[[#This Row],[Voltage]],"T1")</f>
        <v>ZoneSubstationBPD11.22T1</v>
      </c>
      <c r="B26" s="6" t="str">
        <f>CONCATENATE(BPD[[#This Row],[Supply Level]],BPD[[#This Row],[Station/Feeder]],BPD[[#This Row],[Equipment ID]],BPD[[#This Row],[Voltage]],BPD[[#This Row],[Device type]])</f>
        <v>ZoneSubstationBPD3-1c 1000mm2 Al XLPE MDPE11.22-</v>
      </c>
      <c r="C26" s="6" t="s">
        <v>1246</v>
      </c>
      <c r="D26" s="11" t="s">
        <v>80</v>
      </c>
      <c r="E26" s="6" t="s">
        <v>603</v>
      </c>
      <c r="F26" s="6" t="s">
        <v>243</v>
      </c>
      <c r="G26" s="27">
        <v>7</v>
      </c>
      <c r="H26" s="7" t="s">
        <v>759</v>
      </c>
      <c r="I26" s="6" t="s">
        <v>2495</v>
      </c>
      <c r="J26" s="7" t="s">
        <v>250</v>
      </c>
      <c r="K26" s="7" t="s">
        <v>0</v>
      </c>
      <c r="L26" s="7" t="s">
        <v>0</v>
      </c>
      <c r="M26" s="43">
        <f t="shared" si="21"/>
        <v>11.22</v>
      </c>
      <c r="N26" s="9">
        <v>2186</v>
      </c>
      <c r="O26" s="9">
        <f t="shared" ref="O26" si="22">IF(OR(N26="",N26="-"),"-",N26*$M26*SQRT(3)/1000)</f>
        <v>42.481871593177246</v>
      </c>
      <c r="P26" s="9">
        <v>2186</v>
      </c>
      <c r="Q26" s="9">
        <f t="shared" ref="Q26" si="23">IF(OR(P26="",P26="-"),"-",P26*$M26*SQRT(3)/1000)</f>
        <v>42.481871593177246</v>
      </c>
      <c r="R26" s="9">
        <v>2186</v>
      </c>
      <c r="S26" s="9">
        <f t="shared" ref="S26" si="24">IF(OR(R26="",R26="-"),"-",R26*$M26*SQRT(3)/1000)</f>
        <v>42.481871593177246</v>
      </c>
      <c r="T26" s="9" t="s">
        <v>0</v>
      </c>
      <c r="U26" s="9" t="str">
        <f t="shared" ref="U26" si="25">IF(OR(T26="",T26="-"),"-",T26*$M26*SQRT(3)/1000)</f>
        <v>-</v>
      </c>
      <c r="V26" s="9" t="s">
        <v>0</v>
      </c>
      <c r="W26" s="9" t="str">
        <f t="shared" ref="W26" si="26">IF(OR(V26="",V26="-"),"-",V26*$M26*SQRT(3)/1000)</f>
        <v>-</v>
      </c>
      <c r="X26" s="9" t="s">
        <v>0</v>
      </c>
      <c r="Y26" s="9" t="str">
        <f t="shared" ref="Y26" si="27">IF(OR(X26="",X26="-"),"-",X26*$M26*SQRT(3)/1000)</f>
        <v>-</v>
      </c>
      <c r="Z26" s="9" t="s">
        <v>0</v>
      </c>
      <c r="AA26" s="9" t="str">
        <f t="shared" ref="AA26" si="28">IF(OR(Z26="",Z26="-"),"-",Z26*$M26*SQRT(3)/1000)</f>
        <v>-</v>
      </c>
      <c r="AB26" s="9" t="s">
        <v>0</v>
      </c>
      <c r="AC26" s="9" t="str">
        <f t="shared" ref="AC26" si="29">IF(OR(AB26="",AB26="-"),"-",AB26*$M26*SQRT(3)/1000)</f>
        <v>-</v>
      </c>
      <c r="AD26" s="9" t="s">
        <v>0</v>
      </c>
      <c r="AE26" s="9" t="str">
        <f t="shared" ref="AE26" si="30">IF(OR(AD26="",AD26="-"),"-",AD26*$M26*SQRT(3)/1000)</f>
        <v>-</v>
      </c>
      <c r="AF26" s="9" t="s">
        <v>0</v>
      </c>
      <c r="AG26" s="9" t="s">
        <v>0</v>
      </c>
      <c r="AH26" s="9" t="s">
        <v>0</v>
      </c>
      <c r="AI26" s="9" t="s">
        <v>0</v>
      </c>
      <c r="AJ26" s="9" t="s">
        <v>0</v>
      </c>
      <c r="AK26" s="9" t="s">
        <v>0</v>
      </c>
      <c r="AL26" s="9" t="s">
        <v>0</v>
      </c>
      <c r="AM26" s="9" t="s">
        <v>0</v>
      </c>
      <c r="AN26" s="9" t="s">
        <v>0</v>
      </c>
      <c r="AO26" s="9" t="s">
        <v>0</v>
      </c>
      <c r="AP26" s="9" t="s">
        <v>0</v>
      </c>
      <c r="AQ26" s="9" t="s">
        <v>0</v>
      </c>
      <c r="AR26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26" s="9" t="str">
        <f t="shared" ref="AS26" si="31">IF(OR(AR26="",AR26="-"),"-",AR26*$M26*SQRT(3)/1000)</f>
        <v>-</v>
      </c>
      <c r="AT26" s="9">
        <f>IF(RIGHT(BPD[[#This Row],[Device type]],7)="Winding","-",BPD[[#This Row],[Cont Winter MVA]])</f>
        <v>42.481871593177246</v>
      </c>
      <c r="AU26" s="9">
        <f>IF(RIGHT(BPD[[#This Row],[Device type]],7)="Winding","-",BPD[[#This Row],[Cont Shoulder MVA]])</f>
        <v>42.481871593177246</v>
      </c>
      <c r="AV26" s="9">
        <f>IF(RIGHT(BPD[[#This Row],[Device type]],7)="Winding","-",BPD[[#This Row],[Cont Summer MVA]])</f>
        <v>42.481871593177246</v>
      </c>
      <c r="AW26" s="9" t="str">
        <f>BPD[[#This Row],[24 Hr Winter MVA]]</f>
        <v>-</v>
      </c>
      <c r="AX26" s="9" t="str">
        <f>BPD[[#This Row],[24 Hr Summer MVA]]</f>
        <v>-</v>
      </c>
      <c r="AY26" s="9" t="str">
        <f>BPD[[#This Row],[Forwards MVA]]</f>
        <v>-</v>
      </c>
      <c r="AZ26" s="9" t="str">
        <f>BPD[[#This Row],[Relay MVA]]</f>
        <v>-</v>
      </c>
      <c r="BA26" s="9" t="str">
        <f>BPD[[#This Row],[CT MVA]]</f>
        <v>-</v>
      </c>
      <c r="BB26" s="9" t="str">
        <f>BPD[[#This Row],[Derating MVA]]</f>
        <v>-</v>
      </c>
      <c r="BC26" s="9" t="str">
        <f>BPD[[#This Row],[Station/Feeder]]&amp;BPD[[#This Row],[Lowest MVA]]</f>
        <v>BPD42.4818715931772</v>
      </c>
      <c r="BD26" s="9" t="str">
        <f>CONCATENATE(BPD[[#This Row],[Supply Level]],BPD[[#This Row],[Station/Feeder]],BPD[[#This Row],[Voltage]],BPD[[#This Row],[Lowest A-No PTX]])</f>
        <v>ZoneSubstationBPD11.222186</v>
      </c>
      <c r="BE26" s="9" t="str">
        <f>CONCATENATE(BPD[[#This Row],[Supply Level]],BPD[[#This Row],[Station/Feeder]],BPD[[#This Row],[Voltage]],BPD[[#This Row],[Lowest A-PTX]])</f>
        <v>ZoneSubstationBPD11.222186</v>
      </c>
      <c r="BF26" s="9">
        <f>IF(MIN(BPD[[#This Row],[Summ Cont Winter A]:[Cable Derating]])=0,"",MIN(BPD[[#This Row],[Summ Cont Winter A]:[Cable Derating]]))</f>
        <v>42.481871593177246</v>
      </c>
      <c r="BG26" s="9">
        <f>IFERROR(BPD[[#This Row],[Lowest MVA]]*1000/(BPD[[#This Row],[Voltage]]*SQRT(3)),"")</f>
        <v>2186</v>
      </c>
      <c r="BH26" s="9">
        <f t="shared" si="10"/>
        <v>2186</v>
      </c>
      <c r="BI26" s="9" t="str">
        <f>BPD[[#This Row],[From]]</f>
        <v>110 kV Bus</v>
      </c>
      <c r="BJ26" s="9" t="str">
        <f>BPD[[#This Row],[To]]</f>
        <v>11 kV Bus</v>
      </c>
      <c r="BK26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Cable-3-1c 1000mm2 Al XLPE MDPE</v>
      </c>
      <c r="BL26" s="9">
        <f>BPD[[#This Row],[Voltage]]</f>
        <v>11.22</v>
      </c>
    </row>
    <row r="27" spans="1:64" s="337" customFormat="1" x14ac:dyDescent="0.25">
      <c r="A27" s="13" t="str">
        <f>CONCATENATE(BPD[[#This Row],[Supply Level]],BPD[[#This Row],[Station/Feeder]],BPD[[#This Row],[Voltage]],"T2")</f>
        <v>ZoneSubstationBPD11.22T2</v>
      </c>
      <c r="B27" s="13" t="str">
        <f>CONCATENATE(BPD[[#This Row],[Supply Level]],BPD[[#This Row],[Station/Feeder]],BPD[[#This Row],[Equipment ID]],BPD[[#This Row],[Voltage]],BPD[[#This Row],[Device type]])</f>
        <v>ZoneSubstationBPDBPD-T2-CB3611.22Protection</v>
      </c>
      <c r="C27" s="13" t="s">
        <v>1246</v>
      </c>
      <c r="D27" s="13" t="s">
        <v>80</v>
      </c>
      <c r="E27" s="14" t="s">
        <v>603</v>
      </c>
      <c r="F27" s="14" t="s">
        <v>243</v>
      </c>
      <c r="G27" s="28">
        <v>6</v>
      </c>
      <c r="H27" s="39" t="s">
        <v>759</v>
      </c>
      <c r="I27" s="14" t="s">
        <v>2485</v>
      </c>
      <c r="J27" s="39" t="s">
        <v>15</v>
      </c>
      <c r="K27" s="39" t="s">
        <v>1372</v>
      </c>
      <c r="L27" s="39" t="s">
        <v>1423</v>
      </c>
      <c r="M27" s="138">
        <f t="shared" si="21"/>
        <v>11.22</v>
      </c>
      <c r="N27" s="16">
        <v>1250</v>
      </c>
      <c r="O27" s="16">
        <f t="shared" si="0"/>
        <v>24.292012576153503</v>
      </c>
      <c r="P27" s="16">
        <v>1250</v>
      </c>
      <c r="Q27" s="16">
        <f t="shared" si="1"/>
        <v>24.292012576153503</v>
      </c>
      <c r="R27" s="16">
        <v>1250</v>
      </c>
      <c r="S27" s="16">
        <f t="shared" si="2"/>
        <v>24.292012576153503</v>
      </c>
      <c r="T27" s="16" t="s">
        <v>0</v>
      </c>
      <c r="U27" s="16" t="str">
        <f t="shared" si="3"/>
        <v>-</v>
      </c>
      <c r="V27" s="16" t="s">
        <v>0</v>
      </c>
      <c r="W27" s="16" t="str">
        <f t="shared" si="4"/>
        <v>-</v>
      </c>
      <c r="X27" s="16">
        <f>VLOOKUP(BPD[[#This Row],[Equipment ID]],AEL_Protection_Data[#All],12,0)</f>
        <v>1100</v>
      </c>
      <c r="Y27" s="16">
        <f t="shared" si="5"/>
        <v>21.376971067015081</v>
      </c>
      <c r="Z27" s="16" t="s">
        <v>0</v>
      </c>
      <c r="AA27" s="16" t="str">
        <f t="shared" si="6"/>
        <v>-</v>
      </c>
      <c r="AB27" s="16" t="s">
        <v>0</v>
      </c>
      <c r="AC27" s="16" t="str">
        <f t="shared" si="7"/>
        <v>-</v>
      </c>
      <c r="AD27" s="16" t="s">
        <v>0</v>
      </c>
      <c r="AE27" s="16" t="str">
        <f t="shared" si="8"/>
        <v>-</v>
      </c>
      <c r="AF27" s="16" t="s">
        <v>0</v>
      </c>
      <c r="AG27" s="16" t="s">
        <v>0</v>
      </c>
      <c r="AH27" s="16" t="s">
        <v>0</v>
      </c>
      <c r="AI27" s="16" t="s">
        <v>0</v>
      </c>
      <c r="AJ27" s="16" t="s">
        <v>0</v>
      </c>
      <c r="AK27" s="16" t="s">
        <v>0</v>
      </c>
      <c r="AL27" s="16" t="s">
        <v>0</v>
      </c>
      <c r="AM27" s="16" t="s">
        <v>0</v>
      </c>
      <c r="AN27" s="16" t="s">
        <v>0</v>
      </c>
      <c r="AO27" s="16" t="s">
        <v>0</v>
      </c>
      <c r="AP27" s="16" t="s">
        <v>0</v>
      </c>
      <c r="AQ27" s="16" t="s">
        <v>0</v>
      </c>
      <c r="AR27" s="16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27" s="16" t="str">
        <f t="shared" si="9"/>
        <v>-</v>
      </c>
      <c r="AT27" s="16">
        <f>IF(RIGHT(BPD[[#This Row],[Device type]],7)="Winding","-",BPD[[#This Row],[Cont Winter MVA]])</f>
        <v>24.292012576153503</v>
      </c>
      <c r="AU27" s="16">
        <f>IF(RIGHT(BPD[[#This Row],[Device type]],7)="Winding","-",BPD[[#This Row],[Cont Shoulder MVA]])</f>
        <v>24.292012576153503</v>
      </c>
      <c r="AV27" s="16">
        <f>IF(RIGHT(BPD[[#This Row],[Device type]],7)="Winding","-",BPD[[#This Row],[Cont Summer MVA]])</f>
        <v>24.292012576153503</v>
      </c>
      <c r="AW27" s="16" t="str">
        <f>BPD[[#This Row],[24 Hr Winter MVA]]</f>
        <v>-</v>
      </c>
      <c r="AX27" s="16" t="str">
        <f>BPD[[#This Row],[24 Hr Summer MVA]]</f>
        <v>-</v>
      </c>
      <c r="AY27" s="16">
        <f>BPD[[#This Row],[Forwards MVA]]</f>
        <v>21.376971067015081</v>
      </c>
      <c r="AZ27" s="16" t="str">
        <f>BPD[[#This Row],[Relay MVA]]</f>
        <v>-</v>
      </c>
      <c r="BA27" s="16" t="str">
        <f>BPD[[#This Row],[CT MVA]]</f>
        <v>-</v>
      </c>
      <c r="BB27" s="16" t="str">
        <f>BPD[[#This Row],[Derating MVA]]</f>
        <v>-</v>
      </c>
      <c r="BC27" s="16" t="str">
        <f>BPD[[#This Row],[Station/Feeder]]&amp;BPD[[#This Row],[Lowest MVA]]</f>
        <v>BPD21.3769710670151</v>
      </c>
      <c r="BD27" s="16" t="str">
        <f>CONCATENATE(BPD[[#This Row],[Supply Level]],BPD[[#This Row],[Station/Feeder]],BPD[[#This Row],[Voltage]],BPD[[#This Row],[Lowest A-No PTX]])</f>
        <v>ZoneSubstationBPD11.221100</v>
      </c>
      <c r="BE27" s="16" t="str">
        <f>CONCATENATE(BPD[[#This Row],[Supply Level]],BPD[[#This Row],[Station/Feeder]],BPD[[#This Row],[Voltage]],BPD[[#This Row],[Lowest A-PTX]])</f>
        <v>ZoneSubstationBPD11.221100</v>
      </c>
      <c r="BF27" s="16">
        <f>IF(MIN(BPD[[#This Row],[Summ Cont Winter A]:[Cable Derating]])=0,"",MIN(BPD[[#This Row],[Summ Cont Winter A]:[Cable Derating]]))</f>
        <v>21.376971067015081</v>
      </c>
      <c r="BG27" s="16">
        <f>IFERROR(BPD[[#This Row],[Lowest MVA]]*1000/(BPD[[#This Row],[Voltage]]*SQRT(3)),"")</f>
        <v>1100</v>
      </c>
      <c r="BH27" s="16">
        <f t="shared" si="10"/>
        <v>1100</v>
      </c>
      <c r="BI27" s="16" t="str">
        <f>BPD[[#This Row],[From]]</f>
        <v>110 kV Bus</v>
      </c>
      <c r="BJ27" s="16" t="str">
        <f>BPD[[#This Row],[To]]</f>
        <v>11 kV Bus</v>
      </c>
      <c r="BK27" s="16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Breaker-BPD-T2-CB36-Protection</v>
      </c>
      <c r="BL27" s="16">
        <f>BPD[[#This Row],[Voltage]]</f>
        <v>11.22</v>
      </c>
    </row>
    <row r="28" spans="1:64" s="337" customFormat="1" ht="15.75" thickBot="1" x14ac:dyDescent="0.3">
      <c r="A28" s="13" t="str">
        <f>CONCATENATE(BPD[[#This Row],[Supply Level]],BPD[[#This Row],[Station/Feeder]],BPD[[#This Row],[Voltage]],"T2")</f>
        <v>ZoneSubstationBPD11.22T2</v>
      </c>
      <c r="B28" s="13" t="str">
        <f>CONCATENATE(BPD[[#This Row],[Supply Level]],BPD[[#This Row],[Station/Feeder]],BPD[[#This Row],[Equipment ID]],BPD[[#This Row],[Voltage]],BPD[[#This Row],[Device type]])</f>
        <v>ZoneSubstationBPD6 1c 400mm2 Al XLPE11.22-</v>
      </c>
      <c r="C28" s="13" t="s">
        <v>1246</v>
      </c>
      <c r="D28" s="13" t="s">
        <v>80</v>
      </c>
      <c r="E28" s="14" t="s">
        <v>603</v>
      </c>
      <c r="F28" s="14" t="s">
        <v>243</v>
      </c>
      <c r="G28" s="28">
        <v>7</v>
      </c>
      <c r="H28" s="39" t="s">
        <v>759</v>
      </c>
      <c r="I28" s="14" t="s">
        <v>2489</v>
      </c>
      <c r="J28" s="7" t="s">
        <v>250</v>
      </c>
      <c r="K28" s="7" t="s">
        <v>0</v>
      </c>
      <c r="L28" s="7" t="s">
        <v>0</v>
      </c>
      <c r="M28" s="138">
        <f t="shared" si="21"/>
        <v>11.22</v>
      </c>
      <c r="N28" s="16">
        <v>900</v>
      </c>
      <c r="O28" s="16">
        <f t="shared" ref="O28" si="32">IF(OR(N28="",N28="-"),"-",N28*$M28*SQRT(3)/1000)</f>
        <v>17.490249054830521</v>
      </c>
      <c r="P28" s="16">
        <v>900</v>
      </c>
      <c r="Q28" s="16">
        <f t="shared" ref="Q28" si="33">IF(OR(P28="",P28="-"),"-",P28*$M28*SQRT(3)/1000)</f>
        <v>17.490249054830521</v>
      </c>
      <c r="R28" s="16">
        <v>900</v>
      </c>
      <c r="S28" s="16">
        <f t="shared" ref="S28" si="34">IF(OR(R28="",R28="-"),"-",R28*$M28*SQRT(3)/1000)</f>
        <v>17.490249054830521</v>
      </c>
      <c r="T28" s="16" t="s">
        <v>0</v>
      </c>
      <c r="U28" s="16" t="str">
        <f t="shared" ref="U28" si="35">IF(OR(T28="",T28="-"),"-",T28*$M28*SQRT(3)/1000)</f>
        <v>-</v>
      </c>
      <c r="V28" s="16" t="s">
        <v>0</v>
      </c>
      <c r="W28" s="16" t="str">
        <f t="shared" ref="W28" si="36">IF(OR(V28="",V28="-"),"-",V28*$M28*SQRT(3)/1000)</f>
        <v>-</v>
      </c>
      <c r="X28" s="16" t="s">
        <v>0</v>
      </c>
      <c r="Y28" s="16" t="str">
        <f t="shared" ref="Y28" si="37">IF(OR(X28="",X28="-"),"-",X28*$M28*SQRT(3)/1000)</f>
        <v>-</v>
      </c>
      <c r="Z28" s="16" t="s">
        <v>0</v>
      </c>
      <c r="AA28" s="16" t="str">
        <f t="shared" ref="AA28" si="38">IF(OR(Z28="",Z28="-"),"-",Z28*$M28*SQRT(3)/1000)</f>
        <v>-</v>
      </c>
      <c r="AB28" s="16" t="s">
        <v>0</v>
      </c>
      <c r="AC28" s="16" t="str">
        <f t="shared" ref="AC28" si="39">IF(OR(AB28="",AB28="-"),"-",AB28*$M28*SQRT(3)/1000)</f>
        <v>-</v>
      </c>
      <c r="AD28" s="16" t="s">
        <v>0</v>
      </c>
      <c r="AE28" s="16" t="str">
        <f t="shared" ref="AE28" si="40">IF(OR(AD28="",AD28="-"),"-",AD28*$M28*SQRT(3)/1000)</f>
        <v>-</v>
      </c>
      <c r="AF28" s="16" t="s">
        <v>0</v>
      </c>
      <c r="AG28" s="16" t="s">
        <v>0</v>
      </c>
      <c r="AH28" s="16" t="s">
        <v>0</v>
      </c>
      <c r="AI28" s="16" t="s">
        <v>0</v>
      </c>
      <c r="AJ28" s="16" t="s">
        <v>0</v>
      </c>
      <c r="AK28" s="16" t="s">
        <v>0</v>
      </c>
      <c r="AL28" s="16" t="s">
        <v>0</v>
      </c>
      <c r="AM28" s="16" t="s">
        <v>0</v>
      </c>
      <c r="AN28" s="16" t="s">
        <v>0</v>
      </c>
      <c r="AO28" s="16" t="s">
        <v>0</v>
      </c>
      <c r="AP28" s="16" t="s">
        <v>0</v>
      </c>
      <c r="AQ28" s="16" t="s">
        <v>0</v>
      </c>
      <c r="AR28" s="16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28" s="16" t="str">
        <f t="shared" ref="AS28" si="41">IF(OR(AR28="",AR28="-"),"-",AR28*$M28*SQRT(3)/1000)</f>
        <v>-</v>
      </c>
      <c r="AT28" s="16">
        <f>IF(RIGHT(BPD[[#This Row],[Device type]],7)="Winding","-",BPD[[#This Row],[Cont Winter MVA]])</f>
        <v>17.490249054830521</v>
      </c>
      <c r="AU28" s="16">
        <f>IF(RIGHT(BPD[[#This Row],[Device type]],7)="Winding","-",BPD[[#This Row],[Cont Shoulder MVA]])</f>
        <v>17.490249054830521</v>
      </c>
      <c r="AV28" s="16">
        <f>IF(RIGHT(BPD[[#This Row],[Device type]],7)="Winding","-",BPD[[#This Row],[Cont Summer MVA]])</f>
        <v>17.490249054830521</v>
      </c>
      <c r="AW28" s="16" t="str">
        <f>BPD[[#This Row],[24 Hr Winter MVA]]</f>
        <v>-</v>
      </c>
      <c r="AX28" s="16" t="str">
        <f>BPD[[#This Row],[24 Hr Summer MVA]]</f>
        <v>-</v>
      </c>
      <c r="AY28" s="16" t="str">
        <f>BPD[[#This Row],[Forwards MVA]]</f>
        <v>-</v>
      </c>
      <c r="AZ28" s="16" t="str">
        <f>BPD[[#This Row],[Relay MVA]]</f>
        <v>-</v>
      </c>
      <c r="BA28" s="16" t="str">
        <f>BPD[[#This Row],[CT MVA]]</f>
        <v>-</v>
      </c>
      <c r="BB28" s="16" t="str">
        <f>BPD[[#This Row],[Derating MVA]]</f>
        <v>-</v>
      </c>
      <c r="BC28" s="16" t="str">
        <f>BPD[[#This Row],[Station/Feeder]]&amp;BPD[[#This Row],[Lowest MVA]]</f>
        <v>BPD17.4902490548305</v>
      </c>
      <c r="BD28" s="16" t="str">
        <f>CONCATENATE(BPD[[#This Row],[Supply Level]],BPD[[#This Row],[Station/Feeder]],BPD[[#This Row],[Voltage]],BPD[[#This Row],[Lowest A-No PTX]])</f>
        <v>ZoneSubstationBPD11.22900</v>
      </c>
      <c r="BE28" s="16" t="str">
        <f>CONCATENATE(BPD[[#This Row],[Supply Level]],BPD[[#This Row],[Station/Feeder]],BPD[[#This Row],[Voltage]],BPD[[#This Row],[Lowest A-PTX]])</f>
        <v>ZoneSubstationBPD11.22900</v>
      </c>
      <c r="BF28" s="16">
        <f>IF(MIN(BPD[[#This Row],[Summ Cont Winter A]:[Cable Derating]])=0,"",MIN(BPD[[#This Row],[Summ Cont Winter A]:[Cable Derating]]))</f>
        <v>17.490249054830521</v>
      </c>
      <c r="BG28" s="16">
        <f>IFERROR(BPD[[#This Row],[Lowest MVA]]*1000/(BPD[[#This Row],[Voltage]]*SQRT(3)),"")</f>
        <v>900</v>
      </c>
      <c r="BH28" s="16">
        <f t="shared" si="10"/>
        <v>900</v>
      </c>
      <c r="BI28" s="16" t="str">
        <f>BPD[[#This Row],[From]]</f>
        <v>110 kV Bus</v>
      </c>
      <c r="BJ28" s="16" t="str">
        <f>BPD[[#This Row],[To]]</f>
        <v>11 kV Bus</v>
      </c>
      <c r="BK28" s="16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Cable-6 1c 400mm2 Al XLPE</v>
      </c>
      <c r="BL28" s="16">
        <f>BPD[[#This Row],[Voltage]]</f>
        <v>11.22</v>
      </c>
    </row>
    <row r="29" spans="1:64" s="337" customFormat="1" x14ac:dyDescent="0.25">
      <c r="A29" s="3" t="str">
        <f>CONCATENATE(BPD[[#This Row],[Supply Level]],BPD[[#This Row],[Station/Feeder]],BPD[[#This Row],[Voltage]],"T2")</f>
        <v>DistributionFeederCB11_Waihao Downs11.22T2</v>
      </c>
      <c r="B29" s="3" t="str">
        <f>CONCATENATE(BPD[[#This Row],[Supply Level]],BPD[[#This Row],[Station/Feeder]],BPD[[#This Row],[Equipment ID]],BPD[[#This Row],[Voltage]],BPD[[#This Row],[Device type]])</f>
        <v>DistributionFeederCB11_Waihao DownsBPD-T2-CB1111.22Protection</v>
      </c>
      <c r="C29" s="3" t="s">
        <v>1276</v>
      </c>
      <c r="D29" s="10" t="s">
        <v>224</v>
      </c>
      <c r="E29" s="3" t="s">
        <v>243</v>
      </c>
      <c r="F29" s="3" t="s">
        <v>710</v>
      </c>
      <c r="G29" s="26">
        <v>1</v>
      </c>
      <c r="H29" s="38" t="s">
        <v>2347</v>
      </c>
      <c r="I29" s="3" t="s">
        <v>2486</v>
      </c>
      <c r="J29" s="38" t="s">
        <v>15</v>
      </c>
      <c r="K29" s="38" t="s">
        <v>790</v>
      </c>
      <c r="L29" s="38" t="s">
        <v>1423</v>
      </c>
      <c r="M29" s="139">
        <f t="shared" si="21"/>
        <v>11.22</v>
      </c>
      <c r="N29" s="5">
        <v>630</v>
      </c>
      <c r="O29" s="5">
        <f t="shared" si="0"/>
        <v>12.243174338381367</v>
      </c>
      <c r="P29" s="5">
        <v>630</v>
      </c>
      <c r="Q29" s="5">
        <f t="shared" si="1"/>
        <v>12.243174338381367</v>
      </c>
      <c r="R29" s="5">
        <v>630</v>
      </c>
      <c r="S29" s="5">
        <f t="shared" si="2"/>
        <v>12.243174338381367</v>
      </c>
      <c r="T29" s="5" t="s">
        <v>0</v>
      </c>
      <c r="U29" s="5" t="str">
        <f t="shared" si="3"/>
        <v>-</v>
      </c>
      <c r="V29" s="5" t="s">
        <v>0</v>
      </c>
      <c r="W29" s="5" t="str">
        <f t="shared" si="4"/>
        <v>-</v>
      </c>
      <c r="X29" s="5">
        <f>VLOOKUP(BPD[[#This Row],[Equipment ID]],AEL_Protection_Data[#All],12,0)</f>
        <v>400</v>
      </c>
      <c r="Y29" s="5">
        <f t="shared" si="5"/>
        <v>7.7734440243691205</v>
      </c>
      <c r="Z29" s="5" t="s">
        <v>0</v>
      </c>
      <c r="AA29" s="5" t="str">
        <f t="shared" ref="AA29" si="42">IF(OR(Z29="",Z29="-"),"-",Z29*$M29*SQRT(3)/1000)</f>
        <v>-</v>
      </c>
      <c r="AB29" s="5" t="s">
        <v>0</v>
      </c>
      <c r="AC29" s="5" t="str">
        <f t="shared" ref="AC29" si="43">IF(OR(AB29="",AB29="-"),"-",AB29*$M29*SQRT(3)/1000)</f>
        <v>-</v>
      </c>
      <c r="AD29" s="5">
        <v>400</v>
      </c>
      <c r="AE29" s="5">
        <f t="shared" ref="AE29" si="44">IF(OR(AD29="",AD29="-"),"-",AD29*$M29*SQRT(3)/1000)</f>
        <v>7.7734440243691205</v>
      </c>
      <c r="AF29" s="5" t="s">
        <v>0</v>
      </c>
      <c r="AG29" s="5" t="s">
        <v>0</v>
      </c>
      <c r="AH29" s="5" t="s">
        <v>0</v>
      </c>
      <c r="AI29" s="5" t="s">
        <v>0</v>
      </c>
      <c r="AJ29" s="5" t="s">
        <v>0</v>
      </c>
      <c r="AK29" s="5" t="s">
        <v>0</v>
      </c>
      <c r="AL29" s="5" t="s">
        <v>0</v>
      </c>
      <c r="AM29" s="5" t="s">
        <v>0</v>
      </c>
      <c r="AN29" s="5" t="s">
        <v>0</v>
      </c>
      <c r="AO29" s="5" t="s">
        <v>0</v>
      </c>
      <c r="AP29" s="5" t="s">
        <v>0</v>
      </c>
      <c r="AQ29" s="5" t="s">
        <v>0</v>
      </c>
      <c r="AR29" s="5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29" s="5" t="str">
        <f t="shared" si="9"/>
        <v>-</v>
      </c>
      <c r="AT29" s="5">
        <f>IF(RIGHT(BPD[[#This Row],[Device type]],7)="Winding","-",BPD[[#This Row],[Cont Winter MVA]])</f>
        <v>12.243174338381367</v>
      </c>
      <c r="AU29" s="5">
        <f>IF(RIGHT(BPD[[#This Row],[Device type]],7)="Winding","-",BPD[[#This Row],[Cont Shoulder MVA]])</f>
        <v>12.243174338381367</v>
      </c>
      <c r="AV29" s="5">
        <f>IF(RIGHT(BPD[[#This Row],[Device type]],7)="Winding","-",BPD[[#This Row],[Cont Summer MVA]])</f>
        <v>12.243174338381367</v>
      </c>
      <c r="AW29" s="5" t="str">
        <f>BPD[[#This Row],[24 Hr Winter MVA]]</f>
        <v>-</v>
      </c>
      <c r="AX29" s="5" t="str">
        <f>BPD[[#This Row],[24 Hr Summer MVA]]</f>
        <v>-</v>
      </c>
      <c r="AY29" s="5">
        <f>BPD[[#This Row],[Forwards MVA]]</f>
        <v>7.7734440243691205</v>
      </c>
      <c r="AZ29" s="5" t="str">
        <f>BPD[[#This Row],[Relay MVA]]</f>
        <v>-</v>
      </c>
      <c r="BA29" s="5">
        <f>BPD[[#This Row],[CT MVA]]</f>
        <v>7.7734440243691205</v>
      </c>
      <c r="BB29" s="5" t="str">
        <f>BPD[[#This Row],[Derating MVA]]</f>
        <v>-</v>
      </c>
      <c r="BC29" s="5" t="str">
        <f>BPD[[#This Row],[Station/Feeder]]&amp;BPD[[#This Row],[Lowest MVA]]</f>
        <v>CB11_Waihao Downs7.77344402436912</v>
      </c>
      <c r="BD29" s="5" t="str">
        <f>CONCATENATE(BPD[[#This Row],[Supply Level]],BPD[[#This Row],[Station/Feeder]],BPD[[#This Row],[Voltage]],BPD[[#This Row],[Lowest A-No PTX]])</f>
        <v>DistributionFeederCB11_Waihao Downs11.22400</v>
      </c>
      <c r="BE29" s="5" t="str">
        <f>CONCATENATE(BPD[[#This Row],[Supply Level]],BPD[[#This Row],[Station/Feeder]],BPD[[#This Row],[Voltage]],BPD[[#This Row],[Lowest A-PTX]])</f>
        <v>DistributionFeederCB11_Waihao Downs11.22400</v>
      </c>
      <c r="BF29" s="5">
        <f>IF(MIN(BPD[[#This Row],[Summ Cont Winter A]:[Cable Derating]])=0,"",MIN(BPD[[#This Row],[Summ Cont Winter A]:[Cable Derating]]))</f>
        <v>7.7734440243691205</v>
      </c>
      <c r="BG29" s="5">
        <f>IFERROR(BPD[[#This Row],[Lowest MVA]]*1000/(BPD[[#This Row],[Voltage]]*SQRT(3)),"")</f>
        <v>400</v>
      </c>
      <c r="BH29" s="5">
        <f t="shared" si="10"/>
        <v>400</v>
      </c>
      <c r="BI29" s="5" t="str">
        <f>BPD[[#This Row],[From]]</f>
        <v>11 kV Bus</v>
      </c>
      <c r="BJ29" s="5" t="str">
        <f>BPD[[#This Row],[To]]</f>
        <v>BPD11 CB</v>
      </c>
      <c r="BK29" s="5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Breaker-BPD-T2-CB11-Protection</v>
      </c>
      <c r="BL29" s="5">
        <f>BPD[[#This Row],[Voltage]]</f>
        <v>11.22</v>
      </c>
    </row>
    <row r="30" spans="1:64" s="337" customFormat="1" x14ac:dyDescent="0.25">
      <c r="A30" s="6" t="str">
        <f>CONCATENATE(BPD[[#This Row],[Supply Level]],BPD[[#This Row],[Station/Feeder]],BPD[[#This Row],[Voltage]],"T2")</f>
        <v>DistributionFeederCB11_Waihao Downs11.22T2</v>
      </c>
      <c r="B30" s="6" t="str">
        <f>CONCATENATE(BPD[[#This Row],[Supply Level]],BPD[[#This Row],[Station/Feeder]],BPD[[#This Row],[Equipment ID]],BPD[[#This Row],[Voltage]],BPD[[#This Row],[Device type]])</f>
        <v>DistributionFeederCB11_Waihao Downs3-1c 400mm² AL XLPE11.22-</v>
      </c>
      <c r="C30" s="6" t="s">
        <v>1276</v>
      </c>
      <c r="D30" s="11" t="s">
        <v>224</v>
      </c>
      <c r="E30" s="6" t="s">
        <v>710</v>
      </c>
      <c r="F30" s="6" t="s">
        <v>711</v>
      </c>
      <c r="G30" s="27">
        <v>3</v>
      </c>
      <c r="H30" s="39" t="s">
        <v>712</v>
      </c>
      <c r="I30" s="6" t="s">
        <v>2496</v>
      </c>
      <c r="J30" s="7" t="s">
        <v>250</v>
      </c>
      <c r="K30" s="7" t="s">
        <v>0</v>
      </c>
      <c r="L30" s="7" t="s">
        <v>0</v>
      </c>
      <c r="M30" s="43">
        <f t="shared" si="21"/>
        <v>11.22</v>
      </c>
      <c r="N30" s="9">
        <v>537</v>
      </c>
      <c r="O30" s="9">
        <f t="shared" si="0"/>
        <v>10.435848602715545</v>
      </c>
      <c r="P30" s="9">
        <v>537</v>
      </c>
      <c r="Q30" s="9">
        <f t="shared" si="1"/>
        <v>10.435848602715545</v>
      </c>
      <c r="R30" s="9">
        <v>537</v>
      </c>
      <c r="S30" s="9">
        <f t="shared" si="2"/>
        <v>10.435848602715545</v>
      </c>
      <c r="T30" s="9" t="s">
        <v>0</v>
      </c>
      <c r="U30" s="9" t="str">
        <f t="shared" si="3"/>
        <v>-</v>
      </c>
      <c r="V30" s="9" t="s">
        <v>0</v>
      </c>
      <c r="W30" s="9" t="str">
        <f t="shared" si="4"/>
        <v>-</v>
      </c>
      <c r="X30" s="9" t="s">
        <v>0</v>
      </c>
      <c r="Y30" s="9" t="str">
        <f t="shared" si="5"/>
        <v>-</v>
      </c>
      <c r="Z30" s="9" t="s">
        <v>0</v>
      </c>
      <c r="AA30" s="9" t="str">
        <f t="shared" ref="AA30:AA66" si="45">IF(OR(Z30="",Z30="-"),"-",Z30*$M30*SQRT(3)/1000)</f>
        <v>-</v>
      </c>
      <c r="AB30" s="9" t="s">
        <v>0</v>
      </c>
      <c r="AC30" s="9" t="str">
        <f t="shared" ref="AC30:AC66" si="46">IF(OR(AB30="",AB30="-"),"-",AB30*$M30*SQRT(3)/1000)</f>
        <v>-</v>
      </c>
      <c r="AD30" s="9" t="s">
        <v>0</v>
      </c>
      <c r="AE30" s="9" t="str">
        <f t="shared" ref="AE30:AE66" si="47">IF(OR(AD30="",AD30="-"),"-",AD30*$M30*SQRT(3)/1000)</f>
        <v>-</v>
      </c>
      <c r="AF30" s="9" t="s">
        <v>713</v>
      </c>
      <c r="AG30" s="9" t="s">
        <v>344</v>
      </c>
      <c r="AH30" s="9">
        <v>48.5</v>
      </c>
      <c r="AI30" s="9">
        <v>1.5</v>
      </c>
      <c r="AJ30" s="9">
        <v>0.94</v>
      </c>
      <c r="AK30" s="9">
        <v>15</v>
      </c>
      <c r="AL30" s="9">
        <v>1</v>
      </c>
      <c r="AM30" s="9">
        <v>1.2</v>
      </c>
      <c r="AN30" s="9">
        <v>1</v>
      </c>
      <c r="AO30" s="9">
        <v>5</v>
      </c>
      <c r="AP30" s="9">
        <v>0.4</v>
      </c>
      <c r="AQ30" s="9">
        <v>0.71</v>
      </c>
      <c r="AR30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358.39379999999994</v>
      </c>
      <c r="AS30" s="9">
        <f t="shared" si="9"/>
        <v>6.9648853574523537</v>
      </c>
      <c r="AT30" s="9">
        <f>IF(RIGHT(BPD[[#This Row],[Device type]],7)="Winding","-",BPD[[#This Row],[Cont Winter MVA]])</f>
        <v>10.435848602715545</v>
      </c>
      <c r="AU30" s="9">
        <f>IF(RIGHT(BPD[[#This Row],[Device type]],7)="Winding","-",BPD[[#This Row],[Cont Shoulder MVA]])</f>
        <v>10.435848602715545</v>
      </c>
      <c r="AV30" s="9">
        <f>IF(RIGHT(BPD[[#This Row],[Device type]],7)="Winding","-",BPD[[#This Row],[Cont Summer MVA]])</f>
        <v>10.435848602715545</v>
      </c>
      <c r="AW30" s="9" t="str">
        <f>BPD[[#This Row],[24 Hr Winter MVA]]</f>
        <v>-</v>
      </c>
      <c r="AX30" s="9" t="str">
        <f>BPD[[#This Row],[24 Hr Summer MVA]]</f>
        <v>-</v>
      </c>
      <c r="AY30" s="9" t="str">
        <f>BPD[[#This Row],[Forwards MVA]]</f>
        <v>-</v>
      </c>
      <c r="AZ30" s="9" t="str">
        <f>BPD[[#This Row],[Relay MVA]]</f>
        <v>-</v>
      </c>
      <c r="BA30" s="9" t="str">
        <f>BPD[[#This Row],[CT MVA]]</f>
        <v>-</v>
      </c>
      <c r="BB30" s="9">
        <f>BPD[[#This Row],[Derating MVA]]</f>
        <v>6.9648853574523537</v>
      </c>
      <c r="BC30" s="9" t="str">
        <f>BPD[[#This Row],[Station/Feeder]]&amp;BPD[[#This Row],[Lowest MVA]]</f>
        <v>CB11_Waihao Downs6.96488535745235</v>
      </c>
      <c r="BD30" s="9" t="str">
        <f>CONCATENATE(BPD[[#This Row],[Supply Level]],BPD[[#This Row],[Station/Feeder]],BPD[[#This Row],[Voltage]],BPD[[#This Row],[Lowest A-No PTX]])</f>
        <v>DistributionFeederCB11_Waihao Downs11.22358.3938</v>
      </c>
      <c r="BE30" s="9" t="str">
        <f>CONCATENATE(BPD[[#This Row],[Supply Level]],BPD[[#This Row],[Station/Feeder]],BPD[[#This Row],[Voltage]],BPD[[#This Row],[Lowest A-PTX]])</f>
        <v>DistributionFeederCB11_Waihao Downs11.22358.3938</v>
      </c>
      <c r="BF30" s="9">
        <f>IF(MIN(BPD[[#This Row],[Summ Cont Winter A]:[Cable Derating]])=0,"",MIN(BPD[[#This Row],[Summ Cont Winter A]:[Cable Derating]]))</f>
        <v>6.9648853574523537</v>
      </c>
      <c r="BG30" s="9">
        <f>IFERROR(BPD[[#This Row],[Lowest MVA]]*1000/(BPD[[#This Row],[Voltage]]*SQRT(3)),"")</f>
        <v>358.39379999999994</v>
      </c>
      <c r="BH30" s="9">
        <f t="shared" si="10"/>
        <v>358.39379999999994</v>
      </c>
      <c r="BI30" s="9" t="str">
        <f>BPD[[#This Row],[From]]</f>
        <v>BPD11 CB</v>
      </c>
      <c r="BJ30" s="9" t="str">
        <f>BPD[[#This Row],[To]]</f>
        <v>Cable Joint</v>
      </c>
      <c r="BK30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Cable-3-1c 400mm² AL XLPE</v>
      </c>
      <c r="BL30" s="9">
        <f>BPD[[#This Row],[Voltage]]</f>
        <v>11.22</v>
      </c>
    </row>
    <row r="31" spans="1:64" s="337" customFormat="1" x14ac:dyDescent="0.25">
      <c r="A31" s="6" t="str">
        <f>CONCATENATE(BPD[[#This Row],[Supply Level]],BPD[[#This Row],[Station/Feeder]],BPD[[#This Row],[Voltage]],"T2")</f>
        <v>DistributionFeederCB11_Waihao Downs11.22T2</v>
      </c>
      <c r="B31" s="6" t="str">
        <f>CONCATENATE(BPD[[#This Row],[Supply Level]],BPD[[#This Row],[Station/Feeder]],BPD[[#This Row],[Equipment ID]],BPD[[#This Row],[Voltage]],BPD[[#This Row],[Device type]])</f>
        <v>DistributionFeederCB11_Waihao Downs3c 300mm² AL XLPE CWS MDPE11.22-</v>
      </c>
      <c r="C31" s="6" t="s">
        <v>1276</v>
      </c>
      <c r="D31" s="11" t="s">
        <v>224</v>
      </c>
      <c r="E31" s="6" t="s">
        <v>711</v>
      </c>
      <c r="F31" s="6" t="s">
        <v>714</v>
      </c>
      <c r="G31" s="27">
        <v>4</v>
      </c>
      <c r="H31" s="39" t="s">
        <v>712</v>
      </c>
      <c r="I31" s="6" t="s">
        <v>715</v>
      </c>
      <c r="J31" s="7" t="s">
        <v>250</v>
      </c>
      <c r="K31" s="7" t="s">
        <v>0</v>
      </c>
      <c r="L31" s="7" t="s">
        <v>0</v>
      </c>
      <c r="M31" s="43">
        <f t="shared" si="21"/>
        <v>11.22</v>
      </c>
      <c r="N31" s="9">
        <v>476</v>
      </c>
      <c r="O31" s="9">
        <f t="shared" si="0"/>
        <v>9.2503983889992547</v>
      </c>
      <c r="P31" s="9">
        <v>476</v>
      </c>
      <c r="Q31" s="9">
        <f t="shared" si="1"/>
        <v>9.2503983889992547</v>
      </c>
      <c r="R31" s="9">
        <v>476</v>
      </c>
      <c r="S31" s="9">
        <f t="shared" si="2"/>
        <v>9.2503983889992547</v>
      </c>
      <c r="T31" s="9" t="s">
        <v>0</v>
      </c>
      <c r="U31" s="9" t="str">
        <f t="shared" si="3"/>
        <v>-</v>
      </c>
      <c r="V31" s="9" t="s">
        <v>0</v>
      </c>
      <c r="W31" s="9" t="str">
        <f t="shared" si="4"/>
        <v>-</v>
      </c>
      <c r="X31" s="9" t="s">
        <v>0</v>
      </c>
      <c r="Y31" s="9" t="str">
        <f t="shared" si="5"/>
        <v>-</v>
      </c>
      <c r="Z31" s="9" t="s">
        <v>0</v>
      </c>
      <c r="AA31" s="9" t="str">
        <f t="shared" si="45"/>
        <v>-</v>
      </c>
      <c r="AB31" s="9" t="s">
        <v>0</v>
      </c>
      <c r="AC31" s="9" t="str">
        <f t="shared" si="46"/>
        <v>-</v>
      </c>
      <c r="AD31" s="9" t="s">
        <v>0</v>
      </c>
      <c r="AE31" s="9" t="str">
        <f t="shared" si="47"/>
        <v>-</v>
      </c>
      <c r="AF31" s="9" t="s">
        <v>716</v>
      </c>
      <c r="AG31" s="9" t="s">
        <v>265</v>
      </c>
      <c r="AH31" s="9">
        <v>98.8</v>
      </c>
      <c r="AI31" s="9">
        <v>1.2</v>
      </c>
      <c r="AJ31" s="9">
        <v>0.96</v>
      </c>
      <c r="AK31" s="9">
        <v>15</v>
      </c>
      <c r="AL31" s="9">
        <v>1</v>
      </c>
      <c r="AM31" s="9">
        <v>1.2</v>
      </c>
      <c r="AN31" s="9">
        <v>1</v>
      </c>
      <c r="AO31" s="9">
        <v>3</v>
      </c>
      <c r="AP31" s="9">
        <v>0.6</v>
      </c>
      <c r="AQ31" s="9">
        <v>0.86</v>
      </c>
      <c r="AR31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392.98559999999998</v>
      </c>
      <c r="AS31" s="9">
        <f t="shared" si="9"/>
        <v>7.6371289099577835</v>
      </c>
      <c r="AT31" s="9">
        <f>IF(RIGHT(BPD[[#This Row],[Device type]],7)="Winding","-",BPD[[#This Row],[Cont Winter MVA]])</f>
        <v>9.2503983889992547</v>
      </c>
      <c r="AU31" s="9">
        <f>IF(RIGHT(BPD[[#This Row],[Device type]],7)="Winding","-",BPD[[#This Row],[Cont Shoulder MVA]])</f>
        <v>9.2503983889992547</v>
      </c>
      <c r="AV31" s="9">
        <f>IF(RIGHT(BPD[[#This Row],[Device type]],7)="Winding","-",BPD[[#This Row],[Cont Summer MVA]])</f>
        <v>9.2503983889992547</v>
      </c>
      <c r="AW31" s="9" t="str">
        <f>BPD[[#This Row],[24 Hr Winter MVA]]</f>
        <v>-</v>
      </c>
      <c r="AX31" s="9" t="str">
        <f>BPD[[#This Row],[24 Hr Summer MVA]]</f>
        <v>-</v>
      </c>
      <c r="AY31" s="9" t="str">
        <f>BPD[[#This Row],[Forwards MVA]]</f>
        <v>-</v>
      </c>
      <c r="AZ31" s="9" t="str">
        <f>BPD[[#This Row],[Relay MVA]]</f>
        <v>-</v>
      </c>
      <c r="BA31" s="9" t="str">
        <f>BPD[[#This Row],[CT MVA]]</f>
        <v>-</v>
      </c>
      <c r="BB31" s="9">
        <f>BPD[[#This Row],[Derating MVA]]</f>
        <v>7.6371289099577835</v>
      </c>
      <c r="BC31" s="9" t="str">
        <f>BPD[[#This Row],[Station/Feeder]]&amp;BPD[[#This Row],[Lowest MVA]]</f>
        <v>CB11_Waihao Downs7.63712890995778</v>
      </c>
      <c r="BD31" s="9" t="str">
        <f>CONCATENATE(BPD[[#This Row],[Supply Level]],BPD[[#This Row],[Station/Feeder]],BPD[[#This Row],[Voltage]],BPD[[#This Row],[Lowest A-No PTX]])</f>
        <v>DistributionFeederCB11_Waihao Downs11.22392.9856</v>
      </c>
      <c r="BE31" s="9" t="str">
        <f>CONCATENATE(BPD[[#This Row],[Supply Level]],BPD[[#This Row],[Station/Feeder]],BPD[[#This Row],[Voltage]],BPD[[#This Row],[Lowest A-PTX]])</f>
        <v>DistributionFeederCB11_Waihao Downs11.22392.9856</v>
      </c>
      <c r="BF31" s="9">
        <f>IF(MIN(BPD[[#This Row],[Summ Cont Winter A]:[Cable Derating]])=0,"",MIN(BPD[[#This Row],[Summ Cont Winter A]:[Cable Derating]]))</f>
        <v>7.6371289099577835</v>
      </c>
      <c r="BG31" s="9">
        <f>IFERROR(BPD[[#This Row],[Lowest MVA]]*1000/(BPD[[#This Row],[Voltage]]*SQRT(3)),"")</f>
        <v>392.98559999999998</v>
      </c>
      <c r="BH31" s="9">
        <f t="shared" si="10"/>
        <v>392.98559999999998</v>
      </c>
      <c r="BI31" s="9" t="str">
        <f>BPD[[#This Row],[From]]</f>
        <v>Cable Joint</v>
      </c>
      <c r="BJ31" s="9" t="str">
        <f>BPD[[#This Row],[To]]</f>
        <v>W630 ABS</v>
      </c>
      <c r="BK31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Cable-3c 300mm² AL XLPE CWS MDPE</v>
      </c>
      <c r="BL31" s="9">
        <f>BPD[[#This Row],[Voltage]]</f>
        <v>11.22</v>
      </c>
    </row>
    <row r="32" spans="1:64" s="337" customFormat="1" x14ac:dyDescent="0.25">
      <c r="A32" s="6" t="str">
        <f>CONCATENATE(BPD[[#This Row],[Supply Level]],BPD[[#This Row],[Station/Feeder]],BPD[[#This Row],[Voltage]],"T2")</f>
        <v>DistributionFeederCB11_Waihao Downs11.22T2</v>
      </c>
      <c r="B32" s="6" t="str">
        <f>CONCATENATE(BPD[[#This Row],[Supply Level]],BPD[[#This Row],[Station/Feeder]],BPD[[#This Row],[Equipment ID]],BPD[[#This Row],[Voltage]],BPD[[#This Row],[Device type]])</f>
        <v>DistributionFeederCB11_Waihao DownsW63011.22-</v>
      </c>
      <c r="C32" s="6" t="s">
        <v>1276</v>
      </c>
      <c r="D32" s="11" t="s">
        <v>224</v>
      </c>
      <c r="E32" s="6" t="s">
        <v>1373</v>
      </c>
      <c r="F32" s="6" t="s">
        <v>1374</v>
      </c>
      <c r="G32" s="8">
        <v>5</v>
      </c>
      <c r="H32" s="7" t="s">
        <v>273</v>
      </c>
      <c r="I32" s="6" t="s">
        <v>1375</v>
      </c>
      <c r="J32" s="7" t="s">
        <v>729</v>
      </c>
      <c r="K32" s="7" t="s">
        <v>0</v>
      </c>
      <c r="L32" s="7" t="s">
        <v>0</v>
      </c>
      <c r="M32" s="43">
        <f t="shared" si="21"/>
        <v>11.22</v>
      </c>
      <c r="N32" s="9">
        <v>600</v>
      </c>
      <c r="O32" s="9">
        <f>IF(OR(N32="",N32="-"),"-",N32*$M32*SQRT(3)/1000)</f>
        <v>11.660166036553681</v>
      </c>
      <c r="P32" s="9">
        <v>600</v>
      </c>
      <c r="Q32" s="9">
        <f>IF(OR(P32="",P32="-"),"-",P32*$M32*SQRT(3)/1000)</f>
        <v>11.660166036553681</v>
      </c>
      <c r="R32" s="9">
        <v>600</v>
      </c>
      <c r="S32" s="9">
        <f>IF(OR(R32="",R32="-"),"-",R32*$M32*SQRT(3)/1000)</f>
        <v>11.660166036553681</v>
      </c>
      <c r="T32" s="9" t="s">
        <v>0</v>
      </c>
      <c r="U32" s="9" t="str">
        <f>IF(OR(T32="",T32="-"),"-",T32*$M32*SQRT(3)/1000)</f>
        <v>-</v>
      </c>
      <c r="V32" s="9" t="s">
        <v>0</v>
      </c>
      <c r="W32" s="9" t="str">
        <f>IF(OR(V32="",V32="-"),"-",V32*$M32*SQRT(3)/1000)</f>
        <v>-</v>
      </c>
      <c r="X32" s="9" t="s">
        <v>0</v>
      </c>
      <c r="Y32" s="9" t="str">
        <f>IF(OR(X32="",X32="-"),"-",X32*$M32*SQRT(3)/1000)</f>
        <v>-</v>
      </c>
      <c r="Z32" s="9" t="s">
        <v>0</v>
      </c>
      <c r="AA32" s="9" t="str">
        <f>IF(OR(Z32="",Z32="-"),"-",Z32*$M32*SQRT(3)/1000)</f>
        <v>-</v>
      </c>
      <c r="AB32" s="9" t="s">
        <v>0</v>
      </c>
      <c r="AC32" s="9" t="str">
        <f>IF(OR(AB32="",AB32="-"),"-",AB32*$M32*SQRT(3)/1000)</f>
        <v>-</v>
      </c>
      <c r="AD32" s="9" t="s">
        <v>0</v>
      </c>
      <c r="AE32" s="9" t="str">
        <f>IF(OR(AD32="",AD32="-"),"-",AD32*$M32*SQRT(3)/1000)</f>
        <v>-</v>
      </c>
      <c r="AF32" s="9" t="s">
        <v>0</v>
      </c>
      <c r="AG32" s="9" t="s">
        <v>0</v>
      </c>
      <c r="AH32" s="9" t="s">
        <v>0</v>
      </c>
      <c r="AI32" s="9" t="s">
        <v>0</v>
      </c>
      <c r="AJ32" s="9" t="s">
        <v>0</v>
      </c>
      <c r="AK32" s="9" t="s">
        <v>0</v>
      </c>
      <c r="AL32" s="9" t="s">
        <v>0</v>
      </c>
      <c r="AM32" s="9" t="s">
        <v>0</v>
      </c>
      <c r="AN32" s="9" t="s">
        <v>0</v>
      </c>
      <c r="AO32" s="9" t="s">
        <v>0</v>
      </c>
      <c r="AP32" s="9" t="s">
        <v>0</v>
      </c>
      <c r="AQ32" s="9" t="s">
        <v>0</v>
      </c>
      <c r="AR32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32" s="9" t="str">
        <f>IF(OR(AR32="",AR32="-"),"-",AR32*$M32*SQRT(3)/1000)</f>
        <v>-</v>
      </c>
      <c r="AT32" s="9">
        <f>IF(RIGHT(BPD[[#This Row],[Device type]],7)="Winding","-",BPD[[#This Row],[Cont Winter MVA]])</f>
        <v>11.660166036553681</v>
      </c>
      <c r="AU32" s="9">
        <f>IF(RIGHT(BPD[[#This Row],[Device type]],7)="Winding","-",BPD[[#This Row],[Cont Shoulder MVA]])</f>
        <v>11.660166036553681</v>
      </c>
      <c r="AV32" s="9">
        <f>IF(RIGHT(BPD[[#This Row],[Device type]],7)="Winding","-",BPD[[#This Row],[Cont Summer MVA]])</f>
        <v>11.660166036553681</v>
      </c>
      <c r="AW32" s="9" t="str">
        <f>BPD[[#This Row],[24 Hr Winter MVA]]</f>
        <v>-</v>
      </c>
      <c r="AX32" s="9" t="str">
        <f>BPD[[#This Row],[24 Hr Summer MVA]]</f>
        <v>-</v>
      </c>
      <c r="AY32" s="9" t="str">
        <f>BPD[[#This Row],[Forwards MVA]]</f>
        <v>-</v>
      </c>
      <c r="AZ32" s="9" t="str">
        <f>BPD[[#This Row],[Relay MVA]]</f>
        <v>-</v>
      </c>
      <c r="BA32" s="9" t="str">
        <f>BPD[[#This Row],[CT MVA]]</f>
        <v>-</v>
      </c>
      <c r="BB32" s="9" t="str">
        <f>BPD[[#This Row],[Derating MVA]]</f>
        <v>-</v>
      </c>
      <c r="BC32" s="9" t="str">
        <f>BPD[[#This Row],[Station/Feeder]]&amp;BPD[[#This Row],[Lowest MVA]]</f>
        <v>CB11_Waihao Downs11.6601660365537</v>
      </c>
      <c r="BD32" s="9" t="str">
        <f>CONCATENATE(BPD[[#This Row],[Supply Level]],BPD[[#This Row],[Station/Feeder]],BPD[[#This Row],[Voltage]],BPD[[#This Row],[Lowest A-No PTX]])</f>
        <v>DistributionFeederCB11_Waihao Downs11.22600</v>
      </c>
      <c r="BE32" s="9" t="str">
        <f>CONCATENATE(BPD[[#This Row],[Supply Level]],BPD[[#This Row],[Station/Feeder]],BPD[[#This Row],[Voltage]],BPD[[#This Row],[Lowest A-PTX]])</f>
        <v>DistributionFeederCB11_Waihao Downs11.22600</v>
      </c>
      <c r="BF32" s="9">
        <f>IF(MIN(BPD[[#This Row],[Summ Cont Winter A]:[Cable Derating]])=0,"",MIN(BPD[[#This Row],[Summ Cont Winter A]:[Cable Derating]]))</f>
        <v>11.660166036553681</v>
      </c>
      <c r="BG32" s="9">
        <f>IFERROR(BPD[[#This Row],[Lowest MVA]]*1000/(BPD[[#This Row],[Voltage]]*SQRT(3)),"")</f>
        <v>600</v>
      </c>
      <c r="BH32" s="9">
        <f t="shared" si="10"/>
        <v>600</v>
      </c>
      <c r="BI32" s="9" t="str">
        <f>BPD[[#This Row],[From]]</f>
        <v xml:space="preserve">Cable 300 mm² </v>
      </c>
      <c r="BJ32" s="9" t="str">
        <f>BPD[[#This Row],[To]]</f>
        <v>JAGUAR OH Line</v>
      </c>
      <c r="BK32" s="9" t="str">
        <f>IF(BPD[[#This Row],[Device type]]="-",BPD[[#This Row],[Equipment Type]]&amp;" - "&amp;BPD[[#This Row],[Equipment ID]],BPD[[#This Row],[Equipment Type]]&amp;" - "&amp;BPD[[#This Row],[Equipment ID]]&amp;" - "&amp;BPD[[#This Row],[Device type]])</f>
        <v>Air Break Switch - W630</v>
      </c>
      <c r="BL32" s="9">
        <f>BPD[[#This Row],[Voltage]]</f>
        <v>11.22</v>
      </c>
    </row>
    <row r="33" spans="1:64" s="337" customFormat="1" x14ac:dyDescent="0.25">
      <c r="A33" s="6" t="str">
        <f>CONCATENATE(BPD[[#This Row],[Supply Level]],BPD[[#This Row],[Station/Feeder]],BPD[[#This Row],[Voltage]],"T2")</f>
        <v>DistributionFeederCB11_Waihao Downs11.22T2</v>
      </c>
      <c r="B33" s="6" t="str">
        <f>CONCATENATE(BPD[[#This Row],[Supply Level]],BPD[[#This Row],[Station/Feeder]],BPD[[#This Row],[Equipment ID]],BPD[[#This Row],[Voltage]],BPD[[#This Row],[Device type]])</f>
        <v>DistributionFeederCB11_Waihao DownsJAGUAR11.22-</v>
      </c>
      <c r="C33" s="6" t="s">
        <v>1276</v>
      </c>
      <c r="D33" s="11" t="s">
        <v>224</v>
      </c>
      <c r="E33" s="6" t="s">
        <v>714</v>
      </c>
      <c r="F33" s="6" t="s">
        <v>1302</v>
      </c>
      <c r="G33" s="27">
        <v>5</v>
      </c>
      <c r="H33" s="7" t="s">
        <v>1289</v>
      </c>
      <c r="I33" s="6" t="s">
        <v>345</v>
      </c>
      <c r="J33" s="7" t="s">
        <v>69</v>
      </c>
      <c r="K33" s="7" t="s">
        <v>0</v>
      </c>
      <c r="L33" s="7" t="s">
        <v>0</v>
      </c>
      <c r="M33" s="43">
        <f t="shared" si="21"/>
        <v>11.22</v>
      </c>
      <c r="N33" s="9">
        <v>523.13480389780273</v>
      </c>
      <c r="O33" s="9">
        <f t="shared" si="0"/>
        <v>10.166397788247217</v>
      </c>
      <c r="P33" s="9" t="s">
        <v>0</v>
      </c>
      <c r="Q33" s="9" t="str">
        <f t="shared" si="1"/>
        <v>-</v>
      </c>
      <c r="R33" s="9">
        <v>386.92827157177999</v>
      </c>
      <c r="S33" s="9">
        <f t="shared" si="2"/>
        <v>7.5194131512728157</v>
      </c>
      <c r="T33" s="9" t="s">
        <v>0</v>
      </c>
      <c r="U33" s="9" t="str">
        <f t="shared" si="3"/>
        <v>-</v>
      </c>
      <c r="V33" s="9" t="s">
        <v>0</v>
      </c>
      <c r="W33" s="9" t="str">
        <f t="shared" si="4"/>
        <v>-</v>
      </c>
      <c r="X33" s="9" t="s">
        <v>0</v>
      </c>
      <c r="Y33" s="9" t="str">
        <f t="shared" si="5"/>
        <v>-</v>
      </c>
      <c r="Z33" s="9" t="s">
        <v>0</v>
      </c>
      <c r="AA33" s="9" t="str">
        <f t="shared" si="45"/>
        <v>-</v>
      </c>
      <c r="AB33" s="9" t="s">
        <v>0</v>
      </c>
      <c r="AC33" s="9" t="str">
        <f t="shared" si="46"/>
        <v>-</v>
      </c>
      <c r="AD33" s="9" t="s">
        <v>0</v>
      </c>
      <c r="AE33" s="9" t="str">
        <f t="shared" si="47"/>
        <v>-</v>
      </c>
      <c r="AF33" s="9" t="s">
        <v>0</v>
      </c>
      <c r="AG33" s="9" t="s">
        <v>0</v>
      </c>
      <c r="AH33" s="9">
        <v>3329.2</v>
      </c>
      <c r="AI33" s="9" t="s">
        <v>0</v>
      </c>
      <c r="AJ33" s="9" t="s">
        <v>0</v>
      </c>
      <c r="AK33" s="9" t="s">
        <v>0</v>
      </c>
      <c r="AL33" s="9" t="s">
        <v>0</v>
      </c>
      <c r="AM33" s="9" t="s">
        <v>0</v>
      </c>
      <c r="AN33" s="9" t="s">
        <v>0</v>
      </c>
      <c r="AO33" s="9" t="s">
        <v>0</v>
      </c>
      <c r="AP33" s="9" t="s">
        <v>0</v>
      </c>
      <c r="AQ33" s="9" t="s">
        <v>0</v>
      </c>
      <c r="AR33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33" s="9" t="str">
        <f t="shared" si="9"/>
        <v>-</v>
      </c>
      <c r="AT33" s="9">
        <f>IF(RIGHT(BPD[[#This Row],[Device type]],7)="Winding","-",BPD[[#This Row],[Cont Winter MVA]])</f>
        <v>10.166397788247217</v>
      </c>
      <c r="AU33" s="9" t="str">
        <f>IF(RIGHT(BPD[[#This Row],[Device type]],7)="Winding","-",BPD[[#This Row],[Cont Shoulder MVA]])</f>
        <v>-</v>
      </c>
      <c r="AV33" s="9">
        <f>IF(RIGHT(BPD[[#This Row],[Device type]],7)="Winding","-",BPD[[#This Row],[Cont Summer MVA]])</f>
        <v>7.5194131512728157</v>
      </c>
      <c r="AW33" s="9" t="str">
        <f>BPD[[#This Row],[24 Hr Winter MVA]]</f>
        <v>-</v>
      </c>
      <c r="AX33" s="9" t="str">
        <f>BPD[[#This Row],[24 Hr Summer MVA]]</f>
        <v>-</v>
      </c>
      <c r="AY33" s="9" t="str">
        <f>BPD[[#This Row],[Forwards MVA]]</f>
        <v>-</v>
      </c>
      <c r="AZ33" s="9" t="str">
        <f>BPD[[#This Row],[Relay MVA]]</f>
        <v>-</v>
      </c>
      <c r="BA33" s="9" t="str">
        <f>BPD[[#This Row],[CT MVA]]</f>
        <v>-</v>
      </c>
      <c r="BB33" s="9" t="str">
        <f>BPD[[#This Row],[Derating MVA]]</f>
        <v>-</v>
      </c>
      <c r="BC33" s="9" t="str">
        <f>BPD[[#This Row],[Station/Feeder]]&amp;BPD[[#This Row],[Lowest MVA]]</f>
        <v>CB11_Waihao Downs7.51941315127282</v>
      </c>
      <c r="BD33" s="9" t="str">
        <f>CONCATENATE(BPD[[#This Row],[Supply Level]],BPD[[#This Row],[Station/Feeder]],BPD[[#This Row],[Voltage]],BPD[[#This Row],[Lowest A-No PTX]])</f>
        <v>DistributionFeederCB11_Waihao Downs11.22386.92827157178</v>
      </c>
      <c r="BE33" s="9" t="str">
        <f>CONCATENATE(BPD[[#This Row],[Supply Level]],BPD[[#This Row],[Station/Feeder]],BPD[[#This Row],[Voltage]],BPD[[#This Row],[Lowest A-PTX]])</f>
        <v>DistributionFeederCB11_Waihao Downs11.22386.92827157178</v>
      </c>
      <c r="BF33" s="9">
        <f>IF(MIN(BPD[[#This Row],[Summ Cont Winter A]:[Cable Derating]])=0,"",MIN(BPD[[#This Row],[Summ Cont Winter A]:[Cable Derating]]))</f>
        <v>7.5194131512728157</v>
      </c>
      <c r="BG33" s="9">
        <f>IFERROR(BPD[[#This Row],[Lowest MVA]]*1000/(BPD[[#This Row],[Voltage]]*SQRT(3)),"")</f>
        <v>386.92827157178004</v>
      </c>
      <c r="BH33" s="9">
        <f t="shared" si="10"/>
        <v>386.92827157177999</v>
      </c>
      <c r="BI33" s="9" t="str">
        <f>BPD[[#This Row],[From]]</f>
        <v>W630 ABS</v>
      </c>
      <c r="BJ33" s="9" t="str">
        <f>BPD[[#This Row],[To]]</f>
        <v>W631 ABS</v>
      </c>
      <c r="BK33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OH Line-JAGUAR</v>
      </c>
      <c r="BL33" s="9">
        <f>BPD[[#This Row],[Voltage]]</f>
        <v>11.22</v>
      </c>
    </row>
    <row r="34" spans="1:64" s="337" customFormat="1" x14ac:dyDescent="0.25">
      <c r="A34" s="6" t="str">
        <f>CONCATENATE(BPD[[#This Row],[Supply Level]],BPD[[#This Row],[Station/Feeder]],BPD[[#This Row],[Voltage]],"T2")</f>
        <v>DistributionFeederCB11_Waihao Downs11.22T2</v>
      </c>
      <c r="B34" s="6" t="str">
        <f>CONCATENATE(BPD[[#This Row],[Supply Level]],BPD[[#This Row],[Station/Feeder]],BPD[[#This Row],[Equipment ID]],BPD[[#This Row],[Voltage]],BPD[[#This Row],[Device type]])</f>
        <v>DistributionFeederCB11_Waihao DownsW63111.22-</v>
      </c>
      <c r="C34" s="6" t="s">
        <v>1276</v>
      </c>
      <c r="D34" s="11" t="s">
        <v>224</v>
      </c>
      <c r="E34" s="6" t="s">
        <v>1374</v>
      </c>
      <c r="F34" s="6" t="s">
        <v>1374</v>
      </c>
      <c r="G34" s="8">
        <v>7</v>
      </c>
      <c r="H34" s="7" t="s">
        <v>273</v>
      </c>
      <c r="I34" s="6" t="s">
        <v>1376</v>
      </c>
      <c r="J34" s="7" t="s">
        <v>278</v>
      </c>
      <c r="K34" s="7" t="s">
        <v>0</v>
      </c>
      <c r="L34" s="7" t="s">
        <v>0</v>
      </c>
      <c r="M34" s="43">
        <f t="shared" si="21"/>
        <v>11.22</v>
      </c>
      <c r="N34" s="9">
        <v>600</v>
      </c>
      <c r="O34" s="9">
        <f>IF(OR(N34="",N34="-"),"-",N34*$M34*SQRT(3)/1000)</f>
        <v>11.660166036553681</v>
      </c>
      <c r="P34" s="9">
        <v>600</v>
      </c>
      <c r="Q34" s="9">
        <f>IF(OR(P34="",P34="-"),"-",P34*$M34*SQRT(3)/1000)</f>
        <v>11.660166036553681</v>
      </c>
      <c r="R34" s="9">
        <v>600</v>
      </c>
      <c r="S34" s="9">
        <f>IF(OR(R34="",R34="-"),"-",R34*$M34*SQRT(3)/1000)</f>
        <v>11.660166036553681</v>
      </c>
      <c r="T34" s="9" t="s">
        <v>0</v>
      </c>
      <c r="U34" s="9" t="str">
        <f>IF(OR(T34="",T34="-"),"-",T34*$M34*SQRT(3)/1000)</f>
        <v>-</v>
      </c>
      <c r="V34" s="9" t="s">
        <v>0</v>
      </c>
      <c r="W34" s="9" t="str">
        <f>IF(OR(V34="",V34="-"),"-",V34*$M34*SQRT(3)/1000)</f>
        <v>-</v>
      </c>
      <c r="X34" s="9" t="s">
        <v>0</v>
      </c>
      <c r="Y34" s="9" t="str">
        <f>IF(OR(X34="",X34="-"),"-",X34*$M34*SQRT(3)/1000)</f>
        <v>-</v>
      </c>
      <c r="Z34" s="9" t="s">
        <v>0</v>
      </c>
      <c r="AA34" s="9" t="str">
        <f>IF(OR(Z34="",Z34="-"),"-",Z34*$M34*SQRT(3)/1000)</f>
        <v>-</v>
      </c>
      <c r="AB34" s="9" t="s">
        <v>0</v>
      </c>
      <c r="AC34" s="9" t="str">
        <f>IF(OR(AB34="",AB34="-"),"-",AB34*$M34*SQRT(3)/1000)</f>
        <v>-</v>
      </c>
      <c r="AD34" s="9" t="s">
        <v>0</v>
      </c>
      <c r="AE34" s="9" t="str">
        <f>IF(OR(AD34="",AD34="-"),"-",AD34*$M34*SQRT(3)/1000)</f>
        <v>-</v>
      </c>
      <c r="AF34" s="9" t="s">
        <v>0</v>
      </c>
      <c r="AG34" s="9" t="s">
        <v>0</v>
      </c>
      <c r="AH34" s="9" t="s">
        <v>0</v>
      </c>
      <c r="AI34" s="9" t="s">
        <v>0</v>
      </c>
      <c r="AJ34" s="9" t="s">
        <v>0</v>
      </c>
      <c r="AK34" s="9" t="s">
        <v>0</v>
      </c>
      <c r="AL34" s="9" t="s">
        <v>0</v>
      </c>
      <c r="AM34" s="9" t="s">
        <v>0</v>
      </c>
      <c r="AN34" s="9" t="s">
        <v>0</v>
      </c>
      <c r="AO34" s="9" t="s">
        <v>0</v>
      </c>
      <c r="AP34" s="9" t="s">
        <v>0</v>
      </c>
      <c r="AQ34" s="9" t="s">
        <v>0</v>
      </c>
      <c r="AR34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34" s="9" t="str">
        <f>IF(OR(AR34="",AR34="-"),"-",AR34*$M34*SQRT(3)/1000)</f>
        <v>-</v>
      </c>
      <c r="AT34" s="9">
        <f>IF(RIGHT(BPD[[#This Row],[Device type]],7)="Winding","-",BPD[[#This Row],[Cont Winter MVA]])</f>
        <v>11.660166036553681</v>
      </c>
      <c r="AU34" s="9">
        <f>IF(RIGHT(BPD[[#This Row],[Device type]],7)="Winding","-",BPD[[#This Row],[Cont Shoulder MVA]])</f>
        <v>11.660166036553681</v>
      </c>
      <c r="AV34" s="9">
        <f>IF(RIGHT(BPD[[#This Row],[Device type]],7)="Winding","-",BPD[[#This Row],[Cont Summer MVA]])</f>
        <v>11.660166036553681</v>
      </c>
      <c r="AW34" s="9" t="str">
        <f>BPD[[#This Row],[24 Hr Winter MVA]]</f>
        <v>-</v>
      </c>
      <c r="AX34" s="9" t="str">
        <f>BPD[[#This Row],[24 Hr Summer MVA]]</f>
        <v>-</v>
      </c>
      <c r="AY34" s="9" t="str">
        <f>BPD[[#This Row],[Forwards MVA]]</f>
        <v>-</v>
      </c>
      <c r="AZ34" s="9" t="str">
        <f>BPD[[#This Row],[Relay MVA]]</f>
        <v>-</v>
      </c>
      <c r="BA34" s="9" t="str">
        <f>BPD[[#This Row],[CT MVA]]</f>
        <v>-</v>
      </c>
      <c r="BB34" s="9" t="str">
        <f>BPD[[#This Row],[Derating MVA]]</f>
        <v>-</v>
      </c>
      <c r="BC34" s="9" t="str">
        <f>BPD[[#This Row],[Station/Feeder]]&amp;BPD[[#This Row],[Lowest MVA]]</f>
        <v>CB11_Waihao Downs11.6601660365537</v>
      </c>
      <c r="BD34" s="9" t="str">
        <f>CONCATENATE(BPD[[#This Row],[Supply Level]],BPD[[#This Row],[Station/Feeder]],BPD[[#This Row],[Voltage]],BPD[[#This Row],[Lowest A-No PTX]])</f>
        <v>DistributionFeederCB11_Waihao Downs11.22600</v>
      </c>
      <c r="BE34" s="9" t="str">
        <f>CONCATENATE(BPD[[#This Row],[Supply Level]],BPD[[#This Row],[Station/Feeder]],BPD[[#This Row],[Voltage]],BPD[[#This Row],[Lowest A-PTX]])</f>
        <v>DistributionFeederCB11_Waihao Downs11.22600</v>
      </c>
      <c r="BF34" s="9">
        <f>IF(MIN(BPD[[#This Row],[Summ Cont Winter A]:[Cable Derating]])=0,"",MIN(BPD[[#This Row],[Summ Cont Winter A]:[Cable Derating]]))</f>
        <v>11.660166036553681</v>
      </c>
      <c r="BG34" s="9">
        <f>IFERROR(BPD[[#This Row],[Lowest MVA]]*1000/(BPD[[#This Row],[Voltage]]*SQRT(3)),"")</f>
        <v>600</v>
      </c>
      <c r="BH34" s="9">
        <f t="shared" si="10"/>
        <v>600</v>
      </c>
      <c r="BI34" s="9" t="str">
        <f>BPD[[#This Row],[From]]</f>
        <v>JAGUAR OH Line</v>
      </c>
      <c r="BJ34" s="9" t="str">
        <f>BPD[[#This Row],[To]]</f>
        <v>JAGUAR OH Line</v>
      </c>
      <c r="BK34" s="9" t="str">
        <f>IF(BPD[[#This Row],[Device type]]="-",BPD[[#This Row],[Equipment Type]]&amp;" - "&amp;BPD[[#This Row],[Equipment ID]],BPD[[#This Row],[Equipment Type]]&amp;" - "&amp;BPD[[#This Row],[Equipment ID]]&amp;" - "&amp;BPD[[#This Row],[Device type]])</f>
        <v>Switch - W631</v>
      </c>
      <c r="BL34" s="9">
        <f>BPD[[#This Row],[Voltage]]</f>
        <v>11.22</v>
      </c>
    </row>
    <row r="35" spans="1:64" s="337" customFormat="1" x14ac:dyDescent="0.25">
      <c r="A35" s="6" t="str">
        <f>CONCATENATE(BPD[[#This Row],[Supply Level]],BPD[[#This Row],[Station/Feeder]],BPD[[#This Row],[Voltage]],"T2")</f>
        <v>DistributionFeederCB11_Waihao Downs11.22T2</v>
      </c>
      <c r="B35" s="6" t="str">
        <f>CONCATENATE(BPD[[#This Row],[Supply Level]],BPD[[#This Row],[Station/Feeder]],BPD[[#This Row],[Equipment ID]],BPD[[#This Row],[Voltage]],BPD[[#This Row],[Device type]])</f>
        <v>DistributionFeederCB11_Waihao DownsJAGUAR11.22-</v>
      </c>
      <c r="C35" s="6" t="s">
        <v>1276</v>
      </c>
      <c r="D35" s="6" t="s">
        <v>224</v>
      </c>
      <c r="E35" s="6" t="s">
        <v>1302</v>
      </c>
      <c r="F35" s="6" t="s">
        <v>1303</v>
      </c>
      <c r="G35" s="8">
        <v>6</v>
      </c>
      <c r="H35" s="7" t="s">
        <v>1289</v>
      </c>
      <c r="I35" s="6" t="s">
        <v>345</v>
      </c>
      <c r="J35" s="7" t="s">
        <v>69</v>
      </c>
      <c r="K35" s="7" t="s">
        <v>0</v>
      </c>
      <c r="L35" s="7" t="s">
        <v>0</v>
      </c>
      <c r="M35" s="43">
        <v>11.22</v>
      </c>
      <c r="N35" s="9">
        <v>523.13480389780273</v>
      </c>
      <c r="O35" s="9">
        <v>10.166397788247217</v>
      </c>
      <c r="P35" s="9" t="s">
        <v>0</v>
      </c>
      <c r="Q35" s="9" t="s">
        <v>0</v>
      </c>
      <c r="R35" s="9">
        <v>386.92827157177999</v>
      </c>
      <c r="S35" s="9">
        <v>7.5194131512728157</v>
      </c>
      <c r="T35" s="9" t="s">
        <v>0</v>
      </c>
      <c r="U35" s="9" t="str">
        <f>IF(OR(T35="",T35="-"),"-",T35*$M35*SQRT(3)/1000)</f>
        <v>-</v>
      </c>
      <c r="V35" s="9" t="s">
        <v>0</v>
      </c>
      <c r="W35" s="9" t="str">
        <f>IF(OR(V35="",V35="-"),"-",V35*$M35*SQRT(3)/1000)</f>
        <v>-</v>
      </c>
      <c r="X35" s="9" t="s">
        <v>0</v>
      </c>
      <c r="Y35" s="9" t="str">
        <f>IF(OR(X35="",X35="-"),"-",X35*$M35*SQRT(3)/1000)</f>
        <v>-</v>
      </c>
      <c r="Z35" s="9" t="s">
        <v>0</v>
      </c>
      <c r="AA35" s="9" t="str">
        <f>IF(OR(Z35="",Z35="-"),"-",Z35*$M35*SQRT(3)/1000)</f>
        <v>-</v>
      </c>
      <c r="AB35" s="9" t="s">
        <v>0</v>
      </c>
      <c r="AC35" s="9" t="str">
        <f>IF(OR(AB35="",AB35="-"),"-",AB35*$M35*SQRT(3)/1000)</f>
        <v>-</v>
      </c>
      <c r="AD35" s="9" t="s">
        <v>0</v>
      </c>
      <c r="AE35" s="9" t="str">
        <f>IF(OR(AD35="",AD35="-"),"-",AD35*$M35*SQRT(3)/1000)</f>
        <v>-</v>
      </c>
      <c r="AF35" s="9" t="s">
        <v>0</v>
      </c>
      <c r="AG35" s="9" t="s">
        <v>0</v>
      </c>
      <c r="AH35" s="9" t="s">
        <v>0</v>
      </c>
      <c r="AI35" s="9" t="s">
        <v>0</v>
      </c>
      <c r="AJ35" s="9" t="s">
        <v>0</v>
      </c>
      <c r="AK35" s="9" t="s">
        <v>0</v>
      </c>
      <c r="AL35" s="9" t="s">
        <v>0</v>
      </c>
      <c r="AM35" s="9" t="s">
        <v>0</v>
      </c>
      <c r="AN35" s="9" t="s">
        <v>0</v>
      </c>
      <c r="AO35" s="9" t="s">
        <v>0</v>
      </c>
      <c r="AP35" s="9" t="s">
        <v>0</v>
      </c>
      <c r="AQ35" s="9" t="s">
        <v>0</v>
      </c>
      <c r="AR35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35" s="9" t="str">
        <f>IF(OR(AR35="",AR35="-"),"-",AR35*$M35*SQRT(3)/1000)</f>
        <v>-</v>
      </c>
      <c r="AT35" s="9">
        <f>IF(RIGHT(BPD[[#This Row],[Device type]],7)="Winding","-",BPD[[#This Row],[Cont Winter MVA]])</f>
        <v>10.166397788247217</v>
      </c>
      <c r="AU35" s="9" t="str">
        <f>IF(RIGHT(BPD[[#This Row],[Device type]],7)="Winding","-",BPD[[#This Row],[Cont Shoulder MVA]])</f>
        <v>-</v>
      </c>
      <c r="AV35" s="9">
        <f>IF(RIGHT(BPD[[#This Row],[Device type]],7)="Winding","-",BPD[[#This Row],[Cont Summer MVA]])</f>
        <v>7.5194131512728157</v>
      </c>
      <c r="AW35" s="9" t="str">
        <f>BPD[[#This Row],[24 Hr Winter MVA]]</f>
        <v>-</v>
      </c>
      <c r="AX35" s="9" t="str">
        <f>BPD[[#This Row],[24 Hr Summer MVA]]</f>
        <v>-</v>
      </c>
      <c r="AY35" s="9" t="str">
        <f>BPD[[#This Row],[Forwards MVA]]</f>
        <v>-</v>
      </c>
      <c r="AZ35" s="9" t="str">
        <f>BPD[[#This Row],[Relay MVA]]</f>
        <v>-</v>
      </c>
      <c r="BA35" s="9" t="str">
        <f>BPD[[#This Row],[CT MVA]]</f>
        <v>-</v>
      </c>
      <c r="BB35" s="9" t="str">
        <f>BPD[[#This Row],[Derating MVA]]</f>
        <v>-</v>
      </c>
      <c r="BC35" s="9" t="str">
        <f>BPD[[#This Row],[Station/Feeder]]&amp;BPD[[#This Row],[Lowest MVA]]</f>
        <v>CB11_Waihao Downs7.51941315127282</v>
      </c>
      <c r="BD35" s="9" t="str">
        <f>CONCATENATE(BPD[[#This Row],[Supply Level]],BPD[[#This Row],[Station/Feeder]],BPD[[#This Row],[Voltage]],BPD[[#This Row],[Lowest A-No PTX]])</f>
        <v>DistributionFeederCB11_Waihao Downs11.22386.92827157178</v>
      </c>
      <c r="BE35" s="9" t="str">
        <f>CONCATENATE(BPD[[#This Row],[Supply Level]],BPD[[#This Row],[Station/Feeder]],BPD[[#This Row],[Voltage]],BPD[[#This Row],[Lowest A-PTX]])</f>
        <v>DistributionFeederCB11_Waihao Downs11.22386.92827157178</v>
      </c>
      <c r="BF35" s="9">
        <f>IF(MIN(BPD[[#This Row],[Summ Cont Winter A]:[Cable Derating]])=0,"",MIN(BPD[[#This Row],[Summ Cont Winter A]:[Cable Derating]]))</f>
        <v>7.5194131512728157</v>
      </c>
      <c r="BG35" s="9">
        <f>IFERROR(BPD[[#This Row],[Lowest MVA]]*1000/(BPD[[#This Row],[Voltage]]*SQRT(3)),"")</f>
        <v>386.92827157178004</v>
      </c>
      <c r="BH35" s="9">
        <f t="shared" si="10"/>
        <v>386.92827157177999</v>
      </c>
      <c r="BI35" s="9" t="str">
        <f>BPD[[#This Row],[From]]</f>
        <v>W631 ABS</v>
      </c>
      <c r="BJ35" s="9" t="str">
        <f>BPD[[#This Row],[To]]</f>
        <v>W614 LK</v>
      </c>
      <c r="BK35" s="9" t="str">
        <f>IF(BPD[[#This Row],[Device type]]="-",BPD[[#This Row],[Equipment Type]]&amp;" - "&amp;BPD[[#This Row],[Equipment ID]],BPD[[#This Row],[Equipment Type]]&amp;" - "&amp;BPD[[#This Row],[Equipment ID]]&amp;" - "&amp;BPD[[#This Row],[Device type]])</f>
        <v>OH Line - JAGUAR</v>
      </c>
      <c r="BL35" s="9">
        <f>BPD[[#This Row],[Voltage]]</f>
        <v>11.22</v>
      </c>
    </row>
    <row r="36" spans="1:64" s="337" customFormat="1" x14ac:dyDescent="0.25">
      <c r="A36" s="6" t="str">
        <f>CONCATENATE(BPD[[#This Row],[Supply Level]],BPD[[#This Row],[Station/Feeder]],BPD[[#This Row],[Voltage]],"T2")</f>
        <v>DistributionFeederCB11_Waihao Downs11.22T2</v>
      </c>
      <c r="B36" s="6" t="str">
        <f>CONCATENATE(BPD[[#This Row],[Supply Level]],BPD[[#This Row],[Station/Feeder]],BPD[[#This Row],[Equipment ID]],BPD[[#This Row],[Voltage]],BPD[[#This Row],[Device type]])</f>
        <v>DistributionFeederCB11_Waihao DownsW61411.22-</v>
      </c>
      <c r="C36" s="6" t="s">
        <v>1276</v>
      </c>
      <c r="D36" s="6" t="s">
        <v>224</v>
      </c>
      <c r="E36" s="6" t="s">
        <v>1374</v>
      </c>
      <c r="F36" s="6" t="s">
        <v>2845</v>
      </c>
      <c r="G36" s="8">
        <v>7</v>
      </c>
      <c r="H36" s="7" t="s">
        <v>273</v>
      </c>
      <c r="I36" s="6" t="s">
        <v>2844</v>
      </c>
      <c r="J36" s="7" t="s">
        <v>249</v>
      </c>
      <c r="K36" s="7" t="s">
        <v>0</v>
      </c>
      <c r="L36" s="7" t="s">
        <v>0</v>
      </c>
      <c r="M36" s="43">
        <v>11.22</v>
      </c>
      <c r="N36" s="9">
        <v>300</v>
      </c>
      <c r="O36" s="9">
        <f>IF(OR(N36="",N36="-"),"-",N36*$M36*SQRT(3)/1000)</f>
        <v>5.8300830182768406</v>
      </c>
      <c r="P36" s="9"/>
      <c r="Q36" s="9" t="str">
        <f>IF(OR(P36="",P36="-"),"-",P36*$M36*SQRT(3)/1000)</f>
        <v>-</v>
      </c>
      <c r="R36" s="9"/>
      <c r="S36" s="9" t="str">
        <f>IF(OR(R36="",R36="-"),"-",R36*$M36*SQRT(3)/1000)</f>
        <v>-</v>
      </c>
      <c r="T36" s="9"/>
      <c r="U36" s="9" t="str">
        <f>IF(OR(T36="",T36="-"),"-",T36*$M36*SQRT(3)/1000)</f>
        <v>-</v>
      </c>
      <c r="V36" s="9"/>
      <c r="W36" s="9" t="str">
        <f>IF(OR(V36="",V36="-"),"-",V36*$M36*SQRT(3)/1000)</f>
        <v>-</v>
      </c>
      <c r="X36" s="9"/>
      <c r="Y36" s="9" t="str">
        <f>IF(OR(X36="",X36="-"),"-",X36*$M36*SQRT(3)/1000)</f>
        <v>-</v>
      </c>
      <c r="Z36" s="9"/>
      <c r="AA36" s="9" t="str">
        <f>IF(OR(Z36="",Z36="-"),"-",Z36*$M36*SQRT(3)/1000)</f>
        <v>-</v>
      </c>
      <c r="AB36" s="9"/>
      <c r="AC36" s="9" t="str">
        <f>IF(OR(AB36="",AB36="-"),"-",AB36*$M36*SQRT(3)/1000)</f>
        <v>-</v>
      </c>
      <c r="AD36" s="9"/>
      <c r="AE36" s="9" t="str">
        <f>IF(OR(AD36="",AD36="-"),"-",AD36*$M36*SQRT(3)/1000)</f>
        <v>-</v>
      </c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36" s="9" t="str">
        <f>IF(OR(AR36="",AR36="-"),"-",AR36*$M36*SQRT(3)/1000)</f>
        <v>-</v>
      </c>
      <c r="AT36" s="9">
        <f>IF(RIGHT(BPD[[#This Row],[Device type]],7)="Winding","-",BPD[[#This Row],[Cont Winter MVA]])</f>
        <v>5.8300830182768406</v>
      </c>
      <c r="AU36" s="9" t="str">
        <f>IF(RIGHT(BPD[[#This Row],[Device type]],7)="Winding","-",BPD[[#This Row],[Cont Shoulder MVA]])</f>
        <v>-</v>
      </c>
      <c r="AV36" s="9" t="str">
        <f>IF(RIGHT(BPD[[#This Row],[Device type]],7)="Winding","-",BPD[[#This Row],[Cont Summer MVA]])</f>
        <v>-</v>
      </c>
      <c r="AW36" s="9" t="str">
        <f>BPD[[#This Row],[24 Hr Winter MVA]]</f>
        <v>-</v>
      </c>
      <c r="AX36" s="9" t="str">
        <f>BPD[[#This Row],[24 Hr Summer MVA]]</f>
        <v>-</v>
      </c>
      <c r="AY36" s="9" t="str">
        <f>BPD[[#This Row],[Forwards MVA]]</f>
        <v>-</v>
      </c>
      <c r="AZ36" s="9" t="str">
        <f>BPD[[#This Row],[Relay MVA]]</f>
        <v>-</v>
      </c>
      <c r="BA36" s="9" t="str">
        <f>BPD[[#This Row],[CT MVA]]</f>
        <v>-</v>
      </c>
      <c r="BB36" s="9" t="str">
        <f>BPD[[#This Row],[Derating MVA]]</f>
        <v>-</v>
      </c>
      <c r="BC36" s="9" t="str">
        <f>BPD[[#This Row],[Station/Feeder]]&amp;BPD[[#This Row],[Lowest MVA]]</f>
        <v>CB11_Waihao Downs5.83008301827684</v>
      </c>
      <c r="BD36" s="9" t="str">
        <f>CONCATENATE(TMK[[#This Row],[Supply Level]],TMK[[#This Row],[Station/Feeder]],TMK[[#This Row],[Voltage]],TMK[[#This Row],[Lowest A-No PTX]])</f>
        <v>SubTransmissionCB1282_Clandeboye No.433.594600</v>
      </c>
      <c r="BE36" s="9" t="str">
        <f>CONCATENATE(TMK[[#This Row],[Supply Level]],TMK[[#This Row],[Station/Feeder]],TMK[[#This Row],[Voltage]],TMK[[#This Row],[Lowest A-PTX]])</f>
        <v>SubTransmissionCB1282_Clandeboye No.433.594600</v>
      </c>
      <c r="BF36" s="9">
        <f>IF(MIN(BPD[[#This Row],[Summ Cont Winter A]:[Cable Derating]])=0,"",MIN(BPD[[#This Row],[Summ Cont Winter A]:[Cable Derating]]))</f>
        <v>5.8300830182768406</v>
      </c>
      <c r="BG36" s="9">
        <f>IFERROR(BPD[[#This Row],[Lowest MVA]]*1000/(BPD[[#This Row],[Voltage]]*SQRT(3)),"")</f>
        <v>300</v>
      </c>
      <c r="BH36" s="9">
        <f>IF(MIN(N36,P36,R36,T36,V36,X36,Z36,AB36,AD36,AR36)=0,"",MIN(N36,P36,R36,T36,V36,X36,Z36,AB36,AD36,AR36))</f>
        <v>300</v>
      </c>
      <c r="BI36" s="9" t="str">
        <f>BPD[[#This Row],[From]]</f>
        <v>JAGUAR OH Line</v>
      </c>
      <c r="BJ36" s="9" t="str">
        <f>BPD[[#This Row],[To]]</f>
        <v>Cable 95 mm2</v>
      </c>
      <c r="BK36" s="9" t="str">
        <f>IF(BPD[[#This Row],[Device type]]="-",BPD[[#This Row],[Equipment Type]]&amp;" - "&amp;BPD[[#This Row],[Equipment ID]],BPD[[#This Row],[Equipment Type]]&amp;" - "&amp;BPD[[#This Row],[Equipment ID]]&amp;" - "&amp;BPD[[#This Row],[Device type]])</f>
        <v>Link - W614</v>
      </c>
      <c r="BL36" s="9">
        <f>BPD[[#This Row],[Voltage]]</f>
        <v>11.22</v>
      </c>
    </row>
    <row r="37" spans="1:64" s="337" customFormat="1" x14ac:dyDescent="0.25">
      <c r="A37" s="6" t="str">
        <f>CONCATENATE(BPD[[#This Row],[Supply Level]],BPD[[#This Row],[Station/Feeder]],BPD[[#This Row],[Voltage]],"T2")</f>
        <v>DistributionFeederCB11_Waihao Downs11.22T2</v>
      </c>
      <c r="B37" s="6" t="str">
        <f>CONCATENATE(BPD[[#This Row],[Supply Level]],BPD[[#This Row],[Station/Feeder]],BPD[[#This Row],[Equipment ID]],BPD[[#This Row],[Voltage]],BPD[[#This Row],[Device type]])</f>
        <v>DistributionFeederCB11_Waihao Downs3c 95mm2 Al XLPE CWS HDPE11.22-</v>
      </c>
      <c r="C37" s="6" t="s">
        <v>1276</v>
      </c>
      <c r="D37" s="6" t="s">
        <v>224</v>
      </c>
      <c r="E37" s="6" t="s">
        <v>1303</v>
      </c>
      <c r="F37" s="6" t="s">
        <v>1304</v>
      </c>
      <c r="G37" s="8">
        <v>8</v>
      </c>
      <c r="H37" s="7" t="s">
        <v>0</v>
      </c>
      <c r="I37" s="287" t="s">
        <v>2497</v>
      </c>
      <c r="J37" s="7" t="s">
        <v>250</v>
      </c>
      <c r="K37" s="7" t="s">
        <v>0</v>
      </c>
      <c r="L37" s="7" t="s">
        <v>0</v>
      </c>
      <c r="M37" s="43">
        <v>11.22</v>
      </c>
      <c r="N37" s="9">
        <v>255</v>
      </c>
      <c r="O37" s="9">
        <f>IF(OR(N37="",N37="-"),"-",N37*$M37*SQRT(3)/1000)</f>
        <v>4.9555705655353153</v>
      </c>
      <c r="P37" s="9">
        <v>255</v>
      </c>
      <c r="Q37" s="9">
        <f>IF(OR(P37="",P37="-"),"-",P37*$M37*SQRT(3)/1000)</f>
        <v>4.9555705655353153</v>
      </c>
      <c r="R37" s="9">
        <v>255</v>
      </c>
      <c r="S37" s="9">
        <f>IF(OR(R37="",R37="-"),"-",R37*$M37*SQRT(3)/1000)</f>
        <v>4.9555705655353153</v>
      </c>
      <c r="T37" s="9" t="s">
        <v>0</v>
      </c>
      <c r="U37" s="9" t="str">
        <f>IF(OR(T37="",T37="-"),"-",T37*$M37*SQRT(3)/1000)</f>
        <v>-</v>
      </c>
      <c r="V37" s="9" t="s">
        <v>0</v>
      </c>
      <c r="W37" s="9" t="str">
        <f>IF(OR(V37="",V37="-"),"-",V37*$M37*SQRT(3)/1000)</f>
        <v>-</v>
      </c>
      <c r="X37" s="9" t="s">
        <v>0</v>
      </c>
      <c r="Y37" s="9" t="str">
        <f>IF(OR(X37="",X37="-"),"-",X37*$M37*SQRT(3)/1000)</f>
        <v>-</v>
      </c>
      <c r="Z37" s="9">
        <v>255</v>
      </c>
      <c r="AA37" s="9">
        <f>IF(OR(Z37="",Z37="-"),"-",Z37*$M37*SQRT(3)/1000)</f>
        <v>4.9555705655353153</v>
      </c>
      <c r="AB37" s="9" t="s">
        <v>0</v>
      </c>
      <c r="AC37" s="9" t="str">
        <f>IF(OR(AB37="",AB37="-"),"-",AB37*$M37*SQRT(3)/1000)</f>
        <v>-</v>
      </c>
      <c r="AD37" s="9" t="s">
        <v>0</v>
      </c>
      <c r="AE37" s="9" t="str">
        <f>IF(OR(AD37="",AD37="-"),"-",AD37*$M37*SQRT(3)/1000)</f>
        <v>-</v>
      </c>
      <c r="AF37" s="9" t="s">
        <v>0</v>
      </c>
      <c r="AG37" s="9" t="s">
        <v>0</v>
      </c>
      <c r="AH37" s="9" t="s">
        <v>0</v>
      </c>
      <c r="AI37" s="9">
        <v>1</v>
      </c>
      <c r="AJ37" s="9">
        <v>0.94</v>
      </c>
      <c r="AK37" s="9">
        <v>15</v>
      </c>
      <c r="AL37" s="9">
        <v>1</v>
      </c>
      <c r="AM37" s="9">
        <v>1.2</v>
      </c>
      <c r="AN37" s="9">
        <v>1</v>
      </c>
      <c r="AO37" s="9">
        <v>1</v>
      </c>
      <c r="AP37" s="9">
        <v>1</v>
      </c>
      <c r="AQ37" s="9">
        <v>1</v>
      </c>
      <c r="AR37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239.7</v>
      </c>
      <c r="AS37" s="9">
        <f>IF(OR(AR37="",AR37="-"),"-",AR37*$M37*SQRT(3)/1000)</f>
        <v>4.6582363316031961</v>
      </c>
      <c r="AT37" s="9">
        <f>IF(RIGHT(BPD[[#This Row],[Device type]],7)="Winding","-",BPD[[#This Row],[Cont Winter MVA]])</f>
        <v>4.9555705655353153</v>
      </c>
      <c r="AU37" s="9">
        <f>IF(RIGHT(BPD[[#This Row],[Device type]],7)="Winding","-",BPD[[#This Row],[Cont Shoulder MVA]])</f>
        <v>4.9555705655353153</v>
      </c>
      <c r="AV37" s="9">
        <f>IF(RIGHT(BPD[[#This Row],[Device type]],7)="Winding","-",BPD[[#This Row],[Cont Summer MVA]])</f>
        <v>4.9555705655353153</v>
      </c>
      <c r="AW37" s="9" t="str">
        <f>BPD[[#This Row],[24 Hr Winter MVA]]</f>
        <v>-</v>
      </c>
      <c r="AX37" s="9" t="str">
        <f>BPD[[#This Row],[24 Hr Summer MVA]]</f>
        <v>-</v>
      </c>
      <c r="AY37" s="9" t="str">
        <f>BPD[[#This Row],[Forwards MVA]]</f>
        <v>-</v>
      </c>
      <c r="AZ37" s="9" t="str">
        <f>BPD[[#This Row],[Relay MVA]]</f>
        <v>-</v>
      </c>
      <c r="BA37" s="9" t="str">
        <f>BPD[[#This Row],[CT MVA]]</f>
        <v>-</v>
      </c>
      <c r="BB37" s="9">
        <f>BPD[[#This Row],[Derating MVA]]</f>
        <v>4.6582363316031961</v>
      </c>
      <c r="BC37" s="9" t="str">
        <f>BPD[[#This Row],[Station/Feeder]]&amp;BPD[[#This Row],[Lowest MVA]]</f>
        <v>CB11_Waihao Downs4.6582363316032</v>
      </c>
      <c r="BD37" s="9" t="str">
        <f>CONCATENATE(BPD[[#This Row],[Supply Level]],BPD[[#This Row],[Station/Feeder]],BPD[[#This Row],[Voltage]],BPD[[#This Row],[Lowest A-No PTX]])</f>
        <v>DistributionFeederCB11_Waihao Downs11.22239.7</v>
      </c>
      <c r="BE37" s="9" t="str">
        <f>CONCATENATE(BPD[[#This Row],[Supply Level]],BPD[[#This Row],[Station/Feeder]],BPD[[#This Row],[Voltage]],BPD[[#This Row],[Lowest A-PTX]])</f>
        <v>DistributionFeederCB11_Waihao Downs11.22239.7</v>
      </c>
      <c r="BF37" s="9">
        <f>IF(MIN(BPD[[#This Row],[Summ Cont Winter A]:[Cable Derating]])=0,"",MIN(BPD[[#This Row],[Summ Cont Winter A]:[Cable Derating]]))</f>
        <v>4.6582363316031961</v>
      </c>
      <c r="BG37" s="9">
        <f>IFERROR(BPD[[#This Row],[Lowest MVA]]*1000/(BPD[[#This Row],[Voltage]]*SQRT(3)),"")</f>
        <v>239.70000000000002</v>
      </c>
      <c r="BH37" s="9">
        <f t="shared" si="10"/>
        <v>239.7</v>
      </c>
      <c r="BI37" s="9" t="str">
        <f>BPD[[#This Row],[From]]</f>
        <v>W614 LK</v>
      </c>
      <c r="BJ37" s="9" t="str">
        <f>BPD[[#This Row],[To]]</f>
        <v>W624 RMU</v>
      </c>
      <c r="BK37" s="9" t="str">
        <f>IF(BPD[[#This Row],[Device type]]="-",BPD[[#This Row],[Equipment Type]]&amp;" - "&amp;BPD[[#This Row],[Equipment ID]],BPD[[#This Row],[Equipment Type]]&amp;" - "&amp;BPD[[#This Row],[Equipment ID]]&amp;" - "&amp;BPD[[#This Row],[Device type]])</f>
        <v>Cable - 3c 95mm2 Al XLPE CWS HDPE</v>
      </c>
      <c r="BL37" s="9">
        <f>BPD[[#This Row],[Voltage]]</f>
        <v>11.22</v>
      </c>
    </row>
    <row r="38" spans="1:64" s="337" customFormat="1" x14ac:dyDescent="0.25">
      <c r="A38" s="6" t="str">
        <f>CONCATENATE(BPD[[#This Row],[Supply Level]],BPD[[#This Row],[Station/Feeder]],BPD[[#This Row],[Voltage]],"T2")</f>
        <v>DistributionFeederCB12_Ikawai11.22T2</v>
      </c>
      <c r="B38" s="6" t="str">
        <f>CONCATENATE(BPD[[#This Row],[Supply Level]],BPD[[#This Row],[Station/Feeder]],BPD[[#This Row],[Equipment ID]],BPD[[#This Row],[Voltage]],BPD[[#This Row],[Device type]])</f>
        <v>DistributionFeederCB12_IkawaiBPD-T2-CB1211.22Protection</v>
      </c>
      <c r="C38" s="6" t="s">
        <v>1276</v>
      </c>
      <c r="D38" s="11" t="s">
        <v>91</v>
      </c>
      <c r="E38" s="6" t="s">
        <v>243</v>
      </c>
      <c r="F38" s="6" t="s">
        <v>717</v>
      </c>
      <c r="G38" s="27">
        <v>1</v>
      </c>
      <c r="H38" s="7" t="s">
        <v>2347</v>
      </c>
      <c r="I38" s="6" t="s">
        <v>2487</v>
      </c>
      <c r="J38" s="7" t="s">
        <v>15</v>
      </c>
      <c r="K38" s="7" t="s">
        <v>790</v>
      </c>
      <c r="L38" s="7" t="s">
        <v>1423</v>
      </c>
      <c r="M38" s="43">
        <f t="shared" si="21"/>
        <v>11.22</v>
      </c>
      <c r="N38" s="9">
        <v>630</v>
      </c>
      <c r="O38" s="9">
        <f t="shared" si="0"/>
        <v>12.243174338381367</v>
      </c>
      <c r="P38" s="9">
        <v>630</v>
      </c>
      <c r="Q38" s="9">
        <f t="shared" si="1"/>
        <v>12.243174338381367</v>
      </c>
      <c r="R38" s="9">
        <v>630</v>
      </c>
      <c r="S38" s="9">
        <f t="shared" si="2"/>
        <v>12.243174338381367</v>
      </c>
      <c r="T38" s="9" t="s">
        <v>0</v>
      </c>
      <c r="U38" s="9" t="str">
        <f t="shared" si="3"/>
        <v>-</v>
      </c>
      <c r="V38" s="9" t="s">
        <v>0</v>
      </c>
      <c r="W38" s="9" t="str">
        <f t="shared" si="4"/>
        <v>-</v>
      </c>
      <c r="X38" s="9">
        <f>VLOOKUP(BPD[[#This Row],[Equipment ID]],AEL_Protection_Data[#All],12,0)</f>
        <v>400</v>
      </c>
      <c r="Y38" s="9">
        <f t="shared" si="5"/>
        <v>7.7734440243691205</v>
      </c>
      <c r="Z38" s="9" t="s">
        <v>0</v>
      </c>
      <c r="AA38" s="9" t="str">
        <f t="shared" si="45"/>
        <v>-</v>
      </c>
      <c r="AB38" s="9" t="s">
        <v>0</v>
      </c>
      <c r="AC38" s="9" t="str">
        <f t="shared" si="46"/>
        <v>-</v>
      </c>
      <c r="AD38" s="9">
        <v>400</v>
      </c>
      <c r="AE38" s="9">
        <f t="shared" si="47"/>
        <v>7.7734440243691205</v>
      </c>
      <c r="AF38" s="9" t="s">
        <v>0</v>
      </c>
      <c r="AG38" s="9" t="s">
        <v>0</v>
      </c>
      <c r="AH38" s="9" t="s">
        <v>0</v>
      </c>
      <c r="AI38" s="9" t="s">
        <v>0</v>
      </c>
      <c r="AJ38" s="9" t="s">
        <v>0</v>
      </c>
      <c r="AK38" s="9" t="s">
        <v>0</v>
      </c>
      <c r="AL38" s="9" t="s">
        <v>0</v>
      </c>
      <c r="AM38" s="9" t="s">
        <v>0</v>
      </c>
      <c r="AN38" s="9" t="s">
        <v>0</v>
      </c>
      <c r="AO38" s="9" t="s">
        <v>0</v>
      </c>
      <c r="AP38" s="9" t="s">
        <v>0</v>
      </c>
      <c r="AQ38" s="9" t="s">
        <v>0</v>
      </c>
      <c r="AR38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38" s="9" t="str">
        <f t="shared" si="9"/>
        <v>-</v>
      </c>
      <c r="AT38" s="9">
        <f>IF(RIGHT(BPD[[#This Row],[Device type]],7)="Winding","-",BPD[[#This Row],[Cont Winter MVA]])</f>
        <v>12.243174338381367</v>
      </c>
      <c r="AU38" s="9">
        <f>IF(RIGHT(BPD[[#This Row],[Device type]],7)="Winding","-",BPD[[#This Row],[Cont Shoulder MVA]])</f>
        <v>12.243174338381367</v>
      </c>
      <c r="AV38" s="9">
        <f>IF(RIGHT(BPD[[#This Row],[Device type]],7)="Winding","-",BPD[[#This Row],[Cont Summer MVA]])</f>
        <v>12.243174338381367</v>
      </c>
      <c r="AW38" s="9" t="str">
        <f>BPD[[#This Row],[24 Hr Winter MVA]]</f>
        <v>-</v>
      </c>
      <c r="AX38" s="9" t="str">
        <f>BPD[[#This Row],[24 Hr Summer MVA]]</f>
        <v>-</v>
      </c>
      <c r="AY38" s="9">
        <f>BPD[[#This Row],[Forwards MVA]]</f>
        <v>7.7734440243691205</v>
      </c>
      <c r="AZ38" s="9" t="str">
        <f>BPD[[#This Row],[Relay MVA]]</f>
        <v>-</v>
      </c>
      <c r="BA38" s="9">
        <f>BPD[[#This Row],[CT MVA]]</f>
        <v>7.7734440243691205</v>
      </c>
      <c r="BB38" s="9" t="str">
        <f>BPD[[#This Row],[Derating MVA]]</f>
        <v>-</v>
      </c>
      <c r="BC38" s="9" t="str">
        <f>BPD[[#This Row],[Station/Feeder]]&amp;BPD[[#This Row],[Lowest MVA]]</f>
        <v>CB12_Ikawai7.77344402436912</v>
      </c>
      <c r="BD38" s="9" t="str">
        <f>CONCATENATE(BPD[[#This Row],[Supply Level]],BPD[[#This Row],[Station/Feeder]],BPD[[#This Row],[Voltage]],BPD[[#This Row],[Lowest A-No PTX]])</f>
        <v>DistributionFeederCB12_Ikawai11.22400</v>
      </c>
      <c r="BE38" s="9" t="str">
        <f>CONCATENATE(BPD[[#This Row],[Supply Level]],BPD[[#This Row],[Station/Feeder]],BPD[[#This Row],[Voltage]],BPD[[#This Row],[Lowest A-PTX]])</f>
        <v>DistributionFeederCB12_Ikawai11.22400</v>
      </c>
      <c r="BF38" s="9">
        <f>IF(MIN(BPD[[#This Row],[Summ Cont Winter A]:[Cable Derating]])=0,"",MIN(BPD[[#This Row],[Summ Cont Winter A]:[Cable Derating]]))</f>
        <v>7.7734440243691205</v>
      </c>
      <c r="BG38" s="9">
        <f>IFERROR(BPD[[#This Row],[Lowest MVA]]*1000/(BPD[[#This Row],[Voltage]]*SQRT(3)),"")</f>
        <v>400</v>
      </c>
      <c r="BH38" s="9">
        <f t="shared" ref="BH38:BH67" si="48">IF(MIN(N38,P38,R38,T38,V38,X38,Z38,AB38,AD38,AR38)=0,"",MIN(N38,P38,R38,T38,V38,X38,Z38,AB38,AD38,AR38))</f>
        <v>400</v>
      </c>
      <c r="BI38" s="9" t="str">
        <f>BPD[[#This Row],[From]]</f>
        <v>11 kV Bus</v>
      </c>
      <c r="BJ38" s="9" t="str">
        <f>BPD[[#This Row],[To]]</f>
        <v>BPD12 CB</v>
      </c>
      <c r="BK38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Breaker-BPD-T2-CB12-Protection</v>
      </c>
      <c r="BL38" s="9">
        <f>BPD[[#This Row],[Voltage]]</f>
        <v>11.22</v>
      </c>
    </row>
    <row r="39" spans="1:64" s="337" customFormat="1" x14ac:dyDescent="0.25">
      <c r="A39" s="6" t="str">
        <f>CONCATENATE(BPD[[#This Row],[Supply Level]],BPD[[#This Row],[Station/Feeder]],BPD[[#This Row],[Voltage]],"T2")</f>
        <v>DistributionFeederCB12_Ikawai11.22T2</v>
      </c>
      <c r="B39" s="6" t="str">
        <f>CONCATENATE(BPD[[#This Row],[Supply Level]],BPD[[#This Row],[Station/Feeder]],BPD[[#This Row],[Equipment ID]],BPD[[#This Row],[Voltage]],BPD[[#This Row],[Device type]])</f>
        <v>DistributionFeederCB12_Ikawai3c 300mm² AL XLPE MDPE11.22-</v>
      </c>
      <c r="C39" s="6" t="s">
        <v>1276</v>
      </c>
      <c r="D39" s="11" t="s">
        <v>91</v>
      </c>
      <c r="E39" s="6" t="s">
        <v>717</v>
      </c>
      <c r="F39" s="6" t="s">
        <v>711</v>
      </c>
      <c r="G39" s="27">
        <v>3</v>
      </c>
      <c r="H39" s="39" t="s">
        <v>712</v>
      </c>
      <c r="I39" s="6" t="s">
        <v>718</v>
      </c>
      <c r="J39" s="7" t="s">
        <v>250</v>
      </c>
      <c r="K39" s="7" t="s">
        <v>0</v>
      </c>
      <c r="L39" s="7" t="s">
        <v>0</v>
      </c>
      <c r="M39" s="43">
        <f t="shared" si="21"/>
        <v>11.22</v>
      </c>
      <c r="N39" s="9">
        <v>476</v>
      </c>
      <c r="O39" s="9">
        <f t="shared" si="0"/>
        <v>9.2503983889992547</v>
      </c>
      <c r="P39" s="9">
        <v>476</v>
      </c>
      <c r="Q39" s="9">
        <f t="shared" si="1"/>
        <v>9.2503983889992547</v>
      </c>
      <c r="R39" s="9">
        <v>476</v>
      </c>
      <c r="S39" s="9">
        <f t="shared" si="2"/>
        <v>9.2503983889992547</v>
      </c>
      <c r="T39" s="9" t="s">
        <v>0</v>
      </c>
      <c r="U39" s="9" t="str">
        <f t="shared" si="3"/>
        <v>-</v>
      </c>
      <c r="V39" s="9" t="s">
        <v>0</v>
      </c>
      <c r="W39" s="9" t="str">
        <f t="shared" si="4"/>
        <v>-</v>
      </c>
      <c r="X39" s="9" t="s">
        <v>0</v>
      </c>
      <c r="Y39" s="9" t="str">
        <f t="shared" si="5"/>
        <v>-</v>
      </c>
      <c r="Z39" s="9" t="s">
        <v>0</v>
      </c>
      <c r="AA39" s="9" t="str">
        <f t="shared" si="45"/>
        <v>-</v>
      </c>
      <c r="AB39" s="9" t="s">
        <v>0</v>
      </c>
      <c r="AC39" s="9" t="str">
        <f t="shared" si="46"/>
        <v>-</v>
      </c>
      <c r="AD39" s="9" t="s">
        <v>0</v>
      </c>
      <c r="AE39" s="9" t="str">
        <f t="shared" si="47"/>
        <v>-</v>
      </c>
      <c r="AF39" s="9" t="s">
        <v>716</v>
      </c>
      <c r="AG39" s="9" t="s">
        <v>265</v>
      </c>
      <c r="AH39" s="9">
        <v>705.5</v>
      </c>
      <c r="AI39" s="9">
        <v>1.5</v>
      </c>
      <c r="AJ39" s="9">
        <v>0.95</v>
      </c>
      <c r="AK39" s="9">
        <v>15</v>
      </c>
      <c r="AL39" s="9">
        <v>1</v>
      </c>
      <c r="AM39" s="9">
        <v>1.2</v>
      </c>
      <c r="AN39" s="9">
        <v>1</v>
      </c>
      <c r="AO39" s="9">
        <v>5</v>
      </c>
      <c r="AP39" s="9">
        <v>0.4</v>
      </c>
      <c r="AQ39" s="9">
        <v>0.75</v>
      </c>
      <c r="AR39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339.15</v>
      </c>
      <c r="AS39" s="9">
        <f t="shared" si="9"/>
        <v>6.5909088521619674</v>
      </c>
      <c r="AT39" s="9">
        <f>IF(RIGHT(BPD[[#This Row],[Device type]],7)="Winding","-",BPD[[#This Row],[Cont Winter MVA]])</f>
        <v>9.2503983889992547</v>
      </c>
      <c r="AU39" s="9">
        <f>IF(RIGHT(BPD[[#This Row],[Device type]],7)="Winding","-",BPD[[#This Row],[Cont Shoulder MVA]])</f>
        <v>9.2503983889992547</v>
      </c>
      <c r="AV39" s="9">
        <f>IF(RIGHT(BPD[[#This Row],[Device type]],7)="Winding","-",BPD[[#This Row],[Cont Summer MVA]])</f>
        <v>9.2503983889992547</v>
      </c>
      <c r="AW39" s="9" t="str">
        <f>BPD[[#This Row],[24 Hr Winter MVA]]</f>
        <v>-</v>
      </c>
      <c r="AX39" s="9" t="str">
        <f>BPD[[#This Row],[24 Hr Summer MVA]]</f>
        <v>-</v>
      </c>
      <c r="AY39" s="9" t="str">
        <f>BPD[[#This Row],[Forwards MVA]]</f>
        <v>-</v>
      </c>
      <c r="AZ39" s="9" t="str">
        <f>BPD[[#This Row],[Relay MVA]]</f>
        <v>-</v>
      </c>
      <c r="BA39" s="9" t="str">
        <f>BPD[[#This Row],[CT MVA]]</f>
        <v>-</v>
      </c>
      <c r="BB39" s="9">
        <f>BPD[[#This Row],[Derating MVA]]</f>
        <v>6.5909088521619674</v>
      </c>
      <c r="BC39" s="9" t="str">
        <f>BPD[[#This Row],[Station/Feeder]]&amp;BPD[[#This Row],[Lowest MVA]]</f>
        <v>CB12_Ikawai6.59090885216197</v>
      </c>
      <c r="BD39" s="9" t="str">
        <f>CONCATENATE(BPD[[#This Row],[Supply Level]],BPD[[#This Row],[Station/Feeder]],BPD[[#This Row],[Voltage]],BPD[[#This Row],[Lowest A-No PTX]])</f>
        <v>DistributionFeederCB12_Ikawai11.22339.15</v>
      </c>
      <c r="BE39" s="9" t="str">
        <f>CONCATENATE(BPD[[#This Row],[Supply Level]],BPD[[#This Row],[Station/Feeder]],BPD[[#This Row],[Voltage]],BPD[[#This Row],[Lowest A-PTX]])</f>
        <v>DistributionFeederCB12_Ikawai11.22339.15</v>
      </c>
      <c r="BF39" s="9">
        <f>IF(MIN(BPD[[#This Row],[Summ Cont Winter A]:[Cable Derating]])=0,"",MIN(BPD[[#This Row],[Summ Cont Winter A]:[Cable Derating]]))</f>
        <v>6.5909088521619674</v>
      </c>
      <c r="BG39" s="9">
        <f>IFERROR(BPD[[#This Row],[Lowest MVA]]*1000/(BPD[[#This Row],[Voltage]]*SQRT(3)),"")</f>
        <v>339.15</v>
      </c>
      <c r="BH39" s="9">
        <f t="shared" si="48"/>
        <v>339.15</v>
      </c>
      <c r="BI39" s="9" t="str">
        <f>BPD[[#This Row],[From]]</f>
        <v>BPD12 CB</v>
      </c>
      <c r="BJ39" s="9" t="str">
        <f>BPD[[#This Row],[To]]</f>
        <v>Cable Joint</v>
      </c>
      <c r="BK39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Cable-3c 300mm² AL XLPE MDPE</v>
      </c>
      <c r="BL39" s="9">
        <f>BPD[[#This Row],[Voltage]]</f>
        <v>11.22</v>
      </c>
    </row>
    <row r="40" spans="1:64" s="337" customFormat="1" x14ac:dyDescent="0.25">
      <c r="A40" s="6" t="str">
        <f>CONCATENATE(BPD[[#This Row],[Supply Level]],BPD[[#This Row],[Station/Feeder]],BPD[[#This Row],[Voltage]],"T2")</f>
        <v>DistributionFeederCB12_Ikawai11.22T2</v>
      </c>
      <c r="B40" s="6" t="str">
        <f>CONCATENATE(BPD[[#This Row],[Supply Level]],BPD[[#This Row],[Station/Feeder]],BPD[[#This Row],[Equipment ID]],BPD[[#This Row],[Voltage]],BPD[[#This Row],[Device type]])</f>
        <v>DistributionFeederCB12_Ikawai3c 300mm² AL XLPE MDPE11.22-</v>
      </c>
      <c r="C40" s="6" t="s">
        <v>1276</v>
      </c>
      <c r="D40" s="11" t="s">
        <v>91</v>
      </c>
      <c r="E40" s="6" t="s">
        <v>711</v>
      </c>
      <c r="F40" s="6" t="s">
        <v>719</v>
      </c>
      <c r="G40" s="27">
        <v>4</v>
      </c>
      <c r="H40" s="39" t="s">
        <v>712</v>
      </c>
      <c r="I40" s="6" t="s">
        <v>718</v>
      </c>
      <c r="J40" s="7" t="s">
        <v>250</v>
      </c>
      <c r="K40" s="7" t="s">
        <v>0</v>
      </c>
      <c r="L40" s="7" t="s">
        <v>0</v>
      </c>
      <c r="M40" s="43">
        <f t="shared" si="21"/>
        <v>11.22</v>
      </c>
      <c r="N40" s="9">
        <v>476</v>
      </c>
      <c r="O40" s="9">
        <f t="shared" si="0"/>
        <v>9.2503983889992547</v>
      </c>
      <c r="P40" s="9">
        <v>476</v>
      </c>
      <c r="Q40" s="9">
        <f t="shared" si="1"/>
        <v>9.2503983889992547</v>
      </c>
      <c r="R40" s="9">
        <v>476</v>
      </c>
      <c r="S40" s="9">
        <f t="shared" si="2"/>
        <v>9.2503983889992547</v>
      </c>
      <c r="T40" s="9" t="s">
        <v>0</v>
      </c>
      <c r="U40" s="9" t="str">
        <f t="shared" si="3"/>
        <v>-</v>
      </c>
      <c r="V40" s="9" t="s">
        <v>0</v>
      </c>
      <c r="W40" s="9" t="str">
        <f t="shared" si="4"/>
        <v>-</v>
      </c>
      <c r="X40" s="9" t="s">
        <v>0</v>
      </c>
      <c r="Y40" s="9" t="str">
        <f t="shared" si="5"/>
        <v>-</v>
      </c>
      <c r="Z40" s="9" t="s">
        <v>0</v>
      </c>
      <c r="AA40" s="9" t="str">
        <f t="shared" si="45"/>
        <v>-</v>
      </c>
      <c r="AB40" s="9" t="s">
        <v>0</v>
      </c>
      <c r="AC40" s="9" t="str">
        <f t="shared" si="46"/>
        <v>-</v>
      </c>
      <c r="AD40" s="9" t="s">
        <v>0</v>
      </c>
      <c r="AE40" s="9" t="str">
        <f t="shared" si="47"/>
        <v>-</v>
      </c>
      <c r="AF40" s="9" t="s">
        <v>716</v>
      </c>
      <c r="AG40" s="9" t="s">
        <v>265</v>
      </c>
      <c r="AH40" s="9">
        <v>1078.68</v>
      </c>
      <c r="AI40" s="9">
        <v>1.2</v>
      </c>
      <c r="AJ40" s="9">
        <v>0.96</v>
      </c>
      <c r="AK40" s="9">
        <v>15</v>
      </c>
      <c r="AL40" s="9">
        <v>1</v>
      </c>
      <c r="AM40" s="9">
        <v>1.2</v>
      </c>
      <c r="AN40" s="9">
        <v>1</v>
      </c>
      <c r="AO40" s="9">
        <v>3</v>
      </c>
      <c r="AP40" s="9">
        <v>0.6</v>
      </c>
      <c r="AQ40" s="9">
        <v>0.86</v>
      </c>
      <c r="AR40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392.98559999999998</v>
      </c>
      <c r="AS40" s="9">
        <f t="shared" si="9"/>
        <v>7.6371289099577835</v>
      </c>
      <c r="AT40" s="9">
        <f>IF(RIGHT(BPD[[#This Row],[Device type]],7)="Winding","-",BPD[[#This Row],[Cont Winter MVA]])</f>
        <v>9.2503983889992547</v>
      </c>
      <c r="AU40" s="9">
        <f>IF(RIGHT(BPD[[#This Row],[Device type]],7)="Winding","-",BPD[[#This Row],[Cont Shoulder MVA]])</f>
        <v>9.2503983889992547</v>
      </c>
      <c r="AV40" s="9">
        <f>IF(RIGHT(BPD[[#This Row],[Device type]],7)="Winding","-",BPD[[#This Row],[Cont Summer MVA]])</f>
        <v>9.2503983889992547</v>
      </c>
      <c r="AW40" s="9" t="str">
        <f>BPD[[#This Row],[24 Hr Winter MVA]]</f>
        <v>-</v>
      </c>
      <c r="AX40" s="9" t="str">
        <f>BPD[[#This Row],[24 Hr Summer MVA]]</f>
        <v>-</v>
      </c>
      <c r="AY40" s="9" t="str">
        <f>BPD[[#This Row],[Forwards MVA]]</f>
        <v>-</v>
      </c>
      <c r="AZ40" s="9" t="str">
        <f>BPD[[#This Row],[Relay MVA]]</f>
        <v>-</v>
      </c>
      <c r="BA40" s="9" t="str">
        <f>BPD[[#This Row],[CT MVA]]</f>
        <v>-</v>
      </c>
      <c r="BB40" s="9">
        <f>BPD[[#This Row],[Derating MVA]]</f>
        <v>7.6371289099577835</v>
      </c>
      <c r="BC40" s="9" t="str">
        <f>BPD[[#This Row],[Station/Feeder]]&amp;BPD[[#This Row],[Lowest MVA]]</f>
        <v>CB12_Ikawai7.63712890995778</v>
      </c>
      <c r="BD40" s="9" t="str">
        <f>CONCATENATE(BPD[[#This Row],[Supply Level]],BPD[[#This Row],[Station/Feeder]],BPD[[#This Row],[Voltage]],BPD[[#This Row],[Lowest A-No PTX]])</f>
        <v>DistributionFeederCB12_Ikawai11.22392.9856</v>
      </c>
      <c r="BE40" s="9" t="str">
        <f>CONCATENATE(BPD[[#This Row],[Supply Level]],BPD[[#This Row],[Station/Feeder]],BPD[[#This Row],[Voltage]],BPD[[#This Row],[Lowest A-PTX]])</f>
        <v>DistributionFeederCB12_Ikawai11.22392.9856</v>
      </c>
      <c r="BF40" s="9">
        <f>IF(MIN(BPD[[#This Row],[Summ Cont Winter A]:[Cable Derating]])=0,"",MIN(BPD[[#This Row],[Summ Cont Winter A]:[Cable Derating]]))</f>
        <v>7.6371289099577835</v>
      </c>
      <c r="BG40" s="9">
        <f>IFERROR(BPD[[#This Row],[Lowest MVA]]*1000/(BPD[[#This Row],[Voltage]]*SQRT(3)),"")</f>
        <v>392.98559999999998</v>
      </c>
      <c r="BH40" s="9">
        <f t="shared" si="48"/>
        <v>392.98559999999998</v>
      </c>
      <c r="BI40" s="9" t="str">
        <f>BPD[[#This Row],[From]]</f>
        <v>Cable Joint</v>
      </c>
      <c r="BJ40" s="9" t="str">
        <f>BPD[[#This Row],[To]]</f>
        <v>W451 ABS</v>
      </c>
      <c r="BK40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Cable-3c 300mm² AL XLPE MDPE</v>
      </c>
      <c r="BL40" s="9">
        <f>BPD[[#This Row],[Voltage]]</f>
        <v>11.22</v>
      </c>
    </row>
    <row r="41" spans="1:64" s="337" customFormat="1" x14ac:dyDescent="0.25">
      <c r="A41" s="6" t="str">
        <f>CONCATENATE(BPD[[#This Row],[Supply Level]],BPD[[#This Row],[Station/Feeder]],BPD[[#This Row],[Voltage]],"T2")</f>
        <v>DistributionFeederCB12_Ikawai11.22T2</v>
      </c>
      <c r="B41" s="6" t="str">
        <f>CONCATENATE(BPD[[#This Row],[Supply Level]],BPD[[#This Row],[Station/Feeder]],BPD[[#This Row],[Equipment ID]],BPD[[#This Row],[Voltage]],BPD[[#This Row],[Device type]])</f>
        <v>DistributionFeederCB12_IkawaiJAGUAR11.22-</v>
      </c>
      <c r="C41" s="6" t="s">
        <v>1276</v>
      </c>
      <c r="D41" s="11" t="s">
        <v>91</v>
      </c>
      <c r="E41" s="6" t="s">
        <v>719</v>
      </c>
      <c r="F41" s="6" t="str">
        <f>E42</f>
        <v xml:space="preserve">Cable 300 mm² </v>
      </c>
      <c r="G41" s="27">
        <v>5</v>
      </c>
      <c r="H41" s="7" t="s">
        <v>1289</v>
      </c>
      <c r="I41" s="6" t="s">
        <v>345</v>
      </c>
      <c r="J41" s="7" t="s">
        <v>69</v>
      </c>
      <c r="K41" s="7" t="s">
        <v>0</v>
      </c>
      <c r="L41" s="7" t="s">
        <v>0</v>
      </c>
      <c r="M41" s="43">
        <f t="shared" si="21"/>
        <v>11.22</v>
      </c>
      <c r="N41" s="9">
        <v>523.13480389780273</v>
      </c>
      <c r="O41" s="9">
        <f>IF(OR(N41="",N41="-"),"-",N41*$M41*SQRT(3)/1000)</f>
        <v>10.166397788247217</v>
      </c>
      <c r="P41" s="9" t="s">
        <v>0</v>
      </c>
      <c r="Q41" s="9" t="str">
        <f>IF(OR(P41="",P41="-"),"-",P41*$M41*SQRT(3)/1000)</f>
        <v>-</v>
      </c>
      <c r="R41" s="9">
        <v>386.92827157177999</v>
      </c>
      <c r="S41" s="9">
        <f>IF(OR(R41="",R41="-"),"-",R41*$M41*SQRT(3)/1000)</f>
        <v>7.5194131512728157</v>
      </c>
      <c r="T41" s="9" t="s">
        <v>0</v>
      </c>
      <c r="U41" s="9" t="str">
        <f>IF(OR(T41="",T41="-"),"-",T41*$M41*SQRT(3)/1000)</f>
        <v>-</v>
      </c>
      <c r="V41" s="9" t="s">
        <v>0</v>
      </c>
      <c r="W41" s="9" t="str">
        <f>IF(OR(V41="",V41="-"),"-",V41*$M41*SQRT(3)/1000)</f>
        <v>-</v>
      </c>
      <c r="X41" s="9" t="s">
        <v>0</v>
      </c>
      <c r="Y41" s="9" t="str">
        <f>IF(OR(X41="",X41="-"),"-",X41*$M41*SQRT(3)/1000)</f>
        <v>-</v>
      </c>
      <c r="Z41" s="9" t="s">
        <v>0</v>
      </c>
      <c r="AA41" s="9" t="str">
        <f>IF(OR(Z41="",Z41="-"),"-",Z41*$M41*SQRT(3)/1000)</f>
        <v>-</v>
      </c>
      <c r="AB41" s="9" t="s">
        <v>0</v>
      </c>
      <c r="AC41" s="9" t="str">
        <f>IF(OR(AB41="",AB41="-"),"-",AB41*$M41*SQRT(3)/1000)</f>
        <v>-</v>
      </c>
      <c r="AD41" s="9" t="s">
        <v>0</v>
      </c>
      <c r="AE41" s="9" t="str">
        <f>IF(OR(AD41="",AD41="-"),"-",AD41*$M41*SQRT(3)/1000)</f>
        <v>-</v>
      </c>
      <c r="AF41" s="9" t="s">
        <v>0</v>
      </c>
      <c r="AG41" s="9" t="s">
        <v>0</v>
      </c>
      <c r="AH41" s="9" t="s">
        <v>0</v>
      </c>
      <c r="AI41" s="9" t="s">
        <v>0</v>
      </c>
      <c r="AJ41" s="9" t="s">
        <v>0</v>
      </c>
      <c r="AK41" s="9" t="s">
        <v>0</v>
      </c>
      <c r="AL41" s="9" t="s">
        <v>0</v>
      </c>
      <c r="AM41" s="9" t="s">
        <v>0</v>
      </c>
      <c r="AN41" s="9" t="s">
        <v>0</v>
      </c>
      <c r="AO41" s="9" t="s">
        <v>0</v>
      </c>
      <c r="AP41" s="9" t="s">
        <v>0</v>
      </c>
      <c r="AQ41" s="9" t="s">
        <v>0</v>
      </c>
      <c r="AR41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41" s="9" t="str">
        <f>IF(OR(AR41="",AR41="-"),"-",AR41*$M41*SQRT(3)/1000)</f>
        <v>-</v>
      </c>
      <c r="AT41" s="9">
        <f>IF(RIGHT(BPD[[#This Row],[Device type]],7)="Winding","-",BPD[[#This Row],[Cont Winter MVA]])</f>
        <v>10.166397788247217</v>
      </c>
      <c r="AU41" s="9" t="str">
        <f>IF(RIGHT(BPD[[#This Row],[Device type]],7)="Winding","-",BPD[[#This Row],[Cont Shoulder MVA]])</f>
        <v>-</v>
      </c>
      <c r="AV41" s="9">
        <f>IF(RIGHT(BPD[[#This Row],[Device type]],7)="Winding","-",BPD[[#This Row],[Cont Summer MVA]])</f>
        <v>7.5194131512728157</v>
      </c>
      <c r="AW41" s="9" t="str">
        <f>BPD[[#This Row],[24 Hr Winter MVA]]</f>
        <v>-</v>
      </c>
      <c r="AX41" s="9" t="str">
        <f>BPD[[#This Row],[24 Hr Summer MVA]]</f>
        <v>-</v>
      </c>
      <c r="AY41" s="9" t="str">
        <f>BPD[[#This Row],[Forwards MVA]]</f>
        <v>-</v>
      </c>
      <c r="AZ41" s="9" t="str">
        <f>BPD[[#This Row],[Relay MVA]]</f>
        <v>-</v>
      </c>
      <c r="BA41" s="9" t="str">
        <f>BPD[[#This Row],[CT MVA]]</f>
        <v>-</v>
      </c>
      <c r="BB41" s="9" t="str">
        <f>BPD[[#This Row],[Derating MVA]]</f>
        <v>-</v>
      </c>
      <c r="BC41" s="9" t="str">
        <f>BPD[[#This Row],[Station/Feeder]]&amp;BPD[[#This Row],[Lowest MVA]]</f>
        <v>CB12_Ikawai7.51941315127282</v>
      </c>
      <c r="BD41" s="9" t="str">
        <f>CONCATENATE(BPD[[#This Row],[Supply Level]],BPD[[#This Row],[Station/Feeder]],BPD[[#This Row],[Voltage]],BPD[[#This Row],[Lowest A-No PTX]])</f>
        <v>DistributionFeederCB12_Ikawai11.22386.92827157178</v>
      </c>
      <c r="BE41" s="9" t="str">
        <f>CONCATENATE(BPD[[#This Row],[Supply Level]],BPD[[#This Row],[Station/Feeder]],BPD[[#This Row],[Voltage]],BPD[[#This Row],[Lowest A-PTX]])</f>
        <v>DistributionFeederCB12_Ikawai11.22386.92827157178</v>
      </c>
      <c r="BF41" s="9">
        <f>IF(MIN(BPD[[#This Row],[Summ Cont Winter A]:[Cable Derating]])=0,"",MIN(BPD[[#This Row],[Summ Cont Winter A]:[Cable Derating]]))</f>
        <v>7.5194131512728157</v>
      </c>
      <c r="BG41" s="9">
        <f>IFERROR(BPD[[#This Row],[Lowest MVA]]*1000/(BPD[[#This Row],[Voltage]]*SQRT(3)),"")</f>
        <v>386.92827157178004</v>
      </c>
      <c r="BH41" s="9">
        <f t="shared" si="48"/>
        <v>386.92827157177999</v>
      </c>
      <c r="BI41" s="9" t="str">
        <f>BPD[[#This Row],[From]]</f>
        <v>W451 ABS</v>
      </c>
      <c r="BJ41" s="9" t="str">
        <f>BPD[[#This Row],[To]]</f>
        <v xml:space="preserve">Cable 300 mm² </v>
      </c>
      <c r="BK41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OH Line-JAGUAR</v>
      </c>
      <c r="BL41" s="9">
        <f>BPD[[#This Row],[Voltage]]</f>
        <v>11.22</v>
      </c>
    </row>
    <row r="42" spans="1:64" s="337" customFormat="1" x14ac:dyDescent="0.25">
      <c r="A42" s="6" t="str">
        <f>CONCATENATE(BPD[[#This Row],[Supply Level]],BPD[[#This Row],[Station/Feeder]],BPD[[#This Row],[Voltage]],"T2")</f>
        <v>DistributionFeederCB12_Ikawai11.22T2</v>
      </c>
      <c r="B42" s="6" t="str">
        <f>CONCATENATE(BPD[[#This Row],[Supply Level]],BPD[[#This Row],[Station/Feeder]],BPD[[#This Row],[Equipment ID]],BPD[[#This Row],[Voltage]],BPD[[#This Row],[Device type]])</f>
        <v>DistributionFeederCB12_IkawaiW45111.22-</v>
      </c>
      <c r="C42" s="6" t="s">
        <v>1276</v>
      </c>
      <c r="D42" s="11" t="s">
        <v>91</v>
      </c>
      <c r="E42" s="318" t="s">
        <v>1373</v>
      </c>
      <c r="F42" s="318" t="s">
        <v>1374</v>
      </c>
      <c r="G42" s="319">
        <v>5</v>
      </c>
      <c r="H42" s="320" t="s">
        <v>273</v>
      </c>
      <c r="I42" s="318" t="s">
        <v>1377</v>
      </c>
      <c r="J42" s="321" t="s">
        <v>729</v>
      </c>
      <c r="K42" s="321" t="s">
        <v>0</v>
      </c>
      <c r="L42" s="321" t="s">
        <v>0</v>
      </c>
      <c r="M42" s="43">
        <f t="shared" si="21"/>
        <v>11.22</v>
      </c>
      <c r="N42" s="9">
        <v>400</v>
      </c>
      <c r="O42" s="9">
        <f>IF(OR(N42="",N42="-"),"-",N42*$M42*SQRT(3)/1000)</f>
        <v>7.7734440243691205</v>
      </c>
      <c r="P42" s="9">
        <v>400</v>
      </c>
      <c r="Q42" s="9">
        <f>IF(OR(P42="",P42="-"),"-",P42*$M42*SQRT(3)/1000)</f>
        <v>7.7734440243691205</v>
      </c>
      <c r="R42" s="9">
        <v>400</v>
      </c>
      <c r="S42" s="9">
        <f>IF(OR(R42="",R42="-"),"-",R42*$M42*SQRT(3)/1000)</f>
        <v>7.7734440243691205</v>
      </c>
      <c r="T42" s="9" t="s">
        <v>0</v>
      </c>
      <c r="U42" s="9" t="str">
        <f>IF(OR(T42="",T42="-"),"-",T42*$M42*SQRT(3)/1000)</f>
        <v>-</v>
      </c>
      <c r="V42" s="9" t="s">
        <v>0</v>
      </c>
      <c r="W42" s="9" t="str">
        <f>IF(OR(V42="",V42="-"),"-",V42*$M42*SQRT(3)/1000)</f>
        <v>-</v>
      </c>
      <c r="X42" s="9" t="s">
        <v>0</v>
      </c>
      <c r="Y42" s="9" t="str">
        <f>IF(OR(X42="",X42="-"),"-",X42*$M42*SQRT(3)/1000)</f>
        <v>-</v>
      </c>
      <c r="Z42" s="9" t="s">
        <v>0</v>
      </c>
      <c r="AA42" s="9" t="str">
        <f>IF(OR(Z42="",Z42="-"),"-",Z42*$M42*SQRT(3)/1000)</f>
        <v>-</v>
      </c>
      <c r="AB42" s="9" t="s">
        <v>0</v>
      </c>
      <c r="AC42" s="9" t="str">
        <f>IF(OR(AB42="",AB42="-"),"-",AB42*$M42*SQRT(3)/1000)</f>
        <v>-</v>
      </c>
      <c r="AD42" s="9" t="s">
        <v>0</v>
      </c>
      <c r="AE42" s="9" t="str">
        <f>IF(OR(AD42="",AD42="-"),"-",AD42*$M42*SQRT(3)/1000)</f>
        <v>-</v>
      </c>
      <c r="AF42" s="9" t="s">
        <v>0</v>
      </c>
      <c r="AG42" s="9" t="s">
        <v>0</v>
      </c>
      <c r="AH42" s="9" t="s">
        <v>0</v>
      </c>
      <c r="AI42" s="9" t="s">
        <v>0</v>
      </c>
      <c r="AJ42" s="9" t="s">
        <v>0</v>
      </c>
      <c r="AK42" s="9" t="s">
        <v>0</v>
      </c>
      <c r="AL42" s="9" t="s">
        <v>0</v>
      </c>
      <c r="AM42" s="9" t="s">
        <v>0</v>
      </c>
      <c r="AN42" s="9" t="s">
        <v>0</v>
      </c>
      <c r="AO42" s="9" t="s">
        <v>0</v>
      </c>
      <c r="AP42" s="9" t="s">
        <v>0</v>
      </c>
      <c r="AQ42" s="9" t="s">
        <v>0</v>
      </c>
      <c r="AR42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42" s="9" t="str">
        <f>IF(OR(AR42="",AR42="-"),"-",AR42*$M42*SQRT(3)/1000)</f>
        <v>-</v>
      </c>
      <c r="AT42" s="9">
        <f>IF(RIGHT(BPD[[#This Row],[Device type]],7)="Winding","-",BPD[[#This Row],[Cont Winter MVA]])</f>
        <v>7.7734440243691205</v>
      </c>
      <c r="AU42" s="9">
        <f>IF(RIGHT(BPD[[#This Row],[Device type]],7)="Winding","-",BPD[[#This Row],[Cont Shoulder MVA]])</f>
        <v>7.7734440243691205</v>
      </c>
      <c r="AV42" s="9">
        <f>IF(RIGHT(BPD[[#This Row],[Device type]],7)="Winding","-",BPD[[#This Row],[Cont Summer MVA]])</f>
        <v>7.7734440243691205</v>
      </c>
      <c r="AW42" s="9" t="str">
        <f>BPD[[#This Row],[24 Hr Winter MVA]]</f>
        <v>-</v>
      </c>
      <c r="AX42" s="9" t="str">
        <f>BPD[[#This Row],[24 Hr Summer MVA]]</f>
        <v>-</v>
      </c>
      <c r="AY42" s="9" t="str">
        <f>BPD[[#This Row],[Forwards MVA]]</f>
        <v>-</v>
      </c>
      <c r="AZ42" s="9" t="str">
        <f>BPD[[#This Row],[Relay MVA]]</f>
        <v>-</v>
      </c>
      <c r="BA42" s="9" t="str">
        <f>BPD[[#This Row],[CT MVA]]</f>
        <v>-</v>
      </c>
      <c r="BB42" s="9" t="str">
        <f>BPD[[#This Row],[Derating MVA]]</f>
        <v>-</v>
      </c>
      <c r="BC42" s="9" t="str">
        <f>BPD[[#This Row],[Station/Feeder]]&amp;BPD[[#This Row],[Lowest MVA]]</f>
        <v>CB12_Ikawai7.77344402436912</v>
      </c>
      <c r="BD42" s="9" t="str">
        <f>CONCATENATE(BPD[[#This Row],[Supply Level]],BPD[[#This Row],[Station/Feeder]],BPD[[#This Row],[Voltage]],BPD[[#This Row],[Lowest A-No PTX]])</f>
        <v>DistributionFeederCB12_Ikawai11.22400</v>
      </c>
      <c r="BE42" s="9" t="str">
        <f>CONCATENATE(BPD[[#This Row],[Supply Level]],BPD[[#This Row],[Station/Feeder]],BPD[[#This Row],[Voltage]],BPD[[#This Row],[Lowest A-PTX]])</f>
        <v>DistributionFeederCB12_Ikawai11.22400</v>
      </c>
      <c r="BF42" s="9">
        <f>IF(MIN(BPD[[#This Row],[Summ Cont Winter A]:[Cable Derating]])=0,"",MIN(BPD[[#This Row],[Summ Cont Winter A]:[Cable Derating]]))</f>
        <v>7.7734440243691205</v>
      </c>
      <c r="BG42" s="9">
        <f>IFERROR(BPD[[#This Row],[Lowest MVA]]*1000/(BPD[[#This Row],[Voltage]]*SQRT(3)),"")</f>
        <v>400</v>
      </c>
      <c r="BH42" s="9">
        <f t="shared" si="48"/>
        <v>400</v>
      </c>
      <c r="BI42" s="9" t="str">
        <f>BPD[[#This Row],[From]]</f>
        <v xml:space="preserve">Cable 300 mm² </v>
      </c>
      <c r="BJ42" s="9" t="str">
        <f>BPD[[#This Row],[To]]</f>
        <v>JAGUAR OH Line</v>
      </c>
      <c r="BK42" s="9" t="str">
        <f>IF(BPD[[#This Row],[Device type]]="-",BPD[[#This Row],[Equipment Type]]&amp;" - "&amp;BPD[[#This Row],[Equipment ID]],BPD[[#This Row],[Equipment Type]]&amp;" - "&amp;BPD[[#This Row],[Equipment ID]]&amp;" - "&amp;BPD[[#This Row],[Device type]])</f>
        <v>Air Break Switch - W451</v>
      </c>
      <c r="BL42" s="9">
        <f>BPD[[#This Row],[Voltage]]</f>
        <v>11.22</v>
      </c>
    </row>
    <row r="43" spans="1:64" s="337" customFormat="1" x14ac:dyDescent="0.25">
      <c r="A43" s="6" t="str">
        <f>CONCATENATE(BPD[[#This Row],[Supply Level]],BPD[[#This Row],[Station/Feeder]],BPD[[#This Row],[Voltage]],"T2")</f>
        <v>DistributionFeederCB13_Waikakahi11.22T2</v>
      </c>
      <c r="B43" s="6" t="str">
        <f>CONCATENATE(BPD[[#This Row],[Supply Level]],BPD[[#This Row],[Station/Feeder]],BPD[[#This Row],[Equipment ID]],BPD[[#This Row],[Voltage]],BPD[[#This Row],[Device type]])</f>
        <v>DistributionFeederCB13_WaikakahiBPD-T2-CB1311.22Protection</v>
      </c>
      <c r="C43" s="6" t="s">
        <v>1276</v>
      </c>
      <c r="D43" s="11" t="s">
        <v>104</v>
      </c>
      <c r="E43" s="6" t="s">
        <v>243</v>
      </c>
      <c r="F43" s="6" t="s">
        <v>720</v>
      </c>
      <c r="G43" s="27">
        <v>1</v>
      </c>
      <c r="H43" s="7" t="s">
        <v>2347</v>
      </c>
      <c r="I43" s="6" t="s">
        <v>2488</v>
      </c>
      <c r="J43" s="7" t="s">
        <v>15</v>
      </c>
      <c r="K43" s="7" t="s">
        <v>790</v>
      </c>
      <c r="L43" s="7" t="s">
        <v>1423</v>
      </c>
      <c r="M43" s="43">
        <f t="shared" si="21"/>
        <v>11.22</v>
      </c>
      <c r="N43" s="9">
        <v>630</v>
      </c>
      <c r="O43" s="9">
        <f t="shared" ref="O43:O79" si="49">IF(OR(N43="",N43="-"),"-",N43*$M43*SQRT(3)/1000)</f>
        <v>12.243174338381367</v>
      </c>
      <c r="P43" s="9">
        <v>630</v>
      </c>
      <c r="Q43" s="9">
        <f t="shared" ref="Q43:Q79" si="50">IF(OR(P43="",P43="-"),"-",P43*$M43*SQRT(3)/1000)</f>
        <v>12.243174338381367</v>
      </c>
      <c r="R43" s="9">
        <v>630</v>
      </c>
      <c r="S43" s="9">
        <f t="shared" si="2"/>
        <v>12.243174338381367</v>
      </c>
      <c r="T43" s="9" t="s">
        <v>0</v>
      </c>
      <c r="U43" s="9" t="str">
        <f t="shared" ref="U43:U79" si="51">IF(OR(T43="",T43="-"),"-",T43*$M43*SQRT(3)/1000)</f>
        <v>-</v>
      </c>
      <c r="V43" s="9" t="s">
        <v>0</v>
      </c>
      <c r="W43" s="9" t="str">
        <f t="shared" ref="W43:W79" si="52">IF(OR(V43="",V43="-"),"-",V43*$M43*SQRT(3)/1000)</f>
        <v>-</v>
      </c>
      <c r="X43" s="9">
        <f>VLOOKUP(BPD[[#This Row],[Equipment ID]],AEL_Protection_Data[#All],12,0)</f>
        <v>400</v>
      </c>
      <c r="Y43" s="9">
        <f t="shared" ref="Y43:Y79" si="53">IF(OR(X43="",X43="-"),"-",X43*$M43*SQRT(3)/1000)</f>
        <v>7.7734440243691205</v>
      </c>
      <c r="Z43" s="9" t="s">
        <v>0</v>
      </c>
      <c r="AA43" s="9" t="str">
        <f t="shared" si="45"/>
        <v>-</v>
      </c>
      <c r="AB43" s="9" t="s">
        <v>0</v>
      </c>
      <c r="AC43" s="9" t="str">
        <f t="shared" si="46"/>
        <v>-</v>
      </c>
      <c r="AD43" s="9">
        <v>400</v>
      </c>
      <c r="AE43" s="9">
        <f t="shared" si="47"/>
        <v>7.7734440243691205</v>
      </c>
      <c r="AF43" s="9" t="s">
        <v>0</v>
      </c>
      <c r="AG43" s="9" t="s">
        <v>0</v>
      </c>
      <c r="AH43" s="9" t="s">
        <v>0</v>
      </c>
      <c r="AI43" s="9" t="s">
        <v>0</v>
      </c>
      <c r="AJ43" s="9" t="s">
        <v>0</v>
      </c>
      <c r="AK43" s="9" t="s">
        <v>0</v>
      </c>
      <c r="AL43" s="9" t="s">
        <v>0</v>
      </c>
      <c r="AM43" s="9" t="s">
        <v>0</v>
      </c>
      <c r="AN43" s="9" t="s">
        <v>0</v>
      </c>
      <c r="AO43" s="9" t="s">
        <v>0</v>
      </c>
      <c r="AP43" s="9" t="s">
        <v>0</v>
      </c>
      <c r="AQ43" s="9" t="s">
        <v>0</v>
      </c>
      <c r="AR43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43" s="9" t="str">
        <f t="shared" ref="AS43:AS79" si="54">IF(OR(AR43="",AR43="-"),"-",AR43*$M43*SQRT(3)/1000)</f>
        <v>-</v>
      </c>
      <c r="AT43" s="9">
        <f>IF(RIGHT(BPD[[#This Row],[Device type]],7)="Winding","-",BPD[[#This Row],[Cont Winter MVA]])</f>
        <v>12.243174338381367</v>
      </c>
      <c r="AU43" s="9">
        <f>IF(RIGHT(BPD[[#This Row],[Device type]],7)="Winding","-",BPD[[#This Row],[Cont Shoulder MVA]])</f>
        <v>12.243174338381367</v>
      </c>
      <c r="AV43" s="9">
        <f>IF(RIGHT(BPD[[#This Row],[Device type]],7)="Winding","-",BPD[[#This Row],[Cont Summer MVA]])</f>
        <v>12.243174338381367</v>
      </c>
      <c r="AW43" s="9" t="str">
        <f>BPD[[#This Row],[24 Hr Winter MVA]]</f>
        <v>-</v>
      </c>
      <c r="AX43" s="9" t="str">
        <f>BPD[[#This Row],[24 Hr Summer MVA]]</f>
        <v>-</v>
      </c>
      <c r="AY43" s="9">
        <f>BPD[[#This Row],[Forwards MVA]]</f>
        <v>7.7734440243691205</v>
      </c>
      <c r="AZ43" s="9" t="str">
        <f>BPD[[#This Row],[Relay MVA]]</f>
        <v>-</v>
      </c>
      <c r="BA43" s="9">
        <f>BPD[[#This Row],[CT MVA]]</f>
        <v>7.7734440243691205</v>
      </c>
      <c r="BB43" s="9" t="str">
        <f>BPD[[#This Row],[Derating MVA]]</f>
        <v>-</v>
      </c>
      <c r="BC43" s="9" t="str">
        <f>BPD[[#This Row],[Station/Feeder]]&amp;BPD[[#This Row],[Lowest MVA]]</f>
        <v>CB13_Waikakahi7.77344402436912</v>
      </c>
      <c r="BD43" s="9" t="str">
        <f>CONCATENATE(BPD[[#This Row],[Supply Level]],BPD[[#This Row],[Station/Feeder]],BPD[[#This Row],[Voltage]],BPD[[#This Row],[Lowest A-No PTX]])</f>
        <v>DistributionFeederCB13_Waikakahi11.22400</v>
      </c>
      <c r="BE43" s="9" t="str">
        <f>CONCATENATE(BPD[[#This Row],[Supply Level]],BPD[[#This Row],[Station/Feeder]],BPD[[#This Row],[Voltage]],BPD[[#This Row],[Lowest A-PTX]])</f>
        <v>DistributionFeederCB13_Waikakahi11.22400</v>
      </c>
      <c r="BF43" s="9">
        <f>IF(MIN(BPD[[#This Row],[Summ Cont Winter A]:[Cable Derating]])=0,"",MIN(BPD[[#This Row],[Summ Cont Winter A]:[Cable Derating]]))</f>
        <v>7.7734440243691205</v>
      </c>
      <c r="BG43" s="9">
        <f>IFERROR(BPD[[#This Row],[Lowest MVA]]*1000/(BPD[[#This Row],[Voltage]]*SQRT(3)),"")</f>
        <v>400</v>
      </c>
      <c r="BH43" s="9">
        <f t="shared" si="48"/>
        <v>400</v>
      </c>
      <c r="BI43" s="9" t="str">
        <f>BPD[[#This Row],[From]]</f>
        <v>11 kV Bus</v>
      </c>
      <c r="BJ43" s="9" t="str">
        <f>BPD[[#This Row],[To]]</f>
        <v>BPD13 CB</v>
      </c>
      <c r="BK43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Breaker-BPD-T2-CB13-Protection</v>
      </c>
      <c r="BL43" s="9">
        <f>BPD[[#This Row],[Voltage]]</f>
        <v>11.22</v>
      </c>
    </row>
    <row r="44" spans="1:64" s="337" customFormat="1" x14ac:dyDescent="0.25">
      <c r="A44" s="6" t="str">
        <f>CONCATENATE(BPD[[#This Row],[Supply Level]],BPD[[#This Row],[Station/Feeder]],BPD[[#This Row],[Voltage]],"T2")</f>
        <v>DistributionFeederCB13_Waikakahi11.22T2</v>
      </c>
      <c r="B44" s="6" t="str">
        <f>CONCATENATE(BPD[[#This Row],[Supply Level]],BPD[[#This Row],[Station/Feeder]],BPD[[#This Row],[Equipment ID]],BPD[[#This Row],[Voltage]],BPD[[#This Row],[Device type]])</f>
        <v>DistributionFeederCB13_Waikakahi3c 300mm² AL XLPE MDPE11.22-</v>
      </c>
      <c r="C44" s="6" t="s">
        <v>1276</v>
      </c>
      <c r="D44" s="11" t="s">
        <v>104</v>
      </c>
      <c r="E44" s="6" t="s">
        <v>720</v>
      </c>
      <c r="F44" s="6" t="s">
        <v>711</v>
      </c>
      <c r="G44" s="27">
        <v>3</v>
      </c>
      <c r="H44" s="39" t="s">
        <v>712</v>
      </c>
      <c r="I44" s="6" t="s">
        <v>718</v>
      </c>
      <c r="J44" s="7" t="s">
        <v>250</v>
      </c>
      <c r="K44" s="7" t="s">
        <v>0</v>
      </c>
      <c r="L44" s="7" t="s">
        <v>0</v>
      </c>
      <c r="M44" s="43">
        <f t="shared" si="21"/>
        <v>11.22</v>
      </c>
      <c r="N44" s="9">
        <v>476</v>
      </c>
      <c r="O44" s="9">
        <f t="shared" si="49"/>
        <v>9.2503983889992547</v>
      </c>
      <c r="P44" s="9">
        <v>476</v>
      </c>
      <c r="Q44" s="9">
        <f t="shared" si="50"/>
        <v>9.2503983889992547</v>
      </c>
      <c r="R44" s="9">
        <v>476</v>
      </c>
      <c r="S44" s="9">
        <f t="shared" si="2"/>
        <v>9.2503983889992547</v>
      </c>
      <c r="T44" s="9" t="s">
        <v>0</v>
      </c>
      <c r="U44" s="9" t="str">
        <f t="shared" si="51"/>
        <v>-</v>
      </c>
      <c r="V44" s="9" t="s">
        <v>0</v>
      </c>
      <c r="W44" s="9" t="str">
        <f t="shared" si="52"/>
        <v>-</v>
      </c>
      <c r="X44" s="9" t="s">
        <v>0</v>
      </c>
      <c r="Y44" s="9" t="str">
        <f t="shared" si="53"/>
        <v>-</v>
      </c>
      <c r="Z44" s="9" t="s">
        <v>0</v>
      </c>
      <c r="AA44" s="9" t="str">
        <f t="shared" si="45"/>
        <v>-</v>
      </c>
      <c r="AB44" s="9" t="s">
        <v>0</v>
      </c>
      <c r="AC44" s="9" t="str">
        <f t="shared" si="46"/>
        <v>-</v>
      </c>
      <c r="AD44" s="9" t="s">
        <v>0</v>
      </c>
      <c r="AE44" s="9" t="str">
        <f t="shared" si="47"/>
        <v>-</v>
      </c>
      <c r="AF44" s="9" t="s">
        <v>716</v>
      </c>
      <c r="AG44" s="9" t="s">
        <v>265</v>
      </c>
      <c r="AH44" s="9">
        <v>707.1</v>
      </c>
      <c r="AI44" s="9">
        <v>1.5</v>
      </c>
      <c r="AJ44" s="9">
        <v>0.95</v>
      </c>
      <c r="AK44" s="9">
        <v>15</v>
      </c>
      <c r="AL44" s="9">
        <v>1</v>
      </c>
      <c r="AM44" s="9">
        <v>1.2</v>
      </c>
      <c r="AN44" s="9">
        <v>1</v>
      </c>
      <c r="AO44" s="9">
        <v>5</v>
      </c>
      <c r="AP44" s="9">
        <v>0.4</v>
      </c>
      <c r="AQ44" s="9">
        <v>0.75</v>
      </c>
      <c r="AR44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339.15</v>
      </c>
      <c r="AS44" s="9">
        <f t="shared" si="54"/>
        <v>6.5909088521619674</v>
      </c>
      <c r="AT44" s="9">
        <f>IF(RIGHT(BPD[[#This Row],[Device type]],7)="Winding","-",BPD[[#This Row],[Cont Winter MVA]])</f>
        <v>9.2503983889992547</v>
      </c>
      <c r="AU44" s="9">
        <f>IF(RIGHT(BPD[[#This Row],[Device type]],7)="Winding","-",BPD[[#This Row],[Cont Shoulder MVA]])</f>
        <v>9.2503983889992547</v>
      </c>
      <c r="AV44" s="9">
        <f>IF(RIGHT(BPD[[#This Row],[Device type]],7)="Winding","-",BPD[[#This Row],[Cont Summer MVA]])</f>
        <v>9.2503983889992547</v>
      </c>
      <c r="AW44" s="9" t="str">
        <f>BPD[[#This Row],[24 Hr Winter MVA]]</f>
        <v>-</v>
      </c>
      <c r="AX44" s="9" t="str">
        <f>BPD[[#This Row],[24 Hr Summer MVA]]</f>
        <v>-</v>
      </c>
      <c r="AY44" s="9" t="str">
        <f>BPD[[#This Row],[Forwards MVA]]</f>
        <v>-</v>
      </c>
      <c r="AZ44" s="9" t="str">
        <f>BPD[[#This Row],[Relay MVA]]</f>
        <v>-</v>
      </c>
      <c r="BA44" s="9" t="str">
        <f>BPD[[#This Row],[CT MVA]]</f>
        <v>-</v>
      </c>
      <c r="BB44" s="9">
        <f>BPD[[#This Row],[Derating MVA]]</f>
        <v>6.5909088521619674</v>
      </c>
      <c r="BC44" s="9" t="str">
        <f>BPD[[#This Row],[Station/Feeder]]&amp;BPD[[#This Row],[Lowest MVA]]</f>
        <v>CB13_Waikakahi6.59090885216197</v>
      </c>
      <c r="BD44" s="9" t="str">
        <f>CONCATENATE(BPD[[#This Row],[Supply Level]],BPD[[#This Row],[Station/Feeder]],BPD[[#This Row],[Voltage]],BPD[[#This Row],[Lowest A-No PTX]])</f>
        <v>DistributionFeederCB13_Waikakahi11.22339.15</v>
      </c>
      <c r="BE44" s="9" t="str">
        <f>CONCATENATE(BPD[[#This Row],[Supply Level]],BPD[[#This Row],[Station/Feeder]],BPD[[#This Row],[Voltage]],BPD[[#This Row],[Lowest A-PTX]])</f>
        <v>DistributionFeederCB13_Waikakahi11.22339.15</v>
      </c>
      <c r="BF44" s="9">
        <f>IF(MIN(BPD[[#This Row],[Summ Cont Winter A]:[Cable Derating]])=0,"",MIN(BPD[[#This Row],[Summ Cont Winter A]:[Cable Derating]]))</f>
        <v>6.5909088521619674</v>
      </c>
      <c r="BG44" s="9">
        <f>IFERROR(BPD[[#This Row],[Lowest MVA]]*1000/(BPD[[#This Row],[Voltage]]*SQRT(3)),"")</f>
        <v>339.15</v>
      </c>
      <c r="BH44" s="9">
        <f t="shared" si="48"/>
        <v>339.15</v>
      </c>
      <c r="BI44" s="9" t="str">
        <f>BPD[[#This Row],[From]]</f>
        <v>BPD13 CB</v>
      </c>
      <c r="BJ44" s="9" t="str">
        <f>BPD[[#This Row],[To]]</f>
        <v>Cable Joint</v>
      </c>
      <c r="BK44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Cable-3c 300mm² AL XLPE MDPE</v>
      </c>
      <c r="BL44" s="9">
        <f>BPD[[#This Row],[Voltage]]</f>
        <v>11.22</v>
      </c>
    </row>
    <row r="45" spans="1:64" s="337" customFormat="1" x14ac:dyDescent="0.25">
      <c r="A45" s="6" t="str">
        <f>CONCATENATE(BPD[[#This Row],[Supply Level]],BPD[[#This Row],[Station/Feeder]],BPD[[#This Row],[Voltage]],"T2")</f>
        <v>DistributionFeederCB13_Waikakahi11.22T2</v>
      </c>
      <c r="B45" s="6" t="str">
        <f>CONCATENATE(BPD[[#This Row],[Supply Level]],BPD[[#This Row],[Station/Feeder]],BPD[[#This Row],[Equipment ID]],BPD[[#This Row],[Voltage]],BPD[[#This Row],[Device type]])</f>
        <v>DistributionFeederCB13_Waikakahi3c 300mm² AL XLPE MDPE11.22-</v>
      </c>
      <c r="C45" s="6" t="s">
        <v>1276</v>
      </c>
      <c r="D45" s="11" t="s">
        <v>104</v>
      </c>
      <c r="E45" s="6" t="s">
        <v>711</v>
      </c>
      <c r="F45" s="6" t="s">
        <v>711</v>
      </c>
      <c r="G45" s="27">
        <v>4</v>
      </c>
      <c r="H45" s="39" t="s">
        <v>712</v>
      </c>
      <c r="I45" s="6" t="s">
        <v>718</v>
      </c>
      <c r="J45" s="7" t="s">
        <v>250</v>
      </c>
      <c r="K45" s="7" t="s">
        <v>0</v>
      </c>
      <c r="L45" s="7" t="s">
        <v>0</v>
      </c>
      <c r="M45" s="43">
        <f t="shared" si="21"/>
        <v>11.22</v>
      </c>
      <c r="N45" s="9">
        <v>476</v>
      </c>
      <c r="O45" s="9">
        <f t="shared" si="49"/>
        <v>9.2503983889992547</v>
      </c>
      <c r="P45" s="9">
        <v>476</v>
      </c>
      <c r="Q45" s="9">
        <f t="shared" si="50"/>
        <v>9.2503983889992547</v>
      </c>
      <c r="R45" s="9">
        <v>476</v>
      </c>
      <c r="S45" s="9">
        <f t="shared" si="2"/>
        <v>9.2503983889992547</v>
      </c>
      <c r="T45" s="9" t="s">
        <v>0</v>
      </c>
      <c r="U45" s="9" t="str">
        <f t="shared" si="51"/>
        <v>-</v>
      </c>
      <c r="V45" s="9" t="s">
        <v>0</v>
      </c>
      <c r="W45" s="9" t="str">
        <f t="shared" si="52"/>
        <v>-</v>
      </c>
      <c r="X45" s="9" t="s">
        <v>0</v>
      </c>
      <c r="Y45" s="9" t="str">
        <f t="shared" si="53"/>
        <v>-</v>
      </c>
      <c r="Z45" s="9" t="s">
        <v>0</v>
      </c>
      <c r="AA45" s="9" t="str">
        <f t="shared" si="45"/>
        <v>-</v>
      </c>
      <c r="AB45" s="9" t="s">
        <v>0</v>
      </c>
      <c r="AC45" s="9" t="str">
        <f t="shared" si="46"/>
        <v>-</v>
      </c>
      <c r="AD45" s="9" t="s">
        <v>0</v>
      </c>
      <c r="AE45" s="9" t="str">
        <f t="shared" si="47"/>
        <v>-</v>
      </c>
      <c r="AF45" s="9" t="s">
        <v>716</v>
      </c>
      <c r="AG45" s="9" t="s">
        <v>265</v>
      </c>
      <c r="AH45" s="9">
        <v>692.5</v>
      </c>
      <c r="AI45" s="9">
        <v>1.2</v>
      </c>
      <c r="AJ45" s="9">
        <v>0.96</v>
      </c>
      <c r="AK45" s="9">
        <v>15</v>
      </c>
      <c r="AL45" s="9">
        <v>1</v>
      </c>
      <c r="AM45" s="9">
        <v>1.2</v>
      </c>
      <c r="AN45" s="9">
        <v>1</v>
      </c>
      <c r="AO45" s="9">
        <v>3</v>
      </c>
      <c r="AP45" s="9">
        <v>0.6</v>
      </c>
      <c r="AQ45" s="9">
        <v>0.86</v>
      </c>
      <c r="AR45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392.98559999999998</v>
      </c>
      <c r="AS45" s="9">
        <f t="shared" si="54"/>
        <v>7.6371289099577835</v>
      </c>
      <c r="AT45" s="9">
        <f>IF(RIGHT(BPD[[#This Row],[Device type]],7)="Winding","-",BPD[[#This Row],[Cont Winter MVA]])</f>
        <v>9.2503983889992547</v>
      </c>
      <c r="AU45" s="9">
        <f>IF(RIGHT(BPD[[#This Row],[Device type]],7)="Winding","-",BPD[[#This Row],[Cont Shoulder MVA]])</f>
        <v>9.2503983889992547</v>
      </c>
      <c r="AV45" s="9">
        <f>IF(RIGHT(BPD[[#This Row],[Device type]],7)="Winding","-",BPD[[#This Row],[Cont Summer MVA]])</f>
        <v>9.2503983889992547</v>
      </c>
      <c r="AW45" s="9" t="str">
        <f>BPD[[#This Row],[24 Hr Winter MVA]]</f>
        <v>-</v>
      </c>
      <c r="AX45" s="9" t="str">
        <f>BPD[[#This Row],[24 Hr Summer MVA]]</f>
        <v>-</v>
      </c>
      <c r="AY45" s="9" t="str">
        <f>BPD[[#This Row],[Forwards MVA]]</f>
        <v>-</v>
      </c>
      <c r="AZ45" s="9" t="str">
        <f>BPD[[#This Row],[Relay MVA]]</f>
        <v>-</v>
      </c>
      <c r="BA45" s="9" t="str">
        <f>BPD[[#This Row],[CT MVA]]</f>
        <v>-</v>
      </c>
      <c r="BB45" s="9">
        <f>BPD[[#This Row],[Derating MVA]]</f>
        <v>7.6371289099577835</v>
      </c>
      <c r="BC45" s="9" t="str">
        <f>BPD[[#This Row],[Station/Feeder]]&amp;BPD[[#This Row],[Lowest MVA]]</f>
        <v>CB13_Waikakahi7.63712890995778</v>
      </c>
      <c r="BD45" s="9" t="str">
        <f>CONCATENATE(BPD[[#This Row],[Supply Level]],BPD[[#This Row],[Station/Feeder]],BPD[[#This Row],[Voltage]],BPD[[#This Row],[Lowest A-No PTX]])</f>
        <v>DistributionFeederCB13_Waikakahi11.22392.9856</v>
      </c>
      <c r="BE45" s="9" t="str">
        <f>CONCATENATE(BPD[[#This Row],[Supply Level]],BPD[[#This Row],[Station/Feeder]],BPD[[#This Row],[Voltage]],BPD[[#This Row],[Lowest A-PTX]])</f>
        <v>DistributionFeederCB13_Waikakahi11.22392.9856</v>
      </c>
      <c r="BF45" s="9">
        <f>IF(MIN(BPD[[#This Row],[Summ Cont Winter A]:[Cable Derating]])=0,"",MIN(BPD[[#This Row],[Summ Cont Winter A]:[Cable Derating]]))</f>
        <v>7.6371289099577835</v>
      </c>
      <c r="BG45" s="9">
        <f>IFERROR(BPD[[#This Row],[Lowest MVA]]*1000/(BPD[[#This Row],[Voltage]]*SQRT(3)),"")</f>
        <v>392.98559999999998</v>
      </c>
      <c r="BH45" s="9">
        <f t="shared" si="48"/>
        <v>392.98559999999998</v>
      </c>
      <c r="BI45" s="9" t="str">
        <f>BPD[[#This Row],[From]]</f>
        <v>Cable Joint</v>
      </c>
      <c r="BJ45" s="9" t="str">
        <f>BPD[[#This Row],[To]]</f>
        <v>Cable Joint</v>
      </c>
      <c r="BK45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Cable-3c 300mm² AL XLPE MDPE</v>
      </c>
      <c r="BL45" s="9">
        <f>BPD[[#This Row],[Voltage]]</f>
        <v>11.22</v>
      </c>
    </row>
    <row r="46" spans="1:64" s="337" customFormat="1" x14ac:dyDescent="0.25">
      <c r="A46" s="6" t="str">
        <f>CONCATENATE(BPD[[#This Row],[Supply Level]],BPD[[#This Row],[Station/Feeder]],BPD[[#This Row],[Voltage]],"T2")</f>
        <v>DistributionFeederCB13_Waikakahi11.22T2</v>
      </c>
      <c r="B46" s="6" t="str">
        <f>CONCATENATE(BPD[[#This Row],[Supply Level]],BPD[[#This Row],[Station/Feeder]],BPD[[#This Row],[Equipment ID]],BPD[[#This Row],[Voltage]],BPD[[#This Row],[Device type]])</f>
        <v>DistributionFeederCB13_Waikakahi3c 300mm² AL XLPE MDPE11.22-</v>
      </c>
      <c r="C46" s="6" t="s">
        <v>1276</v>
      </c>
      <c r="D46" s="11" t="s">
        <v>104</v>
      </c>
      <c r="E46" s="6" t="s">
        <v>711</v>
      </c>
      <c r="F46" s="6" t="s">
        <v>721</v>
      </c>
      <c r="G46" s="27">
        <v>5</v>
      </c>
      <c r="H46" s="39" t="s">
        <v>712</v>
      </c>
      <c r="I46" s="6" t="s">
        <v>718</v>
      </c>
      <c r="J46" s="7" t="s">
        <v>250</v>
      </c>
      <c r="K46" s="7" t="s">
        <v>0</v>
      </c>
      <c r="L46" s="7" t="s">
        <v>0</v>
      </c>
      <c r="M46" s="43">
        <f t="shared" si="21"/>
        <v>11.22</v>
      </c>
      <c r="N46" s="9">
        <v>476</v>
      </c>
      <c r="O46" s="9">
        <f t="shared" si="49"/>
        <v>9.2503983889992547</v>
      </c>
      <c r="P46" s="9">
        <v>476</v>
      </c>
      <c r="Q46" s="9">
        <f t="shared" si="50"/>
        <v>9.2503983889992547</v>
      </c>
      <c r="R46" s="9">
        <v>476</v>
      </c>
      <c r="S46" s="9">
        <f t="shared" si="2"/>
        <v>9.2503983889992547</v>
      </c>
      <c r="T46" s="9" t="s">
        <v>0</v>
      </c>
      <c r="U46" s="9" t="str">
        <f t="shared" si="51"/>
        <v>-</v>
      </c>
      <c r="V46" s="9" t="s">
        <v>0</v>
      </c>
      <c r="W46" s="9" t="str">
        <f t="shared" si="52"/>
        <v>-</v>
      </c>
      <c r="X46" s="9" t="s">
        <v>0</v>
      </c>
      <c r="Y46" s="9" t="str">
        <f t="shared" si="53"/>
        <v>-</v>
      </c>
      <c r="Z46" s="9" t="s">
        <v>0</v>
      </c>
      <c r="AA46" s="9" t="str">
        <f t="shared" si="45"/>
        <v>-</v>
      </c>
      <c r="AB46" s="9" t="s">
        <v>0</v>
      </c>
      <c r="AC46" s="9" t="str">
        <f t="shared" si="46"/>
        <v>-</v>
      </c>
      <c r="AD46" s="9" t="s">
        <v>0</v>
      </c>
      <c r="AE46" s="9" t="str">
        <f t="shared" si="47"/>
        <v>-</v>
      </c>
      <c r="AF46" s="9" t="s">
        <v>716</v>
      </c>
      <c r="AG46" s="9" t="s">
        <v>265</v>
      </c>
      <c r="AH46" s="9">
        <v>331.5</v>
      </c>
      <c r="AI46" s="9">
        <v>1.2</v>
      </c>
      <c r="AJ46" s="9">
        <v>0.96</v>
      </c>
      <c r="AK46" s="9">
        <v>15</v>
      </c>
      <c r="AL46" s="9">
        <v>1</v>
      </c>
      <c r="AM46" s="9">
        <v>1.2</v>
      </c>
      <c r="AN46" s="9">
        <v>1</v>
      </c>
      <c r="AO46" s="9">
        <v>3</v>
      </c>
      <c r="AP46" s="9">
        <v>0.6</v>
      </c>
      <c r="AQ46" s="9">
        <v>0.86</v>
      </c>
      <c r="AR46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392.98559999999998</v>
      </c>
      <c r="AS46" s="9">
        <f t="shared" si="54"/>
        <v>7.6371289099577835</v>
      </c>
      <c r="AT46" s="9">
        <f>IF(RIGHT(BPD[[#This Row],[Device type]],7)="Winding","-",BPD[[#This Row],[Cont Winter MVA]])</f>
        <v>9.2503983889992547</v>
      </c>
      <c r="AU46" s="9">
        <f>IF(RIGHT(BPD[[#This Row],[Device type]],7)="Winding","-",BPD[[#This Row],[Cont Shoulder MVA]])</f>
        <v>9.2503983889992547</v>
      </c>
      <c r="AV46" s="9">
        <f>IF(RIGHT(BPD[[#This Row],[Device type]],7)="Winding","-",BPD[[#This Row],[Cont Summer MVA]])</f>
        <v>9.2503983889992547</v>
      </c>
      <c r="AW46" s="9" t="str">
        <f>BPD[[#This Row],[24 Hr Winter MVA]]</f>
        <v>-</v>
      </c>
      <c r="AX46" s="9" t="str">
        <f>BPD[[#This Row],[24 Hr Summer MVA]]</f>
        <v>-</v>
      </c>
      <c r="AY46" s="9" t="str">
        <f>BPD[[#This Row],[Forwards MVA]]</f>
        <v>-</v>
      </c>
      <c r="AZ46" s="9" t="str">
        <f>BPD[[#This Row],[Relay MVA]]</f>
        <v>-</v>
      </c>
      <c r="BA46" s="9" t="str">
        <f>BPD[[#This Row],[CT MVA]]</f>
        <v>-</v>
      </c>
      <c r="BB46" s="9">
        <f>BPD[[#This Row],[Derating MVA]]</f>
        <v>7.6371289099577835</v>
      </c>
      <c r="BC46" s="9" t="str">
        <f>BPD[[#This Row],[Station/Feeder]]&amp;BPD[[#This Row],[Lowest MVA]]</f>
        <v>CB13_Waikakahi7.63712890995778</v>
      </c>
      <c r="BD46" s="9" t="str">
        <f>CONCATENATE(BPD[[#This Row],[Supply Level]],BPD[[#This Row],[Station/Feeder]],BPD[[#This Row],[Voltage]],BPD[[#This Row],[Lowest A-No PTX]])</f>
        <v>DistributionFeederCB13_Waikakahi11.22392.9856</v>
      </c>
      <c r="BE46" s="9" t="str">
        <f>CONCATENATE(BPD[[#This Row],[Supply Level]],BPD[[#This Row],[Station/Feeder]],BPD[[#This Row],[Voltage]],BPD[[#This Row],[Lowest A-PTX]])</f>
        <v>DistributionFeederCB13_Waikakahi11.22392.9856</v>
      </c>
      <c r="BF46" s="9">
        <f>IF(MIN(BPD[[#This Row],[Summ Cont Winter A]:[Cable Derating]])=0,"",MIN(BPD[[#This Row],[Summ Cont Winter A]:[Cable Derating]]))</f>
        <v>7.6371289099577835</v>
      </c>
      <c r="BG46" s="9">
        <f>IFERROR(BPD[[#This Row],[Lowest MVA]]*1000/(BPD[[#This Row],[Voltage]]*SQRT(3)),"")</f>
        <v>392.98559999999998</v>
      </c>
      <c r="BH46" s="9">
        <f t="shared" si="48"/>
        <v>392.98559999999998</v>
      </c>
      <c r="BI46" s="9" t="str">
        <f>BPD[[#This Row],[From]]</f>
        <v>Cable Joint</v>
      </c>
      <c r="BJ46" s="9" t="str">
        <f>BPD[[#This Row],[To]]</f>
        <v>W452 ABS</v>
      </c>
      <c r="BK46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Cable-3c 300mm² AL XLPE MDPE</v>
      </c>
      <c r="BL46" s="9">
        <f>BPD[[#This Row],[Voltage]]</f>
        <v>11.22</v>
      </c>
    </row>
    <row r="47" spans="1:64" s="337" customFormat="1" x14ac:dyDescent="0.25">
      <c r="A47" s="6" t="str">
        <f>CONCATENATE(BPD[[#This Row],[Supply Level]],BPD[[#This Row],[Station/Feeder]],BPD[[#This Row],[Voltage]],"T2")</f>
        <v>DistributionFeederCB13_Waikakahi11.22T2</v>
      </c>
      <c r="B47" s="6" t="str">
        <f>CONCATENATE(BPD[[#This Row],[Supply Level]],BPD[[#This Row],[Station/Feeder]],BPD[[#This Row],[Equipment ID]],BPD[[#This Row],[Voltage]],BPD[[#This Row],[Device type]])</f>
        <v>DistributionFeederCB13_WaikakahiJAGUAR11.22-</v>
      </c>
      <c r="C47" s="6" t="s">
        <v>1276</v>
      </c>
      <c r="D47" s="11" t="s">
        <v>104</v>
      </c>
      <c r="E47" s="6" t="s">
        <v>721</v>
      </c>
      <c r="F47" s="6" t="str">
        <f>E48</f>
        <v xml:space="preserve">Cable 300 mm² </v>
      </c>
      <c r="G47" s="27">
        <v>6</v>
      </c>
      <c r="H47" s="7" t="s">
        <v>1289</v>
      </c>
      <c r="I47" s="6" t="s">
        <v>345</v>
      </c>
      <c r="J47" s="7" t="s">
        <v>69</v>
      </c>
      <c r="K47" s="7" t="s">
        <v>0</v>
      </c>
      <c r="L47" s="7" t="s">
        <v>0</v>
      </c>
      <c r="M47" s="43">
        <f t="shared" si="21"/>
        <v>11.22</v>
      </c>
      <c r="N47" s="9">
        <v>523.13480389780273</v>
      </c>
      <c r="O47" s="9">
        <f>IF(OR(N47="",N47="-"),"-",N47*$M47*SQRT(3)/1000)</f>
        <v>10.166397788247217</v>
      </c>
      <c r="P47" s="9" t="s">
        <v>0</v>
      </c>
      <c r="Q47" s="9" t="str">
        <f>IF(OR(P47="",P47="-"),"-",P47*$M47*SQRT(3)/1000)</f>
        <v>-</v>
      </c>
      <c r="R47" s="9">
        <v>386.92827157177999</v>
      </c>
      <c r="S47" s="9">
        <f>IF(OR(R47="",R47="-"),"-",R47*$M47*SQRT(3)/1000)</f>
        <v>7.5194131512728157</v>
      </c>
      <c r="T47" s="9" t="s">
        <v>0</v>
      </c>
      <c r="U47" s="9" t="str">
        <f>IF(OR(T47="",T47="-"),"-",T47*$M47*SQRT(3)/1000)</f>
        <v>-</v>
      </c>
      <c r="V47" s="9" t="s">
        <v>0</v>
      </c>
      <c r="W47" s="9" t="str">
        <f>IF(OR(V47="",V47="-"),"-",V47*$M47*SQRT(3)/1000)</f>
        <v>-</v>
      </c>
      <c r="X47" s="9" t="s">
        <v>0</v>
      </c>
      <c r="Y47" s="9" t="str">
        <f>IF(OR(X47="",X47="-"),"-",X47*$M47*SQRT(3)/1000)</f>
        <v>-</v>
      </c>
      <c r="Z47" s="9" t="s">
        <v>0</v>
      </c>
      <c r="AA47" s="9" t="str">
        <f>IF(OR(Z47="",Z47="-"),"-",Z47*$M47*SQRT(3)/1000)</f>
        <v>-</v>
      </c>
      <c r="AB47" s="9" t="s">
        <v>0</v>
      </c>
      <c r="AC47" s="9" t="str">
        <f>IF(OR(AB47="",AB47="-"),"-",AB47*$M47*SQRT(3)/1000)</f>
        <v>-</v>
      </c>
      <c r="AD47" s="9" t="s">
        <v>0</v>
      </c>
      <c r="AE47" s="9" t="str">
        <f>IF(OR(AD47="",AD47="-"),"-",AD47*$M47*SQRT(3)/1000)</f>
        <v>-</v>
      </c>
      <c r="AF47" s="9" t="s">
        <v>0</v>
      </c>
      <c r="AG47" s="9" t="s">
        <v>0</v>
      </c>
      <c r="AH47" s="9" t="s">
        <v>0</v>
      </c>
      <c r="AI47" s="9" t="s">
        <v>0</v>
      </c>
      <c r="AJ47" s="9" t="s">
        <v>0</v>
      </c>
      <c r="AK47" s="9" t="s">
        <v>0</v>
      </c>
      <c r="AL47" s="9" t="s">
        <v>0</v>
      </c>
      <c r="AM47" s="9" t="s">
        <v>0</v>
      </c>
      <c r="AN47" s="9" t="s">
        <v>0</v>
      </c>
      <c r="AO47" s="9" t="s">
        <v>0</v>
      </c>
      <c r="AP47" s="9" t="s">
        <v>0</v>
      </c>
      <c r="AQ47" s="9" t="s">
        <v>0</v>
      </c>
      <c r="AR47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47" s="9" t="str">
        <f>IF(OR(AR47="",AR47="-"),"-",AR47*$M47*SQRT(3)/1000)</f>
        <v>-</v>
      </c>
      <c r="AT47" s="9">
        <f>IF(RIGHT(BPD[[#This Row],[Device type]],7)="Winding","-",BPD[[#This Row],[Cont Winter MVA]])</f>
        <v>10.166397788247217</v>
      </c>
      <c r="AU47" s="9" t="str">
        <f>IF(RIGHT(BPD[[#This Row],[Device type]],7)="Winding","-",BPD[[#This Row],[Cont Shoulder MVA]])</f>
        <v>-</v>
      </c>
      <c r="AV47" s="9">
        <f>IF(RIGHT(BPD[[#This Row],[Device type]],7)="Winding","-",BPD[[#This Row],[Cont Summer MVA]])</f>
        <v>7.5194131512728157</v>
      </c>
      <c r="AW47" s="9" t="str">
        <f>BPD[[#This Row],[24 Hr Winter MVA]]</f>
        <v>-</v>
      </c>
      <c r="AX47" s="9" t="str">
        <f>BPD[[#This Row],[24 Hr Summer MVA]]</f>
        <v>-</v>
      </c>
      <c r="AY47" s="9" t="str">
        <f>BPD[[#This Row],[Forwards MVA]]</f>
        <v>-</v>
      </c>
      <c r="AZ47" s="9" t="str">
        <f>BPD[[#This Row],[Relay MVA]]</f>
        <v>-</v>
      </c>
      <c r="BA47" s="9" t="str">
        <f>BPD[[#This Row],[CT MVA]]</f>
        <v>-</v>
      </c>
      <c r="BB47" s="9" t="str">
        <f>BPD[[#This Row],[Derating MVA]]</f>
        <v>-</v>
      </c>
      <c r="BC47" s="9" t="str">
        <f>BPD[[#This Row],[Station/Feeder]]&amp;BPD[[#This Row],[Lowest MVA]]</f>
        <v>CB13_Waikakahi7.51941315127282</v>
      </c>
      <c r="BD47" s="9" t="str">
        <f>CONCATENATE(BPD[[#This Row],[Supply Level]],BPD[[#This Row],[Station/Feeder]],BPD[[#This Row],[Voltage]],BPD[[#This Row],[Lowest A-No PTX]])</f>
        <v>DistributionFeederCB13_Waikakahi11.22386.92827157178</v>
      </c>
      <c r="BE47" s="9" t="str">
        <f>CONCATENATE(BPD[[#This Row],[Supply Level]],BPD[[#This Row],[Station/Feeder]],BPD[[#This Row],[Voltage]],BPD[[#This Row],[Lowest A-PTX]])</f>
        <v>DistributionFeederCB13_Waikakahi11.22386.92827157178</v>
      </c>
      <c r="BF47" s="9">
        <f>IF(MIN(BPD[[#This Row],[Summ Cont Winter A]:[Cable Derating]])=0,"",MIN(BPD[[#This Row],[Summ Cont Winter A]:[Cable Derating]]))</f>
        <v>7.5194131512728157</v>
      </c>
      <c r="BG47" s="9">
        <f>IFERROR(BPD[[#This Row],[Lowest MVA]]*1000/(BPD[[#This Row],[Voltage]]*SQRT(3)),"")</f>
        <v>386.92827157178004</v>
      </c>
      <c r="BH47" s="9">
        <f t="shared" si="48"/>
        <v>386.92827157177999</v>
      </c>
      <c r="BI47" s="9" t="str">
        <f>BPD[[#This Row],[From]]</f>
        <v>W452 ABS</v>
      </c>
      <c r="BJ47" s="9" t="str">
        <f>BPD[[#This Row],[To]]</f>
        <v xml:space="preserve">Cable 300 mm² </v>
      </c>
      <c r="BK47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OH Line-JAGUAR</v>
      </c>
      <c r="BL47" s="9">
        <f>BPD[[#This Row],[Voltage]]</f>
        <v>11.22</v>
      </c>
    </row>
    <row r="48" spans="1:64" s="337" customFormat="1" x14ac:dyDescent="0.25">
      <c r="A48" s="6" t="str">
        <f>CONCATENATE(BPD[[#This Row],[Supply Level]],BPD[[#This Row],[Station/Feeder]],BPD[[#This Row],[Voltage]],"T2")</f>
        <v>DistributionFeederCB13_Waikakahi11.22T2</v>
      </c>
      <c r="B48" s="6" t="str">
        <f>CONCATENATE(BPD[[#This Row],[Supply Level]],BPD[[#This Row],[Station/Feeder]],BPD[[#This Row],[Equipment ID]],BPD[[#This Row],[Voltage]],BPD[[#This Row],[Device type]])</f>
        <v>DistributionFeederCB13_WaikakahiW45211.22-</v>
      </c>
      <c r="C48" s="6" t="s">
        <v>1276</v>
      </c>
      <c r="D48" s="11" t="s">
        <v>104</v>
      </c>
      <c r="E48" s="318" t="s">
        <v>1373</v>
      </c>
      <c r="F48" s="318" t="s">
        <v>1374</v>
      </c>
      <c r="G48" s="27">
        <v>6</v>
      </c>
      <c r="H48" s="39" t="s">
        <v>273</v>
      </c>
      <c r="I48" s="6" t="s">
        <v>1378</v>
      </c>
      <c r="J48" s="321" t="s">
        <v>729</v>
      </c>
      <c r="K48" s="7" t="s">
        <v>0</v>
      </c>
      <c r="L48" s="7" t="s">
        <v>0</v>
      </c>
      <c r="M48" s="43">
        <f t="shared" si="21"/>
        <v>11.22</v>
      </c>
      <c r="N48" s="9">
        <v>400</v>
      </c>
      <c r="O48" s="9">
        <f>IF(OR(N48="",N48="-"),"-",N48*$M48*SQRT(3)/1000)</f>
        <v>7.7734440243691205</v>
      </c>
      <c r="P48" s="9">
        <v>400</v>
      </c>
      <c r="Q48" s="9">
        <f>IF(OR(P48="",P48="-"),"-",P48*$M48*SQRT(3)/1000)</f>
        <v>7.7734440243691205</v>
      </c>
      <c r="R48" s="9">
        <v>400</v>
      </c>
      <c r="S48" s="9">
        <f>IF(OR(R48="",R48="-"),"-",R48*$M48*SQRT(3)/1000)</f>
        <v>7.7734440243691205</v>
      </c>
      <c r="T48" s="9" t="s">
        <v>0</v>
      </c>
      <c r="U48" s="9" t="str">
        <f>IF(OR(T48="",T48="-"),"-",T48*$M48*SQRT(3)/1000)</f>
        <v>-</v>
      </c>
      <c r="V48" s="9" t="s">
        <v>0</v>
      </c>
      <c r="W48" s="9" t="str">
        <f>IF(OR(V48="",V48="-"),"-",V48*$M48*SQRT(3)/1000)</f>
        <v>-</v>
      </c>
      <c r="X48" s="9" t="s">
        <v>0</v>
      </c>
      <c r="Y48" s="9" t="str">
        <f>IF(OR(X48="",X48="-"),"-",X48*$M48*SQRT(3)/1000)</f>
        <v>-</v>
      </c>
      <c r="Z48" s="9" t="s">
        <v>0</v>
      </c>
      <c r="AA48" s="9" t="str">
        <f>IF(OR(Z48="",Z48="-"),"-",Z48*$M48*SQRT(3)/1000)</f>
        <v>-</v>
      </c>
      <c r="AB48" s="9" t="s">
        <v>0</v>
      </c>
      <c r="AC48" s="9" t="str">
        <f>IF(OR(AB48="",AB48="-"),"-",AB48*$M48*SQRT(3)/1000)</f>
        <v>-</v>
      </c>
      <c r="AD48" s="9" t="s">
        <v>0</v>
      </c>
      <c r="AE48" s="9" t="str">
        <f>IF(OR(AD48="",AD48="-"),"-",AD48*$M48*SQRT(3)/1000)</f>
        <v>-</v>
      </c>
      <c r="AF48" s="9" t="s">
        <v>0</v>
      </c>
      <c r="AG48" s="9" t="s">
        <v>0</v>
      </c>
      <c r="AH48" s="9" t="s">
        <v>0</v>
      </c>
      <c r="AI48" s="9" t="s">
        <v>0</v>
      </c>
      <c r="AJ48" s="9" t="s">
        <v>0</v>
      </c>
      <c r="AK48" s="9" t="s">
        <v>0</v>
      </c>
      <c r="AL48" s="9" t="s">
        <v>0</v>
      </c>
      <c r="AM48" s="9" t="s">
        <v>0</v>
      </c>
      <c r="AN48" s="9" t="s">
        <v>0</v>
      </c>
      <c r="AO48" s="9" t="s">
        <v>0</v>
      </c>
      <c r="AP48" s="9" t="s">
        <v>0</v>
      </c>
      <c r="AQ48" s="9" t="s">
        <v>0</v>
      </c>
      <c r="AR48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48" s="9" t="str">
        <f>IF(OR(AR48="",AR48="-"),"-",AR48*$M48*SQRT(3)/1000)</f>
        <v>-</v>
      </c>
      <c r="AT48" s="9">
        <f>IF(RIGHT(BPD[[#This Row],[Device type]],7)="Winding","-",BPD[[#This Row],[Cont Winter MVA]])</f>
        <v>7.7734440243691205</v>
      </c>
      <c r="AU48" s="9">
        <f>IF(RIGHT(BPD[[#This Row],[Device type]],7)="Winding","-",BPD[[#This Row],[Cont Shoulder MVA]])</f>
        <v>7.7734440243691205</v>
      </c>
      <c r="AV48" s="9">
        <f>IF(RIGHT(BPD[[#This Row],[Device type]],7)="Winding","-",BPD[[#This Row],[Cont Summer MVA]])</f>
        <v>7.7734440243691205</v>
      </c>
      <c r="AW48" s="9" t="str">
        <f>BPD[[#This Row],[24 Hr Winter MVA]]</f>
        <v>-</v>
      </c>
      <c r="AX48" s="9" t="str">
        <f>BPD[[#This Row],[24 Hr Summer MVA]]</f>
        <v>-</v>
      </c>
      <c r="AY48" s="9" t="str">
        <f>BPD[[#This Row],[Forwards MVA]]</f>
        <v>-</v>
      </c>
      <c r="AZ48" s="9" t="str">
        <f>BPD[[#This Row],[Relay MVA]]</f>
        <v>-</v>
      </c>
      <c r="BA48" s="9" t="str">
        <f>BPD[[#This Row],[CT MVA]]</f>
        <v>-</v>
      </c>
      <c r="BB48" s="9" t="str">
        <f>BPD[[#This Row],[Derating MVA]]</f>
        <v>-</v>
      </c>
      <c r="BC48" s="9" t="str">
        <f>BPD[[#This Row],[Station/Feeder]]&amp;BPD[[#This Row],[Lowest MVA]]</f>
        <v>CB13_Waikakahi7.77344402436912</v>
      </c>
      <c r="BD48" s="9" t="str">
        <f>CONCATENATE(BPD[[#This Row],[Supply Level]],BPD[[#This Row],[Station/Feeder]],BPD[[#This Row],[Voltage]],BPD[[#This Row],[Lowest A-No PTX]])</f>
        <v>DistributionFeederCB13_Waikakahi11.22400</v>
      </c>
      <c r="BE48" s="9" t="str">
        <f>CONCATENATE(BPD[[#This Row],[Supply Level]],BPD[[#This Row],[Station/Feeder]],BPD[[#This Row],[Voltage]],BPD[[#This Row],[Lowest A-PTX]])</f>
        <v>DistributionFeederCB13_Waikakahi11.22400</v>
      </c>
      <c r="BF48" s="9">
        <f>IF(MIN(BPD[[#This Row],[Summ Cont Winter A]:[Cable Derating]])=0,"",MIN(BPD[[#This Row],[Summ Cont Winter A]:[Cable Derating]]))</f>
        <v>7.7734440243691205</v>
      </c>
      <c r="BG48" s="9">
        <f>IFERROR(BPD[[#This Row],[Lowest MVA]]*1000/(BPD[[#This Row],[Voltage]]*SQRT(3)),"")</f>
        <v>400</v>
      </c>
      <c r="BH48" s="9">
        <f t="shared" si="48"/>
        <v>400</v>
      </c>
      <c r="BI48" s="9" t="str">
        <f>BPD[[#This Row],[From]]</f>
        <v xml:space="preserve">Cable 300 mm² </v>
      </c>
      <c r="BJ48" s="9" t="str">
        <f>BPD[[#This Row],[To]]</f>
        <v>JAGUAR OH Line</v>
      </c>
      <c r="BK48" s="9" t="str">
        <f>IF(BPD[[#This Row],[Device type]]="-",BPD[[#This Row],[Equipment Type]]&amp;" - "&amp;BPD[[#This Row],[Equipment ID]],BPD[[#This Row],[Equipment Type]]&amp;" - "&amp;BPD[[#This Row],[Equipment ID]]&amp;" - "&amp;BPD[[#This Row],[Device type]])</f>
        <v>Air Break Switch - W452</v>
      </c>
      <c r="BL48" s="9">
        <f>BPD[[#This Row],[Voltage]]</f>
        <v>11.22</v>
      </c>
    </row>
    <row r="49" spans="1:64" s="337" customFormat="1" x14ac:dyDescent="0.25">
      <c r="A49" s="6" t="str">
        <f>CONCATENATE(BPD[[#This Row],[Supply Level]],BPD[[#This Row],[Station/Feeder]],BPD[[#This Row],[Voltage]],"T1")</f>
        <v>DistributionFeederCB1_Waihuna11.22T1</v>
      </c>
      <c r="B49" s="6" t="str">
        <f>CONCATENATE(BPD[[#This Row],[Supply Level]],BPD[[#This Row],[Station/Feeder]],BPD[[#This Row],[Equipment ID]],BPD[[#This Row],[Voltage]],BPD[[#This Row],[Device type]])</f>
        <v>DistributionFeederCB1_WaihunaBPD-T1-CB111.22Protection</v>
      </c>
      <c r="C49" s="6" t="s">
        <v>1276</v>
      </c>
      <c r="D49" s="11" t="s">
        <v>1355</v>
      </c>
      <c r="E49" s="6" t="s">
        <v>243</v>
      </c>
      <c r="F49" s="6" t="s">
        <v>722</v>
      </c>
      <c r="G49" s="27">
        <v>1</v>
      </c>
      <c r="H49" s="7" t="s">
        <v>2990</v>
      </c>
      <c r="I49" s="6" t="s">
        <v>2481</v>
      </c>
      <c r="J49" s="7" t="s">
        <v>15</v>
      </c>
      <c r="K49" s="7" t="s">
        <v>791</v>
      </c>
      <c r="L49" s="7" t="s">
        <v>1423</v>
      </c>
      <c r="M49" s="43">
        <f t="shared" si="21"/>
        <v>11.22</v>
      </c>
      <c r="N49" s="9">
        <v>800</v>
      </c>
      <c r="O49" s="9">
        <f t="shared" si="49"/>
        <v>15.546888048738241</v>
      </c>
      <c r="P49" s="9">
        <v>800</v>
      </c>
      <c r="Q49" s="9">
        <f t="shared" si="50"/>
        <v>15.546888048738241</v>
      </c>
      <c r="R49" s="9">
        <v>800</v>
      </c>
      <c r="S49" s="9">
        <f t="shared" si="2"/>
        <v>15.546888048738241</v>
      </c>
      <c r="T49" s="9" t="s">
        <v>0</v>
      </c>
      <c r="U49" s="9" t="str">
        <f t="shared" si="51"/>
        <v>-</v>
      </c>
      <c r="V49" s="9" t="s">
        <v>0</v>
      </c>
      <c r="W49" s="9" t="str">
        <f t="shared" si="52"/>
        <v>-</v>
      </c>
      <c r="X49" s="9">
        <f>VLOOKUP(BPD[[#This Row],[Equipment ID]],AEL_Protection_Data[#All],12,0)</f>
        <v>400</v>
      </c>
      <c r="Y49" s="9">
        <f t="shared" si="53"/>
        <v>7.7734440243691205</v>
      </c>
      <c r="Z49" s="9" t="s">
        <v>0</v>
      </c>
      <c r="AA49" s="9" t="str">
        <f t="shared" si="45"/>
        <v>-</v>
      </c>
      <c r="AB49" s="9" t="s">
        <v>0</v>
      </c>
      <c r="AC49" s="9" t="str">
        <f t="shared" si="46"/>
        <v>-</v>
      </c>
      <c r="AD49" s="9">
        <v>400</v>
      </c>
      <c r="AE49" s="9">
        <f t="shared" si="47"/>
        <v>7.7734440243691205</v>
      </c>
      <c r="AF49" s="9" t="s">
        <v>0</v>
      </c>
      <c r="AG49" s="9" t="s">
        <v>0</v>
      </c>
      <c r="AH49" s="9" t="s">
        <v>0</v>
      </c>
      <c r="AI49" s="9" t="s">
        <v>0</v>
      </c>
      <c r="AJ49" s="9" t="s">
        <v>0</v>
      </c>
      <c r="AK49" s="9" t="s">
        <v>0</v>
      </c>
      <c r="AL49" s="9" t="s">
        <v>0</v>
      </c>
      <c r="AM49" s="9" t="s">
        <v>0</v>
      </c>
      <c r="AN49" s="9" t="s">
        <v>0</v>
      </c>
      <c r="AO49" s="9" t="s">
        <v>0</v>
      </c>
      <c r="AP49" s="9" t="s">
        <v>0</v>
      </c>
      <c r="AQ49" s="9" t="s">
        <v>0</v>
      </c>
      <c r="AR49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49" s="9" t="str">
        <f t="shared" si="54"/>
        <v>-</v>
      </c>
      <c r="AT49" s="9">
        <f>IF(RIGHT(BPD[[#This Row],[Device type]],7)="Winding","-",BPD[[#This Row],[Cont Winter MVA]])</f>
        <v>15.546888048738241</v>
      </c>
      <c r="AU49" s="9">
        <f>IF(RIGHT(BPD[[#This Row],[Device type]],7)="Winding","-",BPD[[#This Row],[Cont Shoulder MVA]])</f>
        <v>15.546888048738241</v>
      </c>
      <c r="AV49" s="9">
        <f>IF(RIGHT(BPD[[#This Row],[Device type]],7)="Winding","-",BPD[[#This Row],[Cont Summer MVA]])</f>
        <v>15.546888048738241</v>
      </c>
      <c r="AW49" s="9" t="str">
        <f>BPD[[#This Row],[24 Hr Winter MVA]]</f>
        <v>-</v>
      </c>
      <c r="AX49" s="9" t="str">
        <f>BPD[[#This Row],[24 Hr Summer MVA]]</f>
        <v>-</v>
      </c>
      <c r="AY49" s="9">
        <f>BPD[[#This Row],[Forwards MVA]]</f>
        <v>7.7734440243691205</v>
      </c>
      <c r="AZ49" s="9" t="str">
        <f>BPD[[#This Row],[Relay MVA]]</f>
        <v>-</v>
      </c>
      <c r="BA49" s="9">
        <f>BPD[[#This Row],[CT MVA]]</f>
        <v>7.7734440243691205</v>
      </c>
      <c r="BB49" s="9" t="str">
        <f>BPD[[#This Row],[Derating MVA]]</f>
        <v>-</v>
      </c>
      <c r="BC49" s="9" t="str">
        <f>BPD[[#This Row],[Station/Feeder]]&amp;BPD[[#This Row],[Lowest MVA]]</f>
        <v>CB1_Waihuna7.77344402436912</v>
      </c>
      <c r="BD49" s="9" t="str">
        <f>CONCATENATE(BPD[[#This Row],[Supply Level]],BPD[[#This Row],[Station/Feeder]],BPD[[#This Row],[Voltage]],BPD[[#This Row],[Lowest A-No PTX]])</f>
        <v>DistributionFeederCB1_Waihuna11.22400</v>
      </c>
      <c r="BE49" s="9" t="str">
        <f>CONCATENATE(BPD[[#This Row],[Supply Level]],BPD[[#This Row],[Station/Feeder]],BPD[[#This Row],[Voltage]],BPD[[#This Row],[Lowest A-PTX]])</f>
        <v>DistributionFeederCB1_Waihuna11.22400</v>
      </c>
      <c r="BF49" s="9">
        <f>IF(MIN(BPD[[#This Row],[Summ Cont Winter A]:[Cable Derating]])=0,"",MIN(BPD[[#This Row],[Summ Cont Winter A]:[Cable Derating]]))</f>
        <v>7.7734440243691205</v>
      </c>
      <c r="BG49" s="9">
        <f>IFERROR(BPD[[#This Row],[Lowest MVA]]*1000/(BPD[[#This Row],[Voltage]]*SQRT(3)),"")</f>
        <v>400</v>
      </c>
      <c r="BH49" s="9">
        <f t="shared" si="48"/>
        <v>400</v>
      </c>
      <c r="BI49" s="9" t="str">
        <f>BPD[[#This Row],[From]]</f>
        <v>11 kV Bus</v>
      </c>
      <c r="BJ49" s="9" t="str">
        <f>BPD[[#This Row],[To]]</f>
        <v>BPD1 CB</v>
      </c>
      <c r="BK49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Breaker-BPD-T1-CB1-Protection</v>
      </c>
      <c r="BL49" s="9">
        <f>BPD[[#This Row],[Voltage]]</f>
        <v>11.22</v>
      </c>
    </row>
    <row r="50" spans="1:64" s="337" customFormat="1" x14ac:dyDescent="0.25">
      <c r="A50" s="6" t="str">
        <f>CONCATENATE(BPD[[#This Row],[Supply Level]],BPD[[#This Row],[Station/Feeder]],BPD[[#This Row],[Voltage]],"T1")</f>
        <v>DistributionFeederCB1_Waihuna11.22T1</v>
      </c>
      <c r="B50" s="6" t="str">
        <f>CONCATENATE(BPD[[#This Row],[Supply Level]],BPD[[#This Row],[Station/Feeder]],BPD[[#This Row],[Equipment ID]],BPD[[#This Row],[Voltage]],BPD[[#This Row],[Device type]])</f>
        <v>DistributionFeederCB1_Waihuna3-1c 400mm² AL XLPE11.22-</v>
      </c>
      <c r="C50" s="6" t="s">
        <v>1276</v>
      </c>
      <c r="D50" s="11" t="s">
        <v>1355</v>
      </c>
      <c r="E50" s="6" t="s">
        <v>722</v>
      </c>
      <c r="F50" s="6" t="s">
        <v>711</v>
      </c>
      <c r="G50" s="27">
        <v>2</v>
      </c>
      <c r="H50" s="39" t="s">
        <v>712</v>
      </c>
      <c r="I50" s="6" t="s">
        <v>2496</v>
      </c>
      <c r="J50" s="7" t="s">
        <v>250</v>
      </c>
      <c r="K50" s="7" t="s">
        <v>0</v>
      </c>
      <c r="L50" s="7" t="s">
        <v>0</v>
      </c>
      <c r="M50" s="43">
        <f t="shared" si="21"/>
        <v>11.22</v>
      </c>
      <c r="N50" s="9">
        <v>537</v>
      </c>
      <c r="O50" s="9">
        <f t="shared" si="49"/>
        <v>10.435848602715545</v>
      </c>
      <c r="P50" s="9">
        <v>537</v>
      </c>
      <c r="Q50" s="9">
        <f t="shared" si="50"/>
        <v>10.435848602715545</v>
      </c>
      <c r="R50" s="9">
        <v>537</v>
      </c>
      <c r="S50" s="9">
        <f t="shared" si="2"/>
        <v>10.435848602715545</v>
      </c>
      <c r="T50" s="9" t="s">
        <v>0</v>
      </c>
      <c r="U50" s="9" t="str">
        <f t="shared" si="51"/>
        <v>-</v>
      </c>
      <c r="V50" s="9" t="s">
        <v>0</v>
      </c>
      <c r="W50" s="9" t="str">
        <f t="shared" si="52"/>
        <v>-</v>
      </c>
      <c r="X50" s="9" t="s">
        <v>0</v>
      </c>
      <c r="Y50" s="9" t="str">
        <f t="shared" si="53"/>
        <v>-</v>
      </c>
      <c r="Z50" s="9" t="s">
        <v>0</v>
      </c>
      <c r="AA50" s="9" t="str">
        <f t="shared" si="45"/>
        <v>-</v>
      </c>
      <c r="AB50" s="9" t="s">
        <v>0</v>
      </c>
      <c r="AC50" s="9" t="str">
        <f t="shared" si="46"/>
        <v>-</v>
      </c>
      <c r="AD50" s="9" t="s">
        <v>0</v>
      </c>
      <c r="AE50" s="9" t="str">
        <f t="shared" si="47"/>
        <v>-</v>
      </c>
      <c r="AF50" s="9" t="s">
        <v>713</v>
      </c>
      <c r="AG50" s="9" t="s">
        <v>344</v>
      </c>
      <c r="AH50" s="9">
        <v>11.4</v>
      </c>
      <c r="AI50" s="9">
        <v>1.5</v>
      </c>
      <c r="AJ50" s="9">
        <v>0.91</v>
      </c>
      <c r="AK50" s="9">
        <v>15</v>
      </c>
      <c r="AL50" s="9">
        <v>1</v>
      </c>
      <c r="AM50" s="9">
        <v>1.2</v>
      </c>
      <c r="AN50" s="9">
        <v>1</v>
      </c>
      <c r="AO50" s="9">
        <v>2</v>
      </c>
      <c r="AP50" s="9">
        <v>0.3</v>
      </c>
      <c r="AQ50" s="9">
        <v>0.85</v>
      </c>
      <c r="AR50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415.36949999999996</v>
      </c>
      <c r="AS50" s="9">
        <f t="shared" si="54"/>
        <v>8.072128894200473</v>
      </c>
      <c r="AT50" s="9">
        <f>IF(RIGHT(BPD[[#This Row],[Device type]],7)="Winding","-",BPD[[#This Row],[Cont Winter MVA]])</f>
        <v>10.435848602715545</v>
      </c>
      <c r="AU50" s="9">
        <f>IF(RIGHT(BPD[[#This Row],[Device type]],7)="Winding","-",BPD[[#This Row],[Cont Shoulder MVA]])</f>
        <v>10.435848602715545</v>
      </c>
      <c r="AV50" s="9">
        <f>IF(RIGHT(BPD[[#This Row],[Device type]],7)="Winding","-",BPD[[#This Row],[Cont Summer MVA]])</f>
        <v>10.435848602715545</v>
      </c>
      <c r="AW50" s="9" t="str">
        <f>BPD[[#This Row],[24 Hr Winter MVA]]</f>
        <v>-</v>
      </c>
      <c r="AX50" s="9" t="str">
        <f>BPD[[#This Row],[24 Hr Summer MVA]]</f>
        <v>-</v>
      </c>
      <c r="AY50" s="9" t="str">
        <f>BPD[[#This Row],[Forwards MVA]]</f>
        <v>-</v>
      </c>
      <c r="AZ50" s="9" t="str">
        <f>BPD[[#This Row],[Relay MVA]]</f>
        <v>-</v>
      </c>
      <c r="BA50" s="9" t="str">
        <f>BPD[[#This Row],[CT MVA]]</f>
        <v>-</v>
      </c>
      <c r="BB50" s="9">
        <f>BPD[[#This Row],[Derating MVA]]</f>
        <v>8.072128894200473</v>
      </c>
      <c r="BC50" s="9" t="str">
        <f>BPD[[#This Row],[Station/Feeder]]&amp;BPD[[#This Row],[Lowest MVA]]</f>
        <v>CB1_Waihuna8.07212889420047</v>
      </c>
      <c r="BD50" s="9" t="str">
        <f>CONCATENATE(BPD[[#This Row],[Supply Level]],BPD[[#This Row],[Station/Feeder]],BPD[[#This Row],[Voltage]],BPD[[#This Row],[Lowest A-No PTX]])</f>
        <v>DistributionFeederCB1_Waihuna11.22415.3695</v>
      </c>
      <c r="BE50" s="9" t="str">
        <f>CONCATENATE(BPD[[#This Row],[Supply Level]],BPD[[#This Row],[Station/Feeder]],BPD[[#This Row],[Voltage]],BPD[[#This Row],[Lowest A-PTX]])</f>
        <v>DistributionFeederCB1_Waihuna11.22415.3695</v>
      </c>
      <c r="BF50" s="9">
        <f>IF(MIN(BPD[[#This Row],[Summ Cont Winter A]:[Cable Derating]])=0,"",MIN(BPD[[#This Row],[Summ Cont Winter A]:[Cable Derating]]))</f>
        <v>8.072128894200473</v>
      </c>
      <c r="BG50" s="9">
        <f>IFERROR(BPD[[#This Row],[Lowest MVA]]*1000/(BPD[[#This Row],[Voltage]]*SQRT(3)),"")</f>
        <v>415.36949999999996</v>
      </c>
      <c r="BH50" s="9">
        <f t="shared" si="48"/>
        <v>415.36949999999996</v>
      </c>
      <c r="BI50" s="9" t="str">
        <f>BPD[[#This Row],[From]]</f>
        <v>BPD1 CB</v>
      </c>
      <c r="BJ50" s="9" t="str">
        <f>BPD[[#This Row],[To]]</f>
        <v>Cable Joint</v>
      </c>
      <c r="BK50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Cable-3-1c 400mm² AL XLPE</v>
      </c>
      <c r="BL50" s="9">
        <f>BPD[[#This Row],[Voltage]]</f>
        <v>11.22</v>
      </c>
    </row>
    <row r="51" spans="1:64" s="337" customFormat="1" x14ac:dyDescent="0.25">
      <c r="A51" s="6" t="str">
        <f>CONCATENATE(BPD[[#This Row],[Supply Level]],BPD[[#This Row],[Station/Feeder]],BPD[[#This Row],[Voltage]],"T1")</f>
        <v>DistributionFeederCB1_Waihuna11.22T1</v>
      </c>
      <c r="B51" s="6" t="str">
        <f>CONCATENATE(BPD[[#This Row],[Supply Level]],BPD[[#This Row],[Station/Feeder]],BPD[[#This Row],[Equipment ID]],BPD[[#This Row],[Voltage]],BPD[[#This Row],[Device type]])</f>
        <v>DistributionFeederCB1_Waihuna3c 300mm² AL XLPE MDPE11.22-</v>
      </c>
      <c r="C51" s="6" t="s">
        <v>1276</v>
      </c>
      <c r="D51" s="11" t="s">
        <v>1355</v>
      </c>
      <c r="E51" s="6" t="s">
        <v>711</v>
      </c>
      <c r="F51" s="6" t="s">
        <v>711</v>
      </c>
      <c r="G51" s="27">
        <v>3</v>
      </c>
      <c r="H51" s="39" t="s">
        <v>712</v>
      </c>
      <c r="I51" s="6" t="s">
        <v>718</v>
      </c>
      <c r="J51" s="7" t="s">
        <v>250</v>
      </c>
      <c r="K51" s="7" t="s">
        <v>0</v>
      </c>
      <c r="L51" s="7" t="s">
        <v>0</v>
      </c>
      <c r="M51" s="43">
        <f t="shared" si="21"/>
        <v>11.22</v>
      </c>
      <c r="N51" s="9">
        <v>476</v>
      </c>
      <c r="O51" s="9">
        <f t="shared" si="49"/>
        <v>9.2503983889992547</v>
      </c>
      <c r="P51" s="9">
        <v>476</v>
      </c>
      <c r="Q51" s="9">
        <f t="shared" si="50"/>
        <v>9.2503983889992547</v>
      </c>
      <c r="R51" s="9">
        <v>476</v>
      </c>
      <c r="S51" s="9">
        <f t="shared" si="2"/>
        <v>9.2503983889992547</v>
      </c>
      <c r="T51" s="9" t="s">
        <v>0</v>
      </c>
      <c r="U51" s="9" t="str">
        <f t="shared" si="51"/>
        <v>-</v>
      </c>
      <c r="V51" s="9" t="s">
        <v>0</v>
      </c>
      <c r="W51" s="9" t="str">
        <f t="shared" si="52"/>
        <v>-</v>
      </c>
      <c r="X51" s="9" t="s">
        <v>0</v>
      </c>
      <c r="Y51" s="9" t="str">
        <f t="shared" si="53"/>
        <v>-</v>
      </c>
      <c r="Z51" s="9" t="s">
        <v>0</v>
      </c>
      <c r="AA51" s="9" t="str">
        <f t="shared" si="45"/>
        <v>-</v>
      </c>
      <c r="AB51" s="9" t="s">
        <v>0</v>
      </c>
      <c r="AC51" s="9" t="str">
        <f t="shared" si="46"/>
        <v>-</v>
      </c>
      <c r="AD51" s="9" t="s">
        <v>0</v>
      </c>
      <c r="AE51" s="9" t="str">
        <f t="shared" si="47"/>
        <v>-</v>
      </c>
      <c r="AF51" s="9" t="s">
        <v>716</v>
      </c>
      <c r="AG51" s="9" t="s">
        <v>265</v>
      </c>
      <c r="AH51" s="9">
        <v>83.3</v>
      </c>
      <c r="AI51" s="9">
        <v>1.2</v>
      </c>
      <c r="AJ51" s="9">
        <v>0.96</v>
      </c>
      <c r="AK51" s="9">
        <v>15</v>
      </c>
      <c r="AL51" s="9">
        <v>1</v>
      </c>
      <c r="AM51" s="9">
        <v>1.2</v>
      </c>
      <c r="AN51" s="9">
        <v>1</v>
      </c>
      <c r="AO51" s="9">
        <v>3</v>
      </c>
      <c r="AP51" s="9">
        <v>0.6</v>
      </c>
      <c r="AQ51" s="9">
        <v>0.86</v>
      </c>
      <c r="AR51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392.98559999999998</v>
      </c>
      <c r="AS51" s="9">
        <f t="shared" si="54"/>
        <v>7.6371289099577835</v>
      </c>
      <c r="AT51" s="9">
        <f>IF(RIGHT(BPD[[#This Row],[Device type]],7)="Winding","-",BPD[[#This Row],[Cont Winter MVA]])</f>
        <v>9.2503983889992547</v>
      </c>
      <c r="AU51" s="9">
        <f>IF(RIGHT(BPD[[#This Row],[Device type]],7)="Winding","-",BPD[[#This Row],[Cont Shoulder MVA]])</f>
        <v>9.2503983889992547</v>
      </c>
      <c r="AV51" s="9">
        <f>IF(RIGHT(BPD[[#This Row],[Device type]],7)="Winding","-",BPD[[#This Row],[Cont Summer MVA]])</f>
        <v>9.2503983889992547</v>
      </c>
      <c r="AW51" s="9" t="str">
        <f>BPD[[#This Row],[24 Hr Winter MVA]]</f>
        <v>-</v>
      </c>
      <c r="AX51" s="9" t="str">
        <f>BPD[[#This Row],[24 Hr Summer MVA]]</f>
        <v>-</v>
      </c>
      <c r="AY51" s="9" t="str">
        <f>BPD[[#This Row],[Forwards MVA]]</f>
        <v>-</v>
      </c>
      <c r="AZ51" s="9" t="str">
        <f>BPD[[#This Row],[Relay MVA]]</f>
        <v>-</v>
      </c>
      <c r="BA51" s="9" t="str">
        <f>BPD[[#This Row],[CT MVA]]</f>
        <v>-</v>
      </c>
      <c r="BB51" s="9">
        <f>BPD[[#This Row],[Derating MVA]]</f>
        <v>7.6371289099577835</v>
      </c>
      <c r="BC51" s="9" t="str">
        <f>BPD[[#This Row],[Station/Feeder]]&amp;BPD[[#This Row],[Lowest MVA]]</f>
        <v>CB1_Waihuna7.63712890995778</v>
      </c>
      <c r="BD51" s="9" t="str">
        <f>CONCATENATE(BPD[[#This Row],[Supply Level]],BPD[[#This Row],[Station/Feeder]],BPD[[#This Row],[Voltage]],BPD[[#This Row],[Lowest A-No PTX]])</f>
        <v>DistributionFeederCB1_Waihuna11.22392.9856</v>
      </c>
      <c r="BE51" s="9" t="str">
        <f>CONCATENATE(BPD[[#This Row],[Supply Level]],BPD[[#This Row],[Station/Feeder]],BPD[[#This Row],[Voltage]],BPD[[#This Row],[Lowest A-PTX]])</f>
        <v>DistributionFeederCB1_Waihuna11.22392.9856</v>
      </c>
      <c r="BF51" s="9">
        <f>IF(MIN(BPD[[#This Row],[Summ Cont Winter A]:[Cable Derating]])=0,"",MIN(BPD[[#This Row],[Summ Cont Winter A]:[Cable Derating]]))</f>
        <v>7.6371289099577835</v>
      </c>
      <c r="BG51" s="9">
        <f>IFERROR(BPD[[#This Row],[Lowest MVA]]*1000/(BPD[[#This Row],[Voltage]]*SQRT(3)),"")</f>
        <v>392.98559999999998</v>
      </c>
      <c r="BH51" s="9">
        <f t="shared" si="48"/>
        <v>392.98559999999998</v>
      </c>
      <c r="BI51" s="9" t="str">
        <f>BPD[[#This Row],[From]]</f>
        <v>Cable Joint</v>
      </c>
      <c r="BJ51" s="9" t="str">
        <f>BPD[[#This Row],[To]]</f>
        <v>Cable Joint</v>
      </c>
      <c r="BK51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Cable-3c 300mm² AL XLPE MDPE</v>
      </c>
      <c r="BL51" s="9">
        <f>BPD[[#This Row],[Voltage]]</f>
        <v>11.22</v>
      </c>
    </row>
    <row r="52" spans="1:64" s="337" customFormat="1" x14ac:dyDescent="0.25">
      <c r="A52" s="6" t="str">
        <f>CONCATENATE(BPD[[#This Row],[Supply Level]],BPD[[#This Row],[Station/Feeder]],BPD[[#This Row],[Voltage]],"T1")</f>
        <v>DistributionFeederCB1_Waihuna11.22T1</v>
      </c>
      <c r="B52" s="6" t="str">
        <f>CONCATENATE(BPD[[#This Row],[Supply Level]],BPD[[#This Row],[Station/Feeder]],BPD[[#This Row],[Equipment ID]],BPD[[#This Row],[Voltage]],BPD[[#This Row],[Device type]])</f>
        <v>DistributionFeederCB1_Waihuna3c 300mm² AL XLPE MDPE11.22-</v>
      </c>
      <c r="C52" s="6" t="s">
        <v>1276</v>
      </c>
      <c r="D52" s="11" t="s">
        <v>1355</v>
      </c>
      <c r="E52" s="6" t="s">
        <v>711</v>
      </c>
      <c r="F52" s="6" t="s">
        <v>723</v>
      </c>
      <c r="G52" s="27">
        <v>4</v>
      </c>
      <c r="H52" s="39" t="s">
        <v>712</v>
      </c>
      <c r="I52" s="6" t="s">
        <v>718</v>
      </c>
      <c r="J52" s="7" t="s">
        <v>250</v>
      </c>
      <c r="K52" s="7" t="s">
        <v>0</v>
      </c>
      <c r="L52" s="7" t="s">
        <v>0</v>
      </c>
      <c r="M52" s="43">
        <f t="shared" si="21"/>
        <v>11.22</v>
      </c>
      <c r="N52" s="9">
        <v>476</v>
      </c>
      <c r="O52" s="9">
        <f t="shared" si="49"/>
        <v>9.2503983889992547</v>
      </c>
      <c r="P52" s="9">
        <v>476</v>
      </c>
      <c r="Q52" s="9">
        <f t="shared" si="50"/>
        <v>9.2503983889992547</v>
      </c>
      <c r="R52" s="9">
        <v>476</v>
      </c>
      <c r="S52" s="9">
        <f t="shared" si="2"/>
        <v>9.2503983889992547</v>
      </c>
      <c r="T52" s="9" t="s">
        <v>0</v>
      </c>
      <c r="U52" s="9" t="str">
        <f t="shared" si="51"/>
        <v>-</v>
      </c>
      <c r="V52" s="9" t="s">
        <v>0</v>
      </c>
      <c r="W52" s="9" t="str">
        <f t="shared" si="52"/>
        <v>-</v>
      </c>
      <c r="X52" s="9" t="s">
        <v>0</v>
      </c>
      <c r="Y52" s="9" t="str">
        <f t="shared" si="53"/>
        <v>-</v>
      </c>
      <c r="Z52" s="9" t="s">
        <v>0</v>
      </c>
      <c r="AA52" s="9" t="str">
        <f t="shared" si="45"/>
        <v>-</v>
      </c>
      <c r="AB52" s="9" t="s">
        <v>0</v>
      </c>
      <c r="AC52" s="9" t="str">
        <f t="shared" si="46"/>
        <v>-</v>
      </c>
      <c r="AD52" s="9" t="s">
        <v>0</v>
      </c>
      <c r="AE52" s="9" t="str">
        <f t="shared" si="47"/>
        <v>-</v>
      </c>
      <c r="AF52" s="9" t="s">
        <v>716</v>
      </c>
      <c r="AG52" s="9" t="s">
        <v>265</v>
      </c>
      <c r="AH52" s="9">
        <v>90.1</v>
      </c>
      <c r="AI52" s="9">
        <v>1.2</v>
      </c>
      <c r="AJ52" s="9">
        <v>0.96</v>
      </c>
      <c r="AK52" s="9">
        <v>15</v>
      </c>
      <c r="AL52" s="9">
        <v>1</v>
      </c>
      <c r="AM52" s="9">
        <v>1.2</v>
      </c>
      <c r="AN52" s="9">
        <v>1</v>
      </c>
      <c r="AO52" s="9">
        <v>2</v>
      </c>
      <c r="AP52" s="9">
        <v>0.6</v>
      </c>
      <c r="AQ52" s="9">
        <v>0.92</v>
      </c>
      <c r="AR52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420.40319999999997</v>
      </c>
      <c r="AS52" s="9">
        <f t="shared" si="54"/>
        <v>8.1699518571641416</v>
      </c>
      <c r="AT52" s="9">
        <f>IF(RIGHT(BPD[[#This Row],[Device type]],7)="Winding","-",BPD[[#This Row],[Cont Winter MVA]])</f>
        <v>9.2503983889992547</v>
      </c>
      <c r="AU52" s="9">
        <f>IF(RIGHT(BPD[[#This Row],[Device type]],7)="Winding","-",BPD[[#This Row],[Cont Shoulder MVA]])</f>
        <v>9.2503983889992547</v>
      </c>
      <c r="AV52" s="9">
        <f>IF(RIGHT(BPD[[#This Row],[Device type]],7)="Winding","-",BPD[[#This Row],[Cont Summer MVA]])</f>
        <v>9.2503983889992547</v>
      </c>
      <c r="AW52" s="9" t="str">
        <f>BPD[[#This Row],[24 Hr Winter MVA]]</f>
        <v>-</v>
      </c>
      <c r="AX52" s="9" t="str">
        <f>BPD[[#This Row],[24 Hr Summer MVA]]</f>
        <v>-</v>
      </c>
      <c r="AY52" s="9" t="str">
        <f>BPD[[#This Row],[Forwards MVA]]</f>
        <v>-</v>
      </c>
      <c r="AZ52" s="9" t="str">
        <f>BPD[[#This Row],[Relay MVA]]</f>
        <v>-</v>
      </c>
      <c r="BA52" s="9" t="str">
        <f>BPD[[#This Row],[CT MVA]]</f>
        <v>-</v>
      </c>
      <c r="BB52" s="9">
        <f>BPD[[#This Row],[Derating MVA]]</f>
        <v>8.1699518571641416</v>
      </c>
      <c r="BC52" s="9" t="str">
        <f>BPD[[#This Row],[Station/Feeder]]&amp;BPD[[#This Row],[Lowest MVA]]</f>
        <v>CB1_Waihuna8.16995185716414</v>
      </c>
      <c r="BD52" s="9" t="str">
        <f>CONCATENATE(BPD[[#This Row],[Supply Level]],BPD[[#This Row],[Station/Feeder]],BPD[[#This Row],[Voltage]],BPD[[#This Row],[Lowest A-No PTX]])</f>
        <v>DistributionFeederCB1_Waihuna11.22420.4032</v>
      </c>
      <c r="BE52" s="9" t="str">
        <f>CONCATENATE(BPD[[#This Row],[Supply Level]],BPD[[#This Row],[Station/Feeder]],BPD[[#This Row],[Voltage]],BPD[[#This Row],[Lowest A-PTX]])</f>
        <v>DistributionFeederCB1_Waihuna11.22420.4032</v>
      </c>
      <c r="BF52" s="9">
        <f>IF(MIN(BPD[[#This Row],[Summ Cont Winter A]:[Cable Derating]])=0,"",MIN(BPD[[#This Row],[Summ Cont Winter A]:[Cable Derating]]))</f>
        <v>8.1699518571641416</v>
      </c>
      <c r="BG52" s="9">
        <f>IFERROR(BPD[[#This Row],[Lowest MVA]]*1000/(BPD[[#This Row],[Voltage]]*SQRT(3)),"")</f>
        <v>420.40320000000003</v>
      </c>
      <c r="BH52" s="9">
        <f t="shared" si="48"/>
        <v>420.40319999999997</v>
      </c>
      <c r="BI52" s="9" t="str">
        <f>BPD[[#This Row],[From]]</f>
        <v>Cable Joint</v>
      </c>
      <c r="BJ52" s="9" t="str">
        <f>BPD[[#This Row],[To]]</f>
        <v>W636 ABS</v>
      </c>
      <c r="BK52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Cable-3c 300mm² AL XLPE MDPE</v>
      </c>
      <c r="BL52" s="9">
        <f>BPD[[#This Row],[Voltage]]</f>
        <v>11.22</v>
      </c>
    </row>
    <row r="53" spans="1:64" s="337" customFormat="1" x14ac:dyDescent="0.25">
      <c r="A53" s="6" t="str">
        <f>CONCATENATE(BPD[[#This Row],[Supply Level]],BPD[[#This Row],[Station/Feeder]],BPD[[#This Row],[Voltage]],"T1")</f>
        <v>DistributionFeederCB1_Waihuna11.22T1</v>
      </c>
      <c r="B53" s="6" t="str">
        <f>CONCATENATE(BPD[[#This Row],[Supply Level]],BPD[[#This Row],[Station/Feeder]],BPD[[#This Row],[Equipment ID]],BPD[[#This Row],[Voltage]],BPD[[#This Row],[Device type]])</f>
        <v>DistributionFeederCB1_WaihunaJAGUAR11.22-</v>
      </c>
      <c r="C53" s="6" t="s">
        <v>1276</v>
      </c>
      <c r="D53" s="11" t="s">
        <v>1355</v>
      </c>
      <c r="E53" s="6" t="s">
        <v>723</v>
      </c>
      <c r="F53" s="6" t="str">
        <f>E54</f>
        <v xml:space="preserve">Cable 300 mm² </v>
      </c>
      <c r="G53" s="27">
        <v>5</v>
      </c>
      <c r="H53" s="7" t="s">
        <v>1289</v>
      </c>
      <c r="I53" s="6" t="s">
        <v>345</v>
      </c>
      <c r="J53" s="7" t="s">
        <v>69</v>
      </c>
      <c r="K53" s="7" t="s">
        <v>0</v>
      </c>
      <c r="L53" s="7" t="s">
        <v>0</v>
      </c>
      <c r="M53" s="43">
        <f t="shared" si="21"/>
        <v>11.22</v>
      </c>
      <c r="N53" s="9">
        <v>523.13480389780273</v>
      </c>
      <c r="O53" s="9">
        <f>IF(OR(N53="",N53="-"),"-",N53*$M53*SQRT(3)/1000)</f>
        <v>10.166397788247217</v>
      </c>
      <c r="P53" s="9" t="s">
        <v>0</v>
      </c>
      <c r="Q53" s="9" t="str">
        <f>IF(OR(P53="",P53="-"),"-",P53*$M53*SQRT(3)/1000)</f>
        <v>-</v>
      </c>
      <c r="R53" s="9">
        <v>386.92827157177999</v>
      </c>
      <c r="S53" s="9">
        <f>IF(OR(R53="",R53="-"),"-",R53*$M53*SQRT(3)/1000)</f>
        <v>7.5194131512728157</v>
      </c>
      <c r="T53" s="9" t="s">
        <v>0</v>
      </c>
      <c r="U53" s="9" t="str">
        <f>IF(OR(T53="",T53="-"),"-",T53*$M53*SQRT(3)/1000)</f>
        <v>-</v>
      </c>
      <c r="V53" s="9" t="s">
        <v>0</v>
      </c>
      <c r="W53" s="9" t="str">
        <f>IF(OR(V53="",V53="-"),"-",V53*$M53*SQRT(3)/1000)</f>
        <v>-</v>
      </c>
      <c r="X53" s="9" t="s">
        <v>0</v>
      </c>
      <c r="Y53" s="9" t="str">
        <f>IF(OR(X53="",X53="-"),"-",X53*$M53*SQRT(3)/1000)</f>
        <v>-</v>
      </c>
      <c r="Z53" s="9" t="s">
        <v>0</v>
      </c>
      <c r="AA53" s="9" t="str">
        <f>IF(OR(Z53="",Z53="-"),"-",Z53*$M53*SQRT(3)/1000)</f>
        <v>-</v>
      </c>
      <c r="AB53" s="9" t="s">
        <v>0</v>
      </c>
      <c r="AC53" s="9" t="str">
        <f>IF(OR(AB53="",AB53="-"),"-",AB53*$M53*SQRT(3)/1000)</f>
        <v>-</v>
      </c>
      <c r="AD53" s="9" t="s">
        <v>0</v>
      </c>
      <c r="AE53" s="9" t="str">
        <f>IF(OR(AD53="",AD53="-"),"-",AD53*$M53*SQRT(3)/1000)</f>
        <v>-</v>
      </c>
      <c r="AF53" s="9" t="s">
        <v>0</v>
      </c>
      <c r="AG53" s="9" t="s">
        <v>0</v>
      </c>
      <c r="AH53" s="9" t="s">
        <v>0</v>
      </c>
      <c r="AI53" s="9" t="s">
        <v>0</v>
      </c>
      <c r="AJ53" s="9" t="s">
        <v>0</v>
      </c>
      <c r="AK53" s="9" t="s">
        <v>0</v>
      </c>
      <c r="AL53" s="9" t="s">
        <v>0</v>
      </c>
      <c r="AM53" s="9" t="s">
        <v>0</v>
      </c>
      <c r="AN53" s="9" t="s">
        <v>0</v>
      </c>
      <c r="AO53" s="9" t="s">
        <v>0</v>
      </c>
      <c r="AP53" s="9" t="s">
        <v>0</v>
      </c>
      <c r="AQ53" s="9" t="s">
        <v>0</v>
      </c>
      <c r="AR53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53" s="9" t="str">
        <f>IF(OR(AR53="",AR53="-"),"-",AR53*$M53*SQRT(3)/1000)</f>
        <v>-</v>
      </c>
      <c r="AT53" s="9">
        <f>IF(RIGHT(BPD[[#This Row],[Device type]],7)="Winding","-",BPD[[#This Row],[Cont Winter MVA]])</f>
        <v>10.166397788247217</v>
      </c>
      <c r="AU53" s="9" t="str">
        <f>IF(RIGHT(BPD[[#This Row],[Device type]],7)="Winding","-",BPD[[#This Row],[Cont Shoulder MVA]])</f>
        <v>-</v>
      </c>
      <c r="AV53" s="9">
        <f>IF(RIGHT(BPD[[#This Row],[Device type]],7)="Winding","-",BPD[[#This Row],[Cont Summer MVA]])</f>
        <v>7.5194131512728157</v>
      </c>
      <c r="AW53" s="9" t="str">
        <f>BPD[[#This Row],[24 Hr Winter MVA]]</f>
        <v>-</v>
      </c>
      <c r="AX53" s="9" t="str">
        <f>BPD[[#This Row],[24 Hr Summer MVA]]</f>
        <v>-</v>
      </c>
      <c r="AY53" s="9" t="str">
        <f>BPD[[#This Row],[Forwards MVA]]</f>
        <v>-</v>
      </c>
      <c r="AZ53" s="9" t="str">
        <f>BPD[[#This Row],[Relay MVA]]</f>
        <v>-</v>
      </c>
      <c r="BA53" s="9" t="str">
        <f>BPD[[#This Row],[CT MVA]]</f>
        <v>-</v>
      </c>
      <c r="BB53" s="9" t="str">
        <f>BPD[[#This Row],[Derating MVA]]</f>
        <v>-</v>
      </c>
      <c r="BC53" s="9" t="str">
        <f>BPD[[#This Row],[Station/Feeder]]&amp;BPD[[#This Row],[Lowest MVA]]</f>
        <v>CB1_Waihuna7.51941315127282</v>
      </c>
      <c r="BD53" s="9" t="str">
        <f>CONCATENATE(BPD[[#This Row],[Supply Level]],BPD[[#This Row],[Station/Feeder]],BPD[[#This Row],[Voltage]],BPD[[#This Row],[Lowest A-No PTX]])</f>
        <v>DistributionFeederCB1_Waihuna11.22386.92827157178</v>
      </c>
      <c r="BE53" s="9" t="str">
        <f>CONCATENATE(BPD[[#This Row],[Supply Level]],BPD[[#This Row],[Station/Feeder]],BPD[[#This Row],[Voltage]],BPD[[#This Row],[Lowest A-PTX]])</f>
        <v>DistributionFeederCB1_Waihuna11.22386.92827157178</v>
      </c>
      <c r="BF53" s="9">
        <f>IF(MIN(BPD[[#This Row],[Summ Cont Winter A]:[Cable Derating]])=0,"",MIN(BPD[[#This Row],[Summ Cont Winter A]:[Cable Derating]]))</f>
        <v>7.5194131512728157</v>
      </c>
      <c r="BG53" s="9">
        <f>IFERROR(BPD[[#This Row],[Lowest MVA]]*1000/(BPD[[#This Row],[Voltage]]*SQRT(3)),"")</f>
        <v>386.92827157178004</v>
      </c>
      <c r="BH53" s="9">
        <f t="shared" si="48"/>
        <v>386.92827157177999</v>
      </c>
      <c r="BI53" s="9" t="str">
        <f>BPD[[#This Row],[From]]</f>
        <v>W636 ABS</v>
      </c>
      <c r="BJ53" s="9" t="str">
        <f>BPD[[#This Row],[To]]</f>
        <v xml:space="preserve">Cable 300 mm² </v>
      </c>
      <c r="BK53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OH Line-JAGUAR</v>
      </c>
      <c r="BL53" s="9">
        <f>BPD[[#This Row],[Voltage]]</f>
        <v>11.22</v>
      </c>
    </row>
    <row r="54" spans="1:64" s="337" customFormat="1" x14ac:dyDescent="0.25">
      <c r="A54" s="6" t="str">
        <f>CONCATENATE(BPD[[#This Row],[Supply Level]],BPD[[#This Row],[Station/Feeder]],BPD[[#This Row],[Voltage]],"T1")</f>
        <v>DistributionFeederCB1_Waihuna11.22T1</v>
      </c>
      <c r="B54" s="6" t="str">
        <f>CONCATENATE(BPD[[#This Row],[Supply Level]],BPD[[#This Row],[Station/Feeder]],BPD[[#This Row],[Equipment ID]],BPD[[#This Row],[Voltage]],BPD[[#This Row],[Device type]])</f>
        <v>DistributionFeederCB1_WaihunaW63611.22-</v>
      </c>
      <c r="C54" s="6" t="s">
        <v>1276</v>
      </c>
      <c r="D54" s="11" t="s">
        <v>1355</v>
      </c>
      <c r="E54" s="318" t="s">
        <v>1373</v>
      </c>
      <c r="F54" s="318" t="s">
        <v>1374</v>
      </c>
      <c r="G54" s="27">
        <v>6</v>
      </c>
      <c r="H54" s="39" t="s">
        <v>273</v>
      </c>
      <c r="I54" s="6" t="s">
        <v>1379</v>
      </c>
      <c r="J54" s="321" t="s">
        <v>729</v>
      </c>
      <c r="K54" s="7" t="s">
        <v>0</v>
      </c>
      <c r="L54" s="7" t="s">
        <v>0</v>
      </c>
      <c r="M54" s="43">
        <f t="shared" si="21"/>
        <v>11.22</v>
      </c>
      <c r="N54" s="9">
        <v>600</v>
      </c>
      <c r="O54" s="9">
        <f>IF(OR(N54="",N54="-"),"-",N54*$M54*SQRT(3)/1000)</f>
        <v>11.660166036553681</v>
      </c>
      <c r="P54" s="9">
        <v>600</v>
      </c>
      <c r="Q54" s="9">
        <f>IF(OR(P54="",P54="-"),"-",P54*$M54*SQRT(3)/1000)</f>
        <v>11.660166036553681</v>
      </c>
      <c r="R54" s="9">
        <v>600</v>
      </c>
      <c r="S54" s="9">
        <f>IF(OR(R54="",R54="-"),"-",R54*$M54*SQRT(3)/1000)</f>
        <v>11.660166036553681</v>
      </c>
      <c r="T54" s="9" t="s">
        <v>0</v>
      </c>
      <c r="U54" s="9" t="str">
        <f>IF(OR(T54="",T54="-"),"-",T54*$M54*SQRT(3)/1000)</f>
        <v>-</v>
      </c>
      <c r="V54" s="9" t="s">
        <v>0</v>
      </c>
      <c r="W54" s="9" t="str">
        <f>IF(OR(V54="",V54="-"),"-",V54*$M54*SQRT(3)/1000)</f>
        <v>-</v>
      </c>
      <c r="X54" s="9" t="s">
        <v>0</v>
      </c>
      <c r="Y54" s="9" t="str">
        <f>IF(OR(X54="",X54="-"),"-",X54*$M54*SQRT(3)/1000)</f>
        <v>-</v>
      </c>
      <c r="Z54" s="9" t="s">
        <v>0</v>
      </c>
      <c r="AA54" s="9" t="str">
        <f>IF(OR(Z54="",Z54="-"),"-",Z54*$M54*SQRT(3)/1000)</f>
        <v>-</v>
      </c>
      <c r="AB54" s="9" t="s">
        <v>0</v>
      </c>
      <c r="AC54" s="9" t="str">
        <f>IF(OR(AB54="",AB54="-"),"-",AB54*$M54*SQRT(3)/1000)</f>
        <v>-</v>
      </c>
      <c r="AD54" s="9" t="s">
        <v>0</v>
      </c>
      <c r="AE54" s="9" t="str">
        <f>IF(OR(AD54="",AD54="-"),"-",AD54*$M54*SQRT(3)/1000)</f>
        <v>-</v>
      </c>
      <c r="AF54" s="9" t="s">
        <v>0</v>
      </c>
      <c r="AG54" s="9" t="s">
        <v>0</v>
      </c>
      <c r="AH54" s="9" t="s">
        <v>0</v>
      </c>
      <c r="AI54" s="9" t="s">
        <v>0</v>
      </c>
      <c r="AJ54" s="9" t="s">
        <v>0</v>
      </c>
      <c r="AK54" s="9" t="s">
        <v>0</v>
      </c>
      <c r="AL54" s="9" t="s">
        <v>0</v>
      </c>
      <c r="AM54" s="9" t="s">
        <v>0</v>
      </c>
      <c r="AN54" s="9" t="s">
        <v>0</v>
      </c>
      <c r="AO54" s="9" t="s">
        <v>0</v>
      </c>
      <c r="AP54" s="9" t="s">
        <v>0</v>
      </c>
      <c r="AQ54" s="9" t="s">
        <v>0</v>
      </c>
      <c r="AR54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54" s="9" t="str">
        <f>IF(OR(AR54="",AR54="-"),"-",AR54*$M54*SQRT(3)/1000)</f>
        <v>-</v>
      </c>
      <c r="AT54" s="9">
        <f>IF(RIGHT(BPD[[#This Row],[Device type]],7)="Winding","-",BPD[[#This Row],[Cont Winter MVA]])</f>
        <v>11.660166036553681</v>
      </c>
      <c r="AU54" s="9">
        <f>IF(RIGHT(BPD[[#This Row],[Device type]],7)="Winding","-",BPD[[#This Row],[Cont Shoulder MVA]])</f>
        <v>11.660166036553681</v>
      </c>
      <c r="AV54" s="9">
        <f>IF(RIGHT(BPD[[#This Row],[Device type]],7)="Winding","-",BPD[[#This Row],[Cont Summer MVA]])</f>
        <v>11.660166036553681</v>
      </c>
      <c r="AW54" s="9" t="str">
        <f>BPD[[#This Row],[24 Hr Winter MVA]]</f>
        <v>-</v>
      </c>
      <c r="AX54" s="9" t="str">
        <f>BPD[[#This Row],[24 Hr Summer MVA]]</f>
        <v>-</v>
      </c>
      <c r="AY54" s="9" t="str">
        <f>BPD[[#This Row],[Forwards MVA]]</f>
        <v>-</v>
      </c>
      <c r="AZ54" s="9" t="str">
        <f>BPD[[#This Row],[Relay MVA]]</f>
        <v>-</v>
      </c>
      <c r="BA54" s="9" t="str">
        <f>BPD[[#This Row],[CT MVA]]</f>
        <v>-</v>
      </c>
      <c r="BB54" s="9" t="str">
        <f>BPD[[#This Row],[Derating MVA]]</f>
        <v>-</v>
      </c>
      <c r="BC54" s="9" t="str">
        <f>BPD[[#This Row],[Station/Feeder]]&amp;BPD[[#This Row],[Lowest MVA]]</f>
        <v>CB1_Waihuna11.6601660365537</v>
      </c>
      <c r="BD54" s="9" t="str">
        <f>CONCATENATE(BPD[[#This Row],[Supply Level]],BPD[[#This Row],[Station/Feeder]],BPD[[#This Row],[Voltage]],BPD[[#This Row],[Lowest A-No PTX]])</f>
        <v>DistributionFeederCB1_Waihuna11.22600</v>
      </c>
      <c r="BE54" s="9" t="str">
        <f>CONCATENATE(BPD[[#This Row],[Supply Level]],BPD[[#This Row],[Station/Feeder]],BPD[[#This Row],[Voltage]],BPD[[#This Row],[Lowest A-PTX]])</f>
        <v>DistributionFeederCB1_Waihuna11.22600</v>
      </c>
      <c r="BF54" s="9">
        <f>IF(MIN(BPD[[#This Row],[Summ Cont Winter A]:[Cable Derating]])=0,"",MIN(BPD[[#This Row],[Summ Cont Winter A]:[Cable Derating]]))</f>
        <v>11.660166036553681</v>
      </c>
      <c r="BG54" s="9">
        <f>IFERROR(BPD[[#This Row],[Lowest MVA]]*1000/(BPD[[#This Row],[Voltage]]*SQRT(3)),"")</f>
        <v>600</v>
      </c>
      <c r="BH54" s="9">
        <f t="shared" si="48"/>
        <v>600</v>
      </c>
      <c r="BI54" s="9" t="str">
        <f>BPD[[#This Row],[From]]</f>
        <v xml:space="preserve">Cable 300 mm² </v>
      </c>
      <c r="BJ54" s="9" t="str">
        <f>BPD[[#This Row],[To]]</f>
        <v>JAGUAR OH Line</v>
      </c>
      <c r="BK54" s="9" t="str">
        <f>IF(BPD[[#This Row],[Device type]]="-",BPD[[#This Row],[Equipment Type]]&amp;" - "&amp;BPD[[#This Row],[Equipment ID]],BPD[[#This Row],[Equipment Type]]&amp;" - "&amp;BPD[[#This Row],[Equipment ID]]&amp;" - "&amp;BPD[[#This Row],[Device type]])</f>
        <v>Air Break Switch - W636</v>
      </c>
      <c r="BL54" s="9">
        <f>BPD[[#This Row],[Voltage]]</f>
        <v>11.22</v>
      </c>
    </row>
    <row r="55" spans="1:64" s="337" customFormat="1" x14ac:dyDescent="0.25">
      <c r="A55" s="6" t="str">
        <f>CONCATENATE(BPD[[#This Row],[Supply Level]],BPD[[#This Row],[Station/Feeder]],BPD[[#This Row],[Voltage]],"T1")</f>
        <v>DistributionFeederCB2_Tawai11.22T1</v>
      </c>
      <c r="B55" s="6" t="str">
        <f>CONCATENATE(BPD[[#This Row],[Supply Level]],BPD[[#This Row],[Station/Feeder]],BPD[[#This Row],[Equipment ID]],BPD[[#This Row],[Voltage]],BPD[[#This Row],[Device type]])</f>
        <v>DistributionFeederCB2_TawaiBPD-T1-CB211.22Protection</v>
      </c>
      <c r="C55" s="6" t="s">
        <v>1276</v>
      </c>
      <c r="D55" s="11" t="s">
        <v>1354</v>
      </c>
      <c r="E55" s="6" t="s">
        <v>243</v>
      </c>
      <c r="F55" s="6" t="s">
        <v>724</v>
      </c>
      <c r="G55" s="27">
        <v>1</v>
      </c>
      <c r="H55" s="7" t="s">
        <v>2990</v>
      </c>
      <c r="I55" s="6" t="s">
        <v>2482</v>
      </c>
      <c r="J55" s="7" t="s">
        <v>15</v>
      </c>
      <c r="K55" s="7" t="s">
        <v>791</v>
      </c>
      <c r="L55" s="7" t="s">
        <v>1423</v>
      </c>
      <c r="M55" s="43">
        <f t="shared" si="21"/>
        <v>11.22</v>
      </c>
      <c r="N55" s="9">
        <v>800</v>
      </c>
      <c r="O55" s="9">
        <f t="shared" si="49"/>
        <v>15.546888048738241</v>
      </c>
      <c r="P55" s="9">
        <v>800</v>
      </c>
      <c r="Q55" s="9">
        <f t="shared" si="50"/>
        <v>15.546888048738241</v>
      </c>
      <c r="R55" s="9">
        <v>800</v>
      </c>
      <c r="S55" s="9">
        <f t="shared" si="2"/>
        <v>15.546888048738241</v>
      </c>
      <c r="T55" s="9" t="s">
        <v>0</v>
      </c>
      <c r="U55" s="9" t="str">
        <f t="shared" si="51"/>
        <v>-</v>
      </c>
      <c r="V55" s="9" t="s">
        <v>0</v>
      </c>
      <c r="W55" s="9" t="str">
        <f t="shared" si="52"/>
        <v>-</v>
      </c>
      <c r="X55" s="9">
        <f>VLOOKUP(BPD[[#This Row],[Equipment ID]],AEL_Protection_Data[#All],12,0)</f>
        <v>400</v>
      </c>
      <c r="Y55" s="9">
        <f t="shared" si="53"/>
        <v>7.7734440243691205</v>
      </c>
      <c r="Z55" s="9" t="s">
        <v>0</v>
      </c>
      <c r="AA55" s="9" t="str">
        <f t="shared" si="45"/>
        <v>-</v>
      </c>
      <c r="AB55" s="9" t="s">
        <v>0</v>
      </c>
      <c r="AC55" s="9" t="str">
        <f t="shared" si="46"/>
        <v>-</v>
      </c>
      <c r="AD55" s="9">
        <v>400</v>
      </c>
      <c r="AE55" s="9">
        <f t="shared" si="47"/>
        <v>7.7734440243691205</v>
      </c>
      <c r="AF55" s="9" t="s">
        <v>0</v>
      </c>
      <c r="AG55" s="9" t="s">
        <v>0</v>
      </c>
      <c r="AH55" s="9" t="s">
        <v>0</v>
      </c>
      <c r="AI55" s="9" t="s">
        <v>0</v>
      </c>
      <c r="AJ55" s="9" t="s">
        <v>0</v>
      </c>
      <c r="AK55" s="9" t="s">
        <v>0</v>
      </c>
      <c r="AL55" s="9" t="s">
        <v>0</v>
      </c>
      <c r="AM55" s="9" t="s">
        <v>0</v>
      </c>
      <c r="AN55" s="9" t="s">
        <v>0</v>
      </c>
      <c r="AO55" s="9" t="s">
        <v>0</v>
      </c>
      <c r="AP55" s="9" t="s">
        <v>0</v>
      </c>
      <c r="AQ55" s="9" t="s">
        <v>0</v>
      </c>
      <c r="AR55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55" s="9" t="str">
        <f t="shared" si="54"/>
        <v>-</v>
      </c>
      <c r="AT55" s="9">
        <f>IF(RIGHT(BPD[[#This Row],[Device type]],7)="Winding","-",BPD[[#This Row],[Cont Winter MVA]])</f>
        <v>15.546888048738241</v>
      </c>
      <c r="AU55" s="9">
        <f>IF(RIGHT(BPD[[#This Row],[Device type]],7)="Winding","-",BPD[[#This Row],[Cont Shoulder MVA]])</f>
        <v>15.546888048738241</v>
      </c>
      <c r="AV55" s="9">
        <f>IF(RIGHT(BPD[[#This Row],[Device type]],7)="Winding","-",BPD[[#This Row],[Cont Summer MVA]])</f>
        <v>15.546888048738241</v>
      </c>
      <c r="AW55" s="9" t="str">
        <f>BPD[[#This Row],[24 Hr Winter MVA]]</f>
        <v>-</v>
      </c>
      <c r="AX55" s="9" t="str">
        <f>BPD[[#This Row],[24 Hr Summer MVA]]</f>
        <v>-</v>
      </c>
      <c r="AY55" s="9">
        <f>BPD[[#This Row],[Forwards MVA]]</f>
        <v>7.7734440243691205</v>
      </c>
      <c r="AZ55" s="9" t="str">
        <f>BPD[[#This Row],[Relay MVA]]</f>
        <v>-</v>
      </c>
      <c r="BA55" s="9">
        <f>BPD[[#This Row],[CT MVA]]</f>
        <v>7.7734440243691205</v>
      </c>
      <c r="BB55" s="9" t="str">
        <f>BPD[[#This Row],[Derating MVA]]</f>
        <v>-</v>
      </c>
      <c r="BC55" s="9" t="str">
        <f>BPD[[#This Row],[Station/Feeder]]&amp;BPD[[#This Row],[Lowest MVA]]</f>
        <v>CB2_Tawai7.77344402436912</v>
      </c>
      <c r="BD55" s="9" t="str">
        <f>CONCATENATE(BPD[[#This Row],[Supply Level]],BPD[[#This Row],[Station/Feeder]],BPD[[#This Row],[Voltage]],BPD[[#This Row],[Lowest A-No PTX]])</f>
        <v>DistributionFeederCB2_Tawai11.22400</v>
      </c>
      <c r="BE55" s="9" t="str">
        <f>CONCATENATE(BPD[[#This Row],[Supply Level]],BPD[[#This Row],[Station/Feeder]],BPD[[#This Row],[Voltage]],BPD[[#This Row],[Lowest A-PTX]])</f>
        <v>DistributionFeederCB2_Tawai11.22400</v>
      </c>
      <c r="BF55" s="9">
        <f>IF(MIN(BPD[[#This Row],[Summ Cont Winter A]:[Cable Derating]])=0,"",MIN(BPD[[#This Row],[Summ Cont Winter A]:[Cable Derating]]))</f>
        <v>7.7734440243691205</v>
      </c>
      <c r="BG55" s="9">
        <f>IFERROR(BPD[[#This Row],[Lowest MVA]]*1000/(BPD[[#This Row],[Voltage]]*SQRT(3)),"")</f>
        <v>400</v>
      </c>
      <c r="BH55" s="9">
        <f t="shared" si="48"/>
        <v>400</v>
      </c>
      <c r="BI55" s="9" t="str">
        <f>BPD[[#This Row],[From]]</f>
        <v>11 kV Bus</v>
      </c>
      <c r="BJ55" s="9" t="str">
        <f>BPD[[#This Row],[To]]</f>
        <v>BPD2 CB</v>
      </c>
      <c r="BK55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Breaker-BPD-T1-CB2-Protection</v>
      </c>
      <c r="BL55" s="9">
        <f>BPD[[#This Row],[Voltage]]</f>
        <v>11.22</v>
      </c>
    </row>
    <row r="56" spans="1:64" s="337" customFormat="1" x14ac:dyDescent="0.25">
      <c r="A56" s="6" t="str">
        <f>CONCATENATE(BPD[[#This Row],[Supply Level]],BPD[[#This Row],[Station/Feeder]],BPD[[#This Row],[Voltage]],"T1")</f>
        <v>DistributionFeederCB2_Tawai11.22T1</v>
      </c>
      <c r="B56" s="6" t="str">
        <f>CONCATENATE(BPD[[#This Row],[Supply Level]],BPD[[#This Row],[Station/Feeder]],BPD[[#This Row],[Equipment ID]],BPD[[#This Row],[Voltage]],BPD[[#This Row],[Device type]])</f>
        <v>DistributionFeederCB2_Tawai3-1c 400mm² AL XLPE11.22-</v>
      </c>
      <c r="C56" s="6" t="s">
        <v>1276</v>
      </c>
      <c r="D56" s="11" t="s">
        <v>1354</v>
      </c>
      <c r="E56" s="14" t="s">
        <v>724</v>
      </c>
      <c r="F56" s="6" t="s">
        <v>711</v>
      </c>
      <c r="G56" s="28">
        <v>2</v>
      </c>
      <c r="H56" s="39" t="s">
        <v>712</v>
      </c>
      <c r="I56" s="14" t="s">
        <v>2496</v>
      </c>
      <c r="J56" s="39" t="s">
        <v>250</v>
      </c>
      <c r="K56" s="7" t="s">
        <v>0</v>
      </c>
      <c r="L56" s="7" t="s">
        <v>0</v>
      </c>
      <c r="M56" s="138">
        <f t="shared" si="21"/>
        <v>11.22</v>
      </c>
      <c r="N56" s="9">
        <v>537</v>
      </c>
      <c r="O56" s="9">
        <f t="shared" si="49"/>
        <v>10.435848602715545</v>
      </c>
      <c r="P56" s="9">
        <v>537</v>
      </c>
      <c r="Q56" s="9">
        <f t="shared" si="50"/>
        <v>10.435848602715545</v>
      </c>
      <c r="R56" s="9">
        <v>537</v>
      </c>
      <c r="S56" s="9">
        <f t="shared" si="2"/>
        <v>10.435848602715545</v>
      </c>
      <c r="T56" s="9" t="s">
        <v>0</v>
      </c>
      <c r="U56" s="9" t="str">
        <f t="shared" si="51"/>
        <v>-</v>
      </c>
      <c r="V56" s="9" t="s">
        <v>0</v>
      </c>
      <c r="W56" s="9" t="str">
        <f t="shared" si="52"/>
        <v>-</v>
      </c>
      <c r="X56" s="9" t="s">
        <v>0</v>
      </c>
      <c r="Y56" s="9" t="str">
        <f t="shared" si="53"/>
        <v>-</v>
      </c>
      <c r="Z56" s="9" t="s">
        <v>0</v>
      </c>
      <c r="AA56" s="9" t="str">
        <f t="shared" si="45"/>
        <v>-</v>
      </c>
      <c r="AB56" s="9" t="s">
        <v>0</v>
      </c>
      <c r="AC56" s="9" t="str">
        <f t="shared" si="46"/>
        <v>-</v>
      </c>
      <c r="AD56" s="9" t="s">
        <v>0</v>
      </c>
      <c r="AE56" s="9" t="str">
        <f t="shared" si="47"/>
        <v>-</v>
      </c>
      <c r="AF56" s="9" t="s">
        <v>713</v>
      </c>
      <c r="AG56" s="9" t="s">
        <v>344</v>
      </c>
      <c r="AH56" s="9">
        <v>8.9</v>
      </c>
      <c r="AI56" s="9">
        <v>1.5</v>
      </c>
      <c r="AJ56" s="9">
        <v>0.91</v>
      </c>
      <c r="AK56" s="9">
        <v>15</v>
      </c>
      <c r="AL56" s="9">
        <v>1</v>
      </c>
      <c r="AM56" s="9">
        <v>1.2</v>
      </c>
      <c r="AN56" s="9">
        <v>1</v>
      </c>
      <c r="AO56" s="9">
        <v>2</v>
      </c>
      <c r="AP56" s="9">
        <v>0.3</v>
      </c>
      <c r="AQ56" s="9">
        <v>0.85</v>
      </c>
      <c r="AR56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415.36949999999996</v>
      </c>
      <c r="AS56" s="9">
        <f t="shared" si="54"/>
        <v>8.072128894200473</v>
      </c>
      <c r="AT56" s="9">
        <f>IF(RIGHT(BPD[[#This Row],[Device type]],7)="Winding","-",BPD[[#This Row],[Cont Winter MVA]])</f>
        <v>10.435848602715545</v>
      </c>
      <c r="AU56" s="9">
        <f>IF(RIGHT(BPD[[#This Row],[Device type]],7)="Winding","-",BPD[[#This Row],[Cont Shoulder MVA]])</f>
        <v>10.435848602715545</v>
      </c>
      <c r="AV56" s="9">
        <f>IF(RIGHT(BPD[[#This Row],[Device type]],7)="Winding","-",BPD[[#This Row],[Cont Summer MVA]])</f>
        <v>10.435848602715545</v>
      </c>
      <c r="AW56" s="9" t="str">
        <f>BPD[[#This Row],[24 Hr Winter MVA]]</f>
        <v>-</v>
      </c>
      <c r="AX56" s="9" t="str">
        <f>BPD[[#This Row],[24 Hr Summer MVA]]</f>
        <v>-</v>
      </c>
      <c r="AY56" s="9" t="str">
        <f>BPD[[#This Row],[Forwards MVA]]</f>
        <v>-</v>
      </c>
      <c r="AZ56" s="9" t="str">
        <f>BPD[[#This Row],[Relay MVA]]</f>
        <v>-</v>
      </c>
      <c r="BA56" s="9" t="str">
        <f>BPD[[#This Row],[CT MVA]]</f>
        <v>-</v>
      </c>
      <c r="BB56" s="9">
        <f>BPD[[#This Row],[Derating MVA]]</f>
        <v>8.072128894200473</v>
      </c>
      <c r="BC56" s="9" t="str">
        <f>BPD[[#This Row],[Station/Feeder]]&amp;BPD[[#This Row],[Lowest MVA]]</f>
        <v>CB2_Tawai8.07212889420047</v>
      </c>
      <c r="BD56" s="9" t="str">
        <f>CONCATENATE(BPD[[#This Row],[Supply Level]],BPD[[#This Row],[Station/Feeder]],BPD[[#This Row],[Voltage]],BPD[[#This Row],[Lowest A-No PTX]])</f>
        <v>DistributionFeederCB2_Tawai11.22415.3695</v>
      </c>
      <c r="BE56" s="9" t="str">
        <f>CONCATENATE(BPD[[#This Row],[Supply Level]],BPD[[#This Row],[Station/Feeder]],BPD[[#This Row],[Voltage]],BPD[[#This Row],[Lowest A-PTX]])</f>
        <v>DistributionFeederCB2_Tawai11.22415.3695</v>
      </c>
      <c r="BF56" s="9">
        <f>IF(MIN(BPD[[#This Row],[Summ Cont Winter A]:[Cable Derating]])=0,"",MIN(BPD[[#This Row],[Summ Cont Winter A]:[Cable Derating]]))</f>
        <v>8.072128894200473</v>
      </c>
      <c r="BG56" s="9">
        <f>IFERROR(BPD[[#This Row],[Lowest MVA]]*1000/(BPD[[#This Row],[Voltage]]*SQRT(3)),"")</f>
        <v>415.36949999999996</v>
      </c>
      <c r="BH56" s="9">
        <f t="shared" si="48"/>
        <v>415.36949999999996</v>
      </c>
      <c r="BI56" s="9" t="str">
        <f>BPD[[#This Row],[From]]</f>
        <v>BPD2 CB</v>
      </c>
      <c r="BJ56" s="9" t="str">
        <f>BPD[[#This Row],[To]]</f>
        <v>Cable Joint</v>
      </c>
      <c r="BK56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Cable-3-1c 400mm² AL XLPE</v>
      </c>
      <c r="BL56" s="9">
        <f>BPD[[#This Row],[Voltage]]</f>
        <v>11.22</v>
      </c>
    </row>
    <row r="57" spans="1:64" s="337" customFormat="1" x14ac:dyDescent="0.25">
      <c r="A57" s="6" t="str">
        <f>CONCATENATE(BPD[[#This Row],[Supply Level]],BPD[[#This Row],[Station/Feeder]],BPD[[#This Row],[Voltage]],"T1")</f>
        <v>DistributionFeederCB2_Tawai11.22T1</v>
      </c>
      <c r="B57" s="6" t="str">
        <f>CONCATENATE(BPD[[#This Row],[Supply Level]],BPD[[#This Row],[Station/Feeder]],BPD[[#This Row],[Equipment ID]],BPD[[#This Row],[Voltage]],BPD[[#This Row],[Device type]])</f>
        <v>DistributionFeederCB2_Tawai3c 300mm² AL XLPE MDPE11.22-</v>
      </c>
      <c r="C57" s="6" t="s">
        <v>1276</v>
      </c>
      <c r="D57" s="11" t="s">
        <v>1354</v>
      </c>
      <c r="E57" s="6" t="s">
        <v>711</v>
      </c>
      <c r="F57" s="6" t="s">
        <v>711</v>
      </c>
      <c r="G57" s="27">
        <v>3</v>
      </c>
      <c r="H57" s="39" t="s">
        <v>712</v>
      </c>
      <c r="I57" s="6" t="s">
        <v>718</v>
      </c>
      <c r="J57" s="7" t="s">
        <v>250</v>
      </c>
      <c r="K57" s="7" t="s">
        <v>0</v>
      </c>
      <c r="L57" s="7" t="s">
        <v>0</v>
      </c>
      <c r="M57" s="43">
        <f t="shared" si="21"/>
        <v>11.22</v>
      </c>
      <c r="N57" s="9">
        <v>476</v>
      </c>
      <c r="O57" s="9">
        <f t="shared" si="49"/>
        <v>9.2503983889992547</v>
      </c>
      <c r="P57" s="9">
        <v>476</v>
      </c>
      <c r="Q57" s="9">
        <f t="shared" si="50"/>
        <v>9.2503983889992547</v>
      </c>
      <c r="R57" s="9">
        <v>476</v>
      </c>
      <c r="S57" s="9">
        <f t="shared" si="2"/>
        <v>9.2503983889992547</v>
      </c>
      <c r="T57" s="9" t="s">
        <v>0</v>
      </c>
      <c r="U57" s="9" t="str">
        <f t="shared" si="51"/>
        <v>-</v>
      </c>
      <c r="V57" s="9" t="s">
        <v>0</v>
      </c>
      <c r="W57" s="9" t="str">
        <f t="shared" si="52"/>
        <v>-</v>
      </c>
      <c r="X57" s="9" t="s">
        <v>0</v>
      </c>
      <c r="Y57" s="9" t="str">
        <f t="shared" si="53"/>
        <v>-</v>
      </c>
      <c r="Z57" s="9" t="s">
        <v>0</v>
      </c>
      <c r="AA57" s="9" t="str">
        <f t="shared" si="45"/>
        <v>-</v>
      </c>
      <c r="AB57" s="9" t="s">
        <v>0</v>
      </c>
      <c r="AC57" s="9" t="str">
        <f t="shared" si="46"/>
        <v>-</v>
      </c>
      <c r="AD57" s="9" t="s">
        <v>0</v>
      </c>
      <c r="AE57" s="9" t="str">
        <f t="shared" si="47"/>
        <v>-</v>
      </c>
      <c r="AF57" s="9" t="s">
        <v>716</v>
      </c>
      <c r="AG57" s="9" t="s">
        <v>265</v>
      </c>
      <c r="AH57" s="9">
        <v>708.7</v>
      </c>
      <c r="AI57" s="9">
        <v>1.2</v>
      </c>
      <c r="AJ57" s="9">
        <v>0.96</v>
      </c>
      <c r="AK57" s="9">
        <v>15</v>
      </c>
      <c r="AL57" s="9">
        <v>1</v>
      </c>
      <c r="AM57" s="9">
        <v>1.2</v>
      </c>
      <c r="AN57" s="9">
        <v>1</v>
      </c>
      <c r="AO57" s="9">
        <v>3</v>
      </c>
      <c r="AP57" s="9">
        <v>0.6</v>
      </c>
      <c r="AQ57" s="9">
        <v>0.86</v>
      </c>
      <c r="AR57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392.98559999999998</v>
      </c>
      <c r="AS57" s="9">
        <f t="shared" si="54"/>
        <v>7.6371289099577835</v>
      </c>
      <c r="AT57" s="9">
        <f>IF(RIGHT(BPD[[#This Row],[Device type]],7)="Winding","-",BPD[[#This Row],[Cont Winter MVA]])</f>
        <v>9.2503983889992547</v>
      </c>
      <c r="AU57" s="9">
        <f>IF(RIGHT(BPD[[#This Row],[Device type]],7)="Winding","-",BPD[[#This Row],[Cont Shoulder MVA]])</f>
        <v>9.2503983889992547</v>
      </c>
      <c r="AV57" s="9">
        <f>IF(RIGHT(BPD[[#This Row],[Device type]],7)="Winding","-",BPD[[#This Row],[Cont Summer MVA]])</f>
        <v>9.2503983889992547</v>
      </c>
      <c r="AW57" s="9" t="str">
        <f>BPD[[#This Row],[24 Hr Winter MVA]]</f>
        <v>-</v>
      </c>
      <c r="AX57" s="9" t="str">
        <f>BPD[[#This Row],[24 Hr Summer MVA]]</f>
        <v>-</v>
      </c>
      <c r="AY57" s="9" t="str">
        <f>BPD[[#This Row],[Forwards MVA]]</f>
        <v>-</v>
      </c>
      <c r="AZ57" s="9" t="str">
        <f>BPD[[#This Row],[Relay MVA]]</f>
        <v>-</v>
      </c>
      <c r="BA57" s="9" t="str">
        <f>BPD[[#This Row],[CT MVA]]</f>
        <v>-</v>
      </c>
      <c r="BB57" s="9">
        <f>BPD[[#This Row],[Derating MVA]]</f>
        <v>7.6371289099577835</v>
      </c>
      <c r="BC57" s="9" t="str">
        <f>BPD[[#This Row],[Station/Feeder]]&amp;BPD[[#This Row],[Lowest MVA]]</f>
        <v>CB2_Tawai7.63712890995778</v>
      </c>
      <c r="BD57" s="9" t="str">
        <f>CONCATENATE(BPD[[#This Row],[Supply Level]],BPD[[#This Row],[Station/Feeder]],BPD[[#This Row],[Voltage]],BPD[[#This Row],[Lowest A-No PTX]])</f>
        <v>DistributionFeederCB2_Tawai11.22392.9856</v>
      </c>
      <c r="BE57" s="9" t="str">
        <f>CONCATENATE(BPD[[#This Row],[Supply Level]],BPD[[#This Row],[Station/Feeder]],BPD[[#This Row],[Voltage]],BPD[[#This Row],[Lowest A-PTX]])</f>
        <v>DistributionFeederCB2_Tawai11.22392.9856</v>
      </c>
      <c r="BF57" s="9">
        <f>IF(MIN(BPD[[#This Row],[Summ Cont Winter A]:[Cable Derating]])=0,"",MIN(BPD[[#This Row],[Summ Cont Winter A]:[Cable Derating]]))</f>
        <v>7.6371289099577835</v>
      </c>
      <c r="BG57" s="9">
        <f>IFERROR(BPD[[#This Row],[Lowest MVA]]*1000/(BPD[[#This Row],[Voltage]]*SQRT(3)),"")</f>
        <v>392.98559999999998</v>
      </c>
      <c r="BH57" s="9">
        <f t="shared" si="48"/>
        <v>392.98559999999998</v>
      </c>
      <c r="BI57" s="9" t="str">
        <f>BPD[[#This Row],[From]]</f>
        <v>Cable Joint</v>
      </c>
      <c r="BJ57" s="9" t="str">
        <f>BPD[[#This Row],[To]]</f>
        <v>Cable Joint</v>
      </c>
      <c r="BK57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Cable-3c 300mm² AL XLPE MDPE</v>
      </c>
      <c r="BL57" s="9">
        <f>BPD[[#This Row],[Voltage]]</f>
        <v>11.22</v>
      </c>
    </row>
    <row r="58" spans="1:64" s="337" customFormat="1" x14ac:dyDescent="0.25">
      <c r="A58" s="6" t="str">
        <f>CONCATENATE(BPD[[#This Row],[Supply Level]],BPD[[#This Row],[Station/Feeder]],BPD[[#This Row],[Voltage]],"T1")</f>
        <v>DistributionFeederCB2_Tawai11.22T1</v>
      </c>
      <c r="B58" s="6" t="str">
        <f>CONCATENATE(BPD[[#This Row],[Supply Level]],BPD[[#This Row],[Station/Feeder]],BPD[[#This Row],[Equipment ID]],BPD[[#This Row],[Voltage]],BPD[[#This Row],[Device type]])</f>
        <v>DistributionFeederCB2_Tawai3c 300mm² AL XLPE MDPE11.22-</v>
      </c>
      <c r="C58" s="6" t="s">
        <v>1276</v>
      </c>
      <c r="D58" s="11" t="s">
        <v>1354</v>
      </c>
      <c r="E58" s="6" t="s">
        <v>711</v>
      </c>
      <c r="F58" s="6" t="s">
        <v>725</v>
      </c>
      <c r="G58" s="27">
        <v>4</v>
      </c>
      <c r="H58" s="39" t="s">
        <v>712</v>
      </c>
      <c r="I58" s="6" t="s">
        <v>718</v>
      </c>
      <c r="J58" s="7" t="s">
        <v>250</v>
      </c>
      <c r="K58" s="7" t="s">
        <v>0</v>
      </c>
      <c r="L58" s="7" t="s">
        <v>0</v>
      </c>
      <c r="M58" s="43">
        <f t="shared" si="21"/>
        <v>11.22</v>
      </c>
      <c r="N58" s="9">
        <v>476</v>
      </c>
      <c r="O58" s="9">
        <f t="shared" si="49"/>
        <v>9.2503983889992547</v>
      </c>
      <c r="P58" s="9">
        <v>476</v>
      </c>
      <c r="Q58" s="9">
        <f t="shared" si="50"/>
        <v>9.2503983889992547</v>
      </c>
      <c r="R58" s="9">
        <v>476</v>
      </c>
      <c r="S58" s="9">
        <f t="shared" si="2"/>
        <v>9.2503983889992547</v>
      </c>
      <c r="T58" s="9" t="s">
        <v>0</v>
      </c>
      <c r="U58" s="9" t="str">
        <f t="shared" si="51"/>
        <v>-</v>
      </c>
      <c r="V58" s="9" t="s">
        <v>0</v>
      </c>
      <c r="W58" s="9" t="str">
        <f t="shared" si="52"/>
        <v>-</v>
      </c>
      <c r="X58" s="9" t="s">
        <v>0</v>
      </c>
      <c r="Y58" s="9" t="str">
        <f t="shared" si="53"/>
        <v>-</v>
      </c>
      <c r="Z58" s="9" t="s">
        <v>0</v>
      </c>
      <c r="AA58" s="9" t="str">
        <f t="shared" si="45"/>
        <v>-</v>
      </c>
      <c r="AB58" s="9" t="s">
        <v>0</v>
      </c>
      <c r="AC58" s="9" t="str">
        <f t="shared" si="46"/>
        <v>-</v>
      </c>
      <c r="AD58" s="9" t="s">
        <v>0</v>
      </c>
      <c r="AE58" s="9" t="str">
        <f t="shared" si="47"/>
        <v>-</v>
      </c>
      <c r="AF58" s="9" t="s">
        <v>716</v>
      </c>
      <c r="AG58" s="9" t="s">
        <v>265</v>
      </c>
      <c r="AH58" s="9">
        <v>1101.7</v>
      </c>
      <c r="AI58" s="9">
        <v>1.2</v>
      </c>
      <c r="AJ58" s="9">
        <v>0.96</v>
      </c>
      <c r="AK58" s="9">
        <v>15</v>
      </c>
      <c r="AL58" s="9">
        <v>1</v>
      </c>
      <c r="AM58" s="9">
        <v>1.2</v>
      </c>
      <c r="AN58" s="9">
        <v>1</v>
      </c>
      <c r="AO58" s="9">
        <v>3</v>
      </c>
      <c r="AP58" s="9">
        <v>0.6</v>
      </c>
      <c r="AQ58" s="9">
        <v>0.86</v>
      </c>
      <c r="AR58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392.98559999999998</v>
      </c>
      <c r="AS58" s="9">
        <f t="shared" si="54"/>
        <v>7.6371289099577835</v>
      </c>
      <c r="AT58" s="9">
        <f>IF(RIGHT(BPD[[#This Row],[Device type]],7)="Winding","-",BPD[[#This Row],[Cont Winter MVA]])</f>
        <v>9.2503983889992547</v>
      </c>
      <c r="AU58" s="9">
        <f>IF(RIGHT(BPD[[#This Row],[Device type]],7)="Winding","-",BPD[[#This Row],[Cont Shoulder MVA]])</f>
        <v>9.2503983889992547</v>
      </c>
      <c r="AV58" s="9">
        <f>IF(RIGHT(BPD[[#This Row],[Device type]],7)="Winding","-",BPD[[#This Row],[Cont Summer MVA]])</f>
        <v>9.2503983889992547</v>
      </c>
      <c r="AW58" s="9" t="str">
        <f>BPD[[#This Row],[24 Hr Winter MVA]]</f>
        <v>-</v>
      </c>
      <c r="AX58" s="9" t="str">
        <f>BPD[[#This Row],[24 Hr Summer MVA]]</f>
        <v>-</v>
      </c>
      <c r="AY58" s="9" t="str">
        <f>BPD[[#This Row],[Forwards MVA]]</f>
        <v>-</v>
      </c>
      <c r="AZ58" s="9" t="str">
        <f>BPD[[#This Row],[Relay MVA]]</f>
        <v>-</v>
      </c>
      <c r="BA58" s="9" t="str">
        <f>BPD[[#This Row],[CT MVA]]</f>
        <v>-</v>
      </c>
      <c r="BB58" s="9">
        <f>BPD[[#This Row],[Derating MVA]]</f>
        <v>7.6371289099577835</v>
      </c>
      <c r="BC58" s="9" t="str">
        <f>BPD[[#This Row],[Station/Feeder]]&amp;BPD[[#This Row],[Lowest MVA]]</f>
        <v>CB2_Tawai7.63712890995778</v>
      </c>
      <c r="BD58" s="9" t="str">
        <f>CONCATENATE(BPD[[#This Row],[Supply Level]],BPD[[#This Row],[Station/Feeder]],BPD[[#This Row],[Voltage]],BPD[[#This Row],[Lowest A-No PTX]])</f>
        <v>DistributionFeederCB2_Tawai11.22392.9856</v>
      </c>
      <c r="BE58" s="9" t="str">
        <f>CONCATENATE(BPD[[#This Row],[Supply Level]],BPD[[#This Row],[Station/Feeder]],BPD[[#This Row],[Voltage]],BPD[[#This Row],[Lowest A-PTX]])</f>
        <v>DistributionFeederCB2_Tawai11.22392.9856</v>
      </c>
      <c r="BF58" s="9">
        <f>IF(MIN(BPD[[#This Row],[Summ Cont Winter A]:[Cable Derating]])=0,"",MIN(BPD[[#This Row],[Summ Cont Winter A]:[Cable Derating]]))</f>
        <v>7.6371289099577835</v>
      </c>
      <c r="BG58" s="9">
        <f>IFERROR(BPD[[#This Row],[Lowest MVA]]*1000/(BPD[[#This Row],[Voltage]]*SQRT(3)),"")</f>
        <v>392.98559999999998</v>
      </c>
      <c r="BH58" s="9">
        <f t="shared" si="48"/>
        <v>392.98559999999998</v>
      </c>
      <c r="BI58" s="9" t="str">
        <f>BPD[[#This Row],[From]]</f>
        <v>Cable Joint</v>
      </c>
      <c r="BJ58" s="9" t="str">
        <f>BPD[[#This Row],[To]]</f>
        <v>W453 ABS</v>
      </c>
      <c r="BK58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Cable-3c 300mm² AL XLPE MDPE</v>
      </c>
      <c r="BL58" s="9">
        <f>BPD[[#This Row],[Voltage]]</f>
        <v>11.22</v>
      </c>
    </row>
    <row r="59" spans="1:64" s="337" customFormat="1" x14ac:dyDescent="0.25">
      <c r="A59" s="14" t="str">
        <f>CONCATENATE(BPD[[#This Row],[Supply Level]],BPD[[#This Row],[Station/Feeder]],BPD[[#This Row],[Voltage]],"T1")</f>
        <v>DistributionFeederCB2_Tawai11.22T1</v>
      </c>
      <c r="B59" s="14" t="str">
        <f>CONCATENATE(BPD[[#This Row],[Supply Level]],BPD[[#This Row],[Station/Feeder]],BPD[[#This Row],[Equipment ID]],BPD[[#This Row],[Voltage]],BPD[[#This Row],[Device type]])</f>
        <v>DistributionFeederCB2_TawaiJAGUAR11.22-</v>
      </c>
      <c r="C59" s="14" t="s">
        <v>1276</v>
      </c>
      <c r="D59" s="11" t="s">
        <v>1354</v>
      </c>
      <c r="E59" s="14" t="s">
        <v>725</v>
      </c>
      <c r="F59" s="14" t="str">
        <f>E60</f>
        <v xml:space="preserve">Cable 300 mm² </v>
      </c>
      <c r="G59" s="15">
        <v>5</v>
      </c>
      <c r="H59" s="39" t="s">
        <v>1289</v>
      </c>
      <c r="I59" s="14" t="s">
        <v>345</v>
      </c>
      <c r="J59" s="39" t="s">
        <v>69</v>
      </c>
      <c r="K59" s="39" t="s">
        <v>0</v>
      </c>
      <c r="L59" s="39" t="s">
        <v>0</v>
      </c>
      <c r="M59" s="138">
        <f t="shared" si="21"/>
        <v>11.22</v>
      </c>
      <c r="N59" s="16">
        <v>523.13480389780273</v>
      </c>
      <c r="O59" s="16">
        <f>IF(OR(N59="",N59="-"),"-",N59*$M59*SQRT(3)/1000)</f>
        <v>10.166397788247217</v>
      </c>
      <c r="P59" s="16" t="s">
        <v>0</v>
      </c>
      <c r="Q59" s="16" t="str">
        <f>IF(OR(P59="",P59="-"),"-",P59*$M59*SQRT(3)/1000)</f>
        <v>-</v>
      </c>
      <c r="R59" s="16">
        <v>386.92827157177999</v>
      </c>
      <c r="S59" s="16">
        <f>IF(OR(R59="",R59="-"),"-",R59*$M59*SQRT(3)/1000)</f>
        <v>7.5194131512728157</v>
      </c>
      <c r="T59" s="16" t="s">
        <v>0</v>
      </c>
      <c r="U59" s="16" t="str">
        <f>IF(OR(T59="",T59="-"),"-",T59*$M59*SQRT(3)/1000)</f>
        <v>-</v>
      </c>
      <c r="V59" s="16" t="s">
        <v>0</v>
      </c>
      <c r="W59" s="16" t="str">
        <f>IF(OR(V59="",V59="-"),"-",V59*$M59*SQRT(3)/1000)</f>
        <v>-</v>
      </c>
      <c r="X59" s="9" t="s">
        <v>0</v>
      </c>
      <c r="Y59" s="16" t="str">
        <f>IF(OR(X59="",X59="-"),"-",X59*$M59*SQRT(3)/1000)</f>
        <v>-</v>
      </c>
      <c r="Z59" s="16" t="s">
        <v>0</v>
      </c>
      <c r="AA59" s="16" t="str">
        <f>IF(OR(Z59="",Z59="-"),"-",Z59*$M59*SQRT(3)/1000)</f>
        <v>-</v>
      </c>
      <c r="AB59" s="16" t="s">
        <v>0</v>
      </c>
      <c r="AC59" s="16" t="str">
        <f>IF(OR(AB59="",AB59="-"),"-",AB59*$M59*SQRT(3)/1000)</f>
        <v>-</v>
      </c>
      <c r="AD59" s="16" t="s">
        <v>0</v>
      </c>
      <c r="AE59" s="16" t="str">
        <f>IF(OR(AD59="",AD59="-"),"-",AD59*$M59*SQRT(3)/1000)</f>
        <v>-</v>
      </c>
      <c r="AF59" s="16" t="s">
        <v>0</v>
      </c>
      <c r="AG59" s="16" t="s">
        <v>0</v>
      </c>
      <c r="AH59" s="16" t="s">
        <v>0</v>
      </c>
      <c r="AI59" s="16" t="s">
        <v>0</v>
      </c>
      <c r="AJ59" s="16" t="s">
        <v>0</v>
      </c>
      <c r="AK59" s="16" t="s">
        <v>0</v>
      </c>
      <c r="AL59" s="16" t="s">
        <v>0</v>
      </c>
      <c r="AM59" s="16" t="s">
        <v>0</v>
      </c>
      <c r="AN59" s="16" t="s">
        <v>0</v>
      </c>
      <c r="AO59" s="16" t="s">
        <v>0</v>
      </c>
      <c r="AP59" s="16" t="s">
        <v>0</v>
      </c>
      <c r="AQ59" s="16" t="s">
        <v>0</v>
      </c>
      <c r="AR59" s="16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59" s="16" t="str">
        <f>IF(OR(AR59="",AR59="-"),"-",AR59*$M59*SQRT(3)/1000)</f>
        <v>-</v>
      </c>
      <c r="AT59" s="16">
        <f>IF(RIGHT(BPD[[#This Row],[Device type]],7)="Winding","-",BPD[[#This Row],[Cont Winter MVA]])</f>
        <v>10.166397788247217</v>
      </c>
      <c r="AU59" s="16" t="str">
        <f>IF(RIGHT(BPD[[#This Row],[Device type]],7)="Winding","-",BPD[[#This Row],[Cont Shoulder MVA]])</f>
        <v>-</v>
      </c>
      <c r="AV59" s="16">
        <f>IF(RIGHT(BPD[[#This Row],[Device type]],7)="Winding","-",BPD[[#This Row],[Cont Summer MVA]])</f>
        <v>7.5194131512728157</v>
      </c>
      <c r="AW59" s="16" t="str">
        <f>BPD[[#This Row],[24 Hr Winter MVA]]</f>
        <v>-</v>
      </c>
      <c r="AX59" s="16" t="str">
        <f>BPD[[#This Row],[24 Hr Summer MVA]]</f>
        <v>-</v>
      </c>
      <c r="AY59" s="16" t="str">
        <f>BPD[[#This Row],[Forwards MVA]]</f>
        <v>-</v>
      </c>
      <c r="AZ59" s="16" t="str">
        <f>BPD[[#This Row],[Relay MVA]]</f>
        <v>-</v>
      </c>
      <c r="BA59" s="16" t="str">
        <f>BPD[[#This Row],[CT MVA]]</f>
        <v>-</v>
      </c>
      <c r="BB59" s="16" t="str">
        <f>BPD[[#This Row],[Derating MVA]]</f>
        <v>-</v>
      </c>
      <c r="BC59" s="16" t="str">
        <f>BPD[[#This Row],[Station/Feeder]]&amp;BPD[[#This Row],[Lowest MVA]]</f>
        <v>CB2_Tawai7.51941315127282</v>
      </c>
      <c r="BD59" s="16" t="str">
        <f>CONCATENATE(BPD[[#This Row],[Supply Level]],BPD[[#This Row],[Station/Feeder]],BPD[[#This Row],[Voltage]],BPD[[#This Row],[Lowest A-No PTX]])</f>
        <v>DistributionFeederCB2_Tawai11.22386.92827157178</v>
      </c>
      <c r="BE59" s="16" t="str">
        <f>CONCATENATE(BPD[[#This Row],[Supply Level]],BPD[[#This Row],[Station/Feeder]],BPD[[#This Row],[Voltage]],BPD[[#This Row],[Lowest A-PTX]])</f>
        <v>DistributionFeederCB2_Tawai11.22386.92827157178</v>
      </c>
      <c r="BF59" s="16">
        <f>IF(MIN(BPD[[#This Row],[Summ Cont Winter A]:[Cable Derating]])=0,"",MIN(BPD[[#This Row],[Summ Cont Winter A]:[Cable Derating]]))</f>
        <v>7.5194131512728157</v>
      </c>
      <c r="BG59" s="16">
        <f>IFERROR(BPD[[#This Row],[Lowest MVA]]*1000/(BPD[[#This Row],[Voltage]]*SQRT(3)),"")</f>
        <v>386.92827157178004</v>
      </c>
      <c r="BH59" s="16">
        <f t="shared" si="48"/>
        <v>386.92827157177999</v>
      </c>
      <c r="BI59" s="16" t="str">
        <f>BPD[[#This Row],[From]]</f>
        <v>W453 ABS</v>
      </c>
      <c r="BJ59" s="16" t="str">
        <f>BPD[[#This Row],[To]]</f>
        <v xml:space="preserve">Cable 300 mm² </v>
      </c>
      <c r="BK59" s="16" t="str">
        <f>IF(BPD[[#This Row],[Device type]]="-",BPD[[#This Row],[Equipment Type]]&amp;"-"&amp;BPD[[#This Row],[Equipment ID]],BPD[[#This Row],[Equipment Type]]&amp;"-"&amp;BPD[[#This Row],[Equipment ID]]&amp;"-"&amp;BPD[[#This Row],[Device type]])</f>
        <v>OH Line-JAGUAR</v>
      </c>
      <c r="BL59" s="16">
        <f>BPD[[#This Row],[Voltage]]</f>
        <v>11.22</v>
      </c>
    </row>
    <row r="60" spans="1:64" s="337" customFormat="1" ht="15.75" thickBot="1" x14ac:dyDescent="0.3">
      <c r="A60" s="6" t="str">
        <f>CONCATENATE(BPD[[#This Row],[Supply Level]],BPD[[#This Row],[Station/Feeder]],BPD[[#This Row],[Voltage]],"T1")</f>
        <v>DistributionFeederCB2_Tawai11.22T1</v>
      </c>
      <c r="B60" s="6" t="str">
        <f>CONCATENATE(BPD[[#This Row],[Supply Level]],BPD[[#This Row],[Station/Feeder]],BPD[[#This Row],[Equipment ID]],BPD[[#This Row],[Voltage]],BPD[[#This Row],[Device type]])</f>
        <v>DistributionFeederCB2_TawaiW45311.22-</v>
      </c>
      <c r="C60" s="6" t="s">
        <v>1276</v>
      </c>
      <c r="D60" s="11" t="s">
        <v>1354</v>
      </c>
      <c r="E60" s="318" t="s">
        <v>1373</v>
      </c>
      <c r="F60" s="318" t="s">
        <v>1374</v>
      </c>
      <c r="G60" s="8">
        <v>6</v>
      </c>
      <c r="H60" s="7" t="s">
        <v>273</v>
      </c>
      <c r="I60" s="6" t="s">
        <v>1380</v>
      </c>
      <c r="J60" s="321" t="s">
        <v>729</v>
      </c>
      <c r="K60" s="7" t="s">
        <v>0</v>
      </c>
      <c r="L60" s="7" t="s">
        <v>0</v>
      </c>
      <c r="M60" s="43">
        <f t="shared" si="21"/>
        <v>11.22</v>
      </c>
      <c r="N60" s="9">
        <v>400</v>
      </c>
      <c r="O60" s="9">
        <f>IF(OR(N60="",N60="-"),"-",N60*$M60*SQRT(3)/1000)</f>
        <v>7.7734440243691205</v>
      </c>
      <c r="P60" s="9">
        <v>400</v>
      </c>
      <c r="Q60" s="9">
        <f>IF(OR(P60="",P60="-"),"-",P60*$M60*SQRT(3)/1000)</f>
        <v>7.7734440243691205</v>
      </c>
      <c r="R60" s="9">
        <v>400</v>
      </c>
      <c r="S60" s="9">
        <f>IF(OR(R60="",R60="-"),"-",R60*$M60*SQRT(3)/1000)</f>
        <v>7.7734440243691205</v>
      </c>
      <c r="T60" s="9" t="s">
        <v>0</v>
      </c>
      <c r="U60" s="9" t="str">
        <f>IF(OR(T60="",T60="-"),"-",T60*$M60*SQRT(3)/1000)</f>
        <v>-</v>
      </c>
      <c r="V60" s="9" t="s">
        <v>0</v>
      </c>
      <c r="W60" s="9" t="str">
        <f>IF(OR(V60="",V60="-"),"-",V60*$M60*SQRT(3)/1000)</f>
        <v>-</v>
      </c>
      <c r="X60" s="9" t="s">
        <v>0</v>
      </c>
      <c r="Y60" s="9" t="str">
        <f>IF(OR(X60="",X60="-"),"-",X60*$M60*SQRT(3)/1000)</f>
        <v>-</v>
      </c>
      <c r="Z60" s="9" t="s">
        <v>0</v>
      </c>
      <c r="AA60" s="9" t="str">
        <f>IF(OR(Z60="",Z60="-"),"-",Z60*$M60*SQRT(3)/1000)</f>
        <v>-</v>
      </c>
      <c r="AB60" s="9" t="s">
        <v>0</v>
      </c>
      <c r="AC60" s="9" t="str">
        <f>IF(OR(AB60="",AB60="-"),"-",AB60*$M60*SQRT(3)/1000)</f>
        <v>-</v>
      </c>
      <c r="AD60" s="9" t="s">
        <v>0</v>
      </c>
      <c r="AE60" s="9" t="str">
        <f>IF(OR(AD60="",AD60="-"),"-",AD60*$M60*SQRT(3)/1000)</f>
        <v>-</v>
      </c>
      <c r="AF60" s="9" t="s">
        <v>0</v>
      </c>
      <c r="AG60" s="9" t="s">
        <v>0</v>
      </c>
      <c r="AH60" s="9" t="s">
        <v>0</v>
      </c>
      <c r="AI60" s="9" t="s">
        <v>0</v>
      </c>
      <c r="AJ60" s="9" t="s">
        <v>0</v>
      </c>
      <c r="AK60" s="9" t="s">
        <v>0</v>
      </c>
      <c r="AL60" s="9" t="s">
        <v>0</v>
      </c>
      <c r="AM60" s="9" t="s">
        <v>0</v>
      </c>
      <c r="AN60" s="9" t="s">
        <v>0</v>
      </c>
      <c r="AO60" s="9" t="s">
        <v>0</v>
      </c>
      <c r="AP60" s="9" t="s">
        <v>0</v>
      </c>
      <c r="AQ60" s="9" t="s">
        <v>0</v>
      </c>
      <c r="AR60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60" s="9" t="str">
        <f>IF(OR(AR60="",AR60="-"),"-",AR60*$M60*SQRT(3)/1000)</f>
        <v>-</v>
      </c>
      <c r="AT60" s="9">
        <f>IF(RIGHT(BPD[[#This Row],[Device type]],7)="Winding","-",BPD[[#This Row],[Cont Winter MVA]])</f>
        <v>7.7734440243691205</v>
      </c>
      <c r="AU60" s="9">
        <f>IF(RIGHT(BPD[[#This Row],[Device type]],7)="Winding","-",BPD[[#This Row],[Cont Shoulder MVA]])</f>
        <v>7.7734440243691205</v>
      </c>
      <c r="AV60" s="9">
        <f>IF(RIGHT(BPD[[#This Row],[Device type]],7)="Winding","-",BPD[[#This Row],[Cont Summer MVA]])</f>
        <v>7.7734440243691205</v>
      </c>
      <c r="AW60" s="9" t="str">
        <f>BPD[[#This Row],[24 Hr Winter MVA]]</f>
        <v>-</v>
      </c>
      <c r="AX60" s="9" t="str">
        <f>BPD[[#This Row],[24 Hr Summer MVA]]</f>
        <v>-</v>
      </c>
      <c r="AY60" s="9" t="str">
        <f>BPD[[#This Row],[Forwards MVA]]</f>
        <v>-</v>
      </c>
      <c r="AZ60" s="9" t="str">
        <f>BPD[[#This Row],[Relay MVA]]</f>
        <v>-</v>
      </c>
      <c r="BA60" s="9" t="str">
        <f>BPD[[#This Row],[CT MVA]]</f>
        <v>-</v>
      </c>
      <c r="BB60" s="9" t="str">
        <f>BPD[[#This Row],[Derating MVA]]</f>
        <v>-</v>
      </c>
      <c r="BC60" s="9" t="str">
        <f>BPD[[#This Row],[Station/Feeder]]&amp;BPD[[#This Row],[Lowest MVA]]</f>
        <v>CB2_Tawai7.77344402436912</v>
      </c>
      <c r="BD60" s="9" t="str">
        <f>CONCATENATE(BPD[[#This Row],[Supply Level]],BPD[[#This Row],[Station/Feeder]],BPD[[#This Row],[Voltage]],BPD[[#This Row],[Lowest A-No PTX]])</f>
        <v>DistributionFeederCB2_Tawai11.22400</v>
      </c>
      <c r="BE60" s="9" t="str">
        <f>CONCATENATE(BPD[[#This Row],[Supply Level]],BPD[[#This Row],[Station/Feeder]],BPD[[#This Row],[Voltage]],BPD[[#This Row],[Lowest A-PTX]])</f>
        <v>DistributionFeederCB2_Tawai11.22400</v>
      </c>
      <c r="BF60" s="9">
        <f>IF(MIN(BPD[[#This Row],[Summ Cont Winter A]:[Cable Derating]])=0,"",MIN(BPD[[#This Row],[Summ Cont Winter A]:[Cable Derating]]))</f>
        <v>7.7734440243691205</v>
      </c>
      <c r="BG60" s="9">
        <f>IFERROR(BPD[[#This Row],[Lowest MVA]]*1000/(BPD[[#This Row],[Voltage]]*SQRT(3)),"")</f>
        <v>400</v>
      </c>
      <c r="BH60" s="9">
        <f t="shared" si="48"/>
        <v>400</v>
      </c>
      <c r="BI60" s="9" t="str">
        <f>BPD[[#This Row],[From]]</f>
        <v xml:space="preserve">Cable 300 mm² </v>
      </c>
      <c r="BJ60" s="9" t="str">
        <f>BPD[[#This Row],[To]]</f>
        <v>JAGUAR OH Line</v>
      </c>
      <c r="BK60" s="9" t="str">
        <f>IF(BPD[[#This Row],[Device type]]="-",BPD[[#This Row],[Equipment Type]]&amp;" - "&amp;BPD[[#This Row],[Equipment ID]],BPD[[#This Row],[Equipment Type]]&amp;" - "&amp;BPD[[#This Row],[Equipment ID]]&amp;" - "&amp;BPD[[#This Row],[Device type]])</f>
        <v>Air Break Switch - W453</v>
      </c>
      <c r="BL60" s="9">
        <f>BPD[[#This Row],[Voltage]]</f>
        <v>11.22</v>
      </c>
    </row>
    <row r="61" spans="1:64" s="337" customFormat="1" x14ac:dyDescent="0.25">
      <c r="A61" s="173" t="str">
        <f>CONCATENATE(BPD[[#This Row],[Supply Level]],BPD[[#This Row],[Station/Feeder]],BPD[[#This Row],[Voltage]],"T2")</f>
        <v>SubTransmissionCB522_CNR33T2</v>
      </c>
      <c r="B61" s="173" t="str">
        <f>CONCATENATE(BPD[[#This Row],[Supply Level]],BPD[[#This Row],[Station/Feeder]],BPD[[#This Row],[Equipment ID]],BPD[[#This Row],[Voltage]],BPD[[#This Row],[Device type]])</f>
        <v>SubTransmissionCB522_CNR524 ABS33-</v>
      </c>
      <c r="C61" s="173" t="s">
        <v>1245</v>
      </c>
      <c r="D61" s="10" t="s">
        <v>126</v>
      </c>
      <c r="E61" s="3" t="s">
        <v>726</v>
      </c>
      <c r="F61" s="3" t="s">
        <v>727</v>
      </c>
      <c r="G61" s="26">
        <v>1</v>
      </c>
      <c r="H61" s="38" t="s">
        <v>728</v>
      </c>
      <c r="I61" s="3" t="s">
        <v>727</v>
      </c>
      <c r="J61" s="38" t="s">
        <v>729</v>
      </c>
      <c r="K61" s="38" t="s">
        <v>0</v>
      </c>
      <c r="L61" s="38" t="s">
        <v>0</v>
      </c>
      <c r="M61" s="139">
        <v>33</v>
      </c>
      <c r="N61" s="5">
        <v>630</v>
      </c>
      <c r="O61" s="5">
        <f t="shared" si="49"/>
        <v>36.009336289356959</v>
      </c>
      <c r="P61" s="5" t="s">
        <v>0</v>
      </c>
      <c r="Q61" s="5" t="str">
        <f t="shared" si="50"/>
        <v>-</v>
      </c>
      <c r="R61" s="5">
        <v>630</v>
      </c>
      <c r="S61" s="5">
        <f t="shared" ref="S61:S93" si="55">IF(OR(R61="",R61="-"),"-",R61*$M61*SQRT(3)/1000)</f>
        <v>36.009336289356959</v>
      </c>
      <c r="T61" s="5" t="s">
        <v>0</v>
      </c>
      <c r="U61" s="5" t="str">
        <f t="shared" si="51"/>
        <v>-</v>
      </c>
      <c r="V61" s="5" t="s">
        <v>0</v>
      </c>
      <c r="W61" s="5" t="str">
        <f t="shared" si="52"/>
        <v>-</v>
      </c>
      <c r="X61" s="5" t="s">
        <v>0</v>
      </c>
      <c r="Y61" s="5" t="str">
        <f t="shared" si="53"/>
        <v>-</v>
      </c>
      <c r="Z61" s="5" t="s">
        <v>0</v>
      </c>
      <c r="AA61" s="5" t="str">
        <f t="shared" si="45"/>
        <v>-</v>
      </c>
      <c r="AB61" s="5" t="s">
        <v>0</v>
      </c>
      <c r="AC61" s="5" t="str">
        <f t="shared" si="46"/>
        <v>-</v>
      </c>
      <c r="AD61" s="5" t="s">
        <v>0</v>
      </c>
      <c r="AE61" s="5" t="str">
        <f t="shared" si="47"/>
        <v>-</v>
      </c>
      <c r="AF61" s="5" t="s">
        <v>0</v>
      </c>
      <c r="AG61" s="5" t="s">
        <v>0</v>
      </c>
      <c r="AH61" s="5" t="s">
        <v>0</v>
      </c>
      <c r="AI61" s="5" t="s">
        <v>0</v>
      </c>
      <c r="AJ61" s="5" t="s">
        <v>0</v>
      </c>
      <c r="AK61" s="5" t="s">
        <v>0</v>
      </c>
      <c r="AL61" s="5" t="s">
        <v>0</v>
      </c>
      <c r="AM61" s="5" t="s">
        <v>0</v>
      </c>
      <c r="AN61" s="5" t="s">
        <v>0</v>
      </c>
      <c r="AO61" s="5" t="s">
        <v>0</v>
      </c>
      <c r="AP61" s="5" t="s">
        <v>0</v>
      </c>
      <c r="AQ61" s="5" t="s">
        <v>0</v>
      </c>
      <c r="AR61" s="5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61" s="5" t="str">
        <f t="shared" si="54"/>
        <v>-</v>
      </c>
      <c r="AT61" s="5">
        <v>36</v>
      </c>
      <c r="AU61" s="5" t="str">
        <f>IF(RIGHT(BPD[[#This Row],[Device type]],7)="Winding","-",BPD[[#This Row],[Cont Shoulder MVA]])</f>
        <v>-</v>
      </c>
      <c r="AV61" s="5">
        <v>36</v>
      </c>
      <c r="AW61" s="5" t="str">
        <f>BPD[[#This Row],[24 Hr Winter MVA]]</f>
        <v>-</v>
      </c>
      <c r="AX61" s="5" t="str">
        <f>BPD[[#This Row],[24 Hr Summer MVA]]</f>
        <v>-</v>
      </c>
      <c r="AY61" s="5" t="str">
        <f>BPD[[#This Row],[Forwards MVA]]</f>
        <v>-</v>
      </c>
      <c r="AZ61" s="5" t="str">
        <f>BPD[[#This Row],[Relay MVA]]</f>
        <v>-</v>
      </c>
      <c r="BA61" s="5" t="str">
        <f>BPD[[#This Row],[CT MVA]]</f>
        <v>-</v>
      </c>
      <c r="BB61" s="5" t="str">
        <f>BPD[[#This Row],[Derating MVA]]</f>
        <v>-</v>
      </c>
      <c r="BC61" s="5" t="str">
        <f>BPD[[#This Row],[Station/Feeder]]&amp;BPD[[#This Row],[Lowest MVA]]</f>
        <v>CB522_CNR36</v>
      </c>
      <c r="BD61" s="5" t="str">
        <f>CONCATENATE(BPD[[#This Row],[Supply Level]],BPD[[#This Row],[Station/Feeder]],BPD[[#This Row],[Voltage]],BPD[[#This Row],[Lowest A-No PTX]])</f>
        <v>SubTransmissionCB522_CNR33629.836657297774</v>
      </c>
      <c r="BE61" s="5" t="str">
        <f>CONCATENATE(BPD[[#This Row],[Supply Level]],BPD[[#This Row],[Station/Feeder]],BPD[[#This Row],[Voltage]],BPD[[#This Row],[Lowest A-PTX]])</f>
        <v>SubTransmissionCB522_CNR33630</v>
      </c>
      <c r="BF61" s="5">
        <f>IF(MIN(BPD[[#This Row],[Summ Cont Winter A]:[Cable Derating]])=0,"",MIN(BPD[[#This Row],[Summ Cont Winter A]:[Cable Derating]]))</f>
        <v>36</v>
      </c>
      <c r="BG61" s="5">
        <f>IFERROR(BPD[[#This Row],[Lowest MVA]]*1000/(BPD[[#This Row],[Voltage]]*SQRT(3)),"")</f>
        <v>629.83665729777363</v>
      </c>
      <c r="BH61" s="5">
        <f t="shared" si="48"/>
        <v>630</v>
      </c>
      <c r="BI61" s="5" t="str">
        <f>BPD[[#This Row],[From]]</f>
        <v>33 kV Terminal</v>
      </c>
      <c r="BJ61" s="5" t="str">
        <f>BPD[[#This Row],[To]]</f>
        <v>524 ABS</v>
      </c>
      <c r="BK61" s="5" t="str">
        <f>IF(BPD[[#This Row],[Device type]]="-",BPD[[#This Row],[Equipment Type]]&amp;"-"&amp;BPD[[#This Row],[Equipment ID]],BPD[[#This Row],[Equipment Type]]&amp;"-"&amp;BPD[[#This Row],[Equipment ID]]&amp;"-"&amp;BPD[[#This Row],[Device type]])</f>
        <v>Air Break Switch-524 ABS</v>
      </c>
      <c r="BL61" s="5">
        <f>BPD[[#This Row],[Voltage]]</f>
        <v>33</v>
      </c>
    </row>
    <row r="62" spans="1:64" s="337" customFormat="1" x14ac:dyDescent="0.25">
      <c r="A62" s="14" t="str">
        <f>CONCATENATE(BPD[[#This Row],[Supply Level]],BPD[[#This Row],[Station/Feeder]],BPD[[#This Row],[Voltage]],"T2")</f>
        <v>SubTransmissionCB522_CNR33T2</v>
      </c>
      <c r="B62" s="14" t="str">
        <f>CONCATENATE(BPD[[#This Row],[Supply Level]],BPD[[#This Row],[Station/Feeder]],BPD[[#This Row],[Equipment ID]],BPD[[#This Row],[Voltage]],BPD[[#This Row],[Device type]])</f>
        <v>SubTransmissionCB522_CNRBPD-T2-CB52233Protection</v>
      </c>
      <c r="C62" s="14" t="s">
        <v>1245</v>
      </c>
      <c r="D62" s="11" t="s">
        <v>126</v>
      </c>
      <c r="E62" s="6" t="s">
        <v>730</v>
      </c>
      <c r="F62" s="6" t="s">
        <v>731</v>
      </c>
      <c r="G62" s="27">
        <v>2</v>
      </c>
      <c r="H62" s="7" t="s">
        <v>2348</v>
      </c>
      <c r="I62" s="6" t="s">
        <v>2484</v>
      </c>
      <c r="J62" s="7" t="s">
        <v>15</v>
      </c>
      <c r="K62" s="7" t="s">
        <v>792</v>
      </c>
      <c r="L62" s="7" t="s">
        <v>1423</v>
      </c>
      <c r="M62" s="43">
        <v>33</v>
      </c>
      <c r="N62" s="9">
        <v>3150</v>
      </c>
      <c r="O62" s="9">
        <f t="shared" si="49"/>
        <v>180.04668144678479</v>
      </c>
      <c r="P62" s="9">
        <v>3150</v>
      </c>
      <c r="Q62" s="9">
        <f t="shared" si="50"/>
        <v>180.04668144678479</v>
      </c>
      <c r="R62" s="9">
        <v>3150</v>
      </c>
      <c r="S62" s="9">
        <f t="shared" si="55"/>
        <v>180.04668144678479</v>
      </c>
      <c r="T62" s="9" t="s">
        <v>0</v>
      </c>
      <c r="U62" s="9" t="str">
        <f t="shared" si="51"/>
        <v>-</v>
      </c>
      <c r="V62" s="9" t="s">
        <v>0</v>
      </c>
      <c r="W62" s="9" t="str">
        <f t="shared" si="52"/>
        <v>-</v>
      </c>
      <c r="X62" s="9">
        <f>VLOOKUP(BPD[[#This Row],[Equipment ID]],AEL_Protection_Data[#All],12,0)</f>
        <v>370</v>
      </c>
      <c r="Y62" s="9">
        <f t="shared" si="53"/>
        <v>21.14834036041599</v>
      </c>
      <c r="Z62" s="9" t="s">
        <v>0</v>
      </c>
      <c r="AA62" s="9" t="str">
        <f t="shared" si="45"/>
        <v>-</v>
      </c>
      <c r="AB62" s="9" t="s">
        <v>0</v>
      </c>
      <c r="AC62" s="9" t="str">
        <f t="shared" si="46"/>
        <v>-</v>
      </c>
      <c r="AD62" s="9">
        <v>500</v>
      </c>
      <c r="AE62" s="9">
        <f t="shared" si="47"/>
        <v>28.578838324886473</v>
      </c>
      <c r="AF62" s="9" t="s">
        <v>0</v>
      </c>
      <c r="AG62" s="9" t="s">
        <v>0</v>
      </c>
      <c r="AH62" s="9" t="s">
        <v>0</v>
      </c>
      <c r="AI62" s="9" t="s">
        <v>0</v>
      </c>
      <c r="AJ62" s="9" t="s">
        <v>0</v>
      </c>
      <c r="AK62" s="9" t="s">
        <v>0</v>
      </c>
      <c r="AL62" s="9" t="s">
        <v>0</v>
      </c>
      <c r="AM62" s="9" t="s">
        <v>0</v>
      </c>
      <c r="AN62" s="9" t="s">
        <v>0</v>
      </c>
      <c r="AO62" s="9" t="s">
        <v>0</v>
      </c>
      <c r="AP62" s="9" t="s">
        <v>0</v>
      </c>
      <c r="AQ62" s="9" t="s">
        <v>0</v>
      </c>
      <c r="AR62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62" s="9" t="str">
        <f t="shared" si="54"/>
        <v>-</v>
      </c>
      <c r="AT62" s="9">
        <f>IF(RIGHT(BPD[[#This Row],[Device type]],7)="Winding","-",BPD[[#This Row],[Cont Winter MVA]])</f>
        <v>180.04668144678479</v>
      </c>
      <c r="AU62" s="9">
        <f>IF(RIGHT(BPD[[#This Row],[Device type]],7)="Winding","-",BPD[[#This Row],[Cont Shoulder MVA]])</f>
        <v>180.04668144678479</v>
      </c>
      <c r="AV62" s="9">
        <f>IF(RIGHT(BPD[[#This Row],[Device type]],7)="Winding","-",BPD[[#This Row],[Cont Summer MVA]])</f>
        <v>180.04668144678479</v>
      </c>
      <c r="AW62" s="9" t="str">
        <f>BPD[[#This Row],[24 Hr Winter MVA]]</f>
        <v>-</v>
      </c>
      <c r="AX62" s="9" t="str">
        <f>BPD[[#This Row],[24 Hr Summer MVA]]</f>
        <v>-</v>
      </c>
      <c r="AY62" s="9">
        <f>BPD[[#This Row],[Forwards MVA]]</f>
        <v>21.14834036041599</v>
      </c>
      <c r="AZ62" s="9" t="str">
        <f>BPD[[#This Row],[Relay MVA]]</f>
        <v>-</v>
      </c>
      <c r="BA62" s="9">
        <f>BPD[[#This Row],[CT MVA]]</f>
        <v>28.578838324886473</v>
      </c>
      <c r="BB62" s="9" t="str">
        <f>BPD[[#This Row],[Derating MVA]]</f>
        <v>-</v>
      </c>
      <c r="BC62" s="9" t="str">
        <f>BPD[[#This Row],[Station/Feeder]]&amp;BPD[[#This Row],[Lowest MVA]]</f>
        <v>CB522_CNR21.148340360416</v>
      </c>
      <c r="BD62" s="9" t="str">
        <f>CONCATENATE(BPD[[#This Row],[Supply Level]],BPD[[#This Row],[Station/Feeder]],BPD[[#This Row],[Voltage]],BPD[[#This Row],[Lowest A-No PTX]])</f>
        <v>SubTransmissionCB522_CNR33370</v>
      </c>
      <c r="BE62" s="9" t="str">
        <f>CONCATENATE(BPD[[#This Row],[Supply Level]],BPD[[#This Row],[Station/Feeder]],BPD[[#This Row],[Voltage]],BPD[[#This Row],[Lowest A-PTX]])</f>
        <v>SubTransmissionCB522_CNR33370</v>
      </c>
      <c r="BF62" s="9">
        <f>IF(MIN(BPD[[#This Row],[Summ Cont Winter A]:[Cable Derating]])=0,"",MIN(BPD[[#This Row],[Summ Cont Winter A]:[Cable Derating]]))</f>
        <v>21.14834036041599</v>
      </c>
      <c r="BG62" s="9">
        <f>IFERROR(BPD[[#This Row],[Lowest MVA]]*1000/(BPD[[#This Row],[Voltage]]*SQRT(3)),"")</f>
        <v>370</v>
      </c>
      <c r="BH62" s="9">
        <f t="shared" si="48"/>
        <v>370</v>
      </c>
      <c r="BI62" s="9" t="str">
        <f>BPD[[#This Row],[From]]</f>
        <v>DS524</v>
      </c>
      <c r="BJ62" s="9" t="str">
        <f>BPD[[#This Row],[To]]</f>
        <v>CB522</v>
      </c>
      <c r="BK62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Breaker-BPD-T2-CB522-Protection</v>
      </c>
      <c r="BL62" s="9">
        <f>BPD[[#This Row],[Voltage]]</f>
        <v>33</v>
      </c>
    </row>
    <row r="63" spans="1:64" s="337" customFormat="1" x14ac:dyDescent="0.25">
      <c r="A63" s="14" t="str">
        <f>CONCATENATE(BPD[[#This Row],[Supply Level]],BPD[[#This Row],[Station/Feeder]],BPD[[#This Row],[Voltage]],"T2")</f>
        <v>SubTransmissionCB522_CNR33T2</v>
      </c>
      <c r="B63" s="14" t="str">
        <f>CONCATENATE(BPD[[#This Row],[Supply Level]],BPD[[#This Row],[Station/Feeder]],BPD[[#This Row],[Equipment ID]],BPD[[#This Row],[Voltage]],BPD[[#This Row],[Device type]])</f>
        <v>SubTransmissionCB522_CNR526 ABS33-</v>
      </c>
      <c r="C63" s="14" t="s">
        <v>1245</v>
      </c>
      <c r="D63" s="11" t="s">
        <v>126</v>
      </c>
      <c r="E63" s="6" t="s">
        <v>731</v>
      </c>
      <c r="F63" s="6" t="s">
        <v>732</v>
      </c>
      <c r="G63" s="27">
        <v>3</v>
      </c>
      <c r="H63" s="7" t="s">
        <v>728</v>
      </c>
      <c r="I63" s="6" t="s">
        <v>732</v>
      </c>
      <c r="J63" s="7" t="s">
        <v>729</v>
      </c>
      <c r="K63" s="7" t="s">
        <v>0</v>
      </c>
      <c r="L63" s="7" t="s">
        <v>0</v>
      </c>
      <c r="M63" s="43">
        <v>33</v>
      </c>
      <c r="N63" s="9">
        <v>630</v>
      </c>
      <c r="O63" s="9">
        <f t="shared" si="49"/>
        <v>36.009336289356959</v>
      </c>
      <c r="P63" s="9" t="s">
        <v>0</v>
      </c>
      <c r="Q63" s="9" t="str">
        <f t="shared" si="50"/>
        <v>-</v>
      </c>
      <c r="R63" s="9">
        <v>630</v>
      </c>
      <c r="S63" s="9">
        <f t="shared" si="55"/>
        <v>36.009336289356959</v>
      </c>
      <c r="T63" s="9" t="s">
        <v>0</v>
      </c>
      <c r="U63" s="9" t="str">
        <f t="shared" si="51"/>
        <v>-</v>
      </c>
      <c r="V63" s="9" t="s">
        <v>0</v>
      </c>
      <c r="W63" s="9" t="str">
        <f t="shared" si="52"/>
        <v>-</v>
      </c>
      <c r="X63" s="9" t="s">
        <v>0</v>
      </c>
      <c r="Y63" s="9" t="str">
        <f t="shared" si="53"/>
        <v>-</v>
      </c>
      <c r="Z63" s="9" t="s">
        <v>0</v>
      </c>
      <c r="AA63" s="9" t="str">
        <f t="shared" si="45"/>
        <v>-</v>
      </c>
      <c r="AB63" s="9" t="s">
        <v>0</v>
      </c>
      <c r="AC63" s="9" t="str">
        <f t="shared" si="46"/>
        <v>-</v>
      </c>
      <c r="AD63" s="9" t="s">
        <v>0</v>
      </c>
      <c r="AE63" s="9" t="str">
        <f t="shared" si="47"/>
        <v>-</v>
      </c>
      <c r="AF63" s="9" t="s">
        <v>0</v>
      </c>
      <c r="AG63" s="9" t="s">
        <v>0</v>
      </c>
      <c r="AH63" s="9" t="s">
        <v>0</v>
      </c>
      <c r="AI63" s="9" t="s">
        <v>0</v>
      </c>
      <c r="AJ63" s="9" t="s">
        <v>0</v>
      </c>
      <c r="AK63" s="9" t="s">
        <v>0</v>
      </c>
      <c r="AL63" s="9" t="s">
        <v>0</v>
      </c>
      <c r="AM63" s="9" t="s">
        <v>0</v>
      </c>
      <c r="AN63" s="9" t="s">
        <v>0</v>
      </c>
      <c r="AO63" s="9" t="s">
        <v>0</v>
      </c>
      <c r="AP63" s="9" t="s">
        <v>0</v>
      </c>
      <c r="AQ63" s="9" t="s">
        <v>0</v>
      </c>
      <c r="AR63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63" s="9" t="str">
        <f t="shared" si="54"/>
        <v>-</v>
      </c>
      <c r="AT63" s="9">
        <f>IF(RIGHT(BPD[[#This Row],[Device type]],7)="Winding","-",BPD[[#This Row],[Cont Winter MVA]])</f>
        <v>36.009336289356959</v>
      </c>
      <c r="AU63" s="9" t="str">
        <f>IF(RIGHT(BPD[[#This Row],[Device type]],7)="Winding","-",BPD[[#This Row],[Cont Shoulder MVA]])</f>
        <v>-</v>
      </c>
      <c r="AV63" s="9">
        <f>IF(RIGHT(BPD[[#This Row],[Device type]],7)="Winding","-",BPD[[#This Row],[Cont Summer MVA]])</f>
        <v>36.009336289356959</v>
      </c>
      <c r="AW63" s="9" t="str">
        <f>BPD[[#This Row],[24 Hr Winter MVA]]</f>
        <v>-</v>
      </c>
      <c r="AX63" s="9" t="str">
        <f>BPD[[#This Row],[24 Hr Summer MVA]]</f>
        <v>-</v>
      </c>
      <c r="AY63" s="9" t="str">
        <f>BPD[[#This Row],[Forwards MVA]]</f>
        <v>-</v>
      </c>
      <c r="AZ63" s="9" t="str">
        <f>BPD[[#This Row],[Relay MVA]]</f>
        <v>-</v>
      </c>
      <c r="BA63" s="9" t="str">
        <f>BPD[[#This Row],[CT MVA]]</f>
        <v>-</v>
      </c>
      <c r="BB63" s="9" t="str">
        <f>BPD[[#This Row],[Derating MVA]]</f>
        <v>-</v>
      </c>
      <c r="BC63" s="9" t="str">
        <f>BPD[[#This Row],[Station/Feeder]]&amp;BPD[[#This Row],[Lowest MVA]]</f>
        <v>CB522_CNR36.009336289357</v>
      </c>
      <c r="BD63" s="9" t="str">
        <f>CONCATENATE(BPD[[#This Row],[Supply Level]],BPD[[#This Row],[Station/Feeder]],BPD[[#This Row],[Voltage]],BPD[[#This Row],[Lowest A-No PTX]])</f>
        <v>SubTransmissionCB522_CNR33630</v>
      </c>
      <c r="BE63" s="9" t="str">
        <f>CONCATENATE(BPD[[#This Row],[Supply Level]],BPD[[#This Row],[Station/Feeder]],BPD[[#This Row],[Voltage]],BPD[[#This Row],[Lowest A-PTX]])</f>
        <v>SubTransmissionCB522_CNR33630</v>
      </c>
      <c r="BF63" s="9">
        <f>IF(MIN(BPD[[#This Row],[Summ Cont Winter A]:[Cable Derating]])=0,"",MIN(BPD[[#This Row],[Summ Cont Winter A]:[Cable Derating]]))</f>
        <v>36.009336289356959</v>
      </c>
      <c r="BG63" s="9">
        <f>IFERROR(BPD[[#This Row],[Lowest MVA]]*1000/(BPD[[#This Row],[Voltage]]*SQRT(3)),"")</f>
        <v>630</v>
      </c>
      <c r="BH63" s="9">
        <f t="shared" si="48"/>
        <v>630</v>
      </c>
      <c r="BI63" s="9" t="str">
        <f>BPD[[#This Row],[From]]</f>
        <v>CB522</v>
      </c>
      <c r="BJ63" s="9" t="str">
        <f>BPD[[#This Row],[To]]</f>
        <v>526 ABS</v>
      </c>
      <c r="BK63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Air Break Switch-526 ABS</v>
      </c>
      <c r="BL63" s="9">
        <f>BPD[[#This Row],[Voltage]]</f>
        <v>33</v>
      </c>
    </row>
    <row r="64" spans="1:64" s="337" customFormat="1" x14ac:dyDescent="0.25">
      <c r="A64" s="14" t="str">
        <f>CONCATENATE(BPD[[#This Row],[Supply Level]],BPD[[#This Row],[Station/Feeder]],BPD[[#This Row],[Voltage]],"T1")</f>
        <v>SubTransmissionCB3602_CNR33T1</v>
      </c>
      <c r="B64" s="14" t="str">
        <f>CONCATENATE(BPD[[#This Row],[Supply Level]],BPD[[#This Row],[Station/Feeder]],BPD[[#This Row],[Equipment ID]],BPD[[#This Row],[Voltage]],BPD[[#This Row],[Device type]])</f>
        <v>SubTransmissionCB3602_CNR3604 ABS33-</v>
      </c>
      <c r="C64" s="14" t="s">
        <v>1245</v>
      </c>
      <c r="D64" s="11" t="s">
        <v>733</v>
      </c>
      <c r="E64" s="6" t="s">
        <v>726</v>
      </c>
      <c r="F64" s="6" t="s">
        <v>734</v>
      </c>
      <c r="G64" s="27">
        <v>1</v>
      </c>
      <c r="H64" s="7" t="s">
        <v>728</v>
      </c>
      <c r="I64" s="6" t="s">
        <v>734</v>
      </c>
      <c r="J64" s="7" t="s">
        <v>729</v>
      </c>
      <c r="K64" s="7" t="s">
        <v>0</v>
      </c>
      <c r="L64" s="7" t="s">
        <v>0</v>
      </c>
      <c r="M64" s="43">
        <v>33</v>
      </c>
      <c r="N64" s="9" t="s">
        <v>0</v>
      </c>
      <c r="O64" s="9" t="str">
        <f t="shared" si="49"/>
        <v>-</v>
      </c>
      <c r="P64" s="9" t="s">
        <v>0</v>
      </c>
      <c r="Q64" s="9" t="str">
        <f t="shared" si="50"/>
        <v>-</v>
      </c>
      <c r="R64" s="9">
        <v>800</v>
      </c>
      <c r="S64" s="9">
        <f t="shared" si="55"/>
        <v>45.72614131981836</v>
      </c>
      <c r="T64" s="9" t="s">
        <v>0</v>
      </c>
      <c r="U64" s="9" t="str">
        <f t="shared" si="51"/>
        <v>-</v>
      </c>
      <c r="V64" s="9" t="s">
        <v>0</v>
      </c>
      <c r="W64" s="9" t="str">
        <f t="shared" si="52"/>
        <v>-</v>
      </c>
      <c r="X64" s="9" t="s">
        <v>0</v>
      </c>
      <c r="Y64" s="9" t="str">
        <f t="shared" si="53"/>
        <v>-</v>
      </c>
      <c r="Z64" s="9" t="s">
        <v>0</v>
      </c>
      <c r="AA64" s="9" t="str">
        <f t="shared" si="45"/>
        <v>-</v>
      </c>
      <c r="AB64" s="9" t="s">
        <v>0</v>
      </c>
      <c r="AC64" s="9" t="str">
        <f t="shared" si="46"/>
        <v>-</v>
      </c>
      <c r="AD64" s="9" t="s">
        <v>0</v>
      </c>
      <c r="AE64" s="9" t="str">
        <f t="shared" si="47"/>
        <v>-</v>
      </c>
      <c r="AF64" s="9" t="s">
        <v>0</v>
      </c>
      <c r="AG64" s="9" t="s">
        <v>0</v>
      </c>
      <c r="AH64" s="9" t="s">
        <v>0</v>
      </c>
      <c r="AI64" s="9" t="s">
        <v>0</v>
      </c>
      <c r="AJ64" s="9" t="s">
        <v>0</v>
      </c>
      <c r="AK64" s="9" t="s">
        <v>0</v>
      </c>
      <c r="AL64" s="9" t="s">
        <v>0</v>
      </c>
      <c r="AM64" s="9" t="s">
        <v>0</v>
      </c>
      <c r="AN64" s="9" t="s">
        <v>0</v>
      </c>
      <c r="AO64" s="9" t="s">
        <v>0</v>
      </c>
      <c r="AP64" s="9" t="s">
        <v>0</v>
      </c>
      <c r="AQ64" s="9" t="s">
        <v>0</v>
      </c>
      <c r="AR64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64" s="9" t="str">
        <f t="shared" si="54"/>
        <v>-</v>
      </c>
      <c r="AT64" s="9" t="str">
        <f>IF(RIGHT(BPD[[#This Row],[Device type]],7)="Winding","-",BPD[[#This Row],[Cont Winter MVA]])</f>
        <v>-</v>
      </c>
      <c r="AU64" s="9" t="str">
        <f>IF(RIGHT(BPD[[#This Row],[Device type]],7)="Winding","-",BPD[[#This Row],[Cont Shoulder MVA]])</f>
        <v>-</v>
      </c>
      <c r="AV64" s="9">
        <f>IF(RIGHT(BPD[[#This Row],[Device type]],7)="Winding","-",BPD[[#This Row],[Cont Summer MVA]])</f>
        <v>45.72614131981836</v>
      </c>
      <c r="AW64" s="9" t="str">
        <f>BPD[[#This Row],[24 Hr Winter MVA]]</f>
        <v>-</v>
      </c>
      <c r="AX64" s="9" t="str">
        <f>BPD[[#This Row],[24 Hr Summer MVA]]</f>
        <v>-</v>
      </c>
      <c r="AY64" s="9" t="str">
        <f>BPD[[#This Row],[Forwards MVA]]</f>
        <v>-</v>
      </c>
      <c r="AZ64" s="9" t="str">
        <f>BPD[[#This Row],[Relay MVA]]</f>
        <v>-</v>
      </c>
      <c r="BA64" s="9" t="str">
        <f>BPD[[#This Row],[CT MVA]]</f>
        <v>-</v>
      </c>
      <c r="BB64" s="9" t="str">
        <f>BPD[[#This Row],[Derating MVA]]</f>
        <v>-</v>
      </c>
      <c r="BC64" s="9" t="str">
        <f>BPD[[#This Row],[Station/Feeder]]&amp;BPD[[#This Row],[Lowest MVA]]</f>
        <v>CB3602_CNR45.7261413198184</v>
      </c>
      <c r="BD64" s="9" t="str">
        <f>CONCATENATE(BPD[[#This Row],[Supply Level]],BPD[[#This Row],[Station/Feeder]],BPD[[#This Row],[Voltage]],BPD[[#This Row],[Lowest A-No PTX]])</f>
        <v>SubTransmissionCB3602_CNR33800</v>
      </c>
      <c r="BE64" s="9" t="str">
        <f>CONCATENATE(BPD[[#This Row],[Supply Level]],BPD[[#This Row],[Station/Feeder]],BPD[[#This Row],[Voltage]],BPD[[#This Row],[Lowest A-PTX]])</f>
        <v>SubTransmissionCB3602_CNR33800</v>
      </c>
      <c r="BF64" s="9">
        <f>IF(MIN(BPD[[#This Row],[Summ Cont Winter A]:[Cable Derating]])=0,"",MIN(BPD[[#This Row],[Summ Cont Winter A]:[Cable Derating]]))</f>
        <v>45.72614131981836</v>
      </c>
      <c r="BG64" s="9">
        <f>IFERROR(BPD[[#This Row],[Lowest MVA]]*1000/(BPD[[#This Row],[Voltage]]*SQRT(3)),"")</f>
        <v>800</v>
      </c>
      <c r="BH64" s="9">
        <f t="shared" si="48"/>
        <v>800</v>
      </c>
      <c r="BI64" s="9" t="str">
        <f>BPD[[#This Row],[From]]</f>
        <v>33 kV Terminal</v>
      </c>
      <c r="BJ64" s="9" t="str">
        <f>BPD[[#This Row],[To]]</f>
        <v>3604 ABS</v>
      </c>
      <c r="BK64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Air Break Switch-3604 ABS</v>
      </c>
      <c r="BL64" s="9">
        <f>BPD[[#This Row],[Voltage]]</f>
        <v>33</v>
      </c>
    </row>
    <row r="65" spans="1:64" s="337" customFormat="1" x14ac:dyDescent="0.25">
      <c r="A65" s="14" t="str">
        <f>CONCATENATE(BPD[[#This Row],[Supply Level]],BPD[[#This Row],[Station/Feeder]],BPD[[#This Row],[Voltage]],"T1")</f>
        <v>SubTransmissionCB3602_CNR33T1</v>
      </c>
      <c r="B65" s="14" t="str">
        <f>CONCATENATE(BPD[[#This Row],[Supply Level]],BPD[[#This Row],[Station/Feeder]],BPD[[#This Row],[Equipment ID]],BPD[[#This Row],[Voltage]],BPD[[#This Row],[Device type]])</f>
        <v>SubTransmissionCB3602_CNRBPD-T1-CB360233Protection</v>
      </c>
      <c r="C65" s="14" t="s">
        <v>1245</v>
      </c>
      <c r="D65" s="11" t="s">
        <v>733</v>
      </c>
      <c r="E65" s="6" t="s">
        <v>735</v>
      </c>
      <c r="F65" s="6" t="s">
        <v>736</v>
      </c>
      <c r="G65" s="27">
        <v>2</v>
      </c>
      <c r="H65" s="339" t="s">
        <v>2348</v>
      </c>
      <c r="I65" s="6" t="s">
        <v>2479</v>
      </c>
      <c r="J65" s="7" t="s">
        <v>15</v>
      </c>
      <c r="K65" s="7" t="s">
        <v>793</v>
      </c>
      <c r="L65" s="7" t="s">
        <v>1423</v>
      </c>
      <c r="M65" s="43">
        <v>33</v>
      </c>
      <c r="N65" s="9">
        <v>3150</v>
      </c>
      <c r="O65" s="9">
        <f t="shared" si="49"/>
        <v>180.04668144678479</v>
      </c>
      <c r="P65" s="9">
        <v>3150</v>
      </c>
      <c r="Q65" s="9">
        <f t="shared" si="50"/>
        <v>180.04668144678479</v>
      </c>
      <c r="R65" s="9">
        <v>3150</v>
      </c>
      <c r="S65" s="9">
        <f t="shared" si="55"/>
        <v>180.04668144678479</v>
      </c>
      <c r="T65" s="9" t="s">
        <v>0</v>
      </c>
      <c r="U65" s="9" t="str">
        <f t="shared" si="51"/>
        <v>-</v>
      </c>
      <c r="V65" s="9" t="s">
        <v>0</v>
      </c>
      <c r="W65" s="9" t="str">
        <f t="shared" si="52"/>
        <v>-</v>
      </c>
      <c r="X65" s="9">
        <f>VLOOKUP(BPD[[#This Row],[Equipment ID]],AEL_Protection_Data[#All],12,0)</f>
        <v>492</v>
      </c>
      <c r="Y65" s="9">
        <f t="shared" si="53"/>
        <v>28.12157691168829</v>
      </c>
      <c r="Z65" s="9" t="s">
        <v>0</v>
      </c>
      <c r="AA65" s="9" t="str">
        <f t="shared" si="45"/>
        <v>-</v>
      </c>
      <c r="AB65" s="9" t="s">
        <v>0</v>
      </c>
      <c r="AC65" s="9" t="str">
        <f t="shared" si="46"/>
        <v>-</v>
      </c>
      <c r="AD65" s="9" t="s">
        <v>0</v>
      </c>
      <c r="AE65" s="9" t="str">
        <f t="shared" si="47"/>
        <v>-</v>
      </c>
      <c r="AF65" s="9" t="s">
        <v>0</v>
      </c>
      <c r="AG65" s="9" t="s">
        <v>0</v>
      </c>
      <c r="AH65" s="9" t="s">
        <v>0</v>
      </c>
      <c r="AI65" s="9" t="s">
        <v>0</v>
      </c>
      <c r="AJ65" s="9" t="s">
        <v>0</v>
      </c>
      <c r="AK65" s="9" t="s">
        <v>0</v>
      </c>
      <c r="AL65" s="9" t="s">
        <v>0</v>
      </c>
      <c r="AM65" s="9" t="s">
        <v>0</v>
      </c>
      <c r="AN65" s="9" t="s">
        <v>0</v>
      </c>
      <c r="AO65" s="9" t="s">
        <v>0</v>
      </c>
      <c r="AP65" s="9" t="s">
        <v>0</v>
      </c>
      <c r="AQ65" s="9" t="s">
        <v>0</v>
      </c>
      <c r="AR65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65" s="9" t="str">
        <f t="shared" si="54"/>
        <v>-</v>
      </c>
      <c r="AT65" s="9">
        <f>IF(RIGHT(BPD[[#This Row],[Device type]],7)="Winding","-",BPD[[#This Row],[Cont Winter MVA]])</f>
        <v>180.04668144678479</v>
      </c>
      <c r="AU65" s="9">
        <f>IF(RIGHT(BPD[[#This Row],[Device type]],7)="Winding","-",BPD[[#This Row],[Cont Shoulder MVA]])</f>
        <v>180.04668144678479</v>
      </c>
      <c r="AV65" s="9">
        <f>IF(RIGHT(BPD[[#This Row],[Device type]],7)="Winding","-",BPD[[#This Row],[Cont Summer MVA]])</f>
        <v>180.04668144678479</v>
      </c>
      <c r="AW65" s="9" t="str">
        <f>BPD[[#This Row],[24 Hr Winter MVA]]</f>
        <v>-</v>
      </c>
      <c r="AX65" s="9" t="str">
        <f>BPD[[#This Row],[24 Hr Summer MVA]]</f>
        <v>-</v>
      </c>
      <c r="AY65" s="9">
        <f>BPD[[#This Row],[Forwards MVA]]</f>
        <v>28.12157691168829</v>
      </c>
      <c r="AZ65" s="9" t="str">
        <f>BPD[[#This Row],[Relay MVA]]</f>
        <v>-</v>
      </c>
      <c r="BA65" s="9" t="str">
        <f>BPD[[#This Row],[CT MVA]]</f>
        <v>-</v>
      </c>
      <c r="BB65" s="9" t="str">
        <f>BPD[[#This Row],[Derating MVA]]</f>
        <v>-</v>
      </c>
      <c r="BC65" s="9" t="str">
        <f>BPD[[#This Row],[Station/Feeder]]&amp;BPD[[#This Row],[Lowest MVA]]</f>
        <v>CB3602_CNR28.1215769116883</v>
      </c>
      <c r="BD65" s="9" t="str">
        <f>CONCATENATE(BPD[[#This Row],[Supply Level]],BPD[[#This Row],[Station/Feeder]],BPD[[#This Row],[Voltage]],BPD[[#This Row],[Lowest A-No PTX]])</f>
        <v>SubTransmissionCB3602_CNR33492</v>
      </c>
      <c r="BE65" s="9" t="str">
        <f>CONCATENATE(BPD[[#This Row],[Supply Level]],BPD[[#This Row],[Station/Feeder]],BPD[[#This Row],[Voltage]],BPD[[#This Row],[Lowest A-PTX]])</f>
        <v>SubTransmissionCB3602_CNR33492</v>
      </c>
      <c r="BF65" s="9">
        <f>IF(MIN(BPD[[#This Row],[Summ Cont Winter A]:[Cable Derating]])=0,"",MIN(BPD[[#This Row],[Summ Cont Winter A]:[Cable Derating]]))</f>
        <v>28.12157691168829</v>
      </c>
      <c r="BG65" s="9">
        <f>IFERROR(BPD[[#This Row],[Lowest MVA]]*1000/(BPD[[#This Row],[Voltage]]*SQRT(3)),"")</f>
        <v>492.00000000000006</v>
      </c>
      <c r="BH65" s="9">
        <f t="shared" si="48"/>
        <v>492</v>
      </c>
      <c r="BI65" s="9" t="str">
        <f>BPD[[#This Row],[From]]</f>
        <v>DS3604</v>
      </c>
      <c r="BJ65" s="9" t="str">
        <f>BPD[[#This Row],[To]]</f>
        <v>CB3602</v>
      </c>
      <c r="BK65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Breaker-BPD-T1-CB3602-Protection</v>
      </c>
      <c r="BL65" s="9">
        <f>BPD[[#This Row],[Voltage]]</f>
        <v>33</v>
      </c>
    </row>
    <row r="66" spans="1:64" s="337" customFormat="1" x14ac:dyDescent="0.25">
      <c r="A66" s="14" t="str">
        <f>CONCATENATE(BPD[[#This Row],[Supply Level]],BPD[[#This Row],[Station/Feeder]],BPD[[#This Row],[Voltage]],"T1")</f>
        <v>SubTransmissionCB3602_CNR33T1</v>
      </c>
      <c r="B66" s="14" t="str">
        <f>CONCATENATE(BPD[[#This Row],[Supply Level]],BPD[[#This Row],[Station/Feeder]],BPD[[#This Row],[Equipment ID]],BPD[[#This Row],[Voltage]],BPD[[#This Row],[Device type]])</f>
        <v>SubTransmissionCB3602_CNR3606 ABS33-</v>
      </c>
      <c r="C66" s="14" t="s">
        <v>1245</v>
      </c>
      <c r="D66" s="11" t="s">
        <v>733</v>
      </c>
      <c r="E66" s="6" t="s">
        <v>736</v>
      </c>
      <c r="F66" s="6" t="s">
        <v>737</v>
      </c>
      <c r="G66" s="27">
        <v>3</v>
      </c>
      <c r="H66" s="7" t="s">
        <v>728</v>
      </c>
      <c r="I66" s="6" t="s">
        <v>737</v>
      </c>
      <c r="J66" s="7" t="s">
        <v>729</v>
      </c>
      <c r="K66" s="7" t="s">
        <v>0</v>
      </c>
      <c r="L66" s="7" t="s">
        <v>0</v>
      </c>
      <c r="M66" s="43">
        <v>33</v>
      </c>
      <c r="N66" s="9" t="s">
        <v>0</v>
      </c>
      <c r="O66" s="9" t="str">
        <f t="shared" si="49"/>
        <v>-</v>
      </c>
      <c r="P66" s="9" t="s">
        <v>0</v>
      </c>
      <c r="Q66" s="9" t="str">
        <f t="shared" si="50"/>
        <v>-</v>
      </c>
      <c r="R66" s="9">
        <v>800</v>
      </c>
      <c r="S66" s="9">
        <f t="shared" si="55"/>
        <v>45.72614131981836</v>
      </c>
      <c r="T66" s="9" t="s">
        <v>0</v>
      </c>
      <c r="U66" s="9" t="str">
        <f t="shared" si="51"/>
        <v>-</v>
      </c>
      <c r="V66" s="9" t="s">
        <v>0</v>
      </c>
      <c r="W66" s="9" t="str">
        <f t="shared" si="52"/>
        <v>-</v>
      </c>
      <c r="X66" s="9" t="s">
        <v>0</v>
      </c>
      <c r="Y66" s="9" t="str">
        <f t="shared" si="53"/>
        <v>-</v>
      </c>
      <c r="Z66" s="9" t="s">
        <v>0</v>
      </c>
      <c r="AA66" s="9" t="str">
        <f t="shared" si="45"/>
        <v>-</v>
      </c>
      <c r="AB66" s="9" t="s">
        <v>0</v>
      </c>
      <c r="AC66" s="9" t="str">
        <f t="shared" si="46"/>
        <v>-</v>
      </c>
      <c r="AD66" s="9" t="s">
        <v>0</v>
      </c>
      <c r="AE66" s="9" t="str">
        <f t="shared" si="47"/>
        <v>-</v>
      </c>
      <c r="AF66" s="9" t="s">
        <v>0</v>
      </c>
      <c r="AG66" s="9" t="s">
        <v>0</v>
      </c>
      <c r="AH66" s="9" t="s">
        <v>0</v>
      </c>
      <c r="AI66" s="9" t="s">
        <v>0</v>
      </c>
      <c r="AJ66" s="9" t="s">
        <v>0</v>
      </c>
      <c r="AK66" s="9" t="s">
        <v>0</v>
      </c>
      <c r="AL66" s="9" t="s">
        <v>0</v>
      </c>
      <c r="AM66" s="9" t="s">
        <v>0</v>
      </c>
      <c r="AN66" s="9" t="s">
        <v>0</v>
      </c>
      <c r="AO66" s="9" t="s">
        <v>0</v>
      </c>
      <c r="AP66" s="9" t="s">
        <v>0</v>
      </c>
      <c r="AQ66" s="9" t="s">
        <v>0</v>
      </c>
      <c r="AR66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66" s="9" t="str">
        <f t="shared" si="54"/>
        <v>-</v>
      </c>
      <c r="AT66" s="9" t="str">
        <f>IF(RIGHT(BPD[[#This Row],[Device type]],7)="Winding","-",BPD[[#This Row],[Cont Winter MVA]])</f>
        <v>-</v>
      </c>
      <c r="AU66" s="9" t="str">
        <f>IF(RIGHT(BPD[[#This Row],[Device type]],7)="Winding","-",BPD[[#This Row],[Cont Shoulder MVA]])</f>
        <v>-</v>
      </c>
      <c r="AV66" s="9">
        <f>IF(RIGHT(BPD[[#This Row],[Device type]],7)="Winding","-",BPD[[#This Row],[Cont Summer MVA]])</f>
        <v>45.72614131981836</v>
      </c>
      <c r="AW66" s="9" t="str">
        <f>BPD[[#This Row],[24 Hr Winter MVA]]</f>
        <v>-</v>
      </c>
      <c r="AX66" s="9" t="str">
        <f>BPD[[#This Row],[24 Hr Summer MVA]]</f>
        <v>-</v>
      </c>
      <c r="AY66" s="9" t="str">
        <f>BPD[[#This Row],[Forwards MVA]]</f>
        <v>-</v>
      </c>
      <c r="AZ66" s="9" t="str">
        <f>BPD[[#This Row],[Relay MVA]]</f>
        <v>-</v>
      </c>
      <c r="BA66" s="9" t="str">
        <f>BPD[[#This Row],[CT MVA]]</f>
        <v>-</v>
      </c>
      <c r="BB66" s="9" t="str">
        <f>BPD[[#This Row],[Derating MVA]]</f>
        <v>-</v>
      </c>
      <c r="BC66" s="9" t="str">
        <f>BPD[[#This Row],[Station/Feeder]]&amp;BPD[[#This Row],[Lowest MVA]]</f>
        <v>CB3602_CNR45.7261413198184</v>
      </c>
      <c r="BD66" s="9" t="str">
        <f>CONCATENATE(BPD[[#This Row],[Supply Level]],BPD[[#This Row],[Station/Feeder]],BPD[[#This Row],[Voltage]],BPD[[#This Row],[Lowest A-No PTX]])</f>
        <v>SubTransmissionCB3602_CNR33800</v>
      </c>
      <c r="BE66" s="9" t="str">
        <f>CONCATENATE(BPD[[#This Row],[Supply Level]],BPD[[#This Row],[Station/Feeder]],BPD[[#This Row],[Voltage]],BPD[[#This Row],[Lowest A-PTX]])</f>
        <v>SubTransmissionCB3602_CNR33800</v>
      </c>
      <c r="BF66" s="9">
        <f>IF(MIN(BPD[[#This Row],[Summ Cont Winter A]:[Cable Derating]])=0,"",MIN(BPD[[#This Row],[Summ Cont Winter A]:[Cable Derating]]))</f>
        <v>45.72614131981836</v>
      </c>
      <c r="BG66" s="9">
        <f>IFERROR(BPD[[#This Row],[Lowest MVA]]*1000/(BPD[[#This Row],[Voltage]]*SQRT(3)),"")</f>
        <v>800</v>
      </c>
      <c r="BH66" s="9">
        <f t="shared" si="48"/>
        <v>800</v>
      </c>
      <c r="BI66" s="9" t="str">
        <f>BPD[[#This Row],[From]]</f>
        <v>CB3602</v>
      </c>
      <c r="BJ66" s="9" t="str">
        <f>BPD[[#This Row],[To]]</f>
        <v>3606 ABS</v>
      </c>
      <c r="BK66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Air Break Switch-3606 ABS</v>
      </c>
      <c r="BL66" s="9">
        <f>BPD[[#This Row],[Voltage]]</f>
        <v>33</v>
      </c>
    </row>
    <row r="67" spans="1:64" s="337" customFormat="1" x14ac:dyDescent="0.25">
      <c r="A67" s="14" t="str">
        <f>CONCATENATE(BPD[[#This Row],[Supply Level]],BPD[[#This Row],[Station/Feeder]],BPD[[#This Row],[Voltage]])</f>
        <v>SubTransmissionCB522_CNR33</v>
      </c>
      <c r="B67" s="14" t="str">
        <f>CONCATENATE(BPD[[#This Row],[Supply Level]],BPD[[#This Row],[Station/Feeder]],BPD[[#This Row],[Equipment ID]],BPD[[#This Row],[Voltage]],BPD[[#This Row],[Device type]])</f>
        <v>SubTransmissionCB522_CNRCHAFER33-</v>
      </c>
      <c r="C67" s="14" t="s">
        <v>1245</v>
      </c>
      <c r="D67" s="11" t="s">
        <v>126</v>
      </c>
      <c r="E67" s="6" t="s">
        <v>738</v>
      </c>
      <c r="F67" s="6" t="s">
        <v>739</v>
      </c>
      <c r="G67" s="27">
        <v>1</v>
      </c>
      <c r="H67" s="7" t="s">
        <v>1289</v>
      </c>
      <c r="I67" s="6" t="s">
        <v>505</v>
      </c>
      <c r="J67" s="7" t="s">
        <v>69</v>
      </c>
      <c r="K67" s="7" t="s">
        <v>0</v>
      </c>
      <c r="L67" s="7" t="s">
        <v>0</v>
      </c>
      <c r="M67" s="43">
        <v>33</v>
      </c>
      <c r="N67" s="9">
        <v>674.45358565586776</v>
      </c>
      <c r="O67" s="9">
        <f t="shared" ref="O67:O76" si="56">IF(OR(N67="",N67="-"),"-",N67*$M67*SQRT(3)/1000)</f>
        <v>38.550199964198029</v>
      </c>
      <c r="P67" s="9" t="s">
        <v>0</v>
      </c>
      <c r="Q67" s="9" t="str">
        <f t="shared" ref="Q67:Q76" si="57">IF(OR(P67="",P67="-"),"-",P67*$M67*SQRT(3)/1000)</f>
        <v>-</v>
      </c>
      <c r="R67" s="9">
        <v>583.88013440944542</v>
      </c>
      <c r="S67" s="9">
        <f t="shared" ref="S67:S76" si="58">IF(OR(R67="",R67="-"),"-",R67*$M67*SQRT(3)/1000)</f>
        <v>33.373231924801054</v>
      </c>
      <c r="T67" s="9" t="s">
        <v>0</v>
      </c>
      <c r="U67" s="9" t="str">
        <f t="shared" ref="U67:U76" si="59">IF(OR(T67="",T67="-"),"-",T67*$M67*SQRT(3)/1000)</f>
        <v>-</v>
      </c>
      <c r="V67" s="9" t="s">
        <v>0</v>
      </c>
      <c r="W67" s="9" t="str">
        <f t="shared" ref="W67:W76" si="60">IF(OR(V67="",V67="-"),"-",V67*$M67*SQRT(3)/1000)</f>
        <v>-</v>
      </c>
      <c r="X67" s="9" t="s">
        <v>0</v>
      </c>
      <c r="Y67" s="9" t="str">
        <f t="shared" ref="Y67:Y76" si="61">IF(OR(X67="",X67="-"),"-",X67*$M67*SQRT(3)/1000)</f>
        <v>-</v>
      </c>
      <c r="Z67" s="9" t="s">
        <v>0</v>
      </c>
      <c r="AA67" s="9" t="str">
        <f t="shared" ref="AA67:AA76" si="62">IF(OR(Z67="",Z67="-"),"-",Z67*$M67*SQRT(3)/1000)</f>
        <v>-</v>
      </c>
      <c r="AB67" s="9" t="s">
        <v>0</v>
      </c>
      <c r="AC67" s="9" t="str">
        <f t="shared" ref="AC67:AC76" si="63">IF(OR(AB67="",AB67="-"),"-",AB67*$M67*SQRT(3)/1000)</f>
        <v>-</v>
      </c>
      <c r="AD67" s="9" t="s">
        <v>0</v>
      </c>
      <c r="AE67" s="9" t="str">
        <f t="shared" ref="AE67:AE76" si="64">IF(OR(AD67="",AD67="-"),"-",AD67*$M67*SQRT(3)/1000)</f>
        <v>-</v>
      </c>
      <c r="AF67" s="9" t="s">
        <v>0</v>
      </c>
      <c r="AG67" s="9" t="s">
        <v>0</v>
      </c>
      <c r="AH67" s="9">
        <v>73.099999999999994</v>
      </c>
      <c r="AI67" s="9" t="s">
        <v>0</v>
      </c>
      <c r="AJ67" s="9" t="s">
        <v>0</v>
      </c>
      <c r="AK67" s="9" t="s">
        <v>0</v>
      </c>
      <c r="AL67" s="9" t="s">
        <v>0</v>
      </c>
      <c r="AM67" s="9" t="s">
        <v>0</v>
      </c>
      <c r="AN67" s="9" t="s">
        <v>0</v>
      </c>
      <c r="AO67" s="9" t="s">
        <v>0</v>
      </c>
      <c r="AP67" s="9" t="s">
        <v>0</v>
      </c>
      <c r="AQ67" s="9" t="s">
        <v>0</v>
      </c>
      <c r="AR67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67" s="9" t="str">
        <f t="shared" ref="AS67:AS76" si="65">IF(OR(AR67="",AR67="-"),"-",AR67*$M67*SQRT(3)/1000)</f>
        <v>-</v>
      </c>
      <c r="AT67" s="9">
        <f>IF(RIGHT(BPD[[#This Row],[Device type]],7)="Winding","-",BPD[[#This Row],[Cont Winter MVA]])</f>
        <v>38.550199964198029</v>
      </c>
      <c r="AU67" s="9" t="str">
        <f>IF(RIGHT(BPD[[#This Row],[Device type]],7)="Winding","-",BPD[[#This Row],[Cont Shoulder MVA]])</f>
        <v>-</v>
      </c>
      <c r="AV67" s="9">
        <f>IF(RIGHT(BPD[[#This Row],[Device type]],7)="Winding","-",BPD[[#This Row],[Cont Summer MVA]])</f>
        <v>33.373231924801054</v>
      </c>
      <c r="AW67" s="9" t="str">
        <f>BPD[[#This Row],[24 Hr Winter MVA]]</f>
        <v>-</v>
      </c>
      <c r="AX67" s="9" t="str">
        <f>BPD[[#This Row],[24 Hr Summer MVA]]</f>
        <v>-</v>
      </c>
      <c r="AY67" s="9" t="str">
        <f>BPD[[#This Row],[Forwards MVA]]</f>
        <v>-</v>
      </c>
      <c r="AZ67" s="9" t="str">
        <f>BPD[[#This Row],[Relay MVA]]</f>
        <v>-</v>
      </c>
      <c r="BA67" s="9" t="str">
        <f>BPD[[#This Row],[CT MVA]]</f>
        <v>-</v>
      </c>
      <c r="BB67" s="9" t="str">
        <f>BPD[[#This Row],[Derating MVA]]</f>
        <v>-</v>
      </c>
      <c r="BC67" s="9" t="str">
        <f>BPD[[#This Row],[Station/Feeder]]&amp;BPD[[#This Row],[Lowest MVA]]</f>
        <v>CB522_CNR33.3732319248011</v>
      </c>
      <c r="BD67" s="9" t="str">
        <f>CONCATENATE(BPD[[#This Row],[Supply Level]],BPD[[#This Row],[Station/Feeder]],BPD[[#This Row],[Voltage]],BPD[[#This Row],[Lowest A-No PTX]])</f>
        <v>SubTransmissionCB522_CNR33583.880134409446</v>
      </c>
      <c r="BE67" s="9" t="str">
        <f>CONCATENATE(BPD[[#This Row],[Supply Level]],BPD[[#This Row],[Station/Feeder]],BPD[[#This Row],[Voltage]],BPD[[#This Row],[Lowest A-PTX]])</f>
        <v>SubTransmissionCB522_CNR33583.880134409445</v>
      </c>
      <c r="BF67" s="9">
        <f>IF(MIN(BPD[[#This Row],[Summ Cont Winter A]:[Cable Derating]])=0,"",MIN(BPD[[#This Row],[Summ Cont Winter A]:[Cable Derating]]))</f>
        <v>33.373231924801054</v>
      </c>
      <c r="BG67" s="9">
        <f>IFERROR(BPD[[#This Row],[Lowest MVA]]*1000/(BPD[[#This Row],[Voltage]]*SQRT(3)),"")</f>
        <v>583.88013440944553</v>
      </c>
      <c r="BH67" s="9">
        <f t="shared" si="48"/>
        <v>583.88013440944542</v>
      </c>
      <c r="BI67" s="9" t="str">
        <f>BPD[[#This Row],[From]]</f>
        <v>CB522/CB3602</v>
      </c>
      <c r="BJ67" s="9" t="str">
        <f>BPD[[#This Row],[To]]</f>
        <v>Pole 50593</v>
      </c>
      <c r="BK67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OH Line-CHAFER</v>
      </c>
      <c r="BL67" s="9">
        <f>BPD[[#This Row],[Voltage]]</f>
        <v>33</v>
      </c>
    </row>
    <row r="68" spans="1:64" s="337" customFormat="1" x14ac:dyDescent="0.25">
      <c r="A68" s="14" t="str">
        <f>CONCATENATE(BPD[[#This Row],[Supply Level]],BPD[[#This Row],[Station/Feeder]],BPD[[#This Row],[Voltage]])</f>
        <v>SubTransmissionCB522_CNR33</v>
      </c>
      <c r="B68" s="14" t="str">
        <f>CONCATENATE(BPD[[#This Row],[Supply Level]],BPD[[#This Row],[Station/Feeder]],BPD[[#This Row],[Equipment ID]],BPD[[#This Row],[Voltage]],BPD[[#This Row],[Device type]])</f>
        <v>SubTransmissionCB522_CNRJAGUAR33-</v>
      </c>
      <c r="C68" s="14" t="s">
        <v>1245</v>
      </c>
      <c r="D68" s="11" t="s">
        <v>126</v>
      </c>
      <c r="E68" s="6" t="s">
        <v>739</v>
      </c>
      <c r="F68" s="14" t="s">
        <v>740</v>
      </c>
      <c r="G68" s="27">
        <v>2</v>
      </c>
      <c r="H68" s="7" t="s">
        <v>1289</v>
      </c>
      <c r="I68" s="6" t="s">
        <v>345</v>
      </c>
      <c r="J68" s="7" t="s">
        <v>69</v>
      </c>
      <c r="K68" s="7" t="s">
        <v>0</v>
      </c>
      <c r="L68" s="7" t="s">
        <v>0</v>
      </c>
      <c r="M68" s="43">
        <v>33</v>
      </c>
      <c r="N68" s="9">
        <v>673.28384221311683</v>
      </c>
      <c r="O68" s="9">
        <f t="shared" si="56"/>
        <v>38.483340146734079</v>
      </c>
      <c r="P68" s="9" t="s">
        <v>0</v>
      </c>
      <c r="Q68" s="9" t="str">
        <f t="shared" si="57"/>
        <v>-</v>
      </c>
      <c r="R68" s="9">
        <v>582.79308811233284</v>
      </c>
      <c r="S68" s="9">
        <f t="shared" si="58"/>
        <v>33.311098884047354</v>
      </c>
      <c r="T68" s="9" t="s">
        <v>0</v>
      </c>
      <c r="U68" s="9" t="str">
        <f t="shared" si="59"/>
        <v>-</v>
      </c>
      <c r="V68" s="9" t="s">
        <v>0</v>
      </c>
      <c r="W68" s="9" t="str">
        <f t="shared" si="60"/>
        <v>-</v>
      </c>
      <c r="X68" s="9" t="s">
        <v>0</v>
      </c>
      <c r="Y68" s="9" t="str">
        <f t="shared" si="61"/>
        <v>-</v>
      </c>
      <c r="Z68" s="9" t="s">
        <v>0</v>
      </c>
      <c r="AA68" s="9" t="str">
        <f t="shared" si="62"/>
        <v>-</v>
      </c>
      <c r="AB68" s="9" t="s">
        <v>0</v>
      </c>
      <c r="AC68" s="9" t="str">
        <f t="shared" si="63"/>
        <v>-</v>
      </c>
      <c r="AD68" s="9" t="s">
        <v>0</v>
      </c>
      <c r="AE68" s="9" t="str">
        <f t="shared" si="64"/>
        <v>-</v>
      </c>
      <c r="AF68" s="9" t="s">
        <v>0</v>
      </c>
      <c r="AG68" s="9" t="s">
        <v>0</v>
      </c>
      <c r="AH68" s="9">
        <v>11319</v>
      </c>
      <c r="AI68" s="9" t="s">
        <v>0</v>
      </c>
      <c r="AJ68" s="9" t="s">
        <v>0</v>
      </c>
      <c r="AK68" s="9" t="s">
        <v>0</v>
      </c>
      <c r="AL68" s="9" t="s">
        <v>0</v>
      </c>
      <c r="AM68" s="9" t="s">
        <v>0</v>
      </c>
      <c r="AN68" s="9" t="s">
        <v>0</v>
      </c>
      <c r="AO68" s="9" t="s">
        <v>0</v>
      </c>
      <c r="AP68" s="9" t="s">
        <v>0</v>
      </c>
      <c r="AQ68" s="9" t="s">
        <v>0</v>
      </c>
      <c r="AR68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68" s="9" t="str">
        <f t="shared" si="65"/>
        <v>-</v>
      </c>
      <c r="AT68" s="9">
        <f>IF(RIGHT(BPD[[#This Row],[Device type]],7)="Winding","-",BPD[[#This Row],[Cont Winter MVA]])</f>
        <v>38.483340146734079</v>
      </c>
      <c r="AU68" s="9" t="str">
        <f>IF(RIGHT(BPD[[#This Row],[Device type]],7)="Winding","-",BPD[[#This Row],[Cont Shoulder MVA]])</f>
        <v>-</v>
      </c>
      <c r="AV68" s="9">
        <f>IF(RIGHT(BPD[[#This Row],[Device type]],7)="Winding","-",BPD[[#This Row],[Cont Summer MVA]])</f>
        <v>33.311098884047354</v>
      </c>
      <c r="AW68" s="9" t="str">
        <f>BPD[[#This Row],[24 Hr Winter MVA]]</f>
        <v>-</v>
      </c>
      <c r="AX68" s="9" t="str">
        <f>BPD[[#This Row],[24 Hr Summer MVA]]</f>
        <v>-</v>
      </c>
      <c r="AY68" s="9" t="str">
        <f>BPD[[#This Row],[Forwards MVA]]</f>
        <v>-</v>
      </c>
      <c r="AZ68" s="9" t="str">
        <f>BPD[[#This Row],[Relay MVA]]</f>
        <v>-</v>
      </c>
      <c r="BA68" s="9" t="str">
        <f>BPD[[#This Row],[CT MVA]]</f>
        <v>-</v>
      </c>
      <c r="BB68" s="9" t="str">
        <f>BPD[[#This Row],[Derating MVA]]</f>
        <v>-</v>
      </c>
      <c r="BC68" s="9" t="str">
        <f>BPD[[#This Row],[Station/Feeder]]&amp;BPD[[#This Row],[Lowest MVA]]</f>
        <v>CB522_CNR33.3110988840474</v>
      </c>
      <c r="BD68" s="9" t="str">
        <f>CONCATENATE(BPD[[#This Row],[Supply Level]],BPD[[#This Row],[Station/Feeder]],BPD[[#This Row],[Voltage]],BPD[[#This Row],[Lowest A-No PTX]])</f>
        <v>SubTransmissionCB522_CNR33582.793088112333</v>
      </c>
      <c r="BE68" s="9" t="str">
        <f>CONCATENATE(BPD[[#This Row],[Supply Level]],BPD[[#This Row],[Station/Feeder]],BPD[[#This Row],[Voltage]],BPD[[#This Row],[Lowest A-PTX]])</f>
        <v>SubTransmissionCB522_CNR33582.793088112333</v>
      </c>
      <c r="BF68" s="9">
        <f>IF(MIN(BPD[[#This Row],[Summ Cont Winter A]:[Cable Derating]])=0,"",MIN(BPD[[#This Row],[Summ Cont Winter A]:[Cable Derating]]))</f>
        <v>33.311098884047354</v>
      </c>
      <c r="BG68" s="9">
        <f>IFERROR(BPD[[#This Row],[Lowest MVA]]*1000/(BPD[[#This Row],[Voltage]]*SQRT(3)),"")</f>
        <v>582.79308811233284</v>
      </c>
      <c r="BH68" s="9">
        <f t="shared" ref="BH68:BH93" si="66">IF(MIN(N68,P68,R68,T68,V68,X68,Z68,AB68,AD68,AR68)=0,"",MIN(N68,P68,R68,T68,V68,X68,Z68,AB68,AD68,AR68))</f>
        <v>582.79308811233284</v>
      </c>
      <c r="BI68" s="9" t="str">
        <f>BPD[[#This Row],[From]]</f>
        <v>Pole 50593</v>
      </c>
      <c r="BJ68" s="9" t="str">
        <f>BPD[[#This Row],[To]]</f>
        <v>Pole 50738</v>
      </c>
      <c r="BK68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OH Line-JAGUAR</v>
      </c>
      <c r="BL68" s="9">
        <f>BPD[[#This Row],[Voltage]]</f>
        <v>33</v>
      </c>
    </row>
    <row r="69" spans="1:64" s="337" customFormat="1" x14ac:dyDescent="0.25">
      <c r="A69" s="14" t="str">
        <f>CONCATENATE(BPD[[#This Row],[Supply Level]],BPD[[#This Row],[Station/Feeder]],BPD[[#This Row],[Voltage]])</f>
        <v>SubTransmissionCB522_CNR33</v>
      </c>
      <c r="B69" s="14" t="str">
        <f>CONCATENATE(BPD[[#This Row],[Supply Level]],BPD[[#This Row],[Station/Feeder]],BPD[[#This Row],[Equipment ID]],BPD[[#This Row],[Voltage]],BPD[[#This Row],[Device type]])</f>
        <v>SubTransmissionCB522_CNRCHAFER33-</v>
      </c>
      <c r="C69" s="14" t="s">
        <v>1245</v>
      </c>
      <c r="D69" s="11" t="s">
        <v>126</v>
      </c>
      <c r="E69" s="6" t="s">
        <v>740</v>
      </c>
      <c r="F69" s="148" t="s">
        <v>741</v>
      </c>
      <c r="G69" s="27">
        <v>3</v>
      </c>
      <c r="H69" s="7" t="s">
        <v>1289</v>
      </c>
      <c r="I69" s="6" t="s">
        <v>505</v>
      </c>
      <c r="J69" s="7" t="s">
        <v>69</v>
      </c>
      <c r="K69" s="7" t="s">
        <v>0</v>
      </c>
      <c r="L69" s="7" t="s">
        <v>0</v>
      </c>
      <c r="M69" s="43">
        <v>33</v>
      </c>
      <c r="N69" s="9">
        <v>674.45358565586776</v>
      </c>
      <c r="O69" s="9">
        <f t="shared" si="56"/>
        <v>38.550199964198029</v>
      </c>
      <c r="P69" s="9" t="s">
        <v>0</v>
      </c>
      <c r="Q69" s="9" t="str">
        <f t="shared" si="57"/>
        <v>-</v>
      </c>
      <c r="R69" s="9">
        <v>583.88013440944542</v>
      </c>
      <c r="S69" s="9">
        <f t="shared" si="58"/>
        <v>33.373231924801054</v>
      </c>
      <c r="T69" s="9" t="s">
        <v>0</v>
      </c>
      <c r="U69" s="9" t="str">
        <f t="shared" si="59"/>
        <v>-</v>
      </c>
      <c r="V69" s="9" t="s">
        <v>0</v>
      </c>
      <c r="W69" s="9" t="str">
        <f t="shared" si="60"/>
        <v>-</v>
      </c>
      <c r="X69" s="9" t="s">
        <v>0</v>
      </c>
      <c r="Y69" s="9" t="str">
        <f t="shared" si="61"/>
        <v>-</v>
      </c>
      <c r="Z69" s="9" t="s">
        <v>0</v>
      </c>
      <c r="AA69" s="9" t="str">
        <f t="shared" si="62"/>
        <v>-</v>
      </c>
      <c r="AB69" s="9" t="s">
        <v>0</v>
      </c>
      <c r="AC69" s="9" t="str">
        <f t="shared" si="63"/>
        <v>-</v>
      </c>
      <c r="AD69" s="9" t="s">
        <v>0</v>
      </c>
      <c r="AE69" s="9" t="str">
        <f t="shared" si="64"/>
        <v>-</v>
      </c>
      <c r="AF69" s="9" t="s">
        <v>0</v>
      </c>
      <c r="AG69" s="9" t="s">
        <v>0</v>
      </c>
      <c r="AH69" s="9">
        <v>39.1</v>
      </c>
      <c r="AI69" s="9" t="s">
        <v>0</v>
      </c>
      <c r="AJ69" s="9" t="s">
        <v>0</v>
      </c>
      <c r="AK69" s="9" t="s">
        <v>0</v>
      </c>
      <c r="AL69" s="9" t="s">
        <v>0</v>
      </c>
      <c r="AM69" s="9" t="s">
        <v>0</v>
      </c>
      <c r="AN69" s="9" t="s">
        <v>0</v>
      </c>
      <c r="AO69" s="9" t="s">
        <v>0</v>
      </c>
      <c r="AP69" s="9" t="s">
        <v>0</v>
      </c>
      <c r="AQ69" s="9" t="s">
        <v>0</v>
      </c>
      <c r="AR69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69" s="9" t="str">
        <f t="shared" si="65"/>
        <v>-</v>
      </c>
      <c r="AT69" s="9">
        <f>IF(RIGHT(BPD[[#This Row],[Device type]],7)="Winding","-",BPD[[#This Row],[Cont Winter MVA]])</f>
        <v>38.550199964198029</v>
      </c>
      <c r="AU69" s="9" t="str">
        <f>IF(RIGHT(BPD[[#This Row],[Device type]],7)="Winding","-",BPD[[#This Row],[Cont Shoulder MVA]])</f>
        <v>-</v>
      </c>
      <c r="AV69" s="9">
        <f>IF(RIGHT(BPD[[#This Row],[Device type]],7)="Winding","-",BPD[[#This Row],[Cont Summer MVA]])</f>
        <v>33.373231924801054</v>
      </c>
      <c r="AW69" s="9" t="str">
        <f>BPD[[#This Row],[24 Hr Winter MVA]]</f>
        <v>-</v>
      </c>
      <c r="AX69" s="9" t="str">
        <f>BPD[[#This Row],[24 Hr Summer MVA]]</f>
        <v>-</v>
      </c>
      <c r="AY69" s="9" t="str">
        <f>BPD[[#This Row],[Forwards MVA]]</f>
        <v>-</v>
      </c>
      <c r="AZ69" s="9" t="str">
        <f>BPD[[#This Row],[Relay MVA]]</f>
        <v>-</v>
      </c>
      <c r="BA69" s="9" t="str">
        <f>BPD[[#This Row],[CT MVA]]</f>
        <v>-</v>
      </c>
      <c r="BB69" s="9" t="str">
        <f>BPD[[#This Row],[Derating MVA]]</f>
        <v>-</v>
      </c>
      <c r="BC69" s="9" t="str">
        <f>BPD[[#This Row],[Station/Feeder]]&amp;BPD[[#This Row],[Lowest MVA]]</f>
        <v>CB522_CNR33.3732319248011</v>
      </c>
      <c r="BD69" s="9" t="str">
        <f>CONCATENATE(BPD[[#This Row],[Supply Level]],BPD[[#This Row],[Station/Feeder]],BPD[[#This Row],[Voltage]],BPD[[#This Row],[Lowest A-No PTX]])</f>
        <v>SubTransmissionCB522_CNR33583.880134409446</v>
      </c>
      <c r="BE69" s="9" t="str">
        <f>CONCATENATE(BPD[[#This Row],[Supply Level]],BPD[[#This Row],[Station/Feeder]],BPD[[#This Row],[Voltage]],BPD[[#This Row],[Lowest A-PTX]])</f>
        <v>SubTransmissionCB522_CNR33583.880134409445</v>
      </c>
      <c r="BF69" s="9">
        <f>IF(MIN(BPD[[#This Row],[Summ Cont Winter A]:[Cable Derating]])=0,"",MIN(BPD[[#This Row],[Summ Cont Winter A]:[Cable Derating]]))</f>
        <v>33.373231924801054</v>
      </c>
      <c r="BG69" s="9">
        <f>IFERROR(BPD[[#This Row],[Lowest MVA]]*1000/(BPD[[#This Row],[Voltage]]*SQRT(3)),"")</f>
        <v>583.88013440944553</v>
      </c>
      <c r="BH69" s="9">
        <f t="shared" si="66"/>
        <v>583.88013440944542</v>
      </c>
      <c r="BI69" s="9" t="str">
        <f>BPD[[#This Row],[From]]</f>
        <v>Pole 50738</v>
      </c>
      <c r="BJ69" s="9" t="str">
        <f>BPD[[#This Row],[To]]</f>
        <v>CNR647</v>
      </c>
      <c r="BK69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OH Line-CHAFER</v>
      </c>
      <c r="BL69" s="9">
        <f>BPD[[#This Row],[Voltage]]</f>
        <v>33</v>
      </c>
    </row>
    <row r="70" spans="1:64" s="337" customFormat="1" x14ac:dyDescent="0.25">
      <c r="A70" s="6" t="str">
        <f>CONCATENATE(BPD[[#This Row],[Supply Level]],BPD[[#This Row],[Station/Feeder]],BPD[[#This Row],[Voltage]])</f>
        <v>SubTransmissionCB522_CNR33</v>
      </c>
      <c r="B70" s="6" t="str">
        <f>CONCATENATE(BPD[[#This Row],[Supply Level]],BPD[[#This Row],[Station/Feeder]],BPD[[#This Row],[Equipment ID]],BPD[[#This Row],[Voltage]],BPD[[#This Row],[Device type]])</f>
        <v>SubTransmissionCB522_CNRCHAFER33-</v>
      </c>
      <c r="C70" s="6" t="s">
        <v>1245</v>
      </c>
      <c r="D70" s="11" t="s">
        <v>126</v>
      </c>
      <c r="E70" s="6" t="s">
        <v>741</v>
      </c>
      <c r="F70" s="6" t="s">
        <v>1383</v>
      </c>
      <c r="G70" s="27">
        <v>4</v>
      </c>
      <c r="H70" s="7" t="s">
        <v>1289</v>
      </c>
      <c r="I70" s="6" t="s">
        <v>505</v>
      </c>
      <c r="J70" s="7" t="s">
        <v>69</v>
      </c>
      <c r="K70" s="7" t="s">
        <v>0</v>
      </c>
      <c r="L70" s="7" t="s">
        <v>0</v>
      </c>
      <c r="M70" s="43">
        <v>33</v>
      </c>
      <c r="N70" s="9">
        <v>674.45358565586776</v>
      </c>
      <c r="O70" s="9">
        <f t="shared" si="56"/>
        <v>38.550199964198029</v>
      </c>
      <c r="P70" s="9" t="s">
        <v>0</v>
      </c>
      <c r="Q70" s="9" t="str">
        <f t="shared" si="57"/>
        <v>-</v>
      </c>
      <c r="R70" s="9">
        <v>583.88013440944542</v>
      </c>
      <c r="S70" s="9">
        <f t="shared" si="58"/>
        <v>33.373231924801054</v>
      </c>
      <c r="T70" s="9" t="s">
        <v>0</v>
      </c>
      <c r="U70" s="9" t="str">
        <f t="shared" si="59"/>
        <v>-</v>
      </c>
      <c r="V70" s="9" t="s">
        <v>0</v>
      </c>
      <c r="W70" s="9" t="str">
        <f t="shared" si="60"/>
        <v>-</v>
      </c>
      <c r="X70" s="9" t="s">
        <v>0</v>
      </c>
      <c r="Y70" s="9" t="str">
        <f t="shared" si="61"/>
        <v>-</v>
      </c>
      <c r="Z70" s="9" t="s">
        <v>0</v>
      </c>
      <c r="AA70" s="9" t="str">
        <f t="shared" si="62"/>
        <v>-</v>
      </c>
      <c r="AB70" s="9" t="s">
        <v>0</v>
      </c>
      <c r="AC70" s="9" t="str">
        <f t="shared" si="63"/>
        <v>-</v>
      </c>
      <c r="AD70" s="9" t="s">
        <v>0</v>
      </c>
      <c r="AE70" s="9" t="str">
        <f t="shared" si="64"/>
        <v>-</v>
      </c>
      <c r="AF70" s="9" t="s">
        <v>0</v>
      </c>
      <c r="AG70" s="9" t="s">
        <v>0</v>
      </c>
      <c r="AH70" s="9">
        <v>19.8</v>
      </c>
      <c r="AI70" s="9" t="s">
        <v>0</v>
      </c>
      <c r="AJ70" s="9" t="s">
        <v>0</v>
      </c>
      <c r="AK70" s="9" t="s">
        <v>0</v>
      </c>
      <c r="AL70" s="9" t="s">
        <v>0</v>
      </c>
      <c r="AM70" s="9" t="s">
        <v>0</v>
      </c>
      <c r="AN70" s="9" t="s">
        <v>0</v>
      </c>
      <c r="AO70" s="9" t="s">
        <v>0</v>
      </c>
      <c r="AP70" s="9" t="s">
        <v>0</v>
      </c>
      <c r="AQ70" s="9" t="s">
        <v>0</v>
      </c>
      <c r="AR70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70" s="9" t="str">
        <f t="shared" si="65"/>
        <v>-</v>
      </c>
      <c r="AT70" s="9">
        <f>IF(RIGHT(BPD[[#This Row],[Device type]],7)="Winding","-",BPD[[#This Row],[Cont Winter MVA]])</f>
        <v>38.550199964198029</v>
      </c>
      <c r="AU70" s="9" t="str">
        <f>IF(RIGHT(BPD[[#This Row],[Device type]],7)="Winding","-",BPD[[#This Row],[Cont Shoulder MVA]])</f>
        <v>-</v>
      </c>
      <c r="AV70" s="9">
        <f>IF(RIGHT(BPD[[#This Row],[Device type]],7)="Winding","-",BPD[[#This Row],[Cont Summer MVA]])</f>
        <v>33.373231924801054</v>
      </c>
      <c r="AW70" s="9" t="str">
        <f>BPD[[#This Row],[24 Hr Winter MVA]]</f>
        <v>-</v>
      </c>
      <c r="AX70" s="9" t="str">
        <f>BPD[[#This Row],[24 Hr Summer MVA]]</f>
        <v>-</v>
      </c>
      <c r="AY70" s="9" t="str">
        <f>BPD[[#This Row],[Forwards MVA]]</f>
        <v>-</v>
      </c>
      <c r="AZ70" s="9" t="str">
        <f>BPD[[#This Row],[Relay MVA]]</f>
        <v>-</v>
      </c>
      <c r="BA70" s="9" t="str">
        <f>BPD[[#This Row],[CT MVA]]</f>
        <v>-</v>
      </c>
      <c r="BB70" s="9" t="str">
        <f>BPD[[#This Row],[Derating MVA]]</f>
        <v>-</v>
      </c>
      <c r="BC70" s="9" t="str">
        <f>BPD[[#This Row],[Station/Feeder]]&amp;BPD[[#This Row],[Lowest MVA]]</f>
        <v>CB522_CNR33.3732319248011</v>
      </c>
      <c r="BD70" s="9" t="str">
        <f>CONCATENATE(BPD[[#This Row],[Supply Level]],BPD[[#This Row],[Station/Feeder]],BPD[[#This Row],[Voltage]],BPD[[#This Row],[Lowest A-No PTX]])</f>
        <v>SubTransmissionCB522_CNR33583.880134409446</v>
      </c>
      <c r="BE70" s="9" t="str">
        <f>CONCATENATE(BPD[[#This Row],[Supply Level]],BPD[[#This Row],[Station/Feeder]],BPD[[#This Row],[Voltage]],BPD[[#This Row],[Lowest A-PTX]])</f>
        <v>SubTransmissionCB522_CNR33583.880134409445</v>
      </c>
      <c r="BF70" s="9">
        <f>IF(MIN(BPD[[#This Row],[Summ Cont Winter A]:[Cable Derating]])=0,"",MIN(BPD[[#This Row],[Summ Cont Winter A]:[Cable Derating]]))</f>
        <v>33.373231924801054</v>
      </c>
      <c r="BG70" s="9">
        <f>IFERROR(BPD[[#This Row],[Lowest MVA]]*1000/(BPD[[#This Row],[Voltage]]*SQRT(3)),"")</f>
        <v>583.88013440944553</v>
      </c>
      <c r="BH70" s="9">
        <f t="shared" si="66"/>
        <v>583.88013440944542</v>
      </c>
      <c r="BI70" s="9" t="str">
        <f>BPD[[#This Row],[From]]</f>
        <v>CNR647</v>
      </c>
      <c r="BJ70" s="9" t="str">
        <f>BPD[[#This Row],[To]]</f>
        <v>CNR644</v>
      </c>
      <c r="BK70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OH Line-CHAFER</v>
      </c>
      <c r="BL70" s="9">
        <f>BPD[[#This Row],[Voltage]]</f>
        <v>33</v>
      </c>
    </row>
    <row r="71" spans="1:64" s="337" customFormat="1" ht="15.75" thickBot="1" x14ac:dyDescent="0.3">
      <c r="A71" s="191" t="str">
        <f>CONCATENATE(BPD[[#This Row],[Supply Level]],BPD[[#This Row],[Station/Feeder]],BPD[[#This Row],[Voltage]])</f>
        <v>SubTransmissionCB522_CNR33</v>
      </c>
      <c r="B71" s="191" t="str">
        <f>CONCATENATE(BPD[[#This Row],[Supply Level]],BPD[[#This Row],[Station/Feeder]],BPD[[#This Row],[Equipment ID]],BPD[[#This Row],[Voltage]],BPD[[#This Row],[Device type]])</f>
        <v>SubTransmissionCB522_CNRCNR-CB64233Protection</v>
      </c>
      <c r="C71" s="191" t="s">
        <v>1245</v>
      </c>
      <c r="D71" s="13" t="s">
        <v>126</v>
      </c>
      <c r="E71" s="14" t="s">
        <v>1383</v>
      </c>
      <c r="F71" s="14" t="s">
        <v>1384</v>
      </c>
      <c r="G71" s="200">
        <v>5</v>
      </c>
      <c r="H71" s="193" t="s">
        <v>743</v>
      </c>
      <c r="I71" s="191" t="s">
        <v>2214</v>
      </c>
      <c r="J71" s="193" t="s">
        <v>15</v>
      </c>
      <c r="K71" s="193" t="s">
        <v>0</v>
      </c>
      <c r="L71" s="193" t="s">
        <v>1423</v>
      </c>
      <c r="M71" s="175">
        <v>33</v>
      </c>
      <c r="N71" s="155">
        <v>1250</v>
      </c>
      <c r="O71" s="155">
        <f t="shared" si="56"/>
        <v>71.447095812216176</v>
      </c>
      <c r="P71" s="155">
        <v>1250</v>
      </c>
      <c r="Q71" s="155">
        <f t="shared" si="57"/>
        <v>71.447095812216176</v>
      </c>
      <c r="R71" s="155">
        <v>1250</v>
      </c>
      <c r="S71" s="155">
        <f t="shared" si="58"/>
        <v>71.447095812216176</v>
      </c>
      <c r="T71" s="155" t="s">
        <v>0</v>
      </c>
      <c r="U71" s="155" t="str">
        <f t="shared" si="59"/>
        <v>-</v>
      </c>
      <c r="V71" s="155" t="s">
        <v>0</v>
      </c>
      <c r="W71" s="155" t="str">
        <f t="shared" si="60"/>
        <v>-</v>
      </c>
      <c r="X71" s="155" t="e">
        <f>VLOOKUP(BPD[[#This Row],[Equipment ID]],AEL_Protection_Data[#All],12,0)</f>
        <v>#N/A</v>
      </c>
      <c r="Y71" s="155" t="e">
        <f t="shared" si="61"/>
        <v>#N/A</v>
      </c>
      <c r="Z71" s="155" t="s">
        <v>0</v>
      </c>
      <c r="AA71" s="155" t="str">
        <f t="shared" si="62"/>
        <v>-</v>
      </c>
      <c r="AB71" s="155" t="s">
        <v>0</v>
      </c>
      <c r="AC71" s="155" t="str">
        <f t="shared" si="63"/>
        <v>-</v>
      </c>
      <c r="AD71" s="155" t="s">
        <v>0</v>
      </c>
      <c r="AE71" s="155" t="str">
        <f t="shared" si="64"/>
        <v>-</v>
      </c>
      <c r="AF71" s="155" t="s">
        <v>0</v>
      </c>
      <c r="AG71" s="155" t="s">
        <v>0</v>
      </c>
      <c r="AH71" s="155" t="s">
        <v>0</v>
      </c>
      <c r="AI71" s="155" t="s">
        <v>0</v>
      </c>
      <c r="AJ71" s="155" t="s">
        <v>0</v>
      </c>
      <c r="AK71" s="155" t="s">
        <v>0</v>
      </c>
      <c r="AL71" s="155" t="s">
        <v>0</v>
      </c>
      <c r="AM71" s="155" t="s">
        <v>0</v>
      </c>
      <c r="AN71" s="155" t="s">
        <v>0</v>
      </c>
      <c r="AO71" s="155" t="s">
        <v>0</v>
      </c>
      <c r="AP71" s="155" t="s">
        <v>0</v>
      </c>
      <c r="AQ71" s="155" t="s">
        <v>0</v>
      </c>
      <c r="AR71" s="155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71" s="155" t="str">
        <f t="shared" si="65"/>
        <v>-</v>
      </c>
      <c r="AT71" s="155">
        <f>IF(RIGHT(BPD[[#This Row],[Device type]],7)="Winding","-",BPD[[#This Row],[Cont Winter MVA]])</f>
        <v>71.447095812216176</v>
      </c>
      <c r="AU71" s="155">
        <f>IF(RIGHT(BPD[[#This Row],[Device type]],7)="Winding","-",BPD[[#This Row],[Cont Shoulder MVA]])</f>
        <v>71.447095812216176</v>
      </c>
      <c r="AV71" s="155">
        <f>IF(RIGHT(BPD[[#This Row],[Device type]],7)="Winding","-",BPD[[#This Row],[Cont Summer MVA]])</f>
        <v>71.447095812216176</v>
      </c>
      <c r="AW71" s="155" t="str">
        <f>BPD[[#This Row],[24 Hr Winter MVA]]</f>
        <v>-</v>
      </c>
      <c r="AX71" s="155" t="str">
        <f>BPD[[#This Row],[24 Hr Summer MVA]]</f>
        <v>-</v>
      </c>
      <c r="AY71" s="155" t="e">
        <f>BPD[[#This Row],[Forwards MVA]]</f>
        <v>#N/A</v>
      </c>
      <c r="AZ71" s="155" t="str">
        <f>BPD[[#This Row],[Relay MVA]]</f>
        <v>-</v>
      </c>
      <c r="BA71" s="155" t="str">
        <f>BPD[[#This Row],[CT MVA]]</f>
        <v>-</v>
      </c>
      <c r="BB71" s="155" t="str">
        <f>BPD[[#This Row],[Derating MVA]]</f>
        <v>-</v>
      </c>
      <c r="BC71" s="155" t="e">
        <f>BPD[[#This Row],[Station/Feeder]]&amp;BPD[[#This Row],[Lowest MVA]]</f>
        <v>#N/A</v>
      </c>
      <c r="BD71" s="155" t="str">
        <f>CONCATENATE(BPD[[#This Row],[Supply Level]],BPD[[#This Row],[Station/Feeder]],BPD[[#This Row],[Voltage]],BPD[[#This Row],[Lowest A-No PTX]])</f>
        <v>SubTransmissionCB522_CNR33</v>
      </c>
      <c r="BE71" s="155" t="e">
        <f>CONCATENATE(BPD[[#This Row],[Supply Level]],BPD[[#This Row],[Station/Feeder]],BPD[[#This Row],[Voltage]],BPD[[#This Row],[Lowest A-PTX]])</f>
        <v>#N/A</v>
      </c>
      <c r="BF71" s="155" t="e">
        <f>IF(MIN(BPD[[#This Row],[Summ Cont Winter A]:[Cable Derating]])=0,"",MIN(BPD[[#This Row],[Summ Cont Winter A]:[Cable Derating]]))</f>
        <v>#N/A</v>
      </c>
      <c r="BG71" s="155" t="str">
        <f>IFERROR(BPD[[#This Row],[Lowest MVA]]*1000/(BPD[[#This Row],[Voltage]]*SQRT(3)),"")</f>
        <v/>
      </c>
      <c r="BH71" s="155" t="e">
        <f t="shared" si="66"/>
        <v>#N/A</v>
      </c>
      <c r="BI71" s="155" t="str">
        <f>BPD[[#This Row],[From]]</f>
        <v>CNR644</v>
      </c>
      <c r="BJ71" s="155" t="str">
        <f>BPD[[#This Row],[To]]</f>
        <v>CNR646</v>
      </c>
      <c r="BK71" s="155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Breaker-CNR-CB642-Protection</v>
      </c>
      <c r="BL71" s="155">
        <f>BPD[[#This Row],[Voltage]]</f>
        <v>33</v>
      </c>
    </row>
    <row r="72" spans="1:64" s="337" customFormat="1" x14ac:dyDescent="0.25">
      <c r="A72" s="14" t="str">
        <f>CONCATENATE(BPD[[#This Row],[Supply Level]],BPD[[#This Row],[Station/Feeder]],BPD[[#This Row],[Voltage]])</f>
        <v>SubTransmissionCB642_CNR33</v>
      </c>
      <c r="B72" s="14" t="str">
        <f>CONCATENATE(BPD[[#This Row],[Supply Level]],BPD[[#This Row],[Station/Feeder]],BPD[[#This Row],[Equipment ID]],BPD[[#This Row],[Voltage]],BPD[[#This Row],[Device type]])</f>
        <v>SubTransmissionCB642_CNRCHAFER33-</v>
      </c>
      <c r="C72" s="14" t="s">
        <v>1245</v>
      </c>
      <c r="D72" s="3" t="s">
        <v>1381</v>
      </c>
      <c r="E72" s="3" t="s">
        <v>738</v>
      </c>
      <c r="F72" s="3" t="s">
        <v>739</v>
      </c>
      <c r="G72" s="27">
        <v>1</v>
      </c>
      <c r="H72" s="7" t="s">
        <v>1289</v>
      </c>
      <c r="I72" s="6" t="s">
        <v>505</v>
      </c>
      <c r="J72" s="7" t="s">
        <v>69</v>
      </c>
      <c r="K72" s="7" t="s">
        <v>0</v>
      </c>
      <c r="L72" s="7" t="s">
        <v>0</v>
      </c>
      <c r="M72" s="43">
        <v>33</v>
      </c>
      <c r="N72" s="9">
        <v>674.45358565586776</v>
      </c>
      <c r="O72" s="9">
        <f t="shared" si="56"/>
        <v>38.550199964198029</v>
      </c>
      <c r="P72" s="9" t="s">
        <v>0</v>
      </c>
      <c r="Q72" s="9" t="str">
        <f t="shared" si="57"/>
        <v>-</v>
      </c>
      <c r="R72" s="9">
        <v>583.88013440944542</v>
      </c>
      <c r="S72" s="9">
        <f t="shared" si="58"/>
        <v>33.373231924801054</v>
      </c>
      <c r="T72" s="9" t="s">
        <v>0</v>
      </c>
      <c r="U72" s="9" t="str">
        <f t="shared" si="59"/>
        <v>-</v>
      </c>
      <c r="V72" s="9" t="s">
        <v>0</v>
      </c>
      <c r="W72" s="9" t="str">
        <f t="shared" si="60"/>
        <v>-</v>
      </c>
      <c r="X72" s="9" t="s">
        <v>0</v>
      </c>
      <c r="Y72" s="9" t="str">
        <f t="shared" si="61"/>
        <v>-</v>
      </c>
      <c r="Z72" s="9" t="s">
        <v>0</v>
      </c>
      <c r="AA72" s="9" t="str">
        <f t="shared" si="62"/>
        <v>-</v>
      </c>
      <c r="AB72" s="9" t="s">
        <v>0</v>
      </c>
      <c r="AC72" s="9" t="str">
        <f t="shared" si="63"/>
        <v>-</v>
      </c>
      <c r="AD72" s="9" t="s">
        <v>0</v>
      </c>
      <c r="AE72" s="9" t="str">
        <f t="shared" si="64"/>
        <v>-</v>
      </c>
      <c r="AF72" s="9" t="s">
        <v>0</v>
      </c>
      <c r="AG72" s="9" t="s">
        <v>0</v>
      </c>
      <c r="AH72" s="9">
        <v>73.099999999999994</v>
      </c>
      <c r="AI72" s="9" t="s">
        <v>0</v>
      </c>
      <c r="AJ72" s="9" t="s">
        <v>0</v>
      </c>
      <c r="AK72" s="9" t="s">
        <v>0</v>
      </c>
      <c r="AL72" s="9" t="s">
        <v>0</v>
      </c>
      <c r="AM72" s="9" t="s">
        <v>0</v>
      </c>
      <c r="AN72" s="9" t="s">
        <v>0</v>
      </c>
      <c r="AO72" s="9" t="s">
        <v>0</v>
      </c>
      <c r="AP72" s="9" t="s">
        <v>0</v>
      </c>
      <c r="AQ72" s="9" t="s">
        <v>0</v>
      </c>
      <c r="AR72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72" s="9" t="str">
        <f t="shared" si="65"/>
        <v>-</v>
      </c>
      <c r="AT72" s="9">
        <f>IF(RIGHT(BPD[[#This Row],[Device type]],7)="Winding","-",BPD[[#This Row],[Cont Winter MVA]])</f>
        <v>38.550199964198029</v>
      </c>
      <c r="AU72" s="9" t="str">
        <f>IF(RIGHT(BPD[[#This Row],[Device type]],7)="Winding","-",BPD[[#This Row],[Cont Shoulder MVA]])</f>
        <v>-</v>
      </c>
      <c r="AV72" s="9">
        <f>IF(RIGHT(BPD[[#This Row],[Device type]],7)="Winding","-",BPD[[#This Row],[Cont Summer MVA]])</f>
        <v>33.373231924801054</v>
      </c>
      <c r="AW72" s="9" t="str">
        <f>BPD[[#This Row],[24 Hr Winter MVA]]</f>
        <v>-</v>
      </c>
      <c r="AX72" s="9" t="str">
        <f>BPD[[#This Row],[24 Hr Summer MVA]]</f>
        <v>-</v>
      </c>
      <c r="AY72" s="9" t="str">
        <f>BPD[[#This Row],[Forwards MVA]]</f>
        <v>-</v>
      </c>
      <c r="AZ72" s="9" t="str">
        <f>BPD[[#This Row],[Relay MVA]]</f>
        <v>-</v>
      </c>
      <c r="BA72" s="9" t="str">
        <f>BPD[[#This Row],[CT MVA]]</f>
        <v>-</v>
      </c>
      <c r="BB72" s="9" t="str">
        <f>BPD[[#This Row],[Derating MVA]]</f>
        <v>-</v>
      </c>
      <c r="BC72" s="9" t="str">
        <f>BPD[[#This Row],[Station/Feeder]]&amp;BPD[[#This Row],[Lowest MVA]]</f>
        <v>CB642_CNR33.3732319248011</v>
      </c>
      <c r="BD72" s="9" t="str">
        <f>CONCATENATE(BPD[[#This Row],[Supply Level]],BPD[[#This Row],[Station/Feeder]],BPD[[#This Row],[Voltage]],BPD[[#This Row],[Lowest A-No PTX]])</f>
        <v>SubTransmissionCB642_CNR33583.880134409446</v>
      </c>
      <c r="BE72" s="9" t="str">
        <f>CONCATENATE(BPD[[#This Row],[Supply Level]],BPD[[#This Row],[Station/Feeder]],BPD[[#This Row],[Voltage]],BPD[[#This Row],[Lowest A-PTX]])</f>
        <v>SubTransmissionCB642_CNR33583.880134409445</v>
      </c>
      <c r="BF72" s="9">
        <f>IF(MIN(BPD[[#This Row],[Summ Cont Winter A]:[Cable Derating]])=0,"",MIN(BPD[[#This Row],[Summ Cont Winter A]:[Cable Derating]]))</f>
        <v>33.373231924801054</v>
      </c>
      <c r="BG72" s="9">
        <f>IFERROR(BPD[[#This Row],[Lowest MVA]]*1000/(BPD[[#This Row],[Voltage]]*SQRT(3)),"")</f>
        <v>583.88013440944553</v>
      </c>
      <c r="BH72" s="9">
        <f t="shared" si="66"/>
        <v>583.88013440944542</v>
      </c>
      <c r="BI72" s="9" t="str">
        <f>BPD[[#This Row],[From]]</f>
        <v>CB522/CB3602</v>
      </c>
      <c r="BJ72" s="9" t="str">
        <f>BPD[[#This Row],[To]]</f>
        <v>Pole 50593</v>
      </c>
      <c r="BK72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OH Line-CHAFER</v>
      </c>
      <c r="BL72" s="9">
        <f>BPD[[#This Row],[Voltage]]</f>
        <v>33</v>
      </c>
    </row>
    <row r="73" spans="1:64" s="337" customFormat="1" x14ac:dyDescent="0.25">
      <c r="A73" s="14" t="str">
        <f>CONCATENATE(BPD[[#This Row],[Supply Level]],BPD[[#This Row],[Station/Feeder]],BPD[[#This Row],[Voltage]])</f>
        <v>SubTransmissionCB642_CNR33</v>
      </c>
      <c r="B73" s="14" t="str">
        <f>CONCATENATE(BPD[[#This Row],[Supply Level]],BPD[[#This Row],[Station/Feeder]],BPD[[#This Row],[Equipment ID]],BPD[[#This Row],[Voltage]],BPD[[#This Row],[Device type]])</f>
        <v>SubTransmissionCB642_CNRJAGUAR33-</v>
      </c>
      <c r="C73" s="14" t="s">
        <v>1245</v>
      </c>
      <c r="D73" s="6" t="s">
        <v>1381</v>
      </c>
      <c r="E73" s="6" t="s">
        <v>739</v>
      </c>
      <c r="F73" s="14" t="s">
        <v>740</v>
      </c>
      <c r="G73" s="27">
        <v>2</v>
      </c>
      <c r="H73" s="7" t="s">
        <v>1289</v>
      </c>
      <c r="I73" s="6" t="s">
        <v>345</v>
      </c>
      <c r="J73" s="7" t="s">
        <v>69</v>
      </c>
      <c r="K73" s="7" t="s">
        <v>0</v>
      </c>
      <c r="L73" s="7" t="s">
        <v>0</v>
      </c>
      <c r="M73" s="43">
        <v>33</v>
      </c>
      <c r="N73" s="9">
        <v>673.28384221311683</v>
      </c>
      <c r="O73" s="9">
        <f t="shared" si="56"/>
        <v>38.483340146734079</v>
      </c>
      <c r="P73" s="9" t="s">
        <v>0</v>
      </c>
      <c r="Q73" s="9" t="str">
        <f t="shared" si="57"/>
        <v>-</v>
      </c>
      <c r="R73" s="9">
        <v>582.79308811233284</v>
      </c>
      <c r="S73" s="9">
        <f t="shared" si="58"/>
        <v>33.311098884047354</v>
      </c>
      <c r="T73" s="9" t="s">
        <v>0</v>
      </c>
      <c r="U73" s="9" t="str">
        <f t="shared" si="59"/>
        <v>-</v>
      </c>
      <c r="V73" s="9" t="s">
        <v>0</v>
      </c>
      <c r="W73" s="9" t="str">
        <f t="shared" si="60"/>
        <v>-</v>
      </c>
      <c r="X73" s="9" t="s">
        <v>0</v>
      </c>
      <c r="Y73" s="9" t="str">
        <f t="shared" si="61"/>
        <v>-</v>
      </c>
      <c r="Z73" s="9" t="s">
        <v>0</v>
      </c>
      <c r="AA73" s="9" t="str">
        <f t="shared" si="62"/>
        <v>-</v>
      </c>
      <c r="AB73" s="9" t="s">
        <v>0</v>
      </c>
      <c r="AC73" s="9" t="str">
        <f t="shared" si="63"/>
        <v>-</v>
      </c>
      <c r="AD73" s="9" t="s">
        <v>0</v>
      </c>
      <c r="AE73" s="9" t="str">
        <f t="shared" si="64"/>
        <v>-</v>
      </c>
      <c r="AF73" s="9" t="s">
        <v>0</v>
      </c>
      <c r="AG73" s="9" t="s">
        <v>0</v>
      </c>
      <c r="AH73" s="9">
        <v>11319</v>
      </c>
      <c r="AI73" s="9" t="s">
        <v>0</v>
      </c>
      <c r="AJ73" s="9" t="s">
        <v>0</v>
      </c>
      <c r="AK73" s="9" t="s">
        <v>0</v>
      </c>
      <c r="AL73" s="9" t="s">
        <v>0</v>
      </c>
      <c r="AM73" s="9" t="s">
        <v>0</v>
      </c>
      <c r="AN73" s="9" t="s">
        <v>0</v>
      </c>
      <c r="AO73" s="9" t="s">
        <v>0</v>
      </c>
      <c r="AP73" s="9" t="s">
        <v>0</v>
      </c>
      <c r="AQ73" s="9" t="s">
        <v>0</v>
      </c>
      <c r="AR73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73" s="9" t="str">
        <f t="shared" si="65"/>
        <v>-</v>
      </c>
      <c r="AT73" s="9">
        <f>IF(RIGHT(BPD[[#This Row],[Device type]],7)="Winding","-",BPD[[#This Row],[Cont Winter MVA]])</f>
        <v>38.483340146734079</v>
      </c>
      <c r="AU73" s="9" t="str">
        <f>IF(RIGHT(BPD[[#This Row],[Device type]],7)="Winding","-",BPD[[#This Row],[Cont Shoulder MVA]])</f>
        <v>-</v>
      </c>
      <c r="AV73" s="9">
        <f>IF(RIGHT(BPD[[#This Row],[Device type]],7)="Winding","-",BPD[[#This Row],[Cont Summer MVA]])</f>
        <v>33.311098884047354</v>
      </c>
      <c r="AW73" s="9" t="str">
        <f>BPD[[#This Row],[24 Hr Winter MVA]]</f>
        <v>-</v>
      </c>
      <c r="AX73" s="9" t="str">
        <f>BPD[[#This Row],[24 Hr Summer MVA]]</f>
        <v>-</v>
      </c>
      <c r="AY73" s="9" t="str">
        <f>BPD[[#This Row],[Forwards MVA]]</f>
        <v>-</v>
      </c>
      <c r="AZ73" s="9" t="str">
        <f>BPD[[#This Row],[Relay MVA]]</f>
        <v>-</v>
      </c>
      <c r="BA73" s="9" t="str">
        <f>BPD[[#This Row],[CT MVA]]</f>
        <v>-</v>
      </c>
      <c r="BB73" s="9" t="str">
        <f>BPD[[#This Row],[Derating MVA]]</f>
        <v>-</v>
      </c>
      <c r="BC73" s="9" t="str">
        <f>BPD[[#This Row],[Station/Feeder]]&amp;BPD[[#This Row],[Lowest MVA]]</f>
        <v>CB642_CNR33.3110988840474</v>
      </c>
      <c r="BD73" s="9" t="str">
        <f>CONCATENATE(BPD[[#This Row],[Supply Level]],BPD[[#This Row],[Station/Feeder]],BPD[[#This Row],[Voltage]],BPD[[#This Row],[Lowest A-No PTX]])</f>
        <v>SubTransmissionCB642_CNR33582.793088112333</v>
      </c>
      <c r="BE73" s="9" t="str">
        <f>CONCATENATE(BPD[[#This Row],[Supply Level]],BPD[[#This Row],[Station/Feeder]],BPD[[#This Row],[Voltage]],BPD[[#This Row],[Lowest A-PTX]])</f>
        <v>SubTransmissionCB642_CNR33582.793088112333</v>
      </c>
      <c r="BF73" s="9">
        <f>IF(MIN(BPD[[#This Row],[Summ Cont Winter A]:[Cable Derating]])=0,"",MIN(BPD[[#This Row],[Summ Cont Winter A]:[Cable Derating]]))</f>
        <v>33.311098884047354</v>
      </c>
      <c r="BG73" s="9">
        <f>IFERROR(BPD[[#This Row],[Lowest MVA]]*1000/(BPD[[#This Row],[Voltage]]*SQRT(3)),"")</f>
        <v>582.79308811233284</v>
      </c>
      <c r="BH73" s="9">
        <f t="shared" si="66"/>
        <v>582.79308811233284</v>
      </c>
      <c r="BI73" s="9" t="str">
        <f>BPD[[#This Row],[From]]</f>
        <v>Pole 50593</v>
      </c>
      <c r="BJ73" s="9" t="str">
        <f>BPD[[#This Row],[To]]</f>
        <v>Pole 50738</v>
      </c>
      <c r="BK73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OH Line-JAGUAR</v>
      </c>
      <c r="BL73" s="9">
        <f>BPD[[#This Row],[Voltage]]</f>
        <v>33</v>
      </c>
    </row>
    <row r="74" spans="1:64" s="337" customFormat="1" x14ac:dyDescent="0.25">
      <c r="A74" s="14" t="str">
        <f>CONCATENATE(BPD[[#This Row],[Supply Level]],BPD[[#This Row],[Station/Feeder]],BPD[[#This Row],[Voltage]])</f>
        <v>SubTransmissionCB642_CNR33</v>
      </c>
      <c r="B74" s="14" t="str">
        <f>CONCATENATE(BPD[[#This Row],[Supply Level]],BPD[[#This Row],[Station/Feeder]],BPD[[#This Row],[Equipment ID]],BPD[[#This Row],[Voltage]],BPD[[#This Row],[Device type]])</f>
        <v>SubTransmissionCB642_CNRCHAFER33-</v>
      </c>
      <c r="C74" s="14" t="s">
        <v>1245</v>
      </c>
      <c r="D74" s="6" t="s">
        <v>1381</v>
      </c>
      <c r="E74" s="6" t="s">
        <v>740</v>
      </c>
      <c r="F74" s="148" t="s">
        <v>741</v>
      </c>
      <c r="G74" s="27">
        <v>3</v>
      </c>
      <c r="H74" s="7" t="s">
        <v>1289</v>
      </c>
      <c r="I74" s="6" t="s">
        <v>505</v>
      </c>
      <c r="J74" s="7" t="s">
        <v>69</v>
      </c>
      <c r="K74" s="7" t="s">
        <v>0</v>
      </c>
      <c r="L74" s="7" t="s">
        <v>0</v>
      </c>
      <c r="M74" s="43">
        <v>33</v>
      </c>
      <c r="N74" s="9">
        <v>674.45358565586776</v>
      </c>
      <c r="O74" s="9">
        <f t="shared" si="56"/>
        <v>38.550199964198029</v>
      </c>
      <c r="P74" s="9" t="s">
        <v>0</v>
      </c>
      <c r="Q74" s="9" t="str">
        <f t="shared" si="57"/>
        <v>-</v>
      </c>
      <c r="R74" s="9">
        <v>583.88013440944542</v>
      </c>
      <c r="S74" s="9">
        <f t="shared" si="58"/>
        <v>33.373231924801054</v>
      </c>
      <c r="T74" s="9" t="s">
        <v>0</v>
      </c>
      <c r="U74" s="9" t="str">
        <f t="shared" si="59"/>
        <v>-</v>
      </c>
      <c r="V74" s="9" t="s">
        <v>0</v>
      </c>
      <c r="W74" s="9" t="str">
        <f t="shared" si="60"/>
        <v>-</v>
      </c>
      <c r="X74" s="9" t="s">
        <v>0</v>
      </c>
      <c r="Y74" s="9" t="str">
        <f t="shared" si="61"/>
        <v>-</v>
      </c>
      <c r="Z74" s="9" t="s">
        <v>0</v>
      </c>
      <c r="AA74" s="9" t="str">
        <f t="shared" si="62"/>
        <v>-</v>
      </c>
      <c r="AB74" s="9" t="s">
        <v>0</v>
      </c>
      <c r="AC74" s="9" t="str">
        <f t="shared" si="63"/>
        <v>-</v>
      </c>
      <c r="AD74" s="9" t="s">
        <v>0</v>
      </c>
      <c r="AE74" s="9" t="str">
        <f t="shared" si="64"/>
        <v>-</v>
      </c>
      <c r="AF74" s="9" t="s">
        <v>0</v>
      </c>
      <c r="AG74" s="9" t="s">
        <v>0</v>
      </c>
      <c r="AH74" s="9">
        <v>39.1</v>
      </c>
      <c r="AI74" s="9" t="s">
        <v>0</v>
      </c>
      <c r="AJ74" s="9" t="s">
        <v>0</v>
      </c>
      <c r="AK74" s="9" t="s">
        <v>0</v>
      </c>
      <c r="AL74" s="9" t="s">
        <v>0</v>
      </c>
      <c r="AM74" s="9" t="s">
        <v>0</v>
      </c>
      <c r="AN74" s="9" t="s">
        <v>0</v>
      </c>
      <c r="AO74" s="9" t="s">
        <v>0</v>
      </c>
      <c r="AP74" s="9" t="s">
        <v>0</v>
      </c>
      <c r="AQ74" s="9" t="s">
        <v>0</v>
      </c>
      <c r="AR74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74" s="9" t="str">
        <f t="shared" si="65"/>
        <v>-</v>
      </c>
      <c r="AT74" s="9">
        <f>IF(RIGHT(BPD[[#This Row],[Device type]],7)="Winding","-",BPD[[#This Row],[Cont Winter MVA]])</f>
        <v>38.550199964198029</v>
      </c>
      <c r="AU74" s="9" t="str">
        <f>IF(RIGHT(BPD[[#This Row],[Device type]],7)="Winding","-",BPD[[#This Row],[Cont Shoulder MVA]])</f>
        <v>-</v>
      </c>
      <c r="AV74" s="9">
        <f>IF(RIGHT(BPD[[#This Row],[Device type]],7)="Winding","-",BPD[[#This Row],[Cont Summer MVA]])</f>
        <v>33.373231924801054</v>
      </c>
      <c r="AW74" s="9" t="str">
        <f>BPD[[#This Row],[24 Hr Winter MVA]]</f>
        <v>-</v>
      </c>
      <c r="AX74" s="9" t="str">
        <f>BPD[[#This Row],[24 Hr Summer MVA]]</f>
        <v>-</v>
      </c>
      <c r="AY74" s="9" t="str">
        <f>BPD[[#This Row],[Forwards MVA]]</f>
        <v>-</v>
      </c>
      <c r="AZ74" s="9" t="str">
        <f>BPD[[#This Row],[Relay MVA]]</f>
        <v>-</v>
      </c>
      <c r="BA74" s="9" t="str">
        <f>BPD[[#This Row],[CT MVA]]</f>
        <v>-</v>
      </c>
      <c r="BB74" s="9" t="str">
        <f>BPD[[#This Row],[Derating MVA]]</f>
        <v>-</v>
      </c>
      <c r="BC74" s="9" t="str">
        <f>BPD[[#This Row],[Station/Feeder]]&amp;BPD[[#This Row],[Lowest MVA]]</f>
        <v>CB642_CNR33.3732319248011</v>
      </c>
      <c r="BD74" s="9" t="str">
        <f>CONCATENATE(BPD[[#This Row],[Supply Level]],BPD[[#This Row],[Station/Feeder]],BPD[[#This Row],[Voltage]],BPD[[#This Row],[Lowest A-No PTX]])</f>
        <v>SubTransmissionCB642_CNR33583.880134409446</v>
      </c>
      <c r="BE74" s="9" t="str">
        <f>CONCATENATE(BPD[[#This Row],[Supply Level]],BPD[[#This Row],[Station/Feeder]],BPD[[#This Row],[Voltage]],BPD[[#This Row],[Lowest A-PTX]])</f>
        <v>SubTransmissionCB642_CNR33583.880134409445</v>
      </c>
      <c r="BF74" s="9">
        <f>IF(MIN(BPD[[#This Row],[Summ Cont Winter A]:[Cable Derating]])=0,"",MIN(BPD[[#This Row],[Summ Cont Winter A]:[Cable Derating]]))</f>
        <v>33.373231924801054</v>
      </c>
      <c r="BG74" s="9">
        <f>IFERROR(BPD[[#This Row],[Lowest MVA]]*1000/(BPD[[#This Row],[Voltage]]*SQRT(3)),"")</f>
        <v>583.88013440944553</v>
      </c>
      <c r="BH74" s="9">
        <f t="shared" si="66"/>
        <v>583.88013440944542</v>
      </c>
      <c r="BI74" s="9" t="str">
        <f>BPD[[#This Row],[From]]</f>
        <v>Pole 50738</v>
      </c>
      <c r="BJ74" s="9" t="str">
        <f>BPD[[#This Row],[To]]</f>
        <v>CNR647</v>
      </c>
      <c r="BK74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OH Line-CHAFER</v>
      </c>
      <c r="BL74" s="9">
        <f>BPD[[#This Row],[Voltage]]</f>
        <v>33</v>
      </c>
    </row>
    <row r="75" spans="1:64" s="337" customFormat="1" x14ac:dyDescent="0.25">
      <c r="A75" s="6" t="str">
        <f>CONCATENATE(BPD[[#This Row],[Supply Level]],BPD[[#This Row],[Station/Feeder]],BPD[[#This Row],[Voltage]])</f>
        <v>SubTransmissionCB642_CNR33</v>
      </c>
      <c r="B75" s="6" t="str">
        <f>CONCATENATE(BPD[[#This Row],[Supply Level]],BPD[[#This Row],[Station/Feeder]],BPD[[#This Row],[Equipment ID]],BPD[[#This Row],[Voltage]],BPD[[#This Row],[Device type]])</f>
        <v>SubTransmissionCB642_CNRCHAFER33-</v>
      </c>
      <c r="C75" s="6" t="s">
        <v>1245</v>
      </c>
      <c r="D75" s="6" t="s">
        <v>1381</v>
      </c>
      <c r="E75" s="6" t="s">
        <v>741</v>
      </c>
      <c r="F75" s="6" t="s">
        <v>1383</v>
      </c>
      <c r="G75" s="27">
        <v>4</v>
      </c>
      <c r="H75" s="7" t="s">
        <v>1289</v>
      </c>
      <c r="I75" s="6" t="s">
        <v>505</v>
      </c>
      <c r="J75" s="7" t="s">
        <v>69</v>
      </c>
      <c r="K75" s="7" t="s">
        <v>0</v>
      </c>
      <c r="L75" s="7" t="s">
        <v>0</v>
      </c>
      <c r="M75" s="43">
        <v>33</v>
      </c>
      <c r="N75" s="9">
        <v>674.45358565586776</v>
      </c>
      <c r="O75" s="9">
        <f t="shared" si="56"/>
        <v>38.550199964198029</v>
      </c>
      <c r="P75" s="9" t="s">
        <v>0</v>
      </c>
      <c r="Q75" s="9" t="str">
        <f t="shared" si="57"/>
        <v>-</v>
      </c>
      <c r="R75" s="9">
        <v>583.88013440944542</v>
      </c>
      <c r="S75" s="9">
        <f t="shared" si="58"/>
        <v>33.373231924801054</v>
      </c>
      <c r="T75" s="9" t="s">
        <v>0</v>
      </c>
      <c r="U75" s="9" t="str">
        <f t="shared" si="59"/>
        <v>-</v>
      </c>
      <c r="V75" s="9" t="s">
        <v>0</v>
      </c>
      <c r="W75" s="9" t="str">
        <f t="shared" si="60"/>
        <v>-</v>
      </c>
      <c r="X75" s="9" t="s">
        <v>0</v>
      </c>
      <c r="Y75" s="9" t="str">
        <f t="shared" si="61"/>
        <v>-</v>
      </c>
      <c r="Z75" s="9" t="s">
        <v>0</v>
      </c>
      <c r="AA75" s="9" t="str">
        <f t="shared" si="62"/>
        <v>-</v>
      </c>
      <c r="AB75" s="9" t="s">
        <v>0</v>
      </c>
      <c r="AC75" s="9" t="str">
        <f t="shared" si="63"/>
        <v>-</v>
      </c>
      <c r="AD75" s="9" t="s">
        <v>0</v>
      </c>
      <c r="AE75" s="9" t="str">
        <f t="shared" si="64"/>
        <v>-</v>
      </c>
      <c r="AF75" s="9" t="s">
        <v>0</v>
      </c>
      <c r="AG75" s="9" t="s">
        <v>0</v>
      </c>
      <c r="AH75" s="9">
        <v>19.8</v>
      </c>
      <c r="AI75" s="9" t="s">
        <v>0</v>
      </c>
      <c r="AJ75" s="9" t="s">
        <v>0</v>
      </c>
      <c r="AK75" s="9" t="s">
        <v>0</v>
      </c>
      <c r="AL75" s="9" t="s">
        <v>0</v>
      </c>
      <c r="AM75" s="9" t="s">
        <v>0</v>
      </c>
      <c r="AN75" s="9" t="s">
        <v>0</v>
      </c>
      <c r="AO75" s="9" t="s">
        <v>0</v>
      </c>
      <c r="AP75" s="9" t="s">
        <v>0</v>
      </c>
      <c r="AQ75" s="9" t="s">
        <v>0</v>
      </c>
      <c r="AR75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75" s="9" t="str">
        <f t="shared" si="65"/>
        <v>-</v>
      </c>
      <c r="AT75" s="9">
        <f>IF(RIGHT(BPD[[#This Row],[Device type]],7)="Winding","-",BPD[[#This Row],[Cont Winter MVA]])</f>
        <v>38.550199964198029</v>
      </c>
      <c r="AU75" s="9" t="str">
        <f>IF(RIGHT(BPD[[#This Row],[Device type]],7)="Winding","-",BPD[[#This Row],[Cont Shoulder MVA]])</f>
        <v>-</v>
      </c>
      <c r="AV75" s="9">
        <f>IF(RIGHT(BPD[[#This Row],[Device type]],7)="Winding","-",BPD[[#This Row],[Cont Summer MVA]])</f>
        <v>33.373231924801054</v>
      </c>
      <c r="AW75" s="9" t="str">
        <f>BPD[[#This Row],[24 Hr Winter MVA]]</f>
        <v>-</v>
      </c>
      <c r="AX75" s="9" t="str">
        <f>BPD[[#This Row],[24 Hr Summer MVA]]</f>
        <v>-</v>
      </c>
      <c r="AY75" s="9" t="str">
        <f>BPD[[#This Row],[Forwards MVA]]</f>
        <v>-</v>
      </c>
      <c r="AZ75" s="9" t="str">
        <f>BPD[[#This Row],[Relay MVA]]</f>
        <v>-</v>
      </c>
      <c r="BA75" s="9" t="str">
        <f>BPD[[#This Row],[CT MVA]]</f>
        <v>-</v>
      </c>
      <c r="BB75" s="9" t="str">
        <f>BPD[[#This Row],[Derating MVA]]</f>
        <v>-</v>
      </c>
      <c r="BC75" s="9" t="str">
        <f>BPD[[#This Row],[Station/Feeder]]&amp;BPD[[#This Row],[Lowest MVA]]</f>
        <v>CB642_CNR33.3732319248011</v>
      </c>
      <c r="BD75" s="9" t="str">
        <f>CONCATENATE(BPD[[#This Row],[Supply Level]],BPD[[#This Row],[Station/Feeder]],BPD[[#This Row],[Voltage]],BPD[[#This Row],[Lowest A-No PTX]])</f>
        <v>SubTransmissionCB642_CNR33583.880134409446</v>
      </c>
      <c r="BE75" s="9" t="str">
        <f>CONCATENATE(BPD[[#This Row],[Supply Level]],BPD[[#This Row],[Station/Feeder]],BPD[[#This Row],[Voltage]],BPD[[#This Row],[Lowest A-PTX]])</f>
        <v>SubTransmissionCB642_CNR33583.880134409445</v>
      </c>
      <c r="BF75" s="9">
        <f>IF(MIN(BPD[[#This Row],[Summ Cont Winter A]:[Cable Derating]])=0,"",MIN(BPD[[#This Row],[Summ Cont Winter A]:[Cable Derating]]))</f>
        <v>33.373231924801054</v>
      </c>
      <c r="BG75" s="9">
        <f>IFERROR(BPD[[#This Row],[Lowest MVA]]*1000/(BPD[[#This Row],[Voltage]]*SQRT(3)),"")</f>
        <v>583.88013440944553</v>
      </c>
      <c r="BH75" s="9">
        <f t="shared" si="66"/>
        <v>583.88013440944542</v>
      </c>
      <c r="BI75" s="9" t="str">
        <f>BPD[[#This Row],[From]]</f>
        <v>CNR647</v>
      </c>
      <c r="BJ75" s="9" t="str">
        <f>BPD[[#This Row],[To]]</f>
        <v>CNR644</v>
      </c>
      <c r="BK75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OH Line-CHAFER</v>
      </c>
      <c r="BL75" s="9">
        <f>BPD[[#This Row],[Voltage]]</f>
        <v>33</v>
      </c>
    </row>
    <row r="76" spans="1:64" s="337" customFormat="1" ht="15.75" thickBot="1" x14ac:dyDescent="0.3">
      <c r="A76" s="191" t="str">
        <f>CONCATENATE(BPD[[#This Row],[Supply Level]],BPD[[#This Row],[Station/Feeder]],BPD[[#This Row],[Voltage]])</f>
        <v>SubTransmissionCB642_CNR33</v>
      </c>
      <c r="B76" s="191" t="str">
        <f>CONCATENATE(BPD[[#This Row],[Supply Level]],BPD[[#This Row],[Station/Feeder]],BPD[[#This Row],[Equipment ID]],BPD[[#This Row],[Voltage]],BPD[[#This Row],[Device type]])</f>
        <v>SubTransmissionCB642_CNRCNR-CB64233Protection</v>
      </c>
      <c r="C76" s="191" t="s">
        <v>1245</v>
      </c>
      <c r="D76" s="191" t="s">
        <v>1381</v>
      </c>
      <c r="E76" s="191" t="s">
        <v>1383</v>
      </c>
      <c r="F76" s="191" t="s">
        <v>1384</v>
      </c>
      <c r="G76" s="200">
        <v>5</v>
      </c>
      <c r="H76" s="193" t="s">
        <v>743</v>
      </c>
      <c r="I76" s="191" t="s">
        <v>2214</v>
      </c>
      <c r="J76" s="193" t="s">
        <v>15</v>
      </c>
      <c r="K76" s="193" t="s">
        <v>0</v>
      </c>
      <c r="L76" s="193" t="s">
        <v>1423</v>
      </c>
      <c r="M76" s="175">
        <v>33</v>
      </c>
      <c r="N76" s="155">
        <v>1250</v>
      </c>
      <c r="O76" s="155">
        <f t="shared" si="56"/>
        <v>71.447095812216176</v>
      </c>
      <c r="P76" s="155">
        <v>1250</v>
      </c>
      <c r="Q76" s="155">
        <f t="shared" si="57"/>
        <v>71.447095812216176</v>
      </c>
      <c r="R76" s="155">
        <v>1250</v>
      </c>
      <c r="S76" s="155">
        <f t="shared" si="58"/>
        <v>71.447095812216176</v>
      </c>
      <c r="T76" s="155" t="s">
        <v>0</v>
      </c>
      <c r="U76" s="155" t="str">
        <f t="shared" si="59"/>
        <v>-</v>
      </c>
      <c r="V76" s="155" t="s">
        <v>0</v>
      </c>
      <c r="W76" s="155" t="str">
        <f t="shared" si="60"/>
        <v>-</v>
      </c>
      <c r="X76" s="155" t="e">
        <f>VLOOKUP(BPD[[#This Row],[Equipment ID]],AEL_Protection_Data[#All],12,0)</f>
        <v>#N/A</v>
      </c>
      <c r="Y76" s="155" t="e">
        <f t="shared" si="61"/>
        <v>#N/A</v>
      </c>
      <c r="Z76" s="155" t="s">
        <v>0</v>
      </c>
      <c r="AA76" s="155" t="str">
        <f t="shared" si="62"/>
        <v>-</v>
      </c>
      <c r="AB76" s="155" t="s">
        <v>0</v>
      </c>
      <c r="AC76" s="155" t="str">
        <f t="shared" si="63"/>
        <v>-</v>
      </c>
      <c r="AD76" s="155" t="s">
        <v>0</v>
      </c>
      <c r="AE76" s="155" t="str">
        <f t="shared" si="64"/>
        <v>-</v>
      </c>
      <c r="AF76" s="155" t="s">
        <v>0</v>
      </c>
      <c r="AG76" s="155" t="s">
        <v>0</v>
      </c>
      <c r="AH76" s="155" t="s">
        <v>0</v>
      </c>
      <c r="AI76" s="155" t="s">
        <v>0</v>
      </c>
      <c r="AJ76" s="155" t="s">
        <v>0</v>
      </c>
      <c r="AK76" s="155" t="s">
        <v>0</v>
      </c>
      <c r="AL76" s="155" t="s">
        <v>0</v>
      </c>
      <c r="AM76" s="155" t="s">
        <v>0</v>
      </c>
      <c r="AN76" s="155" t="s">
        <v>0</v>
      </c>
      <c r="AO76" s="155" t="s">
        <v>0</v>
      </c>
      <c r="AP76" s="155" t="s">
        <v>0</v>
      </c>
      <c r="AQ76" s="155" t="s">
        <v>0</v>
      </c>
      <c r="AR76" s="155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76" s="155" t="str">
        <f t="shared" si="65"/>
        <v>-</v>
      </c>
      <c r="AT76" s="155">
        <f>IF(RIGHT(BPD[[#This Row],[Device type]],7)="Winding","-",BPD[[#This Row],[Cont Winter MVA]])</f>
        <v>71.447095812216176</v>
      </c>
      <c r="AU76" s="155">
        <f>IF(RIGHT(BPD[[#This Row],[Device type]],7)="Winding","-",BPD[[#This Row],[Cont Shoulder MVA]])</f>
        <v>71.447095812216176</v>
      </c>
      <c r="AV76" s="155">
        <f>IF(RIGHT(BPD[[#This Row],[Device type]],7)="Winding","-",BPD[[#This Row],[Cont Summer MVA]])</f>
        <v>71.447095812216176</v>
      </c>
      <c r="AW76" s="155" t="str">
        <f>BPD[[#This Row],[24 Hr Winter MVA]]</f>
        <v>-</v>
      </c>
      <c r="AX76" s="155" t="str">
        <f>BPD[[#This Row],[24 Hr Summer MVA]]</f>
        <v>-</v>
      </c>
      <c r="AY76" s="155" t="e">
        <f>BPD[[#This Row],[Forwards MVA]]</f>
        <v>#N/A</v>
      </c>
      <c r="AZ76" s="155" t="str">
        <f>BPD[[#This Row],[Relay MVA]]</f>
        <v>-</v>
      </c>
      <c r="BA76" s="155" t="str">
        <f>BPD[[#This Row],[CT MVA]]</f>
        <v>-</v>
      </c>
      <c r="BB76" s="155" t="str">
        <f>BPD[[#This Row],[Derating MVA]]</f>
        <v>-</v>
      </c>
      <c r="BC76" s="155" t="e">
        <f>BPD[[#This Row],[Station/Feeder]]&amp;BPD[[#This Row],[Lowest MVA]]</f>
        <v>#N/A</v>
      </c>
      <c r="BD76" s="155" t="str">
        <f>CONCATENATE(BPD[[#This Row],[Supply Level]],BPD[[#This Row],[Station/Feeder]],BPD[[#This Row],[Voltage]],BPD[[#This Row],[Lowest A-No PTX]])</f>
        <v>SubTransmissionCB642_CNR33</v>
      </c>
      <c r="BE76" s="155" t="e">
        <f>CONCATENATE(BPD[[#This Row],[Supply Level]],BPD[[#This Row],[Station/Feeder]],BPD[[#This Row],[Voltage]],BPD[[#This Row],[Lowest A-PTX]])</f>
        <v>#N/A</v>
      </c>
      <c r="BF76" s="155" t="e">
        <f>IF(MIN(BPD[[#This Row],[Summ Cont Winter A]:[Cable Derating]])=0,"",MIN(BPD[[#This Row],[Summ Cont Winter A]:[Cable Derating]]))</f>
        <v>#N/A</v>
      </c>
      <c r="BG76" s="155" t="str">
        <f>IFERROR(BPD[[#This Row],[Lowest MVA]]*1000/(BPD[[#This Row],[Voltage]]*SQRT(3)),"")</f>
        <v/>
      </c>
      <c r="BH76" s="155" t="e">
        <f t="shared" si="66"/>
        <v>#N/A</v>
      </c>
      <c r="BI76" s="155" t="str">
        <f>BPD[[#This Row],[From]]</f>
        <v>CNR644</v>
      </c>
      <c r="BJ76" s="155" t="str">
        <f>BPD[[#This Row],[To]]</f>
        <v>CNR646</v>
      </c>
      <c r="BK76" s="155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Breaker-CNR-CB642-Protection</v>
      </c>
      <c r="BL76" s="155">
        <f>BPD[[#This Row],[Voltage]]</f>
        <v>33</v>
      </c>
    </row>
    <row r="77" spans="1:64" s="337" customFormat="1" x14ac:dyDescent="0.25">
      <c r="A77" s="168" t="str">
        <f>CONCATENATE(BPD[[#This Row],[Supply Level]],BPD[[#This Row],[Station/Feeder]],BPD[[#This Row],[Voltage]])</f>
        <v>SecondarySubstationCNR33</v>
      </c>
      <c r="B77" s="168" t="str">
        <f>CONCATENATE(BPD[[#This Row],[Supply Level]],BPD[[#This Row],[Station/Feeder]],BPD[[#This Row],[Equipment ID]],BPD[[#This Row],[Voltage]],BPD[[#This Row],[Device type]])</f>
        <v>SecondarySubstationCNRT1/A141333HV Winding</v>
      </c>
      <c r="C77" s="168" t="s">
        <v>1277</v>
      </c>
      <c r="D77" s="118" t="s">
        <v>159</v>
      </c>
      <c r="E77" s="149" t="s">
        <v>742</v>
      </c>
      <c r="F77" s="149" t="s">
        <v>243</v>
      </c>
      <c r="G77" s="172">
        <v>1</v>
      </c>
      <c r="H77" s="156" t="s">
        <v>707</v>
      </c>
      <c r="I77" s="149" t="s">
        <v>744</v>
      </c>
      <c r="J77" s="156" t="s">
        <v>19</v>
      </c>
      <c r="K77" s="156" t="s">
        <v>0</v>
      </c>
      <c r="L77" s="156" t="s">
        <v>36</v>
      </c>
      <c r="M77" s="127">
        <v>33</v>
      </c>
      <c r="N77" s="9">
        <f>15000/(BPD[[#This Row],[Voltage]]*SQRT(3))</f>
        <v>262.43194054073899</v>
      </c>
      <c r="O77" s="126">
        <f t="shared" si="49"/>
        <v>14.999999999999998</v>
      </c>
      <c r="P77" s="126">
        <f>BPD[[#This Row],[Cont Winter A]]</f>
        <v>262.43194054073899</v>
      </c>
      <c r="Q77" s="126">
        <f t="shared" si="50"/>
        <v>14.999999999999998</v>
      </c>
      <c r="R77" s="126">
        <f>BPD[[#This Row],[Cont Shoulder A]]</f>
        <v>262.43194054073899</v>
      </c>
      <c r="S77" s="126">
        <f t="shared" si="55"/>
        <v>14.999999999999998</v>
      </c>
      <c r="T77" s="126" t="s">
        <v>0</v>
      </c>
      <c r="U77" s="126" t="str">
        <f t="shared" si="51"/>
        <v>-</v>
      </c>
      <c r="V77" s="126" t="s">
        <v>0</v>
      </c>
      <c r="W77" s="126" t="str">
        <f t="shared" si="52"/>
        <v>-</v>
      </c>
      <c r="X77" s="126" t="s">
        <v>0</v>
      </c>
      <c r="Y77" s="126" t="str">
        <f t="shared" si="53"/>
        <v>-</v>
      </c>
      <c r="Z77" s="126" t="s">
        <v>0</v>
      </c>
      <c r="AA77" s="126" t="str">
        <f t="shared" ref="AA77:AA93" si="67">IF(OR(Z77="",Z77="-"),"-",Z77*$M77*SQRT(3)/1000)</f>
        <v>-</v>
      </c>
      <c r="AB77" s="126" t="s">
        <v>0</v>
      </c>
      <c r="AC77" s="126" t="str">
        <f t="shared" ref="AC77:AC93" si="68">IF(OR(AB77="",AB77="-"),"-",AB77*$M77*SQRT(3)/1000)</f>
        <v>-</v>
      </c>
      <c r="AD77" s="126" t="s">
        <v>0</v>
      </c>
      <c r="AE77" s="126" t="str">
        <f t="shared" ref="AE77:AE93" si="69">IF(OR(AD77="",AD77="-"),"-",AD77*$M77*SQRT(3)/1000)</f>
        <v>-</v>
      </c>
      <c r="AF77" s="126" t="s">
        <v>0</v>
      </c>
      <c r="AG77" s="126" t="s">
        <v>0</v>
      </c>
      <c r="AH77" s="126" t="s">
        <v>0</v>
      </c>
      <c r="AI77" s="126" t="s">
        <v>0</v>
      </c>
      <c r="AJ77" s="126" t="s">
        <v>0</v>
      </c>
      <c r="AK77" s="126" t="s">
        <v>0</v>
      </c>
      <c r="AL77" s="126" t="s">
        <v>0</v>
      </c>
      <c r="AM77" s="126" t="s">
        <v>0</v>
      </c>
      <c r="AN77" s="126" t="s">
        <v>0</v>
      </c>
      <c r="AO77" s="126" t="s">
        <v>0</v>
      </c>
      <c r="AP77" s="126" t="s">
        <v>0</v>
      </c>
      <c r="AQ77" s="126" t="s">
        <v>0</v>
      </c>
      <c r="AR77" s="126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77" s="126" t="str">
        <f t="shared" si="54"/>
        <v>-</v>
      </c>
      <c r="AT77" s="126" t="str">
        <f>IF(RIGHT(BPD[[#This Row],[Device type]],7)="Winding","-",BPD[[#This Row],[Cont Winter MVA]])</f>
        <v>-</v>
      </c>
      <c r="AU77" s="126" t="str">
        <f>IF(RIGHT(BPD[[#This Row],[Device type]],7)="Winding","-",BPD[[#This Row],[Cont Shoulder MVA]])</f>
        <v>-</v>
      </c>
      <c r="AV77" s="126" t="str">
        <f>IF(RIGHT(BPD[[#This Row],[Device type]],7)="Winding","-",BPD[[#This Row],[Cont Summer MVA]])</f>
        <v>-</v>
      </c>
      <c r="AW77" s="126" t="str">
        <f>BPD[[#This Row],[24 Hr Winter MVA]]</f>
        <v>-</v>
      </c>
      <c r="AX77" s="126" t="str">
        <f>BPD[[#This Row],[24 Hr Summer MVA]]</f>
        <v>-</v>
      </c>
      <c r="AY77" s="126" t="str">
        <f>BPD[[#This Row],[Forwards MVA]]</f>
        <v>-</v>
      </c>
      <c r="AZ77" s="126" t="str">
        <f>BPD[[#This Row],[Relay MVA]]</f>
        <v>-</v>
      </c>
      <c r="BA77" s="126" t="str">
        <f>BPD[[#This Row],[CT MVA]]</f>
        <v>-</v>
      </c>
      <c r="BB77" s="126" t="str">
        <f>BPD[[#This Row],[Derating MVA]]</f>
        <v>-</v>
      </c>
      <c r="BC77" s="126" t="str">
        <f>BPD[[#This Row],[Station/Feeder]]&amp;BPD[[#This Row],[Lowest MVA]]</f>
        <v>CNR</v>
      </c>
      <c r="BD77" s="126" t="str">
        <f>CONCATENATE(BPD[[#This Row],[Supply Level]],BPD[[#This Row],[Station/Feeder]],BPD[[#This Row],[Voltage]],BPD[[#This Row],[Lowest A-No PTX]])</f>
        <v>SecondarySubstationCNR33</v>
      </c>
      <c r="BE77" s="126" t="str">
        <f>CONCATENATE(BPD[[#This Row],[Supply Level]],BPD[[#This Row],[Station/Feeder]],BPD[[#This Row],[Voltage]],BPD[[#This Row],[Lowest A-PTX]])</f>
        <v>SecondarySubstationCNR33262.431940540739</v>
      </c>
      <c r="BF77" s="126" t="str">
        <f>IF(MIN(BPD[[#This Row],[Summ Cont Winter A]:[Cable Derating]])=0,"",MIN(BPD[[#This Row],[Summ Cont Winter A]:[Cable Derating]]))</f>
        <v/>
      </c>
      <c r="BG77" s="126" t="str">
        <f>IFERROR(BPD[[#This Row],[Lowest MVA]]*1000/(BPD[[#This Row],[Voltage]]*SQRT(3)),"")</f>
        <v/>
      </c>
      <c r="BH77" s="126">
        <f t="shared" si="66"/>
        <v>262.43194054073899</v>
      </c>
      <c r="BI77" s="126" t="str">
        <f>BPD[[#This Row],[From]]</f>
        <v>CNR642</v>
      </c>
      <c r="BJ77" s="126" t="str">
        <f>BPD[[#This Row],[To]]</f>
        <v>11 kV Bus</v>
      </c>
      <c r="BK77" s="126" t="str">
        <f>IF(BPD[[#This Row],[Device type]]="-",BPD[[#This Row],[Equipment Type]]&amp;"-"&amp;BPD[[#This Row],[Equipment ID]],BPD[[#This Row],[Equipment Type]]&amp;"-"&amp;BPD[[#This Row],[Equipment ID]]&amp;"-"&amp;BPD[[#This Row],[Device type]])</f>
        <v>Transformer-T1/A1413-HV Winding</v>
      </c>
      <c r="BL77" s="126">
        <f>BPD[[#This Row],[Voltage]]</f>
        <v>33</v>
      </c>
    </row>
    <row r="78" spans="1:64" s="337" customFormat="1" x14ac:dyDescent="0.25">
      <c r="A78" s="6" t="str">
        <f>CONCATENATE(BPD[[#This Row],[Supply Level]],BPD[[#This Row],[Station/Feeder]],BPD[[#This Row],[Voltage]])</f>
        <v>SecondarySubstationCNR11</v>
      </c>
      <c r="B78" s="6" t="str">
        <f>CONCATENATE(BPD[[#This Row],[Supply Level]],BPD[[#This Row],[Station/Feeder]],BPD[[#This Row],[Equipment ID]],BPD[[#This Row],[Voltage]],BPD[[#This Row],[Device type]])</f>
        <v>SecondarySubstationCNRT1/A141311LV Winding</v>
      </c>
      <c r="C78" s="6" t="s">
        <v>1277</v>
      </c>
      <c r="D78" s="11" t="s">
        <v>159</v>
      </c>
      <c r="E78" s="6" t="s">
        <v>742</v>
      </c>
      <c r="F78" s="6" t="s">
        <v>243</v>
      </c>
      <c r="G78" s="27">
        <v>2</v>
      </c>
      <c r="H78" s="7" t="s">
        <v>707</v>
      </c>
      <c r="I78" s="6" t="s">
        <v>744</v>
      </c>
      <c r="J78" s="7" t="s">
        <v>19</v>
      </c>
      <c r="K78" s="7" t="s">
        <v>0</v>
      </c>
      <c r="L78" s="7" t="s">
        <v>37</v>
      </c>
      <c r="M78" s="43">
        <v>11</v>
      </c>
      <c r="N78" s="9">
        <f>15000/(BPD[[#This Row],[Voltage]]*SQRT(3))</f>
        <v>787.29582162221698</v>
      </c>
      <c r="O78" s="9">
        <f t="shared" si="49"/>
        <v>14.999999999999998</v>
      </c>
      <c r="P78" s="9">
        <f>BPD[[#This Row],[Cont Winter A]]</f>
        <v>787.29582162221698</v>
      </c>
      <c r="Q78" s="9">
        <f t="shared" si="50"/>
        <v>14.999999999999998</v>
      </c>
      <c r="R78" s="9">
        <f>BPD[[#This Row],[Cont Shoulder A]]</f>
        <v>787.29582162221698</v>
      </c>
      <c r="S78" s="9">
        <f t="shared" si="55"/>
        <v>14.999999999999998</v>
      </c>
      <c r="T78" s="9" t="s">
        <v>0</v>
      </c>
      <c r="U78" s="9" t="str">
        <f t="shared" si="51"/>
        <v>-</v>
      </c>
      <c r="V78" s="9" t="s">
        <v>0</v>
      </c>
      <c r="W78" s="9" t="str">
        <f t="shared" si="52"/>
        <v>-</v>
      </c>
      <c r="X78" s="9" t="s">
        <v>0</v>
      </c>
      <c r="Y78" s="9" t="str">
        <f t="shared" si="53"/>
        <v>-</v>
      </c>
      <c r="Z78" s="9" t="s">
        <v>0</v>
      </c>
      <c r="AA78" s="9" t="str">
        <f t="shared" si="67"/>
        <v>-</v>
      </c>
      <c r="AB78" s="9" t="s">
        <v>0</v>
      </c>
      <c r="AC78" s="9" t="str">
        <f t="shared" si="68"/>
        <v>-</v>
      </c>
      <c r="AD78" s="9" t="s">
        <v>0</v>
      </c>
      <c r="AE78" s="9" t="str">
        <f t="shared" si="69"/>
        <v>-</v>
      </c>
      <c r="AF78" s="9" t="s">
        <v>0</v>
      </c>
      <c r="AG78" s="9" t="s">
        <v>0</v>
      </c>
      <c r="AH78" s="9" t="s">
        <v>0</v>
      </c>
      <c r="AI78" s="9" t="s">
        <v>0</v>
      </c>
      <c r="AJ78" s="9" t="s">
        <v>0</v>
      </c>
      <c r="AK78" s="9" t="s">
        <v>0</v>
      </c>
      <c r="AL78" s="9" t="s">
        <v>0</v>
      </c>
      <c r="AM78" s="9" t="s">
        <v>0</v>
      </c>
      <c r="AN78" s="9" t="s">
        <v>0</v>
      </c>
      <c r="AO78" s="9" t="s">
        <v>0</v>
      </c>
      <c r="AP78" s="9" t="s">
        <v>0</v>
      </c>
      <c r="AQ78" s="9" t="s">
        <v>0</v>
      </c>
      <c r="AR78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78" s="9" t="str">
        <f t="shared" si="54"/>
        <v>-</v>
      </c>
      <c r="AT78" s="9" t="str">
        <f>IF(RIGHT(BPD[[#This Row],[Device type]],7)="Winding","-",BPD[[#This Row],[Cont Winter MVA]])</f>
        <v>-</v>
      </c>
      <c r="AU78" s="9" t="str">
        <f>IF(RIGHT(BPD[[#This Row],[Device type]],7)="Winding","-",BPD[[#This Row],[Cont Shoulder MVA]])</f>
        <v>-</v>
      </c>
      <c r="AV78" s="9" t="str">
        <f>IF(RIGHT(BPD[[#This Row],[Device type]],7)="Winding","-",BPD[[#This Row],[Cont Summer MVA]])</f>
        <v>-</v>
      </c>
      <c r="AW78" s="9" t="str">
        <f>BPD[[#This Row],[24 Hr Winter MVA]]</f>
        <v>-</v>
      </c>
      <c r="AX78" s="9" t="str">
        <f>BPD[[#This Row],[24 Hr Summer MVA]]</f>
        <v>-</v>
      </c>
      <c r="AY78" s="9" t="str">
        <f>BPD[[#This Row],[Forwards MVA]]</f>
        <v>-</v>
      </c>
      <c r="AZ78" s="9" t="str">
        <f>BPD[[#This Row],[Relay MVA]]</f>
        <v>-</v>
      </c>
      <c r="BA78" s="9" t="str">
        <f>BPD[[#This Row],[CT MVA]]</f>
        <v>-</v>
      </c>
      <c r="BB78" s="9" t="str">
        <f>BPD[[#This Row],[Derating MVA]]</f>
        <v>-</v>
      </c>
      <c r="BC78" s="9" t="str">
        <f>BPD[[#This Row],[Station/Feeder]]&amp;BPD[[#This Row],[Lowest MVA]]</f>
        <v>CNR</v>
      </c>
      <c r="BD78" s="9" t="str">
        <f>CONCATENATE(BPD[[#This Row],[Supply Level]],BPD[[#This Row],[Station/Feeder]],BPD[[#This Row],[Voltage]],BPD[[#This Row],[Lowest A-No PTX]])</f>
        <v>SecondarySubstationCNR11</v>
      </c>
      <c r="BE78" s="9" t="str">
        <f>CONCATENATE(BPD[[#This Row],[Supply Level]],BPD[[#This Row],[Station/Feeder]],BPD[[#This Row],[Voltage]],BPD[[#This Row],[Lowest A-PTX]])</f>
        <v>SecondarySubstationCNR11787.295821622217</v>
      </c>
      <c r="BF78" s="9" t="str">
        <f>IF(MIN(BPD[[#This Row],[Summ Cont Winter A]:[Cable Derating]])=0,"",MIN(BPD[[#This Row],[Summ Cont Winter A]:[Cable Derating]]))</f>
        <v/>
      </c>
      <c r="BG78" s="9" t="str">
        <f>IFERROR(BPD[[#This Row],[Lowest MVA]]*1000/(BPD[[#This Row],[Voltage]]*SQRT(3)),"")</f>
        <v/>
      </c>
      <c r="BH78" s="9">
        <f t="shared" si="66"/>
        <v>787.29582162221698</v>
      </c>
      <c r="BI78" s="9" t="str">
        <f>BPD[[#This Row],[From]]</f>
        <v>CNR642</v>
      </c>
      <c r="BJ78" s="9" t="str">
        <f>BPD[[#This Row],[To]]</f>
        <v>11 kV Bus</v>
      </c>
      <c r="BK78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Transformer-T1/A1413-LV Winding</v>
      </c>
      <c r="BL78" s="9">
        <f>BPD[[#This Row],[Voltage]]</f>
        <v>11</v>
      </c>
    </row>
    <row r="79" spans="1:64" s="337" customFormat="1" x14ac:dyDescent="0.25">
      <c r="A79" s="14" t="str">
        <f>CONCATENATE(BPD[[#This Row],[Supply Level]],BPD[[#This Row],[Station/Feeder]],BPD[[#This Row],[Voltage]])</f>
        <v>SecondarySubstationCNR11</v>
      </c>
      <c r="B79" s="14" t="str">
        <f>CONCATENATE(BPD[[#This Row],[Supply Level]],BPD[[#This Row],[Station/Feeder]],BPD[[#This Row],[Equipment ID]],BPD[[#This Row],[Voltage]],BPD[[#This Row],[Device type]])</f>
        <v>SecondarySubstationCNRCNR-CB3511Protection</v>
      </c>
      <c r="C79" s="14" t="s">
        <v>1277</v>
      </c>
      <c r="D79" s="11" t="s">
        <v>159</v>
      </c>
      <c r="E79" s="6" t="s">
        <v>742</v>
      </c>
      <c r="F79" s="6" t="s">
        <v>243</v>
      </c>
      <c r="G79" s="27">
        <v>3</v>
      </c>
      <c r="H79" s="7" t="s">
        <v>2349</v>
      </c>
      <c r="I79" s="6" t="s">
        <v>745</v>
      </c>
      <c r="J79" s="7" t="s">
        <v>15</v>
      </c>
      <c r="K79" s="7" t="s">
        <v>791</v>
      </c>
      <c r="L79" s="7" t="s">
        <v>1423</v>
      </c>
      <c r="M79" s="43">
        <v>11</v>
      </c>
      <c r="N79" s="9">
        <v>1250</v>
      </c>
      <c r="O79" s="9">
        <f t="shared" si="49"/>
        <v>23.815698604072061</v>
      </c>
      <c r="P79" s="9">
        <v>1250</v>
      </c>
      <c r="Q79" s="9">
        <f t="shared" si="50"/>
        <v>23.815698604072061</v>
      </c>
      <c r="R79" s="9">
        <v>1250</v>
      </c>
      <c r="S79" s="9">
        <f t="shared" si="55"/>
        <v>23.815698604072061</v>
      </c>
      <c r="T79" s="9" t="s">
        <v>0</v>
      </c>
      <c r="U79" s="9" t="str">
        <f t="shared" si="51"/>
        <v>-</v>
      </c>
      <c r="V79" s="9" t="s">
        <v>0</v>
      </c>
      <c r="W79" s="9" t="str">
        <f t="shared" si="52"/>
        <v>-</v>
      </c>
      <c r="X79" s="9">
        <f>VLOOKUP(BPD[[#This Row],[Equipment ID]],AEL_Protection_Data[#All],12,0)</f>
        <v>1104</v>
      </c>
      <c r="Y79" s="9">
        <f t="shared" si="53"/>
        <v>21.034025007116444</v>
      </c>
      <c r="Z79" s="9" t="s">
        <v>0</v>
      </c>
      <c r="AA79" s="9" t="str">
        <f t="shared" si="67"/>
        <v>-</v>
      </c>
      <c r="AB79" s="9" t="s">
        <v>0</v>
      </c>
      <c r="AC79" s="9" t="str">
        <f t="shared" si="68"/>
        <v>-</v>
      </c>
      <c r="AD79" s="9" t="s">
        <v>0</v>
      </c>
      <c r="AE79" s="9" t="str">
        <f t="shared" si="69"/>
        <v>-</v>
      </c>
      <c r="AF79" s="9" t="s">
        <v>0</v>
      </c>
      <c r="AG79" s="9" t="s">
        <v>0</v>
      </c>
      <c r="AH79" s="9" t="s">
        <v>0</v>
      </c>
      <c r="AI79" s="9" t="s">
        <v>0</v>
      </c>
      <c r="AJ79" s="9" t="s">
        <v>0</v>
      </c>
      <c r="AK79" s="9" t="s">
        <v>0</v>
      </c>
      <c r="AL79" s="9" t="s">
        <v>0</v>
      </c>
      <c r="AM79" s="9" t="s">
        <v>0</v>
      </c>
      <c r="AN79" s="9" t="s">
        <v>0</v>
      </c>
      <c r="AO79" s="9" t="s">
        <v>0</v>
      </c>
      <c r="AP79" s="9" t="s">
        <v>0</v>
      </c>
      <c r="AQ79" s="9" t="s">
        <v>0</v>
      </c>
      <c r="AR79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79" s="9" t="str">
        <f t="shared" si="54"/>
        <v>-</v>
      </c>
      <c r="AT79" s="9">
        <f>IF(RIGHT(BPD[[#This Row],[Device type]],7)="Winding","-",BPD[[#This Row],[Cont Winter MVA]])</f>
        <v>23.815698604072061</v>
      </c>
      <c r="AU79" s="9">
        <f>IF(RIGHT(BPD[[#This Row],[Device type]],7)="Winding","-",BPD[[#This Row],[Cont Shoulder MVA]])</f>
        <v>23.815698604072061</v>
      </c>
      <c r="AV79" s="9">
        <f>IF(RIGHT(BPD[[#This Row],[Device type]],7)="Winding","-",BPD[[#This Row],[Cont Summer MVA]])</f>
        <v>23.815698604072061</v>
      </c>
      <c r="AW79" s="9" t="str">
        <f>BPD[[#This Row],[24 Hr Winter MVA]]</f>
        <v>-</v>
      </c>
      <c r="AX79" s="9" t="str">
        <f>BPD[[#This Row],[24 Hr Summer MVA]]</f>
        <v>-</v>
      </c>
      <c r="AY79" s="9">
        <f>BPD[[#This Row],[Forwards MVA]]</f>
        <v>21.034025007116444</v>
      </c>
      <c r="AZ79" s="9" t="str">
        <f>BPD[[#This Row],[Relay MVA]]</f>
        <v>-</v>
      </c>
      <c r="BA79" s="9" t="str">
        <f>BPD[[#This Row],[CT MVA]]</f>
        <v>-</v>
      </c>
      <c r="BB79" s="9" t="str">
        <f>BPD[[#This Row],[Derating MVA]]</f>
        <v>-</v>
      </c>
      <c r="BC79" s="9" t="str">
        <f>BPD[[#This Row],[Station/Feeder]]&amp;BPD[[#This Row],[Lowest MVA]]</f>
        <v>CNR21.0340250071164</v>
      </c>
      <c r="BD79" s="9" t="str">
        <f>CONCATENATE(BPD[[#This Row],[Supply Level]],BPD[[#This Row],[Station/Feeder]],BPD[[#This Row],[Voltage]],BPD[[#This Row],[Lowest A-No PTX]])</f>
        <v>SecondarySubstationCNR111104</v>
      </c>
      <c r="BE79" s="9" t="str">
        <f>CONCATENATE(BPD[[#This Row],[Supply Level]],BPD[[#This Row],[Station/Feeder]],BPD[[#This Row],[Voltage]],BPD[[#This Row],[Lowest A-PTX]])</f>
        <v>SecondarySubstationCNR111104</v>
      </c>
      <c r="BF79" s="9">
        <f>IF(MIN(BPD[[#This Row],[Summ Cont Winter A]:[Cable Derating]])=0,"",MIN(BPD[[#This Row],[Summ Cont Winter A]:[Cable Derating]]))</f>
        <v>21.034025007116444</v>
      </c>
      <c r="BG79" s="9">
        <f>IFERROR(BPD[[#This Row],[Lowest MVA]]*1000/(BPD[[#This Row],[Voltage]]*SQRT(3)),"")</f>
        <v>1104</v>
      </c>
      <c r="BH79" s="9">
        <f t="shared" si="66"/>
        <v>1104</v>
      </c>
      <c r="BI79" s="9" t="str">
        <f>BPD[[#This Row],[From]]</f>
        <v>CNR642</v>
      </c>
      <c r="BJ79" s="9" t="str">
        <f>BPD[[#This Row],[To]]</f>
        <v>11 kV Bus</v>
      </c>
      <c r="BK79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Breaker-CNR-CB35-Protection</v>
      </c>
      <c r="BL79" s="9">
        <f>BPD[[#This Row],[Voltage]]</f>
        <v>11</v>
      </c>
    </row>
    <row r="80" spans="1:64" s="337" customFormat="1" x14ac:dyDescent="0.25">
      <c r="A80" s="14" t="str">
        <f>CONCATENATE(BPD[[#This Row],[Supply Level]],BPD[[#This Row],[Station/Feeder]],BPD[[#This Row],[Voltage]])</f>
        <v>SecondarySubstationCNR11</v>
      </c>
      <c r="B80" s="14" t="str">
        <f>CONCATENATE(BPD[[#This Row],[Supply Level]],BPD[[#This Row],[Station/Feeder]],BPD[[#This Row],[Equipment ID]],BPD[[#This Row],[Voltage]],BPD[[#This Row],[Device type]])</f>
        <v>SecondarySubstationCNR2x3x1c 630mm2 Al XLPE HDPE11-</v>
      </c>
      <c r="C80" s="14" t="s">
        <v>1277</v>
      </c>
      <c r="D80" s="11" t="s">
        <v>159</v>
      </c>
      <c r="E80" s="6" t="s">
        <v>742</v>
      </c>
      <c r="F80" s="6" t="s">
        <v>243</v>
      </c>
      <c r="G80" s="27">
        <v>4</v>
      </c>
      <c r="H80" s="7" t="s">
        <v>2349</v>
      </c>
      <c r="I80" s="6" t="s">
        <v>2512</v>
      </c>
      <c r="J80" s="7" t="s">
        <v>250</v>
      </c>
      <c r="K80" s="7" t="s">
        <v>0</v>
      </c>
      <c r="L80" s="7" t="s">
        <v>0</v>
      </c>
      <c r="M80" s="43">
        <v>11</v>
      </c>
      <c r="N80" s="9">
        <f>2*668</f>
        <v>1336</v>
      </c>
      <c r="O80" s="9">
        <f t="shared" ref="O80" si="70">IF(OR(N80="",N80="-"),"-",N80*$M80*SQRT(3)/1000)</f>
        <v>25.454218668032219</v>
      </c>
      <c r="P80" s="9">
        <f>BPD[[#This Row],[Cont Winter A]]</f>
        <v>1336</v>
      </c>
      <c r="Q80" s="9">
        <f t="shared" ref="Q80" si="71">IF(OR(P80="",P80="-"),"-",P80*$M80*SQRT(3)/1000)</f>
        <v>25.454218668032219</v>
      </c>
      <c r="R80" s="9">
        <f>BPD[[#This Row],[Cont Shoulder A]]</f>
        <v>1336</v>
      </c>
      <c r="S80" s="9">
        <f t="shared" ref="S80" si="72">IF(OR(R80="",R80="-"),"-",R80*$M80*SQRT(3)/1000)</f>
        <v>25.454218668032219</v>
      </c>
      <c r="T80" s="9" t="s">
        <v>0</v>
      </c>
      <c r="U80" s="9" t="str">
        <f t="shared" ref="U80" si="73">IF(OR(T80="",T80="-"),"-",T80*$M80*SQRT(3)/1000)</f>
        <v>-</v>
      </c>
      <c r="V80" s="9" t="s">
        <v>0</v>
      </c>
      <c r="W80" s="9" t="str">
        <f t="shared" ref="W80" si="74">IF(OR(V80="",V80="-"),"-",V80*$M80*SQRT(3)/1000)</f>
        <v>-</v>
      </c>
      <c r="X80" s="9" t="s">
        <v>0</v>
      </c>
      <c r="Y80" s="9" t="str">
        <f t="shared" ref="Y80" si="75">IF(OR(X80="",X80="-"),"-",X80*$M80*SQRT(3)/1000)</f>
        <v>-</v>
      </c>
      <c r="Z80" s="9" t="s">
        <v>0</v>
      </c>
      <c r="AA80" s="9" t="str">
        <f t="shared" ref="AA80" si="76">IF(OR(Z80="",Z80="-"),"-",Z80*$M80*SQRT(3)/1000)</f>
        <v>-</v>
      </c>
      <c r="AB80" s="9" t="s">
        <v>0</v>
      </c>
      <c r="AC80" s="9" t="str">
        <f t="shared" ref="AC80" si="77">IF(OR(AB80="",AB80="-"),"-",AB80*$M80*SQRT(3)/1000)</f>
        <v>-</v>
      </c>
      <c r="AD80" s="9" t="s">
        <v>0</v>
      </c>
      <c r="AE80" s="9" t="str">
        <f t="shared" ref="AE80" si="78">IF(OR(AD80="",AD80="-"),"-",AD80*$M80*SQRT(3)/1000)</f>
        <v>-</v>
      </c>
      <c r="AF80" s="9">
        <v>1</v>
      </c>
      <c r="AG80" s="9" t="s">
        <v>265</v>
      </c>
      <c r="AH80" s="9">
        <v>59.8</v>
      </c>
      <c r="AI80" s="9">
        <v>0.8</v>
      </c>
      <c r="AJ80" s="9">
        <v>1</v>
      </c>
      <c r="AK80" s="9">
        <v>15</v>
      </c>
      <c r="AL80" s="9">
        <v>1</v>
      </c>
      <c r="AM80" s="9">
        <v>1.2</v>
      </c>
      <c r="AN80" s="9">
        <v>1</v>
      </c>
      <c r="AO80" s="9">
        <v>2</v>
      </c>
      <c r="AP80" s="9">
        <v>0.3</v>
      </c>
      <c r="AQ80" s="9">
        <v>0.85</v>
      </c>
      <c r="AR80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1135.5999999999999</v>
      </c>
      <c r="AS80" s="9">
        <f t="shared" ref="AS80" si="79">IF(OR(AR80="",AR80="-"),"-",AR80*$M80*SQRT(3)/1000)</f>
        <v>21.636085867827383</v>
      </c>
      <c r="AT80" s="9">
        <f>IF(RIGHT(BPD[[#This Row],[Device type]],7)="Winding","-",BPD[[#This Row],[Cont Winter MVA]])</f>
        <v>25.454218668032219</v>
      </c>
      <c r="AU80" s="9">
        <f>IF(RIGHT(BPD[[#This Row],[Device type]],7)="Winding","-",BPD[[#This Row],[Cont Shoulder MVA]])</f>
        <v>25.454218668032219</v>
      </c>
      <c r="AV80" s="9">
        <f>IF(RIGHT(BPD[[#This Row],[Device type]],7)="Winding","-",BPD[[#This Row],[Cont Summer MVA]])</f>
        <v>25.454218668032219</v>
      </c>
      <c r="AW80" s="9" t="str">
        <f>BPD[[#This Row],[24 Hr Winter MVA]]</f>
        <v>-</v>
      </c>
      <c r="AX80" s="9" t="str">
        <f>BPD[[#This Row],[24 Hr Summer MVA]]</f>
        <v>-</v>
      </c>
      <c r="AY80" s="9" t="str">
        <f>BPD[[#This Row],[Forwards MVA]]</f>
        <v>-</v>
      </c>
      <c r="AZ80" s="9" t="str">
        <f>BPD[[#This Row],[Relay MVA]]</f>
        <v>-</v>
      </c>
      <c r="BA80" s="9" t="str">
        <f>BPD[[#This Row],[CT MVA]]</f>
        <v>-</v>
      </c>
      <c r="BB80" s="9">
        <f>BPD[[#This Row],[Derating MVA]]</f>
        <v>21.636085867827383</v>
      </c>
      <c r="BC80" s="9" t="str">
        <f>BPD[[#This Row],[Station/Feeder]]&amp;BPD[[#This Row],[Lowest MVA]]</f>
        <v>CNR21.6360858678274</v>
      </c>
      <c r="BD80" s="9" t="str">
        <f>CONCATENATE(BPD[[#This Row],[Supply Level]],BPD[[#This Row],[Station/Feeder]],BPD[[#This Row],[Voltage]],BPD[[#This Row],[Lowest A-No PTX]])</f>
        <v>SecondarySubstationCNR111135.6</v>
      </c>
      <c r="BE80" s="9" t="str">
        <f>CONCATENATE(BPD[[#This Row],[Supply Level]],BPD[[#This Row],[Station/Feeder]],BPD[[#This Row],[Voltage]],BPD[[#This Row],[Lowest A-PTX]])</f>
        <v>SecondarySubstationCNR111135.6</v>
      </c>
      <c r="BF80" s="9">
        <f>IF(MIN(BPD[[#This Row],[Summ Cont Winter A]:[Cable Derating]])=0,"",MIN(BPD[[#This Row],[Summ Cont Winter A]:[Cable Derating]]))</f>
        <v>21.636085867827383</v>
      </c>
      <c r="BG80" s="9">
        <f>IFERROR(BPD[[#This Row],[Lowest MVA]]*1000/(BPD[[#This Row],[Voltage]]*SQRT(3)),"")</f>
        <v>1135.5999999999999</v>
      </c>
      <c r="BH80" s="9">
        <f t="shared" si="66"/>
        <v>1135.5999999999999</v>
      </c>
      <c r="BI80" s="9" t="str">
        <f>BPD[[#This Row],[From]]</f>
        <v>CNR642</v>
      </c>
      <c r="BJ80" s="9" t="str">
        <f>BPD[[#This Row],[To]]</f>
        <v>11 kV Bus</v>
      </c>
      <c r="BK80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Cable-2x3x1c 630mm2 Al XLPE HDPE</v>
      </c>
      <c r="BL80" s="9">
        <f>BPD[[#This Row],[Voltage]]</f>
        <v>11</v>
      </c>
    </row>
    <row r="81" spans="1:64" s="337" customFormat="1" ht="15.75" thickBot="1" x14ac:dyDescent="0.3">
      <c r="A81" s="191" t="str">
        <f>CONCATENATE(BPD[[#This Row],[Supply Level]],BPD[[#This Row],[Station/Feeder]],BPD[[#This Row],[Voltage]])</f>
        <v>DistributionFeederCB236_STU Incomer11.22</v>
      </c>
      <c r="B81" s="191" t="str">
        <f>CONCATENATE(BPD[[#This Row],[Supply Level]],BPD[[#This Row],[Station/Feeder]],BPD[[#This Row],[Equipment ID]],BPD[[#This Row],[Voltage]],BPD[[#This Row],[Device type]])</f>
        <v>DistributionFeederCB236_STU IncomerCNR-CB3611.22Protection</v>
      </c>
      <c r="C81" s="191" t="s">
        <v>1276</v>
      </c>
      <c r="D81" s="192" t="s">
        <v>1382</v>
      </c>
      <c r="E81" s="191" t="s">
        <v>747</v>
      </c>
      <c r="F81" s="191" t="s">
        <v>243</v>
      </c>
      <c r="G81" s="200">
        <v>7</v>
      </c>
      <c r="H81" s="193" t="s">
        <v>2349</v>
      </c>
      <c r="I81" s="191" t="s">
        <v>748</v>
      </c>
      <c r="J81" s="193" t="s">
        <v>15</v>
      </c>
      <c r="K81" s="193" t="s">
        <v>791</v>
      </c>
      <c r="L81" s="193" t="s">
        <v>1423</v>
      </c>
      <c r="M81" s="175">
        <f t="shared" ref="M81" si="80">11*1.02</f>
        <v>11.22</v>
      </c>
      <c r="N81" s="155">
        <v>1250</v>
      </c>
      <c r="O81" s="155">
        <f t="shared" ref="O81:O93" si="81">IF(OR(N81="",N81="-"),"-",N81*$M81*SQRT(3)/1000)</f>
        <v>24.292012576153503</v>
      </c>
      <c r="P81" s="155">
        <v>1250</v>
      </c>
      <c r="Q81" s="155">
        <f t="shared" ref="Q81:Q93" si="82">IF(OR(P81="",P81="-"),"-",P81*$M81*SQRT(3)/1000)</f>
        <v>24.292012576153503</v>
      </c>
      <c r="R81" s="155">
        <v>1250</v>
      </c>
      <c r="S81" s="155">
        <f t="shared" si="55"/>
        <v>24.292012576153503</v>
      </c>
      <c r="T81" s="155" t="s">
        <v>0</v>
      </c>
      <c r="U81" s="155" t="str">
        <f t="shared" ref="U81:U93" si="83">IF(OR(T81="",T81="-"),"-",T81*$M81*SQRT(3)/1000)</f>
        <v>-</v>
      </c>
      <c r="V81" s="155" t="s">
        <v>0</v>
      </c>
      <c r="W81" s="155" t="str">
        <f t="shared" ref="W81:W93" si="84">IF(OR(V81="",V81="-"),"-",V81*$M81*SQRT(3)/1000)</f>
        <v>-</v>
      </c>
      <c r="X81" s="155">
        <f>VLOOKUP(BPD[[#This Row],[Equipment ID]],AEL_Protection_Data[#All],12,0)</f>
        <v>144</v>
      </c>
      <c r="Y81" s="155">
        <f t="shared" ref="Y81:Y93" si="85">IF(OR(X81="",X81="-"),"-",X81*$M81*SQRT(3)/1000)</f>
        <v>2.7984398487728837</v>
      </c>
      <c r="Z81" s="155" t="s">
        <v>0</v>
      </c>
      <c r="AA81" s="155" t="str">
        <f t="shared" si="67"/>
        <v>-</v>
      </c>
      <c r="AB81" s="155" t="s">
        <v>0</v>
      </c>
      <c r="AC81" s="155" t="str">
        <f t="shared" si="68"/>
        <v>-</v>
      </c>
      <c r="AD81" s="155" t="s">
        <v>0</v>
      </c>
      <c r="AE81" s="155" t="str">
        <f t="shared" si="69"/>
        <v>-</v>
      </c>
      <c r="AF81" s="155" t="s">
        <v>0</v>
      </c>
      <c r="AG81" s="155" t="s">
        <v>0</v>
      </c>
      <c r="AH81" s="155" t="s">
        <v>0</v>
      </c>
      <c r="AI81" s="155" t="s">
        <v>0</v>
      </c>
      <c r="AJ81" s="155" t="s">
        <v>0</v>
      </c>
      <c r="AK81" s="155" t="s">
        <v>0</v>
      </c>
      <c r="AL81" s="155" t="s">
        <v>0</v>
      </c>
      <c r="AM81" s="155" t="s">
        <v>0</v>
      </c>
      <c r="AN81" s="155" t="s">
        <v>0</v>
      </c>
      <c r="AO81" s="155" t="s">
        <v>0</v>
      </c>
      <c r="AP81" s="155" t="s">
        <v>0</v>
      </c>
      <c r="AQ81" s="155" t="s">
        <v>0</v>
      </c>
      <c r="AR81" s="155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81" s="155" t="str">
        <f t="shared" ref="AS81:AS93" si="86">IF(OR(AR81="",AR81="-"),"-",AR81*$M81*SQRT(3)/1000)</f>
        <v>-</v>
      </c>
      <c r="AT81" s="155">
        <f>IF(RIGHT(BPD[[#This Row],[Device type]],7)="Winding","-",BPD[[#This Row],[Cont Winter MVA]])</f>
        <v>24.292012576153503</v>
      </c>
      <c r="AU81" s="155">
        <f>IF(RIGHT(BPD[[#This Row],[Device type]],7)="Winding","-",BPD[[#This Row],[Cont Shoulder MVA]])</f>
        <v>24.292012576153503</v>
      </c>
      <c r="AV81" s="155">
        <f>IF(RIGHT(BPD[[#This Row],[Device type]],7)="Winding","-",BPD[[#This Row],[Cont Summer MVA]])</f>
        <v>24.292012576153503</v>
      </c>
      <c r="AW81" s="155" t="str">
        <f>BPD[[#This Row],[24 Hr Winter MVA]]</f>
        <v>-</v>
      </c>
      <c r="AX81" s="155" t="str">
        <f>BPD[[#This Row],[24 Hr Summer MVA]]</f>
        <v>-</v>
      </c>
      <c r="AY81" s="155">
        <f>BPD[[#This Row],[Forwards MVA]]</f>
        <v>2.7984398487728837</v>
      </c>
      <c r="AZ81" s="155" t="str">
        <f>BPD[[#This Row],[Relay MVA]]</f>
        <v>-</v>
      </c>
      <c r="BA81" s="155" t="str">
        <f>BPD[[#This Row],[CT MVA]]</f>
        <v>-</v>
      </c>
      <c r="BB81" s="155" t="str">
        <f>BPD[[#This Row],[Derating MVA]]</f>
        <v>-</v>
      </c>
      <c r="BC81" s="155" t="str">
        <f>BPD[[#This Row],[Station/Feeder]]&amp;BPD[[#This Row],[Lowest MVA]]</f>
        <v>CB236_STU Incomer2.79843984877288</v>
      </c>
      <c r="BD81" s="155" t="str">
        <f>CONCATENATE(BPD[[#This Row],[Supply Level]],BPD[[#This Row],[Station/Feeder]],BPD[[#This Row],[Voltage]],BPD[[#This Row],[Lowest A-No PTX]])</f>
        <v>DistributionFeederCB236_STU Incomer11.22144</v>
      </c>
      <c r="BE81" s="155" t="str">
        <f>CONCATENATE(BPD[[#This Row],[Supply Level]],BPD[[#This Row],[Station/Feeder]],BPD[[#This Row],[Voltage]],BPD[[#This Row],[Lowest A-PTX]])</f>
        <v>DistributionFeederCB236_STU Incomer11.22144</v>
      </c>
      <c r="BF81" s="155">
        <f>IF(MIN(BPD[[#This Row],[Summ Cont Winter A]:[Cable Derating]])=0,"",MIN(BPD[[#This Row],[Summ Cont Winter A]:[Cable Derating]]))</f>
        <v>2.7984398487728837</v>
      </c>
      <c r="BG81" s="155">
        <f>IFERROR(BPD[[#This Row],[Lowest MVA]]*1000/(BPD[[#This Row],[Voltage]]*SQRT(3)),"")</f>
        <v>144</v>
      </c>
      <c r="BH81" s="155">
        <f t="shared" si="66"/>
        <v>144</v>
      </c>
      <c r="BI81" s="155" t="str">
        <f>BPD[[#This Row],[From]]</f>
        <v>STU (limited)</v>
      </c>
      <c r="BJ81" s="155" t="str">
        <f>BPD[[#This Row],[To]]</f>
        <v>11 kV Bus</v>
      </c>
      <c r="BK81" s="155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Breaker-CNR-CB36-Protection</v>
      </c>
      <c r="BL81" s="155">
        <f>BPD[[#This Row],[Voltage]]</f>
        <v>11.22</v>
      </c>
    </row>
    <row r="82" spans="1:64" s="337" customFormat="1" x14ac:dyDescent="0.25">
      <c r="A82" s="149" t="str">
        <f>CONCATENATE(BPD[[#This Row],[Supply Level]],BPD[[#This Row],[Station/Feeder]],BPD[[#This Row],[Voltage]])</f>
        <v>DistributionFeederCB8_Drier 211</v>
      </c>
      <c r="B82" s="149" t="str">
        <f>CONCATENATE(BPD[[#This Row],[Supply Level]],BPD[[#This Row],[Station/Feeder]],BPD[[#This Row],[Equipment ID]],BPD[[#This Row],[Voltage]],BPD[[#This Row],[Device type]])</f>
        <v>DistributionFeederCB8_Drier 2CNR-CB811Protection</v>
      </c>
      <c r="C82" s="149" t="s">
        <v>1276</v>
      </c>
      <c r="D82" s="118" t="s">
        <v>167</v>
      </c>
      <c r="E82" s="168" t="s">
        <v>243</v>
      </c>
      <c r="F82" s="168" t="s">
        <v>749</v>
      </c>
      <c r="G82" s="172">
        <v>1</v>
      </c>
      <c r="H82" s="49" t="s">
        <v>2350</v>
      </c>
      <c r="I82" s="168" t="s">
        <v>749</v>
      </c>
      <c r="J82" s="49" t="s">
        <v>15</v>
      </c>
      <c r="K82" s="49" t="s">
        <v>791</v>
      </c>
      <c r="L82" s="49" t="s">
        <v>1423</v>
      </c>
      <c r="M82" s="32">
        <v>11</v>
      </c>
      <c r="N82" s="29">
        <v>800</v>
      </c>
      <c r="O82" s="29">
        <f t="shared" si="81"/>
        <v>15.242047106606121</v>
      </c>
      <c r="P82" s="29">
        <v>800</v>
      </c>
      <c r="Q82" s="29">
        <f t="shared" si="82"/>
        <v>15.242047106606121</v>
      </c>
      <c r="R82" s="29">
        <v>800</v>
      </c>
      <c r="S82" s="29">
        <f t="shared" si="55"/>
        <v>15.242047106606121</v>
      </c>
      <c r="T82" s="29" t="s">
        <v>0</v>
      </c>
      <c r="U82" s="29" t="str">
        <f t="shared" si="83"/>
        <v>-</v>
      </c>
      <c r="V82" s="29" t="s">
        <v>0</v>
      </c>
      <c r="W82" s="29" t="str">
        <f t="shared" si="84"/>
        <v>-</v>
      </c>
      <c r="X82" s="29">
        <f>VLOOKUP(BPD[[#This Row],[Equipment ID]],AEL_Protection_Data[#All],12,0)</f>
        <v>402</v>
      </c>
      <c r="Y82" s="29">
        <f t="shared" si="85"/>
        <v>7.659128671069575</v>
      </c>
      <c r="Z82" s="29" t="s">
        <v>0</v>
      </c>
      <c r="AA82" s="29" t="str">
        <f t="shared" si="67"/>
        <v>-</v>
      </c>
      <c r="AB82" s="29" t="s">
        <v>0</v>
      </c>
      <c r="AC82" s="29" t="str">
        <f t="shared" si="68"/>
        <v>-</v>
      </c>
      <c r="AD82" s="29" t="s">
        <v>0</v>
      </c>
      <c r="AE82" s="29" t="str">
        <f t="shared" si="69"/>
        <v>-</v>
      </c>
      <c r="AF82" s="29" t="s">
        <v>0</v>
      </c>
      <c r="AG82" s="29" t="s">
        <v>0</v>
      </c>
      <c r="AH82" s="29" t="s">
        <v>0</v>
      </c>
      <c r="AI82" s="29" t="s">
        <v>0</v>
      </c>
      <c r="AJ82" s="29" t="s">
        <v>0</v>
      </c>
      <c r="AK82" s="29" t="s">
        <v>0</v>
      </c>
      <c r="AL82" s="29" t="s">
        <v>0</v>
      </c>
      <c r="AM82" s="29" t="s">
        <v>0</v>
      </c>
      <c r="AN82" s="29" t="s">
        <v>0</v>
      </c>
      <c r="AO82" s="29" t="s">
        <v>0</v>
      </c>
      <c r="AP82" s="29" t="s">
        <v>0</v>
      </c>
      <c r="AQ82" s="29" t="s">
        <v>0</v>
      </c>
      <c r="AR82" s="2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82" s="29" t="str">
        <f t="shared" si="86"/>
        <v>-</v>
      </c>
      <c r="AT82" s="29">
        <f>IF(RIGHT(BPD[[#This Row],[Device type]],7)="Winding","-",BPD[[#This Row],[Cont Winter MVA]])</f>
        <v>15.242047106606121</v>
      </c>
      <c r="AU82" s="29">
        <f>IF(RIGHT(BPD[[#This Row],[Device type]],7)="Winding","-",BPD[[#This Row],[Cont Shoulder MVA]])</f>
        <v>15.242047106606121</v>
      </c>
      <c r="AV82" s="29">
        <f>IF(RIGHT(BPD[[#This Row],[Device type]],7)="Winding","-",BPD[[#This Row],[Cont Summer MVA]])</f>
        <v>15.242047106606121</v>
      </c>
      <c r="AW82" s="29" t="str">
        <f>BPD[[#This Row],[24 Hr Winter MVA]]</f>
        <v>-</v>
      </c>
      <c r="AX82" s="29" t="str">
        <f>BPD[[#This Row],[24 Hr Summer MVA]]</f>
        <v>-</v>
      </c>
      <c r="AY82" s="29">
        <f>BPD[[#This Row],[Forwards MVA]]</f>
        <v>7.659128671069575</v>
      </c>
      <c r="AZ82" s="29" t="str">
        <f>BPD[[#This Row],[Relay MVA]]</f>
        <v>-</v>
      </c>
      <c r="BA82" s="29" t="str">
        <f>BPD[[#This Row],[CT MVA]]</f>
        <v>-</v>
      </c>
      <c r="BB82" s="29" t="str">
        <f>BPD[[#This Row],[Derating MVA]]</f>
        <v>-</v>
      </c>
      <c r="BC82" s="29" t="str">
        <f>BPD[[#This Row],[Station/Feeder]]&amp;BPD[[#This Row],[Lowest MVA]]</f>
        <v>CB8_Drier 27.65912867106957</v>
      </c>
      <c r="BD82" s="29" t="str">
        <f>CONCATENATE(BPD[[#This Row],[Supply Level]],BPD[[#This Row],[Station/Feeder]],BPD[[#This Row],[Voltage]],BPD[[#This Row],[Lowest A-No PTX]])</f>
        <v>DistributionFeederCB8_Drier 211402</v>
      </c>
      <c r="BE82" s="29" t="str">
        <f>CONCATENATE(BPD[[#This Row],[Supply Level]],BPD[[#This Row],[Station/Feeder]],BPD[[#This Row],[Voltage]],BPD[[#This Row],[Lowest A-PTX]])</f>
        <v>DistributionFeederCB8_Drier 211402</v>
      </c>
      <c r="BF82" s="29">
        <f>IF(MIN(BPD[[#This Row],[Summ Cont Winter A]:[Cable Derating]])=0,"",MIN(BPD[[#This Row],[Summ Cont Winter A]:[Cable Derating]]))</f>
        <v>7.659128671069575</v>
      </c>
      <c r="BG82" s="29">
        <f>IFERROR(BPD[[#This Row],[Lowest MVA]]*1000/(BPD[[#This Row],[Voltage]]*SQRT(3)),"")</f>
        <v>402</v>
      </c>
      <c r="BH82" s="29">
        <f t="shared" si="66"/>
        <v>402</v>
      </c>
      <c r="BI82" s="29" t="str">
        <f>BPD[[#This Row],[From]]</f>
        <v>11 kV Bus</v>
      </c>
      <c r="BJ82" s="29" t="str">
        <f>BPD[[#This Row],[To]]</f>
        <v>CNR-CB8</v>
      </c>
      <c r="BK82" s="29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Breaker-CNR-CB8-Protection</v>
      </c>
      <c r="BL82" s="29">
        <f>BPD[[#This Row],[Voltage]]</f>
        <v>11</v>
      </c>
    </row>
    <row r="83" spans="1:64" s="337" customFormat="1" x14ac:dyDescent="0.25">
      <c r="A83" s="14" t="str">
        <f>CONCATENATE(BPD[[#This Row],[Supply Level]],BPD[[#This Row],[Station/Feeder]],BPD[[#This Row],[Voltage]])</f>
        <v>DistributionFeederCB8_Drier 211</v>
      </c>
      <c r="B83" s="14" t="str">
        <f>CONCATENATE(BPD[[#This Row],[Supply Level]],BPD[[#This Row],[Station/Feeder]],BPD[[#This Row],[Equipment ID]],BPD[[#This Row],[Voltage]],BPD[[#This Row],[Device type]])</f>
        <v>DistributionFeederCB8_Drier 23-1c 400mm² AL XLPE CWS MDPE11-</v>
      </c>
      <c r="C83" s="14" t="s">
        <v>1276</v>
      </c>
      <c r="D83" s="11" t="s">
        <v>167</v>
      </c>
      <c r="E83" s="6" t="s">
        <v>749</v>
      </c>
      <c r="F83" s="6" t="s">
        <v>750</v>
      </c>
      <c r="G83" s="27">
        <v>2</v>
      </c>
      <c r="H83" s="7" t="s">
        <v>751</v>
      </c>
      <c r="I83" s="6" t="s">
        <v>2498</v>
      </c>
      <c r="J83" s="7" t="s">
        <v>250</v>
      </c>
      <c r="K83" s="7" t="s">
        <v>0</v>
      </c>
      <c r="L83" s="7" t="s">
        <v>0</v>
      </c>
      <c r="M83" s="43">
        <v>11</v>
      </c>
      <c r="N83" s="9">
        <v>537</v>
      </c>
      <c r="O83" s="9">
        <f t="shared" si="81"/>
        <v>10.231224120309358</v>
      </c>
      <c r="P83" s="9">
        <v>537</v>
      </c>
      <c r="Q83" s="9">
        <f t="shared" si="82"/>
        <v>10.231224120309358</v>
      </c>
      <c r="R83" s="9">
        <v>537</v>
      </c>
      <c r="S83" s="9">
        <f t="shared" si="55"/>
        <v>10.231224120309358</v>
      </c>
      <c r="T83" s="9" t="s">
        <v>0</v>
      </c>
      <c r="U83" s="9" t="str">
        <f t="shared" si="83"/>
        <v>-</v>
      </c>
      <c r="V83" s="9" t="s">
        <v>0</v>
      </c>
      <c r="W83" s="9" t="str">
        <f t="shared" si="84"/>
        <v>-</v>
      </c>
      <c r="X83" s="9" t="s">
        <v>0</v>
      </c>
      <c r="Y83" s="9" t="str">
        <f t="shared" si="85"/>
        <v>-</v>
      </c>
      <c r="Z83" s="9" t="s">
        <v>0</v>
      </c>
      <c r="AA83" s="9" t="str">
        <f t="shared" si="67"/>
        <v>-</v>
      </c>
      <c r="AB83" s="9" t="s">
        <v>0</v>
      </c>
      <c r="AC83" s="9" t="str">
        <f t="shared" si="68"/>
        <v>-</v>
      </c>
      <c r="AD83" s="9" t="s">
        <v>0</v>
      </c>
      <c r="AE83" s="9" t="str">
        <f t="shared" si="69"/>
        <v>-</v>
      </c>
      <c r="AF83" s="9" t="s">
        <v>713</v>
      </c>
      <c r="AG83" s="9" t="s">
        <v>265</v>
      </c>
      <c r="AH83" s="9">
        <v>11.9</v>
      </c>
      <c r="AI83" s="9">
        <v>0.9</v>
      </c>
      <c r="AJ83" s="9">
        <v>0.93</v>
      </c>
      <c r="AK83" s="9">
        <v>15</v>
      </c>
      <c r="AL83" s="9">
        <v>1</v>
      </c>
      <c r="AM83" s="9">
        <v>1.2</v>
      </c>
      <c r="AN83" s="9">
        <v>1</v>
      </c>
      <c r="AO83" s="9">
        <v>2</v>
      </c>
      <c r="AP83" s="9">
        <v>0.6</v>
      </c>
      <c r="AQ83" s="9">
        <v>0.9</v>
      </c>
      <c r="AR83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449.46900000000005</v>
      </c>
      <c r="AS83" s="9">
        <f t="shared" si="86"/>
        <v>8.563534588698932</v>
      </c>
      <c r="AT83" s="9">
        <f>IF(RIGHT(BPD[[#This Row],[Device type]],7)="Winding","-",BPD[[#This Row],[Cont Winter MVA]])</f>
        <v>10.231224120309358</v>
      </c>
      <c r="AU83" s="9">
        <f>IF(RIGHT(BPD[[#This Row],[Device type]],7)="Winding","-",BPD[[#This Row],[Cont Shoulder MVA]])</f>
        <v>10.231224120309358</v>
      </c>
      <c r="AV83" s="9">
        <f>IF(RIGHT(BPD[[#This Row],[Device type]],7)="Winding","-",BPD[[#This Row],[Cont Summer MVA]])</f>
        <v>10.231224120309358</v>
      </c>
      <c r="AW83" s="9" t="str">
        <f>BPD[[#This Row],[24 Hr Winter MVA]]</f>
        <v>-</v>
      </c>
      <c r="AX83" s="9" t="str">
        <f>BPD[[#This Row],[24 Hr Summer MVA]]</f>
        <v>-</v>
      </c>
      <c r="AY83" s="9" t="str">
        <f>BPD[[#This Row],[Forwards MVA]]</f>
        <v>-</v>
      </c>
      <c r="AZ83" s="9" t="str">
        <f>BPD[[#This Row],[Relay MVA]]</f>
        <v>-</v>
      </c>
      <c r="BA83" s="9" t="str">
        <f>BPD[[#This Row],[CT MVA]]</f>
        <v>-</v>
      </c>
      <c r="BB83" s="9">
        <f>BPD[[#This Row],[Derating MVA]]</f>
        <v>8.563534588698932</v>
      </c>
      <c r="BC83" s="9" t="str">
        <f>BPD[[#This Row],[Station/Feeder]]&amp;BPD[[#This Row],[Lowest MVA]]</f>
        <v>CB8_Drier 28.56353458869893</v>
      </c>
      <c r="BD83" s="9" t="str">
        <f>CONCATENATE(BPD[[#This Row],[Supply Level]],BPD[[#This Row],[Station/Feeder]],BPD[[#This Row],[Voltage]],BPD[[#This Row],[Lowest A-No PTX]])</f>
        <v>DistributionFeederCB8_Drier 211449.469</v>
      </c>
      <c r="BE83" s="9" t="str">
        <f>CONCATENATE(BPD[[#This Row],[Supply Level]],BPD[[#This Row],[Station/Feeder]],BPD[[#This Row],[Voltage]],BPD[[#This Row],[Lowest A-PTX]])</f>
        <v>DistributionFeederCB8_Drier 211449.469</v>
      </c>
      <c r="BF83" s="9">
        <f>IF(MIN(BPD[[#This Row],[Summ Cont Winter A]:[Cable Derating]])=0,"",MIN(BPD[[#This Row],[Summ Cont Winter A]:[Cable Derating]]))</f>
        <v>8.563534588698932</v>
      </c>
      <c r="BG83" s="9">
        <f>IFERROR(BPD[[#This Row],[Lowest MVA]]*1000/(BPD[[#This Row],[Voltage]]*SQRT(3)),"")</f>
        <v>449.46899999999999</v>
      </c>
      <c r="BH83" s="9">
        <f t="shared" si="66"/>
        <v>449.46900000000005</v>
      </c>
      <c r="BI83" s="9" t="str">
        <f>BPD[[#This Row],[From]]</f>
        <v>CNR-CB8</v>
      </c>
      <c r="BJ83" s="9" t="str">
        <f>BPD[[#This Row],[To]]</f>
        <v>Joint</v>
      </c>
      <c r="BK83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Cable-3-1c 400mm² AL XLPE CWS MDPE</v>
      </c>
      <c r="BL83" s="9">
        <f>BPD[[#This Row],[Voltage]]</f>
        <v>11</v>
      </c>
    </row>
    <row r="84" spans="1:64" s="337" customFormat="1" x14ac:dyDescent="0.25">
      <c r="A84" s="14" t="str">
        <f>CONCATENATE(BPD[[#This Row],[Supply Level]],BPD[[#This Row],[Station/Feeder]],BPD[[#This Row],[Voltage]])</f>
        <v>DistributionFeederCB8_Drier 211</v>
      </c>
      <c r="B84" s="14" t="str">
        <f>CONCATENATE(BPD[[#This Row],[Supply Level]],BPD[[#This Row],[Station/Feeder]],BPD[[#This Row],[Equipment ID]],BPD[[#This Row],[Voltage]],BPD[[#This Row],[Device type]])</f>
        <v>DistributionFeederCB8_Drier 23-1c 400mm² AL XLPE CWS MDPE11-</v>
      </c>
      <c r="C84" s="14" t="s">
        <v>1276</v>
      </c>
      <c r="D84" s="11" t="s">
        <v>167</v>
      </c>
      <c r="E84" s="6" t="s">
        <v>750</v>
      </c>
      <c r="F84" s="6" t="s">
        <v>752</v>
      </c>
      <c r="G84" s="27">
        <v>3</v>
      </c>
      <c r="H84" s="7" t="s">
        <v>751</v>
      </c>
      <c r="I84" s="6" t="s">
        <v>2498</v>
      </c>
      <c r="J84" s="7" t="s">
        <v>250</v>
      </c>
      <c r="K84" s="7" t="s">
        <v>0</v>
      </c>
      <c r="L84" s="7" t="s">
        <v>0</v>
      </c>
      <c r="M84" s="43">
        <v>11</v>
      </c>
      <c r="N84" s="9">
        <v>537</v>
      </c>
      <c r="O84" s="9">
        <f t="shared" si="81"/>
        <v>10.231224120309358</v>
      </c>
      <c r="P84" s="9">
        <v>537</v>
      </c>
      <c r="Q84" s="9">
        <f t="shared" si="82"/>
        <v>10.231224120309358</v>
      </c>
      <c r="R84" s="9">
        <v>537</v>
      </c>
      <c r="S84" s="9">
        <f t="shared" si="55"/>
        <v>10.231224120309358</v>
      </c>
      <c r="T84" s="9" t="s">
        <v>0</v>
      </c>
      <c r="U84" s="9" t="str">
        <f t="shared" si="83"/>
        <v>-</v>
      </c>
      <c r="V84" s="9" t="s">
        <v>0</v>
      </c>
      <c r="W84" s="9" t="str">
        <f t="shared" si="84"/>
        <v>-</v>
      </c>
      <c r="X84" s="9" t="s">
        <v>0</v>
      </c>
      <c r="Y84" s="9" t="str">
        <f t="shared" si="85"/>
        <v>-</v>
      </c>
      <c r="Z84" s="9" t="s">
        <v>0</v>
      </c>
      <c r="AA84" s="9" t="str">
        <f t="shared" si="67"/>
        <v>-</v>
      </c>
      <c r="AB84" s="9" t="s">
        <v>0</v>
      </c>
      <c r="AC84" s="9" t="str">
        <f t="shared" si="68"/>
        <v>-</v>
      </c>
      <c r="AD84" s="9" t="s">
        <v>0</v>
      </c>
      <c r="AE84" s="9" t="str">
        <f t="shared" si="69"/>
        <v>-</v>
      </c>
      <c r="AF84" s="9" t="s">
        <v>713</v>
      </c>
      <c r="AG84" s="9" t="s">
        <v>265</v>
      </c>
      <c r="AH84" s="9">
        <v>440.8</v>
      </c>
      <c r="AI84" s="9">
        <v>0.9</v>
      </c>
      <c r="AJ84" s="9">
        <v>0.98</v>
      </c>
      <c r="AK84" s="9">
        <v>15</v>
      </c>
      <c r="AL84" s="9">
        <v>1</v>
      </c>
      <c r="AM84" s="9">
        <v>1.2</v>
      </c>
      <c r="AN84" s="9">
        <v>1</v>
      </c>
      <c r="AO84" s="9">
        <v>4</v>
      </c>
      <c r="AP84" s="9">
        <v>0.3</v>
      </c>
      <c r="AQ84" s="9">
        <v>0.72</v>
      </c>
      <c r="AR84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378.90719999999999</v>
      </c>
      <c r="AS84" s="9">
        <f t="shared" si="86"/>
        <v>7.2191517392902824</v>
      </c>
      <c r="AT84" s="9">
        <f>IF(RIGHT(BPD[[#This Row],[Device type]],7)="Winding","-",BPD[[#This Row],[Cont Winter MVA]])</f>
        <v>10.231224120309358</v>
      </c>
      <c r="AU84" s="9">
        <f>IF(RIGHT(BPD[[#This Row],[Device type]],7)="Winding","-",BPD[[#This Row],[Cont Shoulder MVA]])</f>
        <v>10.231224120309358</v>
      </c>
      <c r="AV84" s="9">
        <f>IF(RIGHT(BPD[[#This Row],[Device type]],7)="Winding","-",BPD[[#This Row],[Cont Summer MVA]])</f>
        <v>10.231224120309358</v>
      </c>
      <c r="AW84" s="9" t="str">
        <f>BPD[[#This Row],[24 Hr Winter MVA]]</f>
        <v>-</v>
      </c>
      <c r="AX84" s="9" t="str">
        <f>BPD[[#This Row],[24 Hr Summer MVA]]</f>
        <v>-</v>
      </c>
      <c r="AY84" s="9" t="str">
        <f>BPD[[#This Row],[Forwards MVA]]</f>
        <v>-</v>
      </c>
      <c r="AZ84" s="9" t="str">
        <f>BPD[[#This Row],[Relay MVA]]</f>
        <v>-</v>
      </c>
      <c r="BA84" s="9" t="str">
        <f>BPD[[#This Row],[CT MVA]]</f>
        <v>-</v>
      </c>
      <c r="BB84" s="9">
        <f>BPD[[#This Row],[Derating MVA]]</f>
        <v>7.2191517392902824</v>
      </c>
      <c r="BC84" s="9" t="str">
        <f>BPD[[#This Row],[Station/Feeder]]&amp;BPD[[#This Row],[Lowest MVA]]</f>
        <v>CB8_Drier 27.21915173929028</v>
      </c>
      <c r="BD84" s="9" t="str">
        <f>CONCATENATE(BPD[[#This Row],[Supply Level]],BPD[[#This Row],[Station/Feeder]],BPD[[#This Row],[Voltage]],BPD[[#This Row],[Lowest A-No PTX]])</f>
        <v>DistributionFeederCB8_Drier 211378.9072</v>
      </c>
      <c r="BE84" s="9" t="str">
        <f>CONCATENATE(BPD[[#This Row],[Supply Level]],BPD[[#This Row],[Station/Feeder]],BPD[[#This Row],[Voltage]],BPD[[#This Row],[Lowest A-PTX]])</f>
        <v>DistributionFeederCB8_Drier 211378.9072</v>
      </c>
      <c r="BF84" s="9">
        <f>IF(MIN(BPD[[#This Row],[Summ Cont Winter A]:[Cable Derating]])=0,"",MIN(BPD[[#This Row],[Summ Cont Winter A]:[Cable Derating]]))</f>
        <v>7.2191517392902824</v>
      </c>
      <c r="BG84" s="9">
        <f>IFERROR(BPD[[#This Row],[Lowest MVA]]*1000/(BPD[[#This Row],[Voltage]]*SQRT(3)),"")</f>
        <v>378.90719999999999</v>
      </c>
      <c r="BH84" s="9">
        <f t="shared" si="66"/>
        <v>378.90719999999999</v>
      </c>
      <c r="BI84" s="9" t="str">
        <f>BPD[[#This Row],[From]]</f>
        <v>Joint</v>
      </c>
      <c r="BJ84" s="9" t="str">
        <f>BPD[[#This Row],[To]]</f>
        <v>Y815</v>
      </c>
      <c r="BK84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Cable-3-1c 400mm² AL XLPE CWS MDPE</v>
      </c>
      <c r="BL84" s="9">
        <f>BPD[[#This Row],[Voltage]]</f>
        <v>11</v>
      </c>
    </row>
    <row r="85" spans="1:64" s="337" customFormat="1" x14ac:dyDescent="0.25">
      <c r="A85" s="14" t="str">
        <f>CONCATENATE(BPD[[#This Row],[Supply Level]],BPD[[#This Row],[Station/Feeder]],BPD[[#This Row],[Voltage]])</f>
        <v>DistributionFeederCB9_WetProcess11</v>
      </c>
      <c r="B85" s="14" t="str">
        <f>CONCATENATE(BPD[[#This Row],[Supply Level]],BPD[[#This Row],[Station/Feeder]],BPD[[#This Row],[Equipment ID]],BPD[[#This Row],[Voltage]],BPD[[#This Row],[Device type]])</f>
        <v>DistributionFeederCB9_WetProcessCNR-CB911Protection</v>
      </c>
      <c r="C85" s="14" t="s">
        <v>1276</v>
      </c>
      <c r="D85" s="11" t="s">
        <v>175</v>
      </c>
      <c r="E85" s="6" t="s">
        <v>243</v>
      </c>
      <c r="F85" s="6" t="s">
        <v>753</v>
      </c>
      <c r="G85" s="27">
        <v>1</v>
      </c>
      <c r="H85" s="7" t="s">
        <v>2350</v>
      </c>
      <c r="I85" s="6" t="s">
        <v>753</v>
      </c>
      <c r="J85" s="7" t="s">
        <v>15</v>
      </c>
      <c r="K85" s="7" t="s">
        <v>791</v>
      </c>
      <c r="L85" s="7" t="s">
        <v>1423</v>
      </c>
      <c r="M85" s="43">
        <v>11</v>
      </c>
      <c r="N85" s="9">
        <v>800</v>
      </c>
      <c r="O85" s="9">
        <f t="shared" si="81"/>
        <v>15.242047106606121</v>
      </c>
      <c r="P85" s="9">
        <v>800</v>
      </c>
      <c r="Q85" s="9">
        <f t="shared" si="82"/>
        <v>15.242047106606121</v>
      </c>
      <c r="R85" s="9">
        <v>800</v>
      </c>
      <c r="S85" s="9">
        <f t="shared" si="55"/>
        <v>15.242047106606121</v>
      </c>
      <c r="T85" s="9" t="s">
        <v>0</v>
      </c>
      <c r="U85" s="9" t="str">
        <f t="shared" si="83"/>
        <v>-</v>
      </c>
      <c r="V85" s="9" t="s">
        <v>0</v>
      </c>
      <c r="W85" s="9" t="str">
        <f t="shared" si="84"/>
        <v>-</v>
      </c>
      <c r="X85" s="9">
        <f>VLOOKUP(BPD[[#This Row],[Equipment ID]],AEL_Protection_Data[#All],12,0)</f>
        <v>402</v>
      </c>
      <c r="Y85" s="9">
        <f t="shared" si="85"/>
        <v>7.659128671069575</v>
      </c>
      <c r="Z85" s="9" t="s">
        <v>0</v>
      </c>
      <c r="AA85" s="9" t="str">
        <f t="shared" si="67"/>
        <v>-</v>
      </c>
      <c r="AB85" s="9" t="s">
        <v>0</v>
      </c>
      <c r="AC85" s="9" t="str">
        <f t="shared" si="68"/>
        <v>-</v>
      </c>
      <c r="AD85" s="9" t="s">
        <v>0</v>
      </c>
      <c r="AE85" s="9" t="str">
        <f t="shared" si="69"/>
        <v>-</v>
      </c>
      <c r="AF85" s="9" t="s">
        <v>0</v>
      </c>
      <c r="AG85" s="9" t="s">
        <v>0</v>
      </c>
      <c r="AH85" s="9" t="s">
        <v>0</v>
      </c>
      <c r="AI85" s="9" t="s">
        <v>0</v>
      </c>
      <c r="AJ85" s="9" t="s">
        <v>0</v>
      </c>
      <c r="AK85" s="9" t="s">
        <v>0</v>
      </c>
      <c r="AL85" s="9" t="s">
        <v>0</v>
      </c>
      <c r="AM85" s="9" t="s">
        <v>0</v>
      </c>
      <c r="AN85" s="9" t="s">
        <v>0</v>
      </c>
      <c r="AO85" s="9" t="s">
        <v>0</v>
      </c>
      <c r="AP85" s="9" t="s">
        <v>0</v>
      </c>
      <c r="AQ85" s="9" t="s">
        <v>0</v>
      </c>
      <c r="AR85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85" s="9" t="str">
        <f t="shared" si="86"/>
        <v>-</v>
      </c>
      <c r="AT85" s="9">
        <f>IF(RIGHT(BPD[[#This Row],[Device type]],7)="Winding","-",BPD[[#This Row],[Cont Winter MVA]])</f>
        <v>15.242047106606121</v>
      </c>
      <c r="AU85" s="9">
        <f>IF(RIGHT(BPD[[#This Row],[Device type]],7)="Winding","-",BPD[[#This Row],[Cont Shoulder MVA]])</f>
        <v>15.242047106606121</v>
      </c>
      <c r="AV85" s="9">
        <f>IF(RIGHT(BPD[[#This Row],[Device type]],7)="Winding","-",BPD[[#This Row],[Cont Summer MVA]])</f>
        <v>15.242047106606121</v>
      </c>
      <c r="AW85" s="9" t="str">
        <f>BPD[[#This Row],[24 Hr Winter MVA]]</f>
        <v>-</v>
      </c>
      <c r="AX85" s="9" t="str">
        <f>BPD[[#This Row],[24 Hr Summer MVA]]</f>
        <v>-</v>
      </c>
      <c r="AY85" s="9">
        <f>BPD[[#This Row],[Forwards MVA]]</f>
        <v>7.659128671069575</v>
      </c>
      <c r="AZ85" s="9" t="str">
        <f>BPD[[#This Row],[Relay MVA]]</f>
        <v>-</v>
      </c>
      <c r="BA85" s="9" t="str">
        <f>BPD[[#This Row],[CT MVA]]</f>
        <v>-</v>
      </c>
      <c r="BB85" s="9" t="str">
        <f>BPD[[#This Row],[Derating MVA]]</f>
        <v>-</v>
      </c>
      <c r="BC85" s="9" t="str">
        <f>BPD[[#This Row],[Station/Feeder]]&amp;BPD[[#This Row],[Lowest MVA]]</f>
        <v>CB9_WetProcess7.65912867106957</v>
      </c>
      <c r="BD85" s="9" t="str">
        <f>CONCATENATE(BPD[[#This Row],[Supply Level]],BPD[[#This Row],[Station/Feeder]],BPD[[#This Row],[Voltage]],BPD[[#This Row],[Lowest A-No PTX]])</f>
        <v>DistributionFeederCB9_WetProcess11402</v>
      </c>
      <c r="BE85" s="9" t="str">
        <f>CONCATENATE(BPD[[#This Row],[Supply Level]],BPD[[#This Row],[Station/Feeder]],BPD[[#This Row],[Voltage]],BPD[[#This Row],[Lowest A-PTX]])</f>
        <v>DistributionFeederCB9_WetProcess11402</v>
      </c>
      <c r="BF85" s="9">
        <f>IF(MIN(BPD[[#This Row],[Summ Cont Winter A]:[Cable Derating]])=0,"",MIN(BPD[[#This Row],[Summ Cont Winter A]:[Cable Derating]]))</f>
        <v>7.659128671069575</v>
      </c>
      <c r="BG85" s="9">
        <f>IFERROR(BPD[[#This Row],[Lowest MVA]]*1000/(BPD[[#This Row],[Voltage]]*SQRT(3)),"")</f>
        <v>402</v>
      </c>
      <c r="BH85" s="9">
        <f t="shared" si="66"/>
        <v>402</v>
      </c>
      <c r="BI85" s="9" t="str">
        <f>BPD[[#This Row],[From]]</f>
        <v>11 kV Bus</v>
      </c>
      <c r="BJ85" s="9" t="str">
        <f>BPD[[#This Row],[To]]</f>
        <v>CNR-CB9</v>
      </c>
      <c r="BK85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Breaker-CNR-CB9-Protection</v>
      </c>
      <c r="BL85" s="9">
        <f>BPD[[#This Row],[Voltage]]</f>
        <v>11</v>
      </c>
    </row>
    <row r="86" spans="1:64" s="337" customFormat="1" x14ac:dyDescent="0.25">
      <c r="A86" s="14" t="str">
        <f>CONCATENATE(BPD[[#This Row],[Supply Level]],BPD[[#This Row],[Station/Feeder]],BPD[[#This Row],[Voltage]])</f>
        <v>DistributionFeederCB9_WetProcess11</v>
      </c>
      <c r="B86" s="14" t="str">
        <f>CONCATENATE(BPD[[#This Row],[Supply Level]],BPD[[#This Row],[Station/Feeder]],BPD[[#This Row],[Equipment ID]],BPD[[#This Row],[Voltage]],BPD[[#This Row],[Device type]])</f>
        <v>DistributionFeederCB9_WetProcess3-1c 400mm² AL XLPE CWS MDPE11-</v>
      </c>
      <c r="C86" s="14" t="s">
        <v>1276</v>
      </c>
      <c r="D86" s="11" t="s">
        <v>175</v>
      </c>
      <c r="E86" s="6" t="s">
        <v>753</v>
      </c>
      <c r="F86" s="6" t="s">
        <v>750</v>
      </c>
      <c r="G86" s="27">
        <v>2</v>
      </c>
      <c r="H86" s="7" t="s">
        <v>751</v>
      </c>
      <c r="I86" s="6" t="s">
        <v>2498</v>
      </c>
      <c r="J86" s="7" t="s">
        <v>250</v>
      </c>
      <c r="K86" s="7" t="s">
        <v>0</v>
      </c>
      <c r="L86" s="7" t="s">
        <v>0</v>
      </c>
      <c r="M86" s="43">
        <v>11</v>
      </c>
      <c r="N86" s="9">
        <v>537</v>
      </c>
      <c r="O86" s="9">
        <f t="shared" si="81"/>
        <v>10.231224120309358</v>
      </c>
      <c r="P86" s="9">
        <v>537</v>
      </c>
      <c r="Q86" s="9">
        <f t="shared" si="82"/>
        <v>10.231224120309358</v>
      </c>
      <c r="R86" s="9">
        <v>537</v>
      </c>
      <c r="S86" s="9">
        <f t="shared" si="55"/>
        <v>10.231224120309358</v>
      </c>
      <c r="T86" s="9" t="s">
        <v>0</v>
      </c>
      <c r="U86" s="9" t="str">
        <f t="shared" si="83"/>
        <v>-</v>
      </c>
      <c r="V86" s="9" t="s">
        <v>0</v>
      </c>
      <c r="W86" s="9" t="str">
        <f t="shared" si="84"/>
        <v>-</v>
      </c>
      <c r="X86" s="9" t="s">
        <v>0</v>
      </c>
      <c r="Y86" s="9" t="str">
        <f t="shared" si="85"/>
        <v>-</v>
      </c>
      <c r="Z86" s="9" t="s">
        <v>0</v>
      </c>
      <c r="AA86" s="9" t="str">
        <f t="shared" si="67"/>
        <v>-</v>
      </c>
      <c r="AB86" s="9" t="s">
        <v>0</v>
      </c>
      <c r="AC86" s="9" t="str">
        <f t="shared" si="68"/>
        <v>-</v>
      </c>
      <c r="AD86" s="9" t="s">
        <v>0</v>
      </c>
      <c r="AE86" s="9" t="str">
        <f t="shared" si="69"/>
        <v>-</v>
      </c>
      <c r="AF86" s="9" t="s">
        <v>713</v>
      </c>
      <c r="AG86" s="9" t="s">
        <v>265</v>
      </c>
      <c r="AH86" s="9">
        <v>13.1</v>
      </c>
      <c r="AI86" s="9">
        <v>0.9</v>
      </c>
      <c r="AJ86" s="9">
        <v>0.98</v>
      </c>
      <c r="AK86" s="9">
        <v>15</v>
      </c>
      <c r="AL86" s="9">
        <v>1</v>
      </c>
      <c r="AM86" s="9">
        <v>1.2</v>
      </c>
      <c r="AN86" s="9">
        <v>1</v>
      </c>
      <c r="AO86" s="9">
        <v>2</v>
      </c>
      <c r="AP86" s="9">
        <v>0.6</v>
      </c>
      <c r="AQ86" s="9">
        <v>0.9</v>
      </c>
      <c r="AR86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473.63400000000001</v>
      </c>
      <c r="AS86" s="9">
        <f t="shared" si="86"/>
        <v>9.023939674112853</v>
      </c>
      <c r="AT86" s="9">
        <f>IF(RIGHT(BPD[[#This Row],[Device type]],7)="Winding","-",BPD[[#This Row],[Cont Winter MVA]])</f>
        <v>10.231224120309358</v>
      </c>
      <c r="AU86" s="9">
        <f>IF(RIGHT(BPD[[#This Row],[Device type]],7)="Winding","-",BPD[[#This Row],[Cont Shoulder MVA]])</f>
        <v>10.231224120309358</v>
      </c>
      <c r="AV86" s="9">
        <f>IF(RIGHT(BPD[[#This Row],[Device type]],7)="Winding","-",BPD[[#This Row],[Cont Summer MVA]])</f>
        <v>10.231224120309358</v>
      </c>
      <c r="AW86" s="9" t="str">
        <f>BPD[[#This Row],[24 Hr Winter MVA]]</f>
        <v>-</v>
      </c>
      <c r="AX86" s="9" t="str">
        <f>BPD[[#This Row],[24 Hr Summer MVA]]</f>
        <v>-</v>
      </c>
      <c r="AY86" s="9" t="str">
        <f>BPD[[#This Row],[Forwards MVA]]</f>
        <v>-</v>
      </c>
      <c r="AZ86" s="9" t="str">
        <f>BPD[[#This Row],[Relay MVA]]</f>
        <v>-</v>
      </c>
      <c r="BA86" s="9" t="str">
        <f>BPD[[#This Row],[CT MVA]]</f>
        <v>-</v>
      </c>
      <c r="BB86" s="9">
        <f>BPD[[#This Row],[Derating MVA]]</f>
        <v>9.023939674112853</v>
      </c>
      <c r="BC86" s="9" t="str">
        <f>BPD[[#This Row],[Station/Feeder]]&amp;BPD[[#This Row],[Lowest MVA]]</f>
        <v>CB9_WetProcess9.02393967411285</v>
      </c>
      <c r="BD86" s="9" t="str">
        <f>CONCATENATE(BPD[[#This Row],[Supply Level]],BPD[[#This Row],[Station/Feeder]],BPD[[#This Row],[Voltage]],BPD[[#This Row],[Lowest A-No PTX]])</f>
        <v>DistributionFeederCB9_WetProcess11473.634</v>
      </c>
      <c r="BE86" s="9" t="str">
        <f>CONCATENATE(BPD[[#This Row],[Supply Level]],BPD[[#This Row],[Station/Feeder]],BPD[[#This Row],[Voltage]],BPD[[#This Row],[Lowest A-PTX]])</f>
        <v>DistributionFeederCB9_WetProcess11473.634</v>
      </c>
      <c r="BF86" s="9">
        <f>IF(MIN(BPD[[#This Row],[Summ Cont Winter A]:[Cable Derating]])=0,"",MIN(BPD[[#This Row],[Summ Cont Winter A]:[Cable Derating]]))</f>
        <v>9.023939674112853</v>
      </c>
      <c r="BG86" s="9">
        <f>IFERROR(BPD[[#This Row],[Lowest MVA]]*1000/(BPD[[#This Row],[Voltage]]*SQRT(3)),"")</f>
        <v>473.63399999999996</v>
      </c>
      <c r="BH86" s="9">
        <f t="shared" si="66"/>
        <v>473.63400000000001</v>
      </c>
      <c r="BI86" s="9" t="str">
        <f>BPD[[#This Row],[From]]</f>
        <v>CNR-CB9</v>
      </c>
      <c r="BJ86" s="9" t="str">
        <f>BPD[[#This Row],[To]]</f>
        <v>Joint</v>
      </c>
      <c r="BK86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Cable-3-1c 400mm² AL XLPE CWS MDPE</v>
      </c>
      <c r="BL86" s="9">
        <f>BPD[[#This Row],[Voltage]]</f>
        <v>11</v>
      </c>
    </row>
    <row r="87" spans="1:64" s="337" customFormat="1" x14ac:dyDescent="0.25">
      <c r="A87" s="276" t="str">
        <f>CONCATENATE(BPD[[#This Row],[Supply Level]],BPD[[#This Row],[Station/Feeder]],BPD[[#This Row],[Voltage]])</f>
        <v>DistributionFeederCB9_WetProcess11</v>
      </c>
      <c r="B87" s="276" t="str">
        <f>CONCATENATE(BPD[[#This Row],[Supply Level]],BPD[[#This Row],[Station/Feeder]],BPD[[#This Row],[Equipment ID]],BPD[[#This Row],[Voltage]],BPD[[#This Row],[Device type]])</f>
        <v>DistributionFeederCB9_WetProcess3-1c 400mm² AL XLPE CWS MDPE11-</v>
      </c>
      <c r="C87" s="276" t="s">
        <v>1276</v>
      </c>
      <c r="D87" s="277" t="s">
        <v>175</v>
      </c>
      <c r="E87" s="278" t="s">
        <v>750</v>
      </c>
      <c r="F87" s="278" t="s">
        <v>754</v>
      </c>
      <c r="G87" s="279">
        <v>3</v>
      </c>
      <c r="H87" s="280" t="s">
        <v>751</v>
      </c>
      <c r="I87" s="278" t="s">
        <v>2498</v>
      </c>
      <c r="J87" s="280" t="s">
        <v>250</v>
      </c>
      <c r="K87" s="280" t="s">
        <v>0</v>
      </c>
      <c r="L87" s="280" t="s">
        <v>0</v>
      </c>
      <c r="M87" s="281">
        <v>11</v>
      </c>
      <c r="N87" s="160">
        <v>537</v>
      </c>
      <c r="O87" s="160">
        <f t="shared" si="81"/>
        <v>10.231224120309358</v>
      </c>
      <c r="P87" s="160">
        <v>537</v>
      </c>
      <c r="Q87" s="160">
        <f t="shared" si="82"/>
        <v>10.231224120309358</v>
      </c>
      <c r="R87" s="160">
        <v>537</v>
      </c>
      <c r="S87" s="160">
        <f t="shared" si="55"/>
        <v>10.231224120309358</v>
      </c>
      <c r="T87" s="160" t="s">
        <v>0</v>
      </c>
      <c r="U87" s="160" t="str">
        <f t="shared" si="83"/>
        <v>-</v>
      </c>
      <c r="V87" s="160" t="s">
        <v>0</v>
      </c>
      <c r="W87" s="160" t="str">
        <f t="shared" si="84"/>
        <v>-</v>
      </c>
      <c r="X87" s="160" t="s">
        <v>0</v>
      </c>
      <c r="Y87" s="160" t="str">
        <f t="shared" si="85"/>
        <v>-</v>
      </c>
      <c r="Z87" s="160" t="s">
        <v>0</v>
      </c>
      <c r="AA87" s="160" t="str">
        <f t="shared" si="67"/>
        <v>-</v>
      </c>
      <c r="AB87" s="160" t="s">
        <v>0</v>
      </c>
      <c r="AC87" s="160" t="str">
        <f t="shared" si="68"/>
        <v>-</v>
      </c>
      <c r="AD87" s="160" t="s">
        <v>0</v>
      </c>
      <c r="AE87" s="160" t="str">
        <f t="shared" si="69"/>
        <v>-</v>
      </c>
      <c r="AF87" s="160" t="s">
        <v>713</v>
      </c>
      <c r="AG87" s="160" t="s">
        <v>265</v>
      </c>
      <c r="AH87" s="160">
        <v>355.3</v>
      </c>
      <c r="AI87" s="160">
        <v>0.9</v>
      </c>
      <c r="AJ87" s="160">
        <v>0.98</v>
      </c>
      <c r="AK87" s="160">
        <v>15</v>
      </c>
      <c r="AL87" s="160">
        <v>1</v>
      </c>
      <c r="AM87" s="160">
        <v>1.2</v>
      </c>
      <c r="AN87" s="160">
        <v>1</v>
      </c>
      <c r="AO87" s="160">
        <v>4</v>
      </c>
      <c r="AP87" s="160">
        <v>0.3</v>
      </c>
      <c r="AQ87" s="160">
        <v>0.75</v>
      </c>
      <c r="AR87" s="160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394.69499999999999</v>
      </c>
      <c r="AS87" s="160">
        <f t="shared" si="86"/>
        <v>7.5199497284273766</v>
      </c>
      <c r="AT87" s="160">
        <f>IF(RIGHT(BPD[[#This Row],[Device type]],7)="Winding","-",BPD[[#This Row],[Cont Winter MVA]])</f>
        <v>10.231224120309358</v>
      </c>
      <c r="AU87" s="160">
        <f>IF(RIGHT(BPD[[#This Row],[Device type]],7)="Winding","-",BPD[[#This Row],[Cont Shoulder MVA]])</f>
        <v>10.231224120309358</v>
      </c>
      <c r="AV87" s="160">
        <f>IF(RIGHT(BPD[[#This Row],[Device type]],7)="Winding","-",BPD[[#This Row],[Cont Summer MVA]])</f>
        <v>10.231224120309358</v>
      </c>
      <c r="AW87" s="160" t="str">
        <f>BPD[[#This Row],[24 Hr Winter MVA]]</f>
        <v>-</v>
      </c>
      <c r="AX87" s="160" t="str">
        <f>BPD[[#This Row],[24 Hr Summer MVA]]</f>
        <v>-</v>
      </c>
      <c r="AY87" s="160" t="str">
        <f>BPD[[#This Row],[Forwards MVA]]</f>
        <v>-</v>
      </c>
      <c r="AZ87" s="160" t="str">
        <f>BPD[[#This Row],[Relay MVA]]</f>
        <v>-</v>
      </c>
      <c r="BA87" s="160" t="str">
        <f>BPD[[#This Row],[CT MVA]]</f>
        <v>-</v>
      </c>
      <c r="BB87" s="160">
        <f>BPD[[#This Row],[Derating MVA]]</f>
        <v>7.5199497284273766</v>
      </c>
      <c r="BC87" s="160" t="str">
        <f>BPD[[#This Row],[Station/Feeder]]&amp;BPD[[#This Row],[Lowest MVA]]</f>
        <v>CB9_WetProcess7.51994972842738</v>
      </c>
      <c r="BD87" s="160" t="str">
        <f>CONCATENATE(BPD[[#This Row],[Supply Level]],BPD[[#This Row],[Station/Feeder]],BPD[[#This Row],[Voltage]],BPD[[#This Row],[Lowest A-No PTX]])</f>
        <v>DistributionFeederCB9_WetProcess11394.695</v>
      </c>
      <c r="BE87" s="160" t="str">
        <f>CONCATENATE(BPD[[#This Row],[Supply Level]],BPD[[#This Row],[Station/Feeder]],BPD[[#This Row],[Voltage]],BPD[[#This Row],[Lowest A-PTX]])</f>
        <v>DistributionFeederCB9_WetProcess11394.695</v>
      </c>
      <c r="BF87" s="160">
        <f>IF(MIN(BPD[[#This Row],[Summ Cont Winter A]:[Cable Derating]])=0,"",MIN(BPD[[#This Row],[Summ Cont Winter A]:[Cable Derating]]))</f>
        <v>7.5199497284273766</v>
      </c>
      <c r="BG87" s="160">
        <f>IFERROR(BPD[[#This Row],[Lowest MVA]]*1000/(BPD[[#This Row],[Voltage]]*SQRT(3)),"")</f>
        <v>394.69499999999994</v>
      </c>
      <c r="BH87" s="160">
        <f t="shared" si="66"/>
        <v>394.69499999999999</v>
      </c>
      <c r="BI87" s="160" t="str">
        <f>BPD[[#This Row],[From]]</f>
        <v>Joint</v>
      </c>
      <c r="BJ87" s="160" t="str">
        <f>BPD[[#This Row],[To]]</f>
        <v>Y900</v>
      </c>
      <c r="BK87" s="160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Cable-3-1c 400mm² AL XLPE CWS MDPE</v>
      </c>
      <c r="BL87" s="160">
        <f>BPD[[#This Row],[Voltage]]</f>
        <v>11</v>
      </c>
    </row>
    <row r="88" spans="1:64" s="337" customFormat="1" x14ac:dyDescent="0.25">
      <c r="A88" s="14" t="str">
        <f>CONCATENATE(BPD[[#This Row],[Supply Level]],BPD[[#This Row],[Station/Feeder]],BPD[[#This Row],[Voltage]])</f>
        <v>DistributionFeederCB11_Boiler/Chiller 111</v>
      </c>
      <c r="B88" s="14" t="str">
        <f>CONCATENATE(BPD[[#This Row],[Supply Level]],BPD[[#This Row],[Station/Feeder]],BPD[[#This Row],[Equipment ID]],BPD[[#This Row],[Voltage]],BPD[[#This Row],[Device type]])</f>
        <v>DistributionFeederCB11_Boiler/Chiller 1CNR-CB1111Protection</v>
      </c>
      <c r="C88" s="14" t="s">
        <v>1276</v>
      </c>
      <c r="D88" s="11" t="s">
        <v>181</v>
      </c>
      <c r="E88" s="6" t="s">
        <v>243</v>
      </c>
      <c r="F88" s="6" t="s">
        <v>755</v>
      </c>
      <c r="G88" s="27">
        <v>1</v>
      </c>
      <c r="H88" s="7" t="s">
        <v>2350</v>
      </c>
      <c r="I88" s="6" t="s">
        <v>755</v>
      </c>
      <c r="J88" s="7" t="s">
        <v>15</v>
      </c>
      <c r="K88" s="7" t="s">
        <v>791</v>
      </c>
      <c r="L88" s="7" t="s">
        <v>1423</v>
      </c>
      <c r="M88" s="43">
        <v>11</v>
      </c>
      <c r="N88" s="9">
        <v>800</v>
      </c>
      <c r="O88" s="9">
        <f t="shared" si="81"/>
        <v>15.242047106606121</v>
      </c>
      <c r="P88" s="9">
        <v>800</v>
      </c>
      <c r="Q88" s="9">
        <f t="shared" si="82"/>
        <v>15.242047106606121</v>
      </c>
      <c r="R88" s="9">
        <v>800</v>
      </c>
      <c r="S88" s="9">
        <f t="shared" si="55"/>
        <v>15.242047106606121</v>
      </c>
      <c r="T88" s="9" t="s">
        <v>0</v>
      </c>
      <c r="U88" s="9" t="str">
        <f t="shared" si="83"/>
        <v>-</v>
      </c>
      <c r="V88" s="9" t="s">
        <v>0</v>
      </c>
      <c r="W88" s="9" t="str">
        <f t="shared" si="84"/>
        <v>-</v>
      </c>
      <c r="X88" s="9">
        <f>VLOOKUP(BPD[[#This Row],[Equipment ID]],AEL_Protection_Data[#All],12,0)</f>
        <v>402</v>
      </c>
      <c r="Y88" s="9">
        <f t="shared" si="85"/>
        <v>7.659128671069575</v>
      </c>
      <c r="Z88" s="9" t="s">
        <v>0</v>
      </c>
      <c r="AA88" s="9" t="str">
        <f t="shared" si="67"/>
        <v>-</v>
      </c>
      <c r="AB88" s="9" t="s">
        <v>0</v>
      </c>
      <c r="AC88" s="9" t="str">
        <f t="shared" si="68"/>
        <v>-</v>
      </c>
      <c r="AD88" s="9" t="s">
        <v>0</v>
      </c>
      <c r="AE88" s="9" t="str">
        <f t="shared" si="69"/>
        <v>-</v>
      </c>
      <c r="AF88" s="9" t="s">
        <v>0</v>
      </c>
      <c r="AG88" s="9" t="s">
        <v>0</v>
      </c>
      <c r="AH88" s="9" t="s">
        <v>0</v>
      </c>
      <c r="AI88" s="9" t="s">
        <v>0</v>
      </c>
      <c r="AJ88" s="9">
        <v>0.98</v>
      </c>
      <c r="AK88" s="9" t="s">
        <v>0</v>
      </c>
      <c r="AL88" s="9" t="s">
        <v>0</v>
      </c>
      <c r="AM88" s="9" t="s">
        <v>0</v>
      </c>
      <c r="AN88" s="9" t="s">
        <v>0</v>
      </c>
      <c r="AO88" s="9" t="s">
        <v>0</v>
      </c>
      <c r="AP88" s="9" t="s">
        <v>0</v>
      </c>
      <c r="AQ88" s="9" t="s">
        <v>0</v>
      </c>
      <c r="AR88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88" s="9" t="str">
        <f t="shared" si="86"/>
        <v>-</v>
      </c>
      <c r="AT88" s="9">
        <f>IF(RIGHT(BPD[[#This Row],[Device type]],7)="Winding","-",BPD[[#This Row],[Cont Winter MVA]])</f>
        <v>15.242047106606121</v>
      </c>
      <c r="AU88" s="9">
        <f>IF(RIGHT(BPD[[#This Row],[Device type]],7)="Winding","-",BPD[[#This Row],[Cont Shoulder MVA]])</f>
        <v>15.242047106606121</v>
      </c>
      <c r="AV88" s="9">
        <f>IF(RIGHT(BPD[[#This Row],[Device type]],7)="Winding","-",BPD[[#This Row],[Cont Summer MVA]])</f>
        <v>15.242047106606121</v>
      </c>
      <c r="AW88" s="9" t="str">
        <f>BPD[[#This Row],[24 Hr Winter MVA]]</f>
        <v>-</v>
      </c>
      <c r="AX88" s="9" t="str">
        <f>BPD[[#This Row],[24 Hr Summer MVA]]</f>
        <v>-</v>
      </c>
      <c r="AY88" s="9">
        <f>BPD[[#This Row],[Forwards MVA]]</f>
        <v>7.659128671069575</v>
      </c>
      <c r="AZ88" s="9" t="str">
        <f>BPD[[#This Row],[Relay MVA]]</f>
        <v>-</v>
      </c>
      <c r="BA88" s="9" t="str">
        <f>BPD[[#This Row],[CT MVA]]</f>
        <v>-</v>
      </c>
      <c r="BB88" s="9" t="str">
        <f>BPD[[#This Row],[Derating MVA]]</f>
        <v>-</v>
      </c>
      <c r="BC88" s="9" t="str">
        <f>BPD[[#This Row],[Station/Feeder]]&amp;BPD[[#This Row],[Lowest MVA]]</f>
        <v>CB11_Boiler/Chiller 17.65912867106957</v>
      </c>
      <c r="BD88" s="9" t="str">
        <f>CONCATENATE(BPD[[#This Row],[Supply Level]],BPD[[#This Row],[Station/Feeder]],BPD[[#This Row],[Voltage]],BPD[[#This Row],[Lowest A-No PTX]])</f>
        <v>DistributionFeederCB11_Boiler/Chiller 111402</v>
      </c>
      <c r="BE88" s="9" t="str">
        <f>CONCATENATE(BPD[[#This Row],[Supply Level]],BPD[[#This Row],[Station/Feeder]],BPD[[#This Row],[Voltage]],BPD[[#This Row],[Lowest A-PTX]])</f>
        <v>DistributionFeederCB11_Boiler/Chiller 111402</v>
      </c>
      <c r="BF88" s="9">
        <f>IF(MIN(BPD[[#This Row],[Summ Cont Winter A]:[Cable Derating]])=0,"",MIN(BPD[[#This Row],[Summ Cont Winter A]:[Cable Derating]]))</f>
        <v>7.659128671069575</v>
      </c>
      <c r="BG88" s="9">
        <f>IFERROR(BPD[[#This Row],[Lowest MVA]]*1000/(BPD[[#This Row],[Voltage]]*SQRT(3)),"")</f>
        <v>402</v>
      </c>
      <c r="BH88" s="9">
        <f t="shared" si="66"/>
        <v>402</v>
      </c>
      <c r="BI88" s="9" t="str">
        <f>BPD[[#This Row],[From]]</f>
        <v>11 kV Bus</v>
      </c>
      <c r="BJ88" s="9" t="str">
        <f>BPD[[#This Row],[To]]</f>
        <v>CNR-CB11</v>
      </c>
      <c r="BK88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Breaker-CNR-CB11-Protection</v>
      </c>
      <c r="BL88" s="9">
        <f>BPD[[#This Row],[Voltage]]</f>
        <v>11</v>
      </c>
    </row>
    <row r="89" spans="1:64" s="337" customFormat="1" x14ac:dyDescent="0.25">
      <c r="A89" s="14" t="str">
        <f>CONCATENATE(BPD[[#This Row],[Supply Level]],BPD[[#This Row],[Station/Feeder]],BPD[[#This Row],[Voltage]])</f>
        <v>DistributionFeederCB11_Boiler/Chiller 111</v>
      </c>
      <c r="B89" s="14" t="str">
        <f>CONCATENATE(BPD[[#This Row],[Supply Level]],BPD[[#This Row],[Station/Feeder]],BPD[[#This Row],[Equipment ID]],BPD[[#This Row],[Voltage]],BPD[[#This Row],[Device type]])</f>
        <v>DistributionFeederCB11_Boiler/Chiller 13-1c 400mm² AL XLPE CWS MDPE11-</v>
      </c>
      <c r="C89" s="14" t="s">
        <v>1276</v>
      </c>
      <c r="D89" s="11" t="s">
        <v>181</v>
      </c>
      <c r="E89" s="6" t="s">
        <v>755</v>
      </c>
      <c r="F89" s="6" t="s">
        <v>750</v>
      </c>
      <c r="G89" s="27">
        <v>2</v>
      </c>
      <c r="H89" s="7" t="s">
        <v>751</v>
      </c>
      <c r="I89" s="6" t="s">
        <v>2498</v>
      </c>
      <c r="J89" s="7" t="s">
        <v>250</v>
      </c>
      <c r="K89" s="7" t="s">
        <v>0</v>
      </c>
      <c r="L89" s="7" t="s">
        <v>0</v>
      </c>
      <c r="M89" s="43">
        <v>11</v>
      </c>
      <c r="N89" s="9">
        <v>537</v>
      </c>
      <c r="O89" s="9">
        <f t="shared" si="81"/>
        <v>10.231224120309358</v>
      </c>
      <c r="P89" s="9">
        <v>537</v>
      </c>
      <c r="Q89" s="9">
        <f t="shared" si="82"/>
        <v>10.231224120309358</v>
      </c>
      <c r="R89" s="9">
        <v>537</v>
      </c>
      <c r="S89" s="9">
        <f t="shared" si="55"/>
        <v>10.231224120309358</v>
      </c>
      <c r="T89" s="9" t="s">
        <v>0</v>
      </c>
      <c r="U89" s="9" t="str">
        <f t="shared" si="83"/>
        <v>-</v>
      </c>
      <c r="V89" s="9" t="s">
        <v>0</v>
      </c>
      <c r="W89" s="9" t="str">
        <f t="shared" si="84"/>
        <v>-</v>
      </c>
      <c r="X89" s="9" t="s">
        <v>0</v>
      </c>
      <c r="Y89" s="9" t="str">
        <f t="shared" si="85"/>
        <v>-</v>
      </c>
      <c r="Z89" s="9" t="s">
        <v>0</v>
      </c>
      <c r="AA89" s="9" t="str">
        <f t="shared" si="67"/>
        <v>-</v>
      </c>
      <c r="AB89" s="9" t="s">
        <v>0</v>
      </c>
      <c r="AC89" s="9" t="str">
        <f t="shared" si="68"/>
        <v>-</v>
      </c>
      <c r="AD89" s="9" t="s">
        <v>0</v>
      </c>
      <c r="AE89" s="9" t="str">
        <f t="shared" si="69"/>
        <v>-</v>
      </c>
      <c r="AF89" s="9" t="s">
        <v>713</v>
      </c>
      <c r="AG89" s="9" t="s">
        <v>265</v>
      </c>
      <c r="AH89" s="9">
        <v>12.9</v>
      </c>
      <c r="AI89" s="9">
        <v>0.9</v>
      </c>
      <c r="AJ89" s="9">
        <v>0.98</v>
      </c>
      <c r="AK89" s="9">
        <v>15</v>
      </c>
      <c r="AL89" s="9">
        <v>1</v>
      </c>
      <c r="AM89" s="9">
        <v>1.2</v>
      </c>
      <c r="AN89" s="9">
        <v>1</v>
      </c>
      <c r="AO89" s="9">
        <v>2</v>
      </c>
      <c r="AP89" s="9">
        <v>0.6</v>
      </c>
      <c r="AQ89" s="9">
        <v>0.9</v>
      </c>
      <c r="AR89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473.63400000000001</v>
      </c>
      <c r="AS89" s="9">
        <f t="shared" si="86"/>
        <v>9.023939674112853</v>
      </c>
      <c r="AT89" s="9">
        <f>IF(RIGHT(BPD[[#This Row],[Device type]],7)="Winding","-",BPD[[#This Row],[Cont Winter MVA]])</f>
        <v>10.231224120309358</v>
      </c>
      <c r="AU89" s="9">
        <f>IF(RIGHT(BPD[[#This Row],[Device type]],7)="Winding","-",BPD[[#This Row],[Cont Shoulder MVA]])</f>
        <v>10.231224120309358</v>
      </c>
      <c r="AV89" s="9">
        <f>IF(RIGHT(BPD[[#This Row],[Device type]],7)="Winding","-",BPD[[#This Row],[Cont Summer MVA]])</f>
        <v>10.231224120309358</v>
      </c>
      <c r="AW89" s="9" t="str">
        <f>BPD[[#This Row],[24 Hr Winter MVA]]</f>
        <v>-</v>
      </c>
      <c r="AX89" s="9" t="str">
        <f>BPD[[#This Row],[24 Hr Summer MVA]]</f>
        <v>-</v>
      </c>
      <c r="AY89" s="9" t="str">
        <f>BPD[[#This Row],[Forwards MVA]]</f>
        <v>-</v>
      </c>
      <c r="AZ89" s="9" t="str">
        <f>BPD[[#This Row],[Relay MVA]]</f>
        <v>-</v>
      </c>
      <c r="BA89" s="9" t="str">
        <f>BPD[[#This Row],[CT MVA]]</f>
        <v>-</v>
      </c>
      <c r="BB89" s="9">
        <f>BPD[[#This Row],[Derating MVA]]</f>
        <v>9.023939674112853</v>
      </c>
      <c r="BC89" s="9" t="str">
        <f>BPD[[#This Row],[Station/Feeder]]&amp;BPD[[#This Row],[Lowest MVA]]</f>
        <v>CB11_Boiler/Chiller 19.02393967411285</v>
      </c>
      <c r="BD89" s="9" t="str">
        <f>CONCATENATE(BPD[[#This Row],[Supply Level]],BPD[[#This Row],[Station/Feeder]],BPD[[#This Row],[Voltage]],BPD[[#This Row],[Lowest A-No PTX]])</f>
        <v>DistributionFeederCB11_Boiler/Chiller 111473.634</v>
      </c>
      <c r="BE89" s="9" t="str">
        <f>CONCATENATE(BPD[[#This Row],[Supply Level]],BPD[[#This Row],[Station/Feeder]],BPD[[#This Row],[Voltage]],BPD[[#This Row],[Lowest A-PTX]])</f>
        <v>DistributionFeederCB11_Boiler/Chiller 111473.634</v>
      </c>
      <c r="BF89" s="9">
        <f>IF(MIN(BPD[[#This Row],[Summ Cont Winter A]:[Cable Derating]])=0,"",MIN(BPD[[#This Row],[Summ Cont Winter A]:[Cable Derating]]))</f>
        <v>9.023939674112853</v>
      </c>
      <c r="BG89" s="9">
        <f>IFERROR(BPD[[#This Row],[Lowest MVA]]*1000/(BPD[[#This Row],[Voltage]]*SQRT(3)),"")</f>
        <v>473.63399999999996</v>
      </c>
      <c r="BH89" s="9">
        <f t="shared" si="66"/>
        <v>473.63400000000001</v>
      </c>
      <c r="BI89" s="9" t="str">
        <f>BPD[[#This Row],[From]]</f>
        <v>CNR-CB11</v>
      </c>
      <c r="BJ89" s="9" t="str">
        <f>BPD[[#This Row],[To]]</f>
        <v>Joint</v>
      </c>
      <c r="BK89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Cable-3-1c 400mm² AL XLPE CWS MDPE</v>
      </c>
      <c r="BL89" s="9">
        <f>BPD[[#This Row],[Voltage]]</f>
        <v>11</v>
      </c>
    </row>
    <row r="90" spans="1:64" s="337" customFormat="1" x14ac:dyDescent="0.25">
      <c r="A90" s="14" t="str">
        <f>CONCATENATE(BPD[[#This Row],[Supply Level]],BPD[[#This Row],[Station/Feeder]],BPD[[#This Row],[Voltage]])</f>
        <v>DistributionFeederCB11_Boiler/Chiller 111</v>
      </c>
      <c r="B90" s="14" t="str">
        <f>CONCATENATE(BPD[[#This Row],[Supply Level]],BPD[[#This Row],[Station/Feeder]],BPD[[#This Row],[Equipment ID]],BPD[[#This Row],[Voltage]],BPD[[#This Row],[Device type]])</f>
        <v>DistributionFeederCB11_Boiler/Chiller 13-1c 400mm² AL XLPE CWS MDPE11-</v>
      </c>
      <c r="C90" s="14" t="s">
        <v>1276</v>
      </c>
      <c r="D90" s="11" t="s">
        <v>181</v>
      </c>
      <c r="E90" s="6" t="s">
        <v>750</v>
      </c>
      <c r="F90" s="6" t="s">
        <v>756</v>
      </c>
      <c r="G90" s="27">
        <v>3</v>
      </c>
      <c r="H90" s="7" t="s">
        <v>751</v>
      </c>
      <c r="I90" s="6" t="s">
        <v>2498</v>
      </c>
      <c r="J90" s="7" t="s">
        <v>250</v>
      </c>
      <c r="K90" s="7" t="s">
        <v>0</v>
      </c>
      <c r="L90" s="7" t="s">
        <v>0</v>
      </c>
      <c r="M90" s="43">
        <v>11</v>
      </c>
      <c r="N90" s="9">
        <v>537</v>
      </c>
      <c r="O90" s="9">
        <f t="shared" si="81"/>
        <v>10.231224120309358</v>
      </c>
      <c r="P90" s="9">
        <v>537</v>
      </c>
      <c r="Q90" s="9">
        <f t="shared" si="82"/>
        <v>10.231224120309358</v>
      </c>
      <c r="R90" s="9">
        <v>537</v>
      </c>
      <c r="S90" s="9">
        <f t="shared" si="55"/>
        <v>10.231224120309358</v>
      </c>
      <c r="T90" s="9" t="s">
        <v>0</v>
      </c>
      <c r="U90" s="9" t="str">
        <f t="shared" si="83"/>
        <v>-</v>
      </c>
      <c r="V90" s="9" t="s">
        <v>0</v>
      </c>
      <c r="W90" s="9" t="str">
        <f t="shared" si="84"/>
        <v>-</v>
      </c>
      <c r="X90" s="9" t="s">
        <v>0</v>
      </c>
      <c r="Y90" s="9" t="str">
        <f t="shared" si="85"/>
        <v>-</v>
      </c>
      <c r="Z90" s="9" t="s">
        <v>0</v>
      </c>
      <c r="AA90" s="9" t="str">
        <f t="shared" si="67"/>
        <v>-</v>
      </c>
      <c r="AB90" s="9" t="s">
        <v>0</v>
      </c>
      <c r="AC90" s="9" t="str">
        <f t="shared" si="68"/>
        <v>-</v>
      </c>
      <c r="AD90" s="9" t="s">
        <v>0</v>
      </c>
      <c r="AE90" s="9" t="str">
        <f t="shared" si="69"/>
        <v>-</v>
      </c>
      <c r="AF90" s="9" t="s">
        <v>713</v>
      </c>
      <c r="AG90" s="9" t="s">
        <v>265</v>
      </c>
      <c r="AH90" s="9">
        <v>439.1</v>
      </c>
      <c r="AI90" s="9">
        <v>0.9</v>
      </c>
      <c r="AJ90" s="9">
        <v>0.98</v>
      </c>
      <c r="AK90" s="9">
        <v>15</v>
      </c>
      <c r="AL90" s="9">
        <v>1</v>
      </c>
      <c r="AM90" s="9">
        <v>1.2</v>
      </c>
      <c r="AN90" s="9">
        <v>1</v>
      </c>
      <c r="AO90" s="9">
        <v>4</v>
      </c>
      <c r="AP90" s="9">
        <v>0.3</v>
      </c>
      <c r="AQ90" s="9">
        <v>0.72</v>
      </c>
      <c r="AR90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378.90719999999999</v>
      </c>
      <c r="AS90" s="9">
        <f t="shared" si="86"/>
        <v>7.2191517392902824</v>
      </c>
      <c r="AT90" s="9">
        <f>IF(RIGHT(BPD[[#This Row],[Device type]],7)="Winding","-",BPD[[#This Row],[Cont Winter MVA]])</f>
        <v>10.231224120309358</v>
      </c>
      <c r="AU90" s="9">
        <f>IF(RIGHT(BPD[[#This Row],[Device type]],7)="Winding","-",BPD[[#This Row],[Cont Shoulder MVA]])</f>
        <v>10.231224120309358</v>
      </c>
      <c r="AV90" s="9">
        <f>IF(RIGHT(BPD[[#This Row],[Device type]],7)="Winding","-",BPD[[#This Row],[Cont Summer MVA]])</f>
        <v>10.231224120309358</v>
      </c>
      <c r="AW90" s="9" t="str">
        <f>BPD[[#This Row],[24 Hr Winter MVA]]</f>
        <v>-</v>
      </c>
      <c r="AX90" s="9" t="str">
        <f>BPD[[#This Row],[24 Hr Summer MVA]]</f>
        <v>-</v>
      </c>
      <c r="AY90" s="9" t="str">
        <f>BPD[[#This Row],[Forwards MVA]]</f>
        <v>-</v>
      </c>
      <c r="AZ90" s="9" t="str">
        <f>BPD[[#This Row],[Relay MVA]]</f>
        <v>-</v>
      </c>
      <c r="BA90" s="9" t="str">
        <f>BPD[[#This Row],[CT MVA]]</f>
        <v>-</v>
      </c>
      <c r="BB90" s="9">
        <f>BPD[[#This Row],[Derating MVA]]</f>
        <v>7.2191517392902824</v>
      </c>
      <c r="BC90" s="9" t="str">
        <f>BPD[[#This Row],[Station/Feeder]]&amp;BPD[[#This Row],[Lowest MVA]]</f>
        <v>CB11_Boiler/Chiller 17.21915173929028</v>
      </c>
      <c r="BD90" s="9" t="str">
        <f>CONCATENATE(BPD[[#This Row],[Supply Level]],BPD[[#This Row],[Station/Feeder]],BPD[[#This Row],[Voltage]],BPD[[#This Row],[Lowest A-No PTX]])</f>
        <v>DistributionFeederCB11_Boiler/Chiller 111378.9072</v>
      </c>
      <c r="BE90" s="9" t="str">
        <f>CONCATENATE(BPD[[#This Row],[Supply Level]],BPD[[#This Row],[Station/Feeder]],BPD[[#This Row],[Voltage]],BPD[[#This Row],[Lowest A-PTX]])</f>
        <v>DistributionFeederCB11_Boiler/Chiller 111378.9072</v>
      </c>
      <c r="BF90" s="9">
        <f>IF(MIN(BPD[[#This Row],[Summ Cont Winter A]:[Cable Derating]])=0,"",MIN(BPD[[#This Row],[Summ Cont Winter A]:[Cable Derating]]))</f>
        <v>7.2191517392902824</v>
      </c>
      <c r="BG90" s="9">
        <f>IFERROR(BPD[[#This Row],[Lowest MVA]]*1000/(BPD[[#This Row],[Voltage]]*SQRT(3)),"")</f>
        <v>378.90719999999999</v>
      </c>
      <c r="BH90" s="9">
        <f t="shared" si="66"/>
        <v>378.90719999999999</v>
      </c>
      <c r="BI90" s="9" t="str">
        <f>BPD[[#This Row],[From]]</f>
        <v>Joint</v>
      </c>
      <c r="BJ90" s="9" t="str">
        <f>BPD[[#This Row],[To]]</f>
        <v>Y1100</v>
      </c>
      <c r="BK90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Cable-3-1c 400mm² AL XLPE CWS MDPE</v>
      </c>
      <c r="BL90" s="9">
        <f>BPD[[#This Row],[Voltage]]</f>
        <v>11</v>
      </c>
    </row>
    <row r="91" spans="1:64" s="337" customFormat="1" x14ac:dyDescent="0.25">
      <c r="A91" s="14" t="str">
        <f>CONCATENATE(BPD[[#This Row],[Supply Level]],BPD[[#This Row],[Station/Feeder]],BPD[[#This Row],[Voltage]])</f>
        <v>DistributionFeederCB12_Office11</v>
      </c>
      <c r="B91" s="14" t="str">
        <f>CONCATENATE(BPD[[#This Row],[Supply Level]],BPD[[#This Row],[Station/Feeder]],BPD[[#This Row],[Equipment ID]],BPD[[#This Row],[Voltage]],BPD[[#This Row],[Device type]])</f>
        <v>DistributionFeederCB12_OfficeCNR-CB1211Protection</v>
      </c>
      <c r="C91" s="14" t="s">
        <v>1276</v>
      </c>
      <c r="D91" s="11" t="s">
        <v>184</v>
      </c>
      <c r="E91" s="6" t="s">
        <v>243</v>
      </c>
      <c r="F91" s="6" t="s">
        <v>757</v>
      </c>
      <c r="G91" s="27">
        <v>1</v>
      </c>
      <c r="H91" s="7" t="s">
        <v>2350</v>
      </c>
      <c r="I91" s="6" t="s">
        <v>757</v>
      </c>
      <c r="J91" s="7" t="s">
        <v>15</v>
      </c>
      <c r="K91" s="7" t="s">
        <v>791</v>
      </c>
      <c r="L91" s="7" t="s">
        <v>1423</v>
      </c>
      <c r="M91" s="43">
        <v>11</v>
      </c>
      <c r="N91" s="9">
        <v>800</v>
      </c>
      <c r="O91" s="9">
        <f t="shared" si="81"/>
        <v>15.242047106606121</v>
      </c>
      <c r="P91" s="9">
        <v>800</v>
      </c>
      <c r="Q91" s="9">
        <f t="shared" si="82"/>
        <v>15.242047106606121</v>
      </c>
      <c r="R91" s="9">
        <v>800</v>
      </c>
      <c r="S91" s="9">
        <f t="shared" si="55"/>
        <v>15.242047106606121</v>
      </c>
      <c r="T91" s="9" t="s">
        <v>0</v>
      </c>
      <c r="U91" s="9" t="str">
        <f t="shared" si="83"/>
        <v>-</v>
      </c>
      <c r="V91" s="9" t="s">
        <v>0</v>
      </c>
      <c r="W91" s="9" t="str">
        <f t="shared" si="84"/>
        <v>-</v>
      </c>
      <c r="X91" s="9">
        <f>VLOOKUP(BPD[[#This Row],[Equipment ID]],AEL_Protection_Data[#All],12,0)</f>
        <v>402</v>
      </c>
      <c r="Y91" s="9">
        <f t="shared" si="85"/>
        <v>7.659128671069575</v>
      </c>
      <c r="Z91" s="9" t="s">
        <v>0</v>
      </c>
      <c r="AA91" s="9" t="str">
        <f t="shared" si="67"/>
        <v>-</v>
      </c>
      <c r="AB91" s="9" t="s">
        <v>0</v>
      </c>
      <c r="AC91" s="9" t="str">
        <f t="shared" si="68"/>
        <v>-</v>
      </c>
      <c r="AD91" s="9" t="s">
        <v>0</v>
      </c>
      <c r="AE91" s="9" t="str">
        <f t="shared" si="69"/>
        <v>-</v>
      </c>
      <c r="AF91" s="9" t="s">
        <v>0</v>
      </c>
      <c r="AG91" s="9" t="s">
        <v>0</v>
      </c>
      <c r="AH91" s="9" t="s">
        <v>0</v>
      </c>
      <c r="AI91" s="9" t="s">
        <v>0</v>
      </c>
      <c r="AJ91" s="9">
        <v>0.98</v>
      </c>
      <c r="AK91" s="9" t="s">
        <v>0</v>
      </c>
      <c r="AL91" s="9" t="s">
        <v>0</v>
      </c>
      <c r="AM91" s="9" t="s">
        <v>0</v>
      </c>
      <c r="AN91" s="9" t="s">
        <v>0</v>
      </c>
      <c r="AO91" s="9" t="s">
        <v>0</v>
      </c>
      <c r="AP91" s="9" t="s">
        <v>0</v>
      </c>
      <c r="AQ91" s="9" t="s">
        <v>0</v>
      </c>
      <c r="AR91" s="9" t="str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-</v>
      </c>
      <c r="AS91" s="9" t="str">
        <f t="shared" si="86"/>
        <v>-</v>
      </c>
      <c r="AT91" s="9">
        <f>IF(RIGHT(BPD[[#This Row],[Device type]],7)="Winding","-",BPD[[#This Row],[Cont Winter MVA]])</f>
        <v>15.242047106606121</v>
      </c>
      <c r="AU91" s="9">
        <f>IF(RIGHT(BPD[[#This Row],[Device type]],7)="Winding","-",BPD[[#This Row],[Cont Shoulder MVA]])</f>
        <v>15.242047106606121</v>
      </c>
      <c r="AV91" s="9">
        <f>IF(RIGHT(BPD[[#This Row],[Device type]],7)="Winding","-",BPD[[#This Row],[Cont Summer MVA]])</f>
        <v>15.242047106606121</v>
      </c>
      <c r="AW91" s="9" t="str">
        <f>BPD[[#This Row],[24 Hr Winter MVA]]</f>
        <v>-</v>
      </c>
      <c r="AX91" s="9" t="str">
        <f>BPD[[#This Row],[24 Hr Summer MVA]]</f>
        <v>-</v>
      </c>
      <c r="AY91" s="9">
        <f>BPD[[#This Row],[Forwards MVA]]</f>
        <v>7.659128671069575</v>
      </c>
      <c r="AZ91" s="9" t="str">
        <f>BPD[[#This Row],[Relay MVA]]</f>
        <v>-</v>
      </c>
      <c r="BA91" s="9" t="str">
        <f>BPD[[#This Row],[CT MVA]]</f>
        <v>-</v>
      </c>
      <c r="BB91" s="9" t="str">
        <f>BPD[[#This Row],[Derating MVA]]</f>
        <v>-</v>
      </c>
      <c r="BC91" s="9" t="str">
        <f>BPD[[#This Row],[Station/Feeder]]&amp;BPD[[#This Row],[Lowest MVA]]</f>
        <v>CB12_Office7.65912867106957</v>
      </c>
      <c r="BD91" s="9" t="str">
        <f>CONCATENATE(BPD[[#This Row],[Supply Level]],BPD[[#This Row],[Station/Feeder]],BPD[[#This Row],[Voltage]],BPD[[#This Row],[Lowest A-No PTX]])</f>
        <v>DistributionFeederCB12_Office11402</v>
      </c>
      <c r="BE91" s="9" t="str">
        <f>CONCATENATE(BPD[[#This Row],[Supply Level]],BPD[[#This Row],[Station/Feeder]],BPD[[#This Row],[Voltage]],BPD[[#This Row],[Lowest A-PTX]])</f>
        <v>DistributionFeederCB12_Office11402</v>
      </c>
      <c r="BF91" s="9">
        <f>IF(MIN(BPD[[#This Row],[Summ Cont Winter A]:[Cable Derating]])=0,"",MIN(BPD[[#This Row],[Summ Cont Winter A]:[Cable Derating]]))</f>
        <v>7.659128671069575</v>
      </c>
      <c r="BG91" s="9">
        <f>IFERROR(BPD[[#This Row],[Lowest MVA]]*1000/(BPD[[#This Row],[Voltage]]*SQRT(3)),"")</f>
        <v>402</v>
      </c>
      <c r="BH91" s="9">
        <f t="shared" si="66"/>
        <v>402</v>
      </c>
      <c r="BI91" s="9" t="str">
        <f>BPD[[#This Row],[From]]</f>
        <v>11 kV Bus</v>
      </c>
      <c r="BJ91" s="9" t="str">
        <f>BPD[[#This Row],[To]]</f>
        <v>CNR-CB12</v>
      </c>
      <c r="BK91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Circuit Breaker-CNR-CB12-Protection</v>
      </c>
      <c r="BL91" s="9">
        <f>BPD[[#This Row],[Voltage]]</f>
        <v>11</v>
      </c>
    </row>
    <row r="92" spans="1:64" s="337" customFormat="1" x14ac:dyDescent="0.25">
      <c r="A92" s="14" t="str">
        <f>CONCATENATE(BPD[[#This Row],[Supply Level]],BPD[[#This Row],[Station/Feeder]],BPD[[#This Row],[Voltage]])</f>
        <v>DistributionFeederCB12_Office11</v>
      </c>
      <c r="B92" s="14" t="str">
        <f>CONCATENATE(BPD[[#This Row],[Supply Level]],BPD[[#This Row],[Station/Feeder]],BPD[[#This Row],[Equipment ID]],BPD[[#This Row],[Voltage]],BPD[[#This Row],[Device type]])</f>
        <v>DistributionFeederCB12_Office3-1c 400mm² AL XLPE CWS MDPE11-</v>
      </c>
      <c r="C92" s="14" t="s">
        <v>1276</v>
      </c>
      <c r="D92" s="11" t="s">
        <v>184</v>
      </c>
      <c r="E92" s="6" t="s">
        <v>757</v>
      </c>
      <c r="F92" s="6" t="s">
        <v>750</v>
      </c>
      <c r="G92" s="27">
        <v>2</v>
      </c>
      <c r="H92" s="7" t="s">
        <v>751</v>
      </c>
      <c r="I92" s="6" t="s">
        <v>2498</v>
      </c>
      <c r="J92" s="7" t="s">
        <v>250</v>
      </c>
      <c r="K92" s="7" t="s">
        <v>0</v>
      </c>
      <c r="L92" s="7" t="s">
        <v>0</v>
      </c>
      <c r="M92" s="43">
        <v>11</v>
      </c>
      <c r="N92" s="9">
        <v>537</v>
      </c>
      <c r="O92" s="9">
        <f t="shared" si="81"/>
        <v>10.231224120309358</v>
      </c>
      <c r="P92" s="9">
        <v>537</v>
      </c>
      <c r="Q92" s="9">
        <f t="shared" si="82"/>
        <v>10.231224120309358</v>
      </c>
      <c r="R92" s="9">
        <v>537</v>
      </c>
      <c r="S92" s="9">
        <f t="shared" si="55"/>
        <v>10.231224120309358</v>
      </c>
      <c r="T92" s="9" t="s">
        <v>0</v>
      </c>
      <c r="U92" s="9" t="str">
        <f t="shared" si="83"/>
        <v>-</v>
      </c>
      <c r="V92" s="9" t="s">
        <v>0</v>
      </c>
      <c r="W92" s="9" t="str">
        <f t="shared" si="84"/>
        <v>-</v>
      </c>
      <c r="X92" s="9" t="s">
        <v>0</v>
      </c>
      <c r="Y92" s="9" t="str">
        <f t="shared" si="85"/>
        <v>-</v>
      </c>
      <c r="Z92" s="9" t="s">
        <v>0</v>
      </c>
      <c r="AA92" s="9" t="str">
        <f t="shared" si="67"/>
        <v>-</v>
      </c>
      <c r="AB92" s="9" t="s">
        <v>0</v>
      </c>
      <c r="AC92" s="9" t="str">
        <f t="shared" si="68"/>
        <v>-</v>
      </c>
      <c r="AD92" s="9" t="s">
        <v>0</v>
      </c>
      <c r="AE92" s="9" t="str">
        <f t="shared" si="69"/>
        <v>-</v>
      </c>
      <c r="AF92" s="9" t="s">
        <v>713</v>
      </c>
      <c r="AG92" s="9" t="s">
        <v>265</v>
      </c>
      <c r="AH92" s="9">
        <v>13.8</v>
      </c>
      <c r="AI92" s="9">
        <v>0.9</v>
      </c>
      <c r="AJ92" s="9">
        <v>0.98</v>
      </c>
      <c r="AK92" s="9">
        <v>15</v>
      </c>
      <c r="AL92" s="9">
        <v>1</v>
      </c>
      <c r="AM92" s="9">
        <v>1.2</v>
      </c>
      <c r="AN92" s="9">
        <v>1</v>
      </c>
      <c r="AO92" s="9">
        <v>2</v>
      </c>
      <c r="AP92" s="9">
        <v>0.6</v>
      </c>
      <c r="AQ92" s="9">
        <v>0.9</v>
      </c>
      <c r="AR92" s="9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473.63400000000001</v>
      </c>
      <c r="AS92" s="9">
        <f t="shared" si="86"/>
        <v>9.023939674112853</v>
      </c>
      <c r="AT92" s="9">
        <f>IF(RIGHT(BPD[[#This Row],[Device type]],7)="Winding","-",BPD[[#This Row],[Cont Winter MVA]])</f>
        <v>10.231224120309358</v>
      </c>
      <c r="AU92" s="9">
        <f>IF(RIGHT(BPD[[#This Row],[Device type]],7)="Winding","-",BPD[[#This Row],[Cont Shoulder MVA]])</f>
        <v>10.231224120309358</v>
      </c>
      <c r="AV92" s="9">
        <f>IF(RIGHT(BPD[[#This Row],[Device type]],7)="Winding","-",BPD[[#This Row],[Cont Summer MVA]])</f>
        <v>10.231224120309358</v>
      </c>
      <c r="AW92" s="9" t="str">
        <f>BPD[[#This Row],[24 Hr Winter MVA]]</f>
        <v>-</v>
      </c>
      <c r="AX92" s="9" t="str">
        <f>BPD[[#This Row],[24 Hr Summer MVA]]</f>
        <v>-</v>
      </c>
      <c r="AY92" s="9" t="str">
        <f>BPD[[#This Row],[Forwards MVA]]</f>
        <v>-</v>
      </c>
      <c r="AZ92" s="9" t="str">
        <f>BPD[[#This Row],[Relay MVA]]</f>
        <v>-</v>
      </c>
      <c r="BA92" s="9" t="str">
        <f>BPD[[#This Row],[CT MVA]]</f>
        <v>-</v>
      </c>
      <c r="BB92" s="9">
        <f>BPD[[#This Row],[Derating MVA]]</f>
        <v>9.023939674112853</v>
      </c>
      <c r="BC92" s="9" t="str">
        <f>BPD[[#This Row],[Station/Feeder]]&amp;BPD[[#This Row],[Lowest MVA]]</f>
        <v>CB12_Office9.02393967411285</v>
      </c>
      <c r="BD92" s="9" t="str">
        <f>CONCATENATE(BPD[[#This Row],[Supply Level]],BPD[[#This Row],[Station/Feeder]],BPD[[#This Row],[Voltage]],BPD[[#This Row],[Lowest A-No PTX]])</f>
        <v>DistributionFeederCB12_Office11473.634</v>
      </c>
      <c r="BE92" s="9" t="str">
        <f>CONCATENATE(BPD[[#This Row],[Supply Level]],BPD[[#This Row],[Station/Feeder]],BPD[[#This Row],[Voltage]],BPD[[#This Row],[Lowest A-PTX]])</f>
        <v>DistributionFeederCB12_Office11473.634</v>
      </c>
      <c r="BF92" s="9">
        <f>IF(MIN(BPD[[#This Row],[Summ Cont Winter A]:[Cable Derating]])=0,"",MIN(BPD[[#This Row],[Summ Cont Winter A]:[Cable Derating]]))</f>
        <v>9.023939674112853</v>
      </c>
      <c r="BG92" s="9">
        <f>IFERROR(BPD[[#This Row],[Lowest MVA]]*1000/(BPD[[#This Row],[Voltage]]*SQRT(3)),"")</f>
        <v>473.63399999999996</v>
      </c>
      <c r="BH92" s="9">
        <f t="shared" si="66"/>
        <v>473.63400000000001</v>
      </c>
      <c r="BI92" s="9" t="str">
        <f>BPD[[#This Row],[From]]</f>
        <v>CNR-CB12</v>
      </c>
      <c r="BJ92" s="9" t="str">
        <f>BPD[[#This Row],[To]]</f>
        <v>Joint</v>
      </c>
      <c r="BK92" s="9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Cable-3-1c 400mm² AL XLPE CWS MDPE</v>
      </c>
      <c r="BL92" s="9">
        <f>BPD[[#This Row],[Voltage]]</f>
        <v>11</v>
      </c>
    </row>
    <row r="93" spans="1:64" s="337" customFormat="1" ht="15.75" thickBot="1" x14ac:dyDescent="0.3">
      <c r="A93" s="191" t="str">
        <f>CONCATENATE(BPD[[#This Row],[Supply Level]],BPD[[#This Row],[Station/Feeder]],BPD[[#This Row],[Voltage]])</f>
        <v>DistributionFeederCB12_Office11</v>
      </c>
      <c r="B93" s="191" t="str">
        <f>CONCATENATE(BPD[[#This Row],[Supply Level]],BPD[[#This Row],[Station/Feeder]],BPD[[#This Row],[Equipment ID]],BPD[[#This Row],[Voltage]],BPD[[#This Row],[Device type]])</f>
        <v>DistributionFeederCB12_Office3-1c 400mm² AL XLPE CWS MDPE11-</v>
      </c>
      <c r="C93" s="191" t="s">
        <v>1276</v>
      </c>
      <c r="D93" s="192" t="s">
        <v>184</v>
      </c>
      <c r="E93" s="191" t="s">
        <v>750</v>
      </c>
      <c r="F93" s="191" t="s">
        <v>758</v>
      </c>
      <c r="G93" s="200">
        <v>3</v>
      </c>
      <c r="H93" s="193" t="s">
        <v>751</v>
      </c>
      <c r="I93" s="191" t="s">
        <v>2498</v>
      </c>
      <c r="J93" s="193" t="s">
        <v>250</v>
      </c>
      <c r="K93" s="193" t="s">
        <v>0</v>
      </c>
      <c r="L93" s="193" t="s">
        <v>0</v>
      </c>
      <c r="M93" s="175">
        <v>11</v>
      </c>
      <c r="N93" s="155">
        <v>537</v>
      </c>
      <c r="O93" s="155">
        <f t="shared" si="81"/>
        <v>10.231224120309358</v>
      </c>
      <c r="P93" s="155">
        <v>537</v>
      </c>
      <c r="Q93" s="155">
        <f t="shared" si="82"/>
        <v>10.231224120309358</v>
      </c>
      <c r="R93" s="155">
        <v>537</v>
      </c>
      <c r="S93" s="155">
        <f t="shared" si="55"/>
        <v>10.231224120309358</v>
      </c>
      <c r="T93" s="155" t="s">
        <v>0</v>
      </c>
      <c r="U93" s="155" t="str">
        <f t="shared" si="83"/>
        <v>-</v>
      </c>
      <c r="V93" s="155" t="s">
        <v>0</v>
      </c>
      <c r="W93" s="155" t="str">
        <f t="shared" si="84"/>
        <v>-</v>
      </c>
      <c r="X93" s="155" t="s">
        <v>0</v>
      </c>
      <c r="Y93" s="155" t="str">
        <f t="shared" si="85"/>
        <v>-</v>
      </c>
      <c r="Z93" s="155" t="s">
        <v>0</v>
      </c>
      <c r="AA93" s="155" t="str">
        <f t="shared" si="67"/>
        <v>-</v>
      </c>
      <c r="AB93" s="155" t="s">
        <v>0</v>
      </c>
      <c r="AC93" s="155" t="str">
        <f t="shared" si="68"/>
        <v>-</v>
      </c>
      <c r="AD93" s="155" t="s">
        <v>0</v>
      </c>
      <c r="AE93" s="155" t="str">
        <f t="shared" si="69"/>
        <v>-</v>
      </c>
      <c r="AF93" s="155" t="s">
        <v>713</v>
      </c>
      <c r="AG93" s="155" t="s">
        <v>265</v>
      </c>
      <c r="AH93" s="155">
        <v>238</v>
      </c>
      <c r="AI93" s="155">
        <v>0.9</v>
      </c>
      <c r="AJ93" s="155">
        <v>0.98</v>
      </c>
      <c r="AK93" s="155">
        <v>15</v>
      </c>
      <c r="AL93" s="155">
        <v>1</v>
      </c>
      <c r="AM93" s="155">
        <v>1.2</v>
      </c>
      <c r="AN93" s="155">
        <v>1</v>
      </c>
      <c r="AO93" s="155">
        <v>4</v>
      </c>
      <c r="AP93" s="155">
        <v>0.3</v>
      </c>
      <c r="AQ93" s="155">
        <v>0.75</v>
      </c>
      <c r="AR93" s="155">
        <f>IFERROR(IF(BPD[[#This Row],[Equipment Type]]="Cable",MAX(BPD[[#This Row],[Cont Winter A]],BPD[[#This Row],[Cont Shoulder A]],BPD[[#This Row],[Cont Summer A]])*(BPD[[#This Row],[Depth Factor]]*BPD[[#This Row],[Soil Temp Factor]]*BPD[[#This Row],[Soil TR Factor]]*BPD[[#This Row],[Mutual Heat Factor]]),"-"),"-")</f>
        <v>394.69499999999999</v>
      </c>
      <c r="AS93" s="155">
        <f t="shared" si="86"/>
        <v>7.5199497284273766</v>
      </c>
      <c r="AT93" s="155">
        <f>IF(RIGHT(BPD[[#This Row],[Device type]],7)="Winding","-",BPD[[#This Row],[Cont Winter MVA]])</f>
        <v>10.231224120309358</v>
      </c>
      <c r="AU93" s="155">
        <f>IF(RIGHT(BPD[[#This Row],[Device type]],7)="Winding","-",BPD[[#This Row],[Cont Shoulder MVA]])</f>
        <v>10.231224120309358</v>
      </c>
      <c r="AV93" s="155">
        <f>IF(RIGHT(BPD[[#This Row],[Device type]],7)="Winding","-",BPD[[#This Row],[Cont Summer MVA]])</f>
        <v>10.231224120309358</v>
      </c>
      <c r="AW93" s="155" t="str">
        <f>BPD[[#This Row],[24 Hr Winter MVA]]</f>
        <v>-</v>
      </c>
      <c r="AX93" s="155" t="str">
        <f>BPD[[#This Row],[24 Hr Summer MVA]]</f>
        <v>-</v>
      </c>
      <c r="AY93" s="155" t="str">
        <f>BPD[[#This Row],[Forwards MVA]]</f>
        <v>-</v>
      </c>
      <c r="AZ93" s="155" t="str">
        <f>BPD[[#This Row],[Relay MVA]]</f>
        <v>-</v>
      </c>
      <c r="BA93" s="155" t="str">
        <f>BPD[[#This Row],[CT MVA]]</f>
        <v>-</v>
      </c>
      <c r="BB93" s="155">
        <f>BPD[[#This Row],[Derating MVA]]</f>
        <v>7.5199497284273766</v>
      </c>
      <c r="BC93" s="155" t="str">
        <f>BPD[[#This Row],[Station/Feeder]]&amp;BPD[[#This Row],[Lowest MVA]]</f>
        <v>CB12_Office7.51994972842738</v>
      </c>
      <c r="BD93" s="155" t="str">
        <f>CONCATENATE(BPD[[#This Row],[Supply Level]],BPD[[#This Row],[Station/Feeder]],BPD[[#This Row],[Voltage]],BPD[[#This Row],[Lowest A-No PTX]])</f>
        <v>DistributionFeederCB12_Office11394.695</v>
      </c>
      <c r="BE93" s="155" t="str">
        <f>CONCATENATE(BPD[[#This Row],[Supply Level]],BPD[[#This Row],[Station/Feeder]],BPD[[#This Row],[Voltage]],BPD[[#This Row],[Lowest A-PTX]])</f>
        <v>DistributionFeederCB12_Office11394.695</v>
      </c>
      <c r="BF93" s="155">
        <f>IF(MIN(BPD[[#This Row],[Summ Cont Winter A]:[Cable Derating]])=0,"",MIN(BPD[[#This Row],[Summ Cont Winter A]:[Cable Derating]]))</f>
        <v>7.5199497284273766</v>
      </c>
      <c r="BG93" s="155">
        <f>IFERROR(BPD[[#This Row],[Lowest MVA]]*1000/(BPD[[#This Row],[Voltage]]*SQRT(3)),"")</f>
        <v>394.69499999999994</v>
      </c>
      <c r="BH93" s="155">
        <f t="shared" si="66"/>
        <v>394.69499999999999</v>
      </c>
      <c r="BI93" s="155" t="str">
        <f>BPD[[#This Row],[From]]</f>
        <v>Joint</v>
      </c>
      <c r="BJ93" s="155" t="str">
        <f>BPD[[#This Row],[To]]</f>
        <v>Y1200</v>
      </c>
      <c r="BK93" s="155" t="str">
        <f>IF(BPD[[#This Row],[Device type]]="-",BPD[[#This Row],[Equipment Type]]&amp;"-"&amp;BPD[[#This Row],[Equipment ID]],BPD[[#This Row],[Equipment Type]]&amp;"-"&amp;BPD[[#This Row],[Equipment ID]]&amp;"-"&amp;BPD[[#This Row],[Device type]])</f>
        <v>Cable-3-1c 400mm² AL XLPE CWS MDPE</v>
      </c>
      <c r="BL93" s="155">
        <f>BPD[[#This Row],[Voltage]]</f>
        <v>11</v>
      </c>
    </row>
    <row r="94" spans="1:64" s="337" customFormat="1" x14ac:dyDescent="0.25">
      <c r="A94" s="419" t="s">
        <v>0</v>
      </c>
      <c r="B94" s="419" t="s">
        <v>0</v>
      </c>
      <c r="C94" s="120" t="s">
        <v>0</v>
      </c>
      <c r="D94" s="120" t="s">
        <v>0</v>
      </c>
      <c r="E94" s="149" t="s">
        <v>0</v>
      </c>
      <c r="F94" s="149" t="s">
        <v>0</v>
      </c>
      <c r="G94" s="150" t="s">
        <v>0</v>
      </c>
      <c r="H94" s="154" t="s">
        <v>0</v>
      </c>
      <c r="I94" s="149" t="s">
        <v>0</v>
      </c>
      <c r="J94" s="156" t="s">
        <v>0</v>
      </c>
      <c r="K94" s="156" t="s">
        <v>0</v>
      </c>
      <c r="L94" s="156" t="s">
        <v>0</v>
      </c>
      <c r="M94" s="151" t="s">
        <v>0</v>
      </c>
      <c r="N94" s="151" t="s">
        <v>0</v>
      </c>
      <c r="O94" s="126">
        <f>SUBTOTAL(105,BPD[Cont Winter MVA])</f>
        <v>4.9555705655353153</v>
      </c>
      <c r="P94" s="151" t="s">
        <v>0</v>
      </c>
      <c r="Q94" s="126">
        <f>SUBTOTAL(105,BPD[Cont Winter MVA])</f>
        <v>4.9555705655353153</v>
      </c>
      <c r="R94" s="151" t="s">
        <v>0</v>
      </c>
      <c r="S94" s="126">
        <f>SUBTOTAL(105,BPD[Cont Winter MVA])</f>
        <v>4.9555705655353153</v>
      </c>
      <c r="T94" s="151" t="s">
        <v>0</v>
      </c>
      <c r="U94" s="126">
        <f>SUBTOTAL(105,BPD[24 Hr Winter MVA])</f>
        <v>34.294605989863769</v>
      </c>
      <c r="V94" s="151" t="s">
        <v>0</v>
      </c>
      <c r="W94" s="126">
        <f>SUBTOTAL(105,BPD[24 Hr Summer MVA])</f>
        <v>34.294605989863769</v>
      </c>
      <c r="X94" s="151" t="s">
        <v>0</v>
      </c>
      <c r="Y94" s="126" t="e">
        <f>SUBTOTAL(105,BPD[Forwards MVA])</f>
        <v>#N/A</v>
      </c>
      <c r="Z94" s="151" t="s">
        <v>0</v>
      </c>
      <c r="AA94" s="126">
        <f>SUBTOTAL(105,BPD[Reverse MVA])</f>
        <v>4.9555705655353153</v>
      </c>
      <c r="AB94" s="151" t="s">
        <v>0</v>
      </c>
      <c r="AC94" s="126">
        <f>SUBTOTAL(105,BPD[Relay MVA])</f>
        <v>114.31535329954589</v>
      </c>
      <c r="AD94" s="151" t="s">
        <v>0</v>
      </c>
      <c r="AE94" s="152">
        <f>SUBTOTAL(105,BPD[CT MVA])</f>
        <v>7.7734440243691205</v>
      </c>
      <c r="AF94" t="s">
        <v>0</v>
      </c>
      <c r="AG94" t="s">
        <v>0</v>
      </c>
      <c r="AH94" s="126" t="s">
        <v>0</v>
      </c>
      <c r="AI94" t="s">
        <v>0</v>
      </c>
      <c r="AJ94" s="153" t="s">
        <v>0</v>
      </c>
      <c r="AK94" t="s">
        <v>0</v>
      </c>
      <c r="AL94" s="153" t="s">
        <v>0</v>
      </c>
      <c r="AM94" t="s">
        <v>0</v>
      </c>
      <c r="AN94" s="153" t="s">
        <v>0</v>
      </c>
      <c r="AO94" t="s">
        <v>0</v>
      </c>
      <c r="AP94" t="s">
        <v>0</v>
      </c>
      <c r="AQ94" s="153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/>
      <c r="BF94" t="s">
        <v>0</v>
      </c>
      <c r="BG94" t="s">
        <v>0</v>
      </c>
      <c r="BH94"/>
      <c r="BI94" t="s">
        <v>0</v>
      </c>
      <c r="BJ94" t="s">
        <v>0</v>
      </c>
      <c r="BK94" t="s">
        <v>0</v>
      </c>
      <c r="BL94" t="s">
        <v>0</v>
      </c>
    </row>
  </sheetData>
  <mergeCells count="32">
    <mergeCell ref="E1:H1"/>
    <mergeCell ref="AF1:AS1"/>
    <mergeCell ref="I1:J1"/>
    <mergeCell ref="K1:L1"/>
    <mergeCell ref="N1:S1"/>
    <mergeCell ref="T1:W1"/>
    <mergeCell ref="X1:AE1"/>
    <mergeCell ref="AR2:AS2"/>
    <mergeCell ref="H2:H3"/>
    <mergeCell ref="N2:O2"/>
    <mergeCell ref="P2:Q2"/>
    <mergeCell ref="R2:S2"/>
    <mergeCell ref="T2:U2"/>
    <mergeCell ref="V2:W2"/>
    <mergeCell ref="X2:Y2"/>
    <mergeCell ref="Z2:AA2"/>
    <mergeCell ref="AB2:AC2"/>
    <mergeCell ref="AD2:AE2"/>
    <mergeCell ref="AI2:AJ2"/>
    <mergeCell ref="AK2:AL2"/>
    <mergeCell ref="AM2:AN2"/>
    <mergeCell ref="AO2:AQ2"/>
    <mergeCell ref="AT1:BL1"/>
    <mergeCell ref="AT2:AV2"/>
    <mergeCell ref="AW2:AX2"/>
    <mergeCell ref="AY2:BA2"/>
    <mergeCell ref="BB2:BB3"/>
    <mergeCell ref="BI2:BI3"/>
    <mergeCell ref="BJ2:BJ3"/>
    <mergeCell ref="BK2:BK3"/>
    <mergeCell ref="BL2:BL3"/>
    <mergeCell ref="BF2:BH2"/>
  </mergeCells>
  <pageMargins left="0.7" right="0.7" top="0.75" bottom="0.75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'Dropdown List'!$A$2:$A$8</xm:f>
          </x14:formula1>
          <xm:sqref>C5:C93</xm:sqref>
        </x14:dataValidation>
        <x14:dataValidation type="list" allowBlank="1" showInputMessage="1" showErrorMessage="1" xr:uid="{00000000-0002-0000-0700-000001000000}">
          <x14:formula1>
            <xm:f>'Dropdown List'!$B$27:$B$42</xm:f>
          </x14:formula1>
          <xm:sqref>D5:D93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BL42"/>
  <sheetViews>
    <sheetView showGridLines="0" zoomScale="70" zoomScaleNormal="70" workbookViewId="0">
      <pane xSplit="13" ySplit="4" topLeftCell="N5" activePane="bottomRight" state="frozen"/>
      <selection pane="topRight" activeCell="M1" sqref="M1"/>
      <selection pane="bottomLeft" activeCell="A5" sqref="A5"/>
      <selection pane="bottomRight" activeCell="N19" sqref="N19"/>
    </sheetView>
  </sheetViews>
  <sheetFormatPr defaultRowHeight="15" x14ac:dyDescent="0.25"/>
  <cols>
    <col min="1" max="1" width="41.85546875" hidden="1" customWidth="1"/>
    <col min="2" max="2" width="70.140625" hidden="1" customWidth="1"/>
    <col min="3" max="4" width="18.140625" bestFit="1" customWidth="1"/>
    <col min="5" max="6" width="10.42578125" bestFit="1" customWidth="1"/>
    <col min="7" max="7" width="9.42578125" bestFit="1" customWidth="1"/>
    <col min="8" max="8" width="45" bestFit="1" customWidth="1"/>
    <col min="9" max="9" width="23.42578125" bestFit="1" customWidth="1"/>
    <col min="10" max="10" width="16.28515625" bestFit="1" customWidth="1"/>
    <col min="11" max="11" width="13.7109375" bestFit="1" customWidth="1"/>
    <col min="12" max="12" width="11.85546875" bestFit="1" customWidth="1"/>
    <col min="13" max="13" width="10.7109375" bestFit="1" customWidth="1"/>
    <col min="14" max="14" width="15" bestFit="1" customWidth="1"/>
    <col min="15" max="15" width="17.42578125" bestFit="1" customWidth="1"/>
    <col min="16" max="16" width="16.28515625" bestFit="1" customWidth="1"/>
    <col min="17" max="17" width="18.85546875" bestFit="1" customWidth="1"/>
    <col min="18" max="18" width="15.85546875" bestFit="1" customWidth="1"/>
    <col min="19" max="19" width="18.42578125" bestFit="1" customWidth="1"/>
    <col min="20" max="20" width="15.42578125" bestFit="1" customWidth="1"/>
    <col min="21" max="21" width="18" bestFit="1" customWidth="1"/>
    <col min="22" max="22" width="16.28515625" bestFit="1" customWidth="1"/>
    <col min="23" max="23" width="18.85546875" bestFit="1" customWidth="1"/>
    <col min="24" max="24" width="12.28515625" bestFit="1" customWidth="1"/>
    <col min="25" max="25" width="15.28515625" bestFit="1" customWidth="1"/>
    <col min="26" max="26" width="12.140625" bestFit="1" customWidth="1"/>
    <col min="27" max="27" width="14.5703125" bestFit="1" customWidth="1"/>
    <col min="28" max="28" width="10.42578125" bestFit="1" customWidth="1"/>
    <col min="29" max="29" width="12.85546875" bestFit="1" customWidth="1"/>
    <col min="30" max="30" width="8.42578125" bestFit="1" customWidth="1"/>
    <col min="31" max="31" width="10.85546875" bestFit="1" customWidth="1"/>
    <col min="32" max="32" width="8.7109375" bestFit="1" customWidth="1"/>
    <col min="33" max="33" width="10.28515625" bestFit="1" customWidth="1"/>
    <col min="34" max="35" width="11.28515625" bestFit="1" customWidth="1"/>
    <col min="36" max="36" width="14.140625" bestFit="1" customWidth="1"/>
    <col min="37" max="37" width="13.140625" bestFit="1" customWidth="1"/>
    <col min="38" max="38" width="16.42578125" bestFit="1" customWidth="1"/>
    <col min="39" max="39" width="15.42578125" bestFit="1" customWidth="1"/>
    <col min="40" max="40" width="14.28515625" bestFit="1" customWidth="1"/>
    <col min="41" max="41" width="8.28515625" bestFit="1" customWidth="1"/>
    <col min="42" max="42" width="11.28515625" bestFit="1" customWidth="1"/>
    <col min="43" max="43" width="18.42578125" bestFit="1" customWidth="1"/>
    <col min="44" max="44" width="12.5703125" bestFit="1" customWidth="1"/>
    <col min="45" max="45" width="15" bestFit="1" customWidth="1"/>
    <col min="46" max="46" width="19.5703125" bestFit="1" customWidth="1"/>
    <col min="47" max="47" width="23.42578125" bestFit="1" customWidth="1"/>
    <col min="48" max="48" width="20.42578125" bestFit="1" customWidth="1"/>
    <col min="49" max="49" width="19.28515625" bestFit="1" customWidth="1"/>
    <col min="50" max="50" width="20.140625" bestFit="1" customWidth="1"/>
    <col min="51" max="51" width="16.7109375" bestFit="1" customWidth="1"/>
    <col min="52" max="52" width="16.5703125" bestFit="1" customWidth="1"/>
    <col min="53" max="53" width="12.85546875" bestFit="1" customWidth="1"/>
    <col min="54" max="54" width="15.28515625" bestFit="1" customWidth="1"/>
    <col min="55" max="57" width="34.28515625" hidden="1" customWidth="1"/>
    <col min="58" max="58" width="14" bestFit="1" customWidth="1"/>
    <col min="59" max="59" width="11.5703125" bestFit="1" customWidth="1"/>
    <col min="60" max="60" width="11.5703125" customWidth="1"/>
    <col min="61" max="61" width="13.42578125" bestFit="1" customWidth="1"/>
    <col min="62" max="62" width="11.5703125" bestFit="1" customWidth="1"/>
    <col min="63" max="63" width="39.85546875" hidden="1" customWidth="1"/>
    <col min="64" max="64" width="15.140625" bestFit="1" customWidth="1"/>
  </cols>
  <sheetData>
    <row r="1" spans="1:64" ht="15" customHeight="1" thickBot="1" x14ac:dyDescent="0.3">
      <c r="A1" s="18" t="s">
        <v>2398</v>
      </c>
      <c r="B1" s="18" t="s">
        <v>2398</v>
      </c>
      <c r="C1" s="18" t="s">
        <v>51</v>
      </c>
      <c r="D1" s="18" t="s">
        <v>73</v>
      </c>
      <c r="E1" s="605" t="s">
        <v>237</v>
      </c>
      <c r="F1" s="607"/>
      <c r="G1" s="607"/>
      <c r="H1" s="606"/>
      <c r="I1" s="605" t="s">
        <v>6</v>
      </c>
      <c r="J1" s="606"/>
      <c r="K1" s="605" t="s">
        <v>29</v>
      </c>
      <c r="L1" s="606"/>
      <c r="M1" s="18" t="s">
        <v>40</v>
      </c>
      <c r="N1" s="605" t="s">
        <v>263</v>
      </c>
      <c r="O1" s="607"/>
      <c r="P1" s="607"/>
      <c r="Q1" s="607"/>
      <c r="R1" s="607"/>
      <c r="S1" s="606"/>
      <c r="T1" s="605" t="s">
        <v>14</v>
      </c>
      <c r="U1" s="607"/>
      <c r="V1" s="607"/>
      <c r="W1" s="606"/>
      <c r="X1" s="605" t="s">
        <v>35</v>
      </c>
      <c r="Y1" s="607"/>
      <c r="Z1" s="607"/>
      <c r="AA1" s="607"/>
      <c r="AB1" s="607"/>
      <c r="AC1" s="607"/>
      <c r="AD1" s="607"/>
      <c r="AE1" s="606"/>
      <c r="AF1" s="605" t="s">
        <v>251</v>
      </c>
      <c r="AG1" s="607"/>
      <c r="AH1" s="607"/>
      <c r="AI1" s="607"/>
      <c r="AJ1" s="607"/>
      <c r="AK1" s="607"/>
      <c r="AL1" s="607"/>
      <c r="AM1" s="607"/>
      <c r="AN1" s="607"/>
      <c r="AO1" s="607"/>
      <c r="AP1" s="607"/>
      <c r="AQ1" s="607"/>
      <c r="AR1" s="607"/>
      <c r="AS1" s="606"/>
      <c r="AT1" s="605" t="s">
        <v>293</v>
      </c>
      <c r="AU1" s="607"/>
      <c r="AV1" s="607"/>
      <c r="AW1" s="607"/>
      <c r="AX1" s="607"/>
      <c r="AY1" s="607"/>
      <c r="AZ1" s="607"/>
      <c r="BA1" s="607"/>
      <c r="BB1" s="607"/>
      <c r="BC1" s="607"/>
      <c r="BD1" s="607"/>
      <c r="BE1" s="607"/>
      <c r="BF1" s="607"/>
      <c r="BG1" s="607"/>
      <c r="BH1" s="607"/>
      <c r="BI1" s="607"/>
      <c r="BJ1" s="607"/>
      <c r="BK1" s="607"/>
      <c r="BL1" s="606"/>
    </row>
    <row r="2" spans="1:64" ht="18" customHeight="1" thickBot="1" x14ac:dyDescent="0.3">
      <c r="A2" s="19" t="s">
        <v>2396</v>
      </c>
      <c r="B2" s="19" t="s">
        <v>1423</v>
      </c>
      <c r="C2" s="19" t="s">
        <v>3</v>
      </c>
      <c r="D2" s="19" t="s">
        <v>1276</v>
      </c>
      <c r="E2" s="19" t="s">
        <v>1</v>
      </c>
      <c r="F2" s="19" t="s">
        <v>2</v>
      </c>
      <c r="G2" s="19" t="s">
        <v>238</v>
      </c>
      <c r="H2" s="611" t="s">
        <v>692</v>
      </c>
      <c r="I2" s="19" t="s">
        <v>21</v>
      </c>
      <c r="J2" s="19" t="s">
        <v>22</v>
      </c>
      <c r="K2" s="19" t="s">
        <v>693</v>
      </c>
      <c r="L2" s="19" t="s">
        <v>694</v>
      </c>
      <c r="M2" s="19" t="s">
        <v>41</v>
      </c>
      <c r="N2" s="613" t="s">
        <v>39</v>
      </c>
      <c r="O2" s="614"/>
      <c r="P2" s="613" t="s">
        <v>65</v>
      </c>
      <c r="Q2" s="614"/>
      <c r="R2" s="613" t="s">
        <v>38</v>
      </c>
      <c r="S2" s="614"/>
      <c r="T2" s="605" t="s">
        <v>39</v>
      </c>
      <c r="U2" s="606"/>
      <c r="V2" s="605" t="s">
        <v>38</v>
      </c>
      <c r="W2" s="606"/>
      <c r="X2" s="605" t="s">
        <v>30</v>
      </c>
      <c r="Y2" s="606"/>
      <c r="Z2" s="605" t="s">
        <v>31</v>
      </c>
      <c r="AA2" s="606"/>
      <c r="AB2" s="605" t="s">
        <v>32</v>
      </c>
      <c r="AC2" s="606"/>
      <c r="AD2" s="605" t="s">
        <v>33</v>
      </c>
      <c r="AE2" s="606"/>
      <c r="AF2" s="34" t="s">
        <v>259</v>
      </c>
      <c r="AG2" s="34" t="s">
        <v>253</v>
      </c>
      <c r="AH2" s="25" t="s">
        <v>71</v>
      </c>
      <c r="AI2" s="613" t="s">
        <v>252</v>
      </c>
      <c r="AJ2" s="614"/>
      <c r="AK2" s="613" t="s">
        <v>254</v>
      </c>
      <c r="AL2" s="614"/>
      <c r="AM2" s="613" t="s">
        <v>695</v>
      </c>
      <c r="AN2" s="614"/>
      <c r="AO2" s="613" t="s">
        <v>257</v>
      </c>
      <c r="AP2" s="615"/>
      <c r="AQ2" s="614"/>
      <c r="AR2" s="605" t="s">
        <v>262</v>
      </c>
      <c r="AS2" s="606"/>
      <c r="AT2" s="605" t="s">
        <v>263</v>
      </c>
      <c r="AU2" s="607"/>
      <c r="AV2" s="606"/>
      <c r="AW2" s="605" t="s">
        <v>299</v>
      </c>
      <c r="AX2" s="606"/>
      <c r="AY2" s="605" t="s">
        <v>35</v>
      </c>
      <c r="AZ2" s="607"/>
      <c r="BA2" s="606"/>
      <c r="BB2" s="603" t="s">
        <v>294</v>
      </c>
      <c r="BC2" s="114" t="s">
        <v>21</v>
      </c>
      <c r="BD2" s="360" t="s">
        <v>2397</v>
      </c>
      <c r="BE2" s="360" t="s">
        <v>2397</v>
      </c>
      <c r="BF2" s="608" t="s">
        <v>1282</v>
      </c>
      <c r="BG2" s="609"/>
      <c r="BH2" s="610"/>
      <c r="BI2" s="603" t="s">
        <v>1</v>
      </c>
      <c r="BJ2" s="603" t="s">
        <v>2</v>
      </c>
      <c r="BK2" s="603" t="s">
        <v>6</v>
      </c>
      <c r="BL2" s="603" t="s">
        <v>298</v>
      </c>
    </row>
    <row r="3" spans="1:64" ht="15.75" thickBot="1" x14ac:dyDescent="0.3">
      <c r="A3" s="359" t="s">
        <v>2395</v>
      </c>
      <c r="B3" s="359" t="s">
        <v>2395</v>
      </c>
      <c r="C3" s="117"/>
      <c r="D3" s="117"/>
      <c r="E3" s="117"/>
      <c r="F3" s="117"/>
      <c r="G3" s="117"/>
      <c r="H3" s="612"/>
      <c r="I3" s="117"/>
      <c r="J3" s="117"/>
      <c r="K3" s="117"/>
      <c r="L3" s="117"/>
      <c r="M3" s="19" t="s">
        <v>27</v>
      </c>
      <c r="N3" s="19" t="s">
        <v>26</v>
      </c>
      <c r="O3" s="19" t="s">
        <v>28</v>
      </c>
      <c r="P3" s="19" t="s">
        <v>26</v>
      </c>
      <c r="Q3" s="19" t="s">
        <v>28</v>
      </c>
      <c r="R3" s="282" t="s">
        <v>26</v>
      </c>
      <c r="S3" s="19" t="s">
        <v>28</v>
      </c>
      <c r="T3" s="19" t="s">
        <v>26</v>
      </c>
      <c r="U3" s="19" t="s">
        <v>28</v>
      </c>
      <c r="V3" s="19" t="s">
        <v>26</v>
      </c>
      <c r="W3" s="19" t="s">
        <v>28</v>
      </c>
      <c r="X3" s="19" t="s">
        <v>26</v>
      </c>
      <c r="Y3" s="19" t="s">
        <v>28</v>
      </c>
      <c r="Z3" s="19" t="s">
        <v>26</v>
      </c>
      <c r="AA3" s="19" t="s">
        <v>28</v>
      </c>
      <c r="AB3" s="19" t="s">
        <v>26</v>
      </c>
      <c r="AC3" s="19" t="s">
        <v>28</v>
      </c>
      <c r="AD3" s="19" t="s">
        <v>26</v>
      </c>
      <c r="AE3" s="19" t="s">
        <v>28</v>
      </c>
      <c r="AF3" s="117" t="s">
        <v>260</v>
      </c>
      <c r="AG3" s="117" t="s">
        <v>26</v>
      </c>
      <c r="AH3" s="21" t="s">
        <v>72</v>
      </c>
      <c r="AI3" s="117" t="s">
        <v>72</v>
      </c>
      <c r="AJ3" s="30" t="s">
        <v>264</v>
      </c>
      <c r="AK3" s="117" t="s">
        <v>255</v>
      </c>
      <c r="AL3" s="30" t="s">
        <v>264</v>
      </c>
      <c r="AM3" s="117" t="s">
        <v>256</v>
      </c>
      <c r="AN3" s="30" t="s">
        <v>264</v>
      </c>
      <c r="AO3" s="117" t="s">
        <v>261</v>
      </c>
      <c r="AP3" s="117" t="s">
        <v>258</v>
      </c>
      <c r="AQ3" s="30" t="s">
        <v>264</v>
      </c>
      <c r="AR3" s="117" t="s">
        <v>26</v>
      </c>
      <c r="AS3" s="117" t="s">
        <v>28</v>
      </c>
      <c r="AT3" s="116" t="s">
        <v>39</v>
      </c>
      <c r="AU3" s="116" t="s">
        <v>65</v>
      </c>
      <c r="AV3" s="116" t="s">
        <v>38</v>
      </c>
      <c r="AW3" s="113" t="s">
        <v>39</v>
      </c>
      <c r="AX3" s="113" t="s">
        <v>38</v>
      </c>
      <c r="AY3" s="113" t="s">
        <v>30</v>
      </c>
      <c r="AZ3" s="113" t="s">
        <v>295</v>
      </c>
      <c r="BA3" s="113" t="s">
        <v>297</v>
      </c>
      <c r="BB3" s="604"/>
      <c r="BC3" s="115" t="s">
        <v>372</v>
      </c>
      <c r="BD3" s="383" t="s">
        <v>372</v>
      </c>
      <c r="BE3" s="383" t="s">
        <v>372</v>
      </c>
      <c r="BF3" s="371" t="s">
        <v>1280</v>
      </c>
      <c r="BG3" s="371" t="s">
        <v>1281</v>
      </c>
      <c r="BH3" s="371" t="s">
        <v>1281</v>
      </c>
      <c r="BI3" s="604"/>
      <c r="BJ3" s="604"/>
      <c r="BK3" s="604"/>
      <c r="BL3" s="604"/>
    </row>
    <row r="4" spans="1:64" s="60" customFormat="1" ht="15.75" thickBot="1" x14ac:dyDescent="0.3">
      <c r="A4" s="364" t="s">
        <v>2399</v>
      </c>
      <c r="B4" s="364" t="s">
        <v>2400</v>
      </c>
      <c r="C4" s="198" t="s">
        <v>1184</v>
      </c>
      <c r="D4" s="22" t="s">
        <v>1481</v>
      </c>
      <c r="E4" s="37" t="s">
        <v>1</v>
      </c>
      <c r="F4" s="37" t="s">
        <v>2</v>
      </c>
      <c r="G4" s="54" t="s">
        <v>238</v>
      </c>
      <c r="H4" s="23" t="s">
        <v>692</v>
      </c>
      <c r="I4" s="22" t="s">
        <v>1482</v>
      </c>
      <c r="J4" s="22" t="s">
        <v>1428</v>
      </c>
      <c r="K4" s="22" t="s">
        <v>693</v>
      </c>
      <c r="L4" s="37" t="s">
        <v>1483</v>
      </c>
      <c r="M4" s="54" t="s">
        <v>41</v>
      </c>
      <c r="N4" s="23" t="s">
        <v>1484</v>
      </c>
      <c r="O4" s="23" t="s">
        <v>1485</v>
      </c>
      <c r="P4" s="23" t="s">
        <v>1486</v>
      </c>
      <c r="Q4" s="23" t="s">
        <v>1487</v>
      </c>
      <c r="R4" s="23" t="s">
        <v>1488</v>
      </c>
      <c r="S4" s="23" t="s">
        <v>1489</v>
      </c>
      <c r="T4" s="23" t="s">
        <v>1490</v>
      </c>
      <c r="U4" s="23" t="s">
        <v>1491</v>
      </c>
      <c r="V4" s="23" t="s">
        <v>1492</v>
      </c>
      <c r="W4" s="23" t="s">
        <v>1493</v>
      </c>
      <c r="X4" s="23" t="s">
        <v>1494</v>
      </c>
      <c r="Y4" s="23" t="s">
        <v>1495</v>
      </c>
      <c r="Z4" s="23" t="s">
        <v>1496</v>
      </c>
      <c r="AA4" s="23" t="s">
        <v>1497</v>
      </c>
      <c r="AB4" s="23" t="s">
        <v>1498</v>
      </c>
      <c r="AC4" s="23" t="s">
        <v>1499</v>
      </c>
      <c r="AD4" s="23" t="s">
        <v>1500</v>
      </c>
      <c r="AE4" s="23" t="s">
        <v>1501</v>
      </c>
      <c r="AF4" s="23" t="s">
        <v>259</v>
      </c>
      <c r="AG4" s="23" t="s">
        <v>253</v>
      </c>
      <c r="AH4" s="23" t="s">
        <v>71</v>
      </c>
      <c r="AI4" s="23" t="s">
        <v>1502</v>
      </c>
      <c r="AJ4" s="31" t="s">
        <v>1503</v>
      </c>
      <c r="AK4" s="23" t="s">
        <v>1504</v>
      </c>
      <c r="AL4" s="31" t="s">
        <v>1505</v>
      </c>
      <c r="AM4" s="23" t="s">
        <v>1506</v>
      </c>
      <c r="AN4" s="31" t="s">
        <v>1507</v>
      </c>
      <c r="AO4" s="23" t="s">
        <v>1508</v>
      </c>
      <c r="AP4" s="31" t="s">
        <v>1509</v>
      </c>
      <c r="AQ4" s="31" t="s">
        <v>1510</v>
      </c>
      <c r="AR4" s="23" t="s">
        <v>1511</v>
      </c>
      <c r="AS4" s="23" t="s">
        <v>1512</v>
      </c>
      <c r="AT4" s="23" t="s">
        <v>1513</v>
      </c>
      <c r="AU4" s="23" t="s">
        <v>1514</v>
      </c>
      <c r="AV4" s="23" t="s">
        <v>1515</v>
      </c>
      <c r="AW4" s="23" t="s">
        <v>1516</v>
      </c>
      <c r="AX4" s="23" t="s">
        <v>1517</v>
      </c>
      <c r="AY4" s="23" t="s">
        <v>1518</v>
      </c>
      <c r="AZ4" s="23" t="s">
        <v>1519</v>
      </c>
      <c r="BA4" s="23" t="s">
        <v>1520</v>
      </c>
      <c r="BB4" s="23" t="s">
        <v>1521</v>
      </c>
      <c r="BC4" s="23" t="s">
        <v>1522</v>
      </c>
      <c r="BD4" s="23" t="s">
        <v>2652</v>
      </c>
      <c r="BE4" s="23" t="s">
        <v>2653</v>
      </c>
      <c r="BF4" s="23" t="s">
        <v>1523</v>
      </c>
      <c r="BG4" s="54" t="s">
        <v>2602</v>
      </c>
      <c r="BH4" s="54" t="s">
        <v>2603</v>
      </c>
      <c r="BI4" s="23" t="s">
        <v>1524</v>
      </c>
      <c r="BJ4" s="23" t="s">
        <v>1525</v>
      </c>
      <c r="BK4" s="23" t="s">
        <v>1526</v>
      </c>
      <c r="BL4" s="23" t="s">
        <v>1527</v>
      </c>
    </row>
    <row r="5" spans="1:64" x14ac:dyDescent="0.25">
      <c r="A5" s="3" t="str">
        <f>CONCATENATE(STU[[#This Row],[Supply Level]],STU[[#This Row],[Station/Feeder]],STU[[#This Row],[Voltage]],"T5")</f>
        <v>GXPSTU_GXP110T5</v>
      </c>
      <c r="B5" s="3" t="str">
        <f>CONCATENATE(STU[[#This Row],[Supply Level]],STU[[#This Row],[Station/Feeder]],STU[[#This Row],[Equipment ID]],STU[[#This Row],[Voltage]],STU[[#This Row],[Device type]])</f>
        <v>GXPSTU_GXPT5110HV Winding</v>
      </c>
      <c r="C5" s="3" t="s">
        <v>4</v>
      </c>
      <c r="D5" s="10" t="s">
        <v>74</v>
      </c>
      <c r="E5" s="3" t="s">
        <v>603</v>
      </c>
      <c r="F5" s="3" t="s">
        <v>243</v>
      </c>
      <c r="G5" s="26">
        <v>1</v>
      </c>
      <c r="H5" s="38" t="s">
        <v>760</v>
      </c>
      <c r="I5" s="38" t="s">
        <v>761</v>
      </c>
      <c r="J5" s="38" t="s">
        <v>19</v>
      </c>
      <c r="K5" s="38" t="s">
        <v>0</v>
      </c>
      <c r="L5" s="38" t="s">
        <v>36</v>
      </c>
      <c r="M5" s="4">
        <v>110</v>
      </c>
      <c r="N5" s="5">
        <v>52</v>
      </c>
      <c r="O5" s="5">
        <f t="shared" ref="O5:O41" si="0">IF(OR(N5="",N5="-"),"-",N5*$M5*SQRT(3)/1000)</f>
        <v>9.9073306192939778</v>
      </c>
      <c r="P5" s="5">
        <v>52</v>
      </c>
      <c r="Q5" s="5">
        <f t="shared" ref="Q5:Q41" si="1">IF(OR(P5="",P5="-"),"-",P5*$M5*SQRT(3)/1000)</f>
        <v>9.9073306192939778</v>
      </c>
      <c r="R5" s="5">
        <v>52</v>
      </c>
      <c r="S5" s="5">
        <f t="shared" ref="S5:S41" si="2">IF(OR(R5="",R5="-"),"-",R5*$M5*SQRT(3)/1000)</f>
        <v>9.9073306192939778</v>
      </c>
      <c r="T5" s="5">
        <v>62</v>
      </c>
      <c r="U5" s="5">
        <f t="shared" ref="U5:U41" si="3">IF(OR(T5="",T5="-"),"-",T5*$M5*SQRT(3)/1000)</f>
        <v>11.812586507619743</v>
      </c>
      <c r="V5" s="5">
        <v>60</v>
      </c>
      <c r="W5" s="5">
        <f t="shared" ref="W5:W41" si="4">IF(OR(V5="",V5="-"),"-",V5*$M5*SQRT(3)/1000)</f>
        <v>11.43153532995459</v>
      </c>
      <c r="X5" s="5" t="s">
        <v>0</v>
      </c>
      <c r="Y5" s="5" t="str">
        <f t="shared" ref="Y5:Y41" si="5">IF(OR(X5="",X5="-"),"-",X5*$M5*SQRT(3)/1000)</f>
        <v>-</v>
      </c>
      <c r="Z5" s="5" t="s">
        <v>0</v>
      </c>
      <c r="AA5" s="5" t="str">
        <f t="shared" ref="AA5:AA41" si="6">IF(OR(Z5="",Z5="-"),"-",Z5*$M5*SQRT(3)/1000)</f>
        <v>-</v>
      </c>
      <c r="AB5" s="5" t="s">
        <v>0</v>
      </c>
      <c r="AC5" s="5" t="str">
        <f t="shared" ref="AC5:AC41" si="7">IF(OR(AB5="",AB5="-"),"-",AB5*$M5*SQRT(3)/1000)</f>
        <v>-</v>
      </c>
      <c r="AD5" s="5" t="s">
        <v>0</v>
      </c>
      <c r="AE5" s="5" t="str">
        <f t="shared" ref="AE5:AE41" si="8">IF(OR(AD5="",AD5="-"),"-",AD5*$M5*SQRT(3)/1000)</f>
        <v>-</v>
      </c>
      <c r="AF5" s="5" t="s">
        <v>0</v>
      </c>
      <c r="AG5" s="5" t="s">
        <v>0</v>
      </c>
      <c r="AH5" s="4" t="s">
        <v>0</v>
      </c>
      <c r="AI5" s="5" t="s">
        <v>0</v>
      </c>
      <c r="AJ5" s="139" t="s">
        <v>0</v>
      </c>
      <c r="AK5" s="5" t="s">
        <v>0</v>
      </c>
      <c r="AL5" s="139" t="s">
        <v>0</v>
      </c>
      <c r="AM5" s="5" t="s">
        <v>0</v>
      </c>
      <c r="AN5" s="139" t="s">
        <v>0</v>
      </c>
      <c r="AO5" s="5" t="s">
        <v>0</v>
      </c>
      <c r="AP5" s="5" t="s">
        <v>0</v>
      </c>
      <c r="AQ5" s="139" t="s">
        <v>0</v>
      </c>
      <c r="AR5" s="5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5" s="5" t="str">
        <f t="shared" ref="AS5:AS41" si="9">IF(OR(AR5="",AR5="-"),"-",AR5*$M5*SQRT(3)/1000)</f>
        <v>-</v>
      </c>
      <c r="AT5" s="5" t="str">
        <f>IF(RIGHT(STU[[#This Row],[Device type]],7)="Winding","-",STU[[#This Row],[Cont Winter MVA]])</f>
        <v>-</v>
      </c>
      <c r="AU5" s="5" t="str">
        <f>IF(RIGHT(STU[[#This Row],[Device type]],7)="Winding","-",STU[[#This Row],[Cont Shoulder MVA]])</f>
        <v>-</v>
      </c>
      <c r="AV5" s="5" t="str">
        <f>IF(RIGHT(STU[[#This Row],[Device type]],7)="Winding","-",STU[[#This Row],[Cont Summer MVA]])</f>
        <v>-</v>
      </c>
      <c r="AW5" s="5" t="str">
        <f>IF(RIGHT(STU[[#This Row],[Device type]],7)="Winding","-",STU[[#This Row],[Cont Summer MVA]])</f>
        <v>-</v>
      </c>
      <c r="AX5" s="5" t="str">
        <f>IF(RIGHT(STU[[#This Row],[Device type]],7)="Winding","-",STU[[#This Row],[Cont Summer MVA]])</f>
        <v>-</v>
      </c>
      <c r="AY5" s="5" t="str">
        <f>STU[[#This Row],[Forwards MVA]]</f>
        <v>-</v>
      </c>
      <c r="AZ5" s="5" t="str">
        <f>STU[[#This Row],[Relay MVA]]</f>
        <v>-</v>
      </c>
      <c r="BA5" s="5" t="str">
        <f>STU[[#This Row],[CT MVA]]</f>
        <v>-</v>
      </c>
      <c r="BB5" s="5" t="str">
        <f>STU[[#This Row],[Derating MVA]]</f>
        <v>-</v>
      </c>
      <c r="BC5" s="5" t="str">
        <f>STU[[#This Row],[Station/Feeder]]&amp;STU[[#This Row],[Lowest MVA]]</f>
        <v>STU_GXP</v>
      </c>
      <c r="BD5" s="29" t="str">
        <f>CONCATENATE(STU[[#This Row],[Supply Level]],STU[[#This Row],[Station/Feeder]],STU[[#This Row],[Voltage]],STU[[#This Row],[Lowest A-No PTX]])</f>
        <v>GXPSTU_GXP110</v>
      </c>
      <c r="BE5" s="29" t="str">
        <f>CONCATENATE(STU[[#This Row],[Supply Level]],STU[[#This Row],[Station/Feeder]],STU[[#This Row],[Voltage]],STU[[#This Row],[Lowest A-PTX]])</f>
        <v>GXPSTU_GXP11052</v>
      </c>
      <c r="BF5" s="5" t="str">
        <f>IF(MIN(STU[[#This Row],[Summ Cont Winter A]:[Cable Derating]])=0,"",MIN(STU[[#This Row],[Summ Cont Winter A]:[Cable Derating]]))</f>
        <v/>
      </c>
      <c r="BG5" s="5" t="str">
        <f>IFERROR(STU[[#This Row],[Lowest MVA]]*1000/(STU[[#This Row],[Voltage]]*SQRT(3)),"")</f>
        <v/>
      </c>
      <c r="BH5" s="5">
        <f t="shared" ref="BH5:BH41" si="10">IF(MIN(N5,P5,R5,T5,V5,X5,Z5,AB5,AD5,AR5)=0,"",MIN(N5,P5,R5,T5,V5,X5,Z5,AB5,AD5,AR5))</f>
        <v>52</v>
      </c>
      <c r="BI5" s="5" t="str">
        <f>STU[[#This Row],[From]]</f>
        <v>110 kV Bus</v>
      </c>
      <c r="BJ5" s="5" t="str">
        <f>STU[[#This Row],[To]]</f>
        <v>11 kV Bus</v>
      </c>
      <c r="BK5" s="5" t="str">
        <f>IF(STU[[#This Row],[Device type]]="-",STU[[#This Row],[Equipment Type]]&amp;"-"&amp;STU[[#This Row],[Equipment ID]],STU[[#This Row],[Equipment Type]]&amp;"-"&amp;STU[[#This Row],[Equipment ID]]&amp;"-"&amp;STU[[#This Row],[Device type]])</f>
        <v>Transformer-T5-HV Winding</v>
      </c>
      <c r="BL5" s="5">
        <f>STU[[#This Row],[Voltage]]</f>
        <v>110</v>
      </c>
    </row>
    <row r="6" spans="1:64" x14ac:dyDescent="0.25">
      <c r="A6" s="14" t="str">
        <f>CONCATENATE(STU[[#This Row],[Supply Level]],STU[[#This Row],[Station/Feeder]],STU[[#This Row],[Voltage]],"T5")</f>
        <v>GXPSTU_GXP11.198T5</v>
      </c>
      <c r="B6" s="14" t="str">
        <f>CONCATENATE(STU[[#This Row],[Supply Level]],STU[[#This Row],[Station/Feeder]],STU[[#This Row],[Equipment ID]],STU[[#This Row],[Voltage]],STU[[#This Row],[Device type]])</f>
        <v>GXPSTU_GXPT511.198Tap Changer</v>
      </c>
      <c r="C6" s="14" t="s">
        <v>4</v>
      </c>
      <c r="D6" s="13" t="s">
        <v>74</v>
      </c>
      <c r="E6" s="14" t="s">
        <v>603</v>
      </c>
      <c r="F6" s="14" t="s">
        <v>243</v>
      </c>
      <c r="G6" s="28">
        <v>2</v>
      </c>
      <c r="H6" s="39" t="s">
        <v>760</v>
      </c>
      <c r="I6" s="39" t="s">
        <v>761</v>
      </c>
      <c r="J6" s="39" t="s">
        <v>19</v>
      </c>
      <c r="K6" s="39" t="s">
        <v>762</v>
      </c>
      <c r="L6" s="39" t="s">
        <v>20</v>
      </c>
      <c r="M6" s="8">
        <f t="shared" ref="M6:M9" si="11">11*1.018</f>
        <v>11.198</v>
      </c>
      <c r="N6" s="9">
        <v>600</v>
      </c>
      <c r="O6" s="9">
        <f t="shared" si="0"/>
        <v>11.637302965893772</v>
      </c>
      <c r="P6" s="9">
        <v>600</v>
      </c>
      <c r="Q6" s="9">
        <f t="shared" si="1"/>
        <v>11.637302965893772</v>
      </c>
      <c r="R6" s="9">
        <v>600</v>
      </c>
      <c r="S6" s="9">
        <f t="shared" si="2"/>
        <v>11.637302965893772</v>
      </c>
      <c r="T6" s="9">
        <v>720</v>
      </c>
      <c r="U6" s="9">
        <f t="shared" si="3"/>
        <v>13.964763559072528</v>
      </c>
      <c r="V6" s="9">
        <v>720</v>
      </c>
      <c r="W6" s="9">
        <f t="shared" si="4"/>
        <v>13.964763559072528</v>
      </c>
      <c r="X6" s="9" t="s">
        <v>0</v>
      </c>
      <c r="Y6" s="9" t="str">
        <f t="shared" si="5"/>
        <v>-</v>
      </c>
      <c r="Z6" s="9" t="s">
        <v>0</v>
      </c>
      <c r="AA6" s="9" t="str">
        <f t="shared" si="6"/>
        <v>-</v>
      </c>
      <c r="AB6" s="9" t="s">
        <v>0</v>
      </c>
      <c r="AC6" s="9" t="str">
        <f t="shared" si="7"/>
        <v>-</v>
      </c>
      <c r="AD6" s="9" t="s">
        <v>0</v>
      </c>
      <c r="AE6" s="12" t="str">
        <f t="shared" si="8"/>
        <v>-</v>
      </c>
      <c r="AF6" s="29" t="s">
        <v>0</v>
      </c>
      <c r="AG6" s="29" t="s">
        <v>0</v>
      </c>
      <c r="AH6" s="8" t="s">
        <v>0</v>
      </c>
      <c r="AI6" s="29" t="s">
        <v>0</v>
      </c>
      <c r="AJ6" s="32" t="s">
        <v>0</v>
      </c>
      <c r="AK6" s="29" t="s">
        <v>0</v>
      </c>
      <c r="AL6" s="32" t="s">
        <v>0</v>
      </c>
      <c r="AM6" s="29" t="s">
        <v>0</v>
      </c>
      <c r="AN6" s="32" t="s">
        <v>0</v>
      </c>
      <c r="AO6" s="29" t="s">
        <v>0</v>
      </c>
      <c r="AP6" s="29" t="s">
        <v>0</v>
      </c>
      <c r="AQ6" s="32" t="s">
        <v>0</v>
      </c>
      <c r="AR6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6" s="9" t="str">
        <f t="shared" si="9"/>
        <v>-</v>
      </c>
      <c r="AT6" s="9">
        <f>IF(RIGHT(STU[[#This Row],[Device type]],7)="Winding","-",STU[[#This Row],[Cont Winter MVA]])</f>
        <v>11.637302965893772</v>
      </c>
      <c r="AU6" s="9">
        <f>IF(RIGHT(STU[[#This Row],[Device type]],7)="Winding","-",STU[[#This Row],[Cont Shoulder MVA]])</f>
        <v>11.637302965893772</v>
      </c>
      <c r="AV6" s="9">
        <f>IF(RIGHT(STU[[#This Row],[Device type]],7)="Winding","-",STU[[#This Row],[Cont Summer MVA]])</f>
        <v>11.637302965893772</v>
      </c>
      <c r="AW6" s="9">
        <f>STU[[#This Row],[24 Hr Winter MVA]]</f>
        <v>13.964763559072528</v>
      </c>
      <c r="AX6" s="9">
        <f>STU[[#This Row],[24 Hr Summer MVA]]</f>
        <v>13.964763559072528</v>
      </c>
      <c r="AY6" s="9" t="str">
        <f>STU[[#This Row],[Forwards MVA]]</f>
        <v>-</v>
      </c>
      <c r="AZ6" s="9" t="str">
        <f>STU[[#This Row],[Relay MVA]]</f>
        <v>-</v>
      </c>
      <c r="BA6" s="9" t="str">
        <f>STU[[#This Row],[CT MVA]]</f>
        <v>-</v>
      </c>
      <c r="BB6" s="9" t="str">
        <f>STU[[#This Row],[Derating MVA]]</f>
        <v>-</v>
      </c>
      <c r="BC6" s="9" t="str">
        <f>STU[[#This Row],[Station/Feeder]]&amp;STU[[#This Row],[Lowest MVA]]</f>
        <v>STU_GXP11.6373029658938</v>
      </c>
      <c r="BD6" s="9" t="str">
        <f>CONCATENATE(STU[[#This Row],[Supply Level]],STU[[#This Row],[Station/Feeder]],STU[[#This Row],[Voltage]],STU[[#This Row],[Lowest A-No PTX]])</f>
        <v>GXPSTU_GXP11.198600</v>
      </c>
      <c r="BE6" s="9" t="str">
        <f>CONCATENATE(STU[[#This Row],[Supply Level]],STU[[#This Row],[Station/Feeder]],STU[[#This Row],[Voltage]],STU[[#This Row],[Lowest A-PTX]])</f>
        <v>GXPSTU_GXP11.198600</v>
      </c>
      <c r="BF6" s="9">
        <f>IF(MIN(STU[[#This Row],[Summ Cont Winter A]:[Cable Derating]])=0,"",MIN(STU[[#This Row],[Summ Cont Winter A]:[Cable Derating]]))</f>
        <v>11.637302965893772</v>
      </c>
      <c r="BG6" s="9">
        <f>IFERROR(STU[[#This Row],[Lowest MVA]]*1000/(STU[[#This Row],[Voltage]]*SQRT(3)),"")</f>
        <v>600</v>
      </c>
      <c r="BH6" s="9">
        <f t="shared" si="10"/>
        <v>600</v>
      </c>
      <c r="BI6" s="9" t="str">
        <f>STU[[#This Row],[From]]</f>
        <v>110 kV Bus</v>
      </c>
      <c r="BJ6" s="9" t="str">
        <f>STU[[#This Row],[To]]</f>
        <v>11 kV Bus</v>
      </c>
      <c r="BK6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Transformer-T5-Tap Changer</v>
      </c>
      <c r="BL6" s="9">
        <f>STU[[#This Row],[Voltage]]</f>
        <v>11.198</v>
      </c>
    </row>
    <row r="7" spans="1:64" x14ac:dyDescent="0.25">
      <c r="A7" s="6" t="str">
        <f>CONCATENATE(STU[[#This Row],[Supply Level]],STU[[#This Row],[Station/Feeder]],STU[[#This Row],[Voltage]],"T5")</f>
        <v>GXPSTU_GXP11.198T5</v>
      </c>
      <c r="B7" s="6" t="str">
        <f>CONCATENATE(STU[[#This Row],[Supply Level]],STU[[#This Row],[Station/Feeder]],STU[[#This Row],[Equipment ID]],STU[[#This Row],[Voltage]],STU[[#This Row],[Device type]])</f>
        <v>GXPSTU_GXPT511.198LV Winding</v>
      </c>
      <c r="C7" s="6" t="s">
        <v>4</v>
      </c>
      <c r="D7" s="11" t="s">
        <v>74</v>
      </c>
      <c r="E7" s="6" t="s">
        <v>603</v>
      </c>
      <c r="F7" s="6" t="s">
        <v>243</v>
      </c>
      <c r="G7" s="27">
        <v>3</v>
      </c>
      <c r="H7" s="7" t="s">
        <v>760</v>
      </c>
      <c r="I7" s="7" t="s">
        <v>761</v>
      </c>
      <c r="J7" s="7" t="s">
        <v>19</v>
      </c>
      <c r="K7" s="7" t="s">
        <v>0</v>
      </c>
      <c r="L7" s="7" t="s">
        <v>37</v>
      </c>
      <c r="M7" s="8">
        <v>11.198</v>
      </c>
      <c r="N7" s="9">
        <v>524</v>
      </c>
      <c r="O7" s="9">
        <f>IF(OR(N7="",N7="-"),"-",N7*$M7*SQRT(3)/1000)</f>
        <v>10.163244590213894</v>
      </c>
      <c r="P7" s="9">
        <v>524</v>
      </c>
      <c r="Q7" s="9">
        <f>IF(OR(P7="",P7="-"),"-",P7*$M7*SQRT(3)/1000)</f>
        <v>10.163244590213894</v>
      </c>
      <c r="R7" s="9">
        <v>524</v>
      </c>
      <c r="S7" s="9">
        <f>IF(OR(R7="",R7="-"),"-",R7*$M7*SQRT(3)/1000)</f>
        <v>10.163244590213894</v>
      </c>
      <c r="T7" s="9">
        <v>646</v>
      </c>
      <c r="U7" s="9">
        <f>IF(OR(T7="",T7="-"),"-",T7*$M7*SQRT(3)/1000)</f>
        <v>12.529496193278961</v>
      </c>
      <c r="V7" s="9">
        <v>604</v>
      </c>
      <c r="W7" s="9">
        <f>IF(OR(V7="",V7="-"),"-",V7*$M7*SQRT(3)/1000)</f>
        <v>11.714884985666398</v>
      </c>
      <c r="X7" s="9" t="s">
        <v>0</v>
      </c>
      <c r="Y7" s="9" t="str">
        <f>IF(OR(X7="",X7="-"),"-",X7*$M7*SQRT(3)/1000)</f>
        <v>-</v>
      </c>
      <c r="Z7" s="9" t="s">
        <v>0</v>
      </c>
      <c r="AA7" s="9" t="str">
        <f>IF(OR(Z7="",Z7="-"),"-",Z7*$M7*SQRT(3)/1000)</f>
        <v>-</v>
      </c>
      <c r="AB7" s="9" t="s">
        <v>0</v>
      </c>
      <c r="AC7" s="9" t="str">
        <f>IF(OR(AB7="",AB7="-"),"-",AB7*$M7*SQRT(3)/1000)</f>
        <v>-</v>
      </c>
      <c r="AD7" s="9" t="s">
        <v>0</v>
      </c>
      <c r="AE7" s="9" t="str">
        <f>IF(OR(AD7="",AD7="-"),"-",AD7*$M7*SQRT(3)/1000)</f>
        <v>-</v>
      </c>
      <c r="AF7" s="9" t="s">
        <v>0</v>
      </c>
      <c r="AG7" s="9" t="s">
        <v>0</v>
      </c>
      <c r="AH7" s="9" t="s">
        <v>0</v>
      </c>
      <c r="AI7" s="9" t="s">
        <v>0</v>
      </c>
      <c r="AJ7" s="43" t="s">
        <v>0</v>
      </c>
      <c r="AK7" s="9" t="s">
        <v>0</v>
      </c>
      <c r="AL7" s="43" t="s">
        <v>0</v>
      </c>
      <c r="AM7" s="9" t="s">
        <v>0</v>
      </c>
      <c r="AN7" s="43" t="s">
        <v>0</v>
      </c>
      <c r="AO7" s="9" t="s">
        <v>0</v>
      </c>
      <c r="AP7" s="9" t="s">
        <v>0</v>
      </c>
      <c r="AQ7" s="43" t="s">
        <v>0</v>
      </c>
      <c r="AR7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7" s="9" t="str">
        <f>IF(OR(AR7="",AR7="-"),"-",AR7*$M7*SQRT(3)/1000)</f>
        <v>-</v>
      </c>
      <c r="AT7" s="9" t="str">
        <f>IF(RIGHT(STU[[#This Row],[Device type]],7)="Winding","-",STU[[#This Row],[Cont Winter MVA]])</f>
        <v>-</v>
      </c>
      <c r="AU7" s="9" t="str">
        <f>IF(RIGHT(STU[[#This Row],[Device type]],7)="Winding","-",STU[[#This Row],[Cont Shoulder MVA]])</f>
        <v>-</v>
      </c>
      <c r="AV7" s="9" t="str">
        <f>IF(RIGHT(STU[[#This Row],[Device type]],7)="Winding","-",STU[[#This Row],[Cont Summer MVA]])</f>
        <v>-</v>
      </c>
      <c r="AW7" s="9" t="str">
        <f>IF(RIGHT(STU[[#This Row],[Device type]],7)="Winding","-",STU[[#This Row],[Cont Summer MVA]])</f>
        <v>-</v>
      </c>
      <c r="AX7" s="9" t="str">
        <f>IF(RIGHT(STU[[#This Row],[Device type]],7)="Winding","-",STU[[#This Row],[Cont Summer MVA]])</f>
        <v>-</v>
      </c>
      <c r="AY7" s="9" t="str">
        <f>STU[[#This Row],[Forwards MVA]]</f>
        <v>-</v>
      </c>
      <c r="AZ7" s="9" t="str">
        <f>STU[[#This Row],[Relay MVA]]</f>
        <v>-</v>
      </c>
      <c r="BA7" s="9" t="str">
        <f>STU[[#This Row],[CT MVA]]</f>
        <v>-</v>
      </c>
      <c r="BB7" s="9" t="str">
        <f>STU[[#This Row],[Derating MVA]]</f>
        <v>-</v>
      </c>
      <c r="BC7" s="9" t="str">
        <f>STU[[#This Row],[Station/Feeder]]&amp;STU[[#This Row],[Lowest MVA]]</f>
        <v>STU_GXP</v>
      </c>
      <c r="BD7" s="9" t="str">
        <f>CONCATENATE(STU[[#This Row],[Supply Level]],STU[[#This Row],[Station/Feeder]],STU[[#This Row],[Voltage]],STU[[#This Row],[Lowest A-No PTX]])</f>
        <v>GXPSTU_GXP11.198</v>
      </c>
      <c r="BE7" s="9" t="str">
        <f>CONCATENATE(STU[[#This Row],[Supply Level]],STU[[#This Row],[Station/Feeder]],STU[[#This Row],[Voltage]],STU[[#This Row],[Lowest A-PTX]])</f>
        <v>GXPSTU_GXP11.198524</v>
      </c>
      <c r="BF7" s="9" t="str">
        <f>IF(MIN(STU[[#This Row],[Summ Cont Winter A]:[Cable Derating]])=0,"",MIN(STU[[#This Row],[Summ Cont Winter A]:[Cable Derating]]))</f>
        <v/>
      </c>
      <c r="BG7" s="9" t="str">
        <f>IFERROR(STU[[#This Row],[Lowest MVA]]*1000/(STU[[#This Row],[Voltage]]*SQRT(3)),"")</f>
        <v/>
      </c>
      <c r="BH7" s="9">
        <f t="shared" si="10"/>
        <v>524</v>
      </c>
      <c r="BI7" s="9" t="str">
        <f>STU[[#This Row],[From]]</f>
        <v>110 kV Bus</v>
      </c>
      <c r="BJ7" s="9" t="str">
        <f>STU[[#This Row],[To]]</f>
        <v>11 kV Bus</v>
      </c>
      <c r="BK7" s="9" t="str">
        <f>IF(STU[[#This Row],[Device type]]="-",STU[[#This Row],[Equipment Type]]&amp;" - "&amp;STU[[#This Row],[Equipment ID]],STU[[#This Row],[Equipment Type]]&amp;" - "&amp;STU[[#This Row],[Equipment ID]]&amp;" - "&amp;STU[[#This Row],[Device type]])</f>
        <v>Transformer - T5 - LV Winding</v>
      </c>
      <c r="BL7" s="9">
        <f>STU[[#This Row],[Voltage]]</f>
        <v>11.198</v>
      </c>
    </row>
    <row r="8" spans="1:64" x14ac:dyDescent="0.25">
      <c r="A8" s="6" t="str">
        <f>CONCATENATE(STU[[#This Row],[Supply Level]],STU[[#This Row],[Station/Feeder]],STU[[#This Row],[Voltage]],"T5")</f>
        <v>GXPSTU_GXP11.198T5</v>
      </c>
      <c r="B8" s="6" t="str">
        <f>CONCATENATE(STU[[#This Row],[Supply Level]],STU[[#This Row],[Station/Feeder]],STU[[#This Row],[Equipment ID]],STU[[#This Row],[Voltage]],STU[[#This Row],[Device type]])</f>
        <v>GXPSTU_GXPSTU-CBL-281211.198Cable</v>
      </c>
      <c r="C8" s="6" t="s">
        <v>4</v>
      </c>
      <c r="D8" s="11" t="s">
        <v>74</v>
      </c>
      <c r="E8" s="6" t="s">
        <v>603</v>
      </c>
      <c r="F8" s="6" t="s">
        <v>243</v>
      </c>
      <c r="G8" s="27">
        <v>4</v>
      </c>
      <c r="H8" s="7" t="s">
        <v>760</v>
      </c>
      <c r="I8" s="7" t="s">
        <v>763</v>
      </c>
      <c r="J8" s="7" t="s">
        <v>250</v>
      </c>
      <c r="K8" s="7" t="s">
        <v>763</v>
      </c>
      <c r="L8" s="7" t="s">
        <v>250</v>
      </c>
      <c r="M8" s="8">
        <f t="shared" si="11"/>
        <v>11.198</v>
      </c>
      <c r="N8" s="9">
        <v>662</v>
      </c>
      <c r="O8" s="9">
        <f t="shared" si="0"/>
        <v>12.839824272369462</v>
      </c>
      <c r="P8" s="9">
        <v>662</v>
      </c>
      <c r="Q8" s="9">
        <f t="shared" si="1"/>
        <v>12.839824272369462</v>
      </c>
      <c r="R8" s="9">
        <v>662</v>
      </c>
      <c r="S8" s="9">
        <f t="shared" si="2"/>
        <v>12.839824272369462</v>
      </c>
      <c r="T8" s="9" t="s">
        <v>0</v>
      </c>
      <c r="U8" s="9" t="str">
        <f t="shared" si="3"/>
        <v>-</v>
      </c>
      <c r="V8" s="9" t="s">
        <v>0</v>
      </c>
      <c r="W8" s="9" t="str">
        <f t="shared" si="4"/>
        <v>-</v>
      </c>
      <c r="X8" s="9" t="s">
        <v>0</v>
      </c>
      <c r="Y8" s="9" t="str">
        <f t="shared" si="5"/>
        <v>-</v>
      </c>
      <c r="Z8" s="9" t="s">
        <v>0</v>
      </c>
      <c r="AA8" s="9" t="str">
        <f t="shared" si="6"/>
        <v>-</v>
      </c>
      <c r="AB8" s="9" t="s">
        <v>0</v>
      </c>
      <c r="AC8" s="9" t="str">
        <f t="shared" si="7"/>
        <v>-</v>
      </c>
      <c r="AD8" s="9" t="s">
        <v>0</v>
      </c>
      <c r="AE8" s="12" t="str">
        <f t="shared" si="8"/>
        <v>-</v>
      </c>
      <c r="AF8" s="29" t="s">
        <v>0</v>
      </c>
      <c r="AG8" s="29" t="s">
        <v>0</v>
      </c>
      <c r="AH8" s="8">
        <v>71</v>
      </c>
      <c r="AI8" s="29" t="s">
        <v>0</v>
      </c>
      <c r="AJ8" s="32" t="s">
        <v>0</v>
      </c>
      <c r="AK8" s="29" t="s">
        <v>0</v>
      </c>
      <c r="AL8" s="32" t="s">
        <v>0</v>
      </c>
      <c r="AM8" s="29" t="s">
        <v>0</v>
      </c>
      <c r="AN8" s="32" t="s">
        <v>0</v>
      </c>
      <c r="AO8" s="29" t="s">
        <v>0</v>
      </c>
      <c r="AP8" s="29" t="s">
        <v>0</v>
      </c>
      <c r="AQ8" s="32" t="s">
        <v>0</v>
      </c>
      <c r="AR8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8" s="9" t="str">
        <f t="shared" si="9"/>
        <v>-</v>
      </c>
      <c r="AT8" s="9">
        <f>IF(RIGHT(STU[[#This Row],[Device type]],7)="Winding","-",STU[[#This Row],[Cont Winter MVA]])</f>
        <v>12.839824272369462</v>
      </c>
      <c r="AU8" s="9">
        <f>IF(RIGHT(STU[[#This Row],[Device type]],7)="Winding","-",STU[[#This Row],[Cont Shoulder MVA]])</f>
        <v>12.839824272369462</v>
      </c>
      <c r="AV8" s="9">
        <f>IF(RIGHT(STU[[#This Row],[Device type]],7)="Winding","-",STU[[#This Row],[Cont Summer MVA]])</f>
        <v>12.839824272369462</v>
      </c>
      <c r="AW8" s="9" t="str">
        <f>STU[[#This Row],[24 Hr Winter MVA]]</f>
        <v>-</v>
      </c>
      <c r="AX8" s="9" t="str">
        <f>STU[[#This Row],[24 Hr Summer MVA]]</f>
        <v>-</v>
      </c>
      <c r="AY8" s="9" t="str">
        <f>STU[[#This Row],[Forwards MVA]]</f>
        <v>-</v>
      </c>
      <c r="AZ8" s="9" t="str">
        <f>STU[[#This Row],[Relay MVA]]</f>
        <v>-</v>
      </c>
      <c r="BA8" s="9" t="str">
        <f>STU[[#This Row],[CT MVA]]</f>
        <v>-</v>
      </c>
      <c r="BB8" s="9" t="str">
        <f>STU[[#This Row],[Derating MVA]]</f>
        <v>-</v>
      </c>
      <c r="BC8" s="9" t="str">
        <f>STU[[#This Row],[Station/Feeder]]&amp;STU[[#This Row],[Lowest MVA]]</f>
        <v>STU_GXP12.8398242723695</v>
      </c>
      <c r="BD8" s="9" t="str">
        <f>CONCATENATE(STU[[#This Row],[Supply Level]],STU[[#This Row],[Station/Feeder]],STU[[#This Row],[Voltage]],STU[[#This Row],[Lowest A-No PTX]])</f>
        <v>GXPSTU_GXP11.198662</v>
      </c>
      <c r="BE8" s="9" t="str">
        <f>CONCATENATE(STU[[#This Row],[Supply Level]],STU[[#This Row],[Station/Feeder]],STU[[#This Row],[Voltage]],STU[[#This Row],[Lowest A-PTX]])</f>
        <v>GXPSTU_GXP11.198662</v>
      </c>
      <c r="BF8" s="9">
        <f>IF(MIN(STU[[#This Row],[Summ Cont Winter A]:[Cable Derating]])=0,"",MIN(STU[[#This Row],[Summ Cont Winter A]:[Cable Derating]]))</f>
        <v>12.839824272369462</v>
      </c>
      <c r="BG8" s="9">
        <f>IFERROR(STU[[#This Row],[Lowest MVA]]*1000/(STU[[#This Row],[Voltage]]*SQRT(3)),"")</f>
        <v>662</v>
      </c>
      <c r="BH8" s="9">
        <f t="shared" si="10"/>
        <v>662</v>
      </c>
      <c r="BI8" s="9" t="str">
        <f>STU[[#This Row],[From]]</f>
        <v>110 kV Bus</v>
      </c>
      <c r="BJ8" s="9" t="str">
        <f>STU[[#This Row],[To]]</f>
        <v>11 kV Bus</v>
      </c>
      <c r="BK8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Cable-STU-CBL-2812-Cable</v>
      </c>
      <c r="BL8" s="9">
        <f>STU[[#This Row],[Voltage]]</f>
        <v>11.198</v>
      </c>
    </row>
    <row r="9" spans="1:64" x14ac:dyDescent="0.25">
      <c r="A9" s="6" t="str">
        <f>CONCATENATE(STU[[#This Row],[Supply Level]],STU[[#This Row],[Station/Feeder]],STU[[#This Row],[Voltage]],"T5")</f>
        <v>GXPSTU_GXP11.198T5</v>
      </c>
      <c r="B9" s="6" t="str">
        <f>CONCATENATE(STU[[#This Row],[Supply Level]],STU[[#This Row],[Station/Feeder]],STU[[#This Row],[Equipment ID]],STU[[#This Row],[Voltage]],STU[[#This Row],[Device type]])</f>
        <v>GXPSTU_GXPSTU CB4\CB281211.198Protection</v>
      </c>
      <c r="C9" s="6" t="s">
        <v>4</v>
      </c>
      <c r="D9" s="11" t="s">
        <v>74</v>
      </c>
      <c r="E9" s="6" t="s">
        <v>603</v>
      </c>
      <c r="F9" s="6" t="s">
        <v>243</v>
      </c>
      <c r="G9" s="27">
        <v>5</v>
      </c>
      <c r="H9" s="7" t="s">
        <v>2351</v>
      </c>
      <c r="I9" s="7" t="s">
        <v>1385</v>
      </c>
      <c r="J9" s="7" t="s">
        <v>15</v>
      </c>
      <c r="K9" s="7" t="s">
        <v>1121</v>
      </c>
      <c r="L9" s="7" t="s">
        <v>1423</v>
      </c>
      <c r="M9" s="8">
        <f t="shared" si="11"/>
        <v>11.198</v>
      </c>
      <c r="N9" s="9">
        <v>1250</v>
      </c>
      <c r="O9" s="9">
        <f t="shared" si="0"/>
        <v>24.244381178945357</v>
      </c>
      <c r="P9" s="9">
        <v>1250</v>
      </c>
      <c r="Q9" s="9">
        <f t="shared" si="1"/>
        <v>24.244381178945357</v>
      </c>
      <c r="R9" s="9">
        <v>1250</v>
      </c>
      <c r="S9" s="9">
        <f t="shared" si="2"/>
        <v>24.244381178945357</v>
      </c>
      <c r="T9" s="9" t="s">
        <v>0</v>
      </c>
      <c r="U9" s="9" t="str">
        <f t="shared" si="3"/>
        <v>-</v>
      </c>
      <c r="V9" s="9" t="s">
        <v>0</v>
      </c>
      <c r="W9" s="9" t="str">
        <f t="shared" si="4"/>
        <v>-</v>
      </c>
      <c r="X9" s="9">
        <v>823</v>
      </c>
      <c r="Y9" s="9">
        <f t="shared" si="5"/>
        <v>15.962500568217623</v>
      </c>
      <c r="Z9" s="9">
        <v>823</v>
      </c>
      <c r="AA9" s="9">
        <f t="shared" si="6"/>
        <v>15.962500568217623</v>
      </c>
      <c r="AB9" s="9">
        <v>3600</v>
      </c>
      <c r="AC9" s="9">
        <f t="shared" si="7"/>
        <v>69.823817795362643</v>
      </c>
      <c r="AD9" s="9">
        <v>2400</v>
      </c>
      <c r="AE9" s="12">
        <f t="shared" si="8"/>
        <v>46.549211863575088</v>
      </c>
      <c r="AF9" s="29" t="s">
        <v>0</v>
      </c>
      <c r="AG9" s="29" t="s">
        <v>0</v>
      </c>
      <c r="AH9" s="8" t="s">
        <v>0</v>
      </c>
      <c r="AI9" s="29" t="s">
        <v>0</v>
      </c>
      <c r="AJ9" s="32" t="s">
        <v>0</v>
      </c>
      <c r="AK9" s="29" t="s">
        <v>0</v>
      </c>
      <c r="AL9" s="32" t="s">
        <v>0</v>
      </c>
      <c r="AM9" s="29" t="s">
        <v>0</v>
      </c>
      <c r="AN9" s="32" t="s">
        <v>0</v>
      </c>
      <c r="AO9" s="29" t="s">
        <v>0</v>
      </c>
      <c r="AP9" s="29" t="s">
        <v>0</v>
      </c>
      <c r="AQ9" s="32" t="s">
        <v>0</v>
      </c>
      <c r="AR9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9" s="9" t="str">
        <f t="shared" si="9"/>
        <v>-</v>
      </c>
      <c r="AT9" s="9">
        <f>IF(RIGHT(STU[[#This Row],[Device type]],7)="Winding","-",STU[[#This Row],[Cont Winter MVA]])</f>
        <v>24.244381178945357</v>
      </c>
      <c r="AU9" s="9">
        <f>IF(RIGHT(STU[[#This Row],[Device type]],7)="Winding","-",STU[[#This Row],[Cont Shoulder MVA]])</f>
        <v>24.244381178945357</v>
      </c>
      <c r="AV9" s="9">
        <f>IF(RIGHT(STU[[#This Row],[Device type]],7)="Winding","-",STU[[#This Row],[Cont Summer MVA]])</f>
        <v>24.244381178945357</v>
      </c>
      <c r="AW9" s="9" t="str">
        <f>STU[[#This Row],[24 Hr Winter MVA]]</f>
        <v>-</v>
      </c>
      <c r="AX9" s="9" t="str">
        <f>STU[[#This Row],[24 Hr Summer MVA]]</f>
        <v>-</v>
      </c>
      <c r="AY9" s="9">
        <f>STU[[#This Row],[Forwards MVA]]</f>
        <v>15.962500568217623</v>
      </c>
      <c r="AZ9" s="9">
        <f>STU[[#This Row],[Relay MVA]]</f>
        <v>69.823817795362643</v>
      </c>
      <c r="BA9" s="9">
        <f>STU[[#This Row],[CT MVA]]</f>
        <v>46.549211863575088</v>
      </c>
      <c r="BB9" s="9" t="str">
        <f>STU[[#This Row],[Derating MVA]]</f>
        <v>-</v>
      </c>
      <c r="BC9" s="9" t="str">
        <f>STU[[#This Row],[Station/Feeder]]&amp;STU[[#This Row],[Lowest MVA]]</f>
        <v>STU_GXP15.9625005682176</v>
      </c>
      <c r="BD9" s="9" t="str">
        <f>CONCATENATE(STU[[#This Row],[Supply Level]],STU[[#This Row],[Station/Feeder]],STU[[#This Row],[Voltage]],STU[[#This Row],[Lowest A-No PTX]])</f>
        <v>GXPSTU_GXP11.198823</v>
      </c>
      <c r="BE9" s="9" t="str">
        <f>CONCATENATE(STU[[#This Row],[Supply Level]],STU[[#This Row],[Station/Feeder]],STU[[#This Row],[Voltage]],STU[[#This Row],[Lowest A-PTX]])</f>
        <v>GXPSTU_GXP11.198823</v>
      </c>
      <c r="BF9" s="9">
        <f>IF(MIN(STU[[#This Row],[Summ Cont Winter A]:[Cable Derating]])=0,"",MIN(STU[[#This Row],[Summ Cont Winter A]:[Cable Derating]]))</f>
        <v>15.962500568217623</v>
      </c>
      <c r="BG9" s="9">
        <f>IFERROR(STU[[#This Row],[Lowest MVA]]*1000/(STU[[#This Row],[Voltage]]*SQRT(3)),"")</f>
        <v>823</v>
      </c>
      <c r="BH9" s="9">
        <f t="shared" si="10"/>
        <v>823</v>
      </c>
      <c r="BI9" s="9" t="str">
        <f>STU[[#This Row],[From]]</f>
        <v>110 kV Bus</v>
      </c>
      <c r="BJ9" s="9" t="str">
        <f>STU[[#This Row],[To]]</f>
        <v>11 kV Bus</v>
      </c>
      <c r="BK9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Circuit Breaker-STU CB4\CB2812-Protection</v>
      </c>
      <c r="BL9" s="9">
        <f>STU[[#This Row],[Voltage]]</f>
        <v>11.198</v>
      </c>
    </row>
    <row r="10" spans="1:64" x14ac:dyDescent="0.25">
      <c r="A10" s="6" t="str">
        <f>CONCATENATE(STU[[#This Row],[Supply Level]],STU[[#This Row],[Station/Feeder]],STU[[#This Row],[Voltage]],"T6")</f>
        <v>GXPSTU_GXP110T6</v>
      </c>
      <c r="B10" s="6" t="str">
        <f>CONCATENATE(STU[[#This Row],[Supply Level]],STU[[#This Row],[Station/Feeder]],STU[[#This Row],[Equipment ID]],STU[[#This Row],[Voltage]],STU[[#This Row],[Device type]])</f>
        <v>GXPSTU_GXPT6110HV Winding</v>
      </c>
      <c r="C10" s="6" t="s">
        <v>4</v>
      </c>
      <c r="D10" s="11" t="s">
        <v>74</v>
      </c>
      <c r="E10" s="6" t="s">
        <v>603</v>
      </c>
      <c r="F10" s="6" t="s">
        <v>243</v>
      </c>
      <c r="G10" s="27">
        <v>1</v>
      </c>
      <c r="H10" s="7" t="s">
        <v>764</v>
      </c>
      <c r="I10" s="7" t="s">
        <v>765</v>
      </c>
      <c r="J10" s="7" t="s">
        <v>19</v>
      </c>
      <c r="K10" s="7" t="s">
        <v>0</v>
      </c>
      <c r="L10" s="7" t="s">
        <v>36</v>
      </c>
      <c r="M10" s="8">
        <v>110</v>
      </c>
      <c r="N10" s="9">
        <v>52</v>
      </c>
      <c r="O10" s="9">
        <f t="shared" si="0"/>
        <v>9.9073306192939778</v>
      </c>
      <c r="P10" s="9">
        <v>52</v>
      </c>
      <c r="Q10" s="9">
        <f t="shared" si="1"/>
        <v>9.9073306192939778</v>
      </c>
      <c r="R10" s="9">
        <v>52</v>
      </c>
      <c r="S10" s="9">
        <f t="shared" si="2"/>
        <v>9.9073306192939778</v>
      </c>
      <c r="T10" s="9">
        <v>62</v>
      </c>
      <c r="U10" s="9">
        <f t="shared" si="3"/>
        <v>11.812586507619743</v>
      </c>
      <c r="V10" s="9">
        <v>60</v>
      </c>
      <c r="W10" s="9">
        <f t="shared" si="4"/>
        <v>11.43153532995459</v>
      </c>
      <c r="X10" s="9" t="s">
        <v>0</v>
      </c>
      <c r="Y10" s="9" t="str">
        <f t="shared" si="5"/>
        <v>-</v>
      </c>
      <c r="Z10" s="9" t="s">
        <v>0</v>
      </c>
      <c r="AA10" s="9" t="str">
        <f t="shared" si="6"/>
        <v>-</v>
      </c>
      <c r="AB10" s="9" t="s">
        <v>0</v>
      </c>
      <c r="AC10" s="9" t="str">
        <f t="shared" si="7"/>
        <v>-</v>
      </c>
      <c r="AD10" s="9" t="s">
        <v>0</v>
      </c>
      <c r="AE10" s="12" t="str">
        <f t="shared" si="8"/>
        <v>-</v>
      </c>
      <c r="AF10" s="29" t="s">
        <v>0</v>
      </c>
      <c r="AG10" s="29" t="s">
        <v>0</v>
      </c>
      <c r="AH10" s="8" t="s">
        <v>0</v>
      </c>
      <c r="AI10" s="29" t="s">
        <v>0</v>
      </c>
      <c r="AJ10" s="32" t="s">
        <v>0</v>
      </c>
      <c r="AK10" s="29" t="s">
        <v>0</v>
      </c>
      <c r="AL10" s="32" t="s">
        <v>0</v>
      </c>
      <c r="AM10" s="29" t="s">
        <v>0</v>
      </c>
      <c r="AN10" s="32" t="s">
        <v>0</v>
      </c>
      <c r="AO10" s="29" t="s">
        <v>0</v>
      </c>
      <c r="AP10" s="29" t="s">
        <v>0</v>
      </c>
      <c r="AQ10" s="32" t="s">
        <v>0</v>
      </c>
      <c r="AR10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10" s="9" t="str">
        <f t="shared" si="9"/>
        <v>-</v>
      </c>
      <c r="AT10" s="9" t="str">
        <f>IF(RIGHT(STU[[#This Row],[Device type]],7)="Winding","-",STU[[#This Row],[Cont Winter MVA]])</f>
        <v>-</v>
      </c>
      <c r="AU10" s="9" t="str">
        <f>IF(RIGHT(STU[[#This Row],[Device type]],7)="Winding","-",STU[[#This Row],[Cont Shoulder MVA]])</f>
        <v>-</v>
      </c>
      <c r="AV10" s="9" t="str">
        <f>IF(RIGHT(STU[[#This Row],[Device type]],7)="Winding","-",STU[[#This Row],[Cont Summer MVA]])</f>
        <v>-</v>
      </c>
      <c r="AW10" s="9" t="str">
        <f>IF(RIGHT(STU[[#This Row],[Device type]],7)="Winding","-",STU[[#This Row],[Cont Summer MVA]])</f>
        <v>-</v>
      </c>
      <c r="AX10" s="9" t="str">
        <f>IF(RIGHT(STU[[#This Row],[Device type]],7)="Winding","-",STU[[#This Row],[Cont Summer MVA]])</f>
        <v>-</v>
      </c>
      <c r="AY10" s="9" t="str">
        <f>STU[[#This Row],[Forwards MVA]]</f>
        <v>-</v>
      </c>
      <c r="AZ10" s="9" t="str">
        <f>STU[[#This Row],[Relay MVA]]</f>
        <v>-</v>
      </c>
      <c r="BA10" s="9" t="str">
        <f>STU[[#This Row],[CT MVA]]</f>
        <v>-</v>
      </c>
      <c r="BB10" s="9" t="str">
        <f>STU[[#This Row],[Derating MVA]]</f>
        <v>-</v>
      </c>
      <c r="BC10" s="9" t="str">
        <f>STU[[#This Row],[Station/Feeder]]&amp;STU[[#This Row],[Lowest MVA]]</f>
        <v>STU_GXP</v>
      </c>
      <c r="BD10" s="9" t="str">
        <f>CONCATENATE(STU[[#This Row],[Supply Level]],STU[[#This Row],[Station/Feeder]],STU[[#This Row],[Voltage]],STU[[#This Row],[Lowest A-No PTX]])</f>
        <v>GXPSTU_GXP110</v>
      </c>
      <c r="BE10" s="9" t="str">
        <f>CONCATENATE(STU[[#This Row],[Supply Level]],STU[[#This Row],[Station/Feeder]],STU[[#This Row],[Voltage]],STU[[#This Row],[Lowest A-PTX]])</f>
        <v>GXPSTU_GXP11052</v>
      </c>
      <c r="BF10" s="9" t="str">
        <f>IF(MIN(STU[[#This Row],[Summ Cont Winter A]:[Cable Derating]])=0,"",MIN(STU[[#This Row],[Summ Cont Winter A]:[Cable Derating]]))</f>
        <v/>
      </c>
      <c r="BG10" s="9" t="str">
        <f>IFERROR(STU[[#This Row],[Lowest MVA]]*1000/(STU[[#This Row],[Voltage]]*SQRT(3)),"")</f>
        <v/>
      </c>
      <c r="BH10" s="9">
        <f t="shared" si="10"/>
        <v>52</v>
      </c>
      <c r="BI10" s="9" t="str">
        <f>STU[[#This Row],[From]]</f>
        <v>110 kV Bus</v>
      </c>
      <c r="BJ10" s="9" t="str">
        <f>STU[[#This Row],[To]]</f>
        <v>11 kV Bus</v>
      </c>
      <c r="BK10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Transformer-T6-HV Winding</v>
      </c>
      <c r="BL10" s="9">
        <f>STU[[#This Row],[Voltage]]</f>
        <v>110</v>
      </c>
    </row>
    <row r="11" spans="1:64" x14ac:dyDescent="0.25">
      <c r="A11" s="6" t="str">
        <f>CONCATENATE(STU[[#This Row],[Supply Level]],STU[[#This Row],[Station/Feeder]],STU[[#This Row],[Voltage]],"T6")</f>
        <v>GXPSTU_GXP11.198T6</v>
      </c>
      <c r="B11" s="6" t="str">
        <f>CONCATENATE(STU[[#This Row],[Supply Level]],STU[[#This Row],[Station/Feeder]],STU[[#This Row],[Equipment ID]],STU[[#This Row],[Voltage]],STU[[#This Row],[Device type]])</f>
        <v>GXPSTU_GXPT611.198Tap Changer</v>
      </c>
      <c r="C11" s="6" t="s">
        <v>4</v>
      </c>
      <c r="D11" s="11" t="s">
        <v>74</v>
      </c>
      <c r="E11" s="6" t="s">
        <v>603</v>
      </c>
      <c r="F11" s="6" t="s">
        <v>243</v>
      </c>
      <c r="G11" s="27">
        <v>1</v>
      </c>
      <c r="H11" s="7" t="s">
        <v>764</v>
      </c>
      <c r="I11" s="7" t="s">
        <v>765</v>
      </c>
      <c r="J11" s="7" t="s">
        <v>19</v>
      </c>
      <c r="K11" s="7" t="s">
        <v>0</v>
      </c>
      <c r="L11" s="7" t="s">
        <v>20</v>
      </c>
      <c r="M11" s="8">
        <f t="shared" ref="M11:M14" si="12">11*1.018</f>
        <v>11.198</v>
      </c>
      <c r="N11" s="9">
        <v>600</v>
      </c>
      <c r="O11" s="9">
        <f t="shared" si="0"/>
        <v>11.637302965893772</v>
      </c>
      <c r="P11" s="9">
        <v>600</v>
      </c>
      <c r="Q11" s="9">
        <f t="shared" si="1"/>
        <v>11.637302965893772</v>
      </c>
      <c r="R11" s="9">
        <v>600</v>
      </c>
      <c r="S11" s="9">
        <f t="shared" si="2"/>
        <v>11.637302965893772</v>
      </c>
      <c r="T11" s="9">
        <v>720</v>
      </c>
      <c r="U11" s="9">
        <f t="shared" si="3"/>
        <v>13.964763559072528</v>
      </c>
      <c r="V11" s="9">
        <v>720</v>
      </c>
      <c r="W11" s="9">
        <f t="shared" si="4"/>
        <v>13.964763559072528</v>
      </c>
      <c r="X11" s="9" t="s">
        <v>0</v>
      </c>
      <c r="Y11" s="9" t="str">
        <f t="shared" si="5"/>
        <v>-</v>
      </c>
      <c r="Z11" s="9" t="s">
        <v>0</v>
      </c>
      <c r="AA11" s="9" t="str">
        <f t="shared" si="6"/>
        <v>-</v>
      </c>
      <c r="AB11" s="9" t="s">
        <v>0</v>
      </c>
      <c r="AC11" s="9" t="str">
        <f t="shared" si="7"/>
        <v>-</v>
      </c>
      <c r="AD11" s="9" t="s">
        <v>0</v>
      </c>
      <c r="AE11" s="12" t="str">
        <f t="shared" si="8"/>
        <v>-</v>
      </c>
      <c r="AF11" s="29" t="s">
        <v>0</v>
      </c>
      <c r="AG11" s="29" t="s">
        <v>0</v>
      </c>
      <c r="AH11" s="8" t="s">
        <v>0</v>
      </c>
      <c r="AI11" s="29" t="s">
        <v>0</v>
      </c>
      <c r="AJ11" s="32" t="s">
        <v>0</v>
      </c>
      <c r="AK11" s="29" t="s">
        <v>0</v>
      </c>
      <c r="AL11" s="32" t="s">
        <v>0</v>
      </c>
      <c r="AM11" s="29" t="s">
        <v>0</v>
      </c>
      <c r="AN11" s="32" t="s">
        <v>0</v>
      </c>
      <c r="AO11" s="29" t="s">
        <v>0</v>
      </c>
      <c r="AP11" s="29" t="s">
        <v>0</v>
      </c>
      <c r="AQ11" s="32" t="s">
        <v>0</v>
      </c>
      <c r="AR11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11" s="9" t="str">
        <f t="shared" si="9"/>
        <v>-</v>
      </c>
      <c r="AT11" s="9">
        <f>IF(RIGHT(STU[[#This Row],[Device type]],7)="Winding","-",STU[[#This Row],[Cont Winter MVA]])</f>
        <v>11.637302965893772</v>
      </c>
      <c r="AU11" s="9">
        <f>IF(RIGHT(STU[[#This Row],[Device type]],7)="Winding","-",STU[[#This Row],[Cont Shoulder MVA]])</f>
        <v>11.637302965893772</v>
      </c>
      <c r="AV11" s="9">
        <f>IF(RIGHT(STU[[#This Row],[Device type]],7)="Winding","-",STU[[#This Row],[Cont Summer MVA]])</f>
        <v>11.637302965893772</v>
      </c>
      <c r="AW11" s="9">
        <f>STU[[#This Row],[24 Hr Winter MVA]]</f>
        <v>13.964763559072528</v>
      </c>
      <c r="AX11" s="9">
        <f>STU[[#This Row],[24 Hr Summer MVA]]</f>
        <v>13.964763559072528</v>
      </c>
      <c r="AY11" s="9" t="str">
        <f>STU[[#This Row],[Forwards MVA]]</f>
        <v>-</v>
      </c>
      <c r="AZ11" s="9" t="str">
        <f>STU[[#This Row],[Relay MVA]]</f>
        <v>-</v>
      </c>
      <c r="BA11" s="9" t="str">
        <f>STU[[#This Row],[CT MVA]]</f>
        <v>-</v>
      </c>
      <c r="BB11" s="9" t="str">
        <f>STU[[#This Row],[Derating MVA]]</f>
        <v>-</v>
      </c>
      <c r="BC11" s="9" t="str">
        <f>STU[[#This Row],[Station/Feeder]]&amp;STU[[#This Row],[Lowest MVA]]</f>
        <v>STU_GXP11.6373029658938</v>
      </c>
      <c r="BD11" s="9" t="str">
        <f>CONCATENATE(STU[[#This Row],[Supply Level]],STU[[#This Row],[Station/Feeder]],STU[[#This Row],[Voltage]],STU[[#This Row],[Lowest A-No PTX]])</f>
        <v>GXPSTU_GXP11.198600</v>
      </c>
      <c r="BE11" s="9" t="str">
        <f>CONCATENATE(STU[[#This Row],[Supply Level]],STU[[#This Row],[Station/Feeder]],STU[[#This Row],[Voltage]],STU[[#This Row],[Lowest A-PTX]])</f>
        <v>GXPSTU_GXP11.198600</v>
      </c>
      <c r="BF11" s="9">
        <f>IF(MIN(STU[[#This Row],[Summ Cont Winter A]:[Cable Derating]])=0,"",MIN(STU[[#This Row],[Summ Cont Winter A]:[Cable Derating]]))</f>
        <v>11.637302965893772</v>
      </c>
      <c r="BG11" s="9">
        <f>IFERROR(STU[[#This Row],[Lowest MVA]]*1000/(STU[[#This Row],[Voltage]]*SQRT(3)),"")</f>
        <v>600</v>
      </c>
      <c r="BH11" s="9">
        <f t="shared" si="10"/>
        <v>600</v>
      </c>
      <c r="BI11" s="9" t="str">
        <f>STU[[#This Row],[From]]</f>
        <v>110 kV Bus</v>
      </c>
      <c r="BJ11" s="9" t="str">
        <f>STU[[#This Row],[To]]</f>
        <v>11 kV Bus</v>
      </c>
      <c r="BK11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Transformer-T6-Tap Changer</v>
      </c>
      <c r="BL11" s="9">
        <f>STU[[#This Row],[Voltage]]</f>
        <v>11.198</v>
      </c>
    </row>
    <row r="12" spans="1:64" x14ac:dyDescent="0.25">
      <c r="A12" s="6" t="str">
        <f>CONCATENATE(STU[[#This Row],[Supply Level]],STU[[#This Row],[Station/Feeder]],STU[[#This Row],[Voltage]],"T6")</f>
        <v>GXPSTU_GXP11.198T6</v>
      </c>
      <c r="B12" s="6" t="str">
        <f>CONCATENATE(STU[[#This Row],[Supply Level]],STU[[#This Row],[Station/Feeder]],STU[[#This Row],[Equipment ID]],STU[[#This Row],[Voltage]],STU[[#This Row],[Device type]])</f>
        <v>GXPSTU_GXPT611.198LV Winding</v>
      </c>
      <c r="C12" s="6" t="s">
        <v>4</v>
      </c>
      <c r="D12" s="11" t="s">
        <v>74</v>
      </c>
      <c r="E12" s="6" t="s">
        <v>603</v>
      </c>
      <c r="F12" s="6" t="s">
        <v>243</v>
      </c>
      <c r="G12" s="27">
        <v>1</v>
      </c>
      <c r="H12" s="7" t="s">
        <v>764</v>
      </c>
      <c r="I12" s="7" t="s">
        <v>765</v>
      </c>
      <c r="J12" s="7" t="s">
        <v>19</v>
      </c>
      <c r="K12" s="7" t="s">
        <v>0</v>
      </c>
      <c r="L12" s="7" t="s">
        <v>37</v>
      </c>
      <c r="M12" s="8">
        <f t="shared" si="12"/>
        <v>11.198</v>
      </c>
      <c r="N12" s="9">
        <v>524</v>
      </c>
      <c r="O12" s="9">
        <f>IF(OR(N12="",N12="-"),"-",N12*$M12*SQRT(3)/1000)</f>
        <v>10.163244590213894</v>
      </c>
      <c r="P12" s="9">
        <v>524</v>
      </c>
      <c r="Q12" s="9">
        <f>IF(OR(P12="",P12="-"),"-",P12*$M12*SQRT(3)/1000)</f>
        <v>10.163244590213894</v>
      </c>
      <c r="R12" s="9">
        <v>524</v>
      </c>
      <c r="S12" s="9">
        <f>IF(OR(R12="",R12="-"),"-",R12*$M12*SQRT(3)/1000)</f>
        <v>10.163244590213894</v>
      </c>
      <c r="T12" s="9">
        <v>646</v>
      </c>
      <c r="U12" s="9">
        <f>IF(OR(T12="",T12="-"),"-",T12*$M12*SQRT(3)/1000)</f>
        <v>12.529496193278961</v>
      </c>
      <c r="V12" s="9">
        <v>604</v>
      </c>
      <c r="W12" s="9">
        <f>IF(OR(V12="",V12="-"),"-",V12*$M12*SQRT(3)/1000)</f>
        <v>11.714884985666398</v>
      </c>
      <c r="X12" s="9" t="s">
        <v>0</v>
      </c>
      <c r="Y12" s="9" t="str">
        <f>IF(OR(X12="",X12="-"),"-",X12*$M12*SQRT(3)/1000)</f>
        <v>-</v>
      </c>
      <c r="Z12" s="9" t="s">
        <v>0</v>
      </c>
      <c r="AA12" s="9" t="str">
        <f>IF(OR(Z12="",Z12="-"),"-",Z12*$M12*SQRT(3)/1000)</f>
        <v>-</v>
      </c>
      <c r="AB12" s="9" t="s">
        <v>0</v>
      </c>
      <c r="AC12" s="9" t="str">
        <f>IF(OR(AB12="",AB12="-"),"-",AB12*$M12*SQRT(3)/1000)</f>
        <v>-</v>
      </c>
      <c r="AD12" s="9" t="s">
        <v>0</v>
      </c>
      <c r="AE12" s="9" t="str">
        <f>IF(OR(AD12="",AD12="-"),"-",AD12*$M12*SQRT(3)/1000)</f>
        <v>-</v>
      </c>
      <c r="AF12" s="9" t="s">
        <v>0</v>
      </c>
      <c r="AG12" s="9" t="s">
        <v>0</v>
      </c>
      <c r="AH12" s="9" t="s">
        <v>0</v>
      </c>
      <c r="AI12" s="9" t="s">
        <v>0</v>
      </c>
      <c r="AJ12" s="43" t="s">
        <v>0</v>
      </c>
      <c r="AK12" s="9" t="s">
        <v>0</v>
      </c>
      <c r="AL12" s="43" t="s">
        <v>0</v>
      </c>
      <c r="AM12" s="9" t="s">
        <v>0</v>
      </c>
      <c r="AN12" s="43" t="s">
        <v>0</v>
      </c>
      <c r="AO12" s="9" t="s">
        <v>0</v>
      </c>
      <c r="AP12" s="9" t="s">
        <v>0</v>
      </c>
      <c r="AQ12" s="43" t="s">
        <v>0</v>
      </c>
      <c r="AR12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12" s="9" t="str">
        <f>IF(OR(AR12="",AR12="-"),"-",AR12*$M12*SQRT(3)/1000)</f>
        <v>-</v>
      </c>
      <c r="AT12" s="9" t="str">
        <f>IF(RIGHT(STU[[#This Row],[Device type]],7)="Winding","-",STU[[#This Row],[Cont Winter MVA]])</f>
        <v>-</v>
      </c>
      <c r="AU12" s="9" t="str">
        <f>IF(RIGHT(STU[[#This Row],[Device type]],7)="Winding","-",STU[[#This Row],[Cont Shoulder MVA]])</f>
        <v>-</v>
      </c>
      <c r="AV12" s="9" t="str">
        <f>IF(RIGHT(STU[[#This Row],[Device type]],7)="Winding","-",STU[[#This Row],[Cont Summer MVA]])</f>
        <v>-</v>
      </c>
      <c r="AW12" s="9" t="str">
        <f>IF(RIGHT(STU[[#This Row],[Device type]],7)="Winding","-",STU[[#This Row],[Cont Summer MVA]])</f>
        <v>-</v>
      </c>
      <c r="AX12" s="9" t="str">
        <f>IF(RIGHT(STU[[#This Row],[Device type]],7)="Winding","-",STU[[#This Row],[Cont Summer MVA]])</f>
        <v>-</v>
      </c>
      <c r="AY12" s="9" t="str">
        <f>STU[[#This Row],[Forwards MVA]]</f>
        <v>-</v>
      </c>
      <c r="AZ12" s="9" t="str">
        <f>STU[[#This Row],[Relay MVA]]</f>
        <v>-</v>
      </c>
      <c r="BA12" s="9" t="str">
        <f>STU[[#This Row],[CT MVA]]</f>
        <v>-</v>
      </c>
      <c r="BB12" s="9" t="str">
        <f>STU[[#This Row],[Derating MVA]]</f>
        <v>-</v>
      </c>
      <c r="BC12" s="9" t="str">
        <f>STU[[#This Row],[Station/Feeder]]&amp;STU[[#This Row],[Lowest MVA]]</f>
        <v>STU_GXP</v>
      </c>
      <c r="BD12" s="9" t="str">
        <f>CONCATENATE(STU[[#This Row],[Supply Level]],STU[[#This Row],[Station/Feeder]],STU[[#This Row],[Voltage]],STU[[#This Row],[Lowest A-No PTX]])</f>
        <v>GXPSTU_GXP11.198</v>
      </c>
      <c r="BE12" s="9" t="str">
        <f>CONCATENATE(STU[[#This Row],[Supply Level]],STU[[#This Row],[Station/Feeder]],STU[[#This Row],[Voltage]],STU[[#This Row],[Lowest A-PTX]])</f>
        <v>GXPSTU_GXP11.198524</v>
      </c>
      <c r="BF12" s="9" t="str">
        <f>IF(MIN(STU[[#This Row],[Summ Cont Winter A]:[Cable Derating]])=0,"",MIN(STU[[#This Row],[Summ Cont Winter A]:[Cable Derating]]))</f>
        <v/>
      </c>
      <c r="BG12" s="9" t="str">
        <f>IFERROR(STU[[#This Row],[Lowest MVA]]*1000/(STU[[#This Row],[Voltage]]*SQRT(3)),"")</f>
        <v/>
      </c>
      <c r="BH12" s="9">
        <f t="shared" si="10"/>
        <v>524</v>
      </c>
      <c r="BI12" s="9" t="str">
        <f>STU[[#This Row],[From]]</f>
        <v>110 kV Bus</v>
      </c>
      <c r="BJ12" s="9" t="str">
        <f>STU[[#This Row],[To]]</f>
        <v>11 kV Bus</v>
      </c>
      <c r="BK12" s="9" t="str">
        <f>IF(STU[[#This Row],[Device type]]="-",STU[[#This Row],[Equipment Type]]&amp;" - "&amp;STU[[#This Row],[Equipment ID]],STU[[#This Row],[Equipment Type]]&amp;" - "&amp;STU[[#This Row],[Equipment ID]]&amp;" - "&amp;STU[[#This Row],[Device type]])</f>
        <v>Transformer - T6 - LV Winding</v>
      </c>
      <c r="BL12" s="9">
        <f>STU[[#This Row],[Voltage]]</f>
        <v>11.198</v>
      </c>
    </row>
    <row r="13" spans="1:64" x14ac:dyDescent="0.25">
      <c r="A13" s="6" t="str">
        <f>CONCATENATE(STU[[#This Row],[Supply Level]],STU[[#This Row],[Station/Feeder]],STU[[#This Row],[Voltage]],"T6")</f>
        <v>GXPSTU_GXP11.198T6</v>
      </c>
      <c r="B13" s="6" t="str">
        <f>CONCATENATE(STU[[#This Row],[Supply Level]],STU[[#This Row],[Station/Feeder]],STU[[#This Row],[Equipment ID]],STU[[#This Row],[Voltage]],STU[[#This Row],[Device type]])</f>
        <v>GXPSTU_GXPSTU-CBL-277211.198Cable</v>
      </c>
      <c r="C13" s="6" t="s">
        <v>4</v>
      </c>
      <c r="D13" s="11" t="s">
        <v>74</v>
      </c>
      <c r="E13" s="6" t="s">
        <v>603</v>
      </c>
      <c r="F13" s="6" t="s">
        <v>243</v>
      </c>
      <c r="G13" s="27">
        <v>2</v>
      </c>
      <c r="H13" s="7" t="s">
        <v>764</v>
      </c>
      <c r="I13" s="7" t="s">
        <v>766</v>
      </c>
      <c r="J13" s="7" t="s">
        <v>250</v>
      </c>
      <c r="K13" s="7" t="s">
        <v>766</v>
      </c>
      <c r="L13" s="7" t="s">
        <v>250</v>
      </c>
      <c r="M13" s="8">
        <v>11.198</v>
      </c>
      <c r="N13" s="9">
        <v>662</v>
      </c>
      <c r="O13" s="9">
        <f t="shared" si="0"/>
        <v>12.839824272369462</v>
      </c>
      <c r="P13" s="9">
        <v>662</v>
      </c>
      <c r="Q13" s="9">
        <f t="shared" si="1"/>
        <v>12.839824272369462</v>
      </c>
      <c r="R13" s="9">
        <v>662</v>
      </c>
      <c r="S13" s="9">
        <f t="shared" si="2"/>
        <v>12.839824272369462</v>
      </c>
      <c r="T13" s="9" t="s">
        <v>0</v>
      </c>
      <c r="U13" s="9" t="str">
        <f t="shared" si="3"/>
        <v>-</v>
      </c>
      <c r="V13" s="9" t="s">
        <v>0</v>
      </c>
      <c r="W13" s="9" t="str">
        <f t="shared" si="4"/>
        <v>-</v>
      </c>
      <c r="X13" s="9" t="s">
        <v>0</v>
      </c>
      <c r="Y13" s="9" t="str">
        <f t="shared" si="5"/>
        <v>-</v>
      </c>
      <c r="Z13" s="9" t="s">
        <v>0</v>
      </c>
      <c r="AA13" s="9" t="str">
        <f t="shared" si="6"/>
        <v>-</v>
      </c>
      <c r="AB13" s="9" t="s">
        <v>0</v>
      </c>
      <c r="AC13" s="9" t="str">
        <f t="shared" si="7"/>
        <v>-</v>
      </c>
      <c r="AD13" s="9" t="s">
        <v>0</v>
      </c>
      <c r="AE13" s="12" t="str">
        <f t="shared" si="8"/>
        <v>-</v>
      </c>
      <c r="AF13" s="29" t="s">
        <v>0</v>
      </c>
      <c r="AG13" s="29" t="s">
        <v>0</v>
      </c>
      <c r="AH13" s="8">
        <v>95</v>
      </c>
      <c r="AI13" s="29" t="s">
        <v>0</v>
      </c>
      <c r="AJ13" s="32" t="s">
        <v>0</v>
      </c>
      <c r="AK13" s="29" t="s">
        <v>0</v>
      </c>
      <c r="AL13" s="32" t="s">
        <v>0</v>
      </c>
      <c r="AM13" s="29" t="s">
        <v>0</v>
      </c>
      <c r="AN13" s="32" t="s">
        <v>0</v>
      </c>
      <c r="AO13" s="29" t="s">
        <v>0</v>
      </c>
      <c r="AP13" s="29" t="s">
        <v>0</v>
      </c>
      <c r="AQ13" s="32" t="s">
        <v>0</v>
      </c>
      <c r="AR13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13" s="9" t="str">
        <f t="shared" si="9"/>
        <v>-</v>
      </c>
      <c r="AT13" s="9">
        <f>IF(RIGHT(STU[[#This Row],[Device type]],7)="Winding","-",STU[[#This Row],[Cont Winter MVA]])</f>
        <v>12.839824272369462</v>
      </c>
      <c r="AU13" s="9">
        <f>IF(RIGHT(STU[[#This Row],[Device type]],7)="Winding","-",STU[[#This Row],[Cont Shoulder MVA]])</f>
        <v>12.839824272369462</v>
      </c>
      <c r="AV13" s="9">
        <f>IF(RIGHT(STU[[#This Row],[Device type]],7)="Winding","-",STU[[#This Row],[Cont Summer MVA]])</f>
        <v>12.839824272369462</v>
      </c>
      <c r="AW13" s="9" t="str">
        <f>STU[[#This Row],[24 Hr Winter MVA]]</f>
        <v>-</v>
      </c>
      <c r="AX13" s="9" t="str">
        <f>STU[[#This Row],[24 Hr Summer MVA]]</f>
        <v>-</v>
      </c>
      <c r="AY13" s="9" t="str">
        <f>STU[[#This Row],[Forwards MVA]]</f>
        <v>-</v>
      </c>
      <c r="AZ13" s="9" t="str">
        <f>STU[[#This Row],[Relay MVA]]</f>
        <v>-</v>
      </c>
      <c r="BA13" s="9" t="str">
        <f>STU[[#This Row],[CT MVA]]</f>
        <v>-</v>
      </c>
      <c r="BB13" s="9" t="str">
        <f>STU[[#This Row],[Derating MVA]]</f>
        <v>-</v>
      </c>
      <c r="BC13" s="9" t="str">
        <f>STU[[#This Row],[Station/Feeder]]&amp;STU[[#This Row],[Lowest MVA]]</f>
        <v>STU_GXP12.8398242723695</v>
      </c>
      <c r="BD13" s="9" t="str">
        <f>CONCATENATE(STU[[#This Row],[Supply Level]],STU[[#This Row],[Station/Feeder]],STU[[#This Row],[Voltage]],STU[[#This Row],[Lowest A-No PTX]])</f>
        <v>GXPSTU_GXP11.198662</v>
      </c>
      <c r="BE13" s="9" t="str">
        <f>CONCATENATE(STU[[#This Row],[Supply Level]],STU[[#This Row],[Station/Feeder]],STU[[#This Row],[Voltage]],STU[[#This Row],[Lowest A-PTX]])</f>
        <v>GXPSTU_GXP11.198662</v>
      </c>
      <c r="BF13" s="9">
        <f>IF(MIN(STU[[#This Row],[Summ Cont Winter A]:[Cable Derating]])=0,"",MIN(STU[[#This Row],[Summ Cont Winter A]:[Cable Derating]]))</f>
        <v>12.839824272369462</v>
      </c>
      <c r="BG13" s="9">
        <f>IFERROR(STU[[#This Row],[Lowest MVA]]*1000/(STU[[#This Row],[Voltage]]*SQRT(3)),"")</f>
        <v>662</v>
      </c>
      <c r="BH13" s="9">
        <f t="shared" si="10"/>
        <v>662</v>
      </c>
      <c r="BI13" s="9" t="str">
        <f>STU[[#This Row],[From]]</f>
        <v>110 kV Bus</v>
      </c>
      <c r="BJ13" s="9" t="str">
        <f>STU[[#This Row],[To]]</f>
        <v>11 kV Bus</v>
      </c>
      <c r="BK13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Cable-STU-CBL-2772-Cable</v>
      </c>
      <c r="BL13" s="9">
        <f>STU[[#This Row],[Voltage]]</f>
        <v>11.198</v>
      </c>
    </row>
    <row r="14" spans="1:64" ht="15.75" thickBot="1" x14ac:dyDescent="0.3">
      <c r="A14" s="191" t="str">
        <f>CONCATENATE(STU[[#This Row],[Supply Level]],STU[[#This Row],[Station/Feeder]],STU[[#This Row],[Voltage]],"T6")</f>
        <v>GXPSTU_GXP11.198T6</v>
      </c>
      <c r="B14" s="191" t="str">
        <f>CONCATENATE(STU[[#This Row],[Supply Level]],STU[[#This Row],[Station/Feeder]],STU[[#This Row],[Equipment ID]],STU[[#This Row],[Voltage]],STU[[#This Row],[Device type]])</f>
        <v>GXPSTU_GXPSTU CB6\CB277211.198Protection</v>
      </c>
      <c r="C14" s="191" t="s">
        <v>4</v>
      </c>
      <c r="D14" s="192" t="s">
        <v>74</v>
      </c>
      <c r="E14" s="191" t="s">
        <v>603</v>
      </c>
      <c r="F14" s="191" t="s">
        <v>243</v>
      </c>
      <c r="G14" s="200">
        <v>2</v>
      </c>
      <c r="H14" s="193" t="s">
        <v>2351</v>
      </c>
      <c r="I14" s="193" t="s">
        <v>1386</v>
      </c>
      <c r="J14" s="193" t="s">
        <v>15</v>
      </c>
      <c r="K14" s="193" t="s">
        <v>1121</v>
      </c>
      <c r="L14" s="193" t="s">
        <v>1423</v>
      </c>
      <c r="M14" s="201">
        <f t="shared" si="12"/>
        <v>11.198</v>
      </c>
      <c r="N14" s="155">
        <v>1250</v>
      </c>
      <c r="O14" s="155">
        <f t="shared" si="0"/>
        <v>24.244381178945357</v>
      </c>
      <c r="P14" s="155">
        <v>1250</v>
      </c>
      <c r="Q14" s="155">
        <f t="shared" si="1"/>
        <v>24.244381178945357</v>
      </c>
      <c r="R14" s="155">
        <v>1250</v>
      </c>
      <c r="S14" s="155">
        <f t="shared" si="2"/>
        <v>24.244381178945357</v>
      </c>
      <c r="T14" s="155" t="s">
        <v>0</v>
      </c>
      <c r="U14" s="155" t="str">
        <f t="shared" si="3"/>
        <v>-</v>
      </c>
      <c r="V14" s="155" t="s">
        <v>0</v>
      </c>
      <c r="W14" s="155" t="str">
        <f t="shared" si="4"/>
        <v>-</v>
      </c>
      <c r="X14" s="155">
        <v>823</v>
      </c>
      <c r="Y14" s="155">
        <f t="shared" si="5"/>
        <v>15.962500568217623</v>
      </c>
      <c r="Z14" s="155">
        <v>823</v>
      </c>
      <c r="AA14" s="155">
        <f t="shared" si="6"/>
        <v>15.962500568217623</v>
      </c>
      <c r="AB14" s="155">
        <v>3600</v>
      </c>
      <c r="AC14" s="155">
        <f t="shared" si="7"/>
        <v>69.823817795362643</v>
      </c>
      <c r="AD14" s="155">
        <v>2400</v>
      </c>
      <c r="AE14" s="195">
        <f t="shared" si="8"/>
        <v>46.549211863575088</v>
      </c>
      <c r="AF14" s="155" t="s">
        <v>0</v>
      </c>
      <c r="AG14" s="155" t="s">
        <v>0</v>
      </c>
      <c r="AH14" s="201" t="s">
        <v>0</v>
      </c>
      <c r="AI14" s="155" t="s">
        <v>0</v>
      </c>
      <c r="AJ14" s="175" t="s">
        <v>0</v>
      </c>
      <c r="AK14" s="155" t="s">
        <v>0</v>
      </c>
      <c r="AL14" s="175" t="s">
        <v>0</v>
      </c>
      <c r="AM14" s="155" t="s">
        <v>0</v>
      </c>
      <c r="AN14" s="175" t="s">
        <v>0</v>
      </c>
      <c r="AO14" s="155" t="s">
        <v>0</v>
      </c>
      <c r="AP14" s="155" t="s">
        <v>0</v>
      </c>
      <c r="AQ14" s="175" t="s">
        <v>0</v>
      </c>
      <c r="AR14" s="155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14" s="155" t="str">
        <f t="shared" si="9"/>
        <v>-</v>
      </c>
      <c r="AT14" s="155">
        <f>IF(RIGHT(STU[[#This Row],[Device type]],7)="Winding","-",STU[[#This Row],[Cont Winter MVA]])</f>
        <v>24.244381178945357</v>
      </c>
      <c r="AU14" s="155">
        <f>IF(RIGHT(STU[[#This Row],[Device type]],7)="Winding","-",STU[[#This Row],[Cont Shoulder MVA]])</f>
        <v>24.244381178945357</v>
      </c>
      <c r="AV14" s="155">
        <f>IF(RIGHT(STU[[#This Row],[Device type]],7)="Winding","-",STU[[#This Row],[Cont Summer MVA]])</f>
        <v>24.244381178945357</v>
      </c>
      <c r="AW14" s="155" t="str">
        <f>STU[[#This Row],[24 Hr Winter MVA]]</f>
        <v>-</v>
      </c>
      <c r="AX14" s="155" t="str">
        <f>STU[[#This Row],[24 Hr Summer MVA]]</f>
        <v>-</v>
      </c>
      <c r="AY14" s="155">
        <f>STU[[#This Row],[Forwards MVA]]</f>
        <v>15.962500568217623</v>
      </c>
      <c r="AZ14" s="155">
        <f>STU[[#This Row],[Relay MVA]]</f>
        <v>69.823817795362643</v>
      </c>
      <c r="BA14" s="155">
        <f>STU[[#This Row],[CT MVA]]</f>
        <v>46.549211863575088</v>
      </c>
      <c r="BB14" s="155" t="str">
        <f>STU[[#This Row],[Derating MVA]]</f>
        <v>-</v>
      </c>
      <c r="BC14" s="155" t="str">
        <f>STU[[#This Row],[Station/Feeder]]&amp;STU[[#This Row],[Lowest MVA]]</f>
        <v>STU_GXP15.9625005682176</v>
      </c>
      <c r="BD14" s="155" t="str">
        <f>CONCATENATE(STU[[#This Row],[Supply Level]],STU[[#This Row],[Station/Feeder]],STU[[#This Row],[Voltage]],STU[[#This Row],[Lowest A-No PTX]])</f>
        <v>GXPSTU_GXP11.198823</v>
      </c>
      <c r="BE14" s="155" t="str">
        <f>CONCATENATE(STU[[#This Row],[Supply Level]],STU[[#This Row],[Station/Feeder]],STU[[#This Row],[Voltage]],STU[[#This Row],[Lowest A-PTX]])</f>
        <v>GXPSTU_GXP11.198823</v>
      </c>
      <c r="BF14" s="155">
        <f>IF(MIN(STU[[#This Row],[Summ Cont Winter A]:[Cable Derating]])=0,"",MIN(STU[[#This Row],[Summ Cont Winter A]:[Cable Derating]]))</f>
        <v>15.962500568217623</v>
      </c>
      <c r="BG14" s="155">
        <f>IFERROR(STU[[#This Row],[Lowest MVA]]*1000/(STU[[#This Row],[Voltage]]*SQRT(3)),"")</f>
        <v>823</v>
      </c>
      <c r="BH14" s="155">
        <f t="shared" si="10"/>
        <v>823</v>
      </c>
      <c r="BI14" s="155" t="str">
        <f>STU[[#This Row],[From]]</f>
        <v>110 kV Bus</v>
      </c>
      <c r="BJ14" s="155" t="str">
        <f>STU[[#This Row],[To]]</f>
        <v>11 kV Bus</v>
      </c>
      <c r="BK14" s="155" t="str">
        <f>IF(STU[[#This Row],[Device type]]="-",STU[[#This Row],[Equipment Type]]&amp;"-"&amp;STU[[#This Row],[Equipment ID]],STU[[#This Row],[Equipment Type]]&amp;"-"&amp;STU[[#This Row],[Equipment ID]]&amp;"-"&amp;STU[[#This Row],[Device type]])</f>
        <v>Circuit Breaker-STU CB6\CB2772-Protection</v>
      </c>
      <c r="BL14" s="155">
        <f>STU[[#This Row],[Voltage]]</f>
        <v>11.198</v>
      </c>
    </row>
    <row r="15" spans="1:64" x14ac:dyDescent="0.25">
      <c r="A15" s="168" t="str">
        <f>CONCATENATE(STU[[#This Row],[Supply Level]],STU[[#This Row],[Station/Feeder]],STU[[#This Row],[Voltage]])</f>
        <v>GXPSTU 11.198</v>
      </c>
      <c r="B15" s="168" t="str">
        <f>CONCATENATE(STU[[#This Row],[Supply Level]],STU[[#This Row],[Station/Feeder]],STU[[#This Row],[Equipment ID]],STU[[#This Row],[Voltage]],STU[[#This Row],[Device type]])</f>
        <v>GXPSTU STU-CB511.198Protection</v>
      </c>
      <c r="C15" s="168" t="s">
        <v>4</v>
      </c>
      <c r="D15" s="118" t="s">
        <v>81</v>
      </c>
      <c r="E15" s="168" t="s">
        <v>243</v>
      </c>
      <c r="F15" s="168" t="s">
        <v>243</v>
      </c>
      <c r="G15" s="172">
        <v>3</v>
      </c>
      <c r="H15" s="49" t="s">
        <v>2351</v>
      </c>
      <c r="I15" s="49" t="s">
        <v>1387</v>
      </c>
      <c r="J15" s="49" t="s">
        <v>15</v>
      </c>
      <c r="K15" s="49" t="s">
        <v>1121</v>
      </c>
      <c r="L15" s="49" t="s">
        <v>1423</v>
      </c>
      <c r="M15" s="146">
        <f>11*1.018</f>
        <v>11.198</v>
      </c>
      <c r="N15" s="29">
        <v>1250</v>
      </c>
      <c r="O15" s="29">
        <f t="shared" si="0"/>
        <v>24.244381178945357</v>
      </c>
      <c r="P15" s="29">
        <v>1250</v>
      </c>
      <c r="Q15" s="29">
        <f t="shared" si="1"/>
        <v>24.244381178945357</v>
      </c>
      <c r="R15" s="29">
        <v>1250</v>
      </c>
      <c r="S15" s="29">
        <f t="shared" si="2"/>
        <v>24.244381178945357</v>
      </c>
      <c r="T15" s="29" t="s">
        <v>0</v>
      </c>
      <c r="U15" s="29" t="str">
        <f t="shared" si="3"/>
        <v>-</v>
      </c>
      <c r="V15" s="29" t="s">
        <v>0</v>
      </c>
      <c r="W15" s="29" t="str">
        <f t="shared" si="4"/>
        <v>-</v>
      </c>
      <c r="X15" s="29">
        <f>VLOOKUP(STU[[#This Row],[Equipment ID]],AEL_Protection_Data[#All],12,0)</f>
        <v>744</v>
      </c>
      <c r="Y15" s="29">
        <f t="shared" si="5"/>
        <v>14.430255677708278</v>
      </c>
      <c r="Z15" s="29" t="s">
        <v>0</v>
      </c>
      <c r="AA15" s="29" t="str">
        <f t="shared" si="6"/>
        <v>-</v>
      </c>
      <c r="AB15" s="29" t="s">
        <v>0</v>
      </c>
      <c r="AC15" s="29" t="str">
        <f t="shared" si="7"/>
        <v>-</v>
      </c>
      <c r="AD15" s="29" t="s">
        <v>0</v>
      </c>
      <c r="AE15" s="169" t="str">
        <f t="shared" si="8"/>
        <v>-</v>
      </c>
      <c r="AF15" s="29" t="s">
        <v>0</v>
      </c>
      <c r="AG15" s="29" t="s">
        <v>0</v>
      </c>
      <c r="AH15" s="146" t="s">
        <v>0</v>
      </c>
      <c r="AI15" s="29" t="s">
        <v>0</v>
      </c>
      <c r="AJ15" s="32" t="s">
        <v>0</v>
      </c>
      <c r="AK15" s="29" t="s">
        <v>0</v>
      </c>
      <c r="AL15" s="32" t="s">
        <v>0</v>
      </c>
      <c r="AM15" s="29" t="s">
        <v>0</v>
      </c>
      <c r="AN15" s="32" t="s">
        <v>0</v>
      </c>
      <c r="AO15" s="29" t="s">
        <v>0</v>
      </c>
      <c r="AP15" s="29" t="s">
        <v>0</v>
      </c>
      <c r="AQ15" s="32" t="s">
        <v>0</v>
      </c>
      <c r="AR15" s="2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15" s="29" t="str">
        <f t="shared" si="9"/>
        <v>-</v>
      </c>
      <c r="AT15" s="29">
        <f>IF(RIGHT(STU[[#This Row],[Device type]],7)="Winding","-",STU[[#This Row],[Cont Winter MVA]])</f>
        <v>24.244381178945357</v>
      </c>
      <c r="AU15" s="29">
        <f>IF(RIGHT(STU[[#This Row],[Device type]],7)="Winding","-",STU[[#This Row],[Cont Shoulder MVA]])</f>
        <v>24.244381178945357</v>
      </c>
      <c r="AV15" s="29">
        <f>IF(RIGHT(STU[[#This Row],[Device type]],7)="Winding","-",STU[[#This Row],[Cont Summer MVA]])</f>
        <v>24.244381178945357</v>
      </c>
      <c r="AW15" s="29" t="str">
        <f>STU[[#This Row],[24 Hr Winter MVA]]</f>
        <v>-</v>
      </c>
      <c r="AX15" s="29" t="str">
        <f>STU[[#This Row],[24 Hr Summer MVA]]</f>
        <v>-</v>
      </c>
      <c r="AY15" s="29">
        <f>STU[[#This Row],[Forwards MVA]]</f>
        <v>14.430255677708278</v>
      </c>
      <c r="AZ15" s="29" t="str">
        <f>STU[[#This Row],[Relay MVA]]</f>
        <v>-</v>
      </c>
      <c r="BA15" s="29" t="str">
        <f>STU[[#This Row],[CT MVA]]</f>
        <v>-</v>
      </c>
      <c r="BB15" s="29" t="str">
        <f>STU[[#This Row],[Derating MVA]]</f>
        <v>-</v>
      </c>
      <c r="BC15" s="29" t="str">
        <f>STU[[#This Row],[Station/Feeder]]&amp;STU[[#This Row],[Lowest MVA]]</f>
        <v>STU 14.4302556777083</v>
      </c>
      <c r="BD15" s="29" t="str">
        <f>CONCATENATE(STU[[#This Row],[Supply Level]],STU[[#This Row],[Station/Feeder]],STU[[#This Row],[Voltage]],STU[[#This Row],[Lowest A-No PTX]])</f>
        <v>GXPSTU 11.198744</v>
      </c>
      <c r="BE15" s="29" t="str">
        <f>CONCATENATE(STU[[#This Row],[Supply Level]],STU[[#This Row],[Station/Feeder]],STU[[#This Row],[Voltage]],STU[[#This Row],[Lowest A-PTX]])</f>
        <v>GXPSTU 11.198744</v>
      </c>
      <c r="BF15" s="29">
        <f>IF(MIN(STU[[#This Row],[Summ Cont Winter A]:[Cable Derating]])=0,"",MIN(STU[[#This Row],[Summ Cont Winter A]:[Cable Derating]]))</f>
        <v>14.430255677708278</v>
      </c>
      <c r="BG15" s="29">
        <f>IFERROR(STU[[#This Row],[Lowest MVA]]*1000/(STU[[#This Row],[Voltage]]*SQRT(3)),"")</f>
        <v>744</v>
      </c>
      <c r="BH15" s="29">
        <f t="shared" si="10"/>
        <v>744</v>
      </c>
      <c r="BI15" s="29" t="str">
        <f>STU[[#This Row],[From]]</f>
        <v>11 kV Bus</v>
      </c>
      <c r="BJ15" s="29" t="str">
        <f>STU[[#This Row],[To]]</f>
        <v>11 kV Bus</v>
      </c>
      <c r="BK15" s="29" t="str">
        <f>IF(STU[[#This Row],[Device type]]="-",STU[[#This Row],[Equipment Type]]&amp;"-"&amp;STU[[#This Row],[Equipment ID]],STU[[#This Row],[Equipment Type]]&amp;"-"&amp;STU[[#This Row],[Equipment ID]]&amp;"-"&amp;STU[[#This Row],[Device type]])</f>
        <v>Circuit Breaker-STU-CB5-Protection</v>
      </c>
      <c r="BL15" s="29">
        <f>STU[[#This Row],[Voltage]]</f>
        <v>11.198</v>
      </c>
    </row>
    <row r="16" spans="1:64" x14ac:dyDescent="0.25">
      <c r="A16" s="6" t="str">
        <f>CONCATENATE(STU[[#This Row],[Supply Level]],STU[[#This Row],[Station/Feeder]],STU[[#This Row],[Voltage]])</f>
        <v>DistributionFeederCB1_Otaio11.198</v>
      </c>
      <c r="B16" s="6" t="str">
        <f>CONCATENATE(STU[[#This Row],[Supply Level]],STU[[#This Row],[Station/Feeder]],STU[[#This Row],[Equipment ID]],STU[[#This Row],[Voltage]],STU[[#This Row],[Device type]])</f>
        <v>DistributionFeederCB1_OtaioSTU-CB111.198Protection</v>
      </c>
      <c r="C16" s="6" t="s">
        <v>1276</v>
      </c>
      <c r="D16" s="11" t="s">
        <v>92</v>
      </c>
      <c r="E16" s="6" t="s">
        <v>243</v>
      </c>
      <c r="F16" s="6" t="s">
        <v>1398</v>
      </c>
      <c r="G16" s="27">
        <v>3</v>
      </c>
      <c r="H16" s="7" t="s">
        <v>2351</v>
      </c>
      <c r="I16" s="7" t="s">
        <v>1388</v>
      </c>
      <c r="J16" s="7" t="s">
        <v>15</v>
      </c>
      <c r="K16" s="7" t="s">
        <v>1121</v>
      </c>
      <c r="L16" s="7" t="s">
        <v>1423</v>
      </c>
      <c r="M16" s="8">
        <f t="shared" ref="M16:M41" si="13">11*1.018</f>
        <v>11.198</v>
      </c>
      <c r="N16" s="9">
        <v>630</v>
      </c>
      <c r="O16" s="9">
        <f t="shared" si="0"/>
        <v>12.219168114188461</v>
      </c>
      <c r="P16" s="9">
        <v>630</v>
      </c>
      <c r="Q16" s="9">
        <f t="shared" si="1"/>
        <v>12.219168114188461</v>
      </c>
      <c r="R16" s="9">
        <v>630</v>
      </c>
      <c r="S16" s="9">
        <f t="shared" si="2"/>
        <v>12.219168114188461</v>
      </c>
      <c r="T16" s="9" t="s">
        <v>0</v>
      </c>
      <c r="U16" s="9" t="str">
        <f t="shared" si="3"/>
        <v>-</v>
      </c>
      <c r="V16" s="9" t="s">
        <v>0</v>
      </c>
      <c r="W16" s="9" t="str">
        <f t="shared" si="4"/>
        <v>-</v>
      </c>
      <c r="X16" s="9">
        <f>VLOOKUP(STU[[#This Row],[Equipment ID]],AEL_Protection_Data[#All],12,0)</f>
        <v>360</v>
      </c>
      <c r="Y16" s="9">
        <f t="shared" si="5"/>
        <v>6.9823817795362642</v>
      </c>
      <c r="Z16" s="9" t="s">
        <v>0</v>
      </c>
      <c r="AA16" s="9" t="str">
        <f t="shared" si="6"/>
        <v>-</v>
      </c>
      <c r="AB16" s="9" t="s">
        <v>0</v>
      </c>
      <c r="AC16" s="9" t="str">
        <f t="shared" si="7"/>
        <v>-</v>
      </c>
      <c r="AD16" s="9">
        <v>600</v>
      </c>
      <c r="AE16" s="12">
        <f t="shared" si="8"/>
        <v>11.637302965893772</v>
      </c>
      <c r="AF16" s="29" t="s">
        <v>0</v>
      </c>
      <c r="AG16" s="29" t="s">
        <v>0</v>
      </c>
      <c r="AH16" s="8" t="s">
        <v>0</v>
      </c>
      <c r="AI16" s="29" t="s">
        <v>0</v>
      </c>
      <c r="AJ16" s="32" t="s">
        <v>0</v>
      </c>
      <c r="AK16" s="29" t="s">
        <v>0</v>
      </c>
      <c r="AL16" s="32" t="s">
        <v>0</v>
      </c>
      <c r="AM16" s="29" t="s">
        <v>0</v>
      </c>
      <c r="AN16" s="32" t="s">
        <v>0</v>
      </c>
      <c r="AO16" s="29" t="s">
        <v>0</v>
      </c>
      <c r="AP16" s="29" t="s">
        <v>0</v>
      </c>
      <c r="AQ16" s="32" t="s">
        <v>0</v>
      </c>
      <c r="AR16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16" s="9" t="str">
        <f t="shared" si="9"/>
        <v>-</v>
      </c>
      <c r="AT16" s="9">
        <f>IF(RIGHT(STU[[#This Row],[Device type]],7)="Winding","-",STU[[#This Row],[Cont Winter MVA]])</f>
        <v>12.219168114188461</v>
      </c>
      <c r="AU16" s="9">
        <f>IF(RIGHT(STU[[#This Row],[Device type]],7)="Winding","-",STU[[#This Row],[Cont Shoulder MVA]])</f>
        <v>12.219168114188461</v>
      </c>
      <c r="AV16" s="9">
        <f>IF(RIGHT(STU[[#This Row],[Device type]],7)="Winding","-",STU[[#This Row],[Cont Summer MVA]])</f>
        <v>12.219168114188461</v>
      </c>
      <c r="AW16" s="9" t="str">
        <f>STU[[#This Row],[24 Hr Winter MVA]]</f>
        <v>-</v>
      </c>
      <c r="AX16" s="9" t="str">
        <f>STU[[#This Row],[24 Hr Summer MVA]]</f>
        <v>-</v>
      </c>
      <c r="AY16" s="9">
        <f>STU[[#This Row],[Forwards MVA]]</f>
        <v>6.9823817795362642</v>
      </c>
      <c r="AZ16" s="9" t="str">
        <f>STU[[#This Row],[Relay MVA]]</f>
        <v>-</v>
      </c>
      <c r="BA16" s="9">
        <f>STU[[#This Row],[CT MVA]]</f>
        <v>11.637302965893772</v>
      </c>
      <c r="BB16" s="9" t="str">
        <f>STU[[#This Row],[Derating MVA]]</f>
        <v>-</v>
      </c>
      <c r="BC16" s="9" t="str">
        <f>STU[[#This Row],[Station/Feeder]]&amp;STU[[#This Row],[Lowest MVA]]</f>
        <v>CB1_Otaio6.98238177953626</v>
      </c>
      <c r="BD16" s="9" t="str">
        <f>CONCATENATE(STU[[#This Row],[Supply Level]],STU[[#This Row],[Station/Feeder]],STU[[#This Row],[Voltage]],STU[[#This Row],[Lowest A-No PTX]])</f>
        <v>DistributionFeederCB1_Otaio11.198360</v>
      </c>
      <c r="BE16" s="9" t="str">
        <f>CONCATENATE(STU[[#This Row],[Supply Level]],STU[[#This Row],[Station/Feeder]],STU[[#This Row],[Voltage]],STU[[#This Row],[Lowest A-PTX]])</f>
        <v>DistributionFeederCB1_Otaio11.198360</v>
      </c>
      <c r="BF16" s="9">
        <f>IF(MIN(STU[[#This Row],[Summ Cont Winter A]:[Cable Derating]])=0,"",MIN(STU[[#This Row],[Summ Cont Winter A]:[Cable Derating]]))</f>
        <v>6.9823817795362642</v>
      </c>
      <c r="BG16" s="9">
        <f>IFERROR(STU[[#This Row],[Lowest MVA]]*1000/(STU[[#This Row],[Voltage]]*SQRT(3)),"")</f>
        <v>360.00000000000006</v>
      </c>
      <c r="BH16" s="9">
        <f t="shared" si="10"/>
        <v>360</v>
      </c>
      <c r="BI16" s="9" t="str">
        <f>STU[[#This Row],[From]]</f>
        <v>11 kV Bus</v>
      </c>
      <c r="BJ16" s="9" t="str">
        <f>STU[[#This Row],[To]]</f>
        <v>STU-1</v>
      </c>
      <c r="BK16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Circuit Breaker-STU-CB1-Protection</v>
      </c>
      <c r="BL16" s="9">
        <f>STU[[#This Row],[Voltage]]</f>
        <v>11.198</v>
      </c>
    </row>
    <row r="17" spans="1:64" x14ac:dyDescent="0.25">
      <c r="A17" s="6" t="str">
        <f>CONCATENATE(STU[[#This Row],[Supply Level]],STU[[#This Row],[Station/Feeder]],STU[[#This Row],[Voltage]])</f>
        <v>DistributionFeederCB1_Otaio11.198</v>
      </c>
      <c r="B17" s="6" t="str">
        <f>CONCATENATE(STU[[#This Row],[Supply Level]],STU[[#This Row],[Station/Feeder]],STU[[#This Row],[Equipment ID]],STU[[#This Row],[Voltage]],STU[[#This Row],[Device type]])</f>
        <v>DistributionFeederCB1_Otaio3c-300mm² AL XLPE HDPE11.198-</v>
      </c>
      <c r="C17" s="6" t="s">
        <v>1276</v>
      </c>
      <c r="D17" s="11" t="s">
        <v>92</v>
      </c>
      <c r="E17" s="6" t="s">
        <v>1394</v>
      </c>
      <c r="F17" s="6" t="s">
        <v>767</v>
      </c>
      <c r="G17" s="27">
        <v>4</v>
      </c>
      <c r="H17" s="7" t="s">
        <v>273</v>
      </c>
      <c r="I17" s="7" t="s">
        <v>768</v>
      </c>
      <c r="J17" s="7" t="s">
        <v>250</v>
      </c>
      <c r="K17" s="7" t="s">
        <v>0</v>
      </c>
      <c r="L17" s="7" t="s">
        <v>0</v>
      </c>
      <c r="M17" s="8">
        <f t="shared" si="13"/>
        <v>11.198</v>
      </c>
      <c r="N17" s="9">
        <v>476</v>
      </c>
      <c r="O17" s="9">
        <f t="shared" si="0"/>
        <v>9.2322603529423937</v>
      </c>
      <c r="P17" s="9">
        <v>476</v>
      </c>
      <c r="Q17" s="9">
        <f t="shared" si="1"/>
        <v>9.2322603529423937</v>
      </c>
      <c r="R17" s="9">
        <v>476</v>
      </c>
      <c r="S17" s="9">
        <f t="shared" si="2"/>
        <v>9.2322603529423937</v>
      </c>
      <c r="T17" s="9" t="s">
        <v>0</v>
      </c>
      <c r="U17" s="9" t="str">
        <f t="shared" si="3"/>
        <v>-</v>
      </c>
      <c r="V17" s="9" t="s">
        <v>0</v>
      </c>
      <c r="W17" s="9" t="str">
        <f t="shared" si="4"/>
        <v>-</v>
      </c>
      <c r="X17" s="9" t="s">
        <v>0</v>
      </c>
      <c r="Y17" s="9" t="str">
        <f t="shared" si="5"/>
        <v>-</v>
      </c>
      <c r="Z17" s="9" t="s">
        <v>0</v>
      </c>
      <c r="AA17" s="9" t="str">
        <f t="shared" si="6"/>
        <v>-</v>
      </c>
      <c r="AB17" s="9" t="s">
        <v>0</v>
      </c>
      <c r="AC17" s="9" t="str">
        <f t="shared" si="7"/>
        <v>-</v>
      </c>
      <c r="AD17" s="9" t="s">
        <v>0</v>
      </c>
      <c r="AE17" s="12" t="str">
        <f t="shared" si="8"/>
        <v>-</v>
      </c>
      <c r="AF17" s="29" t="s">
        <v>716</v>
      </c>
      <c r="AG17" s="29" t="s">
        <v>0</v>
      </c>
      <c r="AH17" s="8">
        <v>60.2</v>
      </c>
      <c r="AI17" s="29">
        <v>1</v>
      </c>
      <c r="AJ17" s="32">
        <v>0.98</v>
      </c>
      <c r="AK17" s="29">
        <v>20</v>
      </c>
      <c r="AL17" s="32">
        <v>0.97</v>
      </c>
      <c r="AM17" s="29">
        <v>1.2</v>
      </c>
      <c r="AN17" s="32">
        <v>1</v>
      </c>
      <c r="AO17" s="29">
        <v>6</v>
      </c>
      <c r="AP17" s="29">
        <v>0.5</v>
      </c>
      <c r="AQ17" s="32">
        <v>0.78</v>
      </c>
      <c r="AR17" s="9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352.93876799999998</v>
      </c>
      <c r="AS17" s="9">
        <f t="shared" si="9"/>
        <v>6.8454256193754901</v>
      </c>
      <c r="AT17" s="9">
        <f>IF(RIGHT(STU[[#This Row],[Device type]],7)="Winding","-",STU[[#This Row],[Cont Winter MVA]])</f>
        <v>9.2322603529423937</v>
      </c>
      <c r="AU17" s="9">
        <f>IF(RIGHT(STU[[#This Row],[Device type]],7)="Winding","-",STU[[#This Row],[Cont Shoulder MVA]])</f>
        <v>9.2322603529423937</v>
      </c>
      <c r="AV17" s="9">
        <f>IF(RIGHT(STU[[#This Row],[Device type]],7)="Winding","-",STU[[#This Row],[Cont Summer MVA]])</f>
        <v>9.2322603529423937</v>
      </c>
      <c r="AW17" s="9" t="str">
        <f>STU[[#This Row],[24 Hr Winter MVA]]</f>
        <v>-</v>
      </c>
      <c r="AX17" s="9" t="str">
        <f>STU[[#This Row],[24 Hr Summer MVA]]</f>
        <v>-</v>
      </c>
      <c r="AY17" s="9" t="str">
        <f>STU[[#This Row],[Forwards MVA]]</f>
        <v>-</v>
      </c>
      <c r="AZ17" s="9" t="str">
        <f>STU[[#This Row],[Relay MVA]]</f>
        <v>-</v>
      </c>
      <c r="BA17" s="9" t="str">
        <f>STU[[#This Row],[CT MVA]]</f>
        <v>-</v>
      </c>
      <c r="BB17" s="9">
        <f>STU[[#This Row],[Derating MVA]]</f>
        <v>6.8454256193754901</v>
      </c>
      <c r="BC17" s="9" t="str">
        <f>STU[[#This Row],[Station/Feeder]]&amp;STU[[#This Row],[Lowest MVA]]</f>
        <v>CB1_Otaio6.84542561937549</v>
      </c>
      <c r="BD17" s="9" t="str">
        <f>CONCATENATE(STU[[#This Row],[Supply Level]],STU[[#This Row],[Station/Feeder]],STU[[#This Row],[Voltage]],STU[[#This Row],[Lowest A-No PTX]])</f>
        <v>DistributionFeederCB1_Otaio11.198352.938768</v>
      </c>
      <c r="BE17" s="9" t="str">
        <f>CONCATENATE(STU[[#This Row],[Supply Level]],STU[[#This Row],[Station/Feeder]],STU[[#This Row],[Voltage]],STU[[#This Row],[Lowest A-PTX]])</f>
        <v>DistributionFeederCB1_Otaio11.198352.938768</v>
      </c>
      <c r="BF17" s="9">
        <f>IF(MIN(STU[[#This Row],[Summ Cont Winter A]:[Cable Derating]])=0,"",MIN(STU[[#This Row],[Summ Cont Winter A]:[Cable Derating]]))</f>
        <v>6.8454256193754901</v>
      </c>
      <c r="BG17" s="9">
        <f>IFERROR(STU[[#This Row],[Lowest MVA]]*1000/(STU[[#This Row],[Voltage]]*SQRT(3)),"")</f>
        <v>352.93876800000004</v>
      </c>
      <c r="BH17" s="9">
        <f t="shared" si="10"/>
        <v>352.93876799999998</v>
      </c>
      <c r="BI17" s="9" t="str">
        <f>STU[[#This Row],[From]]</f>
        <v xml:space="preserve">STU-1 </v>
      </c>
      <c r="BJ17" s="9" t="str">
        <f>STU[[#This Row],[To]]</f>
        <v>Pole 31678</v>
      </c>
      <c r="BK17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Cable-3c-300mm² AL XLPE HDPE</v>
      </c>
      <c r="BL17" s="9">
        <f>STU[[#This Row],[Voltage]]</f>
        <v>11.198</v>
      </c>
    </row>
    <row r="18" spans="1:64" x14ac:dyDescent="0.25">
      <c r="A18" s="6" t="str">
        <f>CONCATENATE(STU[[#This Row],[Supply Level]],STU[[#This Row],[Station/Feeder]],STU[[#This Row],[Voltage]])</f>
        <v>DistributionFeederCB1_Otaio11.198</v>
      </c>
      <c r="B18" s="6" t="str">
        <f>CONCATENATE(STU[[#This Row],[Supply Level]],STU[[#This Row],[Station/Feeder]],STU[[#This Row],[Equipment ID]],STU[[#This Row],[Voltage]],STU[[#This Row],[Device type]])</f>
        <v>DistributionFeederCB1_OtaioCHAFER11.198-</v>
      </c>
      <c r="C18" s="6" t="s">
        <v>1276</v>
      </c>
      <c r="D18" s="11" t="s">
        <v>92</v>
      </c>
      <c r="E18" s="6" t="s">
        <v>767</v>
      </c>
      <c r="F18" s="6" t="s">
        <v>769</v>
      </c>
      <c r="G18" s="27">
        <v>5</v>
      </c>
      <c r="H18" s="7" t="s">
        <v>1289</v>
      </c>
      <c r="I18" s="7" t="s">
        <v>505</v>
      </c>
      <c r="J18" s="7" t="s">
        <v>69</v>
      </c>
      <c r="K18" s="7" t="s">
        <v>0</v>
      </c>
      <c r="L18" s="7" t="s">
        <v>0</v>
      </c>
      <c r="M18" s="8">
        <f t="shared" si="13"/>
        <v>11.198</v>
      </c>
      <c r="N18" s="9">
        <v>524.32641073638399</v>
      </c>
      <c r="O18" s="9">
        <f t="shared" si="0"/>
        <v>10.169575491264929</v>
      </c>
      <c r="P18" s="9" t="s">
        <v>0</v>
      </c>
      <c r="Q18" s="9" t="str">
        <f t="shared" si="1"/>
        <v>-</v>
      </c>
      <c r="R18" s="9">
        <v>388.10484430946377</v>
      </c>
      <c r="S18" s="9">
        <f t="shared" si="2"/>
        <v>7.5274894262671053</v>
      </c>
      <c r="T18" s="9" t="s">
        <v>0</v>
      </c>
      <c r="U18" s="9" t="str">
        <f t="shared" si="3"/>
        <v>-</v>
      </c>
      <c r="V18" s="9" t="s">
        <v>0</v>
      </c>
      <c r="W18" s="9" t="str">
        <f t="shared" si="4"/>
        <v>-</v>
      </c>
      <c r="X18" s="9" t="s">
        <v>0</v>
      </c>
      <c r="Y18" s="9" t="str">
        <f t="shared" si="5"/>
        <v>-</v>
      </c>
      <c r="Z18" s="9" t="s">
        <v>0</v>
      </c>
      <c r="AA18" s="9" t="str">
        <f t="shared" si="6"/>
        <v>-</v>
      </c>
      <c r="AB18" s="9" t="s">
        <v>0</v>
      </c>
      <c r="AC18" s="9" t="str">
        <f t="shared" si="7"/>
        <v>-</v>
      </c>
      <c r="AD18" s="9" t="s">
        <v>0</v>
      </c>
      <c r="AE18" s="12" t="str">
        <f t="shared" si="8"/>
        <v>-</v>
      </c>
      <c r="AF18" s="29" t="s">
        <v>0</v>
      </c>
      <c r="AG18" s="29" t="s">
        <v>0</v>
      </c>
      <c r="AH18" s="8">
        <v>4.0999999999999996</v>
      </c>
      <c r="AI18" s="29" t="s">
        <v>0</v>
      </c>
      <c r="AJ18" s="32" t="s">
        <v>0</v>
      </c>
      <c r="AK18" s="29" t="s">
        <v>0</v>
      </c>
      <c r="AL18" s="32" t="s">
        <v>0</v>
      </c>
      <c r="AM18" s="29" t="s">
        <v>0</v>
      </c>
      <c r="AN18" s="32" t="s">
        <v>0</v>
      </c>
      <c r="AO18" s="29" t="s">
        <v>0</v>
      </c>
      <c r="AP18" s="29" t="s">
        <v>0</v>
      </c>
      <c r="AQ18" s="32" t="s">
        <v>0</v>
      </c>
      <c r="AR18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18" s="9" t="str">
        <f t="shared" si="9"/>
        <v>-</v>
      </c>
      <c r="AT18" s="9">
        <f>IF(RIGHT(STU[[#This Row],[Device type]],7)="Winding","-",STU[[#This Row],[Cont Winter MVA]])</f>
        <v>10.169575491264929</v>
      </c>
      <c r="AU18" s="9" t="str">
        <f>IF(RIGHT(STU[[#This Row],[Device type]],7)="Winding","-",STU[[#This Row],[Cont Shoulder MVA]])</f>
        <v>-</v>
      </c>
      <c r="AV18" s="9">
        <f>IF(RIGHT(STU[[#This Row],[Device type]],7)="Winding","-",STU[[#This Row],[Cont Summer MVA]])</f>
        <v>7.5274894262671053</v>
      </c>
      <c r="AW18" s="9" t="str">
        <f>STU[[#This Row],[24 Hr Winter MVA]]</f>
        <v>-</v>
      </c>
      <c r="AX18" s="9" t="str">
        <f>STU[[#This Row],[24 Hr Summer MVA]]</f>
        <v>-</v>
      </c>
      <c r="AY18" s="9" t="str">
        <f>STU[[#This Row],[Forwards MVA]]</f>
        <v>-</v>
      </c>
      <c r="AZ18" s="9" t="str">
        <f>STU[[#This Row],[Relay MVA]]</f>
        <v>-</v>
      </c>
      <c r="BA18" s="9" t="str">
        <f>STU[[#This Row],[CT MVA]]</f>
        <v>-</v>
      </c>
      <c r="BB18" s="9" t="str">
        <f>STU[[#This Row],[Derating MVA]]</f>
        <v>-</v>
      </c>
      <c r="BC18" s="9" t="str">
        <f>STU[[#This Row],[Station/Feeder]]&amp;STU[[#This Row],[Lowest MVA]]</f>
        <v>CB1_Otaio7.52748942626711</v>
      </c>
      <c r="BD18" s="9" t="str">
        <f>CONCATENATE(STU[[#This Row],[Supply Level]],STU[[#This Row],[Station/Feeder]],STU[[#This Row],[Voltage]],STU[[#This Row],[Lowest A-No PTX]])</f>
        <v>DistributionFeederCB1_Otaio11.198388.104844309464</v>
      </c>
      <c r="BE18" s="9" t="str">
        <f>CONCATENATE(STU[[#This Row],[Supply Level]],STU[[#This Row],[Station/Feeder]],STU[[#This Row],[Voltage]],STU[[#This Row],[Lowest A-PTX]])</f>
        <v>DistributionFeederCB1_Otaio11.198388.104844309464</v>
      </c>
      <c r="BF18" s="9">
        <f>IF(MIN(STU[[#This Row],[Summ Cont Winter A]:[Cable Derating]])=0,"",MIN(STU[[#This Row],[Summ Cont Winter A]:[Cable Derating]]))</f>
        <v>7.5274894262671053</v>
      </c>
      <c r="BG18" s="9">
        <f>IFERROR(STU[[#This Row],[Lowest MVA]]*1000/(STU[[#This Row],[Voltage]]*SQRT(3)),"")</f>
        <v>388.10484430946377</v>
      </c>
      <c r="BH18" s="9">
        <f t="shared" si="10"/>
        <v>388.10484430946377</v>
      </c>
      <c r="BI18" s="9" t="str">
        <f>STU[[#This Row],[From]]</f>
        <v>Pole 31678</v>
      </c>
      <c r="BJ18" s="9" t="str">
        <f>STU[[#This Row],[To]]</f>
        <v>W300 ABS</v>
      </c>
      <c r="BK18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OH Line-CHAFER</v>
      </c>
      <c r="BL18" s="9">
        <f>STU[[#This Row],[Voltage]]</f>
        <v>11.198</v>
      </c>
    </row>
    <row r="19" spans="1:64" x14ac:dyDescent="0.25">
      <c r="A19" s="6" t="str">
        <f>CONCATENATE(STU[[#This Row],[Supply Level]],STU[[#This Row],[Station/Feeder]],STU[[#This Row],[Voltage]])</f>
        <v>DistributionFeederCB1_Otaio11.198</v>
      </c>
      <c r="B19" s="6" t="str">
        <f>CONCATENATE(STU[[#This Row],[Supply Level]],STU[[#This Row],[Station/Feeder]],STU[[#This Row],[Equipment ID]],STU[[#This Row],[Voltage]],STU[[#This Row],[Device type]])</f>
        <v>DistributionFeederCB1_OtaioCHAFER11.198-</v>
      </c>
      <c r="C19" s="6" t="s">
        <v>1276</v>
      </c>
      <c r="D19" s="11" t="s">
        <v>92</v>
      </c>
      <c r="E19" s="6" t="s">
        <v>769</v>
      </c>
      <c r="F19" s="6" t="s">
        <v>770</v>
      </c>
      <c r="G19" s="27">
        <v>6</v>
      </c>
      <c r="H19" s="7" t="s">
        <v>1289</v>
      </c>
      <c r="I19" s="7" t="s">
        <v>505</v>
      </c>
      <c r="J19" s="7" t="s">
        <v>69</v>
      </c>
      <c r="K19" s="7" t="s">
        <v>0</v>
      </c>
      <c r="L19" s="7" t="s">
        <v>0</v>
      </c>
      <c r="M19" s="8">
        <f t="shared" si="13"/>
        <v>11.198</v>
      </c>
      <c r="N19" s="9">
        <v>524.32641073638399</v>
      </c>
      <c r="O19" s="9">
        <f t="shared" si="0"/>
        <v>10.169575491264929</v>
      </c>
      <c r="P19" s="9" t="s">
        <v>0</v>
      </c>
      <c r="Q19" s="9" t="str">
        <f t="shared" si="1"/>
        <v>-</v>
      </c>
      <c r="R19" s="9">
        <v>388.10484430946377</v>
      </c>
      <c r="S19" s="9">
        <f t="shared" si="2"/>
        <v>7.5274894262671053</v>
      </c>
      <c r="T19" s="9" t="s">
        <v>0</v>
      </c>
      <c r="U19" s="9" t="str">
        <f t="shared" si="3"/>
        <v>-</v>
      </c>
      <c r="V19" s="9" t="s">
        <v>0</v>
      </c>
      <c r="W19" s="9" t="str">
        <f t="shared" si="4"/>
        <v>-</v>
      </c>
      <c r="X19" s="9" t="s">
        <v>0</v>
      </c>
      <c r="Y19" s="9" t="str">
        <f t="shared" si="5"/>
        <v>-</v>
      </c>
      <c r="Z19" s="9" t="s">
        <v>0</v>
      </c>
      <c r="AA19" s="9" t="str">
        <f t="shared" si="6"/>
        <v>-</v>
      </c>
      <c r="AB19" s="9" t="s">
        <v>0</v>
      </c>
      <c r="AC19" s="9" t="str">
        <f t="shared" si="7"/>
        <v>-</v>
      </c>
      <c r="AD19" s="9" t="s">
        <v>0</v>
      </c>
      <c r="AE19" s="12" t="str">
        <f t="shared" si="8"/>
        <v>-</v>
      </c>
      <c r="AF19" s="29" t="s">
        <v>0</v>
      </c>
      <c r="AG19" s="29" t="s">
        <v>0</v>
      </c>
      <c r="AH19" s="8">
        <v>347.5</v>
      </c>
      <c r="AI19" s="29" t="s">
        <v>0</v>
      </c>
      <c r="AJ19" s="32" t="s">
        <v>0</v>
      </c>
      <c r="AK19" s="29" t="s">
        <v>0</v>
      </c>
      <c r="AL19" s="32" t="s">
        <v>0</v>
      </c>
      <c r="AM19" s="29" t="s">
        <v>0</v>
      </c>
      <c r="AN19" s="32" t="s">
        <v>0</v>
      </c>
      <c r="AO19" s="29" t="s">
        <v>0</v>
      </c>
      <c r="AP19" s="29" t="s">
        <v>0</v>
      </c>
      <c r="AQ19" s="32" t="s">
        <v>0</v>
      </c>
      <c r="AR19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19" s="9" t="str">
        <f t="shared" si="9"/>
        <v>-</v>
      </c>
      <c r="AT19" s="9">
        <f>IF(RIGHT(STU[[#This Row],[Device type]],7)="Winding","-",STU[[#This Row],[Cont Winter MVA]])</f>
        <v>10.169575491264929</v>
      </c>
      <c r="AU19" s="9" t="str">
        <f>IF(RIGHT(STU[[#This Row],[Device type]],7)="Winding","-",STU[[#This Row],[Cont Shoulder MVA]])</f>
        <v>-</v>
      </c>
      <c r="AV19" s="9">
        <f>IF(RIGHT(STU[[#This Row],[Device type]],7)="Winding","-",STU[[#This Row],[Cont Summer MVA]])</f>
        <v>7.5274894262671053</v>
      </c>
      <c r="AW19" s="9" t="str">
        <f>STU[[#This Row],[24 Hr Winter MVA]]</f>
        <v>-</v>
      </c>
      <c r="AX19" s="9" t="str">
        <f>STU[[#This Row],[24 Hr Summer MVA]]</f>
        <v>-</v>
      </c>
      <c r="AY19" s="9" t="str">
        <f>STU[[#This Row],[Forwards MVA]]</f>
        <v>-</v>
      </c>
      <c r="AZ19" s="9" t="str">
        <f>STU[[#This Row],[Relay MVA]]</f>
        <v>-</v>
      </c>
      <c r="BA19" s="9" t="str">
        <f>STU[[#This Row],[CT MVA]]</f>
        <v>-</v>
      </c>
      <c r="BB19" s="9" t="str">
        <f>STU[[#This Row],[Derating MVA]]</f>
        <v>-</v>
      </c>
      <c r="BC19" s="9" t="str">
        <f>STU[[#This Row],[Station/Feeder]]&amp;STU[[#This Row],[Lowest MVA]]</f>
        <v>CB1_Otaio7.52748942626711</v>
      </c>
      <c r="BD19" s="9" t="str">
        <f>CONCATENATE(STU[[#This Row],[Supply Level]],STU[[#This Row],[Station/Feeder]],STU[[#This Row],[Voltage]],STU[[#This Row],[Lowest A-No PTX]])</f>
        <v>DistributionFeederCB1_Otaio11.198388.104844309464</v>
      </c>
      <c r="BE19" s="9" t="str">
        <f>CONCATENATE(STU[[#This Row],[Supply Level]],STU[[#This Row],[Station/Feeder]],STU[[#This Row],[Voltage]],STU[[#This Row],[Lowest A-PTX]])</f>
        <v>DistributionFeederCB1_Otaio11.198388.104844309464</v>
      </c>
      <c r="BF19" s="9">
        <f>IF(MIN(STU[[#This Row],[Summ Cont Winter A]:[Cable Derating]])=0,"",MIN(STU[[#This Row],[Summ Cont Winter A]:[Cable Derating]]))</f>
        <v>7.5274894262671053</v>
      </c>
      <c r="BG19" s="9">
        <f>IFERROR(STU[[#This Row],[Lowest MVA]]*1000/(STU[[#This Row],[Voltage]]*SQRT(3)),"")</f>
        <v>388.10484430946377</v>
      </c>
      <c r="BH19" s="9">
        <f t="shared" si="10"/>
        <v>388.10484430946377</v>
      </c>
      <c r="BI19" s="9" t="str">
        <f>STU[[#This Row],[From]]</f>
        <v>W300 ABS</v>
      </c>
      <c r="BJ19" s="9" t="str">
        <f>STU[[#This Row],[To]]</f>
        <v>A224 TX</v>
      </c>
      <c r="BK19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OH Line-CHAFER</v>
      </c>
      <c r="BL19" s="9">
        <f>STU[[#This Row],[Voltage]]</f>
        <v>11.198</v>
      </c>
    </row>
    <row r="20" spans="1:64" x14ac:dyDescent="0.25">
      <c r="A20" s="6" t="str">
        <f>CONCATENATE(STU[[#This Row],[Supply Level]],STU[[#This Row],[Station/Feeder]],STU[[#This Row],[Voltage]])</f>
        <v>DistributionFeederCB1_Otaio11.198</v>
      </c>
      <c r="B20" s="6" t="str">
        <f>CONCATENATE(STU[[#This Row],[Supply Level]],STU[[#This Row],[Station/Feeder]],STU[[#This Row],[Equipment ID]],STU[[#This Row],[Voltage]],STU[[#This Row],[Device type]])</f>
        <v>DistributionFeederCB1_OtaioW30011.198-</v>
      </c>
      <c r="C20" s="6" t="s">
        <v>1276</v>
      </c>
      <c r="D20" s="11" t="s">
        <v>92</v>
      </c>
      <c r="E20" s="6" t="s">
        <v>769</v>
      </c>
      <c r="F20" s="8" t="s">
        <v>0</v>
      </c>
      <c r="G20" s="27">
        <v>7</v>
      </c>
      <c r="H20" s="7" t="s">
        <v>273</v>
      </c>
      <c r="I20" s="7" t="s">
        <v>771</v>
      </c>
      <c r="J20" s="7" t="s">
        <v>729</v>
      </c>
      <c r="K20" s="7" t="s">
        <v>0</v>
      </c>
      <c r="L20" s="7" t="s">
        <v>0</v>
      </c>
      <c r="M20" s="8">
        <f t="shared" si="13"/>
        <v>11.198</v>
      </c>
      <c r="N20" s="9">
        <v>400</v>
      </c>
      <c r="O20" s="9">
        <f>IF(OR(N20="",N20="-"),"-",N20*$M20*SQRT(3)/1000)</f>
        <v>7.7582019772625141</v>
      </c>
      <c r="P20" s="9">
        <v>400</v>
      </c>
      <c r="Q20" s="9">
        <f>IF(OR(P20="",P20="-"),"-",P20*$M20*SQRT(3)/1000)</f>
        <v>7.7582019772625141</v>
      </c>
      <c r="R20" s="9">
        <v>400</v>
      </c>
      <c r="S20" s="9">
        <f>IF(OR(R20="",R20="-"),"-",R20*$M20*SQRT(3)/1000)</f>
        <v>7.7582019772625141</v>
      </c>
      <c r="T20" s="9" t="s">
        <v>0</v>
      </c>
      <c r="U20" s="9" t="str">
        <f>IF(OR(T20="",T20="-"),"-",T20*$M20*SQRT(3)/1000)</f>
        <v>-</v>
      </c>
      <c r="V20" s="9" t="s">
        <v>0</v>
      </c>
      <c r="W20" s="9" t="str">
        <f>IF(OR(V20="",V20="-"),"-",V20*$M20*SQRT(3)/1000)</f>
        <v>-</v>
      </c>
      <c r="X20" s="9" t="s">
        <v>0</v>
      </c>
      <c r="Y20" s="9" t="str">
        <f>IF(OR(X20="",X20="-"),"-",X20*$M20*SQRT(3)/1000)</f>
        <v>-</v>
      </c>
      <c r="Z20" s="9" t="s">
        <v>0</v>
      </c>
      <c r="AA20" s="9" t="str">
        <f>IF(OR(Z20="",Z20="-"),"-",Z20*$M20*SQRT(3)/1000)</f>
        <v>-</v>
      </c>
      <c r="AB20" s="9" t="s">
        <v>0</v>
      </c>
      <c r="AC20" s="9" t="str">
        <f>IF(OR(AB20="",AB20="-"),"-",AB20*$M20*SQRT(3)/1000)</f>
        <v>-</v>
      </c>
      <c r="AD20" s="9" t="s">
        <v>0</v>
      </c>
      <c r="AE20" s="12" t="str">
        <f>IF(OR(AD20="",AD20="-"),"-",AD20*$M20*SQRT(3)/1000)</f>
        <v>-</v>
      </c>
      <c r="AF20" s="9" t="s">
        <v>0</v>
      </c>
      <c r="AG20" s="9" t="s">
        <v>0</v>
      </c>
      <c r="AH20" s="9" t="s">
        <v>0</v>
      </c>
      <c r="AI20" s="9" t="s">
        <v>0</v>
      </c>
      <c r="AJ20" s="32" t="s">
        <v>0</v>
      </c>
      <c r="AK20" s="9" t="s">
        <v>0</v>
      </c>
      <c r="AL20" s="32" t="s">
        <v>0</v>
      </c>
      <c r="AM20" s="9" t="s">
        <v>0</v>
      </c>
      <c r="AN20" s="32" t="s">
        <v>0</v>
      </c>
      <c r="AO20" s="9" t="s">
        <v>0</v>
      </c>
      <c r="AP20" s="9" t="s">
        <v>0</v>
      </c>
      <c r="AQ20" s="32" t="s">
        <v>0</v>
      </c>
      <c r="AR20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20" s="9" t="str">
        <f>IF(OR(AR20="",AR20="-"),"-",AR20*$M20*SQRT(3)/1000)</f>
        <v>-</v>
      </c>
      <c r="AT20" s="9">
        <f>IF(RIGHT(STU[[#This Row],[Device type]],7)="Winding","-",STU[[#This Row],[Cont Winter MVA]])</f>
        <v>7.7582019772625141</v>
      </c>
      <c r="AU20" s="9">
        <f>IF(RIGHT(STU[[#This Row],[Device type]],7)="Winding","-",STU[[#This Row],[Cont Shoulder MVA]])</f>
        <v>7.7582019772625141</v>
      </c>
      <c r="AV20" s="9">
        <f>IF(RIGHT(STU[[#This Row],[Device type]],7)="Winding","-",STU[[#This Row],[Cont Summer MVA]])</f>
        <v>7.7582019772625141</v>
      </c>
      <c r="AW20" s="9" t="str">
        <f>STU[[#This Row],[24 Hr Winter MVA]]</f>
        <v>-</v>
      </c>
      <c r="AX20" s="9" t="str">
        <f>STU[[#This Row],[24 Hr Summer MVA]]</f>
        <v>-</v>
      </c>
      <c r="AY20" s="9" t="str">
        <f>STU[[#This Row],[Forwards MVA]]</f>
        <v>-</v>
      </c>
      <c r="AZ20" s="9" t="str">
        <f>STU[[#This Row],[Relay MVA]]</f>
        <v>-</v>
      </c>
      <c r="BA20" s="9" t="str">
        <f>STU[[#This Row],[CT MVA]]</f>
        <v>-</v>
      </c>
      <c r="BB20" s="9" t="str">
        <f>STU[[#This Row],[Derating MVA]]</f>
        <v>-</v>
      </c>
      <c r="BC20" s="9" t="str">
        <f>STU[[#This Row],[Station/Feeder]]&amp;STU[[#This Row],[Lowest MVA]]</f>
        <v>CB1_Otaio7.75820197726251</v>
      </c>
      <c r="BD20" s="9" t="str">
        <f>CONCATENATE(STU[[#This Row],[Supply Level]],STU[[#This Row],[Station/Feeder]],STU[[#This Row],[Voltage]],STU[[#This Row],[Lowest A-No PTX]])</f>
        <v>DistributionFeederCB1_Otaio11.198400</v>
      </c>
      <c r="BE20" s="9" t="str">
        <f>CONCATENATE(STU[[#This Row],[Supply Level]],STU[[#This Row],[Station/Feeder]],STU[[#This Row],[Voltage]],STU[[#This Row],[Lowest A-PTX]])</f>
        <v>DistributionFeederCB1_Otaio11.198400</v>
      </c>
      <c r="BF20" s="9">
        <f>IF(MIN(STU[[#This Row],[Summ Cont Winter A]:[Cable Derating]])=0,"",MIN(STU[[#This Row],[Summ Cont Winter A]:[Cable Derating]]))</f>
        <v>7.7582019772625141</v>
      </c>
      <c r="BG20" s="9">
        <f>IFERROR(STU[[#This Row],[Lowest MVA]]*1000/(STU[[#This Row],[Voltage]]*SQRT(3)),"")</f>
        <v>400</v>
      </c>
      <c r="BH20" s="9">
        <f t="shared" si="10"/>
        <v>400</v>
      </c>
      <c r="BI20" s="9" t="str">
        <f>STU[[#This Row],[From]]</f>
        <v>W300 ABS</v>
      </c>
      <c r="BJ20" s="9" t="str">
        <f>STU[[#This Row],[To]]</f>
        <v>-</v>
      </c>
      <c r="BK20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Air Break Switch-W300</v>
      </c>
      <c r="BL20" s="9">
        <f>STU[[#This Row],[Voltage]]</f>
        <v>11.198</v>
      </c>
    </row>
    <row r="21" spans="1:64" x14ac:dyDescent="0.25">
      <c r="A21" s="6" t="str">
        <f>CONCATENATE(STU[[#This Row],[Supply Level]],STU[[#This Row],[Station/Feeder]],STU[[#This Row],[Voltage]])</f>
        <v>DistributionFeederCB2_Glenavy11.198</v>
      </c>
      <c r="B21" s="6" t="str">
        <f>CONCATENATE(STU[[#This Row],[Supply Level]],STU[[#This Row],[Station/Feeder]],STU[[#This Row],[Equipment ID]],STU[[#This Row],[Voltage]],STU[[#This Row],[Device type]])</f>
        <v>DistributionFeederCB2_GlenavySTU-CB211.198Protection</v>
      </c>
      <c r="C21" s="6" t="s">
        <v>1276</v>
      </c>
      <c r="D21" s="11" t="s">
        <v>105</v>
      </c>
      <c r="E21" s="6" t="s">
        <v>243</v>
      </c>
      <c r="F21" s="6" t="s">
        <v>772</v>
      </c>
      <c r="G21" s="27">
        <v>3</v>
      </c>
      <c r="H21" s="7" t="s">
        <v>2351</v>
      </c>
      <c r="I21" s="7" t="s">
        <v>1389</v>
      </c>
      <c r="J21" s="7" t="s">
        <v>15</v>
      </c>
      <c r="K21" s="7" t="s">
        <v>1121</v>
      </c>
      <c r="L21" s="7" t="s">
        <v>1423</v>
      </c>
      <c r="M21" s="8">
        <f t="shared" si="13"/>
        <v>11.198</v>
      </c>
      <c r="N21" s="9">
        <v>630</v>
      </c>
      <c r="O21" s="9">
        <f t="shared" si="0"/>
        <v>12.219168114188461</v>
      </c>
      <c r="P21" s="9">
        <v>630</v>
      </c>
      <c r="Q21" s="9">
        <f t="shared" si="1"/>
        <v>12.219168114188461</v>
      </c>
      <c r="R21" s="9">
        <v>630</v>
      </c>
      <c r="S21" s="9">
        <f t="shared" si="2"/>
        <v>12.219168114188461</v>
      </c>
      <c r="T21" s="9" t="s">
        <v>0</v>
      </c>
      <c r="U21" s="9" t="str">
        <f t="shared" si="3"/>
        <v>-</v>
      </c>
      <c r="V21" s="9" t="s">
        <v>0</v>
      </c>
      <c r="W21" s="9" t="str">
        <f t="shared" si="4"/>
        <v>-</v>
      </c>
      <c r="X21" s="9">
        <f>VLOOKUP(STU[[#This Row],[Equipment ID]],AEL_Protection_Data[#All],12,0)</f>
        <v>300</v>
      </c>
      <c r="Y21" s="9">
        <f t="shared" si="5"/>
        <v>5.8186514829468861</v>
      </c>
      <c r="Z21" s="9" t="s">
        <v>0</v>
      </c>
      <c r="AA21" s="9" t="str">
        <f t="shared" si="6"/>
        <v>-</v>
      </c>
      <c r="AB21" s="9" t="s">
        <v>0</v>
      </c>
      <c r="AC21" s="9" t="str">
        <f t="shared" si="7"/>
        <v>-</v>
      </c>
      <c r="AD21" s="9">
        <v>600</v>
      </c>
      <c r="AE21" s="12">
        <f t="shared" si="8"/>
        <v>11.637302965893772</v>
      </c>
      <c r="AF21" s="29" t="s">
        <v>0</v>
      </c>
      <c r="AG21" s="29" t="s">
        <v>0</v>
      </c>
      <c r="AH21" s="8" t="s">
        <v>0</v>
      </c>
      <c r="AI21" s="29" t="s">
        <v>0</v>
      </c>
      <c r="AJ21" s="32" t="s">
        <v>0</v>
      </c>
      <c r="AK21" s="29" t="s">
        <v>0</v>
      </c>
      <c r="AL21" s="32" t="s">
        <v>0</v>
      </c>
      <c r="AM21" s="29" t="s">
        <v>0</v>
      </c>
      <c r="AN21" s="32" t="s">
        <v>0</v>
      </c>
      <c r="AO21" s="29" t="s">
        <v>0</v>
      </c>
      <c r="AP21" s="29" t="s">
        <v>0</v>
      </c>
      <c r="AQ21" s="32" t="s">
        <v>0</v>
      </c>
      <c r="AR21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21" s="9" t="str">
        <f t="shared" si="9"/>
        <v>-</v>
      </c>
      <c r="AT21" s="9">
        <f>IF(RIGHT(STU[[#This Row],[Device type]],7)="Winding","-",STU[[#This Row],[Cont Winter MVA]])</f>
        <v>12.219168114188461</v>
      </c>
      <c r="AU21" s="9">
        <f>IF(RIGHT(STU[[#This Row],[Device type]],7)="Winding","-",STU[[#This Row],[Cont Shoulder MVA]])</f>
        <v>12.219168114188461</v>
      </c>
      <c r="AV21" s="9">
        <f>IF(RIGHT(STU[[#This Row],[Device type]],7)="Winding","-",STU[[#This Row],[Cont Summer MVA]])</f>
        <v>12.219168114188461</v>
      </c>
      <c r="AW21" s="9" t="str">
        <f>STU[[#This Row],[24 Hr Winter MVA]]</f>
        <v>-</v>
      </c>
      <c r="AX21" s="9" t="str">
        <f>STU[[#This Row],[24 Hr Summer MVA]]</f>
        <v>-</v>
      </c>
      <c r="AY21" s="9">
        <f>STU[[#This Row],[Forwards MVA]]</f>
        <v>5.8186514829468861</v>
      </c>
      <c r="AZ21" s="9" t="str">
        <f>STU[[#This Row],[Relay MVA]]</f>
        <v>-</v>
      </c>
      <c r="BA21" s="9">
        <f>STU[[#This Row],[CT MVA]]</f>
        <v>11.637302965893772</v>
      </c>
      <c r="BB21" s="9" t="str">
        <f>STU[[#This Row],[Derating MVA]]</f>
        <v>-</v>
      </c>
      <c r="BC21" s="9" t="str">
        <f>STU[[#This Row],[Station/Feeder]]&amp;STU[[#This Row],[Lowest MVA]]</f>
        <v>CB2_Glenavy5.81865148294689</v>
      </c>
      <c r="BD21" s="9" t="str">
        <f>CONCATENATE(STU[[#This Row],[Supply Level]],STU[[#This Row],[Station/Feeder]],STU[[#This Row],[Voltage]],STU[[#This Row],[Lowest A-No PTX]])</f>
        <v>DistributionFeederCB2_Glenavy11.198300</v>
      </c>
      <c r="BE21" s="9" t="str">
        <f>CONCATENATE(STU[[#This Row],[Supply Level]],STU[[#This Row],[Station/Feeder]],STU[[#This Row],[Voltage]],STU[[#This Row],[Lowest A-PTX]])</f>
        <v>DistributionFeederCB2_Glenavy11.198300</v>
      </c>
      <c r="BF21" s="9">
        <f>IF(MIN(STU[[#This Row],[Summ Cont Winter A]:[Cable Derating]])=0,"",MIN(STU[[#This Row],[Summ Cont Winter A]:[Cable Derating]]))</f>
        <v>5.8186514829468861</v>
      </c>
      <c r="BG21" s="9">
        <f>IFERROR(STU[[#This Row],[Lowest MVA]]*1000/(STU[[#This Row],[Voltage]]*SQRT(3)),"")</f>
        <v>300</v>
      </c>
      <c r="BH21" s="9">
        <f t="shared" si="10"/>
        <v>300</v>
      </c>
      <c r="BI21" s="9" t="str">
        <f>STU[[#This Row],[From]]</f>
        <v>11 kV Bus</v>
      </c>
      <c r="BJ21" s="9" t="str">
        <f>STU[[#This Row],[To]]</f>
        <v>STU-2</v>
      </c>
      <c r="BK21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Circuit Breaker-STU-CB2-Protection</v>
      </c>
      <c r="BL21" s="9">
        <f>STU[[#This Row],[Voltage]]</f>
        <v>11.198</v>
      </c>
    </row>
    <row r="22" spans="1:64" x14ac:dyDescent="0.25">
      <c r="A22" s="6" t="str">
        <f>CONCATENATE(STU[[#This Row],[Supply Level]],STU[[#This Row],[Station/Feeder]],STU[[#This Row],[Voltage]])</f>
        <v>DistributionFeederCB2_Glenavy11.198</v>
      </c>
      <c r="B22" s="6" t="str">
        <f>CONCATENATE(STU[[#This Row],[Supply Level]],STU[[#This Row],[Station/Feeder]],STU[[#This Row],[Equipment ID]],STU[[#This Row],[Voltage]],STU[[#This Row],[Device type]])</f>
        <v>DistributionFeederCB2_Glenavy3c-300mm² AL XLPE HDPE11.198-</v>
      </c>
      <c r="C22" s="6" t="s">
        <v>1276</v>
      </c>
      <c r="D22" s="11" t="s">
        <v>105</v>
      </c>
      <c r="E22" s="6" t="s">
        <v>772</v>
      </c>
      <c r="F22" s="6" t="s">
        <v>773</v>
      </c>
      <c r="G22" s="27">
        <v>4</v>
      </c>
      <c r="H22" s="7" t="s">
        <v>273</v>
      </c>
      <c r="I22" s="7" t="s">
        <v>768</v>
      </c>
      <c r="J22" s="7" t="s">
        <v>250</v>
      </c>
      <c r="K22" s="7" t="s">
        <v>0</v>
      </c>
      <c r="L22" s="7" t="s">
        <v>0</v>
      </c>
      <c r="M22" s="8">
        <f t="shared" si="13"/>
        <v>11.198</v>
      </c>
      <c r="N22" s="9">
        <v>476</v>
      </c>
      <c r="O22" s="9">
        <f t="shared" si="0"/>
        <v>9.2322603529423937</v>
      </c>
      <c r="P22" s="9">
        <v>476</v>
      </c>
      <c r="Q22" s="9">
        <f t="shared" si="1"/>
        <v>9.2322603529423937</v>
      </c>
      <c r="R22" s="9">
        <v>476</v>
      </c>
      <c r="S22" s="9">
        <f t="shared" si="2"/>
        <v>9.2322603529423937</v>
      </c>
      <c r="T22" s="9" t="s">
        <v>0</v>
      </c>
      <c r="U22" s="9" t="str">
        <f t="shared" si="3"/>
        <v>-</v>
      </c>
      <c r="V22" s="9" t="s">
        <v>0</v>
      </c>
      <c r="W22" s="9" t="str">
        <f t="shared" si="4"/>
        <v>-</v>
      </c>
      <c r="X22" s="9" t="s">
        <v>0</v>
      </c>
      <c r="Y22" s="9" t="str">
        <f t="shared" si="5"/>
        <v>-</v>
      </c>
      <c r="Z22" s="9" t="s">
        <v>0</v>
      </c>
      <c r="AA22" s="9" t="str">
        <f t="shared" si="6"/>
        <v>-</v>
      </c>
      <c r="AB22" s="9" t="s">
        <v>0</v>
      </c>
      <c r="AC22" s="9" t="str">
        <f t="shared" si="7"/>
        <v>-</v>
      </c>
      <c r="AD22" s="9" t="s">
        <v>0</v>
      </c>
      <c r="AE22" s="12" t="str">
        <f t="shared" si="8"/>
        <v>-</v>
      </c>
      <c r="AF22" s="29" t="s">
        <v>716</v>
      </c>
      <c r="AG22" s="29" t="s">
        <v>0</v>
      </c>
      <c r="AH22" s="8">
        <v>62</v>
      </c>
      <c r="AI22" s="29">
        <v>1</v>
      </c>
      <c r="AJ22" s="32">
        <v>0.98</v>
      </c>
      <c r="AK22" s="29">
        <v>20</v>
      </c>
      <c r="AL22" s="32">
        <v>0.97</v>
      </c>
      <c r="AM22" s="29">
        <v>1.2</v>
      </c>
      <c r="AN22" s="32">
        <v>1</v>
      </c>
      <c r="AO22" s="29">
        <v>6</v>
      </c>
      <c r="AP22" s="29">
        <v>0.5</v>
      </c>
      <c r="AQ22" s="32">
        <v>0.78</v>
      </c>
      <c r="AR22" s="9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352.93876799999998</v>
      </c>
      <c r="AS22" s="9">
        <f t="shared" si="9"/>
        <v>6.8454256193754901</v>
      </c>
      <c r="AT22" s="9">
        <f>IF(RIGHT(STU[[#This Row],[Device type]],7)="Winding","-",STU[[#This Row],[Cont Winter MVA]])</f>
        <v>9.2322603529423937</v>
      </c>
      <c r="AU22" s="9">
        <f>IF(RIGHT(STU[[#This Row],[Device type]],7)="Winding","-",STU[[#This Row],[Cont Shoulder MVA]])</f>
        <v>9.2322603529423937</v>
      </c>
      <c r="AV22" s="9">
        <f>IF(RIGHT(STU[[#This Row],[Device type]],7)="Winding","-",STU[[#This Row],[Cont Summer MVA]])</f>
        <v>9.2322603529423937</v>
      </c>
      <c r="AW22" s="9" t="str">
        <f>STU[[#This Row],[24 Hr Winter MVA]]</f>
        <v>-</v>
      </c>
      <c r="AX22" s="9" t="str">
        <f>STU[[#This Row],[24 Hr Summer MVA]]</f>
        <v>-</v>
      </c>
      <c r="AY22" s="9" t="str">
        <f>STU[[#This Row],[Forwards MVA]]</f>
        <v>-</v>
      </c>
      <c r="AZ22" s="9" t="str">
        <f>STU[[#This Row],[Relay MVA]]</f>
        <v>-</v>
      </c>
      <c r="BA22" s="9" t="str">
        <f>STU[[#This Row],[CT MVA]]</f>
        <v>-</v>
      </c>
      <c r="BB22" s="9">
        <f>STU[[#This Row],[Derating MVA]]</f>
        <v>6.8454256193754901</v>
      </c>
      <c r="BC22" s="9" t="str">
        <f>STU[[#This Row],[Station/Feeder]]&amp;STU[[#This Row],[Lowest MVA]]</f>
        <v>CB2_Glenavy6.84542561937549</v>
      </c>
      <c r="BD22" s="9" t="str">
        <f>CONCATENATE(STU[[#This Row],[Supply Level]],STU[[#This Row],[Station/Feeder]],STU[[#This Row],[Voltage]],STU[[#This Row],[Lowest A-No PTX]])</f>
        <v>DistributionFeederCB2_Glenavy11.198352.938768</v>
      </c>
      <c r="BE22" s="9" t="str">
        <f>CONCATENATE(STU[[#This Row],[Supply Level]],STU[[#This Row],[Station/Feeder]],STU[[#This Row],[Voltage]],STU[[#This Row],[Lowest A-PTX]])</f>
        <v>DistributionFeederCB2_Glenavy11.198352.938768</v>
      </c>
      <c r="BF22" s="9">
        <f>IF(MIN(STU[[#This Row],[Summ Cont Winter A]:[Cable Derating]])=0,"",MIN(STU[[#This Row],[Summ Cont Winter A]:[Cable Derating]]))</f>
        <v>6.8454256193754901</v>
      </c>
      <c r="BG22" s="9">
        <f>IFERROR(STU[[#This Row],[Lowest MVA]]*1000/(STU[[#This Row],[Voltage]]*SQRT(3)),"")</f>
        <v>352.93876800000004</v>
      </c>
      <c r="BH22" s="9">
        <f t="shared" si="10"/>
        <v>352.93876799999998</v>
      </c>
      <c r="BI22" s="9" t="str">
        <f>STU[[#This Row],[From]]</f>
        <v>STU-2</v>
      </c>
      <c r="BJ22" s="9" t="str">
        <f>STU[[#This Row],[To]]</f>
        <v>W405 ABS</v>
      </c>
      <c r="BK22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Cable-3c-300mm² AL XLPE HDPE</v>
      </c>
      <c r="BL22" s="9">
        <f>STU[[#This Row],[Voltage]]</f>
        <v>11.198</v>
      </c>
    </row>
    <row r="23" spans="1:64" x14ac:dyDescent="0.25">
      <c r="A23" s="6" t="str">
        <f>CONCATENATE(STU[[#This Row],[Supply Level]],STU[[#This Row],[Station/Feeder]],STU[[#This Row],[Voltage]])</f>
        <v>DistributionFeederCB2_Glenavy11.198</v>
      </c>
      <c r="B23" s="6" t="str">
        <f>CONCATENATE(STU[[#This Row],[Supply Level]],STU[[#This Row],[Station/Feeder]],STU[[#This Row],[Equipment ID]],STU[[#This Row],[Voltage]],STU[[#This Row],[Device type]])</f>
        <v>DistributionFeederCB2_GlenavyCHAFER11.198-</v>
      </c>
      <c r="C23" s="6" t="s">
        <v>1276</v>
      </c>
      <c r="D23" s="11" t="s">
        <v>105</v>
      </c>
      <c r="E23" s="6" t="s">
        <v>773</v>
      </c>
      <c r="F23" s="6" t="s">
        <v>774</v>
      </c>
      <c r="G23" s="27">
        <v>5</v>
      </c>
      <c r="H23" s="7" t="s">
        <v>1289</v>
      </c>
      <c r="I23" s="7" t="s">
        <v>505</v>
      </c>
      <c r="J23" s="7" t="s">
        <v>69</v>
      </c>
      <c r="K23" s="7" t="s">
        <v>0</v>
      </c>
      <c r="L23" s="7" t="s">
        <v>0</v>
      </c>
      <c r="M23" s="8">
        <f t="shared" si="13"/>
        <v>11.198</v>
      </c>
      <c r="N23" s="9">
        <v>524.32641073638399</v>
      </c>
      <c r="O23" s="9">
        <f t="shared" si="0"/>
        <v>10.169575491264929</v>
      </c>
      <c r="P23" s="9" t="s">
        <v>0</v>
      </c>
      <c r="Q23" s="9" t="str">
        <f t="shared" si="1"/>
        <v>-</v>
      </c>
      <c r="R23" s="9">
        <v>388.10484430946377</v>
      </c>
      <c r="S23" s="9">
        <f t="shared" si="2"/>
        <v>7.5274894262671053</v>
      </c>
      <c r="T23" s="9" t="s">
        <v>0</v>
      </c>
      <c r="U23" s="9" t="str">
        <f t="shared" si="3"/>
        <v>-</v>
      </c>
      <c r="V23" s="9" t="s">
        <v>0</v>
      </c>
      <c r="W23" s="9" t="str">
        <f t="shared" si="4"/>
        <v>-</v>
      </c>
      <c r="X23" s="9" t="s">
        <v>0</v>
      </c>
      <c r="Y23" s="9" t="str">
        <f t="shared" si="5"/>
        <v>-</v>
      </c>
      <c r="Z23" s="9" t="s">
        <v>0</v>
      </c>
      <c r="AA23" s="9" t="str">
        <f t="shared" si="6"/>
        <v>-</v>
      </c>
      <c r="AB23" s="9" t="s">
        <v>0</v>
      </c>
      <c r="AC23" s="9" t="str">
        <f t="shared" si="7"/>
        <v>-</v>
      </c>
      <c r="AD23" s="9" t="s">
        <v>0</v>
      </c>
      <c r="AE23" s="12" t="str">
        <f t="shared" si="8"/>
        <v>-</v>
      </c>
      <c r="AF23" s="29" t="s">
        <v>0</v>
      </c>
      <c r="AG23" s="29" t="s">
        <v>0</v>
      </c>
      <c r="AH23" s="8">
        <v>85.27</v>
      </c>
      <c r="AI23" s="29" t="s">
        <v>0</v>
      </c>
      <c r="AJ23" s="32" t="s">
        <v>0</v>
      </c>
      <c r="AK23" s="29" t="s">
        <v>0</v>
      </c>
      <c r="AL23" s="32" t="s">
        <v>0</v>
      </c>
      <c r="AM23" s="29" t="s">
        <v>0</v>
      </c>
      <c r="AN23" s="32" t="s">
        <v>0</v>
      </c>
      <c r="AO23" s="29" t="s">
        <v>0</v>
      </c>
      <c r="AP23" s="29" t="s">
        <v>0</v>
      </c>
      <c r="AQ23" s="32" t="s">
        <v>0</v>
      </c>
      <c r="AR23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23" s="9" t="str">
        <f t="shared" si="9"/>
        <v>-</v>
      </c>
      <c r="AT23" s="9">
        <f>IF(RIGHT(STU[[#This Row],[Device type]],7)="Winding","-",STU[[#This Row],[Cont Winter MVA]])</f>
        <v>10.169575491264929</v>
      </c>
      <c r="AU23" s="9" t="str">
        <f>IF(RIGHT(STU[[#This Row],[Device type]],7)="Winding","-",STU[[#This Row],[Cont Shoulder MVA]])</f>
        <v>-</v>
      </c>
      <c r="AV23" s="9">
        <f>IF(RIGHT(STU[[#This Row],[Device type]],7)="Winding","-",STU[[#This Row],[Cont Summer MVA]])</f>
        <v>7.5274894262671053</v>
      </c>
      <c r="AW23" s="9" t="str">
        <f>STU[[#This Row],[24 Hr Winter MVA]]</f>
        <v>-</v>
      </c>
      <c r="AX23" s="9" t="str">
        <f>STU[[#This Row],[24 Hr Summer MVA]]</f>
        <v>-</v>
      </c>
      <c r="AY23" s="9" t="str">
        <f>STU[[#This Row],[Forwards MVA]]</f>
        <v>-</v>
      </c>
      <c r="AZ23" s="9" t="str">
        <f>STU[[#This Row],[Relay MVA]]</f>
        <v>-</v>
      </c>
      <c r="BA23" s="9" t="str">
        <f>STU[[#This Row],[CT MVA]]</f>
        <v>-</v>
      </c>
      <c r="BB23" s="9" t="str">
        <f>STU[[#This Row],[Derating MVA]]</f>
        <v>-</v>
      </c>
      <c r="BC23" s="9" t="str">
        <f>STU[[#This Row],[Station/Feeder]]&amp;STU[[#This Row],[Lowest MVA]]</f>
        <v>CB2_Glenavy7.52748942626711</v>
      </c>
      <c r="BD23" s="9" t="str">
        <f>CONCATENATE(STU[[#This Row],[Supply Level]],STU[[#This Row],[Station/Feeder]],STU[[#This Row],[Voltage]],STU[[#This Row],[Lowest A-No PTX]])</f>
        <v>DistributionFeederCB2_Glenavy11.198388.104844309464</v>
      </c>
      <c r="BE23" s="9" t="str">
        <f>CONCATENATE(STU[[#This Row],[Supply Level]],STU[[#This Row],[Station/Feeder]],STU[[#This Row],[Voltage]],STU[[#This Row],[Lowest A-PTX]])</f>
        <v>DistributionFeederCB2_Glenavy11.198388.104844309464</v>
      </c>
      <c r="BF23" s="9">
        <f>IF(MIN(STU[[#This Row],[Summ Cont Winter A]:[Cable Derating]])=0,"",MIN(STU[[#This Row],[Summ Cont Winter A]:[Cable Derating]]))</f>
        <v>7.5274894262671053</v>
      </c>
      <c r="BG23" s="9">
        <f>IFERROR(STU[[#This Row],[Lowest MVA]]*1000/(STU[[#This Row],[Voltage]]*SQRT(3)),"")</f>
        <v>388.10484430946377</v>
      </c>
      <c r="BH23" s="9">
        <f t="shared" si="10"/>
        <v>388.10484430946377</v>
      </c>
      <c r="BI23" s="9" t="str">
        <f>STU[[#This Row],[From]]</f>
        <v>W405 ABS</v>
      </c>
      <c r="BJ23" s="9" t="str">
        <f>STU[[#This Row],[To]]</f>
        <v>TOA1089</v>
      </c>
      <c r="BK23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OH Line-CHAFER</v>
      </c>
      <c r="BL23" s="9">
        <f>STU[[#This Row],[Voltage]]</f>
        <v>11.198</v>
      </c>
    </row>
    <row r="24" spans="1:64" x14ac:dyDescent="0.25">
      <c r="A24" s="6" t="str">
        <f>CONCATENATE(STU[[#This Row],[Supply Level]],STU[[#This Row],[Station/Feeder]],STU[[#This Row],[Voltage]])</f>
        <v>DistributionFeederCB2_Glenavy11.198</v>
      </c>
      <c r="B24" s="6" t="str">
        <f>CONCATENATE(STU[[#This Row],[Supply Level]],STU[[#This Row],[Station/Feeder]],STU[[#This Row],[Equipment ID]],STU[[#This Row],[Voltage]],STU[[#This Row],[Device type]])</f>
        <v>DistributionFeederCB2_GlenavyW40511.198-</v>
      </c>
      <c r="C24" s="6" t="s">
        <v>1276</v>
      </c>
      <c r="D24" s="11" t="s">
        <v>105</v>
      </c>
      <c r="E24" s="6" t="s">
        <v>773</v>
      </c>
      <c r="F24" s="8" t="s">
        <v>0</v>
      </c>
      <c r="G24" s="27">
        <v>6</v>
      </c>
      <c r="H24" s="7" t="s">
        <v>273</v>
      </c>
      <c r="I24" s="7" t="s">
        <v>775</v>
      </c>
      <c r="J24" s="7" t="s">
        <v>729</v>
      </c>
      <c r="K24" s="7" t="s">
        <v>0</v>
      </c>
      <c r="L24" s="7" t="s">
        <v>0</v>
      </c>
      <c r="M24" s="8">
        <f t="shared" si="13"/>
        <v>11.198</v>
      </c>
      <c r="N24" s="9">
        <v>400</v>
      </c>
      <c r="O24" s="9">
        <f t="shared" si="0"/>
        <v>7.7582019772625141</v>
      </c>
      <c r="P24" s="9">
        <v>400</v>
      </c>
      <c r="Q24" s="9">
        <f t="shared" si="1"/>
        <v>7.7582019772625141</v>
      </c>
      <c r="R24" s="9">
        <v>400</v>
      </c>
      <c r="S24" s="9">
        <f t="shared" si="2"/>
        <v>7.7582019772625141</v>
      </c>
      <c r="T24" s="9" t="s">
        <v>0</v>
      </c>
      <c r="U24" s="9" t="str">
        <f t="shared" si="3"/>
        <v>-</v>
      </c>
      <c r="V24" s="9" t="s">
        <v>0</v>
      </c>
      <c r="W24" s="9" t="str">
        <f t="shared" si="4"/>
        <v>-</v>
      </c>
      <c r="X24" s="9" t="s">
        <v>0</v>
      </c>
      <c r="Y24" s="9" t="str">
        <f t="shared" si="5"/>
        <v>-</v>
      </c>
      <c r="Z24" s="9" t="s">
        <v>0</v>
      </c>
      <c r="AA24" s="9" t="str">
        <f t="shared" si="6"/>
        <v>-</v>
      </c>
      <c r="AB24" s="9" t="s">
        <v>0</v>
      </c>
      <c r="AC24" s="9" t="str">
        <f t="shared" si="7"/>
        <v>-</v>
      </c>
      <c r="AD24" s="9" t="s">
        <v>0</v>
      </c>
      <c r="AE24" s="12" t="str">
        <f t="shared" si="8"/>
        <v>-</v>
      </c>
      <c r="AF24" s="29" t="s">
        <v>0</v>
      </c>
      <c r="AG24" s="29" t="s">
        <v>0</v>
      </c>
      <c r="AH24" s="8" t="s">
        <v>0</v>
      </c>
      <c r="AI24" s="29" t="s">
        <v>0</v>
      </c>
      <c r="AJ24" s="32" t="s">
        <v>0</v>
      </c>
      <c r="AK24" s="29" t="s">
        <v>0</v>
      </c>
      <c r="AL24" s="32" t="s">
        <v>0</v>
      </c>
      <c r="AM24" s="29" t="s">
        <v>0</v>
      </c>
      <c r="AN24" s="32" t="s">
        <v>0</v>
      </c>
      <c r="AO24" s="29" t="s">
        <v>0</v>
      </c>
      <c r="AP24" s="29" t="s">
        <v>0</v>
      </c>
      <c r="AQ24" s="32" t="s">
        <v>0</v>
      </c>
      <c r="AR24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24" s="9" t="str">
        <f t="shared" si="9"/>
        <v>-</v>
      </c>
      <c r="AT24" s="9">
        <f>IF(RIGHT(STU[[#This Row],[Device type]],7)="Winding","-",STU[[#This Row],[Cont Winter MVA]])</f>
        <v>7.7582019772625141</v>
      </c>
      <c r="AU24" s="9">
        <f>IF(RIGHT(STU[[#This Row],[Device type]],7)="Winding","-",STU[[#This Row],[Cont Shoulder MVA]])</f>
        <v>7.7582019772625141</v>
      </c>
      <c r="AV24" s="9">
        <f>IF(RIGHT(STU[[#This Row],[Device type]],7)="Winding","-",STU[[#This Row],[Cont Summer MVA]])</f>
        <v>7.7582019772625141</v>
      </c>
      <c r="AW24" s="9" t="str">
        <f>STU[[#This Row],[24 Hr Winter MVA]]</f>
        <v>-</v>
      </c>
      <c r="AX24" s="9" t="str">
        <f>STU[[#This Row],[24 Hr Summer MVA]]</f>
        <v>-</v>
      </c>
      <c r="AY24" s="9" t="str">
        <f>STU[[#This Row],[Forwards MVA]]</f>
        <v>-</v>
      </c>
      <c r="AZ24" s="9" t="str">
        <f>STU[[#This Row],[Relay MVA]]</f>
        <v>-</v>
      </c>
      <c r="BA24" s="9" t="str">
        <f>STU[[#This Row],[CT MVA]]</f>
        <v>-</v>
      </c>
      <c r="BB24" s="9" t="str">
        <f>STU[[#This Row],[Derating MVA]]</f>
        <v>-</v>
      </c>
      <c r="BC24" s="9" t="str">
        <f>STU[[#This Row],[Station/Feeder]]&amp;STU[[#This Row],[Lowest MVA]]</f>
        <v>CB2_Glenavy7.75820197726251</v>
      </c>
      <c r="BD24" s="9" t="str">
        <f>CONCATENATE(STU[[#This Row],[Supply Level]],STU[[#This Row],[Station/Feeder]],STU[[#This Row],[Voltage]],STU[[#This Row],[Lowest A-No PTX]])</f>
        <v>DistributionFeederCB2_Glenavy11.198400</v>
      </c>
      <c r="BE24" s="9" t="str">
        <f>CONCATENATE(STU[[#This Row],[Supply Level]],STU[[#This Row],[Station/Feeder]],STU[[#This Row],[Voltage]],STU[[#This Row],[Lowest A-PTX]])</f>
        <v>DistributionFeederCB2_Glenavy11.198400</v>
      </c>
      <c r="BF24" s="9">
        <f>IF(MIN(STU[[#This Row],[Summ Cont Winter A]:[Cable Derating]])=0,"",MIN(STU[[#This Row],[Summ Cont Winter A]:[Cable Derating]]))</f>
        <v>7.7582019772625141</v>
      </c>
      <c r="BG24" s="9">
        <f>IFERROR(STU[[#This Row],[Lowest MVA]]*1000/(STU[[#This Row],[Voltage]]*SQRT(3)),"")</f>
        <v>400</v>
      </c>
      <c r="BH24" s="9">
        <f t="shared" si="10"/>
        <v>400</v>
      </c>
      <c r="BI24" s="9" t="str">
        <f>STU[[#This Row],[From]]</f>
        <v>W405 ABS</v>
      </c>
      <c r="BJ24" s="9" t="str">
        <f>STU[[#This Row],[To]]</f>
        <v>-</v>
      </c>
      <c r="BK24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Air Break Switch-W405</v>
      </c>
      <c r="BL24" s="9">
        <f>STU[[#This Row],[Voltage]]</f>
        <v>11.198</v>
      </c>
    </row>
    <row r="25" spans="1:64" x14ac:dyDescent="0.25">
      <c r="A25" s="6" t="str">
        <f>CONCATENATE(STU[[#This Row],[Supply Level]],STU[[#This Row],[Station/Feeder]],STU[[#This Row],[Voltage]])</f>
        <v>DistributionFeederCB3_Waimate11.198</v>
      </c>
      <c r="B25" s="6" t="str">
        <f>CONCATENATE(STU[[#This Row],[Supply Level]],STU[[#This Row],[Station/Feeder]],STU[[#This Row],[Equipment ID]],STU[[#This Row],[Voltage]],STU[[#This Row],[Device type]])</f>
        <v>DistributionFeederCB3_WaimateSTU-CB311.198Protection</v>
      </c>
      <c r="C25" s="6" t="s">
        <v>1276</v>
      </c>
      <c r="D25" s="11" t="s">
        <v>116</v>
      </c>
      <c r="E25" s="6" t="s">
        <v>243</v>
      </c>
      <c r="F25" s="6" t="s">
        <v>776</v>
      </c>
      <c r="G25" s="27">
        <v>3</v>
      </c>
      <c r="H25" s="7" t="s">
        <v>2351</v>
      </c>
      <c r="I25" s="7" t="s">
        <v>1390</v>
      </c>
      <c r="J25" s="7" t="s">
        <v>15</v>
      </c>
      <c r="K25" s="7" t="s">
        <v>1121</v>
      </c>
      <c r="L25" s="7" t="s">
        <v>1423</v>
      </c>
      <c r="M25" s="8">
        <f t="shared" si="13"/>
        <v>11.198</v>
      </c>
      <c r="N25" s="9">
        <v>630</v>
      </c>
      <c r="O25" s="9">
        <f t="shared" si="0"/>
        <v>12.219168114188461</v>
      </c>
      <c r="P25" s="9">
        <v>630</v>
      </c>
      <c r="Q25" s="9">
        <f t="shared" si="1"/>
        <v>12.219168114188461</v>
      </c>
      <c r="R25" s="9">
        <v>630</v>
      </c>
      <c r="S25" s="9">
        <f t="shared" si="2"/>
        <v>12.219168114188461</v>
      </c>
      <c r="T25" s="9" t="s">
        <v>0</v>
      </c>
      <c r="U25" s="9" t="str">
        <f t="shared" si="3"/>
        <v>-</v>
      </c>
      <c r="V25" s="9" t="s">
        <v>0</v>
      </c>
      <c r="W25" s="9" t="str">
        <f t="shared" si="4"/>
        <v>-</v>
      </c>
      <c r="X25" s="9">
        <f>VLOOKUP(STU[[#This Row],[Equipment ID]],AEL_Protection_Data[#All],12,0)</f>
        <v>300</v>
      </c>
      <c r="Y25" s="9">
        <f t="shared" si="5"/>
        <v>5.8186514829468861</v>
      </c>
      <c r="Z25" s="9" t="s">
        <v>0</v>
      </c>
      <c r="AA25" s="9" t="str">
        <f t="shared" si="6"/>
        <v>-</v>
      </c>
      <c r="AB25" s="9" t="s">
        <v>0</v>
      </c>
      <c r="AC25" s="9" t="str">
        <f t="shared" si="7"/>
        <v>-</v>
      </c>
      <c r="AD25" s="9">
        <v>600</v>
      </c>
      <c r="AE25" s="12">
        <f t="shared" si="8"/>
        <v>11.637302965893772</v>
      </c>
      <c r="AF25" s="29" t="s">
        <v>0</v>
      </c>
      <c r="AG25" s="29" t="s">
        <v>0</v>
      </c>
      <c r="AH25" s="8" t="s">
        <v>0</v>
      </c>
      <c r="AI25" s="29" t="s">
        <v>0</v>
      </c>
      <c r="AJ25" s="32" t="s">
        <v>0</v>
      </c>
      <c r="AK25" s="29" t="s">
        <v>0</v>
      </c>
      <c r="AL25" s="32" t="s">
        <v>0</v>
      </c>
      <c r="AM25" s="29" t="s">
        <v>0</v>
      </c>
      <c r="AN25" s="32" t="s">
        <v>0</v>
      </c>
      <c r="AO25" s="29" t="s">
        <v>0</v>
      </c>
      <c r="AP25" s="29" t="s">
        <v>0</v>
      </c>
      <c r="AQ25" s="32" t="s">
        <v>0</v>
      </c>
      <c r="AR25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25" s="9" t="str">
        <f t="shared" si="9"/>
        <v>-</v>
      </c>
      <c r="AT25" s="9">
        <f>IF(RIGHT(STU[[#This Row],[Device type]],7)="Winding","-",STU[[#This Row],[Cont Winter MVA]])</f>
        <v>12.219168114188461</v>
      </c>
      <c r="AU25" s="9">
        <f>IF(RIGHT(STU[[#This Row],[Device type]],7)="Winding","-",STU[[#This Row],[Cont Shoulder MVA]])</f>
        <v>12.219168114188461</v>
      </c>
      <c r="AV25" s="9">
        <f>IF(RIGHT(STU[[#This Row],[Device type]],7)="Winding","-",STU[[#This Row],[Cont Summer MVA]])</f>
        <v>12.219168114188461</v>
      </c>
      <c r="AW25" s="9" t="str">
        <f>STU[[#This Row],[24 Hr Winter MVA]]</f>
        <v>-</v>
      </c>
      <c r="AX25" s="9" t="str">
        <f>STU[[#This Row],[24 Hr Summer MVA]]</f>
        <v>-</v>
      </c>
      <c r="AY25" s="9">
        <f>STU[[#This Row],[Forwards MVA]]</f>
        <v>5.8186514829468861</v>
      </c>
      <c r="AZ25" s="9" t="str">
        <f>STU[[#This Row],[Relay MVA]]</f>
        <v>-</v>
      </c>
      <c r="BA25" s="9">
        <f>STU[[#This Row],[CT MVA]]</f>
        <v>11.637302965893772</v>
      </c>
      <c r="BB25" s="9" t="str">
        <f>STU[[#This Row],[Derating MVA]]</f>
        <v>-</v>
      </c>
      <c r="BC25" s="9" t="str">
        <f>STU[[#This Row],[Station/Feeder]]&amp;STU[[#This Row],[Lowest MVA]]</f>
        <v>CB3_Waimate5.81865148294689</v>
      </c>
      <c r="BD25" s="9" t="str">
        <f>CONCATENATE(STU[[#This Row],[Supply Level]],STU[[#This Row],[Station/Feeder]],STU[[#This Row],[Voltage]],STU[[#This Row],[Lowest A-No PTX]])</f>
        <v>DistributionFeederCB3_Waimate11.198300</v>
      </c>
      <c r="BE25" s="9" t="str">
        <f>CONCATENATE(STU[[#This Row],[Supply Level]],STU[[#This Row],[Station/Feeder]],STU[[#This Row],[Voltage]],STU[[#This Row],[Lowest A-PTX]])</f>
        <v>DistributionFeederCB3_Waimate11.198300</v>
      </c>
      <c r="BF25" s="9">
        <f>IF(MIN(STU[[#This Row],[Summ Cont Winter A]:[Cable Derating]])=0,"",MIN(STU[[#This Row],[Summ Cont Winter A]:[Cable Derating]]))</f>
        <v>5.8186514829468861</v>
      </c>
      <c r="BG25" s="9">
        <f>IFERROR(STU[[#This Row],[Lowest MVA]]*1000/(STU[[#This Row],[Voltage]]*SQRT(3)),"")</f>
        <v>300</v>
      </c>
      <c r="BH25" s="9">
        <f t="shared" si="10"/>
        <v>300</v>
      </c>
      <c r="BI25" s="9" t="str">
        <f>STU[[#This Row],[From]]</f>
        <v>11 kV Bus</v>
      </c>
      <c r="BJ25" s="9" t="str">
        <f>STU[[#This Row],[To]]</f>
        <v>STD-3</v>
      </c>
      <c r="BK25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Circuit Breaker-STU-CB3-Protection</v>
      </c>
      <c r="BL25" s="9">
        <f>STU[[#This Row],[Voltage]]</f>
        <v>11.198</v>
      </c>
    </row>
    <row r="26" spans="1:64" x14ac:dyDescent="0.25">
      <c r="A26" s="6" t="str">
        <f>CONCATENATE(STU[[#This Row],[Supply Level]],STU[[#This Row],[Station/Feeder]],STU[[#This Row],[Voltage]])</f>
        <v>DistributionFeederCB3_Waimate11.198</v>
      </c>
      <c r="B26" s="6" t="str">
        <f>CONCATENATE(STU[[#This Row],[Supply Level]],STU[[#This Row],[Station/Feeder]],STU[[#This Row],[Equipment ID]],STU[[#This Row],[Voltage]],STU[[#This Row],[Device type]])</f>
        <v>DistributionFeederCB3_Waimate3c-300mm² AL XLPE HDPE11.198-</v>
      </c>
      <c r="C26" s="6" t="s">
        <v>1276</v>
      </c>
      <c r="D26" s="11" t="s">
        <v>116</v>
      </c>
      <c r="E26" s="6" t="s">
        <v>777</v>
      </c>
      <c r="F26" s="6" t="s">
        <v>778</v>
      </c>
      <c r="G26" s="27">
        <v>4</v>
      </c>
      <c r="H26" s="7" t="s">
        <v>273</v>
      </c>
      <c r="I26" s="7" t="s">
        <v>768</v>
      </c>
      <c r="J26" s="7" t="s">
        <v>250</v>
      </c>
      <c r="K26" s="7" t="s">
        <v>0</v>
      </c>
      <c r="L26" s="7" t="s">
        <v>0</v>
      </c>
      <c r="M26" s="8">
        <f t="shared" si="13"/>
        <v>11.198</v>
      </c>
      <c r="N26" s="9">
        <v>476</v>
      </c>
      <c r="O26" s="9">
        <f t="shared" si="0"/>
        <v>9.2322603529423937</v>
      </c>
      <c r="P26" s="9">
        <v>476</v>
      </c>
      <c r="Q26" s="9">
        <f t="shared" si="1"/>
        <v>9.2322603529423937</v>
      </c>
      <c r="R26" s="9">
        <v>476</v>
      </c>
      <c r="S26" s="9">
        <f t="shared" si="2"/>
        <v>9.2322603529423937</v>
      </c>
      <c r="T26" s="9" t="s">
        <v>0</v>
      </c>
      <c r="U26" s="9" t="str">
        <f t="shared" si="3"/>
        <v>-</v>
      </c>
      <c r="V26" s="9" t="s">
        <v>0</v>
      </c>
      <c r="W26" s="9" t="str">
        <f t="shared" si="4"/>
        <v>-</v>
      </c>
      <c r="X26" s="9" t="s">
        <v>0</v>
      </c>
      <c r="Y26" s="9" t="str">
        <f t="shared" si="5"/>
        <v>-</v>
      </c>
      <c r="Z26" s="9" t="s">
        <v>0</v>
      </c>
      <c r="AA26" s="9" t="str">
        <f t="shared" si="6"/>
        <v>-</v>
      </c>
      <c r="AB26" s="9" t="s">
        <v>0</v>
      </c>
      <c r="AC26" s="9" t="str">
        <f t="shared" si="7"/>
        <v>-</v>
      </c>
      <c r="AD26" s="9" t="s">
        <v>0</v>
      </c>
      <c r="AE26" s="12" t="str">
        <f t="shared" si="8"/>
        <v>-</v>
      </c>
      <c r="AF26" s="29" t="s">
        <v>716</v>
      </c>
      <c r="AG26" s="29" t="s">
        <v>0</v>
      </c>
      <c r="AH26" s="8">
        <v>61.8</v>
      </c>
      <c r="AI26" s="29">
        <v>1</v>
      </c>
      <c r="AJ26" s="32">
        <v>0.98</v>
      </c>
      <c r="AK26" s="29">
        <v>20</v>
      </c>
      <c r="AL26" s="32">
        <v>0.97</v>
      </c>
      <c r="AM26" s="29">
        <v>1.2</v>
      </c>
      <c r="AN26" s="32">
        <v>1</v>
      </c>
      <c r="AO26" s="29">
        <v>6</v>
      </c>
      <c r="AP26" s="29">
        <v>0.5</v>
      </c>
      <c r="AQ26" s="32">
        <v>0.78</v>
      </c>
      <c r="AR26" s="9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352.93876799999998</v>
      </c>
      <c r="AS26" s="9">
        <f t="shared" si="9"/>
        <v>6.8454256193754901</v>
      </c>
      <c r="AT26" s="9">
        <f>IF(RIGHT(STU[[#This Row],[Device type]],7)="Winding","-",STU[[#This Row],[Cont Winter MVA]])</f>
        <v>9.2322603529423937</v>
      </c>
      <c r="AU26" s="9">
        <f>IF(RIGHT(STU[[#This Row],[Device type]],7)="Winding","-",STU[[#This Row],[Cont Shoulder MVA]])</f>
        <v>9.2322603529423937</v>
      </c>
      <c r="AV26" s="9">
        <f>IF(RIGHT(STU[[#This Row],[Device type]],7)="Winding","-",STU[[#This Row],[Cont Summer MVA]])</f>
        <v>9.2322603529423937</v>
      </c>
      <c r="AW26" s="9" t="str">
        <f>STU[[#This Row],[24 Hr Winter MVA]]</f>
        <v>-</v>
      </c>
      <c r="AX26" s="9" t="str">
        <f>STU[[#This Row],[24 Hr Summer MVA]]</f>
        <v>-</v>
      </c>
      <c r="AY26" s="9" t="str">
        <f>STU[[#This Row],[Forwards MVA]]</f>
        <v>-</v>
      </c>
      <c r="AZ26" s="9" t="str">
        <f>STU[[#This Row],[Relay MVA]]</f>
        <v>-</v>
      </c>
      <c r="BA26" s="9" t="str">
        <f>STU[[#This Row],[CT MVA]]</f>
        <v>-</v>
      </c>
      <c r="BB26" s="9">
        <f>STU[[#This Row],[Derating MVA]]</f>
        <v>6.8454256193754901</v>
      </c>
      <c r="BC26" s="9" t="str">
        <f>STU[[#This Row],[Station/Feeder]]&amp;STU[[#This Row],[Lowest MVA]]</f>
        <v>CB3_Waimate6.84542561937549</v>
      </c>
      <c r="BD26" s="9" t="str">
        <f>CONCATENATE(STU[[#This Row],[Supply Level]],STU[[#This Row],[Station/Feeder]],STU[[#This Row],[Voltage]],STU[[#This Row],[Lowest A-No PTX]])</f>
        <v>DistributionFeederCB3_Waimate11.198352.938768</v>
      </c>
      <c r="BE26" s="9" t="str">
        <f>CONCATENATE(STU[[#This Row],[Supply Level]],STU[[#This Row],[Station/Feeder]],STU[[#This Row],[Voltage]],STU[[#This Row],[Lowest A-PTX]])</f>
        <v>DistributionFeederCB3_Waimate11.198352.938768</v>
      </c>
      <c r="BF26" s="9">
        <f>IF(MIN(STU[[#This Row],[Summ Cont Winter A]:[Cable Derating]])=0,"",MIN(STU[[#This Row],[Summ Cont Winter A]:[Cable Derating]]))</f>
        <v>6.8454256193754901</v>
      </c>
      <c r="BG26" s="9">
        <f>IFERROR(STU[[#This Row],[Lowest MVA]]*1000/(STU[[#This Row],[Voltage]]*SQRT(3)),"")</f>
        <v>352.93876800000004</v>
      </c>
      <c r="BH26" s="9">
        <f t="shared" si="10"/>
        <v>352.93876799999998</v>
      </c>
      <c r="BI26" s="9" t="str">
        <f>STU[[#This Row],[From]]</f>
        <v xml:space="preserve">STU-3 </v>
      </c>
      <c r="BJ26" s="9" t="str">
        <f>STU[[#This Row],[To]]</f>
        <v>W400 ABS</v>
      </c>
      <c r="BK26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Cable-3c-300mm² AL XLPE HDPE</v>
      </c>
      <c r="BL26" s="9">
        <f>STU[[#This Row],[Voltage]]</f>
        <v>11.198</v>
      </c>
    </row>
    <row r="27" spans="1:64" x14ac:dyDescent="0.25">
      <c r="A27" s="6" t="str">
        <f>CONCATENATE(STU[[#This Row],[Supply Level]],STU[[#This Row],[Station/Feeder]],STU[[#This Row],[Voltage]])</f>
        <v>DistributionFeederCB3_Waimate11.198</v>
      </c>
      <c r="B27" s="6" t="str">
        <f>CONCATENATE(STU[[#This Row],[Supply Level]],STU[[#This Row],[Station/Feeder]],STU[[#This Row],[Equipment ID]],STU[[#This Row],[Voltage]],STU[[#This Row],[Device type]])</f>
        <v>DistributionFeederCB3_WaimateCHAFER11.198-</v>
      </c>
      <c r="C27" s="6" t="s">
        <v>1276</v>
      </c>
      <c r="D27" s="11" t="s">
        <v>116</v>
      </c>
      <c r="E27" s="6" t="s">
        <v>778</v>
      </c>
      <c r="F27" s="6" t="s">
        <v>779</v>
      </c>
      <c r="G27" s="27">
        <v>5</v>
      </c>
      <c r="H27" s="7" t="s">
        <v>1289</v>
      </c>
      <c r="I27" s="7" t="s">
        <v>505</v>
      </c>
      <c r="J27" s="7" t="s">
        <v>69</v>
      </c>
      <c r="K27" s="7" t="s">
        <v>0</v>
      </c>
      <c r="L27" s="7" t="s">
        <v>0</v>
      </c>
      <c r="M27" s="8">
        <f t="shared" si="13"/>
        <v>11.198</v>
      </c>
      <c r="N27" s="9">
        <v>524.32641073638399</v>
      </c>
      <c r="O27" s="9">
        <f t="shared" si="0"/>
        <v>10.169575491264929</v>
      </c>
      <c r="P27" s="9" t="s">
        <v>0</v>
      </c>
      <c r="Q27" s="9" t="str">
        <f t="shared" si="1"/>
        <v>-</v>
      </c>
      <c r="R27" s="9">
        <v>388.10484430946377</v>
      </c>
      <c r="S27" s="9">
        <f t="shared" si="2"/>
        <v>7.5274894262671053</v>
      </c>
      <c r="T27" s="9" t="s">
        <v>0</v>
      </c>
      <c r="U27" s="9" t="str">
        <f t="shared" si="3"/>
        <v>-</v>
      </c>
      <c r="V27" s="9" t="s">
        <v>0</v>
      </c>
      <c r="W27" s="9" t="str">
        <f t="shared" si="4"/>
        <v>-</v>
      </c>
      <c r="X27" s="9" t="s">
        <v>0</v>
      </c>
      <c r="Y27" s="9" t="str">
        <f t="shared" si="5"/>
        <v>-</v>
      </c>
      <c r="Z27" s="9" t="s">
        <v>0</v>
      </c>
      <c r="AA27" s="9" t="str">
        <f t="shared" si="6"/>
        <v>-</v>
      </c>
      <c r="AB27" s="9" t="s">
        <v>0</v>
      </c>
      <c r="AC27" s="9" t="str">
        <f t="shared" si="7"/>
        <v>-</v>
      </c>
      <c r="AD27" s="9" t="s">
        <v>0</v>
      </c>
      <c r="AE27" s="12" t="str">
        <f t="shared" si="8"/>
        <v>-</v>
      </c>
      <c r="AF27" s="29" t="s">
        <v>0</v>
      </c>
      <c r="AG27" s="29" t="s">
        <v>0</v>
      </c>
      <c r="AH27" s="8">
        <v>561.29999999999995</v>
      </c>
      <c r="AI27" s="29" t="s">
        <v>0</v>
      </c>
      <c r="AJ27" s="32" t="s">
        <v>0</v>
      </c>
      <c r="AK27" s="29" t="s">
        <v>0</v>
      </c>
      <c r="AL27" s="32" t="s">
        <v>0</v>
      </c>
      <c r="AM27" s="29" t="s">
        <v>0</v>
      </c>
      <c r="AN27" s="32" t="s">
        <v>0</v>
      </c>
      <c r="AO27" s="29" t="s">
        <v>0</v>
      </c>
      <c r="AP27" s="29" t="s">
        <v>0</v>
      </c>
      <c r="AQ27" s="32" t="s">
        <v>0</v>
      </c>
      <c r="AR27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27" s="9" t="str">
        <f t="shared" si="9"/>
        <v>-</v>
      </c>
      <c r="AT27" s="9">
        <f>IF(RIGHT(STU[[#This Row],[Device type]],7)="Winding","-",STU[[#This Row],[Cont Winter MVA]])</f>
        <v>10.169575491264929</v>
      </c>
      <c r="AU27" s="9" t="str">
        <f>IF(RIGHT(STU[[#This Row],[Device type]],7)="Winding","-",STU[[#This Row],[Cont Shoulder MVA]])</f>
        <v>-</v>
      </c>
      <c r="AV27" s="9">
        <f>IF(RIGHT(STU[[#This Row],[Device type]],7)="Winding","-",STU[[#This Row],[Cont Summer MVA]])</f>
        <v>7.5274894262671053</v>
      </c>
      <c r="AW27" s="9" t="str">
        <f>STU[[#This Row],[24 Hr Winter MVA]]</f>
        <v>-</v>
      </c>
      <c r="AX27" s="9" t="str">
        <f>STU[[#This Row],[24 Hr Summer MVA]]</f>
        <v>-</v>
      </c>
      <c r="AY27" s="9" t="str">
        <f>STU[[#This Row],[Forwards MVA]]</f>
        <v>-</v>
      </c>
      <c r="AZ27" s="9" t="str">
        <f>STU[[#This Row],[Relay MVA]]</f>
        <v>-</v>
      </c>
      <c r="BA27" s="9" t="str">
        <f>STU[[#This Row],[CT MVA]]</f>
        <v>-</v>
      </c>
      <c r="BB27" s="9" t="str">
        <f>STU[[#This Row],[Derating MVA]]</f>
        <v>-</v>
      </c>
      <c r="BC27" s="9" t="str">
        <f>STU[[#This Row],[Station/Feeder]]&amp;STU[[#This Row],[Lowest MVA]]</f>
        <v>CB3_Waimate7.52748942626711</v>
      </c>
      <c r="BD27" s="9" t="str">
        <f>CONCATENATE(STU[[#This Row],[Supply Level]],STU[[#This Row],[Station/Feeder]],STU[[#This Row],[Voltage]],STU[[#This Row],[Lowest A-No PTX]])</f>
        <v>DistributionFeederCB3_Waimate11.198388.104844309464</v>
      </c>
      <c r="BE27" s="9" t="str">
        <f>CONCATENATE(STU[[#This Row],[Supply Level]],STU[[#This Row],[Station/Feeder]],STU[[#This Row],[Voltage]],STU[[#This Row],[Lowest A-PTX]])</f>
        <v>DistributionFeederCB3_Waimate11.198388.104844309464</v>
      </c>
      <c r="BF27" s="9">
        <f>IF(MIN(STU[[#This Row],[Summ Cont Winter A]:[Cable Derating]])=0,"",MIN(STU[[#This Row],[Summ Cont Winter A]:[Cable Derating]]))</f>
        <v>7.5274894262671053</v>
      </c>
      <c r="BG27" s="9">
        <f>IFERROR(STU[[#This Row],[Lowest MVA]]*1000/(STU[[#This Row],[Voltage]]*SQRT(3)),"")</f>
        <v>388.10484430946377</v>
      </c>
      <c r="BH27" s="9">
        <f t="shared" si="10"/>
        <v>388.10484430946377</v>
      </c>
      <c r="BI27" s="9" t="str">
        <f>STU[[#This Row],[From]]</f>
        <v>W400 ABS</v>
      </c>
      <c r="BJ27" s="9" t="str">
        <f>STU[[#This Row],[To]]</f>
        <v>A404 TX</v>
      </c>
      <c r="BK27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OH Line-CHAFER</v>
      </c>
      <c r="BL27" s="9">
        <f>STU[[#This Row],[Voltage]]</f>
        <v>11.198</v>
      </c>
    </row>
    <row r="28" spans="1:64" x14ac:dyDescent="0.25">
      <c r="A28" s="6" t="str">
        <f>CONCATENATE(STU[[#This Row],[Supply Level]],STU[[#This Row],[Station/Feeder]],STU[[#This Row],[Voltage]])</f>
        <v>DistributionFeederCB3_Waimate11.198</v>
      </c>
      <c r="B28" s="6" t="str">
        <f>CONCATENATE(STU[[#This Row],[Supply Level]],STU[[#This Row],[Station/Feeder]],STU[[#This Row],[Equipment ID]],STU[[#This Row],[Voltage]],STU[[#This Row],[Device type]])</f>
        <v>DistributionFeederCB3_WaimateW40011.198-</v>
      </c>
      <c r="C28" s="6" t="s">
        <v>1276</v>
      </c>
      <c r="D28" s="11" t="s">
        <v>116</v>
      </c>
      <c r="E28" s="6" t="s">
        <v>778</v>
      </c>
      <c r="F28" s="8" t="s">
        <v>0</v>
      </c>
      <c r="G28" s="27">
        <v>6</v>
      </c>
      <c r="H28" s="7" t="s">
        <v>273</v>
      </c>
      <c r="I28" s="7" t="s">
        <v>780</v>
      </c>
      <c r="J28" s="7" t="s">
        <v>729</v>
      </c>
      <c r="K28" s="7" t="s">
        <v>0</v>
      </c>
      <c r="L28" s="7" t="s">
        <v>0</v>
      </c>
      <c r="M28" s="8">
        <f t="shared" si="13"/>
        <v>11.198</v>
      </c>
      <c r="N28" s="9">
        <v>400</v>
      </c>
      <c r="O28" s="9">
        <f t="shared" si="0"/>
        <v>7.7582019772625141</v>
      </c>
      <c r="P28" s="9">
        <v>400</v>
      </c>
      <c r="Q28" s="9">
        <f t="shared" si="1"/>
        <v>7.7582019772625141</v>
      </c>
      <c r="R28" s="9">
        <v>400</v>
      </c>
      <c r="S28" s="9">
        <f t="shared" si="2"/>
        <v>7.7582019772625141</v>
      </c>
      <c r="T28" s="9" t="s">
        <v>0</v>
      </c>
      <c r="U28" s="9" t="str">
        <f t="shared" si="3"/>
        <v>-</v>
      </c>
      <c r="V28" s="9" t="s">
        <v>0</v>
      </c>
      <c r="W28" s="9" t="str">
        <f t="shared" si="4"/>
        <v>-</v>
      </c>
      <c r="X28" s="9" t="s">
        <v>0</v>
      </c>
      <c r="Y28" s="9" t="str">
        <f t="shared" si="5"/>
        <v>-</v>
      </c>
      <c r="Z28" s="9" t="s">
        <v>0</v>
      </c>
      <c r="AA28" s="9" t="str">
        <f t="shared" si="6"/>
        <v>-</v>
      </c>
      <c r="AB28" s="9" t="s">
        <v>0</v>
      </c>
      <c r="AC28" s="9" t="str">
        <f t="shared" si="7"/>
        <v>-</v>
      </c>
      <c r="AD28" s="9" t="s">
        <v>0</v>
      </c>
      <c r="AE28" s="12" t="str">
        <f t="shared" si="8"/>
        <v>-</v>
      </c>
      <c r="AF28" s="29" t="s">
        <v>0</v>
      </c>
      <c r="AG28" s="29" t="s">
        <v>0</v>
      </c>
      <c r="AH28" s="8" t="s">
        <v>0</v>
      </c>
      <c r="AI28" s="29" t="s">
        <v>0</v>
      </c>
      <c r="AJ28" s="32" t="s">
        <v>0</v>
      </c>
      <c r="AK28" s="29" t="s">
        <v>0</v>
      </c>
      <c r="AL28" s="32" t="s">
        <v>0</v>
      </c>
      <c r="AM28" s="29" t="s">
        <v>0</v>
      </c>
      <c r="AN28" s="32" t="s">
        <v>0</v>
      </c>
      <c r="AO28" s="29" t="s">
        <v>0</v>
      </c>
      <c r="AP28" s="29" t="s">
        <v>0</v>
      </c>
      <c r="AQ28" s="32" t="s">
        <v>0</v>
      </c>
      <c r="AR28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28" s="9" t="str">
        <f t="shared" si="9"/>
        <v>-</v>
      </c>
      <c r="AT28" s="9">
        <f>IF(RIGHT(STU[[#This Row],[Device type]],7)="Winding","-",STU[[#This Row],[Cont Winter MVA]])</f>
        <v>7.7582019772625141</v>
      </c>
      <c r="AU28" s="9">
        <f>IF(RIGHT(STU[[#This Row],[Device type]],7)="Winding","-",STU[[#This Row],[Cont Shoulder MVA]])</f>
        <v>7.7582019772625141</v>
      </c>
      <c r="AV28" s="9">
        <f>IF(RIGHT(STU[[#This Row],[Device type]],7)="Winding","-",STU[[#This Row],[Cont Summer MVA]])</f>
        <v>7.7582019772625141</v>
      </c>
      <c r="AW28" s="9" t="str">
        <f>STU[[#This Row],[24 Hr Winter MVA]]</f>
        <v>-</v>
      </c>
      <c r="AX28" s="9" t="str">
        <f>STU[[#This Row],[24 Hr Summer MVA]]</f>
        <v>-</v>
      </c>
      <c r="AY28" s="9" t="str">
        <f>STU[[#This Row],[Forwards MVA]]</f>
        <v>-</v>
      </c>
      <c r="AZ28" s="9" t="str">
        <f>STU[[#This Row],[Relay MVA]]</f>
        <v>-</v>
      </c>
      <c r="BA28" s="9" t="str">
        <f>STU[[#This Row],[CT MVA]]</f>
        <v>-</v>
      </c>
      <c r="BB28" s="9" t="str">
        <f>STU[[#This Row],[Derating MVA]]</f>
        <v>-</v>
      </c>
      <c r="BC28" s="9" t="str">
        <f>STU[[#This Row],[Station/Feeder]]&amp;STU[[#This Row],[Lowest MVA]]</f>
        <v>CB3_Waimate7.75820197726251</v>
      </c>
      <c r="BD28" s="9" t="str">
        <f>CONCATENATE(STU[[#This Row],[Supply Level]],STU[[#This Row],[Station/Feeder]],STU[[#This Row],[Voltage]],STU[[#This Row],[Lowest A-No PTX]])</f>
        <v>DistributionFeederCB3_Waimate11.198400</v>
      </c>
      <c r="BE28" s="9" t="str">
        <f>CONCATENATE(STU[[#This Row],[Supply Level]],STU[[#This Row],[Station/Feeder]],STU[[#This Row],[Voltage]],STU[[#This Row],[Lowest A-PTX]])</f>
        <v>DistributionFeederCB3_Waimate11.198400</v>
      </c>
      <c r="BF28" s="9">
        <f>IF(MIN(STU[[#This Row],[Summ Cont Winter A]:[Cable Derating]])=0,"",MIN(STU[[#This Row],[Summ Cont Winter A]:[Cable Derating]]))</f>
        <v>7.7582019772625141</v>
      </c>
      <c r="BG28" s="9">
        <f>IFERROR(STU[[#This Row],[Lowest MVA]]*1000/(STU[[#This Row],[Voltage]]*SQRT(3)),"")</f>
        <v>400</v>
      </c>
      <c r="BH28" s="9">
        <f t="shared" si="10"/>
        <v>400</v>
      </c>
      <c r="BI28" s="9" t="str">
        <f>STU[[#This Row],[From]]</f>
        <v>W400 ABS</v>
      </c>
      <c r="BJ28" s="9" t="str">
        <f>STU[[#This Row],[To]]</f>
        <v>-</v>
      </c>
      <c r="BK28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Air Break Switch-W400</v>
      </c>
      <c r="BL28" s="9">
        <f>STU[[#This Row],[Voltage]]</f>
        <v>11.198</v>
      </c>
    </row>
    <row r="29" spans="1:64" x14ac:dyDescent="0.25">
      <c r="A29" s="6" t="str">
        <f>CONCATENATE(STU[[#This Row],[Supply Level]],STU[[#This Row],[Station/Feeder]],STU[[#This Row],[Voltage]])</f>
        <v>DistributionFeederCB7_Waihaorunga11.198</v>
      </c>
      <c r="B29" s="6" t="str">
        <f>CONCATENATE(STU[[#This Row],[Supply Level]],STU[[#This Row],[Station/Feeder]],STU[[#This Row],[Equipment ID]],STU[[#This Row],[Voltage]],STU[[#This Row],[Device type]])</f>
        <v>DistributionFeederCB7_WaihaorungaSTU-CB711.198Protection</v>
      </c>
      <c r="C29" s="6" t="s">
        <v>1276</v>
      </c>
      <c r="D29" s="11" t="s">
        <v>127</v>
      </c>
      <c r="E29" s="6" t="s">
        <v>243</v>
      </c>
      <c r="F29" s="6" t="s">
        <v>781</v>
      </c>
      <c r="G29" s="27">
        <v>3</v>
      </c>
      <c r="H29" s="7" t="s">
        <v>2351</v>
      </c>
      <c r="I29" s="7" t="s">
        <v>1391</v>
      </c>
      <c r="J29" s="7" t="s">
        <v>15</v>
      </c>
      <c r="K29" s="7" t="s">
        <v>1121</v>
      </c>
      <c r="L29" s="7" t="s">
        <v>1423</v>
      </c>
      <c r="M29" s="8">
        <f t="shared" si="13"/>
        <v>11.198</v>
      </c>
      <c r="N29" s="9">
        <v>630</v>
      </c>
      <c r="O29" s="9">
        <f t="shared" si="0"/>
        <v>12.219168114188461</v>
      </c>
      <c r="P29" s="9">
        <v>630</v>
      </c>
      <c r="Q29" s="9">
        <f t="shared" si="1"/>
        <v>12.219168114188461</v>
      </c>
      <c r="R29" s="9">
        <v>630</v>
      </c>
      <c r="S29" s="9">
        <f t="shared" si="2"/>
        <v>12.219168114188461</v>
      </c>
      <c r="T29" s="9" t="s">
        <v>0</v>
      </c>
      <c r="U29" s="9" t="str">
        <f t="shared" si="3"/>
        <v>-</v>
      </c>
      <c r="V29" s="9" t="s">
        <v>0</v>
      </c>
      <c r="W29" s="9" t="str">
        <f t="shared" si="4"/>
        <v>-</v>
      </c>
      <c r="X29" s="9">
        <f>VLOOKUP(STU[[#This Row],[Equipment ID]],AEL_Protection_Data[#All],12,0)</f>
        <v>360</v>
      </c>
      <c r="Y29" s="9">
        <f t="shared" si="5"/>
        <v>6.9823817795362642</v>
      </c>
      <c r="Z29" s="9" t="s">
        <v>0</v>
      </c>
      <c r="AA29" s="9" t="str">
        <f t="shared" si="6"/>
        <v>-</v>
      </c>
      <c r="AB29" s="9" t="s">
        <v>0</v>
      </c>
      <c r="AC29" s="9" t="str">
        <f t="shared" si="7"/>
        <v>-</v>
      </c>
      <c r="AD29" s="9">
        <v>600</v>
      </c>
      <c r="AE29" s="12">
        <f t="shared" si="8"/>
        <v>11.637302965893772</v>
      </c>
      <c r="AF29" s="29" t="s">
        <v>0</v>
      </c>
      <c r="AG29" s="29" t="s">
        <v>0</v>
      </c>
      <c r="AH29" s="8" t="s">
        <v>0</v>
      </c>
      <c r="AI29" s="29" t="s">
        <v>0</v>
      </c>
      <c r="AJ29" s="32" t="s">
        <v>0</v>
      </c>
      <c r="AK29" s="29" t="s">
        <v>0</v>
      </c>
      <c r="AL29" s="32" t="s">
        <v>0</v>
      </c>
      <c r="AM29" s="29" t="s">
        <v>0</v>
      </c>
      <c r="AN29" s="32" t="s">
        <v>0</v>
      </c>
      <c r="AO29" s="29" t="s">
        <v>0</v>
      </c>
      <c r="AP29" s="29" t="s">
        <v>0</v>
      </c>
      <c r="AQ29" s="32" t="s">
        <v>0</v>
      </c>
      <c r="AR29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29" s="9" t="str">
        <f t="shared" si="9"/>
        <v>-</v>
      </c>
      <c r="AT29" s="9">
        <f>IF(RIGHT(STU[[#This Row],[Device type]],7)="Winding","-",STU[[#This Row],[Cont Winter MVA]])</f>
        <v>12.219168114188461</v>
      </c>
      <c r="AU29" s="9">
        <f>IF(RIGHT(STU[[#This Row],[Device type]],7)="Winding","-",STU[[#This Row],[Cont Shoulder MVA]])</f>
        <v>12.219168114188461</v>
      </c>
      <c r="AV29" s="9">
        <f>IF(RIGHT(STU[[#This Row],[Device type]],7)="Winding","-",STU[[#This Row],[Cont Summer MVA]])</f>
        <v>12.219168114188461</v>
      </c>
      <c r="AW29" s="9" t="str">
        <f>STU[[#This Row],[24 Hr Winter MVA]]</f>
        <v>-</v>
      </c>
      <c r="AX29" s="9" t="str">
        <f>STU[[#This Row],[24 Hr Summer MVA]]</f>
        <v>-</v>
      </c>
      <c r="AY29" s="9">
        <f>STU[[#This Row],[Forwards MVA]]</f>
        <v>6.9823817795362642</v>
      </c>
      <c r="AZ29" s="9" t="str">
        <f>STU[[#This Row],[Relay MVA]]</f>
        <v>-</v>
      </c>
      <c r="BA29" s="9">
        <f>STU[[#This Row],[CT MVA]]</f>
        <v>11.637302965893772</v>
      </c>
      <c r="BB29" s="9" t="str">
        <f>STU[[#This Row],[Derating MVA]]</f>
        <v>-</v>
      </c>
      <c r="BC29" s="9" t="str">
        <f>STU[[#This Row],[Station/Feeder]]&amp;STU[[#This Row],[Lowest MVA]]</f>
        <v>CB7_Waihaorunga6.98238177953626</v>
      </c>
      <c r="BD29" s="9" t="str">
        <f>CONCATENATE(STU[[#This Row],[Supply Level]],STU[[#This Row],[Station/Feeder]],STU[[#This Row],[Voltage]],STU[[#This Row],[Lowest A-No PTX]])</f>
        <v>DistributionFeederCB7_Waihaorunga11.198360</v>
      </c>
      <c r="BE29" s="9" t="str">
        <f>CONCATENATE(STU[[#This Row],[Supply Level]],STU[[#This Row],[Station/Feeder]],STU[[#This Row],[Voltage]],STU[[#This Row],[Lowest A-PTX]])</f>
        <v>DistributionFeederCB7_Waihaorunga11.198360</v>
      </c>
      <c r="BF29" s="9">
        <f>IF(MIN(STU[[#This Row],[Summ Cont Winter A]:[Cable Derating]])=0,"",MIN(STU[[#This Row],[Summ Cont Winter A]:[Cable Derating]]))</f>
        <v>6.9823817795362642</v>
      </c>
      <c r="BG29" s="9">
        <f>IFERROR(STU[[#This Row],[Lowest MVA]]*1000/(STU[[#This Row],[Voltage]]*SQRT(3)),"")</f>
        <v>360.00000000000006</v>
      </c>
      <c r="BH29" s="9">
        <f t="shared" si="10"/>
        <v>360</v>
      </c>
      <c r="BI29" s="9" t="str">
        <f>STU[[#This Row],[From]]</f>
        <v>11 kV Bus</v>
      </c>
      <c r="BJ29" s="9" t="str">
        <f>STU[[#This Row],[To]]</f>
        <v>STD-7</v>
      </c>
      <c r="BK29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Circuit Breaker-STU-CB7-Protection</v>
      </c>
      <c r="BL29" s="9">
        <f>STU[[#This Row],[Voltage]]</f>
        <v>11.198</v>
      </c>
    </row>
    <row r="30" spans="1:64" x14ac:dyDescent="0.25">
      <c r="A30" s="6" t="str">
        <f>CONCATENATE(STU[[#This Row],[Supply Level]],STU[[#This Row],[Station/Feeder]],STU[[#This Row],[Voltage]])</f>
        <v>DistributionFeederCB7_Waihaorunga11.198</v>
      </c>
      <c r="B30" s="6" t="str">
        <f>CONCATENATE(STU[[#This Row],[Supply Level]],STU[[#This Row],[Station/Feeder]],STU[[#This Row],[Equipment ID]],STU[[#This Row],[Voltage]],STU[[#This Row],[Device type]])</f>
        <v>DistributionFeederCB7_Waihaorunga3c-300mm² AL XLPE HDPE11.198-</v>
      </c>
      <c r="C30" s="6" t="s">
        <v>1276</v>
      </c>
      <c r="D30" s="11" t="s">
        <v>127</v>
      </c>
      <c r="E30" s="6" t="s">
        <v>1395</v>
      </c>
      <c r="F30" s="6" t="s">
        <v>1399</v>
      </c>
      <c r="G30" s="27">
        <v>4</v>
      </c>
      <c r="H30" s="7" t="s">
        <v>273</v>
      </c>
      <c r="I30" s="7" t="s">
        <v>768</v>
      </c>
      <c r="J30" s="7" t="s">
        <v>250</v>
      </c>
      <c r="K30" s="7" t="s">
        <v>0</v>
      </c>
      <c r="L30" s="7" t="s">
        <v>0</v>
      </c>
      <c r="M30" s="8">
        <f t="shared" si="13"/>
        <v>11.198</v>
      </c>
      <c r="N30" s="9">
        <v>476</v>
      </c>
      <c r="O30" s="9">
        <f t="shared" si="0"/>
        <v>9.2322603529423937</v>
      </c>
      <c r="P30" s="9">
        <v>476</v>
      </c>
      <c r="Q30" s="9">
        <f t="shared" si="1"/>
        <v>9.2322603529423937</v>
      </c>
      <c r="R30" s="9">
        <v>476</v>
      </c>
      <c r="S30" s="9">
        <f t="shared" si="2"/>
        <v>9.2322603529423937</v>
      </c>
      <c r="T30" s="9" t="s">
        <v>0</v>
      </c>
      <c r="U30" s="9" t="str">
        <f t="shared" si="3"/>
        <v>-</v>
      </c>
      <c r="V30" s="9" t="s">
        <v>0</v>
      </c>
      <c r="W30" s="9" t="str">
        <f t="shared" si="4"/>
        <v>-</v>
      </c>
      <c r="X30" s="9" t="s">
        <v>0</v>
      </c>
      <c r="Y30" s="9" t="str">
        <f t="shared" si="5"/>
        <v>-</v>
      </c>
      <c r="Z30" s="9" t="s">
        <v>0</v>
      </c>
      <c r="AA30" s="9" t="str">
        <f t="shared" si="6"/>
        <v>-</v>
      </c>
      <c r="AB30" s="9" t="s">
        <v>0</v>
      </c>
      <c r="AC30" s="9" t="str">
        <f t="shared" si="7"/>
        <v>-</v>
      </c>
      <c r="AD30" s="9" t="s">
        <v>0</v>
      </c>
      <c r="AE30" s="12" t="str">
        <f t="shared" si="8"/>
        <v>-</v>
      </c>
      <c r="AF30" s="29" t="s">
        <v>716</v>
      </c>
      <c r="AG30" s="29" t="s">
        <v>0</v>
      </c>
      <c r="AH30" s="8">
        <v>1116.4000000000001</v>
      </c>
      <c r="AI30" s="29">
        <v>0.7</v>
      </c>
      <c r="AJ30" s="32">
        <v>0.98</v>
      </c>
      <c r="AK30" s="29">
        <v>20</v>
      </c>
      <c r="AL30" s="32">
        <v>0.97</v>
      </c>
      <c r="AM30" s="29">
        <v>1.2</v>
      </c>
      <c r="AN30" s="32">
        <v>1</v>
      </c>
      <c r="AO30" s="29">
        <v>6</v>
      </c>
      <c r="AP30" s="29">
        <v>0.5</v>
      </c>
      <c r="AQ30" s="32">
        <v>0.78</v>
      </c>
      <c r="AR30" s="9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352.93876799999998</v>
      </c>
      <c r="AS30" s="9">
        <f t="shared" si="9"/>
        <v>6.8454256193754901</v>
      </c>
      <c r="AT30" s="9">
        <f>IF(RIGHT(STU[[#This Row],[Device type]],7)="Winding","-",STU[[#This Row],[Cont Winter MVA]])</f>
        <v>9.2322603529423937</v>
      </c>
      <c r="AU30" s="9">
        <f>IF(RIGHT(STU[[#This Row],[Device type]],7)="Winding","-",STU[[#This Row],[Cont Shoulder MVA]])</f>
        <v>9.2322603529423937</v>
      </c>
      <c r="AV30" s="9">
        <f>IF(RIGHT(STU[[#This Row],[Device type]],7)="Winding","-",STU[[#This Row],[Cont Summer MVA]])</f>
        <v>9.2322603529423937</v>
      </c>
      <c r="AW30" s="9" t="str">
        <f>STU[[#This Row],[24 Hr Winter MVA]]</f>
        <v>-</v>
      </c>
      <c r="AX30" s="9" t="str">
        <f>STU[[#This Row],[24 Hr Summer MVA]]</f>
        <v>-</v>
      </c>
      <c r="AY30" s="9" t="str">
        <f>STU[[#This Row],[Forwards MVA]]</f>
        <v>-</v>
      </c>
      <c r="AZ30" s="9" t="str">
        <f>STU[[#This Row],[Relay MVA]]</f>
        <v>-</v>
      </c>
      <c r="BA30" s="9" t="str">
        <f>STU[[#This Row],[CT MVA]]</f>
        <v>-</v>
      </c>
      <c r="BB30" s="9">
        <f>STU[[#This Row],[Derating MVA]]</f>
        <v>6.8454256193754901</v>
      </c>
      <c r="BC30" s="9" t="str">
        <f>STU[[#This Row],[Station/Feeder]]&amp;STU[[#This Row],[Lowest MVA]]</f>
        <v>CB7_Waihaorunga6.84542561937549</v>
      </c>
      <c r="BD30" s="9" t="str">
        <f>CONCATENATE(STU[[#This Row],[Supply Level]],STU[[#This Row],[Station/Feeder]],STU[[#This Row],[Voltage]],STU[[#This Row],[Lowest A-No PTX]])</f>
        <v>DistributionFeederCB7_Waihaorunga11.198352.938768</v>
      </c>
      <c r="BE30" s="9" t="str">
        <f>CONCATENATE(STU[[#This Row],[Supply Level]],STU[[#This Row],[Station/Feeder]],STU[[#This Row],[Voltage]],STU[[#This Row],[Lowest A-PTX]])</f>
        <v>DistributionFeederCB7_Waihaorunga11.198352.938768</v>
      </c>
      <c r="BF30" s="9">
        <f>IF(MIN(STU[[#This Row],[Summ Cont Winter A]:[Cable Derating]])=0,"",MIN(STU[[#This Row],[Summ Cont Winter A]:[Cable Derating]]))</f>
        <v>6.8454256193754901</v>
      </c>
      <c r="BG30" s="9">
        <f>IFERROR(STU[[#This Row],[Lowest MVA]]*1000/(STU[[#This Row],[Voltage]]*SQRT(3)),"")</f>
        <v>352.93876800000004</v>
      </c>
      <c r="BH30" s="9">
        <f t="shared" si="10"/>
        <v>352.93876799999998</v>
      </c>
      <c r="BI30" s="9" t="str">
        <f>STU[[#This Row],[From]]</f>
        <v>STU-7</v>
      </c>
      <c r="BJ30" s="9" t="str">
        <f>STU[[#This Row],[To]]</f>
        <v>W406</v>
      </c>
      <c r="BK30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Cable-3c-300mm² AL XLPE HDPE</v>
      </c>
      <c r="BL30" s="9">
        <f>STU[[#This Row],[Voltage]]</f>
        <v>11.198</v>
      </c>
    </row>
    <row r="31" spans="1:64" x14ac:dyDescent="0.25">
      <c r="A31" s="6" t="str">
        <f>CONCATENATE(STU[[#This Row],[Supply Level]],STU[[#This Row],[Station/Feeder]],STU[[#This Row],[Voltage]])</f>
        <v>DistributionFeederCB7_Waihaorunga11.198</v>
      </c>
      <c r="B31" s="6" t="str">
        <f>CONCATENATE(STU[[#This Row],[Supply Level]],STU[[#This Row],[Station/Feeder]],STU[[#This Row],[Equipment ID]],STU[[#This Row],[Voltage]],STU[[#This Row],[Device type]])</f>
        <v>DistributionFeederCB7_WaihaorungaW40611.198-</v>
      </c>
      <c r="C31" s="6" t="s">
        <v>1276</v>
      </c>
      <c r="D31" s="11" t="s">
        <v>127</v>
      </c>
      <c r="E31" s="6" t="s">
        <v>1400</v>
      </c>
      <c r="F31" s="8" t="s">
        <v>782</v>
      </c>
      <c r="G31" s="27">
        <v>5</v>
      </c>
      <c r="H31" s="7" t="s">
        <v>273</v>
      </c>
      <c r="I31" s="7" t="s">
        <v>1399</v>
      </c>
      <c r="J31" s="7" t="s">
        <v>278</v>
      </c>
      <c r="K31" s="7" t="s">
        <v>0</v>
      </c>
      <c r="L31" s="7" t="s">
        <v>0</v>
      </c>
      <c r="M31" s="8">
        <f t="shared" si="13"/>
        <v>11.198</v>
      </c>
      <c r="N31" s="9">
        <v>400</v>
      </c>
      <c r="O31" s="9">
        <f>IF(OR(N31="",N31="-"),"-",N31*$M31*SQRT(3)/1000)</f>
        <v>7.7582019772625141</v>
      </c>
      <c r="P31" s="9">
        <v>400</v>
      </c>
      <c r="Q31" s="9">
        <f>IF(OR(P31="",P31="-"),"-",P31*$M31*SQRT(3)/1000)</f>
        <v>7.7582019772625141</v>
      </c>
      <c r="R31" s="9">
        <v>400</v>
      </c>
      <c r="S31" s="9">
        <f>IF(OR(R31="",R31="-"),"-",R31*$M31*SQRT(3)/1000)</f>
        <v>7.7582019772625141</v>
      </c>
      <c r="T31" s="9" t="s">
        <v>0</v>
      </c>
      <c r="U31" s="9" t="str">
        <f>IF(OR(T31="",T31="-"),"-",T31*$M31*SQRT(3)/1000)</f>
        <v>-</v>
      </c>
      <c r="V31" s="9" t="s">
        <v>0</v>
      </c>
      <c r="W31" s="9" t="str">
        <f>IF(OR(V31="",V31="-"),"-",V31*$M31*SQRT(3)/1000)</f>
        <v>-</v>
      </c>
      <c r="X31" s="9" t="s">
        <v>0</v>
      </c>
      <c r="Y31" s="9" t="str">
        <f>IF(OR(X31="",X31="-"),"-",X31*$M31*SQRT(3)/1000)</f>
        <v>-</v>
      </c>
      <c r="Z31" s="9" t="s">
        <v>0</v>
      </c>
      <c r="AA31" s="9" t="str">
        <f>IF(OR(Z31="",Z31="-"),"-",Z31*$M31*SQRT(3)/1000)</f>
        <v>-</v>
      </c>
      <c r="AB31" s="9" t="s">
        <v>0</v>
      </c>
      <c r="AC31" s="9" t="str">
        <f>IF(OR(AB31="",AB31="-"),"-",AB31*$M31*SQRT(3)/1000)</f>
        <v>-</v>
      </c>
      <c r="AD31" s="9" t="s">
        <v>0</v>
      </c>
      <c r="AE31" s="9" t="str">
        <f>IF(OR(AD31="",AD31="-"),"-",AD31*$M31*SQRT(3)/1000)</f>
        <v>-</v>
      </c>
      <c r="AF31" s="9" t="s">
        <v>0</v>
      </c>
      <c r="AG31" s="9" t="s">
        <v>0</v>
      </c>
      <c r="AH31" s="9" t="s">
        <v>0</v>
      </c>
      <c r="AI31" s="9" t="s">
        <v>0</v>
      </c>
      <c r="AJ31" s="43" t="s">
        <v>0</v>
      </c>
      <c r="AK31" s="9" t="s">
        <v>0</v>
      </c>
      <c r="AL31" s="43" t="s">
        <v>0</v>
      </c>
      <c r="AM31" s="9" t="s">
        <v>0</v>
      </c>
      <c r="AN31" s="43" t="s">
        <v>0</v>
      </c>
      <c r="AO31" s="9" t="s">
        <v>0</v>
      </c>
      <c r="AP31" s="9" t="s">
        <v>0</v>
      </c>
      <c r="AQ31" s="43" t="s">
        <v>0</v>
      </c>
      <c r="AR31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31" s="9" t="str">
        <f>IF(OR(AR31="",AR31="-"),"-",AR31*$M31*SQRT(3)/1000)</f>
        <v>-</v>
      </c>
      <c r="AT31" s="9">
        <f>IF(RIGHT(STU[[#This Row],[Device type]],7)="Winding","-",STU[[#This Row],[Cont Winter MVA]])</f>
        <v>7.7582019772625141</v>
      </c>
      <c r="AU31" s="9">
        <f>IF(RIGHT(STU[[#This Row],[Device type]],7)="Winding","-",STU[[#This Row],[Cont Shoulder MVA]])</f>
        <v>7.7582019772625141</v>
      </c>
      <c r="AV31" s="9">
        <f>IF(RIGHT(STU[[#This Row],[Device type]],7)="Winding","-",STU[[#This Row],[Cont Summer MVA]])</f>
        <v>7.7582019772625141</v>
      </c>
      <c r="AW31" s="9" t="str">
        <f>STU[[#This Row],[24 Hr Winter MVA]]</f>
        <v>-</v>
      </c>
      <c r="AX31" s="9" t="str">
        <f>STU[[#This Row],[24 Hr Summer MVA]]</f>
        <v>-</v>
      </c>
      <c r="AY31" s="9" t="str">
        <f>STU[[#This Row],[Forwards MVA]]</f>
        <v>-</v>
      </c>
      <c r="AZ31" s="9" t="str">
        <f>STU[[#This Row],[Relay MVA]]</f>
        <v>-</v>
      </c>
      <c r="BA31" s="9" t="str">
        <f>STU[[#This Row],[CT MVA]]</f>
        <v>-</v>
      </c>
      <c r="BB31" s="9" t="str">
        <f>STU[[#This Row],[Derating MVA]]</f>
        <v>-</v>
      </c>
      <c r="BC31" s="9" t="str">
        <f>STU[[#This Row],[Station/Feeder]]&amp;STU[[#This Row],[Lowest MVA]]</f>
        <v>CB7_Waihaorunga7.75820197726251</v>
      </c>
      <c r="BD31" s="9" t="str">
        <f>CONCATENATE(STU[[#This Row],[Supply Level]],STU[[#This Row],[Station/Feeder]],STU[[#This Row],[Voltage]],STU[[#This Row],[Lowest A-No PTX]])</f>
        <v>DistributionFeederCB7_Waihaorunga11.198400</v>
      </c>
      <c r="BE31" s="9" t="str">
        <f>CONCATENATE(STU[[#This Row],[Supply Level]],STU[[#This Row],[Station/Feeder]],STU[[#This Row],[Voltage]],STU[[#This Row],[Lowest A-PTX]])</f>
        <v>DistributionFeederCB7_Waihaorunga11.198400</v>
      </c>
      <c r="BF31" s="9">
        <f>IF(MIN(STU[[#This Row],[Summ Cont Winter A]:[Cable Derating]])=0,"",MIN(STU[[#This Row],[Summ Cont Winter A]:[Cable Derating]]))</f>
        <v>7.7582019772625141</v>
      </c>
      <c r="BG31" s="9">
        <f>IFERROR(STU[[#This Row],[Lowest MVA]]*1000/(STU[[#This Row],[Voltage]]*SQRT(3)),"")</f>
        <v>400</v>
      </c>
      <c r="BH31" s="9">
        <f t="shared" si="10"/>
        <v>400</v>
      </c>
      <c r="BI31" s="9" t="str">
        <f>STU[[#This Row],[From]]</f>
        <v>W407</v>
      </c>
      <c r="BJ31" s="9" t="str">
        <f>STU[[#This Row],[To]]</f>
        <v>W408</v>
      </c>
      <c r="BK31" s="9" t="str">
        <f>IF(STU[[#This Row],[Device type]]="-",STU[[#This Row],[Equipment Type]]&amp;" - "&amp;STU[[#This Row],[Equipment ID]],STU[[#This Row],[Equipment Type]]&amp;" - "&amp;STU[[#This Row],[Equipment ID]]&amp;" - "&amp;STU[[#This Row],[Device type]])</f>
        <v>Switch - W406</v>
      </c>
      <c r="BL31" s="9">
        <f>STU[[#This Row],[Voltage]]</f>
        <v>11.198</v>
      </c>
    </row>
    <row r="32" spans="1:64" x14ac:dyDescent="0.25">
      <c r="A32" s="6" t="str">
        <f>CONCATENATE(STU[[#This Row],[Supply Level]],STU[[#This Row],[Station/Feeder]],STU[[#This Row],[Voltage]])</f>
        <v>DistributionFeederCB7_Waihaorunga11.198</v>
      </c>
      <c r="B32" s="6" t="str">
        <f>CONCATENATE(STU[[#This Row],[Supply Level]],STU[[#This Row],[Station/Feeder]],STU[[#This Row],[Equipment ID]],STU[[#This Row],[Voltage]],STU[[#This Row],[Device type]])</f>
        <v>DistributionFeederCB7_WaihaorungaW40811.198-</v>
      </c>
      <c r="C32" s="6" t="s">
        <v>1276</v>
      </c>
      <c r="D32" s="11" t="s">
        <v>127</v>
      </c>
      <c r="E32" s="6" t="s">
        <v>1399</v>
      </c>
      <c r="F32" s="8" t="s">
        <v>782</v>
      </c>
      <c r="G32" s="27">
        <v>5</v>
      </c>
      <c r="H32" s="7" t="s">
        <v>273</v>
      </c>
      <c r="I32" s="7" t="s">
        <v>782</v>
      </c>
      <c r="J32" s="7" t="s">
        <v>278</v>
      </c>
      <c r="K32" s="7" t="s">
        <v>0</v>
      </c>
      <c r="L32" s="7" t="s">
        <v>0</v>
      </c>
      <c r="M32" s="8">
        <f t="shared" si="13"/>
        <v>11.198</v>
      </c>
      <c r="N32" s="9">
        <v>400</v>
      </c>
      <c r="O32" s="9">
        <f t="shared" si="0"/>
        <v>7.7582019772625141</v>
      </c>
      <c r="P32" s="9">
        <v>400</v>
      </c>
      <c r="Q32" s="9">
        <f t="shared" si="1"/>
        <v>7.7582019772625141</v>
      </c>
      <c r="R32" s="9">
        <v>400</v>
      </c>
      <c r="S32" s="9">
        <f t="shared" si="2"/>
        <v>7.7582019772625141</v>
      </c>
      <c r="T32" s="9" t="s">
        <v>0</v>
      </c>
      <c r="U32" s="9" t="str">
        <f t="shared" si="3"/>
        <v>-</v>
      </c>
      <c r="V32" s="9" t="s">
        <v>0</v>
      </c>
      <c r="W32" s="9" t="str">
        <f t="shared" si="4"/>
        <v>-</v>
      </c>
      <c r="X32" s="9" t="s">
        <v>0</v>
      </c>
      <c r="Y32" s="9" t="str">
        <f t="shared" si="5"/>
        <v>-</v>
      </c>
      <c r="Z32" s="9" t="s">
        <v>0</v>
      </c>
      <c r="AA32" s="9" t="str">
        <f t="shared" si="6"/>
        <v>-</v>
      </c>
      <c r="AB32" s="9" t="s">
        <v>0</v>
      </c>
      <c r="AC32" s="9" t="str">
        <f t="shared" si="7"/>
        <v>-</v>
      </c>
      <c r="AD32" s="9" t="s">
        <v>0</v>
      </c>
      <c r="AE32" s="12" t="str">
        <f t="shared" si="8"/>
        <v>-</v>
      </c>
      <c r="AF32" s="29" t="s">
        <v>0</v>
      </c>
      <c r="AG32" s="29" t="s">
        <v>0</v>
      </c>
      <c r="AH32" s="8" t="s">
        <v>0</v>
      </c>
      <c r="AI32" s="29" t="s">
        <v>0</v>
      </c>
      <c r="AJ32" s="32" t="s">
        <v>0</v>
      </c>
      <c r="AK32" s="29" t="s">
        <v>0</v>
      </c>
      <c r="AL32" s="32" t="s">
        <v>0</v>
      </c>
      <c r="AM32" s="29" t="s">
        <v>0</v>
      </c>
      <c r="AN32" s="32" t="s">
        <v>0</v>
      </c>
      <c r="AO32" s="29" t="s">
        <v>0</v>
      </c>
      <c r="AP32" s="29" t="s">
        <v>0</v>
      </c>
      <c r="AQ32" s="32" t="s">
        <v>0</v>
      </c>
      <c r="AR32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32" s="9" t="str">
        <f t="shared" si="9"/>
        <v>-</v>
      </c>
      <c r="AT32" s="9">
        <f>IF(RIGHT(STU[[#This Row],[Device type]],7)="Winding","-",STU[[#This Row],[Cont Winter MVA]])</f>
        <v>7.7582019772625141</v>
      </c>
      <c r="AU32" s="9">
        <f>IF(RIGHT(STU[[#This Row],[Device type]],7)="Winding","-",STU[[#This Row],[Cont Shoulder MVA]])</f>
        <v>7.7582019772625141</v>
      </c>
      <c r="AV32" s="9">
        <f>IF(RIGHT(STU[[#This Row],[Device type]],7)="Winding","-",STU[[#This Row],[Cont Summer MVA]])</f>
        <v>7.7582019772625141</v>
      </c>
      <c r="AW32" s="9" t="str">
        <f>STU[[#This Row],[24 Hr Winter MVA]]</f>
        <v>-</v>
      </c>
      <c r="AX32" s="9" t="str">
        <f>STU[[#This Row],[24 Hr Summer MVA]]</f>
        <v>-</v>
      </c>
      <c r="AY32" s="9" t="str">
        <f>STU[[#This Row],[Forwards MVA]]</f>
        <v>-</v>
      </c>
      <c r="AZ32" s="9" t="str">
        <f>STU[[#This Row],[Relay MVA]]</f>
        <v>-</v>
      </c>
      <c r="BA32" s="9" t="str">
        <f>STU[[#This Row],[CT MVA]]</f>
        <v>-</v>
      </c>
      <c r="BB32" s="9" t="str">
        <f>STU[[#This Row],[Derating MVA]]</f>
        <v>-</v>
      </c>
      <c r="BC32" s="9" t="str">
        <f>STU[[#This Row],[Station/Feeder]]&amp;STU[[#This Row],[Lowest MVA]]</f>
        <v>CB7_Waihaorunga7.75820197726251</v>
      </c>
      <c r="BD32" s="9" t="str">
        <f>CONCATENATE(STU[[#This Row],[Supply Level]],STU[[#This Row],[Station/Feeder]],STU[[#This Row],[Voltage]],STU[[#This Row],[Lowest A-No PTX]])</f>
        <v>DistributionFeederCB7_Waihaorunga11.198400</v>
      </c>
      <c r="BE32" s="9" t="str">
        <f>CONCATENATE(STU[[#This Row],[Supply Level]],STU[[#This Row],[Station/Feeder]],STU[[#This Row],[Voltage]],STU[[#This Row],[Lowest A-PTX]])</f>
        <v>DistributionFeederCB7_Waihaorunga11.198400</v>
      </c>
      <c r="BF32" s="9">
        <f>IF(MIN(STU[[#This Row],[Summ Cont Winter A]:[Cable Derating]])=0,"",MIN(STU[[#This Row],[Summ Cont Winter A]:[Cable Derating]]))</f>
        <v>7.7582019772625141</v>
      </c>
      <c r="BG32" s="9">
        <f>IFERROR(STU[[#This Row],[Lowest MVA]]*1000/(STU[[#This Row],[Voltage]]*SQRT(3)),"")</f>
        <v>400</v>
      </c>
      <c r="BH32" s="9">
        <f t="shared" si="10"/>
        <v>400</v>
      </c>
      <c r="BI32" s="9" t="str">
        <f>STU[[#This Row],[From]]</f>
        <v>W406</v>
      </c>
      <c r="BJ32" s="9" t="str">
        <f>STU[[#This Row],[To]]</f>
        <v>W408</v>
      </c>
      <c r="BK32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Switch-W408</v>
      </c>
      <c r="BL32" s="9">
        <f>STU[[#This Row],[Voltage]]</f>
        <v>11.198</v>
      </c>
    </row>
    <row r="33" spans="1:64" x14ac:dyDescent="0.25">
      <c r="A33" s="6" t="str">
        <f>CONCATENATE(STU[[#This Row],[Supply Level]],STU[[#This Row],[Station/Feeder]],STU[[#This Row],[Voltage]])</f>
        <v>DistributionFeederCB7_Waihaorunga11.198</v>
      </c>
      <c r="B33" s="6" t="str">
        <f>CONCATENATE(STU[[#This Row],[Supply Level]],STU[[#This Row],[Station/Feeder]],STU[[#This Row],[Equipment ID]],STU[[#This Row],[Voltage]],STU[[#This Row],[Device type]])</f>
        <v>DistributionFeederCB7_Waihaorunga3c-300mm² AL XLPE HDPE11.198-</v>
      </c>
      <c r="C33" s="6" t="s">
        <v>1276</v>
      </c>
      <c r="D33" s="11" t="s">
        <v>127</v>
      </c>
      <c r="E33" s="6" t="s">
        <v>782</v>
      </c>
      <c r="F33" s="8" t="s">
        <v>1401</v>
      </c>
      <c r="G33" s="27">
        <v>4</v>
      </c>
      <c r="H33" s="7" t="s">
        <v>273</v>
      </c>
      <c r="I33" s="7" t="s">
        <v>768</v>
      </c>
      <c r="J33" s="7" t="s">
        <v>250</v>
      </c>
      <c r="K33" s="7" t="s">
        <v>0</v>
      </c>
      <c r="L33" s="7" t="s">
        <v>0</v>
      </c>
      <c r="M33" s="8">
        <f t="shared" si="13"/>
        <v>11.198</v>
      </c>
      <c r="N33" s="9">
        <v>476</v>
      </c>
      <c r="O33" s="9">
        <f t="shared" ref="O33" si="14">IF(OR(N33="",N33="-"),"-",N33*$M33*SQRT(3)/1000)</f>
        <v>9.2322603529423937</v>
      </c>
      <c r="P33" s="9">
        <v>476</v>
      </c>
      <c r="Q33" s="9">
        <f t="shared" ref="Q33" si="15">IF(OR(P33="",P33="-"),"-",P33*$M33*SQRT(3)/1000)</f>
        <v>9.2322603529423937</v>
      </c>
      <c r="R33" s="9">
        <v>476</v>
      </c>
      <c r="S33" s="9">
        <f t="shared" ref="S33" si="16">IF(OR(R33="",R33="-"),"-",R33*$M33*SQRT(3)/1000)</f>
        <v>9.2322603529423937</v>
      </c>
      <c r="T33" s="9" t="s">
        <v>0</v>
      </c>
      <c r="U33" s="9" t="str">
        <f t="shared" ref="U33" si="17">IF(OR(T33="",T33="-"),"-",T33*$M33*SQRT(3)/1000)</f>
        <v>-</v>
      </c>
      <c r="V33" s="9" t="s">
        <v>0</v>
      </c>
      <c r="W33" s="9" t="str">
        <f t="shared" ref="W33" si="18">IF(OR(V33="",V33="-"),"-",V33*$M33*SQRT(3)/1000)</f>
        <v>-</v>
      </c>
      <c r="X33" s="9" t="s">
        <v>0</v>
      </c>
      <c r="Y33" s="9" t="str">
        <f t="shared" ref="Y33" si="19">IF(OR(X33="",X33="-"),"-",X33*$M33*SQRT(3)/1000)</f>
        <v>-</v>
      </c>
      <c r="Z33" s="9" t="s">
        <v>0</v>
      </c>
      <c r="AA33" s="9" t="str">
        <f t="shared" ref="AA33" si="20">IF(OR(Z33="",Z33="-"),"-",Z33*$M33*SQRT(3)/1000)</f>
        <v>-</v>
      </c>
      <c r="AB33" s="9" t="s">
        <v>0</v>
      </c>
      <c r="AC33" s="9" t="str">
        <f t="shared" ref="AC33" si="21">IF(OR(AB33="",AB33="-"),"-",AB33*$M33*SQRT(3)/1000)</f>
        <v>-</v>
      </c>
      <c r="AD33" s="9" t="s">
        <v>0</v>
      </c>
      <c r="AE33" s="12" t="str">
        <f t="shared" ref="AE33" si="22">IF(OR(AD33="",AD33="-"),"-",AD33*$M33*SQRT(3)/1000)</f>
        <v>-</v>
      </c>
      <c r="AF33" s="29" t="s">
        <v>716</v>
      </c>
      <c r="AG33" s="29" t="s">
        <v>0</v>
      </c>
      <c r="AH33" s="8">
        <v>541</v>
      </c>
      <c r="AI33" s="29">
        <v>0.7</v>
      </c>
      <c r="AJ33" s="32">
        <v>0.98</v>
      </c>
      <c r="AK33" s="29">
        <v>20</v>
      </c>
      <c r="AL33" s="32">
        <v>0.97</v>
      </c>
      <c r="AM33" s="29">
        <v>1.2</v>
      </c>
      <c r="AN33" s="32">
        <v>1</v>
      </c>
      <c r="AO33" s="29">
        <v>6</v>
      </c>
      <c r="AP33" s="29">
        <v>0.5</v>
      </c>
      <c r="AQ33" s="32">
        <v>0.78</v>
      </c>
      <c r="AR33" s="9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352.93876799999998</v>
      </c>
      <c r="AS33" s="9">
        <f t="shared" ref="AS33" si="23">IF(OR(AR33="",AR33="-"),"-",AR33*$M33*SQRT(3)/1000)</f>
        <v>6.8454256193754901</v>
      </c>
      <c r="AT33" s="9">
        <f>IF(RIGHT(STU[[#This Row],[Device type]],7)="Winding","-",STU[[#This Row],[Cont Winter MVA]])</f>
        <v>9.2322603529423937</v>
      </c>
      <c r="AU33" s="9">
        <f>IF(RIGHT(STU[[#This Row],[Device type]],7)="Winding","-",STU[[#This Row],[Cont Shoulder MVA]])</f>
        <v>9.2322603529423937</v>
      </c>
      <c r="AV33" s="9">
        <f>IF(RIGHT(STU[[#This Row],[Device type]],7)="Winding","-",STU[[#This Row],[Cont Summer MVA]])</f>
        <v>9.2322603529423937</v>
      </c>
      <c r="AW33" s="9" t="str">
        <f>STU[[#This Row],[24 Hr Winter MVA]]</f>
        <v>-</v>
      </c>
      <c r="AX33" s="9" t="str">
        <f>STU[[#This Row],[24 Hr Summer MVA]]</f>
        <v>-</v>
      </c>
      <c r="AY33" s="9" t="str">
        <f>STU[[#This Row],[Forwards MVA]]</f>
        <v>-</v>
      </c>
      <c r="AZ33" s="9" t="str">
        <f>STU[[#This Row],[Relay MVA]]</f>
        <v>-</v>
      </c>
      <c r="BA33" s="9" t="str">
        <f>STU[[#This Row],[CT MVA]]</f>
        <v>-</v>
      </c>
      <c r="BB33" s="9">
        <f>STU[[#This Row],[Derating MVA]]</f>
        <v>6.8454256193754901</v>
      </c>
      <c r="BC33" s="9" t="str">
        <f>STU[[#This Row],[Station/Feeder]]&amp;STU[[#This Row],[Lowest MVA]]</f>
        <v>CB7_Waihaorunga6.84542561937549</v>
      </c>
      <c r="BD33" s="9" t="str">
        <f>CONCATENATE(STU[[#This Row],[Supply Level]],STU[[#This Row],[Station/Feeder]],STU[[#This Row],[Voltage]],STU[[#This Row],[Lowest A-No PTX]])</f>
        <v>DistributionFeederCB7_Waihaorunga11.198352.938768</v>
      </c>
      <c r="BE33" s="9" t="str">
        <f>CONCATENATE(STU[[#This Row],[Supply Level]],STU[[#This Row],[Station/Feeder]],STU[[#This Row],[Voltage]],STU[[#This Row],[Lowest A-PTX]])</f>
        <v>DistributionFeederCB7_Waihaorunga11.198352.938768</v>
      </c>
      <c r="BF33" s="9">
        <f>IF(MIN(STU[[#This Row],[Summ Cont Winter A]:[Cable Derating]])=0,"",MIN(STU[[#This Row],[Summ Cont Winter A]:[Cable Derating]]))</f>
        <v>6.8454256193754901</v>
      </c>
      <c r="BG33" s="9">
        <f>IFERROR(STU[[#This Row],[Lowest MVA]]*1000/(STU[[#This Row],[Voltage]]*SQRT(3)),"")</f>
        <v>352.93876800000004</v>
      </c>
      <c r="BH33" s="9">
        <f t="shared" si="10"/>
        <v>352.93876799999998</v>
      </c>
      <c r="BI33" s="9" t="str">
        <f>STU[[#This Row],[From]]</f>
        <v>W408</v>
      </c>
      <c r="BJ33" s="9" t="str">
        <f>STU[[#This Row],[To]]</f>
        <v>W661</v>
      </c>
      <c r="BK33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Cable-3c-300mm² AL XLPE HDPE</v>
      </c>
      <c r="BL33" s="9">
        <f>STU[[#This Row],[Voltage]]</f>
        <v>11.198</v>
      </c>
    </row>
    <row r="34" spans="1:64" x14ac:dyDescent="0.25">
      <c r="A34" s="6" t="str">
        <f>CONCATENATE(STU[[#This Row],[Supply Level]],STU[[#This Row],[Station/Feeder]],STU[[#This Row],[Voltage]])</f>
        <v>DistributionFeederCB7_Waihaorunga11.198</v>
      </c>
      <c r="B34" s="6" t="str">
        <f>CONCATENATE(STU[[#This Row],[Supply Level]],STU[[#This Row],[Station/Feeder]],STU[[#This Row],[Equipment ID]],STU[[#This Row],[Voltage]],STU[[#This Row],[Device type]])</f>
        <v>DistributionFeederCB7_WaihaorungaCHAFER11.198-</v>
      </c>
      <c r="C34" s="6" t="s">
        <v>1276</v>
      </c>
      <c r="D34" s="11" t="s">
        <v>127</v>
      </c>
      <c r="E34" s="6" t="s">
        <v>1401</v>
      </c>
      <c r="F34" s="8" t="s">
        <v>1402</v>
      </c>
      <c r="G34" s="27">
        <v>4</v>
      </c>
      <c r="H34" s="7" t="s">
        <v>273</v>
      </c>
      <c r="I34" s="7" t="s">
        <v>505</v>
      </c>
      <c r="J34" s="7" t="s">
        <v>69</v>
      </c>
      <c r="K34" s="7" t="s">
        <v>0</v>
      </c>
      <c r="L34" s="7" t="s">
        <v>0</v>
      </c>
      <c r="M34" s="8">
        <f t="shared" si="13"/>
        <v>11.198</v>
      </c>
      <c r="N34" s="9">
        <v>524.32641073638399</v>
      </c>
      <c r="O34" s="9">
        <f>IF(OR(N34="",N34="-"),"-",N34*$M34*SQRT(3)/1000)</f>
        <v>10.169575491264929</v>
      </c>
      <c r="P34" s="9" t="s">
        <v>0</v>
      </c>
      <c r="Q34" s="9" t="str">
        <f>IF(OR(P34="",P34="-"),"-",P34*$M34*SQRT(3)/1000)</f>
        <v>-</v>
      </c>
      <c r="R34" s="9">
        <v>388.10484430946377</v>
      </c>
      <c r="S34" s="9">
        <f>IF(OR(R34="",R34="-"),"-",R34*$M34*SQRT(3)/1000)</f>
        <v>7.5274894262671053</v>
      </c>
      <c r="T34" s="9" t="s">
        <v>0</v>
      </c>
      <c r="U34" s="9" t="str">
        <f>IF(OR(T34="",T34="-"),"-",T34*$M34*SQRT(3)/1000)</f>
        <v>-</v>
      </c>
      <c r="V34" s="9" t="s">
        <v>0</v>
      </c>
      <c r="W34" s="9" t="str">
        <f>IF(OR(V34="",V34="-"),"-",V34*$M34*SQRT(3)/1000)</f>
        <v>-</v>
      </c>
      <c r="X34" s="9" t="s">
        <v>0</v>
      </c>
      <c r="Y34" s="9" t="str">
        <f>IF(OR(X34="",X34="-"),"-",X34*$M34*SQRT(3)/1000)</f>
        <v>-</v>
      </c>
      <c r="Z34" s="9" t="s">
        <v>0</v>
      </c>
      <c r="AA34" s="9" t="str">
        <f>IF(OR(Z34="",Z34="-"),"-",Z34*$M34*SQRT(3)/1000)</f>
        <v>-</v>
      </c>
      <c r="AB34" s="9" t="s">
        <v>0</v>
      </c>
      <c r="AC34" s="9" t="str">
        <f>IF(OR(AB34="",AB34="-"),"-",AB34*$M34*SQRT(3)/1000)</f>
        <v>-</v>
      </c>
      <c r="AD34" s="9" t="s">
        <v>0</v>
      </c>
      <c r="AE34" s="9" t="str">
        <f>IF(OR(AD34="",AD34="-"),"-",AD34*$M34*SQRT(3)/1000)</f>
        <v>-</v>
      </c>
      <c r="AF34" s="9" t="s">
        <v>0</v>
      </c>
      <c r="AG34" s="9" t="s">
        <v>0</v>
      </c>
      <c r="AH34" s="9">
        <v>3835</v>
      </c>
      <c r="AI34" s="9" t="s">
        <v>0</v>
      </c>
      <c r="AJ34" s="43" t="s">
        <v>0</v>
      </c>
      <c r="AK34" s="9" t="s">
        <v>0</v>
      </c>
      <c r="AL34" s="43" t="s">
        <v>0</v>
      </c>
      <c r="AM34" s="9" t="s">
        <v>0</v>
      </c>
      <c r="AN34" s="43" t="s">
        <v>0</v>
      </c>
      <c r="AO34" s="9" t="s">
        <v>0</v>
      </c>
      <c r="AP34" s="9" t="s">
        <v>0</v>
      </c>
      <c r="AQ34" s="43" t="s">
        <v>0</v>
      </c>
      <c r="AR34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34" s="9" t="str">
        <f>IF(OR(AR34="",AR34="-"),"-",AR34*$M34*SQRT(3)/1000)</f>
        <v>-</v>
      </c>
      <c r="AT34" s="9">
        <f>IF(RIGHT(STU[[#This Row],[Device type]],7)="Winding","-",STU[[#This Row],[Cont Winter MVA]])</f>
        <v>10.169575491264929</v>
      </c>
      <c r="AU34" s="9" t="str">
        <f>IF(RIGHT(STU[[#This Row],[Device type]],7)="Winding","-",STU[[#This Row],[Cont Shoulder MVA]])</f>
        <v>-</v>
      </c>
      <c r="AV34" s="9">
        <f>IF(RIGHT(STU[[#This Row],[Device type]],7)="Winding","-",STU[[#This Row],[Cont Summer MVA]])</f>
        <v>7.5274894262671053</v>
      </c>
      <c r="AW34" s="9" t="str">
        <f>STU[[#This Row],[24 Hr Winter MVA]]</f>
        <v>-</v>
      </c>
      <c r="AX34" s="9" t="str">
        <f>STU[[#This Row],[24 Hr Summer MVA]]</f>
        <v>-</v>
      </c>
      <c r="AY34" s="9" t="str">
        <f>STU[[#This Row],[Forwards MVA]]</f>
        <v>-</v>
      </c>
      <c r="AZ34" s="9" t="str">
        <f>STU[[#This Row],[Relay MVA]]</f>
        <v>-</v>
      </c>
      <c r="BA34" s="9" t="str">
        <f>STU[[#This Row],[CT MVA]]</f>
        <v>-</v>
      </c>
      <c r="BB34" s="9" t="str">
        <f>STU[[#This Row],[Derating MVA]]</f>
        <v>-</v>
      </c>
      <c r="BC34" s="9" t="str">
        <f>STU[[#This Row],[Station/Feeder]]&amp;STU[[#This Row],[Lowest MVA]]</f>
        <v>CB7_Waihaorunga7.52748942626711</v>
      </c>
      <c r="BD34" s="9" t="str">
        <f>CONCATENATE(STU[[#This Row],[Supply Level]],STU[[#This Row],[Station/Feeder]],STU[[#This Row],[Voltage]],STU[[#This Row],[Lowest A-No PTX]])</f>
        <v>DistributionFeederCB7_Waihaorunga11.198388.104844309464</v>
      </c>
      <c r="BE34" s="9" t="str">
        <f>CONCATENATE(STU[[#This Row],[Supply Level]],STU[[#This Row],[Station/Feeder]],STU[[#This Row],[Voltage]],STU[[#This Row],[Lowest A-PTX]])</f>
        <v>DistributionFeederCB7_Waihaorunga11.198388.104844309464</v>
      </c>
      <c r="BF34" s="9">
        <f>IF(MIN(STU[[#This Row],[Summ Cont Winter A]:[Cable Derating]])=0,"",MIN(STU[[#This Row],[Summ Cont Winter A]:[Cable Derating]]))</f>
        <v>7.5274894262671053</v>
      </c>
      <c r="BG34" s="9">
        <f>IFERROR(STU[[#This Row],[Lowest MVA]]*1000/(STU[[#This Row],[Voltage]]*SQRT(3)),"")</f>
        <v>388.10484430946377</v>
      </c>
      <c r="BH34" s="9">
        <f t="shared" si="10"/>
        <v>388.10484430946377</v>
      </c>
      <c r="BI34" s="9" t="str">
        <f>STU[[#This Row],[From]]</f>
        <v>W661</v>
      </c>
      <c r="BJ34" s="9" t="str">
        <f>STU[[#This Row],[To]]</f>
        <v>Pole 00088</v>
      </c>
      <c r="BK34" s="9" t="str">
        <f>IF(STU[[#This Row],[Device type]]="-",STU[[#This Row],[Equipment Type]]&amp;" - "&amp;STU[[#This Row],[Equipment ID]],STU[[#This Row],[Equipment Type]]&amp;" - "&amp;STU[[#This Row],[Equipment ID]]&amp;" - "&amp;STU[[#This Row],[Device type]])</f>
        <v>OH Line - CHAFER</v>
      </c>
      <c r="BL34" s="9">
        <f>STU[[#This Row],[Voltage]]</f>
        <v>11.198</v>
      </c>
    </row>
    <row r="35" spans="1:64" x14ac:dyDescent="0.25">
      <c r="A35" s="6" t="str">
        <f>CONCATENATE(STU[[#This Row],[Supply Level]],STU[[#This Row],[Station/Feeder]],STU[[#This Row],[Voltage]])</f>
        <v>DistributionFeederCB8_Mt Studholme11.198</v>
      </c>
      <c r="B35" s="6" t="str">
        <f>CONCATENATE(STU[[#This Row],[Supply Level]],STU[[#This Row],[Station/Feeder]],STU[[#This Row],[Equipment ID]],STU[[#This Row],[Voltage]],STU[[#This Row],[Device type]])</f>
        <v>DistributionFeederCB8_Mt StudholmeSTU-CB811.198Protection</v>
      </c>
      <c r="C35" s="6" t="s">
        <v>1276</v>
      </c>
      <c r="D35" s="11" t="s">
        <v>134</v>
      </c>
      <c r="E35" s="6" t="s">
        <v>243</v>
      </c>
      <c r="F35" s="6" t="s">
        <v>783</v>
      </c>
      <c r="G35" s="27">
        <v>3</v>
      </c>
      <c r="H35" s="7" t="s">
        <v>2351</v>
      </c>
      <c r="I35" s="7" t="s">
        <v>1392</v>
      </c>
      <c r="J35" s="7" t="s">
        <v>15</v>
      </c>
      <c r="K35" s="7" t="s">
        <v>1121</v>
      </c>
      <c r="L35" s="7" t="s">
        <v>1423</v>
      </c>
      <c r="M35" s="8">
        <f t="shared" si="13"/>
        <v>11.198</v>
      </c>
      <c r="N35" s="9">
        <v>630</v>
      </c>
      <c r="O35" s="9">
        <f t="shared" si="0"/>
        <v>12.219168114188461</v>
      </c>
      <c r="P35" s="9">
        <v>630</v>
      </c>
      <c r="Q35" s="9">
        <f t="shared" si="1"/>
        <v>12.219168114188461</v>
      </c>
      <c r="R35" s="9">
        <v>630</v>
      </c>
      <c r="S35" s="9">
        <f t="shared" si="2"/>
        <v>12.219168114188461</v>
      </c>
      <c r="T35" s="9" t="s">
        <v>0</v>
      </c>
      <c r="U35" s="9" t="str">
        <f t="shared" si="3"/>
        <v>-</v>
      </c>
      <c r="V35" s="9" t="s">
        <v>0</v>
      </c>
      <c r="W35" s="9" t="str">
        <f t="shared" si="4"/>
        <v>-</v>
      </c>
      <c r="X35" s="9">
        <f>VLOOKUP(STU[[#This Row],[Equipment ID]],AEL_Protection_Data[#All],12,0)</f>
        <v>360</v>
      </c>
      <c r="Y35" s="9">
        <f t="shared" si="5"/>
        <v>6.9823817795362642</v>
      </c>
      <c r="Z35" s="9" t="s">
        <v>0</v>
      </c>
      <c r="AA35" s="9" t="str">
        <f t="shared" si="6"/>
        <v>-</v>
      </c>
      <c r="AB35" s="9" t="s">
        <v>0</v>
      </c>
      <c r="AC35" s="9" t="str">
        <f t="shared" si="7"/>
        <v>-</v>
      </c>
      <c r="AD35" s="9">
        <v>600</v>
      </c>
      <c r="AE35" s="12">
        <f t="shared" si="8"/>
        <v>11.637302965893772</v>
      </c>
      <c r="AF35" s="29" t="s">
        <v>0</v>
      </c>
      <c r="AG35" s="29" t="s">
        <v>0</v>
      </c>
      <c r="AH35" s="8" t="s">
        <v>0</v>
      </c>
      <c r="AI35" s="29" t="s">
        <v>0</v>
      </c>
      <c r="AJ35" s="32" t="s">
        <v>0</v>
      </c>
      <c r="AK35" s="29" t="s">
        <v>0</v>
      </c>
      <c r="AL35" s="32" t="s">
        <v>0</v>
      </c>
      <c r="AM35" s="29" t="s">
        <v>0</v>
      </c>
      <c r="AN35" s="32" t="s">
        <v>0</v>
      </c>
      <c r="AO35" s="29" t="s">
        <v>0</v>
      </c>
      <c r="AP35" s="29" t="s">
        <v>0</v>
      </c>
      <c r="AQ35" s="32" t="s">
        <v>0</v>
      </c>
      <c r="AR35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35" s="9" t="str">
        <f t="shared" si="9"/>
        <v>-</v>
      </c>
      <c r="AT35" s="9">
        <f>IF(RIGHT(STU[[#This Row],[Device type]],7)="Winding","-",STU[[#This Row],[Cont Winter MVA]])</f>
        <v>12.219168114188461</v>
      </c>
      <c r="AU35" s="9">
        <f>IF(RIGHT(STU[[#This Row],[Device type]],7)="Winding","-",STU[[#This Row],[Cont Shoulder MVA]])</f>
        <v>12.219168114188461</v>
      </c>
      <c r="AV35" s="9">
        <f>IF(RIGHT(STU[[#This Row],[Device type]],7)="Winding","-",STU[[#This Row],[Cont Summer MVA]])</f>
        <v>12.219168114188461</v>
      </c>
      <c r="AW35" s="9" t="str">
        <f>STU[[#This Row],[24 Hr Winter MVA]]</f>
        <v>-</v>
      </c>
      <c r="AX35" s="9" t="str">
        <f>STU[[#This Row],[24 Hr Summer MVA]]</f>
        <v>-</v>
      </c>
      <c r="AY35" s="9">
        <f>STU[[#This Row],[Forwards MVA]]</f>
        <v>6.9823817795362642</v>
      </c>
      <c r="AZ35" s="9" t="str">
        <f>STU[[#This Row],[Relay MVA]]</f>
        <v>-</v>
      </c>
      <c r="BA35" s="9">
        <f>STU[[#This Row],[CT MVA]]</f>
        <v>11.637302965893772</v>
      </c>
      <c r="BB35" s="9" t="str">
        <f>STU[[#This Row],[Derating MVA]]</f>
        <v>-</v>
      </c>
      <c r="BC35" s="9" t="str">
        <f>STU[[#This Row],[Station/Feeder]]&amp;STU[[#This Row],[Lowest MVA]]</f>
        <v>CB8_Mt Studholme6.98238177953626</v>
      </c>
      <c r="BD35" s="9" t="str">
        <f>CONCATENATE(STU[[#This Row],[Supply Level]],STU[[#This Row],[Station/Feeder]],STU[[#This Row],[Voltage]],STU[[#This Row],[Lowest A-No PTX]])</f>
        <v>DistributionFeederCB8_Mt Studholme11.198360</v>
      </c>
      <c r="BE35" s="9" t="str">
        <f>CONCATENATE(STU[[#This Row],[Supply Level]],STU[[#This Row],[Station/Feeder]],STU[[#This Row],[Voltage]],STU[[#This Row],[Lowest A-PTX]])</f>
        <v>DistributionFeederCB8_Mt Studholme11.198360</v>
      </c>
      <c r="BF35" s="9">
        <f>IF(MIN(STU[[#This Row],[Summ Cont Winter A]:[Cable Derating]])=0,"",MIN(STU[[#This Row],[Summ Cont Winter A]:[Cable Derating]]))</f>
        <v>6.9823817795362642</v>
      </c>
      <c r="BG35" s="9">
        <f>IFERROR(STU[[#This Row],[Lowest MVA]]*1000/(STU[[#This Row],[Voltage]]*SQRT(3)),"")</f>
        <v>360.00000000000006</v>
      </c>
      <c r="BH35" s="9">
        <f t="shared" si="10"/>
        <v>360</v>
      </c>
      <c r="BI35" s="9" t="str">
        <f>STU[[#This Row],[From]]</f>
        <v>11 kV Bus</v>
      </c>
      <c r="BJ35" s="9" t="str">
        <f>STU[[#This Row],[To]]</f>
        <v>STD-8</v>
      </c>
      <c r="BK35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Circuit Breaker-STU-CB8-Protection</v>
      </c>
      <c r="BL35" s="9">
        <f>STU[[#This Row],[Voltage]]</f>
        <v>11.198</v>
      </c>
    </row>
    <row r="36" spans="1:64" x14ac:dyDescent="0.25">
      <c r="A36" s="6" t="str">
        <f>CONCATENATE(STU[[#This Row],[Supply Level]],STU[[#This Row],[Station/Feeder]],STU[[#This Row],[Voltage]])</f>
        <v>DistributionFeederCB8_Mt Studholme11.198</v>
      </c>
      <c r="B36" s="6" t="str">
        <f>CONCATENATE(STU[[#This Row],[Supply Level]],STU[[#This Row],[Station/Feeder]],STU[[#This Row],[Equipment ID]],STU[[#This Row],[Voltage]],STU[[#This Row],[Device type]])</f>
        <v>DistributionFeederCB8_Mt Studholme3c-300mm² AL XLPE HDPE11.198-</v>
      </c>
      <c r="C36" s="6" t="s">
        <v>1276</v>
      </c>
      <c r="D36" s="11" t="s">
        <v>134</v>
      </c>
      <c r="E36" s="6" t="s">
        <v>1396</v>
      </c>
      <c r="F36" s="6" t="s">
        <v>784</v>
      </c>
      <c r="G36" s="27">
        <v>4</v>
      </c>
      <c r="H36" s="7" t="s">
        <v>273</v>
      </c>
      <c r="I36" s="7" t="s">
        <v>768</v>
      </c>
      <c r="J36" s="7" t="s">
        <v>250</v>
      </c>
      <c r="K36" s="7" t="s">
        <v>0</v>
      </c>
      <c r="L36" s="7" t="s">
        <v>0</v>
      </c>
      <c r="M36" s="8">
        <f t="shared" si="13"/>
        <v>11.198</v>
      </c>
      <c r="N36" s="8">
        <v>476</v>
      </c>
      <c r="O36" s="9">
        <f t="shared" si="0"/>
        <v>9.2322603529423937</v>
      </c>
      <c r="P36" s="8">
        <v>476</v>
      </c>
      <c r="Q36" s="9">
        <f t="shared" si="1"/>
        <v>9.2322603529423937</v>
      </c>
      <c r="R36" s="9">
        <v>476</v>
      </c>
      <c r="S36" s="9">
        <f t="shared" si="2"/>
        <v>9.2322603529423937</v>
      </c>
      <c r="T36" s="9" t="s">
        <v>0</v>
      </c>
      <c r="U36" s="9" t="str">
        <f t="shared" si="3"/>
        <v>-</v>
      </c>
      <c r="V36" s="8" t="s">
        <v>0</v>
      </c>
      <c r="W36" s="9" t="str">
        <f t="shared" si="4"/>
        <v>-</v>
      </c>
      <c r="X36" s="9" t="s">
        <v>0</v>
      </c>
      <c r="Y36" s="9" t="str">
        <f t="shared" si="5"/>
        <v>-</v>
      </c>
      <c r="Z36" s="9" t="s">
        <v>0</v>
      </c>
      <c r="AA36" s="9" t="str">
        <f t="shared" si="6"/>
        <v>-</v>
      </c>
      <c r="AB36" s="9" t="s">
        <v>0</v>
      </c>
      <c r="AC36" s="9" t="str">
        <f t="shared" si="7"/>
        <v>-</v>
      </c>
      <c r="AD36" s="9" t="s">
        <v>0</v>
      </c>
      <c r="AE36" s="12" t="str">
        <f t="shared" si="8"/>
        <v>-</v>
      </c>
      <c r="AF36" s="29" t="s">
        <v>716</v>
      </c>
      <c r="AG36" s="29" t="s">
        <v>0</v>
      </c>
      <c r="AH36" s="8">
        <v>60.7</v>
      </c>
      <c r="AI36" s="29">
        <v>1</v>
      </c>
      <c r="AJ36" s="32">
        <v>0.98</v>
      </c>
      <c r="AK36" s="29">
        <v>20</v>
      </c>
      <c r="AL36" s="32">
        <v>0.97</v>
      </c>
      <c r="AM36" s="29">
        <v>1.2</v>
      </c>
      <c r="AN36" s="32">
        <v>1</v>
      </c>
      <c r="AO36" s="29">
        <v>6</v>
      </c>
      <c r="AP36" s="29">
        <v>0.5</v>
      </c>
      <c r="AQ36" s="32">
        <v>0.78</v>
      </c>
      <c r="AR36" s="9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352.93876799999998</v>
      </c>
      <c r="AS36" s="9">
        <f t="shared" si="9"/>
        <v>6.8454256193754901</v>
      </c>
      <c r="AT36" s="9">
        <f>IF(RIGHT(STU[[#This Row],[Device type]],7)="Winding","-",STU[[#This Row],[Cont Winter MVA]])</f>
        <v>9.2322603529423937</v>
      </c>
      <c r="AU36" s="9">
        <f>IF(RIGHT(STU[[#This Row],[Device type]],7)="Winding","-",STU[[#This Row],[Cont Shoulder MVA]])</f>
        <v>9.2322603529423937</v>
      </c>
      <c r="AV36" s="9">
        <f>IF(RIGHT(STU[[#This Row],[Device type]],7)="Winding","-",STU[[#This Row],[Cont Summer MVA]])</f>
        <v>9.2322603529423937</v>
      </c>
      <c r="AW36" s="9" t="str">
        <f>STU[[#This Row],[24 Hr Winter MVA]]</f>
        <v>-</v>
      </c>
      <c r="AX36" s="9" t="str">
        <f>STU[[#This Row],[24 Hr Summer MVA]]</f>
        <v>-</v>
      </c>
      <c r="AY36" s="9" t="str">
        <f>STU[[#This Row],[Forwards MVA]]</f>
        <v>-</v>
      </c>
      <c r="AZ36" s="9" t="str">
        <f>STU[[#This Row],[Relay MVA]]</f>
        <v>-</v>
      </c>
      <c r="BA36" s="9" t="str">
        <f>STU[[#This Row],[CT MVA]]</f>
        <v>-</v>
      </c>
      <c r="BB36" s="9">
        <f>STU[[#This Row],[Derating MVA]]</f>
        <v>6.8454256193754901</v>
      </c>
      <c r="BC36" s="9" t="str">
        <f>STU[[#This Row],[Station/Feeder]]&amp;STU[[#This Row],[Lowest MVA]]</f>
        <v>CB8_Mt Studholme6.84542561937549</v>
      </c>
      <c r="BD36" s="9" t="str">
        <f>CONCATENATE(STU[[#This Row],[Supply Level]],STU[[#This Row],[Station/Feeder]],STU[[#This Row],[Voltage]],STU[[#This Row],[Lowest A-No PTX]])</f>
        <v>DistributionFeederCB8_Mt Studholme11.198352.938768</v>
      </c>
      <c r="BE36" s="9" t="str">
        <f>CONCATENATE(STU[[#This Row],[Supply Level]],STU[[#This Row],[Station/Feeder]],STU[[#This Row],[Voltage]],STU[[#This Row],[Lowest A-PTX]])</f>
        <v>DistributionFeederCB8_Mt Studholme11.198352.938768</v>
      </c>
      <c r="BF36" s="9">
        <f>IF(MIN(STU[[#This Row],[Summ Cont Winter A]:[Cable Derating]])=0,"",MIN(STU[[#This Row],[Summ Cont Winter A]:[Cable Derating]]))</f>
        <v>6.8454256193754901</v>
      </c>
      <c r="BG36" s="9">
        <f>IFERROR(STU[[#This Row],[Lowest MVA]]*1000/(STU[[#This Row],[Voltage]]*SQRT(3)),"")</f>
        <v>352.93876800000004</v>
      </c>
      <c r="BH36" s="9">
        <f t="shared" si="10"/>
        <v>352.93876799999998</v>
      </c>
      <c r="BI36" s="9" t="str">
        <f>STU[[#This Row],[From]]</f>
        <v>STU-8</v>
      </c>
      <c r="BJ36" s="9" t="str">
        <f>STU[[#This Row],[To]]</f>
        <v>Pole 31677</v>
      </c>
      <c r="BK36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Cable-3c-300mm² AL XLPE HDPE</v>
      </c>
      <c r="BL36" s="9">
        <f>STU[[#This Row],[Voltage]]</f>
        <v>11.198</v>
      </c>
    </row>
    <row r="37" spans="1:64" x14ac:dyDescent="0.25">
      <c r="A37" s="6" t="str">
        <f>CONCATENATE(STU[[#This Row],[Supply Level]],STU[[#This Row],[Station/Feeder]],STU[[#This Row],[Voltage]])</f>
        <v>DistributionFeederCB8_Mt Studholme11.198</v>
      </c>
      <c r="B37" s="6" t="str">
        <f>CONCATENATE(STU[[#This Row],[Supply Level]],STU[[#This Row],[Station/Feeder]],STU[[#This Row],[Equipment ID]],STU[[#This Row],[Voltage]],STU[[#This Row],[Device type]])</f>
        <v>DistributionFeederCB8_Mt StudholmeCHAFER11.198-</v>
      </c>
      <c r="C37" s="6" t="s">
        <v>1276</v>
      </c>
      <c r="D37" s="11" t="s">
        <v>134</v>
      </c>
      <c r="E37" s="6" t="s">
        <v>784</v>
      </c>
      <c r="F37" s="6" t="s">
        <v>785</v>
      </c>
      <c r="G37" s="27">
        <v>5</v>
      </c>
      <c r="H37" s="7" t="s">
        <v>1289</v>
      </c>
      <c r="I37" s="7" t="s">
        <v>505</v>
      </c>
      <c r="J37" s="7" t="s">
        <v>69</v>
      </c>
      <c r="K37" s="7" t="s">
        <v>0</v>
      </c>
      <c r="L37" s="7" t="s">
        <v>0</v>
      </c>
      <c r="M37" s="8">
        <f t="shared" si="13"/>
        <v>11.198</v>
      </c>
      <c r="N37" s="9">
        <v>524.32641073638399</v>
      </c>
      <c r="O37" s="9">
        <f t="shared" si="0"/>
        <v>10.169575491264929</v>
      </c>
      <c r="P37" s="8" t="s">
        <v>0</v>
      </c>
      <c r="Q37" s="9" t="str">
        <f t="shared" si="1"/>
        <v>-</v>
      </c>
      <c r="R37" s="9">
        <v>388.10484430946377</v>
      </c>
      <c r="S37" s="9">
        <f t="shared" si="2"/>
        <v>7.5274894262671053</v>
      </c>
      <c r="T37" s="9" t="s">
        <v>0</v>
      </c>
      <c r="U37" s="9" t="str">
        <f t="shared" si="3"/>
        <v>-</v>
      </c>
      <c r="V37" s="8" t="s">
        <v>0</v>
      </c>
      <c r="W37" s="9" t="str">
        <f t="shared" si="4"/>
        <v>-</v>
      </c>
      <c r="X37" s="9" t="s">
        <v>0</v>
      </c>
      <c r="Y37" s="9" t="str">
        <f t="shared" si="5"/>
        <v>-</v>
      </c>
      <c r="Z37" s="9" t="s">
        <v>0</v>
      </c>
      <c r="AA37" s="9" t="str">
        <f t="shared" si="6"/>
        <v>-</v>
      </c>
      <c r="AB37" s="9" t="s">
        <v>0</v>
      </c>
      <c r="AC37" s="9" t="str">
        <f t="shared" si="7"/>
        <v>-</v>
      </c>
      <c r="AD37" s="9" t="s">
        <v>0</v>
      </c>
      <c r="AE37" s="12" t="str">
        <f t="shared" si="8"/>
        <v>-</v>
      </c>
      <c r="AF37" s="29" t="s">
        <v>0</v>
      </c>
      <c r="AG37" s="29" t="s">
        <v>0</v>
      </c>
      <c r="AH37" s="8">
        <v>4.0999999999999996</v>
      </c>
      <c r="AI37" s="29" t="s">
        <v>0</v>
      </c>
      <c r="AJ37" s="32" t="s">
        <v>0</v>
      </c>
      <c r="AK37" s="29" t="s">
        <v>0</v>
      </c>
      <c r="AL37" s="32" t="s">
        <v>0</v>
      </c>
      <c r="AM37" s="29" t="s">
        <v>0</v>
      </c>
      <c r="AN37" s="32" t="s">
        <v>0</v>
      </c>
      <c r="AO37" s="29" t="s">
        <v>0</v>
      </c>
      <c r="AP37" s="29" t="s">
        <v>0</v>
      </c>
      <c r="AQ37" s="32" t="s">
        <v>0</v>
      </c>
      <c r="AR37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37" s="9" t="str">
        <f t="shared" si="9"/>
        <v>-</v>
      </c>
      <c r="AT37" s="9">
        <f>IF(RIGHT(STU[[#This Row],[Device type]],7)="Winding","-",STU[[#This Row],[Cont Winter MVA]])</f>
        <v>10.169575491264929</v>
      </c>
      <c r="AU37" s="9" t="str">
        <f>IF(RIGHT(STU[[#This Row],[Device type]],7)="Winding","-",STU[[#This Row],[Cont Shoulder MVA]])</f>
        <v>-</v>
      </c>
      <c r="AV37" s="9">
        <f>IF(RIGHT(STU[[#This Row],[Device type]],7)="Winding","-",STU[[#This Row],[Cont Summer MVA]])</f>
        <v>7.5274894262671053</v>
      </c>
      <c r="AW37" s="9" t="str">
        <f>STU[[#This Row],[24 Hr Winter MVA]]</f>
        <v>-</v>
      </c>
      <c r="AX37" s="9" t="str">
        <f>STU[[#This Row],[24 Hr Summer MVA]]</f>
        <v>-</v>
      </c>
      <c r="AY37" s="9" t="str">
        <f>STU[[#This Row],[Forwards MVA]]</f>
        <v>-</v>
      </c>
      <c r="AZ37" s="9" t="str">
        <f>STU[[#This Row],[Relay MVA]]</f>
        <v>-</v>
      </c>
      <c r="BA37" s="9" t="str">
        <f>STU[[#This Row],[CT MVA]]</f>
        <v>-</v>
      </c>
      <c r="BB37" s="9" t="str">
        <f>STU[[#This Row],[Derating MVA]]</f>
        <v>-</v>
      </c>
      <c r="BC37" s="9" t="str">
        <f>STU[[#This Row],[Station/Feeder]]&amp;STU[[#This Row],[Lowest MVA]]</f>
        <v>CB8_Mt Studholme7.52748942626711</v>
      </c>
      <c r="BD37" s="9" t="str">
        <f>CONCATENATE(STU[[#This Row],[Supply Level]],STU[[#This Row],[Station/Feeder]],STU[[#This Row],[Voltage]],STU[[#This Row],[Lowest A-No PTX]])</f>
        <v>DistributionFeederCB8_Mt Studholme11.198388.104844309464</v>
      </c>
      <c r="BE37" s="9" t="str">
        <f>CONCATENATE(STU[[#This Row],[Supply Level]],STU[[#This Row],[Station/Feeder]],STU[[#This Row],[Voltage]],STU[[#This Row],[Lowest A-PTX]])</f>
        <v>DistributionFeederCB8_Mt Studholme11.198388.104844309464</v>
      </c>
      <c r="BF37" s="9">
        <f>IF(MIN(STU[[#This Row],[Summ Cont Winter A]:[Cable Derating]])=0,"",MIN(STU[[#This Row],[Summ Cont Winter A]:[Cable Derating]]))</f>
        <v>7.5274894262671053</v>
      </c>
      <c r="BG37" s="9">
        <f>IFERROR(STU[[#This Row],[Lowest MVA]]*1000/(STU[[#This Row],[Voltage]]*SQRT(3)),"")</f>
        <v>388.10484430946377</v>
      </c>
      <c r="BH37" s="9">
        <f t="shared" si="10"/>
        <v>388.10484430946377</v>
      </c>
      <c r="BI37" s="9" t="str">
        <f>STU[[#This Row],[From]]</f>
        <v>Pole 31677</v>
      </c>
      <c r="BJ37" s="9" t="str">
        <f>STU[[#This Row],[To]]</f>
        <v>W200 ABS</v>
      </c>
      <c r="BK37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OH Line-CHAFER</v>
      </c>
      <c r="BL37" s="9">
        <f>STU[[#This Row],[Voltage]]</f>
        <v>11.198</v>
      </c>
    </row>
    <row r="38" spans="1:64" x14ac:dyDescent="0.25">
      <c r="A38" s="6" t="str">
        <f>CONCATENATE(STU[[#This Row],[Supply Level]],STU[[#This Row],[Station/Feeder]],STU[[#This Row],[Voltage]])</f>
        <v>DistributionFeederCB8_Mt Studholme11.198</v>
      </c>
      <c r="B38" s="6" t="str">
        <f>CONCATENATE(STU[[#This Row],[Supply Level]],STU[[#This Row],[Station/Feeder]],STU[[#This Row],[Equipment ID]],STU[[#This Row],[Voltage]],STU[[#This Row],[Device type]])</f>
        <v>DistributionFeederCB8_Mt Studholme70mm² Cu11.198-</v>
      </c>
      <c r="C38" s="6" t="s">
        <v>1276</v>
      </c>
      <c r="D38" s="11" t="s">
        <v>134</v>
      </c>
      <c r="E38" s="6" t="s">
        <v>785</v>
      </c>
      <c r="F38" s="6" t="s">
        <v>786</v>
      </c>
      <c r="G38" s="27">
        <v>6</v>
      </c>
      <c r="H38" s="7" t="s">
        <v>1289</v>
      </c>
      <c r="I38" s="7" t="s">
        <v>972</v>
      </c>
      <c r="J38" s="7" t="s">
        <v>69</v>
      </c>
      <c r="K38" s="7" t="s">
        <v>0</v>
      </c>
      <c r="L38" s="7" t="s">
        <v>0</v>
      </c>
      <c r="M38" s="8">
        <f t="shared" si="13"/>
        <v>11.198</v>
      </c>
      <c r="N38" s="9">
        <v>328</v>
      </c>
      <c r="O38" s="9">
        <f t="shared" si="0"/>
        <v>6.3617256213552622</v>
      </c>
      <c r="P38" s="8" t="s">
        <v>0</v>
      </c>
      <c r="Q38" s="9" t="str">
        <f t="shared" si="1"/>
        <v>-</v>
      </c>
      <c r="R38" s="9">
        <v>247</v>
      </c>
      <c r="S38" s="9">
        <f t="shared" si="2"/>
        <v>4.7906897209596027</v>
      </c>
      <c r="T38" s="9" t="s">
        <v>0</v>
      </c>
      <c r="U38" s="9" t="str">
        <f t="shared" si="3"/>
        <v>-</v>
      </c>
      <c r="V38" s="8" t="s">
        <v>0</v>
      </c>
      <c r="W38" s="9" t="str">
        <f t="shared" si="4"/>
        <v>-</v>
      </c>
      <c r="X38" s="9" t="s">
        <v>0</v>
      </c>
      <c r="Y38" s="9" t="str">
        <f t="shared" si="5"/>
        <v>-</v>
      </c>
      <c r="Z38" s="9" t="s">
        <v>0</v>
      </c>
      <c r="AA38" s="9" t="str">
        <f t="shared" si="6"/>
        <v>-</v>
      </c>
      <c r="AB38" s="9" t="s">
        <v>0</v>
      </c>
      <c r="AC38" s="9" t="str">
        <f t="shared" si="7"/>
        <v>-</v>
      </c>
      <c r="AD38" s="9" t="s">
        <v>0</v>
      </c>
      <c r="AE38" s="12" t="str">
        <f t="shared" si="8"/>
        <v>-</v>
      </c>
      <c r="AF38" s="29" t="s">
        <v>0</v>
      </c>
      <c r="AG38" s="29" t="s">
        <v>0</v>
      </c>
      <c r="AH38" s="8">
        <v>775.1</v>
      </c>
      <c r="AI38" s="29" t="s">
        <v>0</v>
      </c>
      <c r="AJ38" s="32" t="s">
        <v>0</v>
      </c>
      <c r="AK38" s="29" t="s">
        <v>0</v>
      </c>
      <c r="AL38" s="32" t="s">
        <v>0</v>
      </c>
      <c r="AM38" s="29" t="s">
        <v>0</v>
      </c>
      <c r="AN38" s="32" t="s">
        <v>0</v>
      </c>
      <c r="AO38" s="29" t="s">
        <v>0</v>
      </c>
      <c r="AP38" s="29" t="s">
        <v>0</v>
      </c>
      <c r="AQ38" s="32" t="s">
        <v>0</v>
      </c>
      <c r="AR38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38" s="9" t="str">
        <f t="shared" si="9"/>
        <v>-</v>
      </c>
      <c r="AT38" s="9">
        <f>IF(RIGHT(STU[[#This Row],[Device type]],7)="Winding","-",STU[[#This Row],[Cont Winter MVA]])</f>
        <v>6.3617256213552622</v>
      </c>
      <c r="AU38" s="9" t="str">
        <f>IF(RIGHT(STU[[#This Row],[Device type]],7)="Winding","-",STU[[#This Row],[Cont Shoulder MVA]])</f>
        <v>-</v>
      </c>
      <c r="AV38" s="9">
        <f>IF(RIGHT(STU[[#This Row],[Device type]],7)="Winding","-",STU[[#This Row],[Cont Summer MVA]])</f>
        <v>4.7906897209596027</v>
      </c>
      <c r="AW38" s="9" t="str">
        <f>STU[[#This Row],[24 Hr Winter MVA]]</f>
        <v>-</v>
      </c>
      <c r="AX38" s="9" t="str">
        <f>STU[[#This Row],[24 Hr Summer MVA]]</f>
        <v>-</v>
      </c>
      <c r="AY38" s="9" t="str">
        <f>STU[[#This Row],[Forwards MVA]]</f>
        <v>-</v>
      </c>
      <c r="AZ38" s="9" t="str">
        <f>STU[[#This Row],[Relay MVA]]</f>
        <v>-</v>
      </c>
      <c r="BA38" s="9" t="str">
        <f>STU[[#This Row],[CT MVA]]</f>
        <v>-</v>
      </c>
      <c r="BB38" s="9" t="str">
        <f>STU[[#This Row],[Derating MVA]]</f>
        <v>-</v>
      </c>
      <c r="BC38" s="9" t="str">
        <f>STU[[#This Row],[Station/Feeder]]&amp;STU[[#This Row],[Lowest MVA]]</f>
        <v>CB8_Mt Studholme4.7906897209596</v>
      </c>
      <c r="BD38" s="9" t="str">
        <f>CONCATENATE(STU[[#This Row],[Supply Level]],STU[[#This Row],[Station/Feeder]],STU[[#This Row],[Voltage]],STU[[#This Row],[Lowest A-No PTX]])</f>
        <v>DistributionFeederCB8_Mt Studholme11.198247</v>
      </c>
      <c r="BE38" s="9" t="str">
        <f>CONCATENATE(STU[[#This Row],[Supply Level]],STU[[#This Row],[Station/Feeder]],STU[[#This Row],[Voltage]],STU[[#This Row],[Lowest A-PTX]])</f>
        <v>DistributionFeederCB8_Mt Studholme11.198247</v>
      </c>
      <c r="BF38" s="9">
        <f>IF(MIN(STU[[#This Row],[Summ Cont Winter A]:[Cable Derating]])=0,"",MIN(STU[[#This Row],[Summ Cont Winter A]:[Cable Derating]]))</f>
        <v>4.7906897209596027</v>
      </c>
      <c r="BG38" s="9">
        <f>IFERROR(STU[[#This Row],[Lowest MVA]]*1000/(STU[[#This Row],[Voltage]]*SQRT(3)),"")</f>
        <v>247</v>
      </c>
      <c r="BH38" s="9">
        <f t="shared" si="10"/>
        <v>247</v>
      </c>
      <c r="BI38" s="9" t="str">
        <f>STU[[#This Row],[From]]</f>
        <v>W200 ABS</v>
      </c>
      <c r="BJ38" s="9" t="str">
        <f>STU[[#This Row],[To]]</f>
        <v>A1103 TX</v>
      </c>
      <c r="BK38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OH Line-70mm² Cu</v>
      </c>
      <c r="BL38" s="9">
        <f>STU[[#This Row],[Voltage]]</f>
        <v>11.198</v>
      </c>
    </row>
    <row r="39" spans="1:64" x14ac:dyDescent="0.25">
      <c r="A39" s="6" t="str">
        <f>CONCATENATE(STU[[#This Row],[Supply Level]],STU[[#This Row],[Station/Feeder]],STU[[#This Row],[Voltage]])</f>
        <v>DistributionFeederCB8_Mt Studholme11.198</v>
      </c>
      <c r="B39" s="6" t="str">
        <f>CONCATENATE(STU[[#This Row],[Supply Level]],STU[[#This Row],[Station/Feeder]],STU[[#This Row],[Equipment ID]],STU[[#This Row],[Voltage]],STU[[#This Row],[Device type]])</f>
        <v>DistributionFeederCB8_Mt StudholmeW20011.198-</v>
      </c>
      <c r="C39" s="6" t="s">
        <v>1276</v>
      </c>
      <c r="D39" s="11" t="s">
        <v>134</v>
      </c>
      <c r="E39" s="6" t="s">
        <v>785</v>
      </c>
      <c r="F39" s="8" t="s">
        <v>0</v>
      </c>
      <c r="G39" s="27">
        <v>7</v>
      </c>
      <c r="H39" s="7" t="s">
        <v>273</v>
      </c>
      <c r="I39" s="7" t="s">
        <v>787</v>
      </c>
      <c r="J39" s="7" t="s">
        <v>729</v>
      </c>
      <c r="K39" s="7" t="s">
        <v>0</v>
      </c>
      <c r="L39" s="7" t="s">
        <v>0</v>
      </c>
      <c r="M39" s="8">
        <f t="shared" si="13"/>
        <v>11.198</v>
      </c>
      <c r="N39" s="8">
        <v>400</v>
      </c>
      <c r="O39" s="9">
        <f t="shared" si="0"/>
        <v>7.7582019772625141</v>
      </c>
      <c r="P39" s="8">
        <v>400</v>
      </c>
      <c r="Q39" s="9">
        <f t="shared" si="1"/>
        <v>7.7582019772625141</v>
      </c>
      <c r="R39" s="9">
        <v>400</v>
      </c>
      <c r="S39" s="9">
        <f t="shared" si="2"/>
        <v>7.7582019772625141</v>
      </c>
      <c r="T39" s="9" t="s">
        <v>0</v>
      </c>
      <c r="U39" s="9" t="str">
        <f t="shared" si="3"/>
        <v>-</v>
      </c>
      <c r="V39" s="8" t="s">
        <v>0</v>
      </c>
      <c r="W39" s="9" t="str">
        <f t="shared" si="4"/>
        <v>-</v>
      </c>
      <c r="X39" s="9" t="s">
        <v>0</v>
      </c>
      <c r="Y39" s="9" t="str">
        <f t="shared" si="5"/>
        <v>-</v>
      </c>
      <c r="Z39" s="9" t="s">
        <v>0</v>
      </c>
      <c r="AA39" s="9" t="str">
        <f t="shared" si="6"/>
        <v>-</v>
      </c>
      <c r="AB39" s="9" t="s">
        <v>0</v>
      </c>
      <c r="AC39" s="9" t="str">
        <f t="shared" si="7"/>
        <v>-</v>
      </c>
      <c r="AD39" s="9" t="s">
        <v>0</v>
      </c>
      <c r="AE39" s="12" t="str">
        <f t="shared" si="8"/>
        <v>-</v>
      </c>
      <c r="AF39" s="29" t="s">
        <v>0</v>
      </c>
      <c r="AG39" s="29" t="s">
        <v>0</v>
      </c>
      <c r="AH39" s="8" t="s">
        <v>0</v>
      </c>
      <c r="AI39" s="29" t="s">
        <v>0</v>
      </c>
      <c r="AJ39" s="32" t="s">
        <v>0</v>
      </c>
      <c r="AK39" s="29" t="s">
        <v>0</v>
      </c>
      <c r="AL39" s="32" t="s">
        <v>0</v>
      </c>
      <c r="AM39" s="29" t="s">
        <v>0</v>
      </c>
      <c r="AN39" s="32" t="s">
        <v>0</v>
      </c>
      <c r="AO39" s="29" t="s">
        <v>0</v>
      </c>
      <c r="AP39" s="29" t="s">
        <v>0</v>
      </c>
      <c r="AQ39" s="32" t="s">
        <v>0</v>
      </c>
      <c r="AR39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39" s="9" t="str">
        <f t="shared" si="9"/>
        <v>-</v>
      </c>
      <c r="AT39" s="9">
        <f>IF(RIGHT(STU[[#This Row],[Device type]],7)="Winding","-",STU[[#This Row],[Cont Winter MVA]])</f>
        <v>7.7582019772625141</v>
      </c>
      <c r="AU39" s="9">
        <f>IF(RIGHT(STU[[#This Row],[Device type]],7)="Winding","-",STU[[#This Row],[Cont Shoulder MVA]])</f>
        <v>7.7582019772625141</v>
      </c>
      <c r="AV39" s="9">
        <f>IF(RIGHT(STU[[#This Row],[Device type]],7)="Winding","-",STU[[#This Row],[Cont Summer MVA]])</f>
        <v>7.7582019772625141</v>
      </c>
      <c r="AW39" s="9" t="str">
        <f>STU[[#This Row],[24 Hr Winter MVA]]</f>
        <v>-</v>
      </c>
      <c r="AX39" s="9" t="str">
        <f>STU[[#This Row],[24 Hr Summer MVA]]</f>
        <v>-</v>
      </c>
      <c r="AY39" s="9" t="str">
        <f>STU[[#This Row],[Forwards MVA]]</f>
        <v>-</v>
      </c>
      <c r="AZ39" s="9" t="str">
        <f>STU[[#This Row],[Relay MVA]]</f>
        <v>-</v>
      </c>
      <c r="BA39" s="9" t="str">
        <f>STU[[#This Row],[CT MVA]]</f>
        <v>-</v>
      </c>
      <c r="BB39" s="9" t="str">
        <f>STU[[#This Row],[Derating MVA]]</f>
        <v>-</v>
      </c>
      <c r="BC39" s="9" t="str">
        <f>STU[[#This Row],[Station/Feeder]]&amp;STU[[#This Row],[Lowest MVA]]</f>
        <v>CB8_Mt Studholme7.75820197726251</v>
      </c>
      <c r="BD39" s="9" t="str">
        <f>CONCATENATE(STU[[#This Row],[Supply Level]],STU[[#This Row],[Station/Feeder]],STU[[#This Row],[Voltage]],STU[[#This Row],[Lowest A-No PTX]])</f>
        <v>DistributionFeederCB8_Mt Studholme11.198400</v>
      </c>
      <c r="BE39" s="9" t="str">
        <f>CONCATENATE(STU[[#This Row],[Supply Level]],STU[[#This Row],[Station/Feeder]],STU[[#This Row],[Voltage]],STU[[#This Row],[Lowest A-PTX]])</f>
        <v>DistributionFeederCB8_Mt Studholme11.198400</v>
      </c>
      <c r="BF39" s="9">
        <f>IF(MIN(STU[[#This Row],[Summ Cont Winter A]:[Cable Derating]])=0,"",MIN(STU[[#This Row],[Summ Cont Winter A]:[Cable Derating]]))</f>
        <v>7.7582019772625141</v>
      </c>
      <c r="BG39" s="9">
        <f>IFERROR(STU[[#This Row],[Lowest MVA]]*1000/(STU[[#This Row],[Voltage]]*SQRT(3)),"")</f>
        <v>400</v>
      </c>
      <c r="BH39" s="9">
        <f t="shared" si="10"/>
        <v>400</v>
      </c>
      <c r="BI39" s="9" t="str">
        <f>STU[[#This Row],[From]]</f>
        <v>W200 ABS</v>
      </c>
      <c r="BJ39" s="9" t="str">
        <f>STU[[#This Row],[To]]</f>
        <v>-</v>
      </c>
      <c r="BK39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Air Break Switch-W200</v>
      </c>
      <c r="BL39" s="9">
        <f>STU[[#This Row],[Voltage]]</f>
        <v>11.198</v>
      </c>
    </row>
    <row r="40" spans="1:64" x14ac:dyDescent="0.25">
      <c r="A40" s="6" t="str">
        <f>CONCATENATE(STU[[#This Row],[Supply Level]],STU[[#This Row],[Station/Feeder]],STU[[#This Row],[Voltage]])</f>
        <v>DistributionFeederCB9_Morven11.198</v>
      </c>
      <c r="B40" s="6" t="str">
        <f>CONCATENATE(STU[[#This Row],[Supply Level]],STU[[#This Row],[Station/Feeder]],STU[[#This Row],[Equipment ID]],STU[[#This Row],[Voltage]],STU[[#This Row],[Device type]])</f>
        <v>DistributionFeederCB9_MorvenSTU-CB911.198Protection</v>
      </c>
      <c r="C40" s="6" t="s">
        <v>1276</v>
      </c>
      <c r="D40" s="11" t="s">
        <v>139</v>
      </c>
      <c r="E40" s="6" t="s">
        <v>243</v>
      </c>
      <c r="F40" s="6" t="s">
        <v>788</v>
      </c>
      <c r="G40" s="27">
        <v>3</v>
      </c>
      <c r="H40" s="7" t="s">
        <v>2351</v>
      </c>
      <c r="I40" s="7" t="s">
        <v>1393</v>
      </c>
      <c r="J40" s="7" t="s">
        <v>15</v>
      </c>
      <c r="K40" s="7" t="s">
        <v>1121</v>
      </c>
      <c r="L40" s="7" t="s">
        <v>1423</v>
      </c>
      <c r="M40" s="8">
        <f t="shared" si="13"/>
        <v>11.198</v>
      </c>
      <c r="N40" s="8">
        <v>630</v>
      </c>
      <c r="O40" s="9">
        <f t="shared" si="0"/>
        <v>12.219168114188461</v>
      </c>
      <c r="P40" s="8">
        <v>630</v>
      </c>
      <c r="Q40" s="9">
        <f t="shared" si="1"/>
        <v>12.219168114188461</v>
      </c>
      <c r="R40" s="9">
        <v>630</v>
      </c>
      <c r="S40" s="9">
        <f t="shared" si="2"/>
        <v>12.219168114188461</v>
      </c>
      <c r="T40" s="9" t="s">
        <v>0</v>
      </c>
      <c r="U40" s="9" t="str">
        <f t="shared" si="3"/>
        <v>-</v>
      </c>
      <c r="V40" s="8" t="s">
        <v>0</v>
      </c>
      <c r="W40" s="9" t="str">
        <f t="shared" si="4"/>
        <v>-</v>
      </c>
      <c r="X40" s="9">
        <f>VLOOKUP(STU[[#This Row],[Equipment ID]],AEL_Protection_Data[#All],12,0)</f>
        <v>300</v>
      </c>
      <c r="Y40" s="9">
        <f t="shared" si="5"/>
        <v>5.8186514829468861</v>
      </c>
      <c r="Z40" s="9" t="s">
        <v>0</v>
      </c>
      <c r="AA40" s="9" t="str">
        <f t="shared" si="6"/>
        <v>-</v>
      </c>
      <c r="AB40" s="9" t="s">
        <v>0</v>
      </c>
      <c r="AC40" s="9" t="str">
        <f t="shared" si="7"/>
        <v>-</v>
      </c>
      <c r="AD40" s="9">
        <v>600</v>
      </c>
      <c r="AE40" s="12">
        <f t="shared" si="8"/>
        <v>11.637302965893772</v>
      </c>
      <c r="AF40" s="29" t="s">
        <v>0</v>
      </c>
      <c r="AG40" s="29" t="s">
        <v>0</v>
      </c>
      <c r="AH40" s="8" t="s">
        <v>0</v>
      </c>
      <c r="AI40" s="29" t="s">
        <v>0</v>
      </c>
      <c r="AJ40" s="32" t="s">
        <v>0</v>
      </c>
      <c r="AK40" s="29" t="s">
        <v>0</v>
      </c>
      <c r="AL40" s="32" t="s">
        <v>0</v>
      </c>
      <c r="AM40" s="29" t="s">
        <v>0</v>
      </c>
      <c r="AN40" s="32" t="s">
        <v>0</v>
      </c>
      <c r="AO40" s="29" t="s">
        <v>0</v>
      </c>
      <c r="AP40" s="29" t="s">
        <v>0</v>
      </c>
      <c r="AQ40" s="32" t="s">
        <v>0</v>
      </c>
      <c r="AR40" s="9" t="str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-</v>
      </c>
      <c r="AS40" s="9" t="str">
        <f t="shared" si="9"/>
        <v>-</v>
      </c>
      <c r="AT40" s="9">
        <f>IF(RIGHT(STU[[#This Row],[Device type]],7)="Winding","-",STU[[#This Row],[Cont Winter MVA]])</f>
        <v>12.219168114188461</v>
      </c>
      <c r="AU40" s="9">
        <f>IF(RIGHT(STU[[#This Row],[Device type]],7)="Winding","-",STU[[#This Row],[Cont Shoulder MVA]])</f>
        <v>12.219168114188461</v>
      </c>
      <c r="AV40" s="9">
        <f>IF(RIGHT(STU[[#This Row],[Device type]],7)="Winding","-",STU[[#This Row],[Cont Summer MVA]])</f>
        <v>12.219168114188461</v>
      </c>
      <c r="AW40" s="9" t="str">
        <f>STU[[#This Row],[24 Hr Winter MVA]]</f>
        <v>-</v>
      </c>
      <c r="AX40" s="9" t="str">
        <f>STU[[#This Row],[24 Hr Summer MVA]]</f>
        <v>-</v>
      </c>
      <c r="AY40" s="9">
        <f>STU[[#This Row],[Forwards MVA]]</f>
        <v>5.8186514829468861</v>
      </c>
      <c r="AZ40" s="9" t="str">
        <f>STU[[#This Row],[Relay MVA]]</f>
        <v>-</v>
      </c>
      <c r="BA40" s="9">
        <f>STU[[#This Row],[CT MVA]]</f>
        <v>11.637302965893772</v>
      </c>
      <c r="BB40" s="9" t="str">
        <f>STU[[#This Row],[Derating MVA]]</f>
        <v>-</v>
      </c>
      <c r="BC40" s="9" t="str">
        <f>STU[[#This Row],[Station/Feeder]]&amp;STU[[#This Row],[Lowest MVA]]</f>
        <v>CB9_Morven5.81865148294689</v>
      </c>
      <c r="BD40" s="9" t="str">
        <f>CONCATENATE(STU[[#This Row],[Supply Level]],STU[[#This Row],[Station/Feeder]],STU[[#This Row],[Voltage]],STU[[#This Row],[Lowest A-No PTX]])</f>
        <v>DistributionFeederCB9_Morven11.198300</v>
      </c>
      <c r="BE40" s="9" t="str">
        <f>CONCATENATE(STU[[#This Row],[Supply Level]],STU[[#This Row],[Station/Feeder]],STU[[#This Row],[Voltage]],STU[[#This Row],[Lowest A-PTX]])</f>
        <v>DistributionFeederCB9_Morven11.198300</v>
      </c>
      <c r="BF40" s="9">
        <f>IF(MIN(STU[[#This Row],[Summ Cont Winter A]:[Cable Derating]])=0,"",MIN(STU[[#This Row],[Summ Cont Winter A]:[Cable Derating]]))</f>
        <v>5.8186514829468861</v>
      </c>
      <c r="BG40" s="9">
        <f>IFERROR(STU[[#This Row],[Lowest MVA]]*1000/(STU[[#This Row],[Voltage]]*SQRT(3)),"")</f>
        <v>300</v>
      </c>
      <c r="BH40" s="9">
        <f t="shared" si="10"/>
        <v>300</v>
      </c>
      <c r="BI40" s="9" t="str">
        <f>STU[[#This Row],[From]]</f>
        <v>11 kV Bus</v>
      </c>
      <c r="BJ40" s="9" t="str">
        <f>STU[[#This Row],[To]]</f>
        <v>STD-9</v>
      </c>
      <c r="BK40" s="9" t="str">
        <f>IF(STU[[#This Row],[Device type]]="-",STU[[#This Row],[Equipment Type]]&amp;"-"&amp;STU[[#This Row],[Equipment ID]],STU[[#This Row],[Equipment Type]]&amp;"-"&amp;STU[[#This Row],[Equipment ID]]&amp;"-"&amp;STU[[#This Row],[Device type]])</f>
        <v>Circuit Breaker-STU-CB9-Protection</v>
      </c>
      <c r="BL40" s="9">
        <f>STU[[#This Row],[Voltage]]</f>
        <v>11.198</v>
      </c>
    </row>
    <row r="41" spans="1:64" ht="15.75" thickBot="1" x14ac:dyDescent="0.3">
      <c r="A41" s="191" t="str">
        <f>CONCATENATE(STU[[#This Row],[Supply Level]],STU[[#This Row],[Station/Feeder]],STU[[#This Row],[Voltage]])</f>
        <v>DistributionFeederCB9_Morven11.198</v>
      </c>
      <c r="B41" s="191" t="str">
        <f>CONCATENATE(STU[[#This Row],[Supply Level]],STU[[#This Row],[Station/Feeder]],STU[[#This Row],[Equipment ID]],STU[[#This Row],[Voltage]],STU[[#This Row],[Device type]])</f>
        <v>DistributionFeederCB9_Morven3c-300mm² AL XLPE HDPE11.198-</v>
      </c>
      <c r="C41" s="191" t="s">
        <v>1276</v>
      </c>
      <c r="D41" s="192" t="s">
        <v>139</v>
      </c>
      <c r="E41" s="191" t="s">
        <v>1397</v>
      </c>
      <c r="F41" s="191" t="s">
        <v>789</v>
      </c>
      <c r="G41" s="200">
        <v>4</v>
      </c>
      <c r="H41" s="193" t="s">
        <v>273</v>
      </c>
      <c r="I41" s="193" t="s">
        <v>768</v>
      </c>
      <c r="J41" s="193" t="s">
        <v>250</v>
      </c>
      <c r="K41" s="193" t="s">
        <v>0</v>
      </c>
      <c r="L41" s="193" t="s">
        <v>0</v>
      </c>
      <c r="M41" s="201">
        <f t="shared" si="13"/>
        <v>11.198</v>
      </c>
      <c r="N41" s="201">
        <v>476</v>
      </c>
      <c r="O41" s="155">
        <f t="shared" si="0"/>
        <v>9.2322603529423937</v>
      </c>
      <c r="P41" s="201">
        <v>476</v>
      </c>
      <c r="Q41" s="155">
        <f t="shared" si="1"/>
        <v>9.2322603529423937</v>
      </c>
      <c r="R41" s="155">
        <v>476</v>
      </c>
      <c r="S41" s="155">
        <f t="shared" si="2"/>
        <v>9.2322603529423937</v>
      </c>
      <c r="T41" s="155" t="s">
        <v>0</v>
      </c>
      <c r="U41" s="155" t="str">
        <f t="shared" si="3"/>
        <v>-</v>
      </c>
      <c r="V41" s="201" t="s">
        <v>0</v>
      </c>
      <c r="W41" s="155" t="str">
        <f t="shared" si="4"/>
        <v>-</v>
      </c>
      <c r="X41" s="155" t="s">
        <v>0</v>
      </c>
      <c r="Y41" s="155" t="str">
        <f t="shared" si="5"/>
        <v>-</v>
      </c>
      <c r="Z41" s="155" t="s">
        <v>0</v>
      </c>
      <c r="AA41" s="155" t="str">
        <f t="shared" si="6"/>
        <v>-</v>
      </c>
      <c r="AB41" s="155" t="s">
        <v>0</v>
      </c>
      <c r="AC41" s="155" t="str">
        <f t="shared" si="7"/>
        <v>-</v>
      </c>
      <c r="AD41" s="155" t="s">
        <v>0</v>
      </c>
      <c r="AE41" s="195" t="str">
        <f t="shared" si="8"/>
        <v>-</v>
      </c>
      <c r="AF41" s="185" t="s">
        <v>716</v>
      </c>
      <c r="AG41" s="185" t="s">
        <v>0</v>
      </c>
      <c r="AH41" s="201">
        <v>72.099999999999994</v>
      </c>
      <c r="AI41" s="185">
        <v>1</v>
      </c>
      <c r="AJ41" s="199">
        <v>0.98</v>
      </c>
      <c r="AK41" s="185">
        <v>20</v>
      </c>
      <c r="AL41" s="199">
        <v>0.97</v>
      </c>
      <c r="AM41" s="185">
        <v>1.2</v>
      </c>
      <c r="AN41" s="199">
        <v>1</v>
      </c>
      <c r="AO41" s="185">
        <v>6</v>
      </c>
      <c r="AP41" s="185">
        <v>0.5</v>
      </c>
      <c r="AQ41" s="199">
        <v>0.78</v>
      </c>
      <c r="AR41" s="155">
        <f>IFERROR(IF(STU[[#This Row],[Equipment Type]]="Cable",MAX(STU[[#This Row],[Cont Winter A]],STU[[#This Row],[Cont Shoulder A]],STU[[#This Row],[Cont Summer A]])*(STU[[#This Row],[Depth Factor]]*STU[[#This Row],[Soil Temp Factor]]*STU[[#This Row],[Soil TR Factor]]*STU[[#This Row],[Mutual Heat Factor]]),"-"),"-")</f>
        <v>352.93876799999998</v>
      </c>
      <c r="AS41" s="155">
        <f t="shared" si="9"/>
        <v>6.8454256193754901</v>
      </c>
      <c r="AT41" s="155">
        <f>IF(RIGHT(STU[[#This Row],[Device type]],7)="Winding","-",STU[[#This Row],[Cont Winter MVA]])</f>
        <v>9.2322603529423937</v>
      </c>
      <c r="AU41" s="155">
        <f>IF(RIGHT(STU[[#This Row],[Device type]],7)="Winding","-",STU[[#This Row],[Cont Shoulder MVA]])</f>
        <v>9.2322603529423937</v>
      </c>
      <c r="AV41" s="155">
        <f>IF(RIGHT(STU[[#This Row],[Device type]],7)="Winding","-",STU[[#This Row],[Cont Summer MVA]])</f>
        <v>9.2322603529423937</v>
      </c>
      <c r="AW41" s="155" t="str">
        <f>STU[[#This Row],[24 Hr Winter MVA]]</f>
        <v>-</v>
      </c>
      <c r="AX41" s="155" t="str">
        <f>STU[[#This Row],[24 Hr Summer MVA]]</f>
        <v>-</v>
      </c>
      <c r="AY41" s="155" t="str">
        <f>STU[[#This Row],[Forwards MVA]]</f>
        <v>-</v>
      </c>
      <c r="AZ41" s="155" t="str">
        <f>STU[[#This Row],[Relay MVA]]</f>
        <v>-</v>
      </c>
      <c r="BA41" s="155" t="str">
        <f>STU[[#This Row],[CT MVA]]</f>
        <v>-</v>
      </c>
      <c r="BB41" s="155">
        <f>STU[[#This Row],[Derating MVA]]</f>
        <v>6.8454256193754901</v>
      </c>
      <c r="BC41" s="155" t="str">
        <f>STU[[#This Row],[Station/Feeder]]&amp;STU[[#This Row],[Lowest MVA]]</f>
        <v>CB9_Morven6.84542561937549</v>
      </c>
      <c r="BD41" s="155" t="str">
        <f>CONCATENATE(STU[[#This Row],[Supply Level]],STU[[#This Row],[Station/Feeder]],STU[[#This Row],[Voltage]],STU[[#This Row],[Lowest A-No PTX]])</f>
        <v>DistributionFeederCB9_Morven11.198352.938768</v>
      </c>
      <c r="BE41" s="155" t="str">
        <f>CONCATENATE(STU[[#This Row],[Supply Level]],STU[[#This Row],[Station/Feeder]],STU[[#This Row],[Voltage]],STU[[#This Row],[Lowest A-PTX]])</f>
        <v>DistributionFeederCB9_Morven11.198352.938768</v>
      </c>
      <c r="BF41" s="155">
        <f>IF(MIN(STU[[#This Row],[Summ Cont Winter A]:[Cable Derating]])=0,"",MIN(STU[[#This Row],[Summ Cont Winter A]:[Cable Derating]]))</f>
        <v>6.8454256193754901</v>
      </c>
      <c r="BG41" s="155">
        <f>IFERROR(STU[[#This Row],[Lowest MVA]]*1000/(STU[[#This Row],[Voltage]]*SQRT(3)),"")</f>
        <v>352.93876800000004</v>
      </c>
      <c r="BH41" s="155">
        <f t="shared" si="10"/>
        <v>352.93876799999998</v>
      </c>
      <c r="BI41" s="155" t="str">
        <f>STU[[#This Row],[From]]</f>
        <v>STU-9</v>
      </c>
      <c r="BJ41" s="155" t="str">
        <f>STU[[#This Row],[To]]</f>
        <v>Pole 31989</v>
      </c>
      <c r="BK41" s="155" t="str">
        <f>IF(STU[[#This Row],[Device type]]="-",STU[[#This Row],[Equipment Type]]&amp;"-"&amp;STU[[#This Row],[Equipment ID]],STU[[#This Row],[Equipment Type]]&amp;"-"&amp;STU[[#This Row],[Equipment ID]]&amp;"-"&amp;STU[[#This Row],[Device type]])</f>
        <v>Cable-3c-300mm² AL XLPE HDPE</v>
      </c>
      <c r="BL41" s="155">
        <f>STU[[#This Row],[Voltage]]</f>
        <v>11.198</v>
      </c>
    </row>
    <row r="42" spans="1:64" x14ac:dyDescent="0.25">
      <c r="C42" s="120"/>
      <c r="D42" s="120"/>
      <c r="E42" s="149"/>
      <c r="F42" s="149"/>
      <c r="G42" s="150"/>
      <c r="H42" s="126"/>
      <c r="I42" s="149"/>
      <c r="J42" s="149"/>
      <c r="K42" s="149"/>
      <c r="L42" s="149"/>
      <c r="M42" s="151"/>
      <c r="N42" s="151" t="s">
        <v>0</v>
      </c>
      <c r="O42" s="126">
        <f>SUBTOTAL(105,STU[Cont Winter MVA])</f>
        <v>6.3617256213552622</v>
      </c>
      <c r="P42" s="151" t="s">
        <v>0</v>
      </c>
      <c r="Q42" s="126">
        <f>SUBTOTAL(105,STU[Cont Winter MVA])</f>
        <v>6.3617256213552622</v>
      </c>
      <c r="R42" s="126" t="s">
        <v>0</v>
      </c>
      <c r="S42" s="126">
        <f>SUBTOTAL(105,STU[Cont Winter MVA])</f>
        <v>6.3617256213552622</v>
      </c>
      <c r="T42" s="151" t="s">
        <v>0</v>
      </c>
      <c r="U42" s="126">
        <f>SUBTOTAL(105,STU[24 Hr Winter MVA])</f>
        <v>11.812586507619743</v>
      </c>
      <c r="V42" s="151" t="s">
        <v>0</v>
      </c>
      <c r="W42" s="126">
        <f>SUBTOTAL(105,STU[24 Hr Summer MVA])</f>
        <v>11.43153532995459</v>
      </c>
      <c r="X42" s="151" t="s">
        <v>0</v>
      </c>
      <c r="Y42" s="126">
        <f>SUBTOTAL(105,STU[Forwards MVA])</f>
        <v>5.8186514829468861</v>
      </c>
      <c r="Z42" s="151" t="s">
        <v>0</v>
      </c>
      <c r="AA42" s="126">
        <f>SUBTOTAL(105,STU[Reverse MVA])</f>
        <v>15.962500568217623</v>
      </c>
      <c r="AB42" s="151" t="s">
        <v>0</v>
      </c>
      <c r="AC42" s="126">
        <f>SUBTOTAL(105,STU[Relay MVA])</f>
        <v>69.823817795362643</v>
      </c>
      <c r="AD42" s="151" t="s">
        <v>0</v>
      </c>
      <c r="AE42" s="152">
        <f>SUBTOTAL(105,STU[CT MVA])</f>
        <v>11.637302965893772</v>
      </c>
      <c r="AF42" t="s">
        <v>0</v>
      </c>
      <c r="AG42" t="s">
        <v>0</v>
      </c>
      <c r="AH42" s="126" t="s">
        <v>0</v>
      </c>
      <c r="AI42" t="s">
        <v>0</v>
      </c>
      <c r="AJ42" s="153" t="s">
        <v>0</v>
      </c>
      <c r="AK42" t="s">
        <v>0</v>
      </c>
      <c r="AL42" s="153" t="s">
        <v>0</v>
      </c>
      <c r="AM42" t="s">
        <v>0</v>
      </c>
      <c r="AN42" s="153" t="s">
        <v>0</v>
      </c>
      <c r="AO42" t="s">
        <v>0</v>
      </c>
      <c r="AP42" t="s">
        <v>0</v>
      </c>
      <c r="AQ42" s="153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F42" t="s">
        <v>0</v>
      </c>
      <c r="BG42" t="s">
        <v>0</v>
      </c>
      <c r="BI42" t="s">
        <v>0</v>
      </c>
      <c r="BJ42" t="s">
        <v>0</v>
      </c>
      <c r="BK42" t="s">
        <v>0</v>
      </c>
      <c r="BL42" t="s">
        <v>0</v>
      </c>
    </row>
  </sheetData>
  <mergeCells count="32">
    <mergeCell ref="AF1:AS1"/>
    <mergeCell ref="E1:H1"/>
    <mergeCell ref="I1:J1"/>
    <mergeCell ref="K1:L1"/>
    <mergeCell ref="N1:S1"/>
    <mergeCell ref="T1:W1"/>
    <mergeCell ref="X1:AE1"/>
    <mergeCell ref="AR2:AS2"/>
    <mergeCell ref="H2:H3"/>
    <mergeCell ref="N2:O2"/>
    <mergeCell ref="P2:Q2"/>
    <mergeCell ref="R2:S2"/>
    <mergeCell ref="T2:U2"/>
    <mergeCell ref="V2:W2"/>
    <mergeCell ref="X2:Y2"/>
    <mergeCell ref="Z2:AA2"/>
    <mergeCell ref="AB2:AC2"/>
    <mergeCell ref="AD2:AE2"/>
    <mergeCell ref="AI2:AJ2"/>
    <mergeCell ref="AK2:AL2"/>
    <mergeCell ref="AM2:AN2"/>
    <mergeCell ref="AO2:AQ2"/>
    <mergeCell ref="AT1:BL1"/>
    <mergeCell ref="AT2:AV2"/>
    <mergeCell ref="AW2:AX2"/>
    <mergeCell ref="AY2:BA2"/>
    <mergeCell ref="BB2:BB3"/>
    <mergeCell ref="BI2:BI3"/>
    <mergeCell ref="BJ2:BJ3"/>
    <mergeCell ref="BK2:BK3"/>
    <mergeCell ref="BL2:BL3"/>
    <mergeCell ref="BF2:BH2"/>
  </mergeCells>
  <pageMargins left="0.7" right="0.7" top="0.75" bottom="0.75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800-000000000000}">
          <x14:formula1>
            <xm:f>'Dropdown List'!$A$2:$A$8</xm:f>
          </x14:formula1>
          <xm:sqref>C5:C41</xm:sqref>
        </x14:dataValidation>
        <x14:dataValidation type="list" allowBlank="1" showInputMessage="1" showErrorMessage="1" xr:uid="{00000000-0002-0000-0800-000001000000}">
          <x14:formula1>
            <xm:f>'Dropdown List'!$C$27:$C$34</xm:f>
          </x14:formula1>
          <xm:sqref>D5:D41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BL428"/>
  <sheetViews>
    <sheetView showGridLines="0" zoomScaleNormal="100" workbookViewId="0">
      <pane xSplit="13" ySplit="4" topLeftCell="N315" activePane="bottomRight" state="frozen"/>
      <selection pane="topRight" activeCell="N1" sqref="N1"/>
      <selection pane="bottomLeft" activeCell="A5" sqref="A5"/>
      <selection pane="bottomRight" activeCell="V378" sqref="V378"/>
    </sheetView>
  </sheetViews>
  <sheetFormatPr defaultRowHeight="15" x14ac:dyDescent="0.25"/>
  <cols>
    <col min="1" max="1" width="53" hidden="1" customWidth="1"/>
    <col min="2" max="2" width="14.42578125" hidden="1" customWidth="1"/>
    <col min="3" max="3" width="18.140625" bestFit="1" customWidth="1"/>
    <col min="4" max="4" width="27.5703125" bestFit="1" customWidth="1"/>
    <col min="5" max="5" width="15.5703125" bestFit="1" customWidth="1"/>
    <col min="6" max="6" width="15.7109375" bestFit="1" customWidth="1"/>
    <col min="7" max="7" width="9.42578125" bestFit="1" customWidth="1"/>
    <col min="8" max="8" width="46.7109375" customWidth="1"/>
    <col min="9" max="9" width="40.140625" bestFit="1" customWidth="1"/>
    <col min="10" max="10" width="16.42578125" bestFit="1" customWidth="1"/>
    <col min="11" max="11" width="25.7109375" bestFit="1" customWidth="1"/>
    <col min="12" max="12" width="19.28515625" bestFit="1" customWidth="1"/>
    <col min="13" max="13" width="10.7109375" bestFit="1" customWidth="1"/>
    <col min="14" max="14" width="15" bestFit="1" customWidth="1"/>
    <col min="15" max="15" width="17.42578125" bestFit="1" customWidth="1"/>
    <col min="16" max="16" width="16.28515625" bestFit="1" customWidth="1"/>
    <col min="17" max="17" width="18.85546875" bestFit="1" customWidth="1"/>
    <col min="18" max="18" width="15.85546875" bestFit="1" customWidth="1"/>
    <col min="19" max="19" width="18.42578125" bestFit="1" customWidth="1"/>
    <col min="20" max="20" width="15.42578125" bestFit="1" customWidth="1"/>
    <col min="21" max="21" width="18" bestFit="1" customWidth="1"/>
    <col min="22" max="22" width="16.28515625" bestFit="1" customWidth="1"/>
    <col min="23" max="23" width="18.85546875" bestFit="1" customWidth="1"/>
    <col min="24" max="24" width="12.28515625" bestFit="1" customWidth="1"/>
    <col min="25" max="25" width="15.28515625" bestFit="1" customWidth="1"/>
    <col min="26" max="26" width="12.140625" bestFit="1" customWidth="1"/>
    <col min="27" max="27" width="14.5703125" bestFit="1" customWidth="1"/>
    <col min="28" max="28" width="10.42578125" bestFit="1" customWidth="1"/>
    <col min="29" max="29" width="12.85546875" bestFit="1" customWidth="1"/>
    <col min="30" max="30" width="8.42578125" bestFit="1" customWidth="1"/>
    <col min="31" max="31" width="10.85546875" bestFit="1" customWidth="1"/>
    <col min="32" max="32" width="8.7109375" bestFit="1" customWidth="1"/>
    <col min="33" max="33" width="10.28515625" bestFit="1" customWidth="1"/>
    <col min="34" max="35" width="11.28515625" bestFit="1" customWidth="1"/>
    <col min="36" max="36" width="14.140625" bestFit="1" customWidth="1"/>
    <col min="37" max="37" width="13.140625" bestFit="1" customWidth="1"/>
    <col min="38" max="38" width="16.42578125" bestFit="1" customWidth="1"/>
    <col min="39" max="39" width="15.42578125" bestFit="1" customWidth="1"/>
    <col min="40" max="40" width="14.28515625" bestFit="1" customWidth="1"/>
    <col min="41" max="41" width="8.28515625" bestFit="1" customWidth="1"/>
    <col min="42" max="42" width="11.28515625" bestFit="1" customWidth="1"/>
    <col min="43" max="43" width="18.42578125" bestFit="1" customWidth="1"/>
    <col min="44" max="44" width="12.5703125" bestFit="1" customWidth="1"/>
    <col min="45" max="45" width="15" bestFit="1" customWidth="1"/>
    <col min="46" max="46" width="19.5703125" bestFit="1" customWidth="1"/>
    <col min="47" max="47" width="23.42578125" bestFit="1" customWidth="1"/>
    <col min="48" max="48" width="20.42578125" bestFit="1" customWidth="1"/>
    <col min="49" max="49" width="19.28515625" bestFit="1" customWidth="1"/>
    <col min="50" max="50" width="20.140625" bestFit="1" customWidth="1"/>
    <col min="51" max="51" width="16.7109375" bestFit="1" customWidth="1"/>
    <col min="52" max="52" width="16.5703125" bestFit="1" customWidth="1"/>
    <col min="53" max="53" width="12.85546875" bestFit="1" customWidth="1"/>
    <col min="54" max="54" width="15.28515625" bestFit="1" customWidth="1"/>
    <col min="55" max="57" width="43.7109375" hidden="1" customWidth="1"/>
    <col min="58" max="58" width="14" bestFit="1" customWidth="1"/>
    <col min="59" max="59" width="11.5703125" bestFit="1" customWidth="1"/>
    <col min="60" max="60" width="11.5703125" customWidth="1"/>
    <col min="61" max="61" width="15.5703125" bestFit="1" customWidth="1"/>
    <col min="62" max="62" width="15.7109375" bestFit="1" customWidth="1"/>
    <col min="63" max="63" width="50.42578125" hidden="1" customWidth="1"/>
    <col min="64" max="64" width="15.140625" bestFit="1" customWidth="1"/>
  </cols>
  <sheetData>
    <row r="1" spans="1:64" ht="15" customHeight="1" thickBot="1" x14ac:dyDescent="0.3">
      <c r="A1" s="18" t="s">
        <v>2398</v>
      </c>
      <c r="B1" s="18" t="s">
        <v>2398</v>
      </c>
      <c r="C1" s="18" t="s">
        <v>51</v>
      </c>
      <c r="D1" s="18" t="s">
        <v>73</v>
      </c>
      <c r="E1" s="605" t="s">
        <v>237</v>
      </c>
      <c r="F1" s="607"/>
      <c r="G1" s="607"/>
      <c r="H1" s="606"/>
      <c r="I1" s="605" t="s">
        <v>6</v>
      </c>
      <c r="J1" s="606"/>
      <c r="K1" s="605" t="s">
        <v>29</v>
      </c>
      <c r="L1" s="606"/>
      <c r="M1" s="18" t="s">
        <v>40</v>
      </c>
      <c r="N1" s="605" t="s">
        <v>263</v>
      </c>
      <c r="O1" s="607"/>
      <c r="P1" s="607"/>
      <c r="Q1" s="607"/>
      <c r="R1" s="607"/>
      <c r="S1" s="606"/>
      <c r="T1" s="605" t="s">
        <v>14</v>
      </c>
      <c r="U1" s="607"/>
      <c r="V1" s="607"/>
      <c r="W1" s="606"/>
      <c r="X1" s="605" t="s">
        <v>35</v>
      </c>
      <c r="Y1" s="607"/>
      <c r="Z1" s="607"/>
      <c r="AA1" s="607"/>
      <c r="AB1" s="607"/>
      <c r="AC1" s="607"/>
      <c r="AD1" s="607"/>
      <c r="AE1" s="606"/>
      <c r="AF1" s="605" t="s">
        <v>251</v>
      </c>
      <c r="AG1" s="607"/>
      <c r="AH1" s="607"/>
      <c r="AI1" s="607"/>
      <c r="AJ1" s="607"/>
      <c r="AK1" s="607"/>
      <c r="AL1" s="607"/>
      <c r="AM1" s="607"/>
      <c r="AN1" s="607"/>
      <c r="AO1" s="607"/>
      <c r="AP1" s="607"/>
      <c r="AQ1" s="607"/>
      <c r="AR1" s="607"/>
      <c r="AS1" s="606"/>
      <c r="AT1" s="605" t="s">
        <v>293</v>
      </c>
      <c r="AU1" s="607"/>
      <c r="AV1" s="607"/>
      <c r="AW1" s="607"/>
      <c r="AX1" s="607"/>
      <c r="AY1" s="607"/>
      <c r="AZ1" s="607"/>
      <c r="BA1" s="607"/>
      <c r="BB1" s="607"/>
      <c r="BC1" s="607"/>
      <c r="BD1" s="607"/>
      <c r="BE1" s="607"/>
      <c r="BF1" s="607"/>
      <c r="BG1" s="607"/>
      <c r="BH1" s="607"/>
      <c r="BI1" s="607"/>
      <c r="BJ1" s="607"/>
      <c r="BK1" s="607"/>
      <c r="BL1" s="606"/>
    </row>
    <row r="2" spans="1:64" ht="18" customHeight="1" thickBot="1" x14ac:dyDescent="0.3">
      <c r="A2" s="19" t="s">
        <v>2396</v>
      </c>
      <c r="B2" s="19" t="s">
        <v>1423</v>
      </c>
      <c r="C2" s="19" t="s">
        <v>3</v>
      </c>
      <c r="D2" s="19" t="s">
        <v>1276</v>
      </c>
      <c r="E2" s="19" t="s">
        <v>1</v>
      </c>
      <c r="F2" s="19" t="s">
        <v>2</v>
      </c>
      <c r="G2" s="19" t="s">
        <v>238</v>
      </c>
      <c r="H2" s="611" t="s">
        <v>692</v>
      </c>
      <c r="I2" s="19" t="s">
        <v>21</v>
      </c>
      <c r="J2" s="19" t="s">
        <v>22</v>
      </c>
      <c r="K2" s="19" t="s">
        <v>693</v>
      </c>
      <c r="L2" s="19" t="s">
        <v>694</v>
      </c>
      <c r="M2" s="19" t="s">
        <v>41</v>
      </c>
      <c r="N2" s="613" t="s">
        <v>39</v>
      </c>
      <c r="O2" s="614"/>
      <c r="P2" s="613" t="s">
        <v>65</v>
      </c>
      <c r="Q2" s="614"/>
      <c r="R2" s="613" t="s">
        <v>38</v>
      </c>
      <c r="S2" s="614"/>
      <c r="T2" s="605" t="s">
        <v>39</v>
      </c>
      <c r="U2" s="606"/>
      <c r="V2" s="605" t="s">
        <v>38</v>
      </c>
      <c r="W2" s="606"/>
      <c r="X2" s="605" t="s">
        <v>30</v>
      </c>
      <c r="Y2" s="606"/>
      <c r="Z2" s="605" t="s">
        <v>31</v>
      </c>
      <c r="AA2" s="606"/>
      <c r="AB2" s="605" t="s">
        <v>32</v>
      </c>
      <c r="AC2" s="606"/>
      <c r="AD2" s="605" t="s">
        <v>33</v>
      </c>
      <c r="AE2" s="606"/>
      <c r="AF2" s="34" t="s">
        <v>259</v>
      </c>
      <c r="AG2" s="34" t="s">
        <v>253</v>
      </c>
      <c r="AH2" s="25" t="s">
        <v>71</v>
      </c>
      <c r="AI2" s="613" t="s">
        <v>252</v>
      </c>
      <c r="AJ2" s="614"/>
      <c r="AK2" s="613" t="s">
        <v>254</v>
      </c>
      <c r="AL2" s="614"/>
      <c r="AM2" s="613" t="s">
        <v>695</v>
      </c>
      <c r="AN2" s="614"/>
      <c r="AO2" s="613" t="s">
        <v>257</v>
      </c>
      <c r="AP2" s="615"/>
      <c r="AQ2" s="614"/>
      <c r="AR2" s="605" t="s">
        <v>262</v>
      </c>
      <c r="AS2" s="606"/>
      <c r="AT2" s="605" t="s">
        <v>263</v>
      </c>
      <c r="AU2" s="607"/>
      <c r="AV2" s="606"/>
      <c r="AW2" s="605" t="s">
        <v>299</v>
      </c>
      <c r="AX2" s="606"/>
      <c r="AY2" s="605" t="s">
        <v>35</v>
      </c>
      <c r="AZ2" s="607"/>
      <c r="BA2" s="606"/>
      <c r="BB2" s="603" t="s">
        <v>294</v>
      </c>
      <c r="BC2" s="114" t="s">
        <v>21</v>
      </c>
      <c r="BD2" s="360" t="s">
        <v>2397</v>
      </c>
      <c r="BE2" s="360" t="s">
        <v>2397</v>
      </c>
      <c r="BF2" s="608" t="s">
        <v>1282</v>
      </c>
      <c r="BG2" s="609"/>
      <c r="BH2" s="610"/>
      <c r="BI2" s="603" t="s">
        <v>1</v>
      </c>
      <c r="BJ2" s="603" t="s">
        <v>2</v>
      </c>
      <c r="BK2" s="603" t="s">
        <v>6</v>
      </c>
      <c r="BL2" s="603" t="s">
        <v>298</v>
      </c>
    </row>
    <row r="3" spans="1:64" ht="15.75" thickBot="1" x14ac:dyDescent="0.3">
      <c r="A3" s="359" t="s">
        <v>2395</v>
      </c>
      <c r="B3" s="359" t="s">
        <v>2395</v>
      </c>
      <c r="C3" s="117"/>
      <c r="D3" s="117"/>
      <c r="E3" s="117"/>
      <c r="F3" s="117"/>
      <c r="G3" s="117"/>
      <c r="H3" s="612"/>
      <c r="I3" s="117"/>
      <c r="J3" s="117"/>
      <c r="K3" s="117"/>
      <c r="L3" s="117"/>
      <c r="M3" s="19" t="s">
        <v>27</v>
      </c>
      <c r="N3" s="19" t="s">
        <v>26</v>
      </c>
      <c r="O3" s="19" t="s">
        <v>28</v>
      </c>
      <c r="P3" s="19" t="s">
        <v>26</v>
      </c>
      <c r="Q3" s="19" t="s">
        <v>28</v>
      </c>
      <c r="R3" s="19" t="s">
        <v>26</v>
      </c>
      <c r="S3" s="19" t="s">
        <v>28</v>
      </c>
      <c r="T3" s="19" t="s">
        <v>26</v>
      </c>
      <c r="U3" s="19" t="s">
        <v>28</v>
      </c>
      <c r="V3" s="19" t="s">
        <v>26</v>
      </c>
      <c r="W3" s="19" t="s">
        <v>28</v>
      </c>
      <c r="X3" s="19" t="s">
        <v>26</v>
      </c>
      <c r="Y3" s="19" t="s">
        <v>28</v>
      </c>
      <c r="Z3" s="19" t="s">
        <v>26</v>
      </c>
      <c r="AA3" s="19" t="s">
        <v>28</v>
      </c>
      <c r="AB3" s="19" t="s">
        <v>26</v>
      </c>
      <c r="AC3" s="19" t="s">
        <v>28</v>
      </c>
      <c r="AD3" s="19" t="s">
        <v>26</v>
      </c>
      <c r="AE3" s="19" t="s">
        <v>28</v>
      </c>
      <c r="AF3" s="117" t="s">
        <v>260</v>
      </c>
      <c r="AG3" s="117" t="s">
        <v>26</v>
      </c>
      <c r="AH3" s="21" t="s">
        <v>72</v>
      </c>
      <c r="AI3" s="117" t="s">
        <v>72</v>
      </c>
      <c r="AJ3" s="30" t="s">
        <v>264</v>
      </c>
      <c r="AK3" s="117" t="s">
        <v>255</v>
      </c>
      <c r="AL3" s="30" t="s">
        <v>264</v>
      </c>
      <c r="AM3" s="117" t="s">
        <v>256</v>
      </c>
      <c r="AN3" s="30" t="s">
        <v>264</v>
      </c>
      <c r="AO3" s="117" t="s">
        <v>261</v>
      </c>
      <c r="AP3" s="117" t="s">
        <v>258</v>
      </c>
      <c r="AQ3" s="30" t="s">
        <v>264</v>
      </c>
      <c r="AR3" s="117" t="s">
        <v>26</v>
      </c>
      <c r="AS3" s="117" t="s">
        <v>28</v>
      </c>
      <c r="AT3" s="116" t="s">
        <v>39</v>
      </c>
      <c r="AU3" s="116" t="s">
        <v>65</v>
      </c>
      <c r="AV3" s="116" t="s">
        <v>38</v>
      </c>
      <c r="AW3" s="113" t="s">
        <v>39</v>
      </c>
      <c r="AX3" s="113" t="s">
        <v>38</v>
      </c>
      <c r="AY3" s="113" t="s">
        <v>30</v>
      </c>
      <c r="AZ3" s="113" t="s">
        <v>295</v>
      </c>
      <c r="BA3" s="113" t="s">
        <v>297</v>
      </c>
      <c r="BB3" s="604"/>
      <c r="BC3" s="115" t="s">
        <v>372</v>
      </c>
      <c r="BD3" s="383" t="s">
        <v>372</v>
      </c>
      <c r="BE3" s="383" t="s">
        <v>372</v>
      </c>
      <c r="BF3" s="371" t="s">
        <v>1280</v>
      </c>
      <c r="BG3" s="371" t="s">
        <v>1281</v>
      </c>
      <c r="BH3" s="371" t="s">
        <v>1281</v>
      </c>
      <c r="BI3" s="604"/>
      <c r="BJ3" s="604"/>
      <c r="BK3" s="604"/>
      <c r="BL3" s="604"/>
    </row>
    <row r="4" spans="1:64" s="60" customFormat="1" ht="15.75" thickBot="1" x14ac:dyDescent="0.3">
      <c r="A4" s="364" t="s">
        <v>2399</v>
      </c>
      <c r="B4" s="364" t="s">
        <v>2400</v>
      </c>
      <c r="C4" s="198" t="s">
        <v>1184</v>
      </c>
      <c r="D4" s="22" t="s">
        <v>1481</v>
      </c>
      <c r="E4" s="37" t="s">
        <v>1</v>
      </c>
      <c r="F4" s="37" t="s">
        <v>2</v>
      </c>
      <c r="G4" s="54" t="s">
        <v>238</v>
      </c>
      <c r="H4" s="23" t="s">
        <v>692</v>
      </c>
      <c r="I4" s="22" t="s">
        <v>1482</v>
      </c>
      <c r="J4" s="22" t="s">
        <v>1428</v>
      </c>
      <c r="K4" s="22" t="s">
        <v>693</v>
      </c>
      <c r="L4" s="37" t="s">
        <v>1483</v>
      </c>
      <c r="M4" s="54" t="s">
        <v>41</v>
      </c>
      <c r="N4" s="23" t="s">
        <v>1484</v>
      </c>
      <c r="O4" s="23" t="s">
        <v>1485</v>
      </c>
      <c r="P4" s="23" t="s">
        <v>1486</v>
      </c>
      <c r="Q4" s="23" t="s">
        <v>1487</v>
      </c>
      <c r="R4" s="23" t="s">
        <v>1488</v>
      </c>
      <c r="S4" s="23" t="s">
        <v>1489</v>
      </c>
      <c r="T4" s="23" t="s">
        <v>1490</v>
      </c>
      <c r="U4" s="23" t="s">
        <v>1491</v>
      </c>
      <c r="V4" s="23" t="s">
        <v>1492</v>
      </c>
      <c r="W4" s="23" t="s">
        <v>1493</v>
      </c>
      <c r="X4" s="23" t="s">
        <v>1494</v>
      </c>
      <c r="Y4" s="23" t="s">
        <v>1495</v>
      </c>
      <c r="Z4" s="23" t="s">
        <v>1496</v>
      </c>
      <c r="AA4" s="23" t="s">
        <v>1497</v>
      </c>
      <c r="AB4" s="23" t="s">
        <v>1498</v>
      </c>
      <c r="AC4" s="23" t="s">
        <v>1499</v>
      </c>
      <c r="AD4" s="23" t="s">
        <v>1500</v>
      </c>
      <c r="AE4" s="23" t="s">
        <v>1501</v>
      </c>
      <c r="AF4" s="23" t="s">
        <v>259</v>
      </c>
      <c r="AG4" s="23" t="s">
        <v>253</v>
      </c>
      <c r="AH4" s="23" t="s">
        <v>71</v>
      </c>
      <c r="AI4" s="23" t="s">
        <v>1502</v>
      </c>
      <c r="AJ4" s="31" t="s">
        <v>1503</v>
      </c>
      <c r="AK4" s="23" t="s">
        <v>1504</v>
      </c>
      <c r="AL4" s="31" t="s">
        <v>1505</v>
      </c>
      <c r="AM4" s="23" t="s">
        <v>1506</v>
      </c>
      <c r="AN4" s="31" t="s">
        <v>1507</v>
      </c>
      <c r="AO4" s="23" t="s">
        <v>1508</v>
      </c>
      <c r="AP4" s="31" t="s">
        <v>1509</v>
      </c>
      <c r="AQ4" s="31" t="s">
        <v>1510</v>
      </c>
      <c r="AR4" s="23" t="s">
        <v>1511</v>
      </c>
      <c r="AS4" s="23" t="s">
        <v>1512</v>
      </c>
      <c r="AT4" s="23" t="s">
        <v>1513</v>
      </c>
      <c r="AU4" s="23" t="s">
        <v>1514</v>
      </c>
      <c r="AV4" s="23" t="s">
        <v>1515</v>
      </c>
      <c r="AW4" s="23" t="s">
        <v>1516</v>
      </c>
      <c r="AX4" s="23" t="s">
        <v>1517</v>
      </c>
      <c r="AY4" s="23" t="s">
        <v>1518</v>
      </c>
      <c r="AZ4" s="23" t="s">
        <v>1519</v>
      </c>
      <c r="BA4" s="23" t="s">
        <v>1520</v>
      </c>
      <c r="BB4" s="23" t="s">
        <v>1521</v>
      </c>
      <c r="BC4" s="23" t="s">
        <v>1522</v>
      </c>
      <c r="BD4" s="23" t="s">
        <v>2652</v>
      </c>
      <c r="BE4" s="23" t="s">
        <v>2653</v>
      </c>
      <c r="BF4" s="23" t="s">
        <v>1523</v>
      </c>
      <c r="BG4" s="54" t="s">
        <v>2602</v>
      </c>
      <c r="BH4" s="54" t="s">
        <v>2603</v>
      </c>
      <c r="BI4" s="23" t="s">
        <v>1524</v>
      </c>
      <c r="BJ4" s="23" t="s">
        <v>1525</v>
      </c>
      <c r="BK4" s="23" t="s">
        <v>1526</v>
      </c>
      <c r="BL4" s="23" t="s">
        <v>1527</v>
      </c>
    </row>
    <row r="5" spans="1:64" ht="15" hidden="1" customHeight="1" x14ac:dyDescent="0.3">
      <c r="A5" s="3" t="str">
        <f>CONCATENATE(TIM[[#This Row],[Supply Level]],TIM[[#This Row],[Station/Feeder]],TIM[[#This Row],[Voltage]],"T3")</f>
        <v>GXPTIM_GXP110T3</v>
      </c>
      <c r="B5" s="3" t="str">
        <f>CONCATENATE(TIM[[#This Row],[Supply Level]],TIM[[#This Row],[Station/Feeder]],TIM[[#This Row],[Equipment ID]],TIM[[#This Row],[Voltage]],TIM[[#This Row],[Device type]])</f>
        <v>GXPTIM_GXPTIM-DS-94110HV Disconnector</v>
      </c>
      <c r="C5" s="3" t="s">
        <v>4</v>
      </c>
      <c r="D5" s="10" t="s">
        <v>75</v>
      </c>
      <c r="E5" s="3" t="s">
        <v>603</v>
      </c>
      <c r="F5" s="3" t="s">
        <v>243</v>
      </c>
      <c r="G5" s="26">
        <v>1</v>
      </c>
      <c r="H5" s="38" t="s">
        <v>795</v>
      </c>
      <c r="I5" s="38" t="s">
        <v>1407</v>
      </c>
      <c r="J5" s="38" t="s">
        <v>17</v>
      </c>
      <c r="K5" s="38" t="s">
        <v>0</v>
      </c>
      <c r="L5" s="38" t="s">
        <v>1406</v>
      </c>
      <c r="M5" s="4">
        <v>110</v>
      </c>
      <c r="N5" s="5">
        <v>800</v>
      </c>
      <c r="O5" s="5">
        <f t="shared" ref="O5:O427" si="0">IF(OR(N5="",N5="-"),"-",N5*$M5*SQRT(3)/1000)</f>
        <v>152.4204710660612</v>
      </c>
      <c r="P5" s="5">
        <v>800</v>
      </c>
      <c r="Q5" s="5">
        <f t="shared" ref="Q5:Q427" si="1">IF(OR(P5="",P5="-"),"-",P5*$M5*SQRT(3)/1000)</f>
        <v>152.4204710660612</v>
      </c>
      <c r="R5" s="5">
        <v>800</v>
      </c>
      <c r="S5" s="5">
        <f t="shared" ref="S5:S427" si="2">IF(OR(R5="",R5="-"),"-",R5*$M5*SQRT(3)/1000)</f>
        <v>152.4204710660612</v>
      </c>
      <c r="T5" s="5" t="s">
        <v>0</v>
      </c>
      <c r="U5" s="5" t="str">
        <f t="shared" ref="U5:U427" si="3">IF(OR(T5="",T5="-"),"-",T5*$M5*SQRT(3)/1000)</f>
        <v>-</v>
      </c>
      <c r="V5" s="5" t="s">
        <v>0</v>
      </c>
      <c r="W5" s="5" t="str">
        <f t="shared" ref="W5:W427" si="4">IF(OR(V5="",V5="-"),"-",V5*$M5*SQRT(3)/1000)</f>
        <v>-</v>
      </c>
      <c r="X5" s="5" t="s">
        <v>0</v>
      </c>
      <c r="Y5" s="5" t="str">
        <f t="shared" ref="Y5:Y427" si="5">IF(OR(X5="",X5="-"),"-",X5*$M5*SQRT(3)/1000)</f>
        <v>-</v>
      </c>
      <c r="Z5" s="5" t="s">
        <v>0</v>
      </c>
      <c r="AA5" s="5" t="str">
        <f t="shared" ref="AA5:AA427" si="6">IF(OR(Z5="",Z5="-"),"-",Z5*$M5*SQRT(3)/1000)</f>
        <v>-</v>
      </c>
      <c r="AB5" s="5" t="s">
        <v>0</v>
      </c>
      <c r="AC5" s="5" t="str">
        <f t="shared" ref="AC5:AC427" si="7">IF(OR(AB5="",AB5="-"),"-",AB5*$M5*SQRT(3)/1000)</f>
        <v>-</v>
      </c>
      <c r="AD5" s="5" t="s">
        <v>0</v>
      </c>
      <c r="AE5" s="5" t="str">
        <f t="shared" ref="AE5:AE427" si="8">IF(OR(AD5="",AD5="-"),"-",AD5*$M5*SQRT(3)/1000)</f>
        <v>-</v>
      </c>
      <c r="AF5" s="5" t="s">
        <v>0</v>
      </c>
      <c r="AG5" s="5" t="s">
        <v>0</v>
      </c>
      <c r="AH5" s="4" t="s">
        <v>0</v>
      </c>
      <c r="AI5" s="5" t="s">
        <v>0</v>
      </c>
      <c r="AJ5" s="139" t="s">
        <v>0</v>
      </c>
      <c r="AK5" s="5" t="s">
        <v>0</v>
      </c>
      <c r="AL5" s="139" t="s">
        <v>0</v>
      </c>
      <c r="AM5" s="5" t="s">
        <v>0</v>
      </c>
      <c r="AN5" s="139" t="s">
        <v>0</v>
      </c>
      <c r="AO5" s="5" t="s">
        <v>0</v>
      </c>
      <c r="AP5" s="5" t="s">
        <v>0</v>
      </c>
      <c r="AQ5" s="139" t="s">
        <v>0</v>
      </c>
      <c r="AR5" s="5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5" s="5" t="str">
        <f t="shared" ref="AS5:AS427" si="9">IF(OR(AR5="",AR5="-"),"-",AR5*$M5*SQRT(3)/1000)</f>
        <v>-</v>
      </c>
      <c r="AT5" s="5">
        <f>IF(RIGHT(TIM[[#This Row],[Device type]],7)="Winding","-",TIM[[#This Row],[Cont Winter MVA]])</f>
        <v>152.4204710660612</v>
      </c>
      <c r="AU5" s="5">
        <f>IF(RIGHT(TIM[[#This Row],[Device type]],7)="Winding","-",TIM[[#This Row],[Cont Shoulder MVA]])</f>
        <v>152.4204710660612</v>
      </c>
      <c r="AV5" s="5">
        <f>IF(RIGHT(TIM[[#This Row],[Device type]],7)="Winding","-",TIM[[#This Row],[Cont Summer MVA]])</f>
        <v>152.4204710660612</v>
      </c>
      <c r="AW5" s="5" t="str">
        <f>TIM[[#This Row],[24 Hr Winter MVA]]</f>
        <v>-</v>
      </c>
      <c r="AX5" s="5" t="str">
        <f>TIM[[#This Row],[24 Hr Summer MVA]]</f>
        <v>-</v>
      </c>
      <c r="AY5" s="5" t="str">
        <f>TIM[[#This Row],[Forwards MVA]]</f>
        <v>-</v>
      </c>
      <c r="AZ5" s="5" t="str">
        <f>TIM[[#This Row],[Relay MVA]]</f>
        <v>-</v>
      </c>
      <c r="BA5" s="5" t="str">
        <f>TIM[[#This Row],[CT MVA]]</f>
        <v>-</v>
      </c>
      <c r="BB5" s="5" t="str">
        <f>TIM[[#This Row],[Derating MVA]]</f>
        <v>-</v>
      </c>
      <c r="BC5" s="5" t="str">
        <f>TIM[[#This Row],[Station/Feeder]]&amp;TIM[[#This Row],[Lowest MVA]]</f>
        <v>TIM_GXP152.420471066061</v>
      </c>
      <c r="BD5" s="29" t="str">
        <f>CONCATENATE(TIM[[#This Row],[Supply Level]],TIM[[#This Row],[Station/Feeder]],TIM[[#This Row],[Voltage]],TIM[[#This Row],[Lowest A-No PTX]])</f>
        <v>GXPTIM_GXP110800</v>
      </c>
      <c r="BE5" s="29" t="str">
        <f>CONCATENATE(TIM[[#This Row],[Supply Level]],TIM[[#This Row],[Station/Feeder]],TIM[[#This Row],[Voltage]],TIM[[#This Row],[Lowest A-PTX]])</f>
        <v>GXPTIM_GXP110800</v>
      </c>
      <c r="BF5" s="5">
        <f>IFERROR(IF(MIN(TIM[[#This Row],[Summ Cont Winter A]:[Cable Derating]])=0,"",MIN(TIM[[#This Row],[Summ Cont Winter A]:[Cable Derating]])),"")</f>
        <v>152.4204710660612</v>
      </c>
      <c r="BG5" s="5">
        <f>IFERROR(TIM[[#This Row],[Lowest MVA]]*1000/(TIM[[#This Row],[Voltage]]*SQRT(3)),"")</f>
        <v>800.00000000000011</v>
      </c>
      <c r="BH5" s="5">
        <f t="shared" ref="BH5:BH71" si="10">IF(MIN(N5,P5,R5,T5,V5,X5,Z5,AB5,AD5,AR5)=0,"",MIN(N5,P5,R5,T5,V5,X5,Z5,AB5,AD5,AR5))</f>
        <v>800</v>
      </c>
      <c r="BI5" s="5" t="str">
        <f>TIM[[#This Row],[From]]</f>
        <v>110 kV Bus</v>
      </c>
      <c r="BJ5" s="5" t="str">
        <f>TIM[[#This Row],[To]]</f>
        <v>11 kV Bus</v>
      </c>
      <c r="BK5" s="5" t="str">
        <f>IF(TIM[[#This Row],[Device type]]="-",TIM[[#This Row],[Equipment Type]]&amp;"-"&amp;TIM[[#This Row],[Equipment ID]],TIM[[#This Row],[Equipment Type]]&amp;"-"&amp;TIM[[#This Row],[Equipment ID]]&amp;"-"&amp;TIM[[#This Row],[Device type]])</f>
        <v>Disconnector-TIM-DS-94-HV Disconnector</v>
      </c>
      <c r="BL5" s="5">
        <f>TIM[[#This Row],[Voltage]]</f>
        <v>110</v>
      </c>
    </row>
    <row r="6" spans="1:64" ht="15" hidden="1" customHeight="1" x14ac:dyDescent="0.3">
      <c r="A6" s="6" t="str">
        <f>CONCATENATE(TIM[[#This Row],[Supply Level]],TIM[[#This Row],[Station/Feeder]],TIM[[#This Row],[Voltage]],"T3")</f>
        <v>GXPTIM_GXP110T3</v>
      </c>
      <c r="B6" s="6" t="str">
        <f>CONCATENATE(TIM[[#This Row],[Supply Level]],TIM[[#This Row],[Station/Feeder]],TIM[[#This Row],[Equipment ID]],TIM[[#This Row],[Voltage]],TIM[[#This Row],[Device type]])</f>
        <v>GXPTIM_GXPTIM-CT-CT92110Current Transformer</v>
      </c>
      <c r="C6" s="6" t="s">
        <v>4</v>
      </c>
      <c r="D6" s="6" t="s">
        <v>75</v>
      </c>
      <c r="E6" s="6" t="s">
        <v>603</v>
      </c>
      <c r="F6" s="6" t="s">
        <v>243</v>
      </c>
      <c r="G6" s="8">
        <v>2</v>
      </c>
      <c r="H6" s="7" t="s">
        <v>795</v>
      </c>
      <c r="I6" s="6" t="s">
        <v>1426</v>
      </c>
      <c r="J6" s="6" t="s">
        <v>1409</v>
      </c>
      <c r="K6" s="6"/>
      <c r="L6" s="6" t="s">
        <v>16</v>
      </c>
      <c r="M6" s="8">
        <v>110</v>
      </c>
      <c r="N6" s="9">
        <v>1250</v>
      </c>
      <c r="O6" s="9">
        <f>IF(OR(N6="",N6="-"),"-",N6*$M6*SQRT(3)/1000)</f>
        <v>238.1569860407206</v>
      </c>
      <c r="P6" s="9">
        <v>1250</v>
      </c>
      <c r="Q6" s="9">
        <f>IF(OR(P6="",P6="-"),"-",P6*$M6*SQRT(3)/1000)</f>
        <v>238.1569860407206</v>
      </c>
      <c r="R6" s="9">
        <v>1250</v>
      </c>
      <c r="S6" s="9">
        <f>IF(OR(R6="",R6="-"),"-",R6*$M6*SQRT(3)/1000)</f>
        <v>238.1569860407206</v>
      </c>
      <c r="T6" s="9">
        <v>1250</v>
      </c>
      <c r="U6" s="9">
        <f>IF(OR(T6="",T6="-"),"-",T6*$M6*SQRT(3)/1000)</f>
        <v>238.1569860407206</v>
      </c>
      <c r="V6" s="9">
        <v>1250</v>
      </c>
      <c r="W6" s="9">
        <f>IF(OR(V6="",V6="-"),"-",V6*$M6*SQRT(3)/1000)</f>
        <v>238.1569860407206</v>
      </c>
      <c r="X6" s="9" t="s">
        <v>0</v>
      </c>
      <c r="Y6" s="9" t="str">
        <f>IF(OR(X6="",X6="-"),"-",X6*$M6*SQRT(3)/1000)</f>
        <v>-</v>
      </c>
      <c r="Z6" s="9" t="s">
        <v>0</v>
      </c>
      <c r="AA6" s="9" t="str">
        <f>IF(OR(Z6="",Z6="-"),"-",Z6*$M6*SQRT(3)/1000)</f>
        <v>-</v>
      </c>
      <c r="AB6" s="9" t="s">
        <v>0</v>
      </c>
      <c r="AC6" s="9" t="str">
        <f>IF(OR(AB6="",AB6="-"),"-",AB6*$M6*SQRT(3)/1000)</f>
        <v>-</v>
      </c>
      <c r="AD6" s="9" t="s">
        <v>0</v>
      </c>
      <c r="AE6" s="9" t="str">
        <f>IF(OR(AD6="",AD6="-"),"-",AD6*$M6*SQRT(3)/1000)</f>
        <v>-</v>
      </c>
      <c r="AF6" s="9" t="s">
        <v>0</v>
      </c>
      <c r="AG6" s="9" t="s">
        <v>0</v>
      </c>
      <c r="AH6" s="9" t="s">
        <v>0</v>
      </c>
      <c r="AI6" s="9" t="s">
        <v>0</v>
      </c>
      <c r="AJ6" s="43" t="s">
        <v>0</v>
      </c>
      <c r="AK6" s="9" t="s">
        <v>0</v>
      </c>
      <c r="AL6" s="43" t="s">
        <v>0</v>
      </c>
      <c r="AM6" s="9" t="s">
        <v>0</v>
      </c>
      <c r="AN6" s="43" t="s">
        <v>0</v>
      </c>
      <c r="AO6" s="9" t="s">
        <v>0</v>
      </c>
      <c r="AP6" s="9" t="s">
        <v>0</v>
      </c>
      <c r="AQ6" s="43" t="s">
        <v>0</v>
      </c>
      <c r="AR6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6" s="9" t="str">
        <f>IF(OR(AR6="",AR6="-"),"-",AR6*$M6*SQRT(3)/1000)</f>
        <v>-</v>
      </c>
      <c r="AT6" s="9">
        <f>IF(RIGHT(TIM[[#This Row],[Device type]],7)="Winding","-",TIM[[#This Row],[Cont Winter MVA]])</f>
        <v>238.1569860407206</v>
      </c>
      <c r="AU6" s="9">
        <f>IF(RIGHT(TIM[[#This Row],[Device type]],7)="Winding","-",TIM[[#This Row],[Cont Shoulder MVA]])</f>
        <v>238.1569860407206</v>
      </c>
      <c r="AV6" s="9">
        <f>IF(RIGHT(TIM[[#This Row],[Device type]],7)="Winding","-",TIM[[#This Row],[Cont Summer MVA]])</f>
        <v>238.1569860407206</v>
      </c>
      <c r="AW6" s="9">
        <f>TIM[[#This Row],[24 Hr Winter MVA]]</f>
        <v>238.1569860407206</v>
      </c>
      <c r="AX6" s="9">
        <f>TIM[[#This Row],[24 Hr Summer MVA]]</f>
        <v>238.1569860407206</v>
      </c>
      <c r="AY6" s="9" t="str">
        <f>TIM[[#This Row],[Forwards MVA]]</f>
        <v>-</v>
      </c>
      <c r="AZ6" s="9" t="str">
        <f>TIM[[#This Row],[Relay MVA]]</f>
        <v>-</v>
      </c>
      <c r="BA6" s="9" t="str">
        <f>TIM[[#This Row],[CT MVA]]</f>
        <v>-</v>
      </c>
      <c r="BB6" s="9" t="str">
        <f>TIM[[#This Row],[Derating MVA]]</f>
        <v>-</v>
      </c>
      <c r="BC6" s="9" t="str">
        <f>TIM[[#This Row],[Station/Feeder]]&amp;TIM[[#This Row],[Lowest MVA]]</f>
        <v>TIM_GXP238.156986040721</v>
      </c>
      <c r="BD6" s="9" t="str">
        <f>CONCATENATE(TIM[[#This Row],[Supply Level]],TIM[[#This Row],[Station/Feeder]],TIM[[#This Row],[Voltage]],TIM[[#This Row],[Lowest A-No PTX]])</f>
        <v>GXPTIM_GXP1101250</v>
      </c>
      <c r="BE6" s="9" t="str">
        <f>CONCATENATE(TIM[[#This Row],[Supply Level]],TIM[[#This Row],[Station/Feeder]],TIM[[#This Row],[Voltage]],TIM[[#This Row],[Lowest A-PTX]])</f>
        <v>GXPTIM_GXP1101250</v>
      </c>
      <c r="BF6" s="9">
        <f>IFERROR(IF(MIN(TIM[[#This Row],[Summ Cont Winter A]:[Cable Derating]])=0,"",MIN(TIM[[#This Row],[Summ Cont Winter A]:[Cable Derating]])),"")</f>
        <v>238.1569860407206</v>
      </c>
      <c r="BG6" s="9">
        <f>IFERROR(TIM[[#This Row],[Lowest MVA]]*1000/(TIM[[#This Row],[Voltage]]*SQRT(3)),"")</f>
        <v>1250</v>
      </c>
      <c r="BH6" s="9">
        <f t="shared" si="10"/>
        <v>1250</v>
      </c>
      <c r="BI6" s="9" t="str">
        <f>TIM[[#This Row],[From]]</f>
        <v>110 kV Bus</v>
      </c>
      <c r="BJ6" s="9" t="str">
        <f>TIM[[#This Row],[To]]</f>
        <v>11 kV Bus</v>
      </c>
      <c r="BK6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Circuit breaker - TIM-CT-CT92 - Current Transformer</v>
      </c>
      <c r="BL6" s="9">
        <f>TIM[[#This Row],[Voltage]]</f>
        <v>110</v>
      </c>
    </row>
    <row r="7" spans="1:64" ht="15" hidden="1" customHeight="1" x14ac:dyDescent="0.3">
      <c r="A7" s="6" t="str">
        <f>CONCATENATE(TIM[[#This Row],[Supply Level]],TIM[[#This Row],[Station/Feeder]],TIM[[#This Row],[Voltage]],"T3")</f>
        <v>GXPTIM_GXP110T3</v>
      </c>
      <c r="B7" s="6" t="str">
        <f>CONCATENATE(TIM[[#This Row],[Supply Level]],TIM[[#This Row],[Station/Feeder]],TIM[[#This Row],[Equipment ID]],TIM[[#This Row],[Voltage]],TIM[[#This Row],[Device type]])</f>
        <v>GXPTIM_GXPTIM-CB92110HV Circuit breaker</v>
      </c>
      <c r="C7" s="6" t="s">
        <v>4</v>
      </c>
      <c r="D7" s="6" t="s">
        <v>75</v>
      </c>
      <c r="E7" s="6" t="s">
        <v>603</v>
      </c>
      <c r="F7" s="6" t="s">
        <v>243</v>
      </c>
      <c r="G7" s="8">
        <v>3</v>
      </c>
      <c r="H7" s="7" t="s">
        <v>795</v>
      </c>
      <c r="I7" s="6" t="s">
        <v>2215</v>
      </c>
      <c r="J7" s="6" t="s">
        <v>1409</v>
      </c>
      <c r="K7" s="6" t="s">
        <v>0</v>
      </c>
      <c r="L7" s="6" t="s">
        <v>1408</v>
      </c>
      <c r="M7" s="8">
        <v>110</v>
      </c>
      <c r="N7" s="9">
        <v>2500</v>
      </c>
      <c r="O7" s="9">
        <f t="shared" ref="O7" si="11">IF(OR(N7="",N7="-"),"-",N7*$M7*SQRT(3)/1000)</f>
        <v>476.31397208144119</v>
      </c>
      <c r="P7" s="9" t="s">
        <v>0</v>
      </c>
      <c r="Q7" s="9" t="str">
        <f t="shared" ref="Q7" si="12">IF(OR(P7="",P7="-"),"-",P7*$M7*SQRT(3)/1000)</f>
        <v>-</v>
      </c>
      <c r="R7" s="9">
        <v>2500</v>
      </c>
      <c r="S7" s="9">
        <f t="shared" ref="S7" si="13">IF(OR(R7="",R7="-"),"-",R7*$M7*SQRT(3)/1000)</f>
        <v>476.31397208144119</v>
      </c>
      <c r="T7" s="9">
        <v>2500</v>
      </c>
      <c r="U7" s="9">
        <f t="shared" ref="U7" si="14">IF(OR(T7="",T7="-"),"-",T7*$M7*SQRT(3)/1000)</f>
        <v>476.31397208144119</v>
      </c>
      <c r="V7" s="9">
        <v>2500</v>
      </c>
      <c r="W7" s="9">
        <f t="shared" ref="W7" si="15">IF(OR(V7="",V7="-"),"-",V7*$M7*SQRT(3)/1000)</f>
        <v>476.31397208144119</v>
      </c>
      <c r="X7" s="9">
        <v>446</v>
      </c>
      <c r="Y7" s="9">
        <f t="shared" ref="Y7" si="16">IF(OR(X7="",X7="-"),"-",X7*$M7*SQRT(3)/1000)</f>
        <v>84.974412619329115</v>
      </c>
      <c r="Z7" s="9">
        <v>446</v>
      </c>
      <c r="AA7" s="9">
        <f t="shared" ref="AA7" si="17">IF(OR(Z7="",Z7="-"),"-",Z7*$M7*SQRT(3)/1000)</f>
        <v>84.974412619329115</v>
      </c>
      <c r="AB7" s="9">
        <v>1200</v>
      </c>
      <c r="AC7" s="9">
        <f t="shared" ref="AC7" si="18">IF(OR(AB7="",AB7="-"),"-",AB7*$M7*SQRT(3)/1000)</f>
        <v>228.63070659909178</v>
      </c>
      <c r="AD7" s="9">
        <v>600</v>
      </c>
      <c r="AE7" s="9">
        <f t="shared" ref="AE7" si="19">IF(OR(AD7="",AD7="-"),"-",AD7*$M7*SQRT(3)/1000)</f>
        <v>114.31535329954589</v>
      </c>
      <c r="AF7" s="9" t="s">
        <v>0</v>
      </c>
      <c r="AG7" s="9" t="s">
        <v>0</v>
      </c>
      <c r="AH7" s="9" t="s">
        <v>0</v>
      </c>
      <c r="AI7" s="9" t="s">
        <v>0</v>
      </c>
      <c r="AJ7" s="43" t="s">
        <v>0</v>
      </c>
      <c r="AK7" s="9" t="s">
        <v>0</v>
      </c>
      <c r="AL7" s="43" t="s">
        <v>0</v>
      </c>
      <c r="AM7" s="9" t="s">
        <v>0</v>
      </c>
      <c r="AN7" s="43" t="s">
        <v>0</v>
      </c>
      <c r="AO7" s="9" t="s">
        <v>0</v>
      </c>
      <c r="AP7" s="9" t="s">
        <v>0</v>
      </c>
      <c r="AQ7" s="43" t="s">
        <v>0</v>
      </c>
      <c r="AR7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7" s="9" t="str">
        <f t="shared" ref="AS7" si="20">IF(OR(AR7="",AR7="-"),"-",AR7*$M7*SQRT(3)/1000)</f>
        <v>-</v>
      </c>
      <c r="AT7" s="9">
        <f>IF(RIGHT(TIM[[#This Row],[Device type]],7)="Winding","-",TIM[[#This Row],[Cont Winter MVA]])</f>
        <v>476.31397208144119</v>
      </c>
      <c r="AU7" s="9" t="str">
        <f>IF(RIGHT(TIM[[#This Row],[Device type]],7)="Winding","-",TIM[[#This Row],[Cont Shoulder MVA]])</f>
        <v>-</v>
      </c>
      <c r="AV7" s="9">
        <f>IF(RIGHT(TIM[[#This Row],[Device type]],7)="Winding","-",TIM[[#This Row],[Cont Summer MVA]])</f>
        <v>476.31397208144119</v>
      </c>
      <c r="AW7" s="9">
        <f>TIM[[#This Row],[24 Hr Winter MVA]]</f>
        <v>476.31397208144119</v>
      </c>
      <c r="AX7" s="9">
        <f>TIM[[#This Row],[24 Hr Summer MVA]]</f>
        <v>476.31397208144119</v>
      </c>
      <c r="AY7" s="9">
        <f>TIM[[#This Row],[Forwards MVA]]</f>
        <v>84.974412619329115</v>
      </c>
      <c r="AZ7" s="9">
        <f>TIM[[#This Row],[Relay MVA]]</f>
        <v>228.63070659909178</v>
      </c>
      <c r="BA7" s="9">
        <f>TIM[[#This Row],[CT MVA]]</f>
        <v>114.31535329954589</v>
      </c>
      <c r="BB7" s="9" t="str">
        <f>TIM[[#This Row],[Derating MVA]]</f>
        <v>-</v>
      </c>
      <c r="BC7" s="9" t="str">
        <f>TIM[[#This Row],[Station/Feeder]]&amp;TIM[[#This Row],[Lowest MVA]]</f>
        <v>TIM_GXP84.9744126193291</v>
      </c>
      <c r="BD7" s="9" t="str">
        <f>CONCATENATE(TIM[[#This Row],[Supply Level]],TIM[[#This Row],[Station/Feeder]],TIM[[#This Row],[Voltage]],TIM[[#This Row],[Lowest A-No PTX]])</f>
        <v>GXPTIM_GXP110446</v>
      </c>
      <c r="BE7" s="9" t="str">
        <f>CONCATENATE(TIM[[#This Row],[Supply Level]],TIM[[#This Row],[Station/Feeder]],TIM[[#This Row],[Voltage]],TIM[[#This Row],[Lowest A-PTX]])</f>
        <v>GXPTIM_GXP110446</v>
      </c>
      <c r="BF7" s="9">
        <f>IFERROR(IF(MIN(TIM[[#This Row],[Summ Cont Winter A]:[Cable Derating]])=0,"",MIN(TIM[[#This Row],[Summ Cont Winter A]:[Cable Derating]])),"")</f>
        <v>84.974412619329115</v>
      </c>
      <c r="BG7" s="9">
        <f>IFERROR(TIM[[#This Row],[Lowest MVA]]*1000/(TIM[[#This Row],[Voltage]]*SQRT(3)),"")</f>
        <v>446</v>
      </c>
      <c r="BH7" s="9">
        <f t="shared" si="10"/>
        <v>446</v>
      </c>
      <c r="BI7" s="9" t="str">
        <f>TIM[[#This Row],[From]]</f>
        <v>110 kV Bus</v>
      </c>
      <c r="BJ7" s="9" t="str">
        <f>TIM[[#This Row],[To]]</f>
        <v>11 kV Bus</v>
      </c>
      <c r="BK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breaker-TIM-CB92-HV Circuit breaker</v>
      </c>
      <c r="BL7" s="9">
        <f>TIM[[#This Row],[Voltage]]</f>
        <v>110</v>
      </c>
    </row>
    <row r="8" spans="1:64" ht="15" hidden="1" customHeight="1" x14ac:dyDescent="0.3">
      <c r="A8" s="6" t="str">
        <f>CONCATENATE(TIM[[#This Row],[Supply Level]],TIM[[#This Row],[Station/Feeder]],TIM[[#This Row],[Voltage]],"T3")</f>
        <v>GXPTIM_GXP110T3</v>
      </c>
      <c r="B8" s="6" t="str">
        <f>CONCATENATE(TIM[[#This Row],[Supply Level]],TIM[[#This Row],[Station/Feeder]],TIM[[#This Row],[Equipment ID]],TIM[[#This Row],[Voltage]],TIM[[#This Row],[Device type]])</f>
        <v>GXPTIM_GXPTIM-TF-T3110Bushings</v>
      </c>
      <c r="C8" s="6" t="s">
        <v>4</v>
      </c>
      <c r="D8" s="6" t="s">
        <v>75</v>
      </c>
      <c r="E8" s="6" t="s">
        <v>603</v>
      </c>
      <c r="F8" s="6" t="s">
        <v>243</v>
      </c>
      <c r="G8" s="8">
        <v>6</v>
      </c>
      <c r="H8" s="7" t="s">
        <v>795</v>
      </c>
      <c r="I8" s="6" t="s">
        <v>1427</v>
      </c>
      <c r="J8" s="6" t="s">
        <v>19</v>
      </c>
      <c r="K8" s="6"/>
      <c r="L8" s="6" t="s">
        <v>18</v>
      </c>
      <c r="M8" s="8">
        <v>110</v>
      </c>
      <c r="N8" s="9">
        <v>2100</v>
      </c>
      <c r="O8" s="9">
        <f>IF(OR(N8="",N8="-"),"-",N8*$M8*SQRT(3)/1000)</f>
        <v>400.10373654841061</v>
      </c>
      <c r="P8" s="9">
        <v>2100</v>
      </c>
      <c r="Q8" s="9">
        <f>IF(OR(P8="",P8="-"),"-",P8*$M8*SQRT(3)/1000)</f>
        <v>400.10373654841061</v>
      </c>
      <c r="R8" s="9">
        <v>2100</v>
      </c>
      <c r="S8" s="9">
        <f>IF(OR(R8="",R8="-"),"-",R8*$M8*SQRT(3)/1000)</f>
        <v>400.10373654841061</v>
      </c>
      <c r="T8" s="9">
        <v>2520</v>
      </c>
      <c r="U8" s="9">
        <f>IF(OR(T8="",T8="-"),"-",T8*$M8*SQRT(3)/1000)</f>
        <v>480.12448385809273</v>
      </c>
      <c r="V8" s="9">
        <v>2520</v>
      </c>
      <c r="W8" s="9">
        <f>IF(OR(V8="",V8="-"),"-",V8*$M8*SQRT(3)/1000)</f>
        <v>480.12448385809273</v>
      </c>
      <c r="X8" s="9" t="s">
        <v>0</v>
      </c>
      <c r="Y8" s="9" t="str">
        <f>IF(OR(X8="",X8="-"),"-",X8*$M8*SQRT(3)/1000)</f>
        <v>-</v>
      </c>
      <c r="Z8" s="9" t="s">
        <v>0</v>
      </c>
      <c r="AA8" s="9" t="str">
        <f>IF(OR(Z8="",Z8="-"),"-",Z8*$M8*SQRT(3)/1000)</f>
        <v>-</v>
      </c>
      <c r="AB8" s="9" t="s">
        <v>0</v>
      </c>
      <c r="AC8" s="9" t="str">
        <f>IF(OR(AB8="",AB8="-"),"-",AB8*$M8*SQRT(3)/1000)</f>
        <v>-</v>
      </c>
      <c r="AD8" s="9" t="s">
        <v>0</v>
      </c>
      <c r="AE8" s="9" t="str">
        <f>IF(OR(AD8="",AD8="-"),"-",AD8*$M8*SQRT(3)/1000)</f>
        <v>-</v>
      </c>
      <c r="AF8" s="9" t="s">
        <v>0</v>
      </c>
      <c r="AG8" s="9" t="s">
        <v>0</v>
      </c>
      <c r="AH8" s="9" t="s">
        <v>0</v>
      </c>
      <c r="AI8" s="9" t="s">
        <v>0</v>
      </c>
      <c r="AJ8" s="43" t="s">
        <v>0</v>
      </c>
      <c r="AK8" s="9" t="s">
        <v>0</v>
      </c>
      <c r="AL8" s="43" t="s">
        <v>0</v>
      </c>
      <c r="AM8" s="9" t="s">
        <v>0</v>
      </c>
      <c r="AN8" s="43" t="s">
        <v>0</v>
      </c>
      <c r="AO8" s="9" t="s">
        <v>0</v>
      </c>
      <c r="AP8" s="9" t="s">
        <v>0</v>
      </c>
      <c r="AQ8" s="43" t="s">
        <v>0</v>
      </c>
      <c r="AR8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8" s="9" t="str">
        <f>IF(OR(AR8="",AR8="-"),"-",AR8*$M8*SQRT(3)/1000)</f>
        <v>-</v>
      </c>
      <c r="AT8" s="9">
        <f>IF(RIGHT(TIM[[#This Row],[Device type]],7)="Winding","-",TIM[[#This Row],[Cont Winter MVA]])</f>
        <v>400.10373654841061</v>
      </c>
      <c r="AU8" s="9">
        <f>IF(RIGHT(TIM[[#This Row],[Device type]],7)="Winding","-",TIM[[#This Row],[Cont Shoulder MVA]])</f>
        <v>400.10373654841061</v>
      </c>
      <c r="AV8" s="9">
        <f>IF(RIGHT(TIM[[#This Row],[Device type]],7)="Winding","-",TIM[[#This Row],[Cont Summer MVA]])</f>
        <v>400.10373654841061</v>
      </c>
      <c r="AW8" s="9">
        <f>TIM[[#This Row],[24 Hr Winter MVA]]</f>
        <v>480.12448385809273</v>
      </c>
      <c r="AX8" s="9">
        <f>TIM[[#This Row],[24 Hr Summer MVA]]</f>
        <v>480.12448385809273</v>
      </c>
      <c r="AY8" s="9" t="str">
        <f>TIM[[#This Row],[Forwards MVA]]</f>
        <v>-</v>
      </c>
      <c r="AZ8" s="9" t="str">
        <f>TIM[[#This Row],[Relay MVA]]</f>
        <v>-</v>
      </c>
      <c r="BA8" s="9" t="str">
        <f>TIM[[#This Row],[CT MVA]]</f>
        <v>-</v>
      </c>
      <c r="BB8" s="9" t="str">
        <f>TIM[[#This Row],[Derating MVA]]</f>
        <v>-</v>
      </c>
      <c r="BC8" s="9" t="str">
        <f>TIM[[#This Row],[Station/Feeder]]&amp;TIM[[#This Row],[Lowest MVA]]</f>
        <v>TIM_GXP400.103736548411</v>
      </c>
      <c r="BD8" s="9" t="str">
        <f>CONCATENATE(TIM[[#This Row],[Supply Level]],TIM[[#This Row],[Station/Feeder]],TIM[[#This Row],[Voltage]],TIM[[#This Row],[Lowest A-No PTX]])</f>
        <v>GXPTIM_GXP1102100</v>
      </c>
      <c r="BE8" s="9" t="str">
        <f>CONCATENATE(TIM[[#This Row],[Supply Level]],TIM[[#This Row],[Station/Feeder]],TIM[[#This Row],[Voltage]],TIM[[#This Row],[Lowest A-PTX]])</f>
        <v>GXPTIM_GXP1102100</v>
      </c>
      <c r="BF8" s="9">
        <f>IFERROR(IF(MIN(TIM[[#This Row],[Summ Cont Winter A]:[Cable Derating]])=0,"",MIN(TIM[[#This Row],[Summ Cont Winter A]:[Cable Derating]])),"")</f>
        <v>400.10373654841061</v>
      </c>
      <c r="BG8" s="9">
        <f>IFERROR(TIM[[#This Row],[Lowest MVA]]*1000/(TIM[[#This Row],[Voltage]]*SQRT(3)),"")</f>
        <v>2100</v>
      </c>
      <c r="BH8" s="9">
        <f t="shared" si="10"/>
        <v>2100</v>
      </c>
      <c r="BI8" s="9" t="str">
        <f>TIM[[#This Row],[From]]</f>
        <v>110 kV Bus</v>
      </c>
      <c r="BJ8" s="9" t="str">
        <f>TIM[[#This Row],[To]]</f>
        <v>11 kV Bus</v>
      </c>
      <c r="BK8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Transformer - TIM-TF-T3 - Bushings</v>
      </c>
      <c r="BL8" s="9">
        <f>TIM[[#This Row],[Voltage]]</f>
        <v>110</v>
      </c>
    </row>
    <row r="9" spans="1:64" ht="15.75" hidden="1" thickBot="1" x14ac:dyDescent="0.3">
      <c r="A9" s="6" t="str">
        <f>CONCATENATE(TIM[[#This Row],[Supply Level]],TIM[[#This Row],[Station/Feeder]],TIM[[#This Row],[Voltage]],"T3")</f>
        <v>GXPTIM_GXP110T3</v>
      </c>
      <c r="B9" s="6" t="str">
        <f>CONCATENATE(TIM[[#This Row],[Supply Level]],TIM[[#This Row],[Station/Feeder]],TIM[[#This Row],[Equipment ID]],TIM[[#This Row],[Voltage]],TIM[[#This Row],[Device type]])</f>
        <v>GXPTIM_GXPTIM.TF.T3110HV Winding</v>
      </c>
      <c r="C9" s="6" t="s">
        <v>4</v>
      </c>
      <c r="D9" s="6" t="s">
        <v>75</v>
      </c>
      <c r="E9" s="6" t="s">
        <v>603</v>
      </c>
      <c r="F9" s="6" t="s">
        <v>243</v>
      </c>
      <c r="G9" s="8">
        <v>7</v>
      </c>
      <c r="H9" s="7" t="s">
        <v>795</v>
      </c>
      <c r="I9" s="6" t="s">
        <v>796</v>
      </c>
      <c r="J9" s="6" t="s">
        <v>19</v>
      </c>
      <c r="K9" s="6" t="s">
        <v>0</v>
      </c>
      <c r="L9" s="6" t="s">
        <v>36</v>
      </c>
      <c r="M9" s="8">
        <v>110</v>
      </c>
      <c r="N9" s="9">
        <v>250</v>
      </c>
      <c r="O9" s="9">
        <f t="shared" ref="O9" si="21">IF(OR(N9="",N9="-"),"-",N9*$M9*SQRT(3)/1000)</f>
        <v>47.631397208144122</v>
      </c>
      <c r="P9" s="9" t="s">
        <v>0</v>
      </c>
      <c r="Q9" s="9" t="str">
        <f t="shared" ref="Q9" si="22">IF(OR(P9="",P9="-"),"-",P9*$M9*SQRT(3)/1000)</f>
        <v>-</v>
      </c>
      <c r="R9" s="9">
        <v>250</v>
      </c>
      <c r="S9" s="9">
        <f t="shared" ref="S9" si="23">IF(OR(R9="",R9="-"),"-",R9*$M9*SQRT(3)/1000)</f>
        <v>47.631397208144122</v>
      </c>
      <c r="T9" s="9">
        <v>336</v>
      </c>
      <c r="U9" s="9">
        <f t="shared" ref="U9" si="24">IF(OR(T9="",T9="-"),"-",T9*$M9*SQRT(3)/1000)</f>
        <v>64.0165978477457</v>
      </c>
      <c r="V9" s="9">
        <v>323</v>
      </c>
      <c r="W9" s="9">
        <f t="shared" ref="W9" si="25">IF(OR(V9="",V9="-"),"-",V9*$M9*SQRT(3)/1000)</f>
        <v>61.539765192922204</v>
      </c>
      <c r="X9" s="9" t="s">
        <v>0</v>
      </c>
      <c r="Y9" s="9" t="str">
        <f t="shared" ref="Y9" si="26">IF(OR(X9="",X9="-"),"-",X9*$M9*SQRT(3)/1000)</f>
        <v>-</v>
      </c>
      <c r="Z9" s="9" t="s">
        <v>0</v>
      </c>
      <c r="AA9" s="9" t="str">
        <f t="shared" ref="AA9" si="27">IF(OR(Z9="",Z9="-"),"-",Z9*$M9*SQRT(3)/1000)</f>
        <v>-</v>
      </c>
      <c r="AB9" s="9" t="s">
        <v>0</v>
      </c>
      <c r="AC9" s="9" t="str">
        <f t="shared" ref="AC9" si="28">IF(OR(AB9="",AB9="-"),"-",AB9*$M9*SQRT(3)/1000)</f>
        <v>-</v>
      </c>
      <c r="AD9" s="9" t="s">
        <v>0</v>
      </c>
      <c r="AE9" s="9" t="str">
        <f t="shared" ref="AE9" si="29">IF(OR(AD9="",AD9="-"),"-",AD9*$M9*SQRT(3)/1000)</f>
        <v>-</v>
      </c>
      <c r="AF9" s="9" t="s">
        <v>0</v>
      </c>
      <c r="AG9" s="9" t="s">
        <v>0</v>
      </c>
      <c r="AH9" s="9" t="s">
        <v>0</v>
      </c>
      <c r="AI9" s="9" t="s">
        <v>0</v>
      </c>
      <c r="AJ9" s="43" t="s">
        <v>0</v>
      </c>
      <c r="AK9" s="9" t="s">
        <v>0</v>
      </c>
      <c r="AL9" s="43" t="s">
        <v>0</v>
      </c>
      <c r="AM9" s="9" t="s">
        <v>0</v>
      </c>
      <c r="AN9" s="43" t="s">
        <v>0</v>
      </c>
      <c r="AO9" s="9" t="s">
        <v>0</v>
      </c>
      <c r="AP9" s="9" t="s">
        <v>0</v>
      </c>
      <c r="AQ9" s="43" t="s">
        <v>0</v>
      </c>
      <c r="AR9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9" s="9" t="str">
        <f t="shared" ref="AS9" si="30">IF(OR(AR9="",AR9="-"),"-",AR9*$M9*SQRT(3)/1000)</f>
        <v>-</v>
      </c>
      <c r="AT9" s="9" t="str">
        <f>IF(RIGHT(TIM[[#This Row],[Device type]],7)="Winding","-",TIM[[#This Row],[Cont Winter MVA]])</f>
        <v>-</v>
      </c>
      <c r="AU9" s="9" t="str">
        <f>IF(RIGHT(TIM[[#This Row],[Device type]],7)="Winding","-",TIM[[#This Row],[Cont Shoulder MVA]])</f>
        <v>-</v>
      </c>
      <c r="AV9" s="9" t="str">
        <f>IF(RIGHT(TIM[[#This Row],[Device type]],7)="Winding","-",TIM[[#This Row],[Cont Summer MVA]])</f>
        <v>-</v>
      </c>
      <c r="AW9" s="9">
        <f>TIM[[#This Row],[24 Hr Winter MVA]]</f>
        <v>64.0165978477457</v>
      </c>
      <c r="AX9" s="9">
        <f>TIM[[#This Row],[24 Hr Summer MVA]]</f>
        <v>61.539765192922204</v>
      </c>
      <c r="AY9" s="9" t="str">
        <f>TIM[[#This Row],[Forwards MVA]]</f>
        <v>-</v>
      </c>
      <c r="AZ9" s="9" t="str">
        <f>TIM[[#This Row],[Relay MVA]]</f>
        <v>-</v>
      </c>
      <c r="BA9" s="9" t="str">
        <f>TIM[[#This Row],[CT MVA]]</f>
        <v>-</v>
      </c>
      <c r="BB9" s="9" t="str">
        <f>TIM[[#This Row],[Derating MVA]]</f>
        <v>-</v>
      </c>
      <c r="BC9" s="9" t="str">
        <f>TIM[[#This Row],[Station/Feeder]]&amp;TIM[[#This Row],[Lowest MVA]]</f>
        <v>TIM_GXP61.5397651929222</v>
      </c>
      <c r="BD9" s="9" t="str">
        <f>CONCATENATE(TIM[[#This Row],[Supply Level]],TIM[[#This Row],[Station/Feeder]],TIM[[#This Row],[Voltage]],TIM[[#This Row],[Lowest A-No PTX]])</f>
        <v>GXPTIM_GXP110323</v>
      </c>
      <c r="BE9" s="9" t="str">
        <f>CONCATENATE(TIM[[#This Row],[Supply Level]],TIM[[#This Row],[Station/Feeder]],TIM[[#This Row],[Voltage]],TIM[[#This Row],[Lowest A-PTX]])</f>
        <v>GXPTIM_GXP110250</v>
      </c>
      <c r="BF9" s="9">
        <f>IFERROR(IF(MIN(TIM[[#This Row],[Summ Cont Winter A]:[Cable Derating]])=0,"",MIN(TIM[[#This Row],[Summ Cont Winter A]:[Cable Derating]])),"")</f>
        <v>61.539765192922204</v>
      </c>
      <c r="BG9" s="9">
        <f>IFERROR(TIM[[#This Row],[Lowest MVA]]*1000/(TIM[[#This Row],[Voltage]]*SQRT(3)),"")</f>
        <v>323</v>
      </c>
      <c r="BH9" s="9">
        <f t="shared" si="10"/>
        <v>250</v>
      </c>
      <c r="BI9" s="9" t="str">
        <f>TIM[[#This Row],[From]]</f>
        <v>110 kV Bus</v>
      </c>
      <c r="BJ9" s="9" t="str">
        <f>TIM[[#This Row],[To]]</f>
        <v>11 kV Bus</v>
      </c>
      <c r="BK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Transformer-TIM.TF.T3-HV Winding</v>
      </c>
      <c r="BL9" s="9">
        <f>TIM[[#This Row],[Voltage]]</f>
        <v>110</v>
      </c>
    </row>
    <row r="10" spans="1:64" ht="15.75" hidden="1" thickBot="1" x14ac:dyDescent="0.3">
      <c r="A10" s="6" t="str">
        <f>CONCATENATE(TIM[[#This Row],[Supply Level]],TIM[[#This Row],[Station/Feeder]],TIM[[#This Row],[Voltage]],"T3")</f>
        <v>GXPTIM_GXP11T3</v>
      </c>
      <c r="B10" s="6" t="str">
        <f>CONCATENATE(TIM[[#This Row],[Supply Level]],TIM[[#This Row],[Station/Feeder]],TIM[[#This Row],[Equipment ID]],TIM[[#This Row],[Voltage]],TIM[[#This Row],[Device type]])</f>
        <v>GXPTIM_GXPTIM.TF.T311LV Winding</v>
      </c>
      <c r="C10" s="6" t="s">
        <v>4</v>
      </c>
      <c r="D10" s="11" t="s">
        <v>75</v>
      </c>
      <c r="E10" s="6" t="s">
        <v>603</v>
      </c>
      <c r="F10" s="6" t="s">
        <v>243</v>
      </c>
      <c r="G10" s="27">
        <v>8</v>
      </c>
      <c r="H10" s="49" t="s">
        <v>795</v>
      </c>
      <c r="I10" s="7" t="s">
        <v>796</v>
      </c>
      <c r="J10" s="7" t="s">
        <v>19</v>
      </c>
      <c r="K10" s="7" t="s">
        <v>0</v>
      </c>
      <c r="L10" s="7" t="s">
        <v>37</v>
      </c>
      <c r="M10" s="8">
        <v>11</v>
      </c>
      <c r="N10" s="9">
        <v>2498</v>
      </c>
      <c r="O10" s="9">
        <f t="shared" ref="O10:O15" si="31">IF(OR(N10="",N10="-"),"-",N10*$M10*SQRT(3)/1000)</f>
        <v>47.593292090377609</v>
      </c>
      <c r="P10" s="9" t="s">
        <v>0</v>
      </c>
      <c r="Q10" s="9" t="str">
        <f t="shared" ref="Q10:Q15" si="32">IF(OR(P10="",P10="-"),"-",P10*$M10*SQRT(3)/1000)</f>
        <v>-</v>
      </c>
      <c r="R10" s="9" t="s">
        <v>0</v>
      </c>
      <c r="S10" s="9" t="str">
        <f t="shared" ref="S10:S15" si="33">IF(OR(R10="",R10="-"),"-",R10*$M10*SQRT(3)/1000)</f>
        <v>-</v>
      </c>
      <c r="T10" s="9">
        <v>3364</v>
      </c>
      <c r="U10" s="9">
        <f t="shared" ref="U10:U15" si="34">IF(OR(T10="",T10="-"),"-",T10*$M10*SQRT(3)/1000)</f>
        <v>64.092808083278726</v>
      </c>
      <c r="V10" s="9">
        <v>3228</v>
      </c>
      <c r="W10" s="9">
        <f t="shared" ref="W10:W15" si="35">IF(OR(V10="",V10="-"),"-",V10*$M10*SQRT(3)/1000)</f>
        <v>61.501660075155691</v>
      </c>
      <c r="X10" s="9" t="s">
        <v>0</v>
      </c>
      <c r="Y10" s="9" t="str">
        <f t="shared" ref="Y10:Y15" si="36">IF(OR(X10="",X10="-"),"-",X10*$M10*SQRT(3)/1000)</f>
        <v>-</v>
      </c>
      <c r="Z10" s="9" t="s">
        <v>0</v>
      </c>
      <c r="AA10" s="9" t="str">
        <f t="shared" ref="AA10:AA15" si="37">IF(OR(Z10="",Z10="-"),"-",Z10*$M10*SQRT(3)/1000)</f>
        <v>-</v>
      </c>
      <c r="AB10" s="9" t="s">
        <v>0</v>
      </c>
      <c r="AC10" s="9" t="str">
        <f t="shared" ref="AC10:AC15" si="38">IF(OR(AB10="",AB10="-"),"-",AB10*$M10*SQRT(3)/1000)</f>
        <v>-</v>
      </c>
      <c r="AD10" s="9" t="s">
        <v>0</v>
      </c>
      <c r="AE10" s="12" t="str">
        <f t="shared" ref="AE10:AE15" si="39">IF(OR(AD10="",AD10="-"),"-",AD10*$M10*SQRT(3)/1000)</f>
        <v>-</v>
      </c>
      <c r="AF10" s="9" t="s">
        <v>0</v>
      </c>
      <c r="AG10" s="9" t="s">
        <v>0</v>
      </c>
      <c r="AH10" s="8" t="s">
        <v>0</v>
      </c>
      <c r="AI10" s="9" t="s">
        <v>0</v>
      </c>
      <c r="AJ10" s="32" t="s">
        <v>0</v>
      </c>
      <c r="AK10" s="9" t="s">
        <v>0</v>
      </c>
      <c r="AL10" s="32" t="s">
        <v>0</v>
      </c>
      <c r="AM10" s="9" t="s">
        <v>0</v>
      </c>
      <c r="AN10" s="32" t="s">
        <v>0</v>
      </c>
      <c r="AO10" s="9" t="s">
        <v>0</v>
      </c>
      <c r="AP10" s="9" t="s">
        <v>0</v>
      </c>
      <c r="AQ10" s="32" t="s">
        <v>0</v>
      </c>
      <c r="AR1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0" s="9" t="str">
        <f t="shared" ref="AS10:AS15" si="40">IF(OR(AR10="",AR10="-"),"-",AR10*$M10*SQRT(3)/1000)</f>
        <v>-</v>
      </c>
      <c r="AT10" s="9" t="str">
        <f>IF(RIGHT(TIM[[#This Row],[Device type]],7)="Winding","-",TIM[[#This Row],[Cont Winter MVA]])</f>
        <v>-</v>
      </c>
      <c r="AU10" s="9" t="str">
        <f>IF(RIGHT(TIM[[#This Row],[Device type]],7)="Winding","-",TIM[[#This Row],[Cont Shoulder MVA]])</f>
        <v>-</v>
      </c>
      <c r="AV10" s="9" t="str">
        <f>IF(RIGHT(TIM[[#This Row],[Device type]],7)="Winding","-",TIM[[#This Row],[Cont Summer MVA]])</f>
        <v>-</v>
      </c>
      <c r="AW10" s="9">
        <f>TIM[[#This Row],[24 Hr Winter MVA]]</f>
        <v>64.092808083278726</v>
      </c>
      <c r="AX10" s="9">
        <f>TIM[[#This Row],[24 Hr Summer MVA]]</f>
        <v>61.501660075155691</v>
      </c>
      <c r="AY10" s="9" t="str">
        <f>TIM[[#This Row],[Forwards MVA]]</f>
        <v>-</v>
      </c>
      <c r="AZ10" s="9" t="str">
        <f>TIM[[#This Row],[Relay MVA]]</f>
        <v>-</v>
      </c>
      <c r="BA10" s="9" t="str">
        <f>TIM[[#This Row],[CT MVA]]</f>
        <v>-</v>
      </c>
      <c r="BB10" s="9" t="str">
        <f>TIM[[#This Row],[Derating MVA]]</f>
        <v>-</v>
      </c>
      <c r="BC10" s="9" t="str">
        <f>TIM[[#This Row],[Station/Feeder]]&amp;TIM[[#This Row],[Lowest MVA]]</f>
        <v>TIM_GXP61.5016600751557</v>
      </c>
      <c r="BD10" s="9" t="str">
        <f>CONCATENATE(TIM[[#This Row],[Supply Level]],TIM[[#This Row],[Station/Feeder]],TIM[[#This Row],[Voltage]],TIM[[#This Row],[Lowest A-No PTX]])</f>
        <v>GXPTIM_GXP113228</v>
      </c>
      <c r="BE10" s="9" t="str">
        <f>CONCATENATE(TIM[[#This Row],[Supply Level]],TIM[[#This Row],[Station/Feeder]],TIM[[#This Row],[Voltage]],TIM[[#This Row],[Lowest A-PTX]])</f>
        <v>GXPTIM_GXP112498</v>
      </c>
      <c r="BF10" s="9">
        <f>IFERROR(IF(MIN(TIM[[#This Row],[Summ Cont Winter A]:[Cable Derating]])=0,"",MIN(TIM[[#This Row],[Summ Cont Winter A]:[Cable Derating]])),"")</f>
        <v>61.501660075155691</v>
      </c>
      <c r="BG10" s="9">
        <f>IFERROR(TIM[[#This Row],[Lowest MVA]]*1000/(TIM[[#This Row],[Voltage]]*SQRT(3)),"")</f>
        <v>3228</v>
      </c>
      <c r="BH10" s="9">
        <f t="shared" si="10"/>
        <v>2498</v>
      </c>
      <c r="BI10" s="9" t="str">
        <f>TIM[[#This Row],[From]]</f>
        <v>110 kV Bus</v>
      </c>
      <c r="BJ10" s="9" t="str">
        <f>TIM[[#This Row],[To]]</f>
        <v>11 kV Bus</v>
      </c>
      <c r="BK1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Transformer-TIM.TF.T3-LV Winding</v>
      </c>
      <c r="BL10" s="9">
        <f>TIM[[#This Row],[Voltage]]</f>
        <v>11</v>
      </c>
    </row>
    <row r="11" spans="1:64" ht="15" hidden="1" customHeight="1" x14ac:dyDescent="0.3">
      <c r="A11" s="6" t="str">
        <f>CONCATENATE(TIM[[#This Row],[Supply Level]],TIM[[#This Row],[Station/Feeder]],TIM[[#This Row],[Voltage]],"T3")</f>
        <v>GXPTIM_GXP110T3</v>
      </c>
      <c r="B11" s="6" t="str">
        <f>CONCATENATE(TIM[[#This Row],[Supply Level]],TIM[[#This Row],[Station/Feeder]],TIM[[#This Row],[Equipment ID]],TIM[[#This Row],[Voltage]],TIM[[#This Row],[Device type]])</f>
        <v>GXPTIM_GXPTIM.TF.T3110Tap Changer</v>
      </c>
      <c r="C11" s="6" t="s">
        <v>4</v>
      </c>
      <c r="D11" s="6" t="s">
        <v>75</v>
      </c>
      <c r="E11" s="6" t="s">
        <v>603</v>
      </c>
      <c r="F11" s="6" t="s">
        <v>243</v>
      </c>
      <c r="G11" s="8">
        <v>4</v>
      </c>
      <c r="H11" s="7" t="s">
        <v>795</v>
      </c>
      <c r="I11" s="6" t="s">
        <v>796</v>
      </c>
      <c r="J11" s="6" t="s">
        <v>20</v>
      </c>
      <c r="K11" s="6" t="s">
        <v>0</v>
      </c>
      <c r="L11" s="6" t="s">
        <v>20</v>
      </c>
      <c r="M11" s="8">
        <v>110</v>
      </c>
      <c r="N11" s="9">
        <v>250</v>
      </c>
      <c r="O11" s="9">
        <f t="shared" si="31"/>
        <v>47.631397208144122</v>
      </c>
      <c r="P11" s="9" t="s">
        <v>0</v>
      </c>
      <c r="Q11" s="9" t="str">
        <f t="shared" si="32"/>
        <v>-</v>
      </c>
      <c r="R11" s="9">
        <v>250</v>
      </c>
      <c r="S11" s="9">
        <f t="shared" si="33"/>
        <v>47.631397208144122</v>
      </c>
      <c r="T11" s="9">
        <v>323</v>
      </c>
      <c r="U11" s="9">
        <f t="shared" si="34"/>
        <v>61.539765192922204</v>
      </c>
      <c r="V11" s="9">
        <v>300</v>
      </c>
      <c r="W11" s="9">
        <f t="shared" si="35"/>
        <v>57.157676649772945</v>
      </c>
      <c r="X11" s="9" t="s">
        <v>0</v>
      </c>
      <c r="Y11" s="9" t="str">
        <f t="shared" si="36"/>
        <v>-</v>
      </c>
      <c r="Z11" s="9" t="s">
        <v>0</v>
      </c>
      <c r="AA11" s="9" t="str">
        <f t="shared" si="37"/>
        <v>-</v>
      </c>
      <c r="AB11" s="9" t="s">
        <v>0</v>
      </c>
      <c r="AC11" s="9" t="str">
        <f t="shared" si="38"/>
        <v>-</v>
      </c>
      <c r="AD11" s="9" t="s">
        <v>0</v>
      </c>
      <c r="AE11" s="9" t="str">
        <f t="shared" si="39"/>
        <v>-</v>
      </c>
      <c r="AF11" s="9" t="s">
        <v>0</v>
      </c>
      <c r="AG11" s="9" t="s">
        <v>0</v>
      </c>
      <c r="AH11" s="9" t="s">
        <v>0</v>
      </c>
      <c r="AI11" s="9" t="s">
        <v>0</v>
      </c>
      <c r="AJ11" s="43" t="s">
        <v>0</v>
      </c>
      <c r="AK11" s="9" t="s">
        <v>0</v>
      </c>
      <c r="AL11" s="43" t="s">
        <v>0</v>
      </c>
      <c r="AM11" s="9" t="s">
        <v>0</v>
      </c>
      <c r="AN11" s="43" t="s">
        <v>0</v>
      </c>
      <c r="AO11" s="9" t="s">
        <v>0</v>
      </c>
      <c r="AP11" s="9" t="s">
        <v>0</v>
      </c>
      <c r="AQ11" s="43" t="s">
        <v>0</v>
      </c>
      <c r="AR1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1" s="9" t="str">
        <f t="shared" si="40"/>
        <v>-</v>
      </c>
      <c r="AT11" s="9">
        <f>IF(RIGHT(TIM[[#This Row],[Device type]],7)="Winding","-",TIM[[#This Row],[Cont Winter MVA]])</f>
        <v>47.631397208144122</v>
      </c>
      <c r="AU11" s="9" t="str">
        <f>IF(RIGHT(TIM[[#This Row],[Device type]],7)="Winding","-",TIM[[#This Row],[Cont Shoulder MVA]])</f>
        <v>-</v>
      </c>
      <c r="AV11" s="9">
        <f>IF(RIGHT(TIM[[#This Row],[Device type]],7)="Winding","-",TIM[[#This Row],[Cont Summer MVA]])</f>
        <v>47.631397208144122</v>
      </c>
      <c r="AW11" s="9">
        <f>TIM[[#This Row],[24 Hr Winter MVA]]</f>
        <v>61.539765192922204</v>
      </c>
      <c r="AX11" s="9">
        <f>TIM[[#This Row],[24 Hr Summer MVA]]</f>
        <v>57.157676649772945</v>
      </c>
      <c r="AY11" s="9" t="str">
        <f>TIM[[#This Row],[Forwards MVA]]</f>
        <v>-</v>
      </c>
      <c r="AZ11" s="9" t="str">
        <f>TIM[[#This Row],[Relay MVA]]</f>
        <v>-</v>
      </c>
      <c r="BA11" s="9" t="str">
        <f>TIM[[#This Row],[CT MVA]]</f>
        <v>-</v>
      </c>
      <c r="BB11" s="9" t="str">
        <f>TIM[[#This Row],[Derating MVA]]</f>
        <v>-</v>
      </c>
      <c r="BC11" s="9" t="str">
        <f>TIM[[#This Row],[Station/Feeder]]&amp;TIM[[#This Row],[Lowest MVA]]</f>
        <v>TIM_GXP47.6313972081441</v>
      </c>
      <c r="BD11" s="9" t="str">
        <f>CONCATENATE(TIM[[#This Row],[Supply Level]],TIM[[#This Row],[Station/Feeder]],TIM[[#This Row],[Voltage]],TIM[[#This Row],[Lowest A-No PTX]])</f>
        <v>GXPTIM_GXP110250</v>
      </c>
      <c r="BE11" s="9" t="str">
        <f>CONCATENATE(TIM[[#This Row],[Supply Level]],TIM[[#This Row],[Station/Feeder]],TIM[[#This Row],[Voltage]],TIM[[#This Row],[Lowest A-PTX]])</f>
        <v>GXPTIM_GXP110250</v>
      </c>
      <c r="BF11" s="9">
        <f>IFERROR(IF(MIN(TIM[[#This Row],[Summ Cont Winter A]:[Cable Derating]])=0,"",MIN(TIM[[#This Row],[Summ Cont Winter A]:[Cable Derating]])),"")</f>
        <v>47.631397208144122</v>
      </c>
      <c r="BG11" s="9">
        <f>IFERROR(TIM[[#This Row],[Lowest MVA]]*1000/(TIM[[#This Row],[Voltage]]*SQRT(3)),"")</f>
        <v>250</v>
      </c>
      <c r="BH11" s="9">
        <f t="shared" si="10"/>
        <v>250</v>
      </c>
      <c r="BI11" s="9" t="str">
        <f>TIM[[#This Row],[From]]</f>
        <v>110 kV Bus</v>
      </c>
      <c r="BJ11" s="9" t="str">
        <f>TIM[[#This Row],[To]]</f>
        <v>11 kV Bus</v>
      </c>
      <c r="BK1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Tap Changer-TIM.TF.T3-Tap Changer</v>
      </c>
      <c r="BL11" s="9">
        <f>TIM[[#This Row],[Voltage]]</f>
        <v>110</v>
      </c>
    </row>
    <row r="12" spans="1:64" ht="15" hidden="1" customHeight="1" x14ac:dyDescent="0.3">
      <c r="A12" s="6" t="str">
        <f>CONCATENATE(TIM[[#This Row],[Supply Level]],TIM[[#This Row],[Station/Feeder]],TIM[[#This Row],[Voltage]],"T3")</f>
        <v>GXPTIM_GXP11T3</v>
      </c>
      <c r="B12" s="6" t="str">
        <f>CONCATENATE(TIM[[#This Row],[Supply Level]],TIM[[#This Row],[Station/Feeder]],TIM[[#This Row],[Equipment ID]],TIM[[#This Row],[Voltage]],TIM[[#This Row],[Device type]])</f>
        <v>GXPTIM_GXPTIM.TF.T311Bushings</v>
      </c>
      <c r="C12" s="6" t="s">
        <v>4</v>
      </c>
      <c r="D12" s="6" t="s">
        <v>75</v>
      </c>
      <c r="E12" s="6" t="s">
        <v>603</v>
      </c>
      <c r="F12" s="6" t="s">
        <v>243</v>
      </c>
      <c r="G12" s="8">
        <v>5</v>
      </c>
      <c r="H12" s="7" t="s">
        <v>795</v>
      </c>
      <c r="I12" s="6" t="s">
        <v>796</v>
      </c>
      <c r="J12" s="6" t="s">
        <v>19</v>
      </c>
      <c r="K12" s="6"/>
      <c r="L12" s="6" t="s">
        <v>18</v>
      </c>
      <c r="M12" s="8">
        <v>11</v>
      </c>
      <c r="N12" s="9">
        <v>5000</v>
      </c>
      <c r="O12" s="9">
        <f t="shared" si="31"/>
        <v>95.262794416288244</v>
      </c>
      <c r="P12" s="9">
        <v>5000</v>
      </c>
      <c r="Q12" s="9">
        <f t="shared" si="32"/>
        <v>95.262794416288244</v>
      </c>
      <c r="R12" s="9">
        <v>5000</v>
      </c>
      <c r="S12" s="9">
        <f t="shared" si="33"/>
        <v>95.262794416288244</v>
      </c>
      <c r="T12" s="9">
        <v>6000</v>
      </c>
      <c r="U12" s="9">
        <f t="shared" si="34"/>
        <v>114.31535329954589</v>
      </c>
      <c r="V12" s="9">
        <v>6000</v>
      </c>
      <c r="W12" s="9">
        <f t="shared" si="35"/>
        <v>114.31535329954589</v>
      </c>
      <c r="X12" s="9" t="s">
        <v>0</v>
      </c>
      <c r="Y12" s="9" t="str">
        <f t="shared" si="36"/>
        <v>-</v>
      </c>
      <c r="Z12" s="9" t="s">
        <v>0</v>
      </c>
      <c r="AA12" s="9" t="str">
        <f t="shared" si="37"/>
        <v>-</v>
      </c>
      <c r="AB12" s="9" t="s">
        <v>0</v>
      </c>
      <c r="AC12" s="9" t="str">
        <f t="shared" si="38"/>
        <v>-</v>
      </c>
      <c r="AD12" s="9" t="s">
        <v>0</v>
      </c>
      <c r="AE12" s="9" t="str">
        <f t="shared" si="39"/>
        <v>-</v>
      </c>
      <c r="AF12" s="9" t="s">
        <v>0</v>
      </c>
      <c r="AG12" s="9" t="s">
        <v>0</v>
      </c>
      <c r="AH12" s="9" t="s">
        <v>0</v>
      </c>
      <c r="AI12" s="9" t="s">
        <v>0</v>
      </c>
      <c r="AJ12" s="43" t="s">
        <v>0</v>
      </c>
      <c r="AK12" s="9" t="s">
        <v>0</v>
      </c>
      <c r="AL12" s="43" t="s">
        <v>0</v>
      </c>
      <c r="AM12" s="9" t="s">
        <v>0</v>
      </c>
      <c r="AN12" s="43" t="s">
        <v>0</v>
      </c>
      <c r="AO12" s="9" t="s">
        <v>0</v>
      </c>
      <c r="AP12" s="9" t="s">
        <v>0</v>
      </c>
      <c r="AQ12" s="43" t="s">
        <v>0</v>
      </c>
      <c r="AR12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2" s="9" t="str">
        <f t="shared" si="40"/>
        <v>-</v>
      </c>
      <c r="AT12" s="9">
        <f>IF(RIGHT(TIM[[#This Row],[Device type]],7)="Winding","-",TIM[[#This Row],[Cont Winter MVA]])</f>
        <v>95.262794416288244</v>
      </c>
      <c r="AU12" s="9">
        <f>IF(RIGHT(TIM[[#This Row],[Device type]],7)="Winding","-",TIM[[#This Row],[Cont Shoulder MVA]])</f>
        <v>95.262794416288244</v>
      </c>
      <c r="AV12" s="9">
        <f>IF(RIGHT(TIM[[#This Row],[Device type]],7)="Winding","-",TIM[[#This Row],[Cont Summer MVA]])</f>
        <v>95.262794416288244</v>
      </c>
      <c r="AW12" s="9">
        <f>TIM[[#This Row],[24 Hr Winter MVA]]</f>
        <v>114.31535329954589</v>
      </c>
      <c r="AX12" s="9">
        <f>TIM[[#This Row],[24 Hr Summer MVA]]</f>
        <v>114.31535329954589</v>
      </c>
      <c r="AY12" s="9" t="str">
        <f>TIM[[#This Row],[Forwards MVA]]</f>
        <v>-</v>
      </c>
      <c r="AZ12" s="9" t="str">
        <f>TIM[[#This Row],[Relay MVA]]</f>
        <v>-</v>
      </c>
      <c r="BA12" s="9" t="str">
        <f>TIM[[#This Row],[CT MVA]]</f>
        <v>-</v>
      </c>
      <c r="BB12" s="9" t="str">
        <f>TIM[[#This Row],[Derating MVA]]</f>
        <v>-</v>
      </c>
      <c r="BC12" s="9" t="str">
        <f>TIM[[#This Row],[Station/Feeder]]&amp;TIM[[#This Row],[Lowest MVA]]</f>
        <v>TIM_GXP95.2627944162882</v>
      </c>
      <c r="BD12" s="9" t="str">
        <f>CONCATENATE(TIM[[#This Row],[Supply Level]],TIM[[#This Row],[Station/Feeder]],TIM[[#This Row],[Voltage]],TIM[[#This Row],[Lowest A-No PTX]])</f>
        <v>GXPTIM_GXP115000</v>
      </c>
      <c r="BE12" s="9" t="str">
        <f>CONCATENATE(TIM[[#This Row],[Supply Level]],TIM[[#This Row],[Station/Feeder]],TIM[[#This Row],[Voltage]],TIM[[#This Row],[Lowest A-PTX]])</f>
        <v>GXPTIM_GXP115000</v>
      </c>
      <c r="BF12" s="9">
        <f>IFERROR(IF(MIN(TIM[[#This Row],[Summ Cont Winter A]:[Cable Derating]])=0,"",MIN(TIM[[#This Row],[Summ Cont Winter A]:[Cable Derating]])),"")</f>
        <v>95.262794416288244</v>
      </c>
      <c r="BG12" s="9">
        <f>IFERROR(TIM[[#This Row],[Lowest MVA]]*1000/(TIM[[#This Row],[Voltage]]*SQRT(3)),"")</f>
        <v>5000</v>
      </c>
      <c r="BH12" s="9">
        <f t="shared" si="10"/>
        <v>5000</v>
      </c>
      <c r="BI12" s="9" t="str">
        <f>TIM[[#This Row],[From]]</f>
        <v>110 kV Bus</v>
      </c>
      <c r="BJ12" s="9" t="str">
        <f>TIM[[#This Row],[To]]</f>
        <v>11 kV Bus</v>
      </c>
      <c r="BK12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Transformer - TIM.TF.T3 - Bushings</v>
      </c>
      <c r="BL12" s="9">
        <f>TIM[[#This Row],[Voltage]]</f>
        <v>11</v>
      </c>
    </row>
    <row r="13" spans="1:64" ht="15" hidden="1" customHeight="1" x14ac:dyDescent="0.3">
      <c r="A13" s="6" t="str">
        <f>CONCATENATE(TIM[[#This Row],[Supply Level]],TIM[[#This Row],[Station/Feeder]],TIM[[#This Row],[Voltage]],"T3")</f>
        <v>GXPTIM_GXP11T3</v>
      </c>
      <c r="B13" s="6" t="str">
        <f>CONCATENATE(TIM[[#This Row],[Supply Level]],TIM[[#This Row],[Station/Feeder]],TIM[[#This Row],[Equipment ID]],TIM[[#This Row],[Voltage]],TIM[[#This Row],[Device type]])</f>
        <v>GXPTIM_GXPTIM-CB275211Current Transformer</v>
      </c>
      <c r="C13" s="6" t="s">
        <v>4</v>
      </c>
      <c r="D13" s="6" t="s">
        <v>75</v>
      </c>
      <c r="E13" s="6" t="s">
        <v>603</v>
      </c>
      <c r="F13" s="6" t="s">
        <v>243</v>
      </c>
      <c r="G13" s="8">
        <v>9</v>
      </c>
      <c r="H13" s="7" t="s">
        <v>795</v>
      </c>
      <c r="I13" s="6" t="s">
        <v>2216</v>
      </c>
      <c r="J13" s="6" t="s">
        <v>1409</v>
      </c>
      <c r="K13" s="6"/>
      <c r="L13" s="6" t="s">
        <v>16</v>
      </c>
      <c r="M13" s="8">
        <v>11</v>
      </c>
      <c r="N13" s="9">
        <v>2500</v>
      </c>
      <c r="O13" s="9">
        <f t="shared" si="31"/>
        <v>47.631397208144122</v>
      </c>
      <c r="P13" s="9">
        <v>2500</v>
      </c>
      <c r="Q13" s="9">
        <f t="shared" si="32"/>
        <v>47.631397208144122</v>
      </c>
      <c r="R13" s="9">
        <v>2500</v>
      </c>
      <c r="S13" s="9">
        <f t="shared" si="33"/>
        <v>47.631397208144122</v>
      </c>
      <c r="T13" s="9">
        <v>2500</v>
      </c>
      <c r="U13" s="9">
        <f t="shared" si="34"/>
        <v>47.631397208144122</v>
      </c>
      <c r="V13" s="9">
        <v>2500</v>
      </c>
      <c r="W13" s="9">
        <f t="shared" si="35"/>
        <v>47.631397208144122</v>
      </c>
      <c r="X13" s="9" t="s">
        <v>0</v>
      </c>
      <c r="Y13" s="9" t="str">
        <f t="shared" si="36"/>
        <v>-</v>
      </c>
      <c r="Z13" s="9" t="s">
        <v>0</v>
      </c>
      <c r="AA13" s="9" t="str">
        <f t="shared" si="37"/>
        <v>-</v>
      </c>
      <c r="AB13" s="9" t="s">
        <v>0</v>
      </c>
      <c r="AC13" s="9" t="str">
        <f t="shared" si="38"/>
        <v>-</v>
      </c>
      <c r="AD13" s="9" t="s">
        <v>0</v>
      </c>
      <c r="AE13" s="9" t="str">
        <f t="shared" si="39"/>
        <v>-</v>
      </c>
      <c r="AF13" s="9" t="s">
        <v>0</v>
      </c>
      <c r="AG13" s="9" t="s">
        <v>0</v>
      </c>
      <c r="AH13" s="9" t="s">
        <v>0</v>
      </c>
      <c r="AI13" s="9" t="s">
        <v>0</v>
      </c>
      <c r="AJ13" s="43" t="s">
        <v>0</v>
      </c>
      <c r="AK13" s="9" t="s">
        <v>0</v>
      </c>
      <c r="AL13" s="43" t="s">
        <v>0</v>
      </c>
      <c r="AM13" s="9" t="s">
        <v>0</v>
      </c>
      <c r="AN13" s="43" t="s">
        <v>0</v>
      </c>
      <c r="AO13" s="9" t="s">
        <v>0</v>
      </c>
      <c r="AP13" s="9" t="s">
        <v>0</v>
      </c>
      <c r="AQ13" s="43" t="s">
        <v>0</v>
      </c>
      <c r="AR13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3" s="9" t="str">
        <f t="shared" si="40"/>
        <v>-</v>
      </c>
      <c r="AT13" s="9">
        <f>IF(RIGHT(TIM[[#This Row],[Device type]],7)="Winding","-",TIM[[#This Row],[Cont Winter MVA]])</f>
        <v>47.631397208144122</v>
      </c>
      <c r="AU13" s="9">
        <f>IF(RIGHT(TIM[[#This Row],[Device type]],7)="Winding","-",TIM[[#This Row],[Cont Shoulder MVA]])</f>
        <v>47.631397208144122</v>
      </c>
      <c r="AV13" s="9">
        <f>IF(RIGHT(TIM[[#This Row],[Device type]],7)="Winding","-",TIM[[#This Row],[Cont Summer MVA]])</f>
        <v>47.631397208144122</v>
      </c>
      <c r="AW13" s="9">
        <f>TIM[[#This Row],[24 Hr Winter MVA]]</f>
        <v>47.631397208144122</v>
      </c>
      <c r="AX13" s="9">
        <f>TIM[[#This Row],[24 Hr Summer MVA]]</f>
        <v>47.631397208144122</v>
      </c>
      <c r="AY13" s="9" t="str">
        <f>TIM[[#This Row],[Forwards MVA]]</f>
        <v>-</v>
      </c>
      <c r="AZ13" s="9" t="str">
        <f>TIM[[#This Row],[Relay MVA]]</f>
        <v>-</v>
      </c>
      <c r="BA13" s="9" t="str">
        <f>TIM[[#This Row],[CT MVA]]</f>
        <v>-</v>
      </c>
      <c r="BB13" s="9" t="str">
        <f>TIM[[#This Row],[Derating MVA]]</f>
        <v>-</v>
      </c>
      <c r="BC13" s="9" t="str">
        <f>TIM[[#This Row],[Station/Feeder]]&amp;TIM[[#This Row],[Lowest MVA]]</f>
        <v>TIM_GXP47.6313972081441</v>
      </c>
      <c r="BD13" s="9" t="str">
        <f>CONCATENATE(TIM[[#This Row],[Supply Level]],TIM[[#This Row],[Station/Feeder]],TIM[[#This Row],[Voltage]],TIM[[#This Row],[Lowest A-No PTX]])</f>
        <v>GXPTIM_GXP112500</v>
      </c>
      <c r="BE13" s="9" t="str">
        <f>CONCATENATE(TIM[[#This Row],[Supply Level]],TIM[[#This Row],[Station/Feeder]],TIM[[#This Row],[Voltage]],TIM[[#This Row],[Lowest A-PTX]])</f>
        <v>GXPTIM_GXP112500</v>
      </c>
      <c r="BF13" s="9">
        <f>IFERROR(IF(MIN(TIM[[#This Row],[Summ Cont Winter A]:[Cable Derating]])=0,"",MIN(TIM[[#This Row],[Summ Cont Winter A]:[Cable Derating]])),"")</f>
        <v>47.631397208144122</v>
      </c>
      <c r="BG13" s="9">
        <f>IFERROR(TIM[[#This Row],[Lowest MVA]]*1000/(TIM[[#This Row],[Voltage]]*SQRT(3)),"")</f>
        <v>2500</v>
      </c>
      <c r="BH13" s="9">
        <f t="shared" si="10"/>
        <v>2500</v>
      </c>
      <c r="BI13" s="9" t="str">
        <f>TIM[[#This Row],[From]]</f>
        <v>110 kV Bus</v>
      </c>
      <c r="BJ13" s="9" t="str">
        <f>TIM[[#This Row],[To]]</f>
        <v>11 kV Bus</v>
      </c>
      <c r="BK13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Circuit breaker - TIM-CB2752 - Current Transformer</v>
      </c>
      <c r="BL13" s="9">
        <f>TIM[[#This Row],[Voltage]]</f>
        <v>11</v>
      </c>
    </row>
    <row r="14" spans="1:64" ht="15" hidden="1" customHeight="1" x14ac:dyDescent="0.3">
      <c r="A14" s="6" t="str">
        <f>CONCATENATE(TIM[[#This Row],[Supply Level]],TIM[[#This Row],[Station/Feeder]],TIM[[#This Row],[Voltage]],"T3")</f>
        <v>GXPTIM_GXP11T3</v>
      </c>
      <c r="B14" s="6" t="str">
        <f>CONCATENATE(TIM[[#This Row],[Supply Level]],TIM[[#This Row],[Station/Feeder]],TIM[[#This Row],[Equipment ID]],TIM[[#This Row],[Voltage]],TIM[[#This Row],[Device type]])</f>
        <v>GXPTIM_GXPTIM-CB275211Protection</v>
      </c>
      <c r="C14" s="6" t="s">
        <v>4</v>
      </c>
      <c r="D14" s="11" t="s">
        <v>75</v>
      </c>
      <c r="E14" s="6" t="s">
        <v>603</v>
      </c>
      <c r="F14" s="6" t="s">
        <v>243</v>
      </c>
      <c r="G14" s="27">
        <v>10</v>
      </c>
      <c r="H14" s="7" t="s">
        <v>795</v>
      </c>
      <c r="I14" s="7" t="s">
        <v>2216</v>
      </c>
      <c r="J14" s="7" t="s">
        <v>15</v>
      </c>
      <c r="K14" s="7" t="s">
        <v>1123</v>
      </c>
      <c r="L14" s="7" t="s">
        <v>1423</v>
      </c>
      <c r="M14" s="8">
        <v>11</v>
      </c>
      <c r="N14" s="9">
        <v>2500</v>
      </c>
      <c r="O14" s="9">
        <f t="shared" si="31"/>
        <v>47.631397208144122</v>
      </c>
      <c r="P14" s="9">
        <v>2500</v>
      </c>
      <c r="Q14" s="9">
        <f t="shared" si="32"/>
        <v>47.631397208144122</v>
      </c>
      <c r="R14" s="9">
        <v>2500</v>
      </c>
      <c r="S14" s="9">
        <f t="shared" si="33"/>
        <v>47.631397208144122</v>
      </c>
      <c r="T14" s="9" t="s">
        <v>0</v>
      </c>
      <c r="U14" s="9" t="str">
        <f t="shared" si="34"/>
        <v>-</v>
      </c>
      <c r="V14" s="9" t="s">
        <v>0</v>
      </c>
      <c r="W14" s="9" t="str">
        <f t="shared" si="35"/>
        <v>-</v>
      </c>
      <c r="X14" s="9">
        <v>1544</v>
      </c>
      <c r="Y14" s="9">
        <f t="shared" si="36"/>
        <v>29.417150915749811</v>
      </c>
      <c r="Z14" s="9" t="s">
        <v>0</v>
      </c>
      <c r="AA14" s="9" t="str">
        <f t="shared" si="37"/>
        <v>-</v>
      </c>
      <c r="AB14" s="9">
        <v>7200</v>
      </c>
      <c r="AC14" s="9">
        <f t="shared" si="38"/>
        <v>137.17842395945507</v>
      </c>
      <c r="AD14" s="9">
        <v>4800</v>
      </c>
      <c r="AE14" s="12">
        <f t="shared" si="39"/>
        <v>91.452282639636721</v>
      </c>
      <c r="AF14" s="9" t="s">
        <v>0</v>
      </c>
      <c r="AG14" s="9" t="s">
        <v>0</v>
      </c>
      <c r="AH14" s="8" t="s">
        <v>0</v>
      </c>
      <c r="AI14" s="9" t="s">
        <v>0</v>
      </c>
      <c r="AJ14" s="32" t="s">
        <v>0</v>
      </c>
      <c r="AK14" s="9" t="s">
        <v>0</v>
      </c>
      <c r="AL14" s="32" t="s">
        <v>0</v>
      </c>
      <c r="AM14" s="9" t="s">
        <v>0</v>
      </c>
      <c r="AN14" s="32" t="s">
        <v>0</v>
      </c>
      <c r="AO14" s="9" t="s">
        <v>0</v>
      </c>
      <c r="AP14" s="9" t="s">
        <v>0</v>
      </c>
      <c r="AQ14" s="32" t="s">
        <v>0</v>
      </c>
      <c r="AR1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4" s="9" t="str">
        <f t="shared" si="40"/>
        <v>-</v>
      </c>
      <c r="AT14" s="9">
        <f>IF(RIGHT(TIM[[#This Row],[Device type]],7)="Winding","-",TIM[[#This Row],[Cont Winter MVA]])</f>
        <v>47.631397208144122</v>
      </c>
      <c r="AU14" s="9">
        <f>IF(RIGHT(TIM[[#This Row],[Device type]],7)="Winding","-",TIM[[#This Row],[Cont Shoulder MVA]])</f>
        <v>47.631397208144122</v>
      </c>
      <c r="AV14" s="9">
        <f>IF(RIGHT(TIM[[#This Row],[Device type]],7)="Winding","-",TIM[[#This Row],[Cont Summer MVA]])</f>
        <v>47.631397208144122</v>
      </c>
      <c r="AW14" s="9" t="str">
        <f>TIM[[#This Row],[24 Hr Winter MVA]]</f>
        <v>-</v>
      </c>
      <c r="AX14" s="9" t="str">
        <f>TIM[[#This Row],[24 Hr Summer MVA]]</f>
        <v>-</v>
      </c>
      <c r="AY14" s="9">
        <f>TIM[[#This Row],[Forwards MVA]]</f>
        <v>29.417150915749811</v>
      </c>
      <c r="AZ14" s="9">
        <f>TIM[[#This Row],[Relay MVA]]</f>
        <v>137.17842395945507</v>
      </c>
      <c r="BA14" s="9">
        <f>TIM[[#This Row],[CT MVA]]</f>
        <v>91.452282639636721</v>
      </c>
      <c r="BB14" s="9" t="str">
        <f>TIM[[#This Row],[Derating MVA]]</f>
        <v>-</v>
      </c>
      <c r="BC14" s="9" t="str">
        <f>TIM[[#This Row],[Station/Feeder]]&amp;TIM[[#This Row],[Lowest MVA]]</f>
        <v>TIM_GXP29.4171509157498</v>
      </c>
      <c r="BD14" s="9" t="str">
        <f>CONCATENATE(TIM[[#This Row],[Supply Level]],TIM[[#This Row],[Station/Feeder]],TIM[[#This Row],[Voltage]],TIM[[#This Row],[Lowest A-No PTX]])</f>
        <v>GXPTIM_GXP111544</v>
      </c>
      <c r="BE14" s="9" t="str">
        <f>CONCATENATE(TIM[[#This Row],[Supply Level]],TIM[[#This Row],[Station/Feeder]],TIM[[#This Row],[Voltage]],TIM[[#This Row],[Lowest A-PTX]])</f>
        <v>GXPTIM_GXP111544</v>
      </c>
      <c r="BF14" s="9">
        <f>IFERROR(IF(MIN(TIM[[#This Row],[Summ Cont Winter A]:[Cable Derating]])=0,"",MIN(TIM[[#This Row],[Summ Cont Winter A]:[Cable Derating]])),"")</f>
        <v>29.417150915749811</v>
      </c>
      <c r="BG14" s="9">
        <f>IFERROR(TIM[[#This Row],[Lowest MVA]]*1000/(TIM[[#This Row],[Voltage]]*SQRT(3)),"")</f>
        <v>1544</v>
      </c>
      <c r="BH14" s="9">
        <f t="shared" si="10"/>
        <v>1544</v>
      </c>
      <c r="BI14" s="9" t="str">
        <f>TIM[[#This Row],[From]]</f>
        <v>110 kV Bus</v>
      </c>
      <c r="BJ14" s="9" t="str">
        <f>TIM[[#This Row],[To]]</f>
        <v>11 kV Bus</v>
      </c>
      <c r="BK1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Breaker-TIM-CB2752-Protection</v>
      </c>
      <c r="BL14" s="9">
        <f>TIM[[#This Row],[Voltage]]</f>
        <v>11</v>
      </c>
    </row>
    <row r="15" spans="1:64" ht="15" hidden="1" customHeight="1" x14ac:dyDescent="0.3">
      <c r="A15" s="6" t="str">
        <f>CONCATENATE(TIM[[#This Row],[Supply Level]],TIM[[#This Row],[Station/Feeder]],TIM[[#This Row],[Voltage]],"T3")</f>
        <v>GXPTIM_GXP11T3</v>
      </c>
      <c r="B15" s="6" t="str">
        <f>CONCATENATE(TIM[[#This Row],[Supply Level]],TIM[[#This Row],[Station/Feeder]],TIM[[#This Row],[Equipment ID]],TIM[[#This Row],[Voltage]],TIM[[#This Row],[Device type]])</f>
        <v>GXPTIM_GXPTIM-CB2752-OEL11Other Equipment</v>
      </c>
      <c r="C15" s="6" t="s">
        <v>4</v>
      </c>
      <c r="D15" s="6" t="s">
        <v>75</v>
      </c>
      <c r="E15" s="6" t="s">
        <v>603</v>
      </c>
      <c r="F15" s="6" t="s">
        <v>243</v>
      </c>
      <c r="G15" s="8">
        <v>11</v>
      </c>
      <c r="H15" s="7" t="s">
        <v>795</v>
      </c>
      <c r="I15" s="6" t="s">
        <v>2271</v>
      </c>
      <c r="J15" s="6" t="s">
        <v>48</v>
      </c>
      <c r="K15" s="6"/>
      <c r="L15" s="6" t="s">
        <v>48</v>
      </c>
      <c r="M15" s="8">
        <v>11</v>
      </c>
      <c r="N15" s="9">
        <v>2880</v>
      </c>
      <c r="O15" s="9">
        <f t="shared" si="31"/>
        <v>54.871369583782027</v>
      </c>
      <c r="P15" s="9">
        <v>2880</v>
      </c>
      <c r="Q15" s="9">
        <f t="shared" si="32"/>
        <v>54.871369583782027</v>
      </c>
      <c r="R15" s="9">
        <v>2880</v>
      </c>
      <c r="S15" s="9">
        <f t="shared" si="33"/>
        <v>54.871369583782027</v>
      </c>
      <c r="T15" s="9">
        <v>2880</v>
      </c>
      <c r="U15" s="9">
        <f t="shared" si="34"/>
        <v>54.871369583782027</v>
      </c>
      <c r="V15" s="9">
        <v>2880</v>
      </c>
      <c r="W15" s="9">
        <f t="shared" si="35"/>
        <v>54.871369583782027</v>
      </c>
      <c r="X15" s="9" t="s">
        <v>0</v>
      </c>
      <c r="Y15" s="9" t="str">
        <f t="shared" si="36"/>
        <v>-</v>
      </c>
      <c r="Z15" s="9" t="s">
        <v>0</v>
      </c>
      <c r="AA15" s="9" t="str">
        <f t="shared" si="37"/>
        <v>-</v>
      </c>
      <c r="AB15" s="9" t="s">
        <v>0</v>
      </c>
      <c r="AC15" s="9" t="str">
        <f t="shared" si="38"/>
        <v>-</v>
      </c>
      <c r="AD15" s="9" t="s">
        <v>0</v>
      </c>
      <c r="AE15" s="9" t="str">
        <f t="shared" si="39"/>
        <v>-</v>
      </c>
      <c r="AF15" s="9" t="s">
        <v>0</v>
      </c>
      <c r="AG15" s="9" t="s">
        <v>0</v>
      </c>
      <c r="AH15" s="9" t="s">
        <v>0</v>
      </c>
      <c r="AI15" s="9" t="s">
        <v>0</v>
      </c>
      <c r="AJ15" s="43" t="s">
        <v>0</v>
      </c>
      <c r="AK15" s="9" t="s">
        <v>0</v>
      </c>
      <c r="AL15" s="43" t="s">
        <v>0</v>
      </c>
      <c r="AM15" s="9" t="s">
        <v>0</v>
      </c>
      <c r="AN15" s="43" t="s">
        <v>0</v>
      </c>
      <c r="AO15" s="9" t="s">
        <v>0</v>
      </c>
      <c r="AP15" s="9" t="s">
        <v>0</v>
      </c>
      <c r="AQ15" s="43" t="s">
        <v>0</v>
      </c>
      <c r="AR15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5" s="9" t="str">
        <f t="shared" si="40"/>
        <v>-</v>
      </c>
      <c r="AT15" s="9">
        <f>IF(RIGHT(TIM[[#This Row],[Device type]],7)="Winding","-",TIM[[#This Row],[Cont Winter MVA]])</f>
        <v>54.871369583782027</v>
      </c>
      <c r="AU15" s="9">
        <f>IF(RIGHT(TIM[[#This Row],[Device type]],7)="Winding","-",TIM[[#This Row],[Cont Shoulder MVA]])</f>
        <v>54.871369583782027</v>
      </c>
      <c r="AV15" s="9">
        <f>IF(RIGHT(TIM[[#This Row],[Device type]],7)="Winding","-",TIM[[#This Row],[Cont Summer MVA]])</f>
        <v>54.871369583782027</v>
      </c>
      <c r="AW15" s="9">
        <f>TIM[[#This Row],[24 Hr Winter MVA]]</f>
        <v>54.871369583782027</v>
      </c>
      <c r="AX15" s="9">
        <f>TIM[[#This Row],[24 Hr Summer MVA]]</f>
        <v>54.871369583782027</v>
      </c>
      <c r="AY15" s="9" t="str">
        <f>TIM[[#This Row],[Forwards MVA]]</f>
        <v>-</v>
      </c>
      <c r="AZ15" s="9" t="str">
        <f>TIM[[#This Row],[Relay MVA]]</f>
        <v>-</v>
      </c>
      <c r="BA15" s="9" t="str">
        <f>TIM[[#This Row],[CT MVA]]</f>
        <v>-</v>
      </c>
      <c r="BB15" s="9" t="str">
        <f>TIM[[#This Row],[Derating MVA]]</f>
        <v>-</v>
      </c>
      <c r="BC15" s="9" t="str">
        <f>TIM[[#This Row],[Station/Feeder]]&amp;TIM[[#This Row],[Lowest MVA]]</f>
        <v>TIM_GXP54.871369583782</v>
      </c>
      <c r="BD15" s="9" t="str">
        <f>CONCATENATE(TIM[[#This Row],[Supply Level]],TIM[[#This Row],[Station/Feeder]],TIM[[#This Row],[Voltage]],TIM[[#This Row],[Lowest A-No PTX]])</f>
        <v>GXPTIM_GXP112880</v>
      </c>
      <c r="BE15" s="9" t="str">
        <f>CONCATENATE(TIM[[#This Row],[Supply Level]],TIM[[#This Row],[Station/Feeder]],TIM[[#This Row],[Voltage]],TIM[[#This Row],[Lowest A-PTX]])</f>
        <v>GXPTIM_GXP112880</v>
      </c>
      <c r="BF15" s="9">
        <f>IFERROR(IF(MIN(TIM[[#This Row],[Summ Cont Winter A]:[Cable Derating]])=0,"",MIN(TIM[[#This Row],[Summ Cont Winter A]:[Cable Derating]])),"")</f>
        <v>54.871369583782027</v>
      </c>
      <c r="BG15" s="9">
        <f>IFERROR(TIM[[#This Row],[Lowest MVA]]*1000/(TIM[[#This Row],[Voltage]]*SQRT(3)),"")</f>
        <v>2880</v>
      </c>
      <c r="BH15" s="9">
        <f t="shared" si="10"/>
        <v>2880</v>
      </c>
      <c r="BI15" s="9" t="str">
        <f>TIM[[#This Row],[From]]</f>
        <v>110 kV Bus</v>
      </c>
      <c r="BJ15" s="9" t="str">
        <f>TIM[[#This Row],[To]]</f>
        <v>11 kV Bus</v>
      </c>
      <c r="BK15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Other Equipment - TIM-CB2752-OEL - Other Equipment</v>
      </c>
      <c r="BL15" s="9">
        <f>TIM[[#This Row],[Voltage]]</f>
        <v>11</v>
      </c>
    </row>
    <row r="16" spans="1:64" ht="15" hidden="1" customHeight="1" x14ac:dyDescent="0.3">
      <c r="A16" s="6" t="str">
        <f>CONCATENATE(TIM[[#This Row],[Supply Level]],TIM[[#This Row],[Station/Feeder]],TIM[[#This Row],[Voltage]],"T3")</f>
        <v>GXPTIM_GXP11T3</v>
      </c>
      <c r="B16" s="6" t="str">
        <f>CONCATENATE(TIM[[#This Row],[Supply Level]],TIM[[#This Row],[Station/Feeder]],TIM[[#This Row],[Equipment ID]],TIM[[#This Row],[Voltage]],TIM[[#This Row],[Device type]])</f>
        <v>GXPTIM_GXPTIM-CBL-T3-CB275211Cable</v>
      </c>
      <c r="C16" s="6" t="s">
        <v>4</v>
      </c>
      <c r="D16" s="11" t="s">
        <v>75</v>
      </c>
      <c r="E16" s="6" t="s">
        <v>603</v>
      </c>
      <c r="F16" s="6" t="s">
        <v>243</v>
      </c>
      <c r="G16" s="27">
        <v>12</v>
      </c>
      <c r="H16" s="7" t="s">
        <v>795</v>
      </c>
      <c r="I16" s="7" t="s">
        <v>797</v>
      </c>
      <c r="J16" s="7" t="s">
        <v>250</v>
      </c>
      <c r="K16" s="7" t="s">
        <v>0</v>
      </c>
      <c r="L16" s="7" t="s">
        <v>250</v>
      </c>
      <c r="M16" s="8">
        <v>11</v>
      </c>
      <c r="N16" s="9">
        <v>2534</v>
      </c>
      <c r="O16" s="9">
        <f t="shared" si="0"/>
        <v>48.279184210174883</v>
      </c>
      <c r="P16" s="9" t="s">
        <v>0</v>
      </c>
      <c r="Q16" s="9" t="str">
        <f t="shared" si="1"/>
        <v>-</v>
      </c>
      <c r="R16" s="9">
        <v>2534</v>
      </c>
      <c r="S16" s="9">
        <f t="shared" si="2"/>
        <v>48.279184210174883</v>
      </c>
      <c r="T16" s="9" t="s">
        <v>0</v>
      </c>
      <c r="U16" s="9" t="str">
        <f t="shared" si="3"/>
        <v>-</v>
      </c>
      <c r="V16" s="9" t="s">
        <v>0</v>
      </c>
      <c r="W16" s="9" t="str">
        <f t="shared" si="4"/>
        <v>-</v>
      </c>
      <c r="X16" s="9" t="s">
        <v>0</v>
      </c>
      <c r="Y16" s="9" t="str">
        <f t="shared" si="5"/>
        <v>-</v>
      </c>
      <c r="Z16" s="9" t="s">
        <v>0</v>
      </c>
      <c r="AA16" s="9" t="str">
        <f t="shared" si="6"/>
        <v>-</v>
      </c>
      <c r="AB16" s="9" t="s">
        <v>0</v>
      </c>
      <c r="AC16" s="9" t="str">
        <f t="shared" si="7"/>
        <v>-</v>
      </c>
      <c r="AD16" s="9" t="s">
        <v>0</v>
      </c>
      <c r="AE16" s="12" t="str">
        <f t="shared" si="8"/>
        <v>-</v>
      </c>
      <c r="AF16" s="29" t="s">
        <v>0</v>
      </c>
      <c r="AG16" s="29" t="s">
        <v>0</v>
      </c>
      <c r="AH16" s="8" t="s">
        <v>0</v>
      </c>
      <c r="AI16" s="29" t="s">
        <v>0</v>
      </c>
      <c r="AJ16" s="32" t="s">
        <v>0</v>
      </c>
      <c r="AK16" s="29" t="s">
        <v>0</v>
      </c>
      <c r="AL16" s="32" t="s">
        <v>0</v>
      </c>
      <c r="AM16" s="29" t="s">
        <v>0</v>
      </c>
      <c r="AN16" s="32" t="s">
        <v>0</v>
      </c>
      <c r="AO16" s="29" t="s">
        <v>0</v>
      </c>
      <c r="AP16" s="29" t="s">
        <v>0</v>
      </c>
      <c r="AQ16" s="32" t="s">
        <v>0</v>
      </c>
      <c r="AR16" s="9">
        <v>2534</v>
      </c>
      <c r="AS16" s="9">
        <f t="shared" si="9"/>
        <v>48.279184210174883</v>
      </c>
      <c r="AT16" s="9">
        <f>IF(RIGHT(TIM[[#This Row],[Device type]],7)="Winding","-",TIM[[#This Row],[Cont Winter MVA]])</f>
        <v>48.279184210174883</v>
      </c>
      <c r="AU16" s="9" t="str">
        <f>IF(RIGHT(TIM[[#This Row],[Device type]],7)="Winding","-",TIM[[#This Row],[Cont Shoulder MVA]])</f>
        <v>-</v>
      </c>
      <c r="AV16" s="9">
        <f>IF(RIGHT(TIM[[#This Row],[Device type]],7)="Winding","-",TIM[[#This Row],[Cont Summer MVA]])</f>
        <v>48.279184210174883</v>
      </c>
      <c r="AW16" s="9" t="str">
        <f>TIM[[#This Row],[24 Hr Winter MVA]]</f>
        <v>-</v>
      </c>
      <c r="AX16" s="9" t="str">
        <f>TIM[[#This Row],[24 Hr Summer MVA]]</f>
        <v>-</v>
      </c>
      <c r="AY16" s="9" t="str">
        <f>TIM[[#This Row],[Forwards MVA]]</f>
        <v>-</v>
      </c>
      <c r="AZ16" s="9" t="str">
        <f>TIM[[#This Row],[Relay MVA]]</f>
        <v>-</v>
      </c>
      <c r="BA16" s="9" t="str">
        <f>TIM[[#This Row],[CT MVA]]</f>
        <v>-</v>
      </c>
      <c r="BB16" s="9">
        <f>TIM[[#This Row],[Derating MVA]]</f>
        <v>48.279184210174883</v>
      </c>
      <c r="BC16" s="9" t="str">
        <f>TIM[[#This Row],[Station/Feeder]]&amp;TIM[[#This Row],[Lowest MVA]]</f>
        <v>TIM_GXP48.2791842101749</v>
      </c>
      <c r="BD16" s="9" t="str">
        <f>CONCATENATE(TIM[[#This Row],[Supply Level]],TIM[[#This Row],[Station/Feeder]],TIM[[#This Row],[Voltage]],TIM[[#This Row],[Lowest A-No PTX]])</f>
        <v>GXPTIM_GXP112534</v>
      </c>
      <c r="BE16" s="9" t="str">
        <f>CONCATENATE(TIM[[#This Row],[Supply Level]],TIM[[#This Row],[Station/Feeder]],TIM[[#This Row],[Voltage]],TIM[[#This Row],[Lowest A-PTX]])</f>
        <v>GXPTIM_GXP112534</v>
      </c>
      <c r="BF16" s="9">
        <f>IFERROR(IF(MIN(TIM[[#This Row],[Summ Cont Winter A]:[Cable Derating]])=0,"",MIN(TIM[[#This Row],[Summ Cont Winter A]:[Cable Derating]])),"")</f>
        <v>48.279184210174883</v>
      </c>
      <c r="BG16" s="9">
        <f>IFERROR(TIM[[#This Row],[Lowest MVA]]*1000/(TIM[[#This Row],[Voltage]]*SQRT(3)),"")</f>
        <v>2534</v>
      </c>
      <c r="BH16" s="9">
        <f t="shared" si="10"/>
        <v>2534</v>
      </c>
      <c r="BI16" s="9" t="str">
        <f>TIM[[#This Row],[From]]</f>
        <v>110 kV Bus</v>
      </c>
      <c r="BJ16" s="9" t="str">
        <f>TIM[[#This Row],[To]]</f>
        <v>11 kV Bus</v>
      </c>
      <c r="BK1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Cable-TIM-CBL-T3-CB2752-Cable</v>
      </c>
      <c r="BL16" s="9">
        <f>TIM[[#This Row],[Voltage]]</f>
        <v>11</v>
      </c>
    </row>
    <row r="17" spans="1:64" ht="15" hidden="1" customHeight="1" x14ac:dyDescent="0.3">
      <c r="A17" s="6" t="str">
        <f>CONCATENATE(TIM[[#This Row],[Supply Level]],TIM[[#This Row],[Station/Feeder]],TIM[[#This Row],[Voltage]],"T4")</f>
        <v>GXPTIM_GXP110T4</v>
      </c>
      <c r="B17" s="6" t="str">
        <f>CONCATENATE(TIM[[#This Row],[Supply Level]],TIM[[#This Row],[Station/Feeder]],TIM[[#This Row],[Equipment ID]],TIM[[#This Row],[Voltage]],TIM[[#This Row],[Device type]])</f>
        <v>GXPTIM_GXPTIM-DS-44110HV Disconnector</v>
      </c>
      <c r="C17" s="6" t="s">
        <v>4</v>
      </c>
      <c r="D17" s="11" t="s">
        <v>75</v>
      </c>
      <c r="E17" s="6" t="s">
        <v>603</v>
      </c>
      <c r="F17" s="6" t="s">
        <v>243</v>
      </c>
      <c r="G17" s="8">
        <v>1</v>
      </c>
      <c r="H17" s="7" t="s">
        <v>798</v>
      </c>
      <c r="I17" s="6" t="s">
        <v>1410</v>
      </c>
      <c r="J17" s="6" t="s">
        <v>17</v>
      </c>
      <c r="K17" s="6" t="s">
        <v>0</v>
      </c>
      <c r="L17" s="6" t="s">
        <v>1406</v>
      </c>
      <c r="M17" s="8">
        <v>110</v>
      </c>
      <c r="N17" s="9">
        <v>800</v>
      </c>
      <c r="O17" s="9">
        <f>IF(OR(N17="",N17="-"),"-",N17*$M17*SQRT(3)/1000)</f>
        <v>152.4204710660612</v>
      </c>
      <c r="P17" s="9" t="s">
        <v>0</v>
      </c>
      <c r="Q17" s="9" t="str">
        <f>IF(OR(P17="",P17="-"),"-",P17*$M17*SQRT(3)/1000)</f>
        <v>-</v>
      </c>
      <c r="R17" s="9">
        <v>800</v>
      </c>
      <c r="S17" s="9">
        <f>IF(OR(R17="",R17="-"),"-",R17*$M17*SQRT(3)/1000)</f>
        <v>152.4204710660612</v>
      </c>
      <c r="T17" s="9" t="s">
        <v>0</v>
      </c>
      <c r="U17" s="9" t="str">
        <f>IF(OR(T17="",T17="-"),"-",T17*$M17*SQRT(3)/1000)</f>
        <v>-</v>
      </c>
      <c r="V17" s="9" t="s">
        <v>0</v>
      </c>
      <c r="W17" s="9" t="str">
        <f>IF(OR(V17="",V17="-"),"-",V17*$M17*SQRT(3)/1000)</f>
        <v>-</v>
      </c>
      <c r="X17" s="9" t="s">
        <v>0</v>
      </c>
      <c r="Y17" s="9" t="str">
        <f>IF(OR(X17="",X17="-"),"-",X17*$M17*SQRT(3)/1000)</f>
        <v>-</v>
      </c>
      <c r="Z17" s="9" t="s">
        <v>0</v>
      </c>
      <c r="AA17" s="9" t="str">
        <f>IF(OR(Z17="",Z17="-"),"-",Z17*$M17*SQRT(3)/1000)</f>
        <v>-</v>
      </c>
      <c r="AB17" s="9" t="s">
        <v>0</v>
      </c>
      <c r="AC17" s="9" t="str">
        <f>IF(OR(AB17="",AB17="-"),"-",AB17*$M17*SQRT(3)/1000)</f>
        <v>-</v>
      </c>
      <c r="AD17" s="9" t="s">
        <v>0</v>
      </c>
      <c r="AE17" s="9" t="str">
        <f>IF(OR(AD17="",AD17="-"),"-",AD17*$M17*SQRT(3)/1000)</f>
        <v>-</v>
      </c>
      <c r="AF17" s="29" t="s">
        <v>0</v>
      </c>
      <c r="AG17" s="29" t="s">
        <v>0</v>
      </c>
      <c r="AH17" s="8" t="s">
        <v>0</v>
      </c>
      <c r="AI17" s="29" t="s">
        <v>0</v>
      </c>
      <c r="AJ17" s="32" t="s">
        <v>0</v>
      </c>
      <c r="AK17" s="29" t="s">
        <v>0</v>
      </c>
      <c r="AL17" s="32" t="s">
        <v>0</v>
      </c>
      <c r="AM17" s="29" t="s">
        <v>0</v>
      </c>
      <c r="AN17" s="32" t="s">
        <v>0</v>
      </c>
      <c r="AO17" s="29" t="s">
        <v>0</v>
      </c>
      <c r="AP17" s="29" t="s">
        <v>0</v>
      </c>
      <c r="AQ17" s="32" t="s">
        <v>0</v>
      </c>
      <c r="AR17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7" s="9" t="str">
        <f>IF(OR(AR17="",AR17="-"),"-",AR17*$M17*SQRT(3)/1000)</f>
        <v>-</v>
      </c>
      <c r="AT17" s="9">
        <f>IF(RIGHT(TIM[[#This Row],[Device type]],7)="Winding","-",TIM[[#This Row],[Cont Winter MVA]])</f>
        <v>152.4204710660612</v>
      </c>
      <c r="AU17" s="9" t="str">
        <f>IF(RIGHT(TIM[[#This Row],[Device type]],7)="Winding","-",TIM[[#This Row],[Cont Shoulder MVA]])</f>
        <v>-</v>
      </c>
      <c r="AV17" s="9">
        <f>IF(RIGHT(TIM[[#This Row],[Device type]],7)="Winding","-",TIM[[#This Row],[Cont Summer MVA]])</f>
        <v>152.4204710660612</v>
      </c>
      <c r="AW17" s="9" t="str">
        <f>TIM[[#This Row],[24 Hr Winter MVA]]</f>
        <v>-</v>
      </c>
      <c r="AX17" s="9" t="str">
        <f>TIM[[#This Row],[24 Hr Summer MVA]]</f>
        <v>-</v>
      </c>
      <c r="AY17" s="9" t="str">
        <f>TIM[[#This Row],[Forwards MVA]]</f>
        <v>-</v>
      </c>
      <c r="AZ17" s="9" t="str">
        <f>TIM[[#This Row],[Relay MVA]]</f>
        <v>-</v>
      </c>
      <c r="BA17" s="9" t="str">
        <f>TIM[[#This Row],[CT MVA]]</f>
        <v>-</v>
      </c>
      <c r="BB17" s="9" t="str">
        <f>TIM[[#This Row],[Derating MVA]]</f>
        <v>-</v>
      </c>
      <c r="BC17" s="9" t="str">
        <f>TIM[[#This Row],[Station/Feeder]]&amp;TIM[[#This Row],[Lowest MVA]]</f>
        <v>TIM_GXP152.420471066061</v>
      </c>
      <c r="BD17" s="9" t="str">
        <f>CONCATENATE(TIM[[#This Row],[Supply Level]],TIM[[#This Row],[Station/Feeder]],TIM[[#This Row],[Voltage]],TIM[[#This Row],[Lowest A-No PTX]])</f>
        <v>GXPTIM_GXP110800</v>
      </c>
      <c r="BE17" s="9" t="str">
        <f>CONCATENATE(TIM[[#This Row],[Supply Level]],TIM[[#This Row],[Station/Feeder]],TIM[[#This Row],[Voltage]],TIM[[#This Row],[Lowest A-PTX]])</f>
        <v>GXPTIM_GXP110800</v>
      </c>
      <c r="BF17" s="9">
        <f>IFERROR(IF(MIN(TIM[[#This Row],[Summ Cont Winter A]:[Cable Derating]])=0,"",MIN(TIM[[#This Row],[Summ Cont Winter A]:[Cable Derating]])),"")</f>
        <v>152.4204710660612</v>
      </c>
      <c r="BG17" s="9">
        <f>IFERROR(TIM[[#This Row],[Lowest MVA]]*1000/(TIM[[#This Row],[Voltage]]*SQRT(3)),"")</f>
        <v>800.00000000000011</v>
      </c>
      <c r="BH17" s="9">
        <f t="shared" si="10"/>
        <v>800</v>
      </c>
      <c r="BI17" s="9" t="str">
        <f>TIM[[#This Row],[From]]</f>
        <v>110 kV Bus</v>
      </c>
      <c r="BJ17" s="9" t="str">
        <f>TIM[[#This Row],[To]]</f>
        <v>11 kV Bus</v>
      </c>
      <c r="BK17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Disconnector - TIM-DS-44 - HV Disconnector</v>
      </c>
      <c r="BL17" s="9">
        <f>TIM[[#This Row],[Voltage]]</f>
        <v>110</v>
      </c>
    </row>
    <row r="18" spans="1:64" ht="15" hidden="1" customHeight="1" x14ac:dyDescent="0.3">
      <c r="A18" s="6" t="str">
        <f>CONCATENATE(TIM[[#This Row],[Supply Level]],TIM[[#This Row],[Station/Feeder]],TIM[[#This Row],[Voltage]],"T4")</f>
        <v>GXPTIM_GXP110T4</v>
      </c>
      <c r="B18" s="6" t="str">
        <f>CONCATENATE(TIM[[#This Row],[Supply Level]],TIM[[#This Row],[Station/Feeder]],TIM[[#This Row],[Equipment ID]],TIM[[#This Row],[Voltage]],TIM[[#This Row],[Device type]])</f>
        <v>GXPTIM_GXPTIM-CB42110HV Circuit breaker</v>
      </c>
      <c r="C18" s="6" t="s">
        <v>4</v>
      </c>
      <c r="D18" s="11" t="s">
        <v>75</v>
      </c>
      <c r="E18" s="6" t="s">
        <v>603</v>
      </c>
      <c r="F18" s="6" t="s">
        <v>243</v>
      </c>
      <c r="G18" s="8">
        <v>2</v>
      </c>
      <c r="H18" s="7" t="s">
        <v>798</v>
      </c>
      <c r="I18" s="6" t="s">
        <v>2217</v>
      </c>
      <c r="J18" s="6" t="s">
        <v>1409</v>
      </c>
      <c r="K18" s="6" t="s">
        <v>0</v>
      </c>
      <c r="L18" s="6" t="s">
        <v>1408</v>
      </c>
      <c r="M18" s="8">
        <v>110</v>
      </c>
      <c r="N18" s="9">
        <v>3150</v>
      </c>
      <c r="O18" s="9">
        <f>IF(OR(N18="",N18="-"),"-",N18*$M18*SQRT(3)/1000)</f>
        <v>600.15560482261594</v>
      </c>
      <c r="P18" s="9" t="s">
        <v>0</v>
      </c>
      <c r="Q18" s="9" t="str">
        <f>IF(OR(P18="",P18="-"),"-",P18*$M18*SQRT(3)/1000)</f>
        <v>-</v>
      </c>
      <c r="R18" s="9">
        <v>3150</v>
      </c>
      <c r="S18" s="9">
        <f>IF(OR(R18="",R18="-"),"-",R18*$M18*SQRT(3)/1000)</f>
        <v>600.15560482261594</v>
      </c>
      <c r="T18" s="9">
        <v>3150</v>
      </c>
      <c r="U18" s="9">
        <f>IF(OR(T18="",T18="-"),"-",T18*$M18*SQRT(3)/1000)</f>
        <v>600.15560482261594</v>
      </c>
      <c r="V18" s="9">
        <v>3150</v>
      </c>
      <c r="W18" s="9">
        <f>IF(OR(V18="",V18="-"),"-",V18*$M18*SQRT(3)/1000)</f>
        <v>600.15560482261594</v>
      </c>
      <c r="X18" s="9">
        <v>446</v>
      </c>
      <c r="Y18" s="9">
        <f>IF(OR(X18="",X18="-"),"-",X18*$M18*SQRT(3)/1000)</f>
        <v>84.974412619329115</v>
      </c>
      <c r="Z18" s="9">
        <v>446</v>
      </c>
      <c r="AA18" s="9">
        <f>IF(OR(Z18="",Z18="-"),"-",Z18*$M18*SQRT(3)/1000)</f>
        <v>84.974412619329115</v>
      </c>
      <c r="AB18" s="9">
        <v>900</v>
      </c>
      <c r="AC18" s="9">
        <f>IF(OR(AB18="",AB18="-"),"-",AB18*$M18*SQRT(3)/1000)</f>
        <v>171.47302994931886</v>
      </c>
      <c r="AD18" s="9">
        <v>600</v>
      </c>
      <c r="AE18" s="9">
        <f>IF(OR(AD18="",AD18="-"),"-",AD18*$M18*SQRT(3)/1000)</f>
        <v>114.31535329954589</v>
      </c>
      <c r="AF18" s="29" t="s">
        <v>0</v>
      </c>
      <c r="AG18" s="29" t="s">
        <v>0</v>
      </c>
      <c r="AH18" s="8" t="s">
        <v>0</v>
      </c>
      <c r="AI18" s="29" t="s">
        <v>0</v>
      </c>
      <c r="AJ18" s="32" t="s">
        <v>0</v>
      </c>
      <c r="AK18" s="29" t="s">
        <v>0</v>
      </c>
      <c r="AL18" s="32" t="s">
        <v>0</v>
      </c>
      <c r="AM18" s="29" t="s">
        <v>0</v>
      </c>
      <c r="AN18" s="32" t="s">
        <v>0</v>
      </c>
      <c r="AO18" s="29" t="s">
        <v>0</v>
      </c>
      <c r="AP18" s="29" t="s">
        <v>0</v>
      </c>
      <c r="AQ18" s="32" t="s">
        <v>0</v>
      </c>
      <c r="AR18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8" s="9" t="str">
        <f>IF(OR(AR18="",AR18="-"),"-",AR18*$M18*SQRT(3)/1000)</f>
        <v>-</v>
      </c>
      <c r="AT18" s="9">
        <f>IF(RIGHT(TIM[[#This Row],[Device type]],7)="Winding","-",TIM[[#This Row],[Cont Winter MVA]])</f>
        <v>600.15560482261594</v>
      </c>
      <c r="AU18" s="9" t="str">
        <f>IF(RIGHT(TIM[[#This Row],[Device type]],7)="Winding","-",TIM[[#This Row],[Cont Shoulder MVA]])</f>
        <v>-</v>
      </c>
      <c r="AV18" s="9">
        <f>IF(RIGHT(TIM[[#This Row],[Device type]],7)="Winding","-",TIM[[#This Row],[Cont Summer MVA]])</f>
        <v>600.15560482261594</v>
      </c>
      <c r="AW18" s="9">
        <f>TIM[[#This Row],[24 Hr Winter MVA]]</f>
        <v>600.15560482261594</v>
      </c>
      <c r="AX18" s="9">
        <f>TIM[[#This Row],[24 Hr Summer MVA]]</f>
        <v>600.15560482261594</v>
      </c>
      <c r="AY18" s="9">
        <f>TIM[[#This Row],[Forwards MVA]]</f>
        <v>84.974412619329115</v>
      </c>
      <c r="AZ18" s="9">
        <f>TIM[[#This Row],[Relay MVA]]</f>
        <v>171.47302994931886</v>
      </c>
      <c r="BA18" s="9">
        <f>TIM[[#This Row],[CT MVA]]</f>
        <v>114.31535329954589</v>
      </c>
      <c r="BB18" s="9" t="str">
        <f>TIM[[#This Row],[Derating MVA]]</f>
        <v>-</v>
      </c>
      <c r="BC18" s="9" t="str">
        <f>TIM[[#This Row],[Station/Feeder]]&amp;TIM[[#This Row],[Lowest MVA]]</f>
        <v>TIM_GXP84.9744126193291</v>
      </c>
      <c r="BD18" s="9" t="str">
        <f>CONCATENATE(TIM[[#This Row],[Supply Level]],TIM[[#This Row],[Station/Feeder]],TIM[[#This Row],[Voltage]],TIM[[#This Row],[Lowest A-No PTX]])</f>
        <v>GXPTIM_GXP110446</v>
      </c>
      <c r="BE18" s="9" t="str">
        <f>CONCATENATE(TIM[[#This Row],[Supply Level]],TIM[[#This Row],[Station/Feeder]],TIM[[#This Row],[Voltage]],TIM[[#This Row],[Lowest A-PTX]])</f>
        <v>GXPTIM_GXP110446</v>
      </c>
      <c r="BF18" s="9">
        <f>IFERROR(IF(MIN(TIM[[#This Row],[Summ Cont Winter A]:[Cable Derating]])=0,"",MIN(TIM[[#This Row],[Summ Cont Winter A]:[Cable Derating]])),"")</f>
        <v>84.974412619329115</v>
      </c>
      <c r="BG18" s="9">
        <f>IFERROR(TIM[[#This Row],[Lowest MVA]]*1000/(TIM[[#This Row],[Voltage]]*SQRT(3)),"")</f>
        <v>446</v>
      </c>
      <c r="BH18" s="9">
        <f t="shared" si="10"/>
        <v>446</v>
      </c>
      <c r="BI18" s="9" t="str">
        <f>TIM[[#This Row],[From]]</f>
        <v>110 kV Bus</v>
      </c>
      <c r="BJ18" s="9" t="str">
        <f>TIM[[#This Row],[To]]</f>
        <v>11 kV Bus</v>
      </c>
      <c r="BK18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Circuit breaker - TIM-CB42 - HV Circuit breaker</v>
      </c>
      <c r="BL18" s="9">
        <f>TIM[[#This Row],[Voltage]]</f>
        <v>110</v>
      </c>
    </row>
    <row r="19" spans="1:64" ht="15" hidden="1" customHeight="1" x14ac:dyDescent="0.3">
      <c r="A19" s="6" t="str">
        <f>CONCATENATE(TIM[[#This Row],[Supply Level]],TIM[[#This Row],[Station/Feeder]],TIM[[#This Row],[Voltage]],"T4")</f>
        <v>GXPTIM_GXP110T4</v>
      </c>
      <c r="B19" s="6" t="str">
        <f>CONCATENATE(TIM[[#This Row],[Supply Level]],TIM[[#This Row],[Station/Feeder]],TIM[[#This Row],[Equipment ID]],TIM[[#This Row],[Voltage]],TIM[[#This Row],[Device type]])</f>
        <v>GXPTIM_GXPTIM-CB42110Protection</v>
      </c>
      <c r="C19" s="6" t="s">
        <v>4</v>
      </c>
      <c r="D19" s="6" t="s">
        <v>75</v>
      </c>
      <c r="E19" s="6" t="s">
        <v>603</v>
      </c>
      <c r="F19" s="6" t="s">
        <v>243</v>
      </c>
      <c r="G19" s="8">
        <v>3</v>
      </c>
      <c r="H19" s="7" t="s">
        <v>798</v>
      </c>
      <c r="I19" s="6" t="s">
        <v>2217</v>
      </c>
      <c r="J19" s="6" t="s">
        <v>1409</v>
      </c>
      <c r="K19" s="6" t="s">
        <v>0</v>
      </c>
      <c r="L19" s="6" t="s">
        <v>1423</v>
      </c>
      <c r="M19" s="8">
        <v>110</v>
      </c>
      <c r="N19" s="9" t="s">
        <v>0</v>
      </c>
      <c r="O19" s="9" t="str">
        <f>IF(OR(N19="",N19="-"),"-",N19*$M19*SQRT(3)/1000)</f>
        <v>-</v>
      </c>
      <c r="P19" s="9" t="s">
        <v>0</v>
      </c>
      <c r="Q19" s="9" t="str">
        <f>IF(OR(P19="",P19="-"),"-",P19*$M19*SQRT(3)/1000)</f>
        <v>-</v>
      </c>
      <c r="R19" s="9" t="s">
        <v>0</v>
      </c>
      <c r="S19" s="9" t="str">
        <f>IF(OR(R19="",R19="-"),"-",R19*$M19*SQRT(3)/1000)</f>
        <v>-</v>
      </c>
      <c r="T19" s="9" t="s">
        <v>0</v>
      </c>
      <c r="U19" s="9" t="str">
        <f>IF(OR(T19="",T19="-"),"-",T19*$M19*SQRT(3)/1000)</f>
        <v>-</v>
      </c>
      <c r="V19" s="9" t="s">
        <v>0</v>
      </c>
      <c r="W19" s="9" t="str">
        <f>IF(OR(V19="",V19="-"),"-",V19*$M19*SQRT(3)/1000)</f>
        <v>-</v>
      </c>
      <c r="X19" s="9">
        <v>1308</v>
      </c>
      <c r="Y19" s="9">
        <f>IF(OR(X19="",X19="-"),"-",X19*$M19*SQRT(3)/1000)</f>
        <v>249.20747019301007</v>
      </c>
      <c r="Z19" s="9">
        <v>1308</v>
      </c>
      <c r="AA19" s="9">
        <f>IF(OR(Z19="",Z19="-"),"-",Z19*$M19*SQRT(3)/1000)</f>
        <v>249.20747019301007</v>
      </c>
      <c r="AB19" s="9">
        <v>1200</v>
      </c>
      <c r="AC19" s="9">
        <f>IF(OR(AB19="",AB19="-"),"-",AB19*$M19*SQRT(3)/1000)</f>
        <v>228.63070659909178</v>
      </c>
      <c r="AD19" s="9">
        <v>600</v>
      </c>
      <c r="AE19" s="9">
        <f>IF(OR(AD19="",AD19="-"),"-",AD19*$M19*SQRT(3)/1000)</f>
        <v>114.31535329954589</v>
      </c>
      <c r="AF19" s="9" t="s">
        <v>0</v>
      </c>
      <c r="AG19" s="9" t="s">
        <v>0</v>
      </c>
      <c r="AH19" s="9" t="s">
        <v>0</v>
      </c>
      <c r="AI19" s="9" t="s">
        <v>0</v>
      </c>
      <c r="AJ19" s="43" t="s">
        <v>0</v>
      </c>
      <c r="AK19" s="9" t="s">
        <v>0</v>
      </c>
      <c r="AL19" s="43" t="s">
        <v>0</v>
      </c>
      <c r="AM19" s="9" t="s">
        <v>0</v>
      </c>
      <c r="AN19" s="43" t="s">
        <v>0</v>
      </c>
      <c r="AO19" s="9" t="s">
        <v>0</v>
      </c>
      <c r="AP19" s="9" t="s">
        <v>0</v>
      </c>
      <c r="AQ19" s="43" t="s">
        <v>0</v>
      </c>
      <c r="AR19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9" s="9" t="str">
        <f>IF(OR(AR19="",AR19="-"),"-",AR19*$M19*SQRT(3)/1000)</f>
        <v>-</v>
      </c>
      <c r="AT19" s="9" t="str">
        <f>IF(RIGHT(TIM[[#This Row],[Device type]],7)="Winding","-",TIM[[#This Row],[Cont Winter MVA]])</f>
        <v>-</v>
      </c>
      <c r="AU19" s="9" t="str">
        <f>IF(RIGHT(TIM[[#This Row],[Device type]],7)="Winding","-",TIM[[#This Row],[Cont Shoulder MVA]])</f>
        <v>-</v>
      </c>
      <c r="AV19" s="9" t="str">
        <f>IF(RIGHT(TIM[[#This Row],[Device type]],7)="Winding","-",TIM[[#This Row],[Cont Summer MVA]])</f>
        <v>-</v>
      </c>
      <c r="AW19" s="9" t="str">
        <f>TIM[[#This Row],[24 Hr Winter MVA]]</f>
        <v>-</v>
      </c>
      <c r="AX19" s="9" t="str">
        <f>TIM[[#This Row],[24 Hr Summer MVA]]</f>
        <v>-</v>
      </c>
      <c r="AY19" s="9">
        <f>TIM[[#This Row],[Forwards MVA]]</f>
        <v>249.20747019301007</v>
      </c>
      <c r="AZ19" s="9">
        <f>TIM[[#This Row],[Relay MVA]]</f>
        <v>228.63070659909178</v>
      </c>
      <c r="BA19" s="9">
        <f>TIM[[#This Row],[CT MVA]]</f>
        <v>114.31535329954589</v>
      </c>
      <c r="BB19" s="9" t="str">
        <f>TIM[[#This Row],[Derating MVA]]</f>
        <v>-</v>
      </c>
      <c r="BC19" s="9" t="str">
        <f>TIM[[#This Row],[Station/Feeder]]&amp;TIM[[#This Row],[Lowest MVA]]</f>
        <v>TIM_GXP114.315353299546</v>
      </c>
      <c r="BD19" s="9" t="str">
        <f>CONCATENATE(TIM[[#This Row],[Supply Level]],TIM[[#This Row],[Station/Feeder]],TIM[[#This Row],[Voltage]],TIM[[#This Row],[Lowest A-No PTX]])</f>
        <v>GXPTIM_GXP110600</v>
      </c>
      <c r="BE19" s="9" t="str">
        <f>CONCATENATE(TIM[[#This Row],[Supply Level]],TIM[[#This Row],[Station/Feeder]],TIM[[#This Row],[Voltage]],TIM[[#This Row],[Lowest A-PTX]])</f>
        <v>GXPTIM_GXP110600</v>
      </c>
      <c r="BF19" s="9">
        <f>IFERROR(IF(MIN(TIM[[#This Row],[Summ Cont Winter A]:[Cable Derating]])=0,"",MIN(TIM[[#This Row],[Summ Cont Winter A]:[Cable Derating]])),"")</f>
        <v>114.31535329954589</v>
      </c>
      <c r="BG19" s="9">
        <f>IFERROR(TIM[[#This Row],[Lowest MVA]]*1000/(TIM[[#This Row],[Voltage]]*SQRT(3)),"")</f>
        <v>600</v>
      </c>
      <c r="BH19" s="9">
        <f t="shared" si="10"/>
        <v>600</v>
      </c>
      <c r="BI19" s="9" t="str">
        <f>TIM[[#This Row],[From]]</f>
        <v>110 kV Bus</v>
      </c>
      <c r="BJ19" s="9" t="str">
        <f>TIM[[#This Row],[To]]</f>
        <v>11 kV Bus</v>
      </c>
      <c r="BK19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Circuit breaker - TIM-CB42 - Protection</v>
      </c>
      <c r="BL19" s="9">
        <f>TIM[[#This Row],[Voltage]]</f>
        <v>110</v>
      </c>
    </row>
    <row r="20" spans="1:64" ht="15" hidden="1" customHeight="1" x14ac:dyDescent="0.3">
      <c r="A20" s="6" t="str">
        <f>CONCATENATE(TIM[[#This Row],[Supply Level]],TIM[[#This Row],[Station/Feeder]],TIM[[#This Row],[Voltage]],"T4")</f>
        <v>GXPTIM_GXP110T4</v>
      </c>
      <c r="B20" s="6" t="str">
        <f>CONCATENATE(TIM[[#This Row],[Supply Level]],TIM[[#This Row],[Station/Feeder]],TIM[[#This Row],[Equipment ID]],TIM[[#This Row],[Voltage]],TIM[[#This Row],[Device type]])</f>
        <v>GXPTIM_GXPTIM-CB42110Current Transformer</v>
      </c>
      <c r="C20" s="6" t="s">
        <v>4</v>
      </c>
      <c r="D20" s="6" t="s">
        <v>75</v>
      </c>
      <c r="E20" s="6" t="s">
        <v>603</v>
      </c>
      <c r="F20" s="6" t="s">
        <v>243</v>
      </c>
      <c r="G20" s="8">
        <v>4</v>
      </c>
      <c r="H20" s="7" t="s">
        <v>798</v>
      </c>
      <c r="I20" s="6" t="s">
        <v>2217</v>
      </c>
      <c r="J20" s="6" t="s">
        <v>1409</v>
      </c>
      <c r="K20" s="6" t="s">
        <v>0</v>
      </c>
      <c r="L20" s="6" t="s">
        <v>16</v>
      </c>
      <c r="M20" s="8">
        <v>110</v>
      </c>
      <c r="N20" s="9">
        <v>1250</v>
      </c>
      <c r="O20" s="9">
        <f>IF(OR(N20="",N20="-"),"-",N20*$M20*SQRT(3)/1000)</f>
        <v>238.1569860407206</v>
      </c>
      <c r="P20" s="9" t="s">
        <v>0</v>
      </c>
      <c r="Q20" s="9" t="str">
        <f>IF(OR(P20="",P20="-"),"-",P20*$M20*SQRT(3)/1000)</f>
        <v>-</v>
      </c>
      <c r="R20" s="9">
        <v>1250</v>
      </c>
      <c r="S20" s="9">
        <f>IF(OR(R20="",R20="-"),"-",R20*$M20*SQRT(3)/1000)</f>
        <v>238.1569860407206</v>
      </c>
      <c r="T20" s="9">
        <v>1250</v>
      </c>
      <c r="U20" s="9">
        <f>IF(OR(T20="",T20="-"),"-",T20*$M20*SQRT(3)/1000)</f>
        <v>238.1569860407206</v>
      </c>
      <c r="V20" s="9">
        <v>1250</v>
      </c>
      <c r="W20" s="9">
        <f>IF(OR(V20="",V20="-"),"-",V20*$M20*SQRT(3)/1000)</f>
        <v>238.1569860407206</v>
      </c>
      <c r="X20" s="9" t="s">
        <v>0</v>
      </c>
      <c r="Y20" s="9" t="str">
        <f>IF(OR(X20="",X20="-"),"-",X20*$M20*SQRT(3)/1000)</f>
        <v>-</v>
      </c>
      <c r="Z20" s="9" t="s">
        <v>0</v>
      </c>
      <c r="AA20" s="9" t="str">
        <f>IF(OR(Z20="",Z20="-"),"-",Z20*$M20*SQRT(3)/1000)</f>
        <v>-</v>
      </c>
      <c r="AB20" s="9" t="s">
        <v>0</v>
      </c>
      <c r="AC20" s="9" t="str">
        <f>IF(OR(AB20="",AB20="-"),"-",AB20*$M20*SQRT(3)/1000)</f>
        <v>-</v>
      </c>
      <c r="AD20" s="9" t="s">
        <v>0</v>
      </c>
      <c r="AE20" s="9" t="str">
        <f>IF(OR(AD20="",AD20="-"),"-",AD20*$M20*SQRT(3)/1000)</f>
        <v>-</v>
      </c>
      <c r="AF20" s="9" t="s">
        <v>0</v>
      </c>
      <c r="AG20" s="9" t="s">
        <v>0</v>
      </c>
      <c r="AH20" s="9" t="s">
        <v>0</v>
      </c>
      <c r="AI20" s="9" t="s">
        <v>0</v>
      </c>
      <c r="AJ20" s="43" t="s">
        <v>0</v>
      </c>
      <c r="AK20" s="9" t="s">
        <v>0</v>
      </c>
      <c r="AL20" s="43" t="s">
        <v>0</v>
      </c>
      <c r="AM20" s="9" t="s">
        <v>0</v>
      </c>
      <c r="AN20" s="43" t="s">
        <v>0</v>
      </c>
      <c r="AO20" s="9" t="s">
        <v>0</v>
      </c>
      <c r="AP20" s="9" t="s">
        <v>0</v>
      </c>
      <c r="AQ20" s="43" t="s">
        <v>0</v>
      </c>
      <c r="AR2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0" s="9" t="str">
        <f>IF(OR(AR20="",AR20="-"),"-",AR20*$M20*SQRT(3)/1000)</f>
        <v>-</v>
      </c>
      <c r="AT20" s="9">
        <f>IF(RIGHT(TIM[[#This Row],[Device type]],7)="Winding","-",TIM[[#This Row],[Cont Winter MVA]])</f>
        <v>238.1569860407206</v>
      </c>
      <c r="AU20" s="9" t="str">
        <f>IF(RIGHT(TIM[[#This Row],[Device type]],7)="Winding","-",TIM[[#This Row],[Cont Shoulder MVA]])</f>
        <v>-</v>
      </c>
      <c r="AV20" s="9">
        <f>IF(RIGHT(TIM[[#This Row],[Device type]],7)="Winding","-",TIM[[#This Row],[Cont Summer MVA]])</f>
        <v>238.1569860407206</v>
      </c>
      <c r="AW20" s="9">
        <f>TIM[[#This Row],[24 Hr Winter MVA]]</f>
        <v>238.1569860407206</v>
      </c>
      <c r="AX20" s="9">
        <f>TIM[[#This Row],[24 Hr Summer MVA]]</f>
        <v>238.1569860407206</v>
      </c>
      <c r="AY20" s="9" t="str">
        <f>TIM[[#This Row],[Forwards MVA]]</f>
        <v>-</v>
      </c>
      <c r="AZ20" s="9" t="str">
        <f>TIM[[#This Row],[Relay MVA]]</f>
        <v>-</v>
      </c>
      <c r="BA20" s="9" t="str">
        <f>TIM[[#This Row],[CT MVA]]</f>
        <v>-</v>
      </c>
      <c r="BB20" s="9" t="str">
        <f>TIM[[#This Row],[Derating MVA]]</f>
        <v>-</v>
      </c>
      <c r="BC20" s="9" t="str">
        <f>TIM[[#This Row],[Station/Feeder]]&amp;TIM[[#This Row],[Lowest MVA]]</f>
        <v>TIM_GXP238.156986040721</v>
      </c>
      <c r="BD20" s="9" t="str">
        <f>CONCATENATE(TIM[[#This Row],[Supply Level]],TIM[[#This Row],[Station/Feeder]],TIM[[#This Row],[Voltage]],TIM[[#This Row],[Lowest A-No PTX]])</f>
        <v>GXPTIM_GXP1101250</v>
      </c>
      <c r="BE20" s="9" t="str">
        <f>CONCATENATE(TIM[[#This Row],[Supply Level]],TIM[[#This Row],[Station/Feeder]],TIM[[#This Row],[Voltage]],TIM[[#This Row],[Lowest A-PTX]])</f>
        <v>GXPTIM_GXP1101250</v>
      </c>
      <c r="BF20" s="9">
        <f>IFERROR(IF(MIN(TIM[[#This Row],[Summ Cont Winter A]:[Cable Derating]])=0,"",MIN(TIM[[#This Row],[Summ Cont Winter A]:[Cable Derating]])),"")</f>
        <v>238.1569860407206</v>
      </c>
      <c r="BG20" s="9">
        <f>IFERROR(TIM[[#This Row],[Lowest MVA]]*1000/(TIM[[#This Row],[Voltage]]*SQRT(3)),"")</f>
        <v>1250</v>
      </c>
      <c r="BH20" s="9">
        <f t="shared" si="10"/>
        <v>1250</v>
      </c>
      <c r="BI20" s="9" t="str">
        <f>TIM[[#This Row],[From]]</f>
        <v>110 kV Bus</v>
      </c>
      <c r="BJ20" s="9" t="str">
        <f>TIM[[#This Row],[To]]</f>
        <v>11 kV Bus</v>
      </c>
      <c r="BK20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Circuit breaker - TIM-CB42 - Current Transformer</v>
      </c>
      <c r="BL20" s="9">
        <f>TIM[[#This Row],[Voltage]]</f>
        <v>110</v>
      </c>
    </row>
    <row r="21" spans="1:64" ht="15" hidden="1" customHeight="1" x14ac:dyDescent="0.3">
      <c r="A21" s="6" t="str">
        <f>CONCATENATE(TIM[[#This Row],[Supply Level]],TIM[[#This Row],[Station/Feeder]],TIM[[#This Row],[Voltage]],"T4")</f>
        <v>GXPTIM_GXP110T4</v>
      </c>
      <c r="B21" s="6" t="str">
        <f>CONCATENATE(TIM[[#This Row],[Supply Level]],TIM[[#This Row],[Station/Feeder]],TIM[[#This Row],[Equipment ID]],TIM[[#This Row],[Voltage]],TIM[[#This Row],[Device type]])</f>
        <v>GXPTIM_GXPTIM-CB42110Bushings</v>
      </c>
      <c r="C21" s="6" t="s">
        <v>4</v>
      </c>
      <c r="D21" s="6" t="s">
        <v>75</v>
      </c>
      <c r="E21" s="6" t="s">
        <v>603</v>
      </c>
      <c r="F21" s="6" t="s">
        <v>243</v>
      </c>
      <c r="G21" s="8">
        <v>5</v>
      </c>
      <c r="H21" s="7" t="s">
        <v>798</v>
      </c>
      <c r="I21" s="6" t="s">
        <v>2217</v>
      </c>
      <c r="J21" s="6" t="s">
        <v>19</v>
      </c>
      <c r="K21" s="6" t="s">
        <v>0</v>
      </c>
      <c r="L21" s="6" t="s">
        <v>18</v>
      </c>
      <c r="M21" s="8">
        <v>110</v>
      </c>
      <c r="N21" s="9">
        <v>2100</v>
      </c>
      <c r="O21" s="9">
        <f>IF(OR(N21="",N21="-"),"-",N21*$M21*SQRT(3)/1000)</f>
        <v>400.10373654841061</v>
      </c>
      <c r="P21" s="9" t="s">
        <v>0</v>
      </c>
      <c r="Q21" s="9" t="str">
        <f>IF(OR(P21="",P21="-"),"-",P21*$M21*SQRT(3)/1000)</f>
        <v>-</v>
      </c>
      <c r="R21" s="9">
        <v>2100</v>
      </c>
      <c r="S21" s="9">
        <f>IF(OR(R21="",R21="-"),"-",R21*$M21*SQRT(3)/1000)</f>
        <v>400.10373654841061</v>
      </c>
      <c r="T21" s="9">
        <v>2520</v>
      </c>
      <c r="U21" s="9">
        <f>IF(OR(T21="",T21="-"),"-",T21*$M21*SQRT(3)/1000)</f>
        <v>480.12448385809273</v>
      </c>
      <c r="V21" s="9">
        <v>2520</v>
      </c>
      <c r="W21" s="9">
        <f>IF(OR(V21="",V21="-"),"-",V21*$M21*SQRT(3)/1000)</f>
        <v>480.12448385809273</v>
      </c>
      <c r="X21" s="9" t="s">
        <v>0</v>
      </c>
      <c r="Y21" s="9" t="str">
        <f>IF(OR(X21="",X21="-"),"-",X21*$M21*SQRT(3)/1000)</f>
        <v>-</v>
      </c>
      <c r="Z21" s="9" t="s">
        <v>0</v>
      </c>
      <c r="AA21" s="9" t="str">
        <f>IF(OR(Z21="",Z21="-"),"-",Z21*$M21*SQRT(3)/1000)</f>
        <v>-</v>
      </c>
      <c r="AB21" s="9" t="s">
        <v>0</v>
      </c>
      <c r="AC21" s="9" t="str">
        <f>IF(OR(AB21="",AB21="-"),"-",AB21*$M21*SQRT(3)/1000)</f>
        <v>-</v>
      </c>
      <c r="AD21" s="9" t="s">
        <v>0</v>
      </c>
      <c r="AE21" s="9" t="str">
        <f>IF(OR(AD21="",AD21="-"),"-",AD21*$M21*SQRT(3)/1000)</f>
        <v>-</v>
      </c>
      <c r="AF21" s="9" t="s">
        <v>0</v>
      </c>
      <c r="AG21" s="9" t="s">
        <v>0</v>
      </c>
      <c r="AH21" s="9" t="s">
        <v>0</v>
      </c>
      <c r="AI21" s="9" t="s">
        <v>0</v>
      </c>
      <c r="AJ21" s="43" t="s">
        <v>0</v>
      </c>
      <c r="AK21" s="9" t="s">
        <v>0</v>
      </c>
      <c r="AL21" s="43" t="s">
        <v>0</v>
      </c>
      <c r="AM21" s="9" t="s">
        <v>0</v>
      </c>
      <c r="AN21" s="43" t="s">
        <v>0</v>
      </c>
      <c r="AO21" s="9" t="s">
        <v>0</v>
      </c>
      <c r="AP21" s="9" t="s">
        <v>0</v>
      </c>
      <c r="AQ21" s="43" t="s">
        <v>0</v>
      </c>
      <c r="AR2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1" s="9" t="str">
        <f>IF(OR(AR21="",AR21="-"),"-",AR21*$M21*SQRT(3)/1000)</f>
        <v>-</v>
      </c>
      <c r="AT21" s="9">
        <f>IF(RIGHT(TIM[[#This Row],[Device type]],7)="Winding","-",TIM[[#This Row],[Cont Winter MVA]])</f>
        <v>400.10373654841061</v>
      </c>
      <c r="AU21" s="9" t="str">
        <f>IF(RIGHT(TIM[[#This Row],[Device type]],7)="Winding","-",TIM[[#This Row],[Cont Shoulder MVA]])</f>
        <v>-</v>
      </c>
      <c r="AV21" s="9">
        <f>IF(RIGHT(TIM[[#This Row],[Device type]],7)="Winding","-",TIM[[#This Row],[Cont Summer MVA]])</f>
        <v>400.10373654841061</v>
      </c>
      <c r="AW21" s="9">
        <f>TIM[[#This Row],[24 Hr Winter MVA]]</f>
        <v>480.12448385809273</v>
      </c>
      <c r="AX21" s="9">
        <f>TIM[[#This Row],[24 Hr Summer MVA]]</f>
        <v>480.12448385809273</v>
      </c>
      <c r="AY21" s="9" t="str">
        <f>TIM[[#This Row],[Forwards MVA]]</f>
        <v>-</v>
      </c>
      <c r="AZ21" s="9" t="str">
        <f>TIM[[#This Row],[Relay MVA]]</f>
        <v>-</v>
      </c>
      <c r="BA21" s="9" t="str">
        <f>TIM[[#This Row],[CT MVA]]</f>
        <v>-</v>
      </c>
      <c r="BB21" s="9" t="str">
        <f>TIM[[#This Row],[Derating MVA]]</f>
        <v>-</v>
      </c>
      <c r="BC21" s="9" t="str">
        <f>TIM[[#This Row],[Station/Feeder]]&amp;TIM[[#This Row],[Lowest MVA]]</f>
        <v>TIM_GXP400.103736548411</v>
      </c>
      <c r="BD21" s="9" t="str">
        <f>CONCATENATE(TIM[[#This Row],[Supply Level]],TIM[[#This Row],[Station/Feeder]],TIM[[#This Row],[Voltage]],TIM[[#This Row],[Lowest A-No PTX]])</f>
        <v>GXPTIM_GXP1102100</v>
      </c>
      <c r="BE21" s="9" t="str">
        <f>CONCATENATE(TIM[[#This Row],[Supply Level]],TIM[[#This Row],[Station/Feeder]],TIM[[#This Row],[Voltage]],TIM[[#This Row],[Lowest A-PTX]])</f>
        <v>GXPTIM_GXP1102100</v>
      </c>
      <c r="BF21" s="9">
        <f>IFERROR(IF(MIN(TIM[[#This Row],[Summ Cont Winter A]:[Cable Derating]])=0,"",MIN(TIM[[#This Row],[Summ Cont Winter A]:[Cable Derating]])),"")</f>
        <v>400.10373654841061</v>
      </c>
      <c r="BG21" s="9">
        <f>IFERROR(TIM[[#This Row],[Lowest MVA]]*1000/(TIM[[#This Row],[Voltage]]*SQRT(3)),"")</f>
        <v>2100</v>
      </c>
      <c r="BH21" s="9">
        <f t="shared" si="10"/>
        <v>2100</v>
      </c>
      <c r="BI21" s="9" t="str">
        <f>TIM[[#This Row],[From]]</f>
        <v>110 kV Bus</v>
      </c>
      <c r="BJ21" s="9" t="str">
        <f>TIM[[#This Row],[To]]</f>
        <v>11 kV Bus</v>
      </c>
      <c r="BK21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Transformer - TIM-CB42 - Bushings</v>
      </c>
      <c r="BL21" s="9">
        <f>TIM[[#This Row],[Voltage]]</f>
        <v>110</v>
      </c>
    </row>
    <row r="22" spans="1:64" ht="15.75" hidden="1" thickBot="1" x14ac:dyDescent="0.3">
      <c r="A22" s="6" t="str">
        <f>CONCATENATE(TIM[[#This Row],[Supply Level]],TIM[[#This Row],[Station/Feeder]],TIM[[#This Row],[Voltage]],"T4")</f>
        <v>GXPTIM_GXP110T4</v>
      </c>
      <c r="B22" s="6" t="str">
        <f>CONCATENATE(TIM[[#This Row],[Supply Level]],TIM[[#This Row],[Station/Feeder]],TIM[[#This Row],[Equipment ID]],TIM[[#This Row],[Voltage]],TIM[[#This Row],[Device type]])</f>
        <v>GXPTIM_GXPTIM.TF.T4110HV Winding</v>
      </c>
      <c r="C22" s="6" t="s">
        <v>4</v>
      </c>
      <c r="D22" s="11" t="s">
        <v>75</v>
      </c>
      <c r="E22" s="6" t="s">
        <v>603</v>
      </c>
      <c r="F22" s="6" t="s">
        <v>243</v>
      </c>
      <c r="G22" s="27">
        <v>6</v>
      </c>
      <c r="H22" s="7" t="s">
        <v>798</v>
      </c>
      <c r="I22" s="7" t="s">
        <v>799</v>
      </c>
      <c r="J22" s="7" t="s">
        <v>19</v>
      </c>
      <c r="K22" s="7" t="s">
        <v>0</v>
      </c>
      <c r="L22" s="7" t="s">
        <v>36</v>
      </c>
      <c r="M22" s="8">
        <v>110</v>
      </c>
      <c r="N22" s="9">
        <f>47000/(TIM[[#This Row],[Voltage]]*SQRT(3))</f>
        <v>246.68602410829467</v>
      </c>
      <c r="O22" s="9">
        <f t="shared" si="0"/>
        <v>47</v>
      </c>
      <c r="P22" s="9" t="s">
        <v>0</v>
      </c>
      <c r="Q22" s="9" t="str">
        <f t="shared" si="1"/>
        <v>-</v>
      </c>
      <c r="R22" s="9" t="s">
        <v>0</v>
      </c>
      <c r="S22" s="9" t="str">
        <f t="shared" si="2"/>
        <v>-</v>
      </c>
      <c r="T22" s="9">
        <v>336</v>
      </c>
      <c r="U22" s="9">
        <f t="shared" si="3"/>
        <v>64.0165978477457</v>
      </c>
      <c r="V22" s="9">
        <v>323</v>
      </c>
      <c r="W22" s="9">
        <f t="shared" si="4"/>
        <v>61.539765192922204</v>
      </c>
      <c r="X22" s="9" t="s">
        <v>0</v>
      </c>
      <c r="Y22" s="9" t="str">
        <f t="shared" si="5"/>
        <v>-</v>
      </c>
      <c r="Z22" s="9" t="s">
        <v>0</v>
      </c>
      <c r="AA22" s="9" t="str">
        <f t="shared" si="6"/>
        <v>-</v>
      </c>
      <c r="AB22" s="9" t="s">
        <v>0</v>
      </c>
      <c r="AC22" s="9" t="str">
        <f t="shared" si="7"/>
        <v>-</v>
      </c>
      <c r="AD22" s="9" t="s">
        <v>0</v>
      </c>
      <c r="AE22" s="12" t="str">
        <f t="shared" si="8"/>
        <v>-</v>
      </c>
      <c r="AF22" s="29" t="s">
        <v>0</v>
      </c>
      <c r="AG22" s="29" t="s">
        <v>0</v>
      </c>
      <c r="AH22" s="8" t="s">
        <v>0</v>
      </c>
      <c r="AI22" s="29" t="s">
        <v>0</v>
      </c>
      <c r="AJ22" s="32" t="s">
        <v>0</v>
      </c>
      <c r="AK22" s="29" t="s">
        <v>0</v>
      </c>
      <c r="AL22" s="32" t="s">
        <v>0</v>
      </c>
      <c r="AM22" s="29" t="s">
        <v>0</v>
      </c>
      <c r="AN22" s="32" t="s">
        <v>0</v>
      </c>
      <c r="AO22" s="29" t="s">
        <v>0</v>
      </c>
      <c r="AP22" s="29" t="s">
        <v>0</v>
      </c>
      <c r="AQ22" s="32" t="s">
        <v>0</v>
      </c>
      <c r="AR22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2" s="9" t="str">
        <f t="shared" si="9"/>
        <v>-</v>
      </c>
      <c r="AT22" s="9" t="str">
        <f>IF(RIGHT(TIM[[#This Row],[Device type]],7)="Winding","-",TIM[[#This Row],[Cont Winter MVA]])</f>
        <v>-</v>
      </c>
      <c r="AU22" s="9" t="str">
        <f>IF(RIGHT(TIM[[#This Row],[Device type]],7)="Winding","-",TIM[[#This Row],[Cont Shoulder MVA]])</f>
        <v>-</v>
      </c>
      <c r="AV22" s="9" t="str">
        <f>IF(RIGHT(TIM[[#This Row],[Device type]],7)="Winding","-",TIM[[#This Row],[Cont Summer MVA]])</f>
        <v>-</v>
      </c>
      <c r="AW22" s="9">
        <f>TIM[[#This Row],[24 Hr Winter MVA]]</f>
        <v>64.0165978477457</v>
      </c>
      <c r="AX22" s="9">
        <f>TIM[[#This Row],[24 Hr Summer MVA]]</f>
        <v>61.539765192922204</v>
      </c>
      <c r="AY22" s="9" t="str">
        <f>TIM[[#This Row],[Forwards MVA]]</f>
        <v>-</v>
      </c>
      <c r="AZ22" s="9" t="str">
        <f>TIM[[#This Row],[Relay MVA]]</f>
        <v>-</v>
      </c>
      <c r="BA22" s="9" t="str">
        <f>TIM[[#This Row],[CT MVA]]</f>
        <v>-</v>
      </c>
      <c r="BB22" s="9" t="str">
        <f>TIM[[#This Row],[Derating MVA]]</f>
        <v>-</v>
      </c>
      <c r="BC22" s="9" t="str">
        <f>TIM[[#This Row],[Station/Feeder]]&amp;TIM[[#This Row],[Lowest MVA]]</f>
        <v>TIM_GXP61.5397651929222</v>
      </c>
      <c r="BD22" s="9" t="str">
        <f>CONCATENATE(TIM[[#This Row],[Supply Level]],TIM[[#This Row],[Station/Feeder]],TIM[[#This Row],[Voltage]],TIM[[#This Row],[Lowest A-No PTX]])</f>
        <v>GXPTIM_GXP110323</v>
      </c>
      <c r="BE22" s="9" t="str">
        <f>CONCATENATE(TIM[[#This Row],[Supply Level]],TIM[[#This Row],[Station/Feeder]],TIM[[#This Row],[Voltage]],TIM[[#This Row],[Lowest A-PTX]])</f>
        <v>GXPTIM_GXP110246.686024108295</v>
      </c>
      <c r="BF22" s="9">
        <f>IFERROR(IF(MIN(TIM[[#This Row],[Summ Cont Winter A]:[Cable Derating]])=0,"",MIN(TIM[[#This Row],[Summ Cont Winter A]:[Cable Derating]])),"")</f>
        <v>61.539765192922204</v>
      </c>
      <c r="BG22" s="9">
        <f>IFERROR(TIM[[#This Row],[Lowest MVA]]*1000/(TIM[[#This Row],[Voltage]]*SQRT(3)),"")</f>
        <v>323</v>
      </c>
      <c r="BH22" s="9">
        <f t="shared" si="10"/>
        <v>246.68602410829467</v>
      </c>
      <c r="BI22" s="9" t="str">
        <f>TIM[[#This Row],[From]]</f>
        <v>110 kV Bus</v>
      </c>
      <c r="BJ22" s="9" t="str">
        <f>TIM[[#This Row],[To]]</f>
        <v>11 kV Bus</v>
      </c>
      <c r="BK2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Transformer-TIM.TF.T4-HV Winding</v>
      </c>
      <c r="BL22" s="9">
        <f>TIM[[#This Row],[Voltage]]</f>
        <v>110</v>
      </c>
    </row>
    <row r="23" spans="1:64" ht="15.75" hidden="1" thickBot="1" x14ac:dyDescent="0.3">
      <c r="A23" s="6" t="str">
        <f>CONCATENATE(TIM[[#This Row],[Supply Level]],TIM[[#This Row],[Station/Feeder]],TIM[[#This Row],[Voltage]],"T4")</f>
        <v>GXPTIM_GXP11T4</v>
      </c>
      <c r="B23" s="6" t="str">
        <f>CONCATENATE(TIM[[#This Row],[Supply Level]],TIM[[#This Row],[Station/Feeder]],TIM[[#This Row],[Equipment ID]],TIM[[#This Row],[Voltage]],TIM[[#This Row],[Device type]])</f>
        <v>GXPTIM_GXPTIM.TF.T411LV Winding</v>
      </c>
      <c r="C23" s="6" t="s">
        <v>4</v>
      </c>
      <c r="D23" s="11" t="s">
        <v>75</v>
      </c>
      <c r="E23" s="6" t="s">
        <v>603</v>
      </c>
      <c r="F23" s="6" t="s">
        <v>243</v>
      </c>
      <c r="G23" s="27">
        <v>7</v>
      </c>
      <c r="H23" s="7" t="s">
        <v>798</v>
      </c>
      <c r="I23" s="7" t="s">
        <v>799</v>
      </c>
      <c r="J23" s="7" t="s">
        <v>19</v>
      </c>
      <c r="K23" s="7" t="s">
        <v>0</v>
      </c>
      <c r="L23" s="7" t="s">
        <v>37</v>
      </c>
      <c r="M23" s="8">
        <v>11</v>
      </c>
      <c r="N23" s="9">
        <f>47000/(TIM[[#This Row],[Voltage]]*SQRT(3))</f>
        <v>2466.8602410829467</v>
      </c>
      <c r="O23" s="9">
        <f t="shared" si="0"/>
        <v>47</v>
      </c>
      <c r="P23" s="9" t="s">
        <v>0</v>
      </c>
      <c r="Q23" s="9" t="str">
        <f t="shared" si="1"/>
        <v>-</v>
      </c>
      <c r="R23" s="9" t="s">
        <v>0</v>
      </c>
      <c r="S23" s="9" t="str">
        <f t="shared" si="2"/>
        <v>-</v>
      </c>
      <c r="T23" s="9">
        <v>3228</v>
      </c>
      <c r="U23" s="9">
        <f t="shared" si="3"/>
        <v>61.501660075155691</v>
      </c>
      <c r="V23" s="9">
        <v>3364</v>
      </c>
      <c r="W23" s="9">
        <f t="shared" si="4"/>
        <v>64.092808083278726</v>
      </c>
      <c r="X23" s="9" t="s">
        <v>0</v>
      </c>
      <c r="Y23" s="9" t="str">
        <f t="shared" si="5"/>
        <v>-</v>
      </c>
      <c r="Z23" s="9" t="s">
        <v>0</v>
      </c>
      <c r="AA23" s="9" t="str">
        <f t="shared" si="6"/>
        <v>-</v>
      </c>
      <c r="AB23" s="9" t="s">
        <v>0</v>
      </c>
      <c r="AC23" s="9" t="str">
        <f t="shared" si="7"/>
        <v>-</v>
      </c>
      <c r="AD23" s="9" t="s">
        <v>0</v>
      </c>
      <c r="AE23" s="12" t="str">
        <f t="shared" si="8"/>
        <v>-</v>
      </c>
      <c r="AF23" s="29" t="s">
        <v>0</v>
      </c>
      <c r="AG23" s="29" t="s">
        <v>0</v>
      </c>
      <c r="AH23" s="8" t="s">
        <v>0</v>
      </c>
      <c r="AI23" s="29" t="s">
        <v>0</v>
      </c>
      <c r="AJ23" s="32" t="s">
        <v>0</v>
      </c>
      <c r="AK23" s="29" t="s">
        <v>0</v>
      </c>
      <c r="AL23" s="32" t="s">
        <v>0</v>
      </c>
      <c r="AM23" s="29" t="s">
        <v>0</v>
      </c>
      <c r="AN23" s="32" t="s">
        <v>0</v>
      </c>
      <c r="AO23" s="29" t="s">
        <v>0</v>
      </c>
      <c r="AP23" s="29" t="s">
        <v>0</v>
      </c>
      <c r="AQ23" s="32" t="s">
        <v>0</v>
      </c>
      <c r="AR23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3" s="9" t="str">
        <f t="shared" si="9"/>
        <v>-</v>
      </c>
      <c r="AT23" s="9" t="str">
        <f>IF(RIGHT(TIM[[#This Row],[Device type]],7)="Winding","-",TIM[[#This Row],[Cont Winter MVA]])</f>
        <v>-</v>
      </c>
      <c r="AU23" s="9" t="str">
        <f>IF(RIGHT(TIM[[#This Row],[Device type]],7)="Winding","-",TIM[[#This Row],[Cont Shoulder MVA]])</f>
        <v>-</v>
      </c>
      <c r="AV23" s="9" t="str">
        <f>IF(RIGHT(TIM[[#This Row],[Device type]],7)="Winding","-",TIM[[#This Row],[Cont Summer MVA]])</f>
        <v>-</v>
      </c>
      <c r="AW23" s="9">
        <f>TIM[[#This Row],[24 Hr Winter MVA]]</f>
        <v>61.501660075155691</v>
      </c>
      <c r="AX23" s="9">
        <f>TIM[[#This Row],[24 Hr Summer MVA]]</f>
        <v>64.092808083278726</v>
      </c>
      <c r="AY23" s="9" t="str">
        <f>TIM[[#This Row],[Forwards MVA]]</f>
        <v>-</v>
      </c>
      <c r="AZ23" s="9" t="str">
        <f>TIM[[#This Row],[Relay MVA]]</f>
        <v>-</v>
      </c>
      <c r="BA23" s="9" t="str">
        <f>TIM[[#This Row],[CT MVA]]</f>
        <v>-</v>
      </c>
      <c r="BB23" s="9" t="str">
        <f>TIM[[#This Row],[Derating MVA]]</f>
        <v>-</v>
      </c>
      <c r="BC23" s="9" t="str">
        <f>TIM[[#This Row],[Station/Feeder]]&amp;TIM[[#This Row],[Lowest MVA]]</f>
        <v>TIM_GXP61.5016600751557</v>
      </c>
      <c r="BD23" s="9" t="str">
        <f>CONCATENATE(TIM[[#This Row],[Supply Level]],TIM[[#This Row],[Station/Feeder]],TIM[[#This Row],[Voltage]],TIM[[#This Row],[Lowest A-No PTX]])</f>
        <v>GXPTIM_GXP113228</v>
      </c>
      <c r="BE23" s="9" t="str">
        <f>CONCATENATE(TIM[[#This Row],[Supply Level]],TIM[[#This Row],[Station/Feeder]],TIM[[#This Row],[Voltage]],TIM[[#This Row],[Lowest A-PTX]])</f>
        <v>GXPTIM_GXP112466.86024108295</v>
      </c>
      <c r="BF23" s="9">
        <f>IFERROR(IF(MIN(TIM[[#This Row],[Summ Cont Winter A]:[Cable Derating]])=0,"",MIN(TIM[[#This Row],[Summ Cont Winter A]:[Cable Derating]])),"")</f>
        <v>61.501660075155691</v>
      </c>
      <c r="BG23" s="9">
        <f>IFERROR(TIM[[#This Row],[Lowest MVA]]*1000/(TIM[[#This Row],[Voltage]]*SQRT(3)),"")</f>
        <v>3228</v>
      </c>
      <c r="BH23" s="9">
        <f t="shared" si="10"/>
        <v>2466.8602410829467</v>
      </c>
      <c r="BI23" s="9" t="str">
        <f>TIM[[#This Row],[From]]</f>
        <v>110 kV Bus</v>
      </c>
      <c r="BJ23" s="9" t="str">
        <f>TIM[[#This Row],[To]]</f>
        <v>11 kV Bus</v>
      </c>
      <c r="BK2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Transformer-TIM.TF.T4-LV Winding</v>
      </c>
      <c r="BL23" s="9">
        <f>TIM[[#This Row],[Voltage]]</f>
        <v>11</v>
      </c>
    </row>
    <row r="24" spans="1:64" ht="15" hidden="1" customHeight="1" x14ac:dyDescent="0.3">
      <c r="A24" s="6" t="str">
        <f>CONCATENATE(TIM[[#This Row],[Supply Level]],TIM[[#This Row],[Station/Feeder]],TIM[[#This Row],[Voltage]],"T4")</f>
        <v>GXPTIM_GXP110T4</v>
      </c>
      <c r="B24" s="6" t="str">
        <f>CONCATENATE(TIM[[#This Row],[Supply Level]],TIM[[#This Row],[Station/Feeder]],TIM[[#This Row],[Equipment ID]],TIM[[#This Row],[Voltage]],TIM[[#This Row],[Device type]])</f>
        <v>GXPTIM_GXPTIM.TF.T4110Tap changer</v>
      </c>
      <c r="C24" s="6" t="s">
        <v>4</v>
      </c>
      <c r="D24" s="6" t="s">
        <v>75</v>
      </c>
      <c r="E24" s="6" t="s">
        <v>603</v>
      </c>
      <c r="F24" s="6" t="s">
        <v>243</v>
      </c>
      <c r="G24" s="8">
        <v>8</v>
      </c>
      <c r="H24" s="7" t="s">
        <v>798</v>
      </c>
      <c r="I24" s="6" t="s">
        <v>799</v>
      </c>
      <c r="J24" s="7" t="s">
        <v>19</v>
      </c>
      <c r="K24" s="6" t="s">
        <v>0</v>
      </c>
      <c r="L24" s="6" t="s">
        <v>1424</v>
      </c>
      <c r="M24" s="8">
        <v>110</v>
      </c>
      <c r="N24" s="9">
        <v>250</v>
      </c>
      <c r="O24" s="9">
        <f>IF(OR(N24="",N24="-"),"-",N24*$M24*SQRT(3)/1000)</f>
        <v>47.631397208144122</v>
      </c>
      <c r="P24" s="9" t="s">
        <v>0</v>
      </c>
      <c r="Q24" s="9" t="str">
        <f>IF(OR(P24="",P24="-"),"-",P24*$M24*SQRT(3)/1000)</f>
        <v>-</v>
      </c>
      <c r="R24" s="9">
        <v>250</v>
      </c>
      <c r="S24" s="9">
        <f>IF(OR(R24="",R24="-"),"-",R24*$M24*SQRT(3)/1000)</f>
        <v>47.631397208144122</v>
      </c>
      <c r="T24" s="9">
        <v>300</v>
      </c>
      <c r="U24" s="9">
        <f>IF(OR(T24="",T24="-"),"-",T24*$M24*SQRT(3)/1000)</f>
        <v>57.157676649772945</v>
      </c>
      <c r="V24" s="9">
        <v>300</v>
      </c>
      <c r="W24" s="9">
        <f>IF(OR(V24="",V24="-"),"-",V24*$M24*SQRT(3)/1000)</f>
        <v>57.157676649772945</v>
      </c>
      <c r="X24" s="9" t="s">
        <v>0</v>
      </c>
      <c r="Y24" s="9" t="str">
        <f>IF(OR(X24="",X24="-"),"-",X24*$M24*SQRT(3)/1000)</f>
        <v>-</v>
      </c>
      <c r="Z24" s="9" t="s">
        <v>0</v>
      </c>
      <c r="AA24" s="9" t="str">
        <f>IF(OR(Z24="",Z24="-"),"-",Z24*$M24*SQRT(3)/1000)</f>
        <v>-</v>
      </c>
      <c r="AB24" s="9" t="s">
        <v>0</v>
      </c>
      <c r="AC24" s="9" t="str">
        <f>IF(OR(AB24="",AB24="-"),"-",AB24*$M24*SQRT(3)/1000)</f>
        <v>-</v>
      </c>
      <c r="AD24" s="9" t="s">
        <v>0</v>
      </c>
      <c r="AE24" s="9" t="str">
        <f>IF(OR(AD24="",AD24="-"),"-",AD24*$M24*SQRT(3)/1000)</f>
        <v>-</v>
      </c>
      <c r="AF24" s="9" t="s">
        <v>0</v>
      </c>
      <c r="AG24" s="9" t="s">
        <v>0</v>
      </c>
      <c r="AH24" s="9" t="s">
        <v>0</v>
      </c>
      <c r="AI24" s="9" t="s">
        <v>0</v>
      </c>
      <c r="AJ24" s="43" t="s">
        <v>0</v>
      </c>
      <c r="AK24" s="9" t="s">
        <v>0</v>
      </c>
      <c r="AL24" s="43" t="s">
        <v>0</v>
      </c>
      <c r="AM24" s="9" t="s">
        <v>0</v>
      </c>
      <c r="AN24" s="43" t="s">
        <v>0</v>
      </c>
      <c r="AO24" s="9" t="s">
        <v>0</v>
      </c>
      <c r="AP24" s="9" t="s">
        <v>0</v>
      </c>
      <c r="AQ24" s="43" t="s">
        <v>0</v>
      </c>
      <c r="AR2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4" s="9" t="str">
        <f>IF(OR(AR24="",AR24="-"),"-",AR24*$M24*SQRT(3)/1000)</f>
        <v>-</v>
      </c>
      <c r="AT24" s="9">
        <f>IF(RIGHT(TIM[[#This Row],[Device type]],7)="Winding","-",TIM[[#This Row],[Cont Winter MVA]])</f>
        <v>47.631397208144122</v>
      </c>
      <c r="AU24" s="9" t="str">
        <f>IF(RIGHT(TIM[[#This Row],[Device type]],7)="Winding","-",TIM[[#This Row],[Cont Shoulder MVA]])</f>
        <v>-</v>
      </c>
      <c r="AV24" s="9">
        <f>IF(RIGHT(TIM[[#This Row],[Device type]],7)="Winding","-",TIM[[#This Row],[Cont Summer MVA]])</f>
        <v>47.631397208144122</v>
      </c>
      <c r="AW24" s="9">
        <f>TIM[[#This Row],[24 Hr Winter MVA]]</f>
        <v>57.157676649772945</v>
      </c>
      <c r="AX24" s="9">
        <f>TIM[[#This Row],[24 Hr Summer MVA]]</f>
        <v>57.157676649772945</v>
      </c>
      <c r="AY24" s="9" t="str">
        <f>TIM[[#This Row],[Forwards MVA]]</f>
        <v>-</v>
      </c>
      <c r="AZ24" s="9" t="str">
        <f>TIM[[#This Row],[Relay MVA]]</f>
        <v>-</v>
      </c>
      <c r="BA24" s="9" t="str">
        <f>TIM[[#This Row],[CT MVA]]</f>
        <v>-</v>
      </c>
      <c r="BB24" s="9" t="str">
        <f>TIM[[#This Row],[Derating MVA]]</f>
        <v>-</v>
      </c>
      <c r="BC24" s="9" t="str">
        <f>TIM[[#This Row],[Station/Feeder]]&amp;TIM[[#This Row],[Lowest MVA]]</f>
        <v>TIM_GXP47.6313972081441</v>
      </c>
      <c r="BD24" s="9" t="str">
        <f>CONCATENATE(TIM[[#This Row],[Supply Level]],TIM[[#This Row],[Station/Feeder]],TIM[[#This Row],[Voltage]],TIM[[#This Row],[Lowest A-No PTX]])</f>
        <v>GXPTIM_GXP110250</v>
      </c>
      <c r="BE24" s="9" t="str">
        <f>CONCATENATE(TIM[[#This Row],[Supply Level]],TIM[[#This Row],[Station/Feeder]],TIM[[#This Row],[Voltage]],TIM[[#This Row],[Lowest A-PTX]])</f>
        <v>GXPTIM_GXP110250</v>
      </c>
      <c r="BF24" s="9">
        <f>IFERROR(IF(MIN(TIM[[#This Row],[Summ Cont Winter A]:[Cable Derating]])=0,"",MIN(TIM[[#This Row],[Summ Cont Winter A]:[Cable Derating]])),"")</f>
        <v>47.631397208144122</v>
      </c>
      <c r="BG24" s="9">
        <f>IFERROR(TIM[[#This Row],[Lowest MVA]]*1000/(TIM[[#This Row],[Voltage]]*SQRT(3)),"")</f>
        <v>250</v>
      </c>
      <c r="BH24" s="9">
        <f t="shared" si="10"/>
        <v>250</v>
      </c>
      <c r="BI24" s="9" t="str">
        <f>TIM[[#This Row],[From]]</f>
        <v>110 kV Bus</v>
      </c>
      <c r="BJ24" s="9" t="str">
        <f>TIM[[#This Row],[To]]</f>
        <v>11 kV Bus</v>
      </c>
      <c r="BK24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Transformer - TIM.TF.T4 - Tap changer</v>
      </c>
      <c r="BL24" s="9">
        <f>TIM[[#This Row],[Voltage]]</f>
        <v>110</v>
      </c>
    </row>
    <row r="25" spans="1:64" ht="15" hidden="1" customHeight="1" x14ac:dyDescent="0.3">
      <c r="A25" s="6" t="str">
        <f>CONCATENATE(TIM[[#This Row],[Supply Level]],TIM[[#This Row],[Station/Feeder]],TIM[[#This Row],[Voltage]],"T4")</f>
        <v>GXPTIM_GXP11T4</v>
      </c>
      <c r="B25" s="6" t="str">
        <f>CONCATENATE(TIM[[#This Row],[Supply Level]],TIM[[#This Row],[Station/Feeder]],TIM[[#This Row],[Equipment ID]],TIM[[#This Row],[Voltage]],TIM[[#This Row],[Device type]])</f>
        <v>GXPTIM_GXPTIM-CB284211Protection</v>
      </c>
      <c r="C25" s="6" t="s">
        <v>4</v>
      </c>
      <c r="D25" s="11" t="s">
        <v>75</v>
      </c>
      <c r="E25" s="6" t="s">
        <v>603</v>
      </c>
      <c r="F25" s="6" t="s">
        <v>243</v>
      </c>
      <c r="G25" s="27">
        <v>9</v>
      </c>
      <c r="H25" s="7" t="s">
        <v>798</v>
      </c>
      <c r="I25" s="7" t="s">
        <v>2218</v>
      </c>
      <c r="J25" s="7" t="s">
        <v>15</v>
      </c>
      <c r="K25" s="7" t="s">
        <v>1123</v>
      </c>
      <c r="L25" s="7" t="s">
        <v>1423</v>
      </c>
      <c r="M25" s="8">
        <v>11</v>
      </c>
      <c r="N25" s="9">
        <v>2500</v>
      </c>
      <c r="O25" s="9">
        <f t="shared" si="0"/>
        <v>47.631397208144122</v>
      </c>
      <c r="P25" s="9" t="s">
        <v>0</v>
      </c>
      <c r="Q25" s="9" t="str">
        <f t="shared" si="1"/>
        <v>-</v>
      </c>
      <c r="R25" s="9">
        <v>2500</v>
      </c>
      <c r="S25" s="9">
        <f t="shared" si="2"/>
        <v>47.631397208144122</v>
      </c>
      <c r="T25" s="9">
        <v>2500</v>
      </c>
      <c r="U25" s="9">
        <f t="shared" si="3"/>
        <v>47.631397208144122</v>
      </c>
      <c r="V25" s="9">
        <v>2500</v>
      </c>
      <c r="W25" s="9">
        <f t="shared" si="4"/>
        <v>47.631397208144122</v>
      </c>
      <c r="X25" s="9">
        <v>1544</v>
      </c>
      <c r="Y25" s="9">
        <f t="shared" ref="Y25" si="41">IF(OR(X25="",X25="-"),"-",X25*$M25*SQRT(3)/1000)</f>
        <v>29.417150915749811</v>
      </c>
      <c r="Z25" s="9" t="s">
        <v>0</v>
      </c>
      <c r="AA25" s="9" t="str">
        <f t="shared" ref="AA25" si="42">IF(OR(Z25="",Z25="-"),"-",Z25*$M25*SQRT(3)/1000)</f>
        <v>-</v>
      </c>
      <c r="AB25" s="9">
        <v>7200</v>
      </c>
      <c r="AC25" s="9">
        <f t="shared" ref="AC25" si="43">IF(OR(AB25="",AB25="-"),"-",AB25*$M25*SQRT(3)/1000)</f>
        <v>137.17842395945507</v>
      </c>
      <c r="AD25" s="9">
        <v>4800</v>
      </c>
      <c r="AE25" s="12">
        <f t="shared" ref="AE25" si="44">IF(OR(AD25="",AD25="-"),"-",AD25*$M25*SQRT(3)/1000)</f>
        <v>91.452282639636721</v>
      </c>
      <c r="AF25" s="29" t="s">
        <v>0</v>
      </c>
      <c r="AG25" s="29" t="s">
        <v>0</v>
      </c>
      <c r="AH25" s="8" t="s">
        <v>0</v>
      </c>
      <c r="AI25" s="29" t="s">
        <v>0</v>
      </c>
      <c r="AJ25" s="32" t="s">
        <v>0</v>
      </c>
      <c r="AK25" s="29" t="s">
        <v>0</v>
      </c>
      <c r="AL25" s="32" t="s">
        <v>0</v>
      </c>
      <c r="AM25" s="29" t="s">
        <v>0</v>
      </c>
      <c r="AN25" s="32" t="s">
        <v>0</v>
      </c>
      <c r="AO25" s="29" t="s">
        <v>0</v>
      </c>
      <c r="AP25" s="29" t="s">
        <v>0</v>
      </c>
      <c r="AQ25" s="32" t="s">
        <v>0</v>
      </c>
      <c r="AR25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5" s="9" t="str">
        <f t="shared" si="9"/>
        <v>-</v>
      </c>
      <c r="AT25" s="9">
        <f>IF(RIGHT(TIM[[#This Row],[Device type]],7)="Winding","-",TIM[[#This Row],[Cont Winter MVA]])</f>
        <v>47.631397208144122</v>
      </c>
      <c r="AU25" s="9" t="str">
        <f>IF(RIGHT(TIM[[#This Row],[Device type]],7)="Winding","-",TIM[[#This Row],[Cont Shoulder MVA]])</f>
        <v>-</v>
      </c>
      <c r="AV25" s="9">
        <f>IF(RIGHT(TIM[[#This Row],[Device type]],7)="Winding","-",TIM[[#This Row],[Cont Summer MVA]])</f>
        <v>47.631397208144122</v>
      </c>
      <c r="AW25" s="9">
        <f>TIM[[#This Row],[24 Hr Winter MVA]]</f>
        <v>47.631397208144122</v>
      </c>
      <c r="AX25" s="9">
        <f>TIM[[#This Row],[24 Hr Summer MVA]]</f>
        <v>47.631397208144122</v>
      </c>
      <c r="AY25" s="9">
        <f>TIM[[#This Row],[Forwards MVA]]</f>
        <v>29.417150915749811</v>
      </c>
      <c r="AZ25" s="9">
        <f>TIM[[#This Row],[Relay MVA]]</f>
        <v>137.17842395945507</v>
      </c>
      <c r="BA25" s="9">
        <f>TIM[[#This Row],[CT MVA]]</f>
        <v>91.452282639636721</v>
      </c>
      <c r="BB25" s="9" t="str">
        <f>TIM[[#This Row],[Derating MVA]]</f>
        <v>-</v>
      </c>
      <c r="BC25" s="9" t="str">
        <f>TIM[[#This Row],[Station/Feeder]]&amp;TIM[[#This Row],[Lowest MVA]]</f>
        <v>TIM_GXP29.4171509157498</v>
      </c>
      <c r="BD25" s="9" t="str">
        <f>CONCATENATE(TIM[[#This Row],[Supply Level]],TIM[[#This Row],[Station/Feeder]],TIM[[#This Row],[Voltage]],TIM[[#This Row],[Lowest A-No PTX]])</f>
        <v>GXPTIM_GXP111544</v>
      </c>
      <c r="BE25" s="9" t="str">
        <f>CONCATENATE(TIM[[#This Row],[Supply Level]],TIM[[#This Row],[Station/Feeder]],TIM[[#This Row],[Voltage]],TIM[[#This Row],[Lowest A-PTX]])</f>
        <v>GXPTIM_GXP111544</v>
      </c>
      <c r="BF25" s="9">
        <f>IFERROR(IF(MIN(TIM[[#This Row],[Summ Cont Winter A]:[Cable Derating]])=0,"",MIN(TIM[[#This Row],[Summ Cont Winter A]:[Cable Derating]])),"")</f>
        <v>29.417150915749811</v>
      </c>
      <c r="BG25" s="9">
        <f>IFERROR(TIM[[#This Row],[Lowest MVA]]*1000/(TIM[[#This Row],[Voltage]]*SQRT(3)),"")</f>
        <v>1544</v>
      </c>
      <c r="BH25" s="9">
        <f t="shared" si="10"/>
        <v>1544</v>
      </c>
      <c r="BI25" s="9" t="str">
        <f>TIM[[#This Row],[From]]</f>
        <v>110 kV Bus</v>
      </c>
      <c r="BJ25" s="9" t="str">
        <f>TIM[[#This Row],[To]]</f>
        <v>11 kV Bus</v>
      </c>
      <c r="BK2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Breaker-TIM-CB2842-Protection</v>
      </c>
      <c r="BL25" s="9">
        <f>TIM[[#This Row],[Voltage]]</f>
        <v>11</v>
      </c>
    </row>
    <row r="26" spans="1:64" ht="15" hidden="1" customHeight="1" x14ac:dyDescent="0.3">
      <c r="A26" s="6" t="str">
        <f>CONCATENATE(TIM[[#This Row],[Supply Level]],TIM[[#This Row],[Station/Feeder]],TIM[[#This Row],[Voltage]],"T4")</f>
        <v>GXPTIM_GXP11T4</v>
      </c>
      <c r="B26" s="6" t="str">
        <f>CONCATENATE(TIM[[#This Row],[Supply Level]],TIM[[#This Row],[Station/Feeder]],TIM[[#This Row],[Equipment ID]],TIM[[#This Row],[Voltage]],TIM[[#This Row],[Device type]])</f>
        <v>GXPTIM_GXPTIM.TF.T411Bushings</v>
      </c>
      <c r="C26" s="6" t="s">
        <v>4</v>
      </c>
      <c r="D26" s="6" t="s">
        <v>75</v>
      </c>
      <c r="E26" s="6" t="s">
        <v>603</v>
      </c>
      <c r="F26" s="6" t="s">
        <v>243</v>
      </c>
      <c r="G26" s="8">
        <v>10</v>
      </c>
      <c r="H26" s="7" t="s">
        <v>798</v>
      </c>
      <c r="I26" s="6" t="s">
        <v>799</v>
      </c>
      <c r="J26" s="7" t="s">
        <v>19</v>
      </c>
      <c r="K26" s="6" t="s">
        <v>0</v>
      </c>
      <c r="L26" s="6" t="s">
        <v>18</v>
      </c>
      <c r="M26" s="8">
        <v>11</v>
      </c>
      <c r="N26" s="9">
        <v>5000</v>
      </c>
      <c r="O26" s="9">
        <f t="shared" ref="O26:O27" si="45">IF(OR(N26="",N26="-"),"-",N26*$M26*SQRT(3)/1000)</f>
        <v>95.262794416288244</v>
      </c>
      <c r="P26" s="9" t="s">
        <v>0</v>
      </c>
      <c r="Q26" s="9" t="str">
        <f t="shared" ref="Q26:Q27" si="46">IF(OR(P26="",P26="-"),"-",P26*$M26*SQRT(3)/1000)</f>
        <v>-</v>
      </c>
      <c r="R26" s="9">
        <v>5000</v>
      </c>
      <c r="S26" s="9">
        <f t="shared" ref="S26:S27" si="47">IF(OR(R26="",R26="-"),"-",R26*$M26*SQRT(3)/1000)</f>
        <v>95.262794416288244</v>
      </c>
      <c r="T26" s="9">
        <v>6000</v>
      </c>
      <c r="U26" s="9">
        <f>IF(OR(T26="",T26="-"),"-",T26*$M26*SQRT(3)/1000)</f>
        <v>114.31535329954589</v>
      </c>
      <c r="V26" s="9">
        <v>6000</v>
      </c>
      <c r="W26" s="9">
        <f>IF(OR(V26="",V26="-"),"-",V26*$M26*SQRT(3)/1000)</f>
        <v>114.31535329954589</v>
      </c>
      <c r="X26" s="9" t="s">
        <v>0</v>
      </c>
      <c r="Y26" s="9" t="str">
        <f>IF(OR(X26="",X26="-"),"-",X26*$M26*SQRT(3)/1000)</f>
        <v>-</v>
      </c>
      <c r="Z26" s="9" t="s">
        <v>0</v>
      </c>
      <c r="AA26" s="9" t="str">
        <f>IF(OR(Z26="",Z26="-"),"-",Z26*$M26*SQRT(3)/1000)</f>
        <v>-</v>
      </c>
      <c r="AB26" s="9" t="s">
        <v>0</v>
      </c>
      <c r="AC26" s="9" t="str">
        <f>IF(OR(AB26="",AB26="-"),"-",AB26*$M26*SQRT(3)/1000)</f>
        <v>-</v>
      </c>
      <c r="AD26" s="9" t="s">
        <v>0</v>
      </c>
      <c r="AE26" s="9" t="str">
        <f>IF(OR(AD26="",AD26="-"),"-",AD26*$M26*SQRT(3)/1000)</f>
        <v>-</v>
      </c>
      <c r="AF26" s="9" t="s">
        <v>0</v>
      </c>
      <c r="AG26" s="9" t="s">
        <v>0</v>
      </c>
      <c r="AH26" s="9" t="s">
        <v>0</v>
      </c>
      <c r="AI26" s="9" t="s">
        <v>0</v>
      </c>
      <c r="AJ26" s="43" t="s">
        <v>0</v>
      </c>
      <c r="AK26" s="9" t="s">
        <v>0</v>
      </c>
      <c r="AL26" s="43" t="s">
        <v>0</v>
      </c>
      <c r="AM26" s="9" t="s">
        <v>0</v>
      </c>
      <c r="AN26" s="43" t="s">
        <v>0</v>
      </c>
      <c r="AO26" s="9" t="s">
        <v>0</v>
      </c>
      <c r="AP26" s="9" t="s">
        <v>0</v>
      </c>
      <c r="AQ26" s="43" t="s">
        <v>0</v>
      </c>
      <c r="AR26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6" s="9" t="str">
        <f>IF(OR(AR26="",AR26="-"),"-",AR26*$M26*SQRT(3)/1000)</f>
        <v>-</v>
      </c>
      <c r="AT26" s="9">
        <f>IF(RIGHT(TIM[[#This Row],[Device type]],7)="Winding","-",TIM[[#This Row],[Cont Winter MVA]])</f>
        <v>95.262794416288244</v>
      </c>
      <c r="AU26" s="9" t="str">
        <f>IF(RIGHT(TIM[[#This Row],[Device type]],7)="Winding","-",TIM[[#This Row],[Cont Shoulder MVA]])</f>
        <v>-</v>
      </c>
      <c r="AV26" s="9">
        <f>IF(RIGHT(TIM[[#This Row],[Device type]],7)="Winding","-",TIM[[#This Row],[Cont Summer MVA]])</f>
        <v>95.262794416288244</v>
      </c>
      <c r="AW26" s="9">
        <f>TIM[[#This Row],[24 Hr Winter MVA]]</f>
        <v>114.31535329954589</v>
      </c>
      <c r="AX26" s="9">
        <f>TIM[[#This Row],[24 Hr Summer MVA]]</f>
        <v>114.31535329954589</v>
      </c>
      <c r="AY26" s="9" t="str">
        <f>TIM[[#This Row],[Forwards MVA]]</f>
        <v>-</v>
      </c>
      <c r="AZ26" s="9" t="str">
        <f>TIM[[#This Row],[Relay MVA]]</f>
        <v>-</v>
      </c>
      <c r="BA26" s="9" t="str">
        <f>TIM[[#This Row],[CT MVA]]</f>
        <v>-</v>
      </c>
      <c r="BB26" s="9" t="str">
        <f>TIM[[#This Row],[Derating MVA]]</f>
        <v>-</v>
      </c>
      <c r="BC26" s="9" t="str">
        <f>TIM[[#This Row],[Station/Feeder]]&amp;TIM[[#This Row],[Lowest MVA]]</f>
        <v>TIM_GXP95.2627944162882</v>
      </c>
      <c r="BD26" s="9" t="str">
        <f>CONCATENATE(TIM[[#This Row],[Supply Level]],TIM[[#This Row],[Station/Feeder]],TIM[[#This Row],[Voltage]],TIM[[#This Row],[Lowest A-No PTX]])</f>
        <v>GXPTIM_GXP115000</v>
      </c>
      <c r="BE26" s="9" t="str">
        <f>CONCATENATE(TIM[[#This Row],[Supply Level]],TIM[[#This Row],[Station/Feeder]],TIM[[#This Row],[Voltage]],TIM[[#This Row],[Lowest A-PTX]])</f>
        <v>GXPTIM_GXP115000</v>
      </c>
      <c r="BF26" s="9">
        <f>IFERROR(IF(MIN(TIM[[#This Row],[Summ Cont Winter A]:[Cable Derating]])=0,"",MIN(TIM[[#This Row],[Summ Cont Winter A]:[Cable Derating]])),"")</f>
        <v>95.262794416288244</v>
      </c>
      <c r="BG26" s="9">
        <f>IFERROR(TIM[[#This Row],[Lowest MVA]]*1000/(TIM[[#This Row],[Voltage]]*SQRT(3)),"")</f>
        <v>5000</v>
      </c>
      <c r="BH26" s="9">
        <f t="shared" si="10"/>
        <v>5000</v>
      </c>
      <c r="BI26" s="9" t="str">
        <f>TIM[[#This Row],[From]]</f>
        <v>110 kV Bus</v>
      </c>
      <c r="BJ26" s="9" t="str">
        <f>TIM[[#This Row],[To]]</f>
        <v>11 kV Bus</v>
      </c>
      <c r="BK26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Transformer - TIM.TF.T4 - Bushings</v>
      </c>
      <c r="BL26" s="9">
        <f>TIM[[#This Row],[Voltage]]</f>
        <v>11</v>
      </c>
    </row>
    <row r="27" spans="1:64" ht="15" hidden="1" customHeight="1" x14ac:dyDescent="0.3">
      <c r="A27" s="6" t="str">
        <f>CONCATENATE(TIM[[#This Row],[Supply Level]],TIM[[#This Row],[Station/Feeder]],TIM[[#This Row],[Voltage]],"T4")</f>
        <v>GXPTIM_GXP11T4</v>
      </c>
      <c r="B27" s="6" t="str">
        <f>CONCATENATE(TIM[[#This Row],[Supply Level]],TIM[[#This Row],[Station/Feeder]],TIM[[#This Row],[Equipment ID]],TIM[[#This Row],[Voltage]],TIM[[#This Row],[Device type]])</f>
        <v>GXPTIM_GXPTIM-CB2841-OEL11OEL</v>
      </c>
      <c r="C27" s="6" t="s">
        <v>4</v>
      </c>
      <c r="D27" s="6" t="s">
        <v>75</v>
      </c>
      <c r="E27" s="6" t="s">
        <v>603</v>
      </c>
      <c r="F27" s="6" t="s">
        <v>243</v>
      </c>
      <c r="G27" s="8">
        <v>11</v>
      </c>
      <c r="H27" s="7" t="s">
        <v>798</v>
      </c>
      <c r="I27" s="6" t="s">
        <v>2272</v>
      </c>
      <c r="J27" s="6" t="s">
        <v>1425</v>
      </c>
      <c r="K27" s="6" t="s">
        <v>0</v>
      </c>
      <c r="L27" s="6" t="s">
        <v>1425</v>
      </c>
      <c r="M27" s="8">
        <v>11</v>
      </c>
      <c r="N27" s="9">
        <v>2880</v>
      </c>
      <c r="O27" s="9">
        <f t="shared" si="45"/>
        <v>54.871369583782027</v>
      </c>
      <c r="P27" s="9" t="s">
        <v>0</v>
      </c>
      <c r="Q27" s="9" t="str">
        <f t="shared" si="46"/>
        <v>-</v>
      </c>
      <c r="R27" s="9">
        <v>2880</v>
      </c>
      <c r="S27" s="9">
        <f t="shared" si="47"/>
        <v>54.871369583782027</v>
      </c>
      <c r="T27" s="9">
        <v>2880</v>
      </c>
      <c r="U27" s="9">
        <f t="shared" ref="U27" si="48">IF(OR(T27="",T27="-"),"-",T27*$M27*SQRT(3)/1000)</f>
        <v>54.871369583782027</v>
      </c>
      <c r="V27" s="9">
        <v>2800</v>
      </c>
      <c r="W27" s="9">
        <f t="shared" ref="W27" si="49">IF(OR(V27="",V27="-"),"-",V27*$M27*SQRT(3)/1000)</f>
        <v>53.347164873121415</v>
      </c>
      <c r="X27" s="9" t="s">
        <v>0</v>
      </c>
      <c r="Y27" s="9" t="str">
        <f t="shared" ref="Y27" si="50">IF(OR(X27="",X27="-"),"-",X27*$M27*SQRT(3)/1000)</f>
        <v>-</v>
      </c>
      <c r="Z27" s="9" t="s">
        <v>0</v>
      </c>
      <c r="AA27" s="9" t="str">
        <f t="shared" ref="AA27" si="51">IF(OR(Z27="",Z27="-"),"-",Z27*$M27*SQRT(3)/1000)</f>
        <v>-</v>
      </c>
      <c r="AB27" s="9" t="s">
        <v>0</v>
      </c>
      <c r="AC27" s="9" t="str">
        <f t="shared" ref="AC27" si="52">IF(OR(AB27="",AB27="-"),"-",AB27*$M27*SQRT(3)/1000)</f>
        <v>-</v>
      </c>
      <c r="AD27" s="9" t="s">
        <v>0</v>
      </c>
      <c r="AE27" s="9" t="str">
        <f t="shared" ref="AE27" si="53">IF(OR(AD27="",AD27="-"),"-",AD27*$M27*SQRT(3)/1000)</f>
        <v>-</v>
      </c>
      <c r="AF27" s="9" t="s">
        <v>0</v>
      </c>
      <c r="AG27" s="9" t="s">
        <v>0</v>
      </c>
      <c r="AH27" s="9" t="s">
        <v>0</v>
      </c>
      <c r="AI27" s="9" t="s">
        <v>0</v>
      </c>
      <c r="AJ27" s="43" t="s">
        <v>0</v>
      </c>
      <c r="AK27" s="9" t="s">
        <v>0</v>
      </c>
      <c r="AL27" s="43" t="s">
        <v>0</v>
      </c>
      <c r="AM27" s="9" t="s">
        <v>0</v>
      </c>
      <c r="AN27" s="43" t="s">
        <v>0</v>
      </c>
      <c r="AO27" s="9" t="s">
        <v>0</v>
      </c>
      <c r="AP27" s="9" t="s">
        <v>0</v>
      </c>
      <c r="AQ27" s="43" t="s">
        <v>0</v>
      </c>
      <c r="AR27" s="9" t="s">
        <v>0</v>
      </c>
      <c r="AS27" s="9" t="str">
        <f t="shared" ref="AS27" si="54">IF(OR(AR27="",AR27="-"),"-",AR27*$M27*SQRT(3)/1000)</f>
        <v>-</v>
      </c>
      <c r="AT27" s="9">
        <f>IF(RIGHT(TIM[[#This Row],[Device type]],7)="Winding","-",TIM[[#This Row],[Cont Winter MVA]])</f>
        <v>54.871369583782027</v>
      </c>
      <c r="AU27" s="9" t="str">
        <f>IF(RIGHT(TIM[[#This Row],[Device type]],7)="Winding","-",TIM[[#This Row],[Cont Shoulder MVA]])</f>
        <v>-</v>
      </c>
      <c r="AV27" s="9">
        <f>IF(RIGHT(TIM[[#This Row],[Device type]],7)="Winding","-",TIM[[#This Row],[Cont Summer MVA]])</f>
        <v>54.871369583782027</v>
      </c>
      <c r="AW27" s="9">
        <f>TIM[[#This Row],[24 Hr Winter MVA]]</f>
        <v>54.871369583782027</v>
      </c>
      <c r="AX27" s="9">
        <f>TIM[[#This Row],[24 Hr Summer MVA]]</f>
        <v>53.347164873121415</v>
      </c>
      <c r="AY27" s="9" t="str">
        <f>TIM[[#This Row],[Forwards MVA]]</f>
        <v>-</v>
      </c>
      <c r="AZ27" s="9" t="str">
        <f>TIM[[#This Row],[Relay MVA]]</f>
        <v>-</v>
      </c>
      <c r="BA27" s="9" t="str">
        <f>TIM[[#This Row],[CT MVA]]</f>
        <v>-</v>
      </c>
      <c r="BB27" s="9" t="str">
        <f>TIM[[#This Row],[Derating MVA]]</f>
        <v>-</v>
      </c>
      <c r="BC27" s="9" t="str">
        <f>TIM[[#This Row],[Station/Feeder]]&amp;TIM[[#This Row],[Lowest MVA]]</f>
        <v>TIM_GXP53.3471648731214</v>
      </c>
      <c r="BD27" s="9" t="str">
        <f>CONCATENATE(TIM[[#This Row],[Supply Level]],TIM[[#This Row],[Station/Feeder]],TIM[[#This Row],[Voltage]],TIM[[#This Row],[Lowest A-No PTX]])</f>
        <v>GXPTIM_GXP112800</v>
      </c>
      <c r="BE27" s="9" t="str">
        <f>CONCATENATE(TIM[[#This Row],[Supply Level]],TIM[[#This Row],[Station/Feeder]],TIM[[#This Row],[Voltage]],TIM[[#This Row],[Lowest A-PTX]])</f>
        <v>GXPTIM_GXP112800</v>
      </c>
      <c r="BF27" s="9">
        <f>IFERROR(IF(MIN(TIM[[#This Row],[Summ Cont Winter A]:[Cable Derating]])=0,"",MIN(TIM[[#This Row],[Summ Cont Winter A]:[Cable Derating]])),"")</f>
        <v>53.347164873121415</v>
      </c>
      <c r="BG27" s="9">
        <f>IFERROR(TIM[[#This Row],[Lowest MVA]]*1000/(TIM[[#This Row],[Voltage]]*SQRT(3)),"")</f>
        <v>2800</v>
      </c>
      <c r="BH27" s="9">
        <f t="shared" si="10"/>
        <v>2800</v>
      </c>
      <c r="BI27" s="9" t="str">
        <f>TIM[[#This Row],[From]]</f>
        <v>110 kV Bus</v>
      </c>
      <c r="BJ27" s="9" t="str">
        <f>TIM[[#This Row],[To]]</f>
        <v>11 kV Bus</v>
      </c>
      <c r="BK2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OEL-TIM-CB2841-OEL-OEL</v>
      </c>
      <c r="BL27" s="9">
        <f>TIM[[#This Row],[Voltage]]</f>
        <v>11</v>
      </c>
    </row>
    <row r="28" spans="1:64" ht="15" hidden="1" customHeight="1" x14ac:dyDescent="0.3">
      <c r="A28" s="6" t="str">
        <f>CONCATENATE(TIM[[#This Row],[Supply Level]],TIM[[#This Row],[Station/Feeder]],TIM[[#This Row],[Voltage]],"T4")</f>
        <v>GXPTIM_GXP11T4</v>
      </c>
      <c r="B28" s="6" t="str">
        <f>CONCATENATE(TIM[[#This Row],[Supply Level]],TIM[[#This Row],[Station/Feeder]],TIM[[#This Row],[Equipment ID]],TIM[[#This Row],[Voltage]],TIM[[#This Row],[Device type]])</f>
        <v>GXPTIM_GXPTIM-CBT4-CB284211Cable</v>
      </c>
      <c r="C28" s="6" t="s">
        <v>4</v>
      </c>
      <c r="D28" s="11" t="s">
        <v>75</v>
      </c>
      <c r="E28" s="6" t="s">
        <v>603</v>
      </c>
      <c r="F28" s="6" t="s">
        <v>243</v>
      </c>
      <c r="G28" s="27">
        <v>12</v>
      </c>
      <c r="H28" s="7" t="s">
        <v>798</v>
      </c>
      <c r="I28" s="7" t="s">
        <v>2273</v>
      </c>
      <c r="J28" s="7" t="s">
        <v>250</v>
      </c>
      <c r="K28" s="7" t="s">
        <v>0</v>
      </c>
      <c r="L28" s="7" t="s">
        <v>250</v>
      </c>
      <c r="M28" s="8">
        <v>11</v>
      </c>
      <c r="N28" s="9">
        <v>2708</v>
      </c>
      <c r="O28" s="9">
        <f t="shared" si="0"/>
        <v>51.594329455861711</v>
      </c>
      <c r="P28" s="9">
        <v>2598</v>
      </c>
      <c r="Q28" s="9">
        <f t="shared" si="1"/>
        <v>49.498547978703371</v>
      </c>
      <c r="R28" s="9">
        <v>2534</v>
      </c>
      <c r="S28" s="9">
        <f t="shared" si="2"/>
        <v>48.279184210174883</v>
      </c>
      <c r="T28" s="9" t="s">
        <v>0</v>
      </c>
      <c r="U28" s="9" t="str">
        <f t="shared" si="3"/>
        <v>-</v>
      </c>
      <c r="V28" s="9" t="s">
        <v>0</v>
      </c>
      <c r="W28" s="9" t="str">
        <f t="shared" si="4"/>
        <v>-</v>
      </c>
      <c r="X28" s="9" t="s">
        <v>0</v>
      </c>
      <c r="Y28" s="9" t="str">
        <f t="shared" si="5"/>
        <v>-</v>
      </c>
      <c r="Z28" s="9" t="s">
        <v>0</v>
      </c>
      <c r="AA28" s="9" t="str">
        <f t="shared" si="6"/>
        <v>-</v>
      </c>
      <c r="AB28" s="9" t="s">
        <v>0</v>
      </c>
      <c r="AC28" s="9" t="str">
        <f t="shared" si="7"/>
        <v>-</v>
      </c>
      <c r="AD28" s="9" t="s">
        <v>0</v>
      </c>
      <c r="AE28" s="12" t="str">
        <f t="shared" si="8"/>
        <v>-</v>
      </c>
      <c r="AF28" s="29" t="s">
        <v>0</v>
      </c>
      <c r="AG28" s="29" t="s">
        <v>0</v>
      </c>
      <c r="AH28" s="8" t="s">
        <v>0</v>
      </c>
      <c r="AI28" s="29" t="s">
        <v>0</v>
      </c>
      <c r="AJ28" s="32" t="s">
        <v>0</v>
      </c>
      <c r="AK28" s="29" t="s">
        <v>0</v>
      </c>
      <c r="AL28" s="32" t="s">
        <v>0</v>
      </c>
      <c r="AM28" s="29" t="s">
        <v>0</v>
      </c>
      <c r="AN28" s="32" t="s">
        <v>0</v>
      </c>
      <c r="AO28" s="29" t="s">
        <v>0</v>
      </c>
      <c r="AP28" s="29" t="s">
        <v>0</v>
      </c>
      <c r="AQ28" s="32" t="s">
        <v>0</v>
      </c>
      <c r="AR28" s="9">
        <v>2534</v>
      </c>
      <c r="AS28" s="9">
        <f t="shared" si="9"/>
        <v>48.279184210174883</v>
      </c>
      <c r="AT28" s="9">
        <f>IF(RIGHT(TIM[[#This Row],[Device type]],7)="Winding","-",TIM[[#This Row],[Cont Winter MVA]])</f>
        <v>51.594329455861711</v>
      </c>
      <c r="AU28" s="9">
        <f>IF(RIGHT(TIM[[#This Row],[Device type]],7)="Winding","-",TIM[[#This Row],[Cont Shoulder MVA]])</f>
        <v>49.498547978703371</v>
      </c>
      <c r="AV28" s="9">
        <f>IF(RIGHT(TIM[[#This Row],[Device type]],7)="Winding","-",TIM[[#This Row],[Cont Summer MVA]])</f>
        <v>48.279184210174883</v>
      </c>
      <c r="AW28" s="9" t="str">
        <f>TIM[[#This Row],[24 Hr Winter MVA]]</f>
        <v>-</v>
      </c>
      <c r="AX28" s="9" t="str">
        <f>TIM[[#This Row],[24 Hr Summer MVA]]</f>
        <v>-</v>
      </c>
      <c r="AY28" s="9" t="str">
        <f>TIM[[#This Row],[Forwards MVA]]</f>
        <v>-</v>
      </c>
      <c r="AZ28" s="9" t="str">
        <f>TIM[[#This Row],[Relay MVA]]</f>
        <v>-</v>
      </c>
      <c r="BA28" s="9" t="str">
        <f>TIM[[#This Row],[CT MVA]]</f>
        <v>-</v>
      </c>
      <c r="BB28" s="9">
        <f>TIM[[#This Row],[Derating MVA]]</f>
        <v>48.279184210174883</v>
      </c>
      <c r="BC28" s="9" t="str">
        <f>TIM[[#This Row],[Station/Feeder]]&amp;TIM[[#This Row],[Lowest MVA]]</f>
        <v>TIM_GXP48.2791842101749</v>
      </c>
      <c r="BD28" s="9" t="str">
        <f>CONCATENATE(TIM[[#This Row],[Supply Level]],TIM[[#This Row],[Station/Feeder]],TIM[[#This Row],[Voltage]],TIM[[#This Row],[Lowest A-No PTX]])</f>
        <v>GXPTIM_GXP112534</v>
      </c>
      <c r="BE28" s="9" t="str">
        <f>CONCATENATE(TIM[[#This Row],[Supply Level]],TIM[[#This Row],[Station/Feeder]],TIM[[#This Row],[Voltage]],TIM[[#This Row],[Lowest A-PTX]])</f>
        <v>GXPTIM_GXP112534</v>
      </c>
      <c r="BF28" s="9">
        <f>IFERROR(IF(MIN(TIM[[#This Row],[Summ Cont Winter A]:[Cable Derating]])=0,"",MIN(TIM[[#This Row],[Summ Cont Winter A]:[Cable Derating]])),"")</f>
        <v>48.279184210174883</v>
      </c>
      <c r="BG28" s="9">
        <f>IFERROR(TIM[[#This Row],[Lowest MVA]]*1000/(TIM[[#This Row],[Voltage]]*SQRT(3)),"")</f>
        <v>2534</v>
      </c>
      <c r="BH28" s="9">
        <f t="shared" si="10"/>
        <v>2534</v>
      </c>
      <c r="BI28" s="9" t="str">
        <f>TIM[[#This Row],[From]]</f>
        <v>110 kV Bus</v>
      </c>
      <c r="BJ28" s="9" t="str">
        <f>TIM[[#This Row],[To]]</f>
        <v>11 kV Bus</v>
      </c>
      <c r="BK2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Cable-TIM-CBT4-CB2842-Cable</v>
      </c>
      <c r="BL28" s="9">
        <f>TIM[[#This Row],[Voltage]]</f>
        <v>11</v>
      </c>
    </row>
    <row r="29" spans="1:64" ht="15" hidden="1" customHeight="1" x14ac:dyDescent="0.3">
      <c r="A29" s="6" t="str">
        <f>CONCATENATE(TIM[[#This Row],[Supply Level]],TIM[[#This Row],[Station/Feeder]],TIM[[#This Row],[Voltage]],"T6")</f>
        <v>GXPTIM_GXP110T6</v>
      </c>
      <c r="B29" s="6" t="str">
        <f>CONCATENATE(TIM[[#This Row],[Supply Level]],TIM[[#This Row],[Station/Feeder]],TIM[[#This Row],[Equipment ID]],TIM[[#This Row],[Voltage]],TIM[[#This Row],[Device type]])</f>
        <v>GXPTIM_GXPTIM-DCB102110HV Circuit Breaker</v>
      </c>
      <c r="C29" s="6" t="s">
        <v>4</v>
      </c>
      <c r="D29" s="6" t="s">
        <v>75</v>
      </c>
      <c r="E29" s="6" t="s">
        <v>603</v>
      </c>
      <c r="F29" s="6" t="s">
        <v>243</v>
      </c>
      <c r="G29" s="8">
        <v>1</v>
      </c>
      <c r="H29" s="7" t="s">
        <v>800</v>
      </c>
      <c r="I29" s="6" t="s">
        <v>2219</v>
      </c>
      <c r="J29" s="6" t="s">
        <v>15</v>
      </c>
      <c r="K29" s="6" t="s">
        <v>0</v>
      </c>
      <c r="L29" s="6" t="s">
        <v>1420</v>
      </c>
      <c r="M29" s="8">
        <v>110</v>
      </c>
      <c r="N29" s="9">
        <v>3150</v>
      </c>
      <c r="O29" s="9">
        <f t="shared" ref="O29:O31" si="55">IF(OR(N29="",N29="-"),"-",N29*$M29*SQRT(3)/1000)</f>
        <v>600.15560482261594</v>
      </c>
      <c r="P29" s="9" t="s">
        <v>0</v>
      </c>
      <c r="Q29" s="9" t="str">
        <f t="shared" ref="Q29:Q31" si="56">IF(OR(P29="",P29="-"),"-",P29*$M29*SQRT(3)/1000)</f>
        <v>-</v>
      </c>
      <c r="R29" s="9">
        <v>3150</v>
      </c>
      <c r="S29" s="9">
        <f t="shared" ref="S29:S31" si="57">IF(OR(R29="",R29="-"),"-",R29*$M29*SQRT(3)/1000)</f>
        <v>600.15560482261594</v>
      </c>
      <c r="T29" s="9">
        <v>3150</v>
      </c>
      <c r="U29" s="9">
        <f t="shared" ref="U29:U31" si="58">IF(OR(T29="",T29="-"),"-",T29*$M29*SQRT(3)/1000)</f>
        <v>600.15560482261594</v>
      </c>
      <c r="V29" s="9">
        <v>3150</v>
      </c>
      <c r="W29" s="9">
        <f t="shared" ref="W29:W31" si="59">IF(OR(V29="",V29="-"),"-",V29*$M29*SQRT(3)/1000)</f>
        <v>600.15560482261594</v>
      </c>
      <c r="X29" s="9">
        <v>446</v>
      </c>
      <c r="Y29" s="9">
        <f t="shared" ref="Y29:Y31" si="60">IF(OR(X29="",X29="-"),"-",X29*$M29*SQRT(3)/1000)</f>
        <v>84.974412619329115</v>
      </c>
      <c r="Z29" s="9">
        <v>446</v>
      </c>
      <c r="AA29" s="9">
        <f t="shared" ref="AA29:AA31" si="61">IF(OR(Z29="",Z29="-"),"-",Z29*$M29*SQRT(3)/1000)</f>
        <v>84.974412619329115</v>
      </c>
      <c r="AB29" s="9">
        <v>900</v>
      </c>
      <c r="AC29" s="9">
        <f t="shared" ref="AC29:AC31" si="62">IF(OR(AB29="",AB29="-"),"-",AB29*$M29*SQRT(3)/1000)</f>
        <v>171.47302994931886</v>
      </c>
      <c r="AD29" s="9">
        <v>600</v>
      </c>
      <c r="AE29" s="9">
        <f t="shared" ref="AE29:AE31" si="63">IF(OR(AD29="",AD29="-"),"-",AD29*$M29*SQRT(3)/1000)</f>
        <v>114.31535329954589</v>
      </c>
      <c r="AF29" s="9" t="s">
        <v>0</v>
      </c>
      <c r="AG29" s="9" t="s">
        <v>0</v>
      </c>
      <c r="AH29" s="9" t="s">
        <v>0</v>
      </c>
      <c r="AI29" s="9" t="s">
        <v>0</v>
      </c>
      <c r="AJ29" s="43" t="s">
        <v>0</v>
      </c>
      <c r="AK29" s="9" t="s">
        <v>0</v>
      </c>
      <c r="AL29" s="43" t="s">
        <v>0</v>
      </c>
      <c r="AM29" s="9" t="s">
        <v>0</v>
      </c>
      <c r="AN29" s="43" t="s">
        <v>0</v>
      </c>
      <c r="AO29" s="9" t="s">
        <v>0</v>
      </c>
      <c r="AP29" s="9" t="s">
        <v>0</v>
      </c>
      <c r="AQ29" s="43" t="s">
        <v>0</v>
      </c>
      <c r="AR29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9" s="9" t="str">
        <f t="shared" ref="AS29:AS31" si="64">IF(OR(AR29="",AR29="-"),"-",AR29*$M29*SQRT(3)/1000)</f>
        <v>-</v>
      </c>
      <c r="AT29" s="9">
        <f>IF(RIGHT(TIM[[#This Row],[Device type]],7)="Winding","-",TIM[[#This Row],[Cont Winter MVA]])</f>
        <v>600.15560482261594</v>
      </c>
      <c r="AU29" s="9" t="str">
        <f>IF(RIGHT(TIM[[#This Row],[Device type]],7)="Winding","-",TIM[[#This Row],[Cont Shoulder MVA]])</f>
        <v>-</v>
      </c>
      <c r="AV29" s="9">
        <f>IF(RIGHT(TIM[[#This Row],[Device type]],7)="Winding","-",TIM[[#This Row],[Cont Summer MVA]])</f>
        <v>600.15560482261594</v>
      </c>
      <c r="AW29" s="9">
        <f>TIM[[#This Row],[24 Hr Winter MVA]]</f>
        <v>600.15560482261594</v>
      </c>
      <c r="AX29" s="9">
        <f>TIM[[#This Row],[24 Hr Summer MVA]]</f>
        <v>600.15560482261594</v>
      </c>
      <c r="AY29" s="9">
        <f>TIM[[#This Row],[Forwards MVA]]</f>
        <v>84.974412619329115</v>
      </c>
      <c r="AZ29" s="9">
        <f>TIM[[#This Row],[Relay MVA]]</f>
        <v>171.47302994931886</v>
      </c>
      <c r="BA29" s="9">
        <f>TIM[[#This Row],[CT MVA]]</f>
        <v>114.31535329954589</v>
      </c>
      <c r="BB29" s="9" t="str">
        <f>TIM[[#This Row],[Derating MVA]]</f>
        <v>-</v>
      </c>
      <c r="BC29" s="9" t="str">
        <f>TIM[[#This Row],[Station/Feeder]]&amp;TIM[[#This Row],[Lowest MVA]]</f>
        <v>TIM_GXP84.9744126193291</v>
      </c>
      <c r="BD29" s="9" t="str">
        <f>CONCATENATE(TIM[[#This Row],[Supply Level]],TIM[[#This Row],[Station/Feeder]],TIM[[#This Row],[Voltage]],TIM[[#This Row],[Lowest A-No PTX]])</f>
        <v>GXPTIM_GXP110446</v>
      </c>
      <c r="BE29" s="9" t="str">
        <f>CONCATENATE(TIM[[#This Row],[Supply Level]],TIM[[#This Row],[Station/Feeder]],TIM[[#This Row],[Voltage]],TIM[[#This Row],[Lowest A-PTX]])</f>
        <v>GXPTIM_GXP110446</v>
      </c>
      <c r="BF29" s="9">
        <f>IFERROR(IF(MIN(TIM[[#This Row],[Summ Cont Winter A]:[Cable Derating]])=0,"",MIN(TIM[[#This Row],[Summ Cont Winter A]:[Cable Derating]])),"")</f>
        <v>84.974412619329115</v>
      </c>
      <c r="BG29" s="9">
        <f>IFERROR(TIM[[#This Row],[Lowest MVA]]*1000/(TIM[[#This Row],[Voltage]]*SQRT(3)),"")</f>
        <v>446</v>
      </c>
      <c r="BH29" s="9">
        <f t="shared" si="10"/>
        <v>446</v>
      </c>
      <c r="BI29" s="9" t="str">
        <f>TIM[[#This Row],[From]]</f>
        <v>110 kV Bus</v>
      </c>
      <c r="BJ29" s="9" t="str">
        <f>TIM[[#This Row],[To]]</f>
        <v>11 kV Bus</v>
      </c>
      <c r="BK2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Breaker-TIM-DCB102-HV Circuit Breaker</v>
      </c>
      <c r="BL29" s="9">
        <f>TIM[[#This Row],[Voltage]]</f>
        <v>110</v>
      </c>
    </row>
    <row r="30" spans="1:64" ht="15" hidden="1" customHeight="1" x14ac:dyDescent="0.3">
      <c r="A30" s="6" t="str">
        <f>CONCATENATE(TIM[[#This Row],[Supply Level]],TIM[[#This Row],[Station/Feeder]],TIM[[#This Row],[Voltage]],"T6")</f>
        <v>GXPTIM_GXP110T6</v>
      </c>
      <c r="B30" s="6" t="str">
        <f>CONCATENATE(TIM[[#This Row],[Supply Level]],TIM[[#This Row],[Station/Feeder]],TIM[[#This Row],[Equipment ID]],TIM[[#This Row],[Voltage]],TIM[[#This Row],[Device type]])</f>
        <v>GXPTIM_GXPTIM-CT-CT102110Current Transformer</v>
      </c>
      <c r="C30" s="6" t="s">
        <v>4</v>
      </c>
      <c r="D30" s="6" t="s">
        <v>75</v>
      </c>
      <c r="E30" s="6" t="s">
        <v>603</v>
      </c>
      <c r="F30" s="6" t="s">
        <v>243</v>
      </c>
      <c r="G30" s="8">
        <v>2</v>
      </c>
      <c r="H30" s="7" t="s">
        <v>800</v>
      </c>
      <c r="I30" s="6" t="s">
        <v>1422</v>
      </c>
      <c r="J30" s="6" t="s">
        <v>1409</v>
      </c>
      <c r="K30" s="6" t="s">
        <v>0</v>
      </c>
      <c r="L30" s="6" t="s">
        <v>16</v>
      </c>
      <c r="M30" s="8">
        <v>110</v>
      </c>
      <c r="N30" s="9">
        <v>1250</v>
      </c>
      <c r="O30" s="9">
        <f t="shared" si="55"/>
        <v>238.1569860407206</v>
      </c>
      <c r="P30" s="9" t="s">
        <v>0</v>
      </c>
      <c r="Q30" s="9" t="str">
        <f t="shared" si="56"/>
        <v>-</v>
      </c>
      <c r="R30" s="9">
        <v>1250</v>
      </c>
      <c r="S30" s="9">
        <f t="shared" si="57"/>
        <v>238.1569860407206</v>
      </c>
      <c r="T30" s="9">
        <v>1250</v>
      </c>
      <c r="U30" s="9">
        <f t="shared" si="58"/>
        <v>238.1569860407206</v>
      </c>
      <c r="V30" s="9">
        <v>1250</v>
      </c>
      <c r="W30" s="9">
        <f t="shared" si="59"/>
        <v>238.1569860407206</v>
      </c>
      <c r="X30" s="9" t="s">
        <v>0</v>
      </c>
      <c r="Y30" s="9" t="str">
        <f t="shared" si="60"/>
        <v>-</v>
      </c>
      <c r="Z30" s="9" t="s">
        <v>0</v>
      </c>
      <c r="AA30" s="9" t="str">
        <f t="shared" si="61"/>
        <v>-</v>
      </c>
      <c r="AB30" s="9" t="s">
        <v>0</v>
      </c>
      <c r="AC30" s="9" t="str">
        <f t="shared" si="62"/>
        <v>-</v>
      </c>
      <c r="AD30" s="9" t="s">
        <v>0</v>
      </c>
      <c r="AE30" s="9" t="str">
        <f t="shared" si="63"/>
        <v>-</v>
      </c>
      <c r="AF30" s="9" t="s">
        <v>0</v>
      </c>
      <c r="AG30" s="9" t="s">
        <v>0</v>
      </c>
      <c r="AH30" s="9" t="s">
        <v>0</v>
      </c>
      <c r="AI30" s="9" t="s">
        <v>0</v>
      </c>
      <c r="AJ30" s="43" t="s">
        <v>0</v>
      </c>
      <c r="AK30" s="9" t="s">
        <v>0</v>
      </c>
      <c r="AL30" s="43" t="s">
        <v>0</v>
      </c>
      <c r="AM30" s="9" t="s">
        <v>0</v>
      </c>
      <c r="AN30" s="43" t="s">
        <v>0</v>
      </c>
      <c r="AO30" s="9" t="s">
        <v>0</v>
      </c>
      <c r="AP30" s="9" t="s">
        <v>0</v>
      </c>
      <c r="AQ30" s="43" t="s">
        <v>0</v>
      </c>
      <c r="AR3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0" s="9" t="str">
        <f t="shared" si="64"/>
        <v>-</v>
      </c>
      <c r="AT30" s="9">
        <f>IF(RIGHT(TIM[[#This Row],[Device type]],7)="Winding","-",TIM[[#This Row],[Cont Winter MVA]])</f>
        <v>238.1569860407206</v>
      </c>
      <c r="AU30" s="9" t="str">
        <f>IF(RIGHT(TIM[[#This Row],[Device type]],7)="Winding","-",TIM[[#This Row],[Cont Shoulder MVA]])</f>
        <v>-</v>
      </c>
      <c r="AV30" s="9">
        <f>IF(RIGHT(TIM[[#This Row],[Device type]],7)="Winding","-",TIM[[#This Row],[Cont Summer MVA]])</f>
        <v>238.1569860407206</v>
      </c>
      <c r="AW30" s="9">
        <f>TIM[[#This Row],[24 Hr Winter MVA]]</f>
        <v>238.1569860407206</v>
      </c>
      <c r="AX30" s="9">
        <f>TIM[[#This Row],[24 Hr Summer MVA]]</f>
        <v>238.1569860407206</v>
      </c>
      <c r="AY30" s="9" t="str">
        <f>TIM[[#This Row],[Forwards MVA]]</f>
        <v>-</v>
      </c>
      <c r="AZ30" s="9" t="str">
        <f>TIM[[#This Row],[Relay MVA]]</f>
        <v>-</v>
      </c>
      <c r="BA30" s="9" t="str">
        <f>TIM[[#This Row],[CT MVA]]</f>
        <v>-</v>
      </c>
      <c r="BB30" s="9" t="str">
        <f>TIM[[#This Row],[Derating MVA]]</f>
        <v>-</v>
      </c>
      <c r="BC30" s="9" t="str">
        <f>TIM[[#This Row],[Station/Feeder]]&amp;TIM[[#This Row],[Lowest MVA]]</f>
        <v>TIM_GXP238.156986040721</v>
      </c>
      <c r="BD30" s="9" t="str">
        <f>CONCATENATE(TIM[[#This Row],[Supply Level]],TIM[[#This Row],[Station/Feeder]],TIM[[#This Row],[Voltage]],TIM[[#This Row],[Lowest A-No PTX]])</f>
        <v>GXPTIM_GXP1101250</v>
      </c>
      <c r="BE30" s="9" t="str">
        <f>CONCATENATE(TIM[[#This Row],[Supply Level]],TIM[[#This Row],[Station/Feeder]],TIM[[#This Row],[Voltage]],TIM[[#This Row],[Lowest A-PTX]])</f>
        <v>GXPTIM_GXP1101250</v>
      </c>
      <c r="BF30" s="9">
        <f>IFERROR(IF(MIN(TIM[[#This Row],[Summ Cont Winter A]:[Cable Derating]])=0,"",MIN(TIM[[#This Row],[Summ Cont Winter A]:[Cable Derating]])),"")</f>
        <v>238.1569860407206</v>
      </c>
      <c r="BG30" s="9">
        <f>IFERROR(TIM[[#This Row],[Lowest MVA]]*1000/(TIM[[#This Row],[Voltage]]*SQRT(3)),"")</f>
        <v>1250</v>
      </c>
      <c r="BH30" s="9">
        <f t="shared" si="10"/>
        <v>1250</v>
      </c>
      <c r="BI30" s="9" t="str">
        <f>TIM[[#This Row],[From]]</f>
        <v>110 kV Bus</v>
      </c>
      <c r="BJ30" s="9" t="str">
        <f>TIM[[#This Row],[To]]</f>
        <v>11 kV Bus</v>
      </c>
      <c r="BK3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breaker-TIM-CT-CT102-Current Transformer</v>
      </c>
      <c r="BL30" s="9">
        <f>TIM[[#This Row],[Voltage]]</f>
        <v>110</v>
      </c>
    </row>
    <row r="31" spans="1:64" ht="15" hidden="1" customHeight="1" x14ac:dyDescent="0.3">
      <c r="A31" s="6" t="str">
        <f>CONCATENATE(TIM[[#This Row],[Supply Level]],TIM[[#This Row],[Station/Feeder]],TIM[[#This Row],[Voltage]],"T6")</f>
        <v>GXPTIM_GXP110T6</v>
      </c>
      <c r="B31" s="6" t="str">
        <f>CONCATENATE(TIM[[#This Row],[Supply Level]],TIM[[#This Row],[Station/Feeder]],TIM[[#This Row],[Equipment ID]],TIM[[#This Row],[Voltage]],TIM[[#This Row],[Device type]])</f>
        <v>GXPTIM_GXPTIM.TF.T6110Bushings</v>
      </c>
      <c r="C31" s="6" t="s">
        <v>4</v>
      </c>
      <c r="D31" s="6" t="s">
        <v>75</v>
      </c>
      <c r="E31" s="6" t="s">
        <v>603</v>
      </c>
      <c r="F31" s="6" t="s">
        <v>243</v>
      </c>
      <c r="G31" s="8">
        <v>3</v>
      </c>
      <c r="H31" s="7" t="s">
        <v>800</v>
      </c>
      <c r="I31" s="6" t="s">
        <v>801</v>
      </c>
      <c r="J31" s="6" t="s">
        <v>19</v>
      </c>
      <c r="K31" s="6" t="s">
        <v>0</v>
      </c>
      <c r="L31" s="6" t="s">
        <v>18</v>
      </c>
      <c r="M31" s="8">
        <v>110</v>
      </c>
      <c r="N31" s="9">
        <v>2100</v>
      </c>
      <c r="O31" s="9">
        <f t="shared" si="55"/>
        <v>400.10373654841061</v>
      </c>
      <c r="P31" s="9" t="s">
        <v>0</v>
      </c>
      <c r="Q31" s="9" t="str">
        <f t="shared" si="56"/>
        <v>-</v>
      </c>
      <c r="R31" s="9">
        <v>2100</v>
      </c>
      <c r="S31" s="9">
        <f t="shared" si="57"/>
        <v>400.10373654841061</v>
      </c>
      <c r="T31" s="9">
        <v>2100</v>
      </c>
      <c r="U31" s="9">
        <f t="shared" si="58"/>
        <v>400.10373654841061</v>
      </c>
      <c r="V31" s="9">
        <v>2100</v>
      </c>
      <c r="W31" s="9">
        <f t="shared" si="59"/>
        <v>400.10373654841061</v>
      </c>
      <c r="X31" s="9" t="s">
        <v>0</v>
      </c>
      <c r="Y31" s="9" t="str">
        <f t="shared" si="60"/>
        <v>-</v>
      </c>
      <c r="Z31" s="9" t="s">
        <v>0</v>
      </c>
      <c r="AA31" s="9" t="str">
        <f t="shared" si="61"/>
        <v>-</v>
      </c>
      <c r="AB31" s="9" t="s">
        <v>0</v>
      </c>
      <c r="AC31" s="9" t="str">
        <f t="shared" si="62"/>
        <v>-</v>
      </c>
      <c r="AD31" s="9" t="s">
        <v>0</v>
      </c>
      <c r="AE31" s="9" t="str">
        <f t="shared" si="63"/>
        <v>-</v>
      </c>
      <c r="AF31" s="9" t="s">
        <v>0</v>
      </c>
      <c r="AG31" s="9" t="s">
        <v>0</v>
      </c>
      <c r="AH31" s="9" t="s">
        <v>0</v>
      </c>
      <c r="AI31" s="9" t="s">
        <v>0</v>
      </c>
      <c r="AJ31" s="43" t="s">
        <v>0</v>
      </c>
      <c r="AK31" s="9" t="s">
        <v>0</v>
      </c>
      <c r="AL31" s="43" t="s">
        <v>0</v>
      </c>
      <c r="AM31" s="9" t="s">
        <v>0</v>
      </c>
      <c r="AN31" s="43" t="s">
        <v>0</v>
      </c>
      <c r="AO31" s="9" t="s">
        <v>0</v>
      </c>
      <c r="AP31" s="9" t="s">
        <v>0</v>
      </c>
      <c r="AQ31" s="43" t="s">
        <v>0</v>
      </c>
      <c r="AR3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1" s="9" t="str">
        <f t="shared" si="64"/>
        <v>-</v>
      </c>
      <c r="AT31" s="9">
        <f>IF(RIGHT(TIM[[#This Row],[Device type]],7)="Winding","-",TIM[[#This Row],[Cont Winter MVA]])</f>
        <v>400.10373654841061</v>
      </c>
      <c r="AU31" s="9" t="str">
        <f>IF(RIGHT(TIM[[#This Row],[Device type]],7)="Winding","-",TIM[[#This Row],[Cont Shoulder MVA]])</f>
        <v>-</v>
      </c>
      <c r="AV31" s="9">
        <f>IF(RIGHT(TIM[[#This Row],[Device type]],7)="Winding","-",TIM[[#This Row],[Cont Summer MVA]])</f>
        <v>400.10373654841061</v>
      </c>
      <c r="AW31" s="9">
        <f>TIM[[#This Row],[24 Hr Winter MVA]]</f>
        <v>400.10373654841061</v>
      </c>
      <c r="AX31" s="9">
        <f>TIM[[#This Row],[24 Hr Summer MVA]]</f>
        <v>400.10373654841061</v>
      </c>
      <c r="AY31" s="9" t="str">
        <f>TIM[[#This Row],[Forwards MVA]]</f>
        <v>-</v>
      </c>
      <c r="AZ31" s="9" t="str">
        <f>TIM[[#This Row],[Relay MVA]]</f>
        <v>-</v>
      </c>
      <c r="BA31" s="9" t="str">
        <f>TIM[[#This Row],[CT MVA]]</f>
        <v>-</v>
      </c>
      <c r="BB31" s="9" t="str">
        <f>TIM[[#This Row],[Derating MVA]]</f>
        <v>-</v>
      </c>
      <c r="BC31" s="9" t="str">
        <f>TIM[[#This Row],[Station/Feeder]]&amp;TIM[[#This Row],[Lowest MVA]]</f>
        <v>TIM_GXP400.103736548411</v>
      </c>
      <c r="BD31" s="9" t="str">
        <f>CONCATENATE(TIM[[#This Row],[Supply Level]],TIM[[#This Row],[Station/Feeder]],TIM[[#This Row],[Voltage]],TIM[[#This Row],[Lowest A-No PTX]])</f>
        <v>GXPTIM_GXP1102100</v>
      </c>
      <c r="BE31" s="9" t="str">
        <f>CONCATENATE(TIM[[#This Row],[Supply Level]],TIM[[#This Row],[Station/Feeder]],TIM[[#This Row],[Voltage]],TIM[[#This Row],[Lowest A-PTX]])</f>
        <v>GXPTIM_GXP1102100</v>
      </c>
      <c r="BF31" s="9">
        <f>IFERROR(IF(MIN(TIM[[#This Row],[Summ Cont Winter A]:[Cable Derating]])=0,"",MIN(TIM[[#This Row],[Summ Cont Winter A]:[Cable Derating]])),"")</f>
        <v>400.10373654841061</v>
      </c>
      <c r="BG31" s="9">
        <f>IFERROR(TIM[[#This Row],[Lowest MVA]]*1000/(TIM[[#This Row],[Voltage]]*SQRT(3)),"")</f>
        <v>2100</v>
      </c>
      <c r="BH31" s="9">
        <f t="shared" si="10"/>
        <v>2100</v>
      </c>
      <c r="BI31" s="9" t="str">
        <f>TIM[[#This Row],[From]]</f>
        <v>110 kV Bus</v>
      </c>
      <c r="BJ31" s="9" t="str">
        <f>TIM[[#This Row],[To]]</f>
        <v>11 kV Bus</v>
      </c>
      <c r="BK3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Transformer-TIM.TF.T6-Bushings</v>
      </c>
      <c r="BL31" s="9">
        <f>TIM[[#This Row],[Voltage]]</f>
        <v>110</v>
      </c>
    </row>
    <row r="32" spans="1:64" ht="15" hidden="1" customHeight="1" x14ac:dyDescent="0.3">
      <c r="A32" s="6" t="str">
        <f>CONCATENATE(TIM[[#This Row],[Supply Level]],TIM[[#This Row],[Station/Feeder]],TIM[[#This Row],[Voltage]],"T6")</f>
        <v>GXPTIM_GXP110T6</v>
      </c>
      <c r="B32" s="6" t="str">
        <f>CONCATENATE(TIM[[#This Row],[Supply Level]],TIM[[#This Row],[Station/Feeder]],TIM[[#This Row],[Equipment ID]],TIM[[#This Row],[Voltage]],TIM[[#This Row],[Device type]])</f>
        <v>GXPTIM_GXPTIM.TF.T6110Tap Changer</v>
      </c>
      <c r="C32" s="6" t="s">
        <v>4</v>
      </c>
      <c r="D32" s="6" t="s">
        <v>75</v>
      </c>
      <c r="E32" s="6" t="s">
        <v>603</v>
      </c>
      <c r="F32" s="6" t="s">
        <v>243</v>
      </c>
      <c r="G32" s="8">
        <v>4</v>
      </c>
      <c r="H32" s="7" t="s">
        <v>800</v>
      </c>
      <c r="I32" s="6" t="s">
        <v>801</v>
      </c>
      <c r="J32" s="6" t="s">
        <v>19</v>
      </c>
      <c r="K32" s="6" t="s">
        <v>0</v>
      </c>
      <c r="L32" s="6" t="s">
        <v>20</v>
      </c>
      <c r="M32" s="8">
        <v>110</v>
      </c>
      <c r="N32" s="9">
        <v>250</v>
      </c>
      <c r="O32" s="9">
        <f t="shared" ref="O32" si="65">IF(OR(N32="",N32="-"),"-",N32*$M32*SQRT(3)/1000)</f>
        <v>47.631397208144122</v>
      </c>
      <c r="P32" s="9" t="s">
        <v>0</v>
      </c>
      <c r="Q32" s="9" t="str">
        <f t="shared" ref="Q32" si="66">IF(OR(P32="",P32="-"),"-",P32*$M32*SQRT(3)/1000)</f>
        <v>-</v>
      </c>
      <c r="R32" s="9">
        <v>250</v>
      </c>
      <c r="S32" s="9">
        <f t="shared" ref="S32" si="67">IF(OR(R32="",R32="-"),"-",R32*$M32*SQRT(3)/1000)</f>
        <v>47.631397208144122</v>
      </c>
      <c r="T32" s="9">
        <v>300</v>
      </c>
      <c r="U32" s="9">
        <f t="shared" ref="U32" si="68">IF(OR(T32="",T32="-"),"-",T32*$M32*SQRT(3)/1000)</f>
        <v>57.157676649772945</v>
      </c>
      <c r="V32" s="9">
        <v>300</v>
      </c>
      <c r="W32" s="9">
        <f t="shared" ref="W32" si="69">IF(OR(V32="",V32="-"),"-",V32*$M32*SQRT(3)/1000)</f>
        <v>57.157676649772945</v>
      </c>
      <c r="X32" s="9" t="s">
        <v>0</v>
      </c>
      <c r="Y32" s="9" t="str">
        <f t="shared" ref="Y32" si="70">IF(OR(X32="",X32="-"),"-",X32*$M32*SQRT(3)/1000)</f>
        <v>-</v>
      </c>
      <c r="Z32" s="9" t="s">
        <v>0</v>
      </c>
      <c r="AA32" s="9" t="str">
        <f t="shared" ref="AA32" si="71">IF(OR(Z32="",Z32="-"),"-",Z32*$M32*SQRT(3)/1000)</f>
        <v>-</v>
      </c>
      <c r="AB32" s="9" t="s">
        <v>0</v>
      </c>
      <c r="AC32" s="9" t="str">
        <f t="shared" ref="AC32" si="72">IF(OR(AB32="",AB32="-"),"-",AB32*$M32*SQRT(3)/1000)</f>
        <v>-</v>
      </c>
      <c r="AD32" s="9" t="s">
        <v>0</v>
      </c>
      <c r="AE32" s="9" t="str">
        <f t="shared" ref="AE32" si="73">IF(OR(AD32="",AD32="-"),"-",AD32*$M32*SQRT(3)/1000)</f>
        <v>-</v>
      </c>
      <c r="AF32" s="9" t="s">
        <v>0</v>
      </c>
      <c r="AG32" s="9" t="s">
        <v>0</v>
      </c>
      <c r="AH32" s="9" t="s">
        <v>0</v>
      </c>
      <c r="AI32" s="9" t="s">
        <v>0</v>
      </c>
      <c r="AJ32" s="43" t="s">
        <v>0</v>
      </c>
      <c r="AK32" s="9" t="s">
        <v>0</v>
      </c>
      <c r="AL32" s="43" t="s">
        <v>0</v>
      </c>
      <c r="AM32" s="9" t="s">
        <v>0</v>
      </c>
      <c r="AN32" s="43" t="s">
        <v>0</v>
      </c>
      <c r="AO32" s="9" t="s">
        <v>0</v>
      </c>
      <c r="AP32" s="9" t="s">
        <v>0</v>
      </c>
      <c r="AQ32" s="43" t="s">
        <v>0</v>
      </c>
      <c r="AR32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2" s="9" t="str">
        <f t="shared" ref="AS32" si="74">IF(OR(AR32="",AR32="-"),"-",AR32*$M32*SQRT(3)/1000)</f>
        <v>-</v>
      </c>
      <c r="AT32" s="9">
        <f>IF(RIGHT(TIM[[#This Row],[Device type]],7)="Winding","-",TIM[[#This Row],[Cont Winter MVA]])</f>
        <v>47.631397208144122</v>
      </c>
      <c r="AU32" s="9" t="str">
        <f>IF(RIGHT(TIM[[#This Row],[Device type]],7)="Winding","-",TIM[[#This Row],[Cont Shoulder MVA]])</f>
        <v>-</v>
      </c>
      <c r="AV32" s="9">
        <f>IF(RIGHT(TIM[[#This Row],[Device type]],7)="Winding","-",TIM[[#This Row],[Cont Summer MVA]])</f>
        <v>47.631397208144122</v>
      </c>
      <c r="AW32" s="9">
        <f>TIM[[#This Row],[24 Hr Winter MVA]]</f>
        <v>57.157676649772945</v>
      </c>
      <c r="AX32" s="9">
        <f>TIM[[#This Row],[24 Hr Summer MVA]]</f>
        <v>57.157676649772945</v>
      </c>
      <c r="AY32" s="9" t="str">
        <f>TIM[[#This Row],[Forwards MVA]]</f>
        <v>-</v>
      </c>
      <c r="AZ32" s="9" t="str">
        <f>TIM[[#This Row],[Relay MVA]]</f>
        <v>-</v>
      </c>
      <c r="BA32" s="9" t="str">
        <f>TIM[[#This Row],[CT MVA]]</f>
        <v>-</v>
      </c>
      <c r="BB32" s="9" t="str">
        <f>TIM[[#This Row],[Derating MVA]]</f>
        <v>-</v>
      </c>
      <c r="BC32" s="9" t="str">
        <f>TIM[[#This Row],[Station/Feeder]]&amp;TIM[[#This Row],[Lowest MVA]]</f>
        <v>TIM_GXP47.6313972081441</v>
      </c>
      <c r="BD32" s="9" t="str">
        <f>CONCATENATE(TIM[[#This Row],[Supply Level]],TIM[[#This Row],[Station/Feeder]],TIM[[#This Row],[Voltage]],TIM[[#This Row],[Lowest A-No PTX]])</f>
        <v>GXPTIM_GXP110250</v>
      </c>
      <c r="BE32" s="9" t="str">
        <f>CONCATENATE(TIM[[#This Row],[Supply Level]],TIM[[#This Row],[Station/Feeder]],TIM[[#This Row],[Voltage]],TIM[[#This Row],[Lowest A-PTX]])</f>
        <v>GXPTIM_GXP110250</v>
      </c>
      <c r="BF32" s="9">
        <f>IFERROR(IF(MIN(TIM[[#This Row],[Summ Cont Winter A]:[Cable Derating]])=0,"",MIN(TIM[[#This Row],[Summ Cont Winter A]:[Cable Derating]])),"")</f>
        <v>47.631397208144122</v>
      </c>
      <c r="BG32" s="9">
        <f>IFERROR(TIM[[#This Row],[Lowest MVA]]*1000/(TIM[[#This Row],[Voltage]]*SQRT(3)),"")</f>
        <v>250</v>
      </c>
      <c r="BH32" s="9">
        <f t="shared" si="10"/>
        <v>250</v>
      </c>
      <c r="BI32" s="9" t="str">
        <f>TIM[[#This Row],[From]]</f>
        <v>110 kV Bus</v>
      </c>
      <c r="BJ32" s="9" t="str">
        <f>TIM[[#This Row],[To]]</f>
        <v>11 kV Bus</v>
      </c>
      <c r="BK3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Transformer-TIM.TF.T6-Tap Changer</v>
      </c>
      <c r="BL32" s="9">
        <f>TIM[[#This Row],[Voltage]]</f>
        <v>110</v>
      </c>
    </row>
    <row r="33" spans="1:64" ht="15.75" hidden="1" thickBot="1" x14ac:dyDescent="0.3">
      <c r="A33" s="6" t="str">
        <f>CONCATENATE(TIM[[#This Row],[Supply Level]],TIM[[#This Row],[Station/Feeder]],TIM[[#This Row],[Voltage]],"T6")</f>
        <v>GXPTIM_GXP110T6</v>
      </c>
      <c r="B33" s="6" t="str">
        <f>CONCATENATE(TIM[[#This Row],[Supply Level]],TIM[[#This Row],[Station/Feeder]],TIM[[#This Row],[Equipment ID]],TIM[[#This Row],[Voltage]],TIM[[#This Row],[Device type]])</f>
        <v>GXPTIM_GXPTIM.TF.T6110HV Winding</v>
      </c>
      <c r="C33" s="6" t="s">
        <v>4</v>
      </c>
      <c r="D33" s="11" t="s">
        <v>75</v>
      </c>
      <c r="E33" s="6" t="s">
        <v>603</v>
      </c>
      <c r="F33" s="6" t="s">
        <v>243</v>
      </c>
      <c r="G33" s="27">
        <v>5</v>
      </c>
      <c r="H33" s="7" t="s">
        <v>800</v>
      </c>
      <c r="I33" s="7" t="s">
        <v>801</v>
      </c>
      <c r="J33" s="7" t="s">
        <v>19</v>
      </c>
      <c r="K33" s="7" t="s">
        <v>0</v>
      </c>
      <c r="L33" s="7" t="s">
        <v>36</v>
      </c>
      <c r="M33" s="8">
        <v>110</v>
      </c>
      <c r="N33" s="9">
        <f>47000/(TIM[[#This Row],[Voltage]]*SQRT(3))</f>
        <v>246.68602410829467</v>
      </c>
      <c r="O33" s="9">
        <f t="shared" si="0"/>
        <v>47</v>
      </c>
      <c r="P33" s="9" t="s">
        <v>0</v>
      </c>
      <c r="Q33" s="9" t="str">
        <f t="shared" si="1"/>
        <v>-</v>
      </c>
      <c r="R33" s="9" t="s">
        <v>0</v>
      </c>
      <c r="S33" s="9" t="str">
        <f t="shared" si="2"/>
        <v>-</v>
      </c>
      <c r="T33" s="9">
        <v>336</v>
      </c>
      <c r="U33" s="9">
        <f t="shared" si="3"/>
        <v>64.0165978477457</v>
      </c>
      <c r="V33" s="9">
        <v>323</v>
      </c>
      <c r="W33" s="9">
        <f t="shared" si="4"/>
        <v>61.539765192922204</v>
      </c>
      <c r="X33" s="9" t="s">
        <v>0</v>
      </c>
      <c r="Y33" s="9" t="str">
        <f t="shared" si="5"/>
        <v>-</v>
      </c>
      <c r="Z33" s="9" t="s">
        <v>0</v>
      </c>
      <c r="AA33" s="9" t="str">
        <f t="shared" si="6"/>
        <v>-</v>
      </c>
      <c r="AB33" s="9" t="s">
        <v>0</v>
      </c>
      <c r="AC33" s="9" t="str">
        <f t="shared" si="7"/>
        <v>-</v>
      </c>
      <c r="AD33" s="9" t="s">
        <v>0</v>
      </c>
      <c r="AE33" s="12" t="str">
        <f t="shared" si="8"/>
        <v>-</v>
      </c>
      <c r="AF33" s="29" t="s">
        <v>0</v>
      </c>
      <c r="AG33" s="29" t="s">
        <v>0</v>
      </c>
      <c r="AH33" s="8" t="s">
        <v>0</v>
      </c>
      <c r="AI33" s="29" t="s">
        <v>0</v>
      </c>
      <c r="AJ33" s="32" t="s">
        <v>0</v>
      </c>
      <c r="AK33" s="29" t="s">
        <v>0</v>
      </c>
      <c r="AL33" s="32" t="s">
        <v>0</v>
      </c>
      <c r="AM33" s="29" t="s">
        <v>0</v>
      </c>
      <c r="AN33" s="32" t="s">
        <v>0</v>
      </c>
      <c r="AO33" s="29" t="s">
        <v>0</v>
      </c>
      <c r="AP33" s="29" t="s">
        <v>0</v>
      </c>
      <c r="AQ33" s="32" t="s">
        <v>0</v>
      </c>
      <c r="AR33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3" s="9" t="str">
        <f t="shared" si="9"/>
        <v>-</v>
      </c>
      <c r="AT33" s="9" t="str">
        <f>IF(RIGHT(TIM[[#This Row],[Device type]],7)="Winding","-",TIM[[#This Row],[Cont Winter MVA]])</f>
        <v>-</v>
      </c>
      <c r="AU33" s="9" t="str">
        <f>IF(RIGHT(TIM[[#This Row],[Device type]],7)="Winding","-",TIM[[#This Row],[Cont Shoulder MVA]])</f>
        <v>-</v>
      </c>
      <c r="AV33" s="9" t="str">
        <f>IF(RIGHT(TIM[[#This Row],[Device type]],7)="Winding","-",TIM[[#This Row],[Cont Summer MVA]])</f>
        <v>-</v>
      </c>
      <c r="AW33" s="9">
        <f>TIM[[#This Row],[24 Hr Winter MVA]]</f>
        <v>64.0165978477457</v>
      </c>
      <c r="AX33" s="9">
        <f>TIM[[#This Row],[24 Hr Summer MVA]]</f>
        <v>61.539765192922204</v>
      </c>
      <c r="AY33" s="9" t="str">
        <f>TIM[[#This Row],[Forwards MVA]]</f>
        <v>-</v>
      </c>
      <c r="AZ33" s="9" t="str">
        <f>TIM[[#This Row],[Relay MVA]]</f>
        <v>-</v>
      </c>
      <c r="BA33" s="9" t="str">
        <f>TIM[[#This Row],[CT MVA]]</f>
        <v>-</v>
      </c>
      <c r="BB33" s="9" t="str">
        <f>TIM[[#This Row],[Derating MVA]]</f>
        <v>-</v>
      </c>
      <c r="BC33" s="9" t="str">
        <f>TIM[[#This Row],[Station/Feeder]]&amp;TIM[[#This Row],[Lowest MVA]]</f>
        <v>TIM_GXP61.5397651929222</v>
      </c>
      <c r="BD33" s="9" t="str">
        <f>CONCATENATE(TIM[[#This Row],[Supply Level]],TIM[[#This Row],[Station/Feeder]],TIM[[#This Row],[Voltage]],TIM[[#This Row],[Lowest A-No PTX]])</f>
        <v>GXPTIM_GXP110323</v>
      </c>
      <c r="BE33" s="9" t="str">
        <f>CONCATENATE(TIM[[#This Row],[Supply Level]],TIM[[#This Row],[Station/Feeder]],TIM[[#This Row],[Voltage]],TIM[[#This Row],[Lowest A-PTX]])</f>
        <v>GXPTIM_GXP110246.686024108295</v>
      </c>
      <c r="BF33" s="9">
        <f>IFERROR(IF(MIN(TIM[[#This Row],[Summ Cont Winter A]:[Cable Derating]])=0,"",MIN(TIM[[#This Row],[Summ Cont Winter A]:[Cable Derating]])),"")</f>
        <v>61.539765192922204</v>
      </c>
      <c r="BG33" s="9">
        <f>IFERROR(TIM[[#This Row],[Lowest MVA]]*1000/(TIM[[#This Row],[Voltage]]*SQRT(3)),"")</f>
        <v>323</v>
      </c>
      <c r="BH33" s="9">
        <f t="shared" si="10"/>
        <v>246.68602410829467</v>
      </c>
      <c r="BI33" s="9" t="str">
        <f>TIM[[#This Row],[From]]</f>
        <v>110 kV Bus</v>
      </c>
      <c r="BJ33" s="9" t="str">
        <f>TIM[[#This Row],[To]]</f>
        <v>11 kV Bus</v>
      </c>
      <c r="BK3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Transformer-TIM.TF.T6-HV Winding</v>
      </c>
      <c r="BL33" s="9">
        <f>TIM[[#This Row],[Voltage]]</f>
        <v>110</v>
      </c>
    </row>
    <row r="34" spans="1:64" ht="15.75" hidden="1" thickBot="1" x14ac:dyDescent="0.3">
      <c r="A34" s="6" t="str">
        <f>CONCATENATE(TIM[[#This Row],[Supply Level]],TIM[[#This Row],[Station/Feeder]],TIM[[#This Row],[Voltage]],"T6")</f>
        <v>GXPTIM_GXP11T6</v>
      </c>
      <c r="B34" s="6" t="str">
        <f>CONCATENATE(TIM[[#This Row],[Supply Level]],TIM[[#This Row],[Station/Feeder]],TIM[[#This Row],[Equipment ID]],TIM[[#This Row],[Voltage]],TIM[[#This Row],[Device type]])</f>
        <v>GXPTIM_GXPTIM.TF.T611LV Winding</v>
      </c>
      <c r="C34" s="6" t="s">
        <v>4</v>
      </c>
      <c r="D34" s="11" t="s">
        <v>75</v>
      </c>
      <c r="E34" s="6" t="s">
        <v>603</v>
      </c>
      <c r="F34" s="6" t="s">
        <v>243</v>
      </c>
      <c r="G34" s="27">
        <v>6</v>
      </c>
      <c r="H34" s="7" t="s">
        <v>800</v>
      </c>
      <c r="I34" s="7" t="s">
        <v>801</v>
      </c>
      <c r="J34" s="7" t="s">
        <v>19</v>
      </c>
      <c r="K34" s="7" t="s">
        <v>0</v>
      </c>
      <c r="L34" s="7" t="s">
        <v>37</v>
      </c>
      <c r="M34" s="8">
        <v>11</v>
      </c>
      <c r="N34" s="9">
        <f>47000/(TIM[[#This Row],[Voltage]]*SQRT(3))</f>
        <v>2466.8602410829467</v>
      </c>
      <c r="O34" s="9">
        <f t="shared" si="0"/>
        <v>47</v>
      </c>
      <c r="P34" s="9" t="s">
        <v>0</v>
      </c>
      <c r="Q34" s="9" t="str">
        <f t="shared" si="1"/>
        <v>-</v>
      </c>
      <c r="R34" s="9" t="s">
        <v>0</v>
      </c>
      <c r="S34" s="9" t="str">
        <f t="shared" si="2"/>
        <v>-</v>
      </c>
      <c r="T34" s="9">
        <v>3364</v>
      </c>
      <c r="U34" s="9">
        <f t="shared" si="3"/>
        <v>64.092808083278726</v>
      </c>
      <c r="V34" s="9">
        <v>3228</v>
      </c>
      <c r="W34" s="9">
        <f t="shared" si="4"/>
        <v>61.501660075155691</v>
      </c>
      <c r="X34" s="9" t="s">
        <v>0</v>
      </c>
      <c r="Y34" s="9" t="str">
        <f t="shared" si="5"/>
        <v>-</v>
      </c>
      <c r="Z34" s="9" t="s">
        <v>0</v>
      </c>
      <c r="AA34" s="9" t="str">
        <f t="shared" si="6"/>
        <v>-</v>
      </c>
      <c r="AB34" s="9" t="s">
        <v>0</v>
      </c>
      <c r="AC34" s="9" t="str">
        <f t="shared" si="7"/>
        <v>-</v>
      </c>
      <c r="AD34" s="9" t="s">
        <v>0</v>
      </c>
      <c r="AE34" s="12" t="str">
        <f t="shared" si="8"/>
        <v>-</v>
      </c>
      <c r="AF34" s="29" t="s">
        <v>0</v>
      </c>
      <c r="AG34" s="29" t="s">
        <v>0</v>
      </c>
      <c r="AH34" s="8" t="s">
        <v>0</v>
      </c>
      <c r="AI34" s="29" t="s">
        <v>0</v>
      </c>
      <c r="AJ34" s="32" t="s">
        <v>0</v>
      </c>
      <c r="AK34" s="29" t="s">
        <v>0</v>
      </c>
      <c r="AL34" s="32" t="s">
        <v>0</v>
      </c>
      <c r="AM34" s="29" t="s">
        <v>0</v>
      </c>
      <c r="AN34" s="32" t="s">
        <v>0</v>
      </c>
      <c r="AO34" s="29" t="s">
        <v>0</v>
      </c>
      <c r="AP34" s="29" t="s">
        <v>0</v>
      </c>
      <c r="AQ34" s="32" t="s">
        <v>0</v>
      </c>
      <c r="AR3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4" s="9" t="str">
        <f t="shared" si="9"/>
        <v>-</v>
      </c>
      <c r="AT34" s="9" t="str">
        <f>IF(RIGHT(TIM[[#This Row],[Device type]],7)="Winding","-",TIM[[#This Row],[Cont Winter MVA]])</f>
        <v>-</v>
      </c>
      <c r="AU34" s="9" t="str">
        <f>IF(RIGHT(TIM[[#This Row],[Device type]],7)="Winding","-",TIM[[#This Row],[Cont Shoulder MVA]])</f>
        <v>-</v>
      </c>
      <c r="AV34" s="9" t="str">
        <f>IF(RIGHT(TIM[[#This Row],[Device type]],7)="Winding","-",TIM[[#This Row],[Cont Summer MVA]])</f>
        <v>-</v>
      </c>
      <c r="AW34" s="9">
        <f>TIM[[#This Row],[24 Hr Winter MVA]]</f>
        <v>64.092808083278726</v>
      </c>
      <c r="AX34" s="9">
        <f>TIM[[#This Row],[24 Hr Summer MVA]]</f>
        <v>61.501660075155691</v>
      </c>
      <c r="AY34" s="9" t="str">
        <f>TIM[[#This Row],[Forwards MVA]]</f>
        <v>-</v>
      </c>
      <c r="AZ34" s="9" t="str">
        <f>TIM[[#This Row],[Relay MVA]]</f>
        <v>-</v>
      </c>
      <c r="BA34" s="9" t="str">
        <f>TIM[[#This Row],[CT MVA]]</f>
        <v>-</v>
      </c>
      <c r="BB34" s="9" t="str">
        <f>TIM[[#This Row],[Derating MVA]]</f>
        <v>-</v>
      </c>
      <c r="BC34" s="9" t="str">
        <f>TIM[[#This Row],[Station/Feeder]]&amp;TIM[[#This Row],[Lowest MVA]]</f>
        <v>TIM_GXP61.5016600751557</v>
      </c>
      <c r="BD34" s="9" t="str">
        <f>CONCATENATE(TIM[[#This Row],[Supply Level]],TIM[[#This Row],[Station/Feeder]],TIM[[#This Row],[Voltage]],TIM[[#This Row],[Lowest A-No PTX]])</f>
        <v>GXPTIM_GXP113228</v>
      </c>
      <c r="BE34" s="9" t="str">
        <f>CONCATENATE(TIM[[#This Row],[Supply Level]],TIM[[#This Row],[Station/Feeder]],TIM[[#This Row],[Voltage]],TIM[[#This Row],[Lowest A-PTX]])</f>
        <v>GXPTIM_GXP112466.86024108295</v>
      </c>
      <c r="BF34" s="9">
        <f>IFERROR(IF(MIN(TIM[[#This Row],[Summ Cont Winter A]:[Cable Derating]])=0,"",MIN(TIM[[#This Row],[Summ Cont Winter A]:[Cable Derating]])),"")</f>
        <v>61.501660075155691</v>
      </c>
      <c r="BG34" s="9">
        <f>IFERROR(TIM[[#This Row],[Lowest MVA]]*1000/(TIM[[#This Row],[Voltage]]*SQRT(3)),"")</f>
        <v>3228</v>
      </c>
      <c r="BH34" s="9">
        <f t="shared" si="10"/>
        <v>2466.8602410829467</v>
      </c>
      <c r="BI34" s="9" t="str">
        <f>TIM[[#This Row],[From]]</f>
        <v>110 kV Bus</v>
      </c>
      <c r="BJ34" s="9" t="str">
        <f>TIM[[#This Row],[To]]</f>
        <v>11 kV Bus</v>
      </c>
      <c r="BK3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Transformer-TIM.TF.T6-LV Winding</v>
      </c>
      <c r="BL34" s="9">
        <f>TIM[[#This Row],[Voltage]]</f>
        <v>11</v>
      </c>
    </row>
    <row r="35" spans="1:64" ht="15" hidden="1" customHeight="1" x14ac:dyDescent="0.3">
      <c r="A35" s="6" t="str">
        <f>CONCATENATE(TIM[[#This Row],[Supply Level]],TIM[[#This Row],[Station/Feeder]],TIM[[#This Row],[Voltage]],"T6")</f>
        <v>GXPTIM_GXP11T6</v>
      </c>
      <c r="B35" s="6" t="str">
        <f>CONCATENATE(TIM[[#This Row],[Supply Level]],TIM[[#This Row],[Station/Feeder]],TIM[[#This Row],[Equipment ID]],TIM[[#This Row],[Voltage]],TIM[[#This Row],[Device type]])</f>
        <v>GXPTIM_GXPTIM.TF.T611Bushings</v>
      </c>
      <c r="C35" s="6" t="s">
        <v>4</v>
      </c>
      <c r="D35" s="11" t="s">
        <v>75</v>
      </c>
      <c r="E35" s="6" t="s">
        <v>603</v>
      </c>
      <c r="F35" s="6" t="s">
        <v>243</v>
      </c>
      <c r="G35" s="27">
        <v>7</v>
      </c>
      <c r="H35" s="7" t="s">
        <v>800</v>
      </c>
      <c r="I35" s="7" t="s">
        <v>801</v>
      </c>
      <c r="J35" s="7" t="s">
        <v>19</v>
      </c>
      <c r="K35" s="7" t="s">
        <v>0</v>
      </c>
      <c r="L35" s="7" t="s">
        <v>18</v>
      </c>
      <c r="M35" s="8">
        <v>11</v>
      </c>
      <c r="N35" s="9">
        <v>5000</v>
      </c>
      <c r="O35" s="9">
        <f t="shared" si="0"/>
        <v>95.262794416288244</v>
      </c>
      <c r="P35" s="9" t="s">
        <v>0</v>
      </c>
      <c r="Q35" s="9" t="str">
        <f t="shared" si="1"/>
        <v>-</v>
      </c>
      <c r="R35" s="9">
        <v>5000</v>
      </c>
      <c r="S35" s="9">
        <f t="shared" si="2"/>
        <v>95.262794416288244</v>
      </c>
      <c r="T35" s="9">
        <v>6000</v>
      </c>
      <c r="U35" s="9">
        <f t="shared" si="3"/>
        <v>114.31535329954589</v>
      </c>
      <c r="V35" s="9">
        <v>6000</v>
      </c>
      <c r="W35" s="9">
        <f t="shared" si="4"/>
        <v>114.31535329954589</v>
      </c>
      <c r="X35" s="9" t="s">
        <v>0</v>
      </c>
      <c r="Y35" s="9" t="str">
        <f t="shared" si="5"/>
        <v>-</v>
      </c>
      <c r="Z35" s="9" t="s">
        <v>0</v>
      </c>
      <c r="AA35" s="9" t="str">
        <f t="shared" si="6"/>
        <v>-</v>
      </c>
      <c r="AB35" s="9" t="s">
        <v>0</v>
      </c>
      <c r="AC35" s="9" t="str">
        <f t="shared" si="7"/>
        <v>-</v>
      </c>
      <c r="AD35" s="9" t="s">
        <v>0</v>
      </c>
      <c r="AE35" s="12" t="str">
        <f t="shared" si="8"/>
        <v>-</v>
      </c>
      <c r="AF35" s="29" t="s">
        <v>0</v>
      </c>
      <c r="AG35" s="29" t="s">
        <v>0</v>
      </c>
      <c r="AH35" s="8" t="s">
        <v>0</v>
      </c>
      <c r="AI35" s="29" t="s">
        <v>0</v>
      </c>
      <c r="AJ35" s="32" t="s">
        <v>0</v>
      </c>
      <c r="AK35" s="29" t="s">
        <v>0</v>
      </c>
      <c r="AL35" s="32" t="s">
        <v>0</v>
      </c>
      <c r="AM35" s="29" t="s">
        <v>0</v>
      </c>
      <c r="AN35" s="32" t="s">
        <v>0</v>
      </c>
      <c r="AO35" s="29" t="s">
        <v>0</v>
      </c>
      <c r="AP35" s="29" t="s">
        <v>0</v>
      </c>
      <c r="AQ35" s="32" t="s">
        <v>0</v>
      </c>
      <c r="AR35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5" s="9" t="str">
        <f t="shared" si="9"/>
        <v>-</v>
      </c>
      <c r="AT35" s="9">
        <f>IF(RIGHT(TIM[[#This Row],[Device type]],7)="Winding","-",TIM[[#This Row],[Cont Winter MVA]])</f>
        <v>95.262794416288244</v>
      </c>
      <c r="AU35" s="9" t="str">
        <f>IF(RIGHT(TIM[[#This Row],[Device type]],7)="Winding","-",TIM[[#This Row],[Cont Shoulder MVA]])</f>
        <v>-</v>
      </c>
      <c r="AV35" s="9">
        <f>IF(RIGHT(TIM[[#This Row],[Device type]],7)="Winding","-",TIM[[#This Row],[Cont Summer MVA]])</f>
        <v>95.262794416288244</v>
      </c>
      <c r="AW35" s="9">
        <f>TIM[[#This Row],[24 Hr Winter MVA]]</f>
        <v>114.31535329954589</v>
      </c>
      <c r="AX35" s="9">
        <f>TIM[[#This Row],[24 Hr Summer MVA]]</f>
        <v>114.31535329954589</v>
      </c>
      <c r="AY35" s="9" t="str">
        <f>TIM[[#This Row],[Forwards MVA]]</f>
        <v>-</v>
      </c>
      <c r="AZ35" s="9" t="str">
        <f>TIM[[#This Row],[Relay MVA]]</f>
        <v>-</v>
      </c>
      <c r="BA35" s="9" t="str">
        <f>TIM[[#This Row],[CT MVA]]</f>
        <v>-</v>
      </c>
      <c r="BB35" s="9" t="str">
        <f>TIM[[#This Row],[Derating MVA]]</f>
        <v>-</v>
      </c>
      <c r="BC35" s="9" t="str">
        <f>TIM[[#This Row],[Station/Feeder]]&amp;TIM[[#This Row],[Lowest MVA]]</f>
        <v>TIM_GXP95.2627944162882</v>
      </c>
      <c r="BD35" s="9" t="str">
        <f>CONCATENATE(TIM[[#This Row],[Supply Level]],TIM[[#This Row],[Station/Feeder]],TIM[[#This Row],[Voltage]],TIM[[#This Row],[Lowest A-No PTX]])</f>
        <v>GXPTIM_GXP115000</v>
      </c>
      <c r="BE35" s="9" t="str">
        <f>CONCATENATE(TIM[[#This Row],[Supply Level]],TIM[[#This Row],[Station/Feeder]],TIM[[#This Row],[Voltage]],TIM[[#This Row],[Lowest A-PTX]])</f>
        <v>GXPTIM_GXP115000</v>
      </c>
      <c r="BF35" s="9">
        <f>IFERROR(IF(MIN(TIM[[#This Row],[Summ Cont Winter A]:[Cable Derating]])=0,"",MIN(TIM[[#This Row],[Summ Cont Winter A]:[Cable Derating]])),"")</f>
        <v>95.262794416288244</v>
      </c>
      <c r="BG35" s="9">
        <f>IFERROR(TIM[[#This Row],[Lowest MVA]]*1000/(TIM[[#This Row],[Voltage]]*SQRT(3)),"")</f>
        <v>5000</v>
      </c>
      <c r="BH35" s="9">
        <f t="shared" si="10"/>
        <v>5000</v>
      </c>
      <c r="BI35" s="9" t="str">
        <f>TIM[[#This Row],[From]]</f>
        <v>110 kV Bus</v>
      </c>
      <c r="BJ35" s="9" t="str">
        <f>TIM[[#This Row],[To]]</f>
        <v>11 kV Bus</v>
      </c>
      <c r="BK3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Transformer-TIM.TF.T6-Bushings</v>
      </c>
      <c r="BL35" s="9">
        <f>TIM[[#This Row],[Voltage]]</f>
        <v>11</v>
      </c>
    </row>
    <row r="36" spans="1:64" ht="15" hidden="1" customHeight="1" x14ac:dyDescent="0.3">
      <c r="A36" s="6" t="str">
        <f>CONCATENATE(TIM[[#This Row],[Supply Level]],TIM[[#This Row],[Station/Feeder]],TIM[[#This Row],[Voltage]],"T6")</f>
        <v>GXPTIM_GXP11T6</v>
      </c>
      <c r="B36" s="6" t="str">
        <f>CONCATENATE(TIM[[#This Row],[Supply Level]],TIM[[#This Row],[Station/Feeder]],TIM[[#This Row],[Equipment ID]],TIM[[#This Row],[Voltage]],TIM[[#This Row],[Device type]])</f>
        <v>GXPTIM_GXPTIM-CB293211Protection</v>
      </c>
      <c r="C36" s="6" t="s">
        <v>4</v>
      </c>
      <c r="D36" s="11" t="s">
        <v>75</v>
      </c>
      <c r="E36" s="6" t="s">
        <v>603</v>
      </c>
      <c r="F36" s="6" t="s">
        <v>243</v>
      </c>
      <c r="G36" s="27">
        <v>8</v>
      </c>
      <c r="H36" s="7" t="s">
        <v>800</v>
      </c>
      <c r="I36" s="7" t="s">
        <v>2220</v>
      </c>
      <c r="J36" s="7" t="s">
        <v>15</v>
      </c>
      <c r="K36" s="7" t="s">
        <v>1124</v>
      </c>
      <c r="L36" s="7" t="s">
        <v>1423</v>
      </c>
      <c r="M36" s="8">
        <v>11</v>
      </c>
      <c r="N36" s="9">
        <v>2500</v>
      </c>
      <c r="O36" s="9">
        <f t="shared" si="0"/>
        <v>47.631397208144122</v>
      </c>
      <c r="P36" s="9" t="s">
        <v>0</v>
      </c>
      <c r="Q36" s="9" t="str">
        <f t="shared" si="1"/>
        <v>-</v>
      </c>
      <c r="R36" s="9">
        <v>2500</v>
      </c>
      <c r="S36" s="9">
        <f t="shared" si="2"/>
        <v>47.631397208144122</v>
      </c>
      <c r="T36" s="9" t="s">
        <v>0</v>
      </c>
      <c r="U36" s="9" t="str">
        <f t="shared" si="3"/>
        <v>-</v>
      </c>
      <c r="V36" s="9" t="s">
        <v>0</v>
      </c>
      <c r="W36" s="9" t="str">
        <f t="shared" si="4"/>
        <v>-</v>
      </c>
      <c r="X36" s="9">
        <v>1544</v>
      </c>
      <c r="Y36" s="9">
        <f>IF(OR(X36="",X36="-"),"-",X36*$M36*SQRT(3)/1000)</f>
        <v>29.417150915749811</v>
      </c>
      <c r="Z36" s="9" t="s">
        <v>0</v>
      </c>
      <c r="AA36" s="9" t="str">
        <f t="shared" si="6"/>
        <v>-</v>
      </c>
      <c r="AB36" s="9">
        <v>7200</v>
      </c>
      <c r="AC36" s="9">
        <f t="shared" si="7"/>
        <v>137.17842395945507</v>
      </c>
      <c r="AD36" s="9">
        <v>4800</v>
      </c>
      <c r="AE36" s="12">
        <f t="shared" si="8"/>
        <v>91.452282639636721</v>
      </c>
      <c r="AF36" s="29" t="s">
        <v>0</v>
      </c>
      <c r="AG36" s="29" t="s">
        <v>0</v>
      </c>
      <c r="AH36" s="8" t="s">
        <v>0</v>
      </c>
      <c r="AI36" s="29" t="s">
        <v>0</v>
      </c>
      <c r="AJ36" s="32" t="s">
        <v>0</v>
      </c>
      <c r="AK36" s="29" t="s">
        <v>0</v>
      </c>
      <c r="AL36" s="32" t="s">
        <v>0</v>
      </c>
      <c r="AM36" s="29" t="s">
        <v>0</v>
      </c>
      <c r="AN36" s="32" t="s">
        <v>0</v>
      </c>
      <c r="AO36" s="29" t="s">
        <v>0</v>
      </c>
      <c r="AP36" s="29" t="s">
        <v>0</v>
      </c>
      <c r="AQ36" s="32" t="s">
        <v>0</v>
      </c>
      <c r="AR36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6" s="9" t="str">
        <f t="shared" si="9"/>
        <v>-</v>
      </c>
      <c r="AT36" s="9">
        <f>IF(RIGHT(TIM[[#This Row],[Device type]],7)="Winding","-",TIM[[#This Row],[Cont Winter MVA]])</f>
        <v>47.631397208144122</v>
      </c>
      <c r="AU36" s="9" t="str">
        <f>IF(RIGHT(TIM[[#This Row],[Device type]],7)="Winding","-",TIM[[#This Row],[Cont Shoulder MVA]])</f>
        <v>-</v>
      </c>
      <c r="AV36" s="9">
        <f>IF(RIGHT(TIM[[#This Row],[Device type]],7)="Winding","-",TIM[[#This Row],[Cont Summer MVA]])</f>
        <v>47.631397208144122</v>
      </c>
      <c r="AW36" s="9" t="str">
        <f>TIM[[#This Row],[24 Hr Winter MVA]]</f>
        <v>-</v>
      </c>
      <c r="AX36" s="9" t="str">
        <f>TIM[[#This Row],[24 Hr Summer MVA]]</f>
        <v>-</v>
      </c>
      <c r="AY36" s="9">
        <f>TIM[[#This Row],[Forwards MVA]]</f>
        <v>29.417150915749811</v>
      </c>
      <c r="AZ36" s="9">
        <f>TIM[[#This Row],[Relay MVA]]</f>
        <v>137.17842395945507</v>
      </c>
      <c r="BA36" s="9">
        <f>TIM[[#This Row],[CT MVA]]</f>
        <v>91.452282639636721</v>
      </c>
      <c r="BB36" s="9" t="str">
        <f>TIM[[#This Row],[Derating MVA]]</f>
        <v>-</v>
      </c>
      <c r="BC36" s="9" t="str">
        <f>TIM[[#This Row],[Station/Feeder]]&amp;TIM[[#This Row],[Lowest MVA]]</f>
        <v>TIM_GXP29.4171509157498</v>
      </c>
      <c r="BD36" s="9" t="str">
        <f>CONCATENATE(TIM[[#This Row],[Supply Level]],TIM[[#This Row],[Station/Feeder]],TIM[[#This Row],[Voltage]],TIM[[#This Row],[Lowest A-No PTX]])</f>
        <v>GXPTIM_GXP111544</v>
      </c>
      <c r="BE36" s="9" t="str">
        <f>CONCATENATE(TIM[[#This Row],[Supply Level]],TIM[[#This Row],[Station/Feeder]],TIM[[#This Row],[Voltage]],TIM[[#This Row],[Lowest A-PTX]])</f>
        <v>GXPTIM_GXP111544</v>
      </c>
      <c r="BF36" s="9">
        <f>IFERROR(IF(MIN(TIM[[#This Row],[Summ Cont Winter A]:[Cable Derating]])=0,"",MIN(TIM[[#This Row],[Summ Cont Winter A]:[Cable Derating]])),"")</f>
        <v>29.417150915749811</v>
      </c>
      <c r="BG36" s="9">
        <f>IFERROR(TIM[[#This Row],[Lowest MVA]]*1000/(TIM[[#This Row],[Voltage]]*SQRT(3)),"")</f>
        <v>1544</v>
      </c>
      <c r="BH36" s="9">
        <f t="shared" si="10"/>
        <v>1544</v>
      </c>
      <c r="BI36" s="9" t="str">
        <f>TIM[[#This Row],[From]]</f>
        <v>110 kV Bus</v>
      </c>
      <c r="BJ36" s="9" t="str">
        <f>TIM[[#This Row],[To]]</f>
        <v>11 kV Bus</v>
      </c>
      <c r="BK3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Breaker-TIM-CB2932-Protection</v>
      </c>
      <c r="BL36" s="9">
        <f>TIM[[#This Row],[Voltage]]</f>
        <v>11</v>
      </c>
    </row>
    <row r="37" spans="1:64" ht="15" hidden="1" customHeight="1" x14ac:dyDescent="0.3">
      <c r="A37" s="6" t="str">
        <f>CONCATENATE(TIM[[#This Row],[Supply Level]],TIM[[#This Row],[Station/Feeder]],TIM[[#This Row],[Voltage]],"T6")</f>
        <v>GXPTIM_GXP11T6</v>
      </c>
      <c r="B37" s="6" t="str">
        <f>CONCATENATE(TIM[[#This Row],[Supply Level]],TIM[[#This Row],[Station/Feeder]],TIM[[#This Row],[Equipment ID]],TIM[[#This Row],[Voltage]],TIM[[#This Row],[Device type]])</f>
        <v>GXPTIM_GXPTIM-CB2932-OEL11OEL</v>
      </c>
      <c r="C37" s="6" t="s">
        <v>4</v>
      </c>
      <c r="D37" s="6" t="s">
        <v>75</v>
      </c>
      <c r="E37" s="6" t="s">
        <v>603</v>
      </c>
      <c r="F37" s="6" t="s">
        <v>243</v>
      </c>
      <c r="G37" s="8">
        <v>9</v>
      </c>
      <c r="H37" s="7" t="s">
        <v>800</v>
      </c>
      <c r="I37" s="6" t="s">
        <v>2274</v>
      </c>
      <c r="J37" s="6" t="s">
        <v>1425</v>
      </c>
      <c r="K37" s="6" t="s">
        <v>0</v>
      </c>
      <c r="L37" s="6" t="s">
        <v>1425</v>
      </c>
      <c r="M37" s="8">
        <v>11</v>
      </c>
      <c r="N37" s="9">
        <v>2880</v>
      </c>
      <c r="O37" s="9">
        <f t="shared" ref="O37" si="75">IF(OR(N37="",N37="-"),"-",N37*$M37*SQRT(3)/1000)</f>
        <v>54.871369583782027</v>
      </c>
      <c r="P37" s="9" t="s">
        <v>0</v>
      </c>
      <c r="Q37" s="9" t="str">
        <f t="shared" ref="Q37" si="76">IF(OR(P37="",P37="-"),"-",P37*$M37*SQRT(3)/1000)</f>
        <v>-</v>
      </c>
      <c r="R37" s="9">
        <v>2880</v>
      </c>
      <c r="S37" s="9">
        <f t="shared" ref="S37" si="77">IF(OR(R37="",R37="-"),"-",R37*$M37*SQRT(3)/1000)</f>
        <v>54.871369583782027</v>
      </c>
      <c r="T37" s="9" t="s">
        <v>0</v>
      </c>
      <c r="U37" s="9" t="str">
        <f t="shared" ref="U37" si="78">IF(OR(T37="",T37="-"),"-",T37*$M37*SQRT(3)/1000)</f>
        <v>-</v>
      </c>
      <c r="V37" s="9" t="s">
        <v>0</v>
      </c>
      <c r="W37" s="9" t="str">
        <f t="shared" ref="W37" si="79">IF(OR(V37="",V37="-"),"-",V37*$M37*SQRT(3)/1000)</f>
        <v>-</v>
      </c>
      <c r="X37" s="9" t="s">
        <v>0</v>
      </c>
      <c r="Y37" s="9" t="str">
        <f t="shared" ref="Y37" si="80">IF(OR(X37="",X37="-"),"-",X37*$M37*SQRT(3)/1000)</f>
        <v>-</v>
      </c>
      <c r="Z37" s="9" t="s">
        <v>0</v>
      </c>
      <c r="AA37" s="9" t="str">
        <f t="shared" ref="AA37" si="81">IF(OR(Z37="",Z37="-"),"-",Z37*$M37*SQRT(3)/1000)</f>
        <v>-</v>
      </c>
      <c r="AB37" s="9" t="s">
        <v>0</v>
      </c>
      <c r="AC37" s="9" t="str">
        <f t="shared" ref="AC37" si="82">IF(OR(AB37="",AB37="-"),"-",AB37*$M37*SQRT(3)/1000)</f>
        <v>-</v>
      </c>
      <c r="AD37" s="9" t="s">
        <v>0</v>
      </c>
      <c r="AE37" s="9" t="str">
        <f t="shared" ref="AE37" si="83">IF(OR(AD37="",AD37="-"),"-",AD37*$M37*SQRT(3)/1000)</f>
        <v>-</v>
      </c>
      <c r="AF37" s="9" t="s">
        <v>0</v>
      </c>
      <c r="AG37" s="9" t="s">
        <v>0</v>
      </c>
      <c r="AH37" s="9" t="s">
        <v>0</v>
      </c>
      <c r="AI37" s="9" t="s">
        <v>0</v>
      </c>
      <c r="AJ37" s="43" t="s">
        <v>0</v>
      </c>
      <c r="AK37" s="9" t="s">
        <v>0</v>
      </c>
      <c r="AL37" s="43" t="s">
        <v>0</v>
      </c>
      <c r="AM37" s="9" t="s">
        <v>0</v>
      </c>
      <c r="AN37" s="43" t="s">
        <v>0</v>
      </c>
      <c r="AO37" s="9" t="s">
        <v>0</v>
      </c>
      <c r="AP37" s="9" t="s">
        <v>0</v>
      </c>
      <c r="AQ37" s="43" t="s">
        <v>0</v>
      </c>
      <c r="AR37" s="9" t="s">
        <v>0</v>
      </c>
      <c r="AS37" s="9" t="str">
        <f t="shared" ref="AS37" si="84">IF(OR(AR37="",AR37="-"),"-",AR37*$M37*SQRT(3)/1000)</f>
        <v>-</v>
      </c>
      <c r="AT37" s="9">
        <f>IF(RIGHT(TIM[[#This Row],[Device type]],7)="Winding","-",TIM[[#This Row],[Cont Winter MVA]])</f>
        <v>54.871369583782027</v>
      </c>
      <c r="AU37" s="9" t="str">
        <f>IF(RIGHT(TIM[[#This Row],[Device type]],7)="Winding","-",TIM[[#This Row],[Cont Shoulder MVA]])</f>
        <v>-</v>
      </c>
      <c r="AV37" s="9">
        <f>IF(RIGHT(TIM[[#This Row],[Device type]],7)="Winding","-",TIM[[#This Row],[Cont Summer MVA]])</f>
        <v>54.871369583782027</v>
      </c>
      <c r="AW37" s="9" t="str">
        <f>TIM[[#This Row],[24 Hr Winter MVA]]</f>
        <v>-</v>
      </c>
      <c r="AX37" s="9" t="str">
        <f>TIM[[#This Row],[24 Hr Summer MVA]]</f>
        <v>-</v>
      </c>
      <c r="AY37" s="9" t="str">
        <f>TIM[[#This Row],[Forwards MVA]]</f>
        <v>-</v>
      </c>
      <c r="AZ37" s="9" t="str">
        <f>TIM[[#This Row],[Relay MVA]]</f>
        <v>-</v>
      </c>
      <c r="BA37" s="9" t="str">
        <f>TIM[[#This Row],[CT MVA]]</f>
        <v>-</v>
      </c>
      <c r="BB37" s="9" t="str">
        <f>TIM[[#This Row],[Derating MVA]]</f>
        <v>-</v>
      </c>
      <c r="BC37" s="9" t="str">
        <f>TIM[[#This Row],[Station/Feeder]]&amp;TIM[[#This Row],[Lowest MVA]]</f>
        <v>TIM_GXP54.871369583782</v>
      </c>
      <c r="BD37" s="9" t="str">
        <f>CONCATENATE(TIM[[#This Row],[Supply Level]],TIM[[#This Row],[Station/Feeder]],TIM[[#This Row],[Voltage]],TIM[[#This Row],[Lowest A-No PTX]])</f>
        <v>GXPTIM_GXP112880</v>
      </c>
      <c r="BE37" s="9" t="str">
        <f>CONCATENATE(TIM[[#This Row],[Supply Level]],TIM[[#This Row],[Station/Feeder]],TIM[[#This Row],[Voltage]],TIM[[#This Row],[Lowest A-PTX]])</f>
        <v>GXPTIM_GXP112880</v>
      </c>
      <c r="BF37" s="9">
        <f>IFERROR(IF(MIN(TIM[[#This Row],[Summ Cont Winter A]:[Cable Derating]])=0,"",MIN(TIM[[#This Row],[Summ Cont Winter A]:[Cable Derating]])),"")</f>
        <v>54.871369583782027</v>
      </c>
      <c r="BG37" s="9">
        <f>IFERROR(TIM[[#This Row],[Lowest MVA]]*1000/(TIM[[#This Row],[Voltage]]*SQRT(3)),"")</f>
        <v>2880</v>
      </c>
      <c r="BH37" s="9">
        <f t="shared" si="10"/>
        <v>2880</v>
      </c>
      <c r="BI37" s="9" t="str">
        <f>TIM[[#This Row],[From]]</f>
        <v>110 kV Bus</v>
      </c>
      <c r="BJ37" s="9" t="str">
        <f>TIM[[#This Row],[To]]</f>
        <v>11 kV Bus</v>
      </c>
      <c r="BK3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OEL-TIM-CB2932-OEL-OEL</v>
      </c>
      <c r="BL37" s="9">
        <f>TIM[[#This Row],[Voltage]]</f>
        <v>11</v>
      </c>
    </row>
    <row r="38" spans="1:64" ht="15.75" hidden="1" customHeight="1" thickBot="1" x14ac:dyDescent="0.3">
      <c r="A38" s="14" t="str">
        <f>CONCATENATE(TIM[[#This Row],[Supply Level]],TIM[[#This Row],[Station/Feeder]],TIM[[#This Row],[Voltage]],"T6")</f>
        <v>GXPTIM_GXP11T6</v>
      </c>
      <c r="B38" s="14" t="str">
        <f>CONCATENATE(TIM[[#This Row],[Supply Level]],TIM[[#This Row],[Station/Feeder]],TIM[[#This Row],[Equipment ID]],TIM[[#This Row],[Voltage]],TIM[[#This Row],[Device type]])</f>
        <v>GXPTIM_GXPTIM-CBL-T6-CB293211-</v>
      </c>
      <c r="C38" s="14" t="s">
        <v>4</v>
      </c>
      <c r="D38" s="13" t="s">
        <v>75</v>
      </c>
      <c r="E38" s="14" t="s">
        <v>603</v>
      </c>
      <c r="F38" s="14" t="s">
        <v>243</v>
      </c>
      <c r="G38" s="28">
        <v>10</v>
      </c>
      <c r="H38" s="39" t="s">
        <v>800</v>
      </c>
      <c r="I38" s="39" t="s">
        <v>1421</v>
      </c>
      <c r="J38" s="39" t="s">
        <v>250</v>
      </c>
      <c r="K38" s="39" t="s">
        <v>0</v>
      </c>
      <c r="L38" s="39" t="s">
        <v>0</v>
      </c>
      <c r="M38" s="15">
        <v>11</v>
      </c>
      <c r="N38" s="16">
        <v>2708</v>
      </c>
      <c r="O38" s="16">
        <f t="shared" si="0"/>
        <v>51.594329455861711</v>
      </c>
      <c r="P38" s="16">
        <v>2598</v>
      </c>
      <c r="Q38" s="16">
        <f t="shared" si="1"/>
        <v>49.498547978703371</v>
      </c>
      <c r="R38" s="16">
        <v>2534</v>
      </c>
      <c r="S38" s="16">
        <f t="shared" si="2"/>
        <v>48.279184210174883</v>
      </c>
      <c r="T38" s="16" t="s">
        <v>0</v>
      </c>
      <c r="U38" s="16" t="str">
        <f t="shared" si="3"/>
        <v>-</v>
      </c>
      <c r="V38" s="16" t="s">
        <v>0</v>
      </c>
      <c r="W38" s="16" t="str">
        <f t="shared" si="4"/>
        <v>-</v>
      </c>
      <c r="X38" s="16" t="s">
        <v>0</v>
      </c>
      <c r="Y38" s="16" t="str">
        <f t="shared" si="5"/>
        <v>-</v>
      </c>
      <c r="Z38" s="16" t="s">
        <v>0</v>
      </c>
      <c r="AA38" s="16" t="str">
        <f t="shared" si="6"/>
        <v>-</v>
      </c>
      <c r="AB38" s="16" t="s">
        <v>0</v>
      </c>
      <c r="AC38" s="16" t="str">
        <f t="shared" si="7"/>
        <v>-</v>
      </c>
      <c r="AD38" s="16" t="s">
        <v>0</v>
      </c>
      <c r="AE38" s="17" t="str">
        <f t="shared" si="8"/>
        <v>-</v>
      </c>
      <c r="AF38" s="126" t="s">
        <v>0</v>
      </c>
      <c r="AG38" s="126" t="s">
        <v>0</v>
      </c>
      <c r="AH38" s="15" t="s">
        <v>0</v>
      </c>
      <c r="AI38" s="126" t="s">
        <v>0</v>
      </c>
      <c r="AJ38" s="127" t="s">
        <v>0</v>
      </c>
      <c r="AK38" s="126" t="s">
        <v>0</v>
      </c>
      <c r="AL38" s="127" t="s">
        <v>0</v>
      </c>
      <c r="AM38" s="126" t="s">
        <v>0</v>
      </c>
      <c r="AN38" s="127" t="s">
        <v>0</v>
      </c>
      <c r="AO38" s="126" t="s">
        <v>0</v>
      </c>
      <c r="AP38" s="126" t="s">
        <v>0</v>
      </c>
      <c r="AQ38" s="127" t="s">
        <v>0</v>
      </c>
      <c r="AR38" s="16">
        <v>2534</v>
      </c>
      <c r="AS38" s="16">
        <f t="shared" si="9"/>
        <v>48.279184210174883</v>
      </c>
      <c r="AT38" s="155">
        <f>IF(RIGHT(TIM[[#This Row],[Device type]],7)="Winding","-",TIM[[#This Row],[Cont Winter MVA]])</f>
        <v>51.594329455861711</v>
      </c>
      <c r="AU38" s="155">
        <f>IF(RIGHT(TIM[[#This Row],[Device type]],7)="Winding","-",TIM[[#This Row],[Cont Shoulder MVA]])</f>
        <v>49.498547978703371</v>
      </c>
      <c r="AV38" s="155">
        <f>IF(RIGHT(TIM[[#This Row],[Device type]],7)="Winding","-",TIM[[#This Row],[Cont Summer MVA]])</f>
        <v>48.279184210174883</v>
      </c>
      <c r="AW38" s="155" t="str">
        <f>TIM[[#This Row],[24 Hr Winter MVA]]</f>
        <v>-</v>
      </c>
      <c r="AX38" s="155" t="str">
        <f>TIM[[#This Row],[24 Hr Summer MVA]]</f>
        <v>-</v>
      </c>
      <c r="AY38" s="155" t="str">
        <f>TIM[[#This Row],[Forwards MVA]]</f>
        <v>-</v>
      </c>
      <c r="AZ38" s="155" t="str">
        <f>TIM[[#This Row],[Relay MVA]]</f>
        <v>-</v>
      </c>
      <c r="BA38" s="155" t="str">
        <f>TIM[[#This Row],[CT MVA]]</f>
        <v>-</v>
      </c>
      <c r="BB38" s="155">
        <f>TIM[[#This Row],[Derating MVA]]</f>
        <v>48.279184210174883</v>
      </c>
      <c r="BC38" s="155" t="str">
        <f>TIM[[#This Row],[Station/Feeder]]&amp;TIM[[#This Row],[Lowest MVA]]</f>
        <v>TIM_GXP48.2791842101749</v>
      </c>
      <c r="BD38" s="155" t="str">
        <f>CONCATENATE(TIM[[#This Row],[Supply Level]],TIM[[#This Row],[Station/Feeder]],TIM[[#This Row],[Voltage]],TIM[[#This Row],[Lowest A-No PTX]])</f>
        <v>GXPTIM_GXP112534</v>
      </c>
      <c r="BE38" s="155" t="str">
        <f>CONCATENATE(TIM[[#This Row],[Supply Level]],TIM[[#This Row],[Station/Feeder]],TIM[[#This Row],[Voltage]],TIM[[#This Row],[Lowest A-PTX]])</f>
        <v>GXPTIM_GXP112534</v>
      </c>
      <c r="BF38" s="155">
        <f>IFERROR(IF(MIN(TIM[[#This Row],[Summ Cont Winter A]:[Cable Derating]])=0,"",MIN(TIM[[#This Row],[Summ Cont Winter A]:[Cable Derating]])),"")</f>
        <v>48.279184210174883</v>
      </c>
      <c r="BG38" s="155">
        <f>IFERROR(TIM[[#This Row],[Lowest MVA]]*1000/(TIM[[#This Row],[Voltage]]*SQRT(3)),"")</f>
        <v>2534</v>
      </c>
      <c r="BH38" s="155">
        <f t="shared" si="10"/>
        <v>2534</v>
      </c>
      <c r="BI38" s="155" t="str">
        <f>TIM[[#This Row],[From]]</f>
        <v>110 kV Bus</v>
      </c>
      <c r="BJ38" s="155" t="str">
        <f>TIM[[#This Row],[To]]</f>
        <v>11 kV Bus</v>
      </c>
      <c r="BK38" s="155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Cable-TIM-CBL-T6-CB2932</v>
      </c>
      <c r="BL38" s="155">
        <f>TIM[[#This Row],[Voltage]]</f>
        <v>11</v>
      </c>
    </row>
    <row r="39" spans="1:64" ht="15" customHeight="1" x14ac:dyDescent="0.25">
      <c r="A39" s="173" t="str">
        <f>CONCATENATE(TIM[[#This Row],[Supply Level]],TIM[[#This Row],[Station/Feeder]],TIM[[#This Row],[Voltage]])</f>
        <v>DistributionFeederCB2662_Waipopo11</v>
      </c>
      <c r="B39" s="173" t="str">
        <f>CONCATENATE(TIM[[#This Row],[Supply Level]],TIM[[#This Row],[Station/Feeder]],TIM[[#This Row],[Equipment ID]],TIM[[#This Row],[Voltage]],TIM[[#This Row],[Device type]])</f>
        <v>DistributionFeederCB2662_WaipopoTIM-CB266211Protection</v>
      </c>
      <c r="C39" s="173" t="s">
        <v>1276</v>
      </c>
      <c r="D39" s="176" t="s">
        <v>1305</v>
      </c>
      <c r="E39" s="173" t="s">
        <v>243</v>
      </c>
      <c r="F39" s="173" t="s">
        <v>802</v>
      </c>
      <c r="G39" s="289">
        <v>1</v>
      </c>
      <c r="H39" s="186" t="s">
        <v>2352</v>
      </c>
      <c r="I39" s="186" t="s">
        <v>2221</v>
      </c>
      <c r="J39" s="186" t="s">
        <v>15</v>
      </c>
      <c r="K39" s="186" t="s">
        <v>1121</v>
      </c>
      <c r="L39" s="186" t="s">
        <v>1423</v>
      </c>
      <c r="M39" s="157">
        <v>11</v>
      </c>
      <c r="N39" s="5">
        <v>1250</v>
      </c>
      <c r="O39" s="5">
        <f t="shared" si="0"/>
        <v>23.815698604072061</v>
      </c>
      <c r="P39" s="5">
        <v>1250</v>
      </c>
      <c r="Q39" s="5">
        <f t="shared" si="1"/>
        <v>23.815698604072061</v>
      </c>
      <c r="R39" s="5">
        <v>1250</v>
      </c>
      <c r="S39" s="5">
        <f t="shared" si="2"/>
        <v>23.815698604072061</v>
      </c>
      <c r="T39" s="5" t="s">
        <v>0</v>
      </c>
      <c r="U39" s="5" t="str">
        <f t="shared" si="3"/>
        <v>-</v>
      </c>
      <c r="V39" s="5" t="s">
        <v>0</v>
      </c>
      <c r="W39" s="5" t="str">
        <f t="shared" si="4"/>
        <v>-</v>
      </c>
      <c r="X39" s="5">
        <f>VLOOKUP(TIM[[#This Row],[Equipment ID]],AEL_Protection_Data[#All],12,0)</f>
        <v>400</v>
      </c>
      <c r="Y39" s="5">
        <f t="shared" si="5"/>
        <v>7.6210235533030604</v>
      </c>
      <c r="Z39" s="5">
        <v>366</v>
      </c>
      <c r="AA39" s="5">
        <f t="shared" si="6"/>
        <v>6.9732365512722998</v>
      </c>
      <c r="AB39" s="5">
        <v>2400</v>
      </c>
      <c r="AC39" s="5">
        <f t="shared" si="7"/>
        <v>45.72614131981836</v>
      </c>
      <c r="AD39" s="5">
        <v>1600</v>
      </c>
      <c r="AE39" s="158">
        <f t="shared" si="8"/>
        <v>30.484094213212241</v>
      </c>
      <c r="AF39" s="5" t="s">
        <v>0</v>
      </c>
      <c r="AG39" s="5" t="s">
        <v>0</v>
      </c>
      <c r="AH39" s="4" t="s">
        <v>0</v>
      </c>
      <c r="AI39" s="5" t="s">
        <v>0</v>
      </c>
      <c r="AJ39" s="139" t="s">
        <v>0</v>
      </c>
      <c r="AK39" s="5" t="s">
        <v>0</v>
      </c>
      <c r="AL39" s="139" t="s">
        <v>0</v>
      </c>
      <c r="AM39" s="5" t="s">
        <v>0</v>
      </c>
      <c r="AN39" s="139" t="s">
        <v>0</v>
      </c>
      <c r="AO39" s="5" t="s">
        <v>0</v>
      </c>
      <c r="AP39" s="5" t="s">
        <v>0</v>
      </c>
      <c r="AQ39" s="139" t="s">
        <v>0</v>
      </c>
      <c r="AR39" s="5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9" s="5" t="str">
        <f t="shared" si="9"/>
        <v>-</v>
      </c>
      <c r="AT39" s="29">
        <f>IF(RIGHT(TIM[[#This Row],[Device type]],7)="Winding","-",TIM[[#This Row],[Cont Winter MVA]])</f>
        <v>23.815698604072061</v>
      </c>
      <c r="AU39" s="29">
        <f>IF(RIGHT(TIM[[#This Row],[Device type]],7)="Winding","-",TIM[[#This Row],[Cont Shoulder MVA]])</f>
        <v>23.815698604072061</v>
      </c>
      <c r="AV39" s="29">
        <f>IF(RIGHT(TIM[[#This Row],[Device type]],7)="Winding","-",TIM[[#This Row],[Cont Summer MVA]])</f>
        <v>23.815698604072061</v>
      </c>
      <c r="AW39" s="29" t="str">
        <f>TIM[[#This Row],[24 Hr Winter MVA]]</f>
        <v>-</v>
      </c>
      <c r="AX39" s="29" t="str">
        <f>TIM[[#This Row],[24 Hr Summer MVA]]</f>
        <v>-</v>
      </c>
      <c r="AY39" s="29">
        <f>TIM[[#This Row],[Forwards MVA]]</f>
        <v>7.6210235533030604</v>
      </c>
      <c r="AZ39" s="29">
        <f>TIM[[#This Row],[Relay MVA]]</f>
        <v>45.72614131981836</v>
      </c>
      <c r="BA39" s="29">
        <f>TIM[[#This Row],[CT MVA]]</f>
        <v>30.484094213212241</v>
      </c>
      <c r="BB39" s="29" t="str">
        <f>TIM[[#This Row],[Derating MVA]]</f>
        <v>-</v>
      </c>
      <c r="BC39" s="29" t="str">
        <f>TIM[[#This Row],[Station/Feeder]]&amp;TIM[[#This Row],[Lowest MVA]]</f>
        <v>CB2662_Waipopo7.62102355330306</v>
      </c>
      <c r="BD39" s="29" t="str">
        <f>CONCATENATE(TIM[[#This Row],[Supply Level]],TIM[[#This Row],[Station/Feeder]],TIM[[#This Row],[Voltage]],TIM[[#This Row],[Lowest A-No PTX]])</f>
        <v>DistributionFeederCB2662_Waipopo11400</v>
      </c>
      <c r="BE39" s="29" t="str">
        <f>CONCATENATE(TIM[[#This Row],[Supply Level]],TIM[[#This Row],[Station/Feeder]],TIM[[#This Row],[Voltage]],TIM[[#This Row],[Lowest A-PTX]])</f>
        <v>DistributionFeederCB2662_Waipopo11366</v>
      </c>
      <c r="BF39" s="29">
        <f>IFERROR(IF(MIN(TIM[[#This Row],[Summ Cont Winter A]:[Cable Derating]])=0,"",MIN(TIM[[#This Row],[Summ Cont Winter A]:[Cable Derating]])),"")</f>
        <v>7.6210235533030604</v>
      </c>
      <c r="BG39" s="29">
        <f>IFERROR(TIM[[#This Row],[Lowest MVA]]*1000/(TIM[[#This Row],[Voltage]]*SQRT(3)),"")</f>
        <v>400</v>
      </c>
      <c r="BH39" s="29">
        <f t="shared" si="10"/>
        <v>366</v>
      </c>
      <c r="BI39" s="29" t="str">
        <f>TIM[[#This Row],[From]]</f>
        <v>11 kV Bus</v>
      </c>
      <c r="BJ39" s="29" t="str">
        <f>TIM[[#This Row],[To]]</f>
        <v>CB2662</v>
      </c>
      <c r="BK39" s="2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Breaker-TIM-CB2662-Protection</v>
      </c>
      <c r="BL39" s="29">
        <f>TIM[[#This Row],[Voltage]]</f>
        <v>11</v>
      </c>
    </row>
    <row r="40" spans="1:64" ht="15" customHeight="1" x14ac:dyDescent="0.25">
      <c r="A40" s="6" t="str">
        <f>CONCATENATE(TIM[[#This Row],[Supply Level]],TIM[[#This Row],[Station/Feeder]],TIM[[#This Row],[Voltage]])</f>
        <v>DistributionFeederCB2662_Waipopo11</v>
      </c>
      <c r="B40" s="6" t="str">
        <f>CONCATENATE(TIM[[#This Row],[Supply Level]],TIM[[#This Row],[Station/Feeder]],TIM[[#This Row],[Equipment ID]],TIM[[#This Row],[Voltage]],TIM[[#This Row],[Device type]])</f>
        <v>DistributionFeederCB2662_Waipopo3/1c 1000mm² Al XLPE CWS MDPE11-</v>
      </c>
      <c r="C40" s="6" t="s">
        <v>1276</v>
      </c>
      <c r="D40" s="6" t="s">
        <v>1305</v>
      </c>
      <c r="E40" s="6" t="s">
        <v>802</v>
      </c>
      <c r="F40" s="6" t="s">
        <v>750</v>
      </c>
      <c r="G40" s="8">
        <v>2</v>
      </c>
      <c r="H40" s="7" t="s">
        <v>273</v>
      </c>
      <c r="I40" s="6" t="s">
        <v>1448</v>
      </c>
      <c r="J40" s="6" t="s">
        <v>250</v>
      </c>
      <c r="K40" s="6" t="s">
        <v>0</v>
      </c>
      <c r="L40" s="6" t="s">
        <v>0</v>
      </c>
      <c r="M40" s="8">
        <v>11</v>
      </c>
      <c r="N40" s="9">
        <v>728</v>
      </c>
      <c r="O40" s="9">
        <f t="shared" ref="O40:O45" si="85">IF(OR(N40="",N40="-"),"-",N40*$M40*SQRT(3)/1000)</f>
        <v>13.870262867011569</v>
      </c>
      <c r="P40" s="9">
        <v>728</v>
      </c>
      <c r="Q40" s="9">
        <f t="shared" ref="Q40:Q45" si="86">IF(OR(P40="",P40="-"),"-",P40*$M40*SQRT(3)/1000)</f>
        <v>13.870262867011569</v>
      </c>
      <c r="R40" s="9">
        <v>728</v>
      </c>
      <c r="S40" s="9">
        <f t="shared" ref="S40:S45" si="87">IF(OR(R40="",R40="-"),"-",R40*$M40*SQRT(3)/1000)</f>
        <v>13.870262867011569</v>
      </c>
      <c r="T40" s="9" t="s">
        <v>0</v>
      </c>
      <c r="U40" s="9" t="str">
        <f t="shared" ref="U40:U45" si="88">IF(OR(T40="",T40="-"),"-",T40*$M40*SQRT(3)/1000)</f>
        <v>-</v>
      </c>
      <c r="V40" s="9" t="s">
        <v>0</v>
      </c>
      <c r="W40" s="9" t="str">
        <f t="shared" ref="W40:W45" si="89">IF(OR(V40="",V40="-"),"-",V40*$M40*SQRT(3)/1000)</f>
        <v>-</v>
      </c>
      <c r="X40" s="9" t="s">
        <v>0</v>
      </c>
      <c r="Y40" s="9" t="str">
        <f t="shared" ref="Y40:Y45" si="90">IF(OR(X40="",X40="-"),"-",X40*$M40*SQRT(3)/1000)</f>
        <v>-</v>
      </c>
      <c r="Z40" s="9" t="s">
        <v>0</v>
      </c>
      <c r="AA40" s="9" t="str">
        <f t="shared" ref="AA40:AA45" si="91">IF(OR(Z40="",Z40="-"),"-",Z40*$M40*SQRT(3)/1000)</f>
        <v>-</v>
      </c>
      <c r="AB40" s="9" t="s">
        <v>0</v>
      </c>
      <c r="AC40" s="9" t="str">
        <f t="shared" ref="AC40:AC45" si="92">IF(OR(AB40="",AB40="-"),"-",AB40*$M40*SQRT(3)/1000)</f>
        <v>-</v>
      </c>
      <c r="AD40" s="9" t="s">
        <v>0</v>
      </c>
      <c r="AE40" s="9" t="str">
        <f t="shared" ref="AE40:AE45" si="93">IF(OR(AD40="",AD40="-"),"-",AD40*$M40*SQRT(3)/1000)</f>
        <v>-</v>
      </c>
      <c r="AF40" s="9" t="s">
        <v>713</v>
      </c>
      <c r="AG40" s="9" t="s">
        <v>1452</v>
      </c>
      <c r="AH40" s="9">
        <v>3575</v>
      </c>
      <c r="AI40" s="9">
        <v>1</v>
      </c>
      <c r="AJ40" s="43">
        <v>1</v>
      </c>
      <c r="AK40" s="9">
        <v>15</v>
      </c>
      <c r="AL40" s="43">
        <v>1</v>
      </c>
      <c r="AM40" s="9">
        <v>1.2</v>
      </c>
      <c r="AN40" s="43">
        <v>1</v>
      </c>
      <c r="AO40" s="9">
        <v>4</v>
      </c>
      <c r="AP40" s="9">
        <v>0.5</v>
      </c>
      <c r="AQ40" s="43">
        <v>0.81200000000000006</v>
      </c>
      <c r="AR40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591.13600000000008</v>
      </c>
      <c r="AS40" s="9">
        <f t="shared" ref="AS40:AS45" si="94">IF(OR(AR40="",AR40="-"),"-",AR40*$M40*SQRT(3)/1000)</f>
        <v>11.262653448013396</v>
      </c>
      <c r="AT40" s="9">
        <f>IF(RIGHT(TIM[[#This Row],[Device type]],7)="Winding","-",TIM[[#This Row],[Cont Winter MVA]])</f>
        <v>13.870262867011569</v>
      </c>
      <c r="AU40" s="9">
        <f>IF(RIGHT(TIM[[#This Row],[Device type]],7)="Winding","-",TIM[[#This Row],[Cont Shoulder MVA]])</f>
        <v>13.870262867011569</v>
      </c>
      <c r="AV40" s="9">
        <f>IF(RIGHT(TIM[[#This Row],[Device type]],7)="Winding","-",TIM[[#This Row],[Cont Summer MVA]])</f>
        <v>13.870262867011569</v>
      </c>
      <c r="AW40" s="9" t="str">
        <f>TIM[[#This Row],[24 Hr Winter MVA]]</f>
        <v>-</v>
      </c>
      <c r="AX40" s="9" t="str">
        <f>TIM[[#This Row],[24 Hr Summer MVA]]</f>
        <v>-</v>
      </c>
      <c r="AY40" s="9" t="str">
        <f>TIM[[#This Row],[Forwards MVA]]</f>
        <v>-</v>
      </c>
      <c r="AZ40" s="9" t="str">
        <f>TIM[[#This Row],[Relay MVA]]</f>
        <v>-</v>
      </c>
      <c r="BA40" s="9" t="str">
        <f>TIM[[#This Row],[CT MVA]]</f>
        <v>-</v>
      </c>
      <c r="BB40" s="9">
        <f>TIM[[#This Row],[Derating MVA]]</f>
        <v>11.262653448013396</v>
      </c>
      <c r="BC40" s="9" t="str">
        <f>TIM[[#This Row],[Station/Feeder]]&amp;TIM[[#This Row],[Lowest MVA]]</f>
        <v>CB2662_Waipopo11.2626534480134</v>
      </c>
      <c r="BD40" s="9" t="str">
        <f>CONCATENATE(TIM[[#This Row],[Supply Level]],TIM[[#This Row],[Station/Feeder]],TIM[[#This Row],[Voltage]],TIM[[#This Row],[Lowest A-No PTX]])</f>
        <v>DistributionFeederCB2662_Waipopo11591.136</v>
      </c>
      <c r="BE40" s="9" t="str">
        <f>CONCATENATE(TIM[[#This Row],[Supply Level]],TIM[[#This Row],[Station/Feeder]],TIM[[#This Row],[Voltage]],TIM[[#This Row],[Lowest A-PTX]])</f>
        <v>DistributionFeederCB2662_Waipopo11591.136</v>
      </c>
      <c r="BF40" s="9">
        <f>IFERROR(IF(MIN(TIM[[#This Row],[Summ Cont Winter A]:[Cable Derating]])=0,"",MIN(TIM[[#This Row],[Summ Cont Winter A]:[Cable Derating]])),"")</f>
        <v>11.262653448013396</v>
      </c>
      <c r="BG40" s="9">
        <f>IFERROR(TIM[[#This Row],[Lowest MVA]]*1000/(TIM[[#This Row],[Voltage]]*SQRT(3)),"")</f>
        <v>591.13600000000008</v>
      </c>
      <c r="BH40" s="9">
        <f t="shared" si="10"/>
        <v>591.13600000000008</v>
      </c>
      <c r="BI40" s="9" t="str">
        <f>TIM[[#This Row],[From]]</f>
        <v>CB2662</v>
      </c>
      <c r="BJ40" s="9" t="str">
        <f>TIM[[#This Row],[To]]</f>
        <v>Joint</v>
      </c>
      <c r="BK40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- 3/1c 1000mm² Al XLPE CWS MDPE</v>
      </c>
      <c r="BL40" s="9">
        <f>TIM[[#This Row],[Voltage]]</f>
        <v>11</v>
      </c>
    </row>
    <row r="41" spans="1:64" ht="15" customHeight="1" x14ac:dyDescent="0.25">
      <c r="A41" s="6" t="str">
        <f>CONCATENATE(TIM[[#This Row],[Supply Level]],TIM[[#This Row],[Station/Feeder]],TIM[[#This Row],[Voltage]])</f>
        <v>DistributionFeederCB2662_Waipopo11</v>
      </c>
      <c r="B41" s="6" t="str">
        <f>CONCATENATE(TIM[[#This Row],[Supply Level]],TIM[[#This Row],[Station/Feeder]],TIM[[#This Row],[Equipment ID]],TIM[[#This Row],[Voltage]],TIM[[#This Row],[Device type]])</f>
        <v>DistributionFeederCB2662_Waipopo3/1c 400mm² AL XLPE HDPE Screened11-</v>
      </c>
      <c r="C41" s="6" t="s">
        <v>1276</v>
      </c>
      <c r="D41" s="6" t="s">
        <v>1305</v>
      </c>
      <c r="E41" s="6" t="s">
        <v>750</v>
      </c>
      <c r="F41" s="6" t="s">
        <v>1106</v>
      </c>
      <c r="G41" s="8">
        <v>3</v>
      </c>
      <c r="H41" s="7" t="s">
        <v>273</v>
      </c>
      <c r="I41" s="6" t="s">
        <v>819</v>
      </c>
      <c r="J41" s="6" t="s">
        <v>250</v>
      </c>
      <c r="K41" s="6" t="s">
        <v>0</v>
      </c>
      <c r="L41" s="6" t="s">
        <v>0</v>
      </c>
      <c r="M41" s="8">
        <v>11</v>
      </c>
      <c r="N41" s="9">
        <v>537</v>
      </c>
      <c r="O41" s="9">
        <f t="shared" si="85"/>
        <v>10.231224120309358</v>
      </c>
      <c r="P41" s="9">
        <v>537</v>
      </c>
      <c r="Q41" s="9">
        <f t="shared" si="86"/>
        <v>10.231224120309358</v>
      </c>
      <c r="R41" s="9">
        <v>537</v>
      </c>
      <c r="S41" s="9">
        <f t="shared" si="87"/>
        <v>10.231224120309358</v>
      </c>
      <c r="T41" s="9" t="s">
        <v>0</v>
      </c>
      <c r="U41" s="9" t="str">
        <f t="shared" si="88"/>
        <v>-</v>
      </c>
      <c r="V41" s="9" t="s">
        <v>0</v>
      </c>
      <c r="W41" s="9" t="str">
        <f t="shared" si="89"/>
        <v>-</v>
      </c>
      <c r="X41" s="9" t="s">
        <v>0</v>
      </c>
      <c r="Y41" s="9" t="str">
        <f t="shared" si="90"/>
        <v>-</v>
      </c>
      <c r="Z41" s="9" t="s">
        <v>0</v>
      </c>
      <c r="AA41" s="9" t="str">
        <f t="shared" si="91"/>
        <v>-</v>
      </c>
      <c r="AB41" s="9" t="s">
        <v>0</v>
      </c>
      <c r="AC41" s="9" t="str">
        <f t="shared" si="92"/>
        <v>-</v>
      </c>
      <c r="AD41" s="9" t="s">
        <v>0</v>
      </c>
      <c r="AE41" s="9" t="str">
        <f t="shared" si="93"/>
        <v>-</v>
      </c>
      <c r="AF41" s="9" t="s">
        <v>713</v>
      </c>
      <c r="AG41" s="9" t="s">
        <v>0</v>
      </c>
      <c r="AH41" s="9" t="s">
        <v>0</v>
      </c>
      <c r="AI41" s="9">
        <v>0.9</v>
      </c>
      <c r="AJ41" s="43">
        <v>0.98</v>
      </c>
      <c r="AK41" s="9">
        <v>18.5</v>
      </c>
      <c r="AL41" s="43">
        <v>0.97</v>
      </c>
      <c r="AM41" s="9">
        <v>1.2</v>
      </c>
      <c r="AN41" s="43">
        <v>1</v>
      </c>
      <c r="AO41" s="9">
        <v>4</v>
      </c>
      <c r="AP41" s="9">
        <v>0.3</v>
      </c>
      <c r="AQ41" s="43">
        <v>0.82</v>
      </c>
      <c r="AR41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418.58720399999999</v>
      </c>
      <c r="AS41" s="9">
        <f t="shared" si="94"/>
        <v>7.9751573519881811</v>
      </c>
      <c r="AT41" s="9">
        <f>IF(RIGHT(TIM[[#This Row],[Device type]],7)="Winding","-",TIM[[#This Row],[Cont Winter MVA]])</f>
        <v>10.231224120309358</v>
      </c>
      <c r="AU41" s="9">
        <f>IF(RIGHT(TIM[[#This Row],[Device type]],7)="Winding","-",TIM[[#This Row],[Cont Shoulder MVA]])</f>
        <v>10.231224120309358</v>
      </c>
      <c r="AV41" s="9">
        <f>IF(RIGHT(TIM[[#This Row],[Device type]],7)="Winding","-",TIM[[#This Row],[Cont Summer MVA]])</f>
        <v>10.231224120309358</v>
      </c>
      <c r="AW41" s="9" t="str">
        <f>TIM[[#This Row],[24 Hr Winter MVA]]</f>
        <v>-</v>
      </c>
      <c r="AX41" s="9" t="str">
        <f>TIM[[#This Row],[24 Hr Summer MVA]]</f>
        <v>-</v>
      </c>
      <c r="AY41" s="9" t="str">
        <f>TIM[[#This Row],[Forwards MVA]]</f>
        <v>-</v>
      </c>
      <c r="AZ41" s="9" t="str">
        <f>TIM[[#This Row],[Relay MVA]]</f>
        <v>-</v>
      </c>
      <c r="BA41" s="9" t="str">
        <f>TIM[[#This Row],[CT MVA]]</f>
        <v>-</v>
      </c>
      <c r="BB41" s="9">
        <f>TIM[[#This Row],[Derating MVA]]</f>
        <v>7.9751573519881811</v>
      </c>
      <c r="BC41" s="9" t="str">
        <f>TIM[[#This Row],[Station/Feeder]]&amp;TIM[[#This Row],[Lowest MVA]]</f>
        <v>CB2662_Waipopo7.97515735198818</v>
      </c>
      <c r="BD41" s="9" t="str">
        <f>CONCATENATE(TIM[[#This Row],[Supply Level]],TIM[[#This Row],[Station/Feeder]],TIM[[#This Row],[Voltage]],TIM[[#This Row],[Lowest A-No PTX]])</f>
        <v>DistributionFeederCB2662_Waipopo11418.587204</v>
      </c>
      <c r="BE41" s="9" t="str">
        <f>CONCATENATE(TIM[[#This Row],[Supply Level]],TIM[[#This Row],[Station/Feeder]],TIM[[#This Row],[Voltage]],TIM[[#This Row],[Lowest A-PTX]])</f>
        <v>DistributionFeederCB2662_Waipopo11418.587204</v>
      </c>
      <c r="BF41" s="9">
        <f>IFERROR(IF(MIN(TIM[[#This Row],[Summ Cont Winter A]:[Cable Derating]])=0,"",MIN(TIM[[#This Row],[Summ Cont Winter A]:[Cable Derating]])),"")</f>
        <v>7.9751573519881811</v>
      </c>
      <c r="BG41" s="9">
        <f>IFERROR(TIM[[#This Row],[Lowest MVA]]*1000/(TIM[[#This Row],[Voltage]]*SQRT(3)),"")</f>
        <v>418.58720399999999</v>
      </c>
      <c r="BH41" s="9">
        <f t="shared" si="10"/>
        <v>418.58720399999999</v>
      </c>
      <c r="BI41" s="9" t="str">
        <f>TIM[[#This Row],[From]]</f>
        <v>Joint</v>
      </c>
      <c r="BJ41" s="9" t="str">
        <f>TIM[[#This Row],[To]]</f>
        <v>L904</v>
      </c>
      <c r="BK41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- 3/1c 400mm² AL XLPE HDPE Screened</v>
      </c>
      <c r="BL41" s="9">
        <f>TIM[[#This Row],[Voltage]]</f>
        <v>11</v>
      </c>
    </row>
    <row r="42" spans="1:64" ht="15" customHeight="1" x14ac:dyDescent="0.25">
      <c r="A42" s="6" t="str">
        <f>CONCATENATE(TIM[[#This Row],[Supply Level]],TIM[[#This Row],[Station/Feeder]],TIM[[#This Row],[Voltage]])</f>
        <v>DistributionFeederCB2662_Waipopo11</v>
      </c>
      <c r="B42" s="6" t="str">
        <f>CONCATENATE(TIM[[#This Row],[Supply Level]],TIM[[#This Row],[Station/Feeder]],TIM[[#This Row],[Equipment ID]],TIM[[#This Row],[Voltage]],TIM[[#This Row],[Device type]])</f>
        <v>DistributionFeederCB2662_WaipopoRingmain unit11-</v>
      </c>
      <c r="C42" s="6" t="s">
        <v>1276</v>
      </c>
      <c r="D42" s="6" t="s">
        <v>1305</v>
      </c>
      <c r="E42" s="6" t="s">
        <v>1106</v>
      </c>
      <c r="F42" s="6" t="s">
        <v>1449</v>
      </c>
      <c r="G42" s="8">
        <v>4</v>
      </c>
      <c r="H42" s="7" t="s">
        <v>273</v>
      </c>
      <c r="I42" s="6" t="s">
        <v>1457</v>
      </c>
      <c r="J42" s="6" t="s">
        <v>1458</v>
      </c>
      <c r="K42" s="6" t="s">
        <v>0</v>
      </c>
      <c r="L42" s="6" t="s">
        <v>0</v>
      </c>
      <c r="M42" s="8">
        <v>11</v>
      </c>
      <c r="N42" s="9">
        <v>630</v>
      </c>
      <c r="O42" s="9">
        <f t="shared" si="85"/>
        <v>12.00311209645232</v>
      </c>
      <c r="P42" s="9">
        <v>630</v>
      </c>
      <c r="Q42" s="9">
        <f t="shared" si="86"/>
        <v>12.00311209645232</v>
      </c>
      <c r="R42" s="9">
        <v>630</v>
      </c>
      <c r="S42" s="9">
        <f t="shared" si="87"/>
        <v>12.00311209645232</v>
      </c>
      <c r="T42" s="9" t="s">
        <v>0</v>
      </c>
      <c r="U42" s="9" t="str">
        <f t="shared" si="88"/>
        <v>-</v>
      </c>
      <c r="V42" s="9" t="s">
        <v>0</v>
      </c>
      <c r="W42" s="9" t="str">
        <f t="shared" si="89"/>
        <v>-</v>
      </c>
      <c r="X42" s="9" t="s">
        <v>0</v>
      </c>
      <c r="Y42" s="9" t="str">
        <f t="shared" si="90"/>
        <v>-</v>
      </c>
      <c r="Z42" s="9" t="s">
        <v>0</v>
      </c>
      <c r="AA42" s="9" t="str">
        <f t="shared" si="91"/>
        <v>-</v>
      </c>
      <c r="AB42" s="9" t="s">
        <v>0</v>
      </c>
      <c r="AC42" s="9" t="str">
        <f t="shared" si="92"/>
        <v>-</v>
      </c>
      <c r="AD42" s="9" t="s">
        <v>0</v>
      </c>
      <c r="AE42" s="9" t="str">
        <f t="shared" si="93"/>
        <v>-</v>
      </c>
      <c r="AF42" s="9" t="s">
        <v>0</v>
      </c>
      <c r="AG42" s="9" t="s">
        <v>0</v>
      </c>
      <c r="AH42" s="9" t="s">
        <v>0</v>
      </c>
      <c r="AI42" s="9" t="s">
        <v>0</v>
      </c>
      <c r="AJ42" s="43" t="s">
        <v>0</v>
      </c>
      <c r="AK42" s="9" t="s">
        <v>0</v>
      </c>
      <c r="AL42" s="43" t="s">
        <v>0</v>
      </c>
      <c r="AM42" s="9" t="s">
        <v>0</v>
      </c>
      <c r="AN42" s="43" t="s">
        <v>0</v>
      </c>
      <c r="AO42" s="9" t="s">
        <v>0</v>
      </c>
      <c r="AP42" s="9" t="s">
        <v>0</v>
      </c>
      <c r="AQ42" s="43" t="s">
        <v>0</v>
      </c>
      <c r="AR42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42" s="9" t="str">
        <f t="shared" si="94"/>
        <v>-</v>
      </c>
      <c r="AT42" s="9">
        <f>IF(RIGHT(TIM[[#This Row],[Device type]],7)="Winding","-",TIM[[#This Row],[Cont Winter MVA]])</f>
        <v>12.00311209645232</v>
      </c>
      <c r="AU42" s="9">
        <f>IF(RIGHT(TIM[[#This Row],[Device type]],7)="Winding","-",TIM[[#This Row],[Cont Shoulder MVA]])</f>
        <v>12.00311209645232</v>
      </c>
      <c r="AV42" s="9">
        <f>IF(RIGHT(TIM[[#This Row],[Device type]],7)="Winding","-",TIM[[#This Row],[Cont Summer MVA]])</f>
        <v>12.00311209645232</v>
      </c>
      <c r="AW42" s="9" t="str">
        <f>TIM[[#This Row],[24 Hr Winter MVA]]</f>
        <v>-</v>
      </c>
      <c r="AX42" s="9" t="str">
        <f>TIM[[#This Row],[24 Hr Summer MVA]]</f>
        <v>-</v>
      </c>
      <c r="AY42" s="9" t="str">
        <f>TIM[[#This Row],[Forwards MVA]]</f>
        <v>-</v>
      </c>
      <c r="AZ42" s="9" t="str">
        <f>TIM[[#This Row],[Relay MVA]]</f>
        <v>-</v>
      </c>
      <c r="BA42" s="9" t="str">
        <f>TIM[[#This Row],[CT MVA]]</f>
        <v>-</v>
      </c>
      <c r="BB42" s="9" t="str">
        <f>TIM[[#This Row],[Derating MVA]]</f>
        <v>-</v>
      </c>
      <c r="BC42" s="9" t="str">
        <f>TIM[[#This Row],[Station/Feeder]]&amp;TIM[[#This Row],[Lowest MVA]]</f>
        <v>CB2662_Waipopo12.0031120964523</v>
      </c>
      <c r="BD42" s="9" t="str">
        <f>CONCATENATE(TIM[[#This Row],[Supply Level]],TIM[[#This Row],[Station/Feeder]],TIM[[#This Row],[Voltage]],TIM[[#This Row],[Lowest A-No PTX]])</f>
        <v>DistributionFeederCB2662_Waipopo11630</v>
      </c>
      <c r="BE42" s="9" t="str">
        <f>CONCATENATE(TIM[[#This Row],[Supply Level]],TIM[[#This Row],[Station/Feeder]],TIM[[#This Row],[Voltage]],TIM[[#This Row],[Lowest A-PTX]])</f>
        <v>DistributionFeederCB2662_Waipopo11630</v>
      </c>
      <c r="BF42" s="9">
        <f>IFERROR(IF(MIN(TIM[[#This Row],[Summ Cont Winter A]:[Cable Derating]])=0,"",MIN(TIM[[#This Row],[Summ Cont Winter A]:[Cable Derating]])),"")</f>
        <v>12.00311209645232</v>
      </c>
      <c r="BG42" s="9">
        <f>IFERROR(TIM[[#This Row],[Lowest MVA]]*1000/(TIM[[#This Row],[Voltage]]*SQRT(3)),"")</f>
        <v>630</v>
      </c>
      <c r="BH42" s="9">
        <f t="shared" si="10"/>
        <v>630</v>
      </c>
      <c r="BI42" s="9" t="str">
        <f>TIM[[#This Row],[From]]</f>
        <v>L904</v>
      </c>
      <c r="BJ42" s="9" t="str">
        <f>TIM[[#This Row],[To]]</f>
        <v>L905</v>
      </c>
      <c r="BK42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RMU - Ringmain unit</v>
      </c>
      <c r="BL42" s="9">
        <f>TIM[[#This Row],[Voltage]]</f>
        <v>11</v>
      </c>
    </row>
    <row r="43" spans="1:64" ht="15" customHeight="1" x14ac:dyDescent="0.25">
      <c r="A43" s="6" t="str">
        <f>CONCATENATE(TIM[[#This Row],[Supply Level]],TIM[[#This Row],[Station/Feeder]],TIM[[#This Row],[Voltage]])</f>
        <v>DistributionFeederCB2662_Waipopo11</v>
      </c>
      <c r="B43" s="6" t="str">
        <f>CONCATENATE(TIM[[#This Row],[Supply Level]],TIM[[#This Row],[Station/Feeder]],TIM[[#This Row],[Equipment ID]],TIM[[#This Row],[Voltage]],TIM[[#This Row],[Device type]])</f>
        <v>DistributionFeederCB2662_Waipopo3/1c 400mm² AL XLPE HDPE Screened11-</v>
      </c>
      <c r="C43" s="6" t="s">
        <v>1276</v>
      </c>
      <c r="D43" s="6" t="s">
        <v>1305</v>
      </c>
      <c r="E43" s="6" t="s">
        <v>1449</v>
      </c>
      <c r="F43" s="6" t="s">
        <v>750</v>
      </c>
      <c r="G43" s="8">
        <v>5</v>
      </c>
      <c r="H43" s="7" t="s">
        <v>273</v>
      </c>
      <c r="I43" s="6" t="s">
        <v>819</v>
      </c>
      <c r="J43" s="6" t="s">
        <v>250</v>
      </c>
      <c r="K43" s="6" t="s">
        <v>0</v>
      </c>
      <c r="L43" s="6" t="s">
        <v>0</v>
      </c>
      <c r="M43" s="8">
        <v>11</v>
      </c>
      <c r="N43" s="9">
        <v>537</v>
      </c>
      <c r="O43" s="9">
        <f t="shared" si="85"/>
        <v>10.231224120309358</v>
      </c>
      <c r="P43" s="9">
        <v>537</v>
      </c>
      <c r="Q43" s="9">
        <f t="shared" si="86"/>
        <v>10.231224120309358</v>
      </c>
      <c r="R43" s="9">
        <v>537</v>
      </c>
      <c r="S43" s="9">
        <f t="shared" si="87"/>
        <v>10.231224120309358</v>
      </c>
      <c r="T43" s="9" t="s">
        <v>0</v>
      </c>
      <c r="U43" s="9" t="str">
        <f t="shared" si="88"/>
        <v>-</v>
      </c>
      <c r="V43" s="9" t="s">
        <v>0</v>
      </c>
      <c r="W43" s="9" t="str">
        <f t="shared" si="89"/>
        <v>-</v>
      </c>
      <c r="X43" s="9" t="s">
        <v>0</v>
      </c>
      <c r="Y43" s="9" t="str">
        <f t="shared" si="90"/>
        <v>-</v>
      </c>
      <c r="Z43" s="9" t="s">
        <v>0</v>
      </c>
      <c r="AA43" s="9" t="str">
        <f t="shared" si="91"/>
        <v>-</v>
      </c>
      <c r="AB43" s="9" t="s">
        <v>0</v>
      </c>
      <c r="AC43" s="9" t="str">
        <f t="shared" si="92"/>
        <v>-</v>
      </c>
      <c r="AD43" s="9" t="s">
        <v>0</v>
      </c>
      <c r="AE43" s="9" t="str">
        <f t="shared" si="93"/>
        <v>-</v>
      </c>
      <c r="AF43" s="9" t="s">
        <v>716</v>
      </c>
      <c r="AG43" s="9" t="s">
        <v>0</v>
      </c>
      <c r="AH43" s="9" t="s">
        <v>0</v>
      </c>
      <c r="AI43" s="9">
        <v>0.9</v>
      </c>
      <c r="AJ43" s="43">
        <v>0.98</v>
      </c>
      <c r="AK43" s="9">
        <v>18.5</v>
      </c>
      <c r="AL43" s="43">
        <v>0.97</v>
      </c>
      <c r="AM43" s="9">
        <v>1.2</v>
      </c>
      <c r="AN43" s="43">
        <v>1</v>
      </c>
      <c r="AO43" s="9">
        <v>4</v>
      </c>
      <c r="AP43" s="9">
        <v>0.3</v>
      </c>
      <c r="AQ43" s="43">
        <v>0.74</v>
      </c>
      <c r="AR43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377.74942799999997</v>
      </c>
      <c r="AS43" s="9">
        <f t="shared" si="94"/>
        <v>7.197093220086896</v>
      </c>
      <c r="AT43" s="9">
        <f>IF(RIGHT(TIM[[#This Row],[Device type]],7)="Winding","-",TIM[[#This Row],[Cont Winter MVA]])</f>
        <v>10.231224120309358</v>
      </c>
      <c r="AU43" s="9">
        <f>IF(RIGHT(TIM[[#This Row],[Device type]],7)="Winding","-",TIM[[#This Row],[Cont Shoulder MVA]])</f>
        <v>10.231224120309358</v>
      </c>
      <c r="AV43" s="9">
        <f>IF(RIGHT(TIM[[#This Row],[Device type]],7)="Winding","-",TIM[[#This Row],[Cont Summer MVA]])</f>
        <v>10.231224120309358</v>
      </c>
      <c r="AW43" s="9" t="str">
        <f>TIM[[#This Row],[24 Hr Winter MVA]]</f>
        <v>-</v>
      </c>
      <c r="AX43" s="9" t="str">
        <f>TIM[[#This Row],[24 Hr Summer MVA]]</f>
        <v>-</v>
      </c>
      <c r="AY43" s="9" t="str">
        <f>TIM[[#This Row],[Forwards MVA]]</f>
        <v>-</v>
      </c>
      <c r="AZ43" s="9" t="str">
        <f>TIM[[#This Row],[Relay MVA]]</f>
        <v>-</v>
      </c>
      <c r="BA43" s="9" t="str">
        <f>TIM[[#This Row],[CT MVA]]</f>
        <v>-</v>
      </c>
      <c r="BB43" s="9">
        <f>TIM[[#This Row],[Derating MVA]]</f>
        <v>7.197093220086896</v>
      </c>
      <c r="BC43" s="9" t="str">
        <f>TIM[[#This Row],[Station/Feeder]]&amp;TIM[[#This Row],[Lowest MVA]]</f>
        <v>CB2662_Waipopo7.1970932200869</v>
      </c>
      <c r="BD43" s="9" t="str">
        <f>CONCATENATE(TIM[[#This Row],[Supply Level]],TIM[[#This Row],[Station/Feeder]],TIM[[#This Row],[Voltage]],TIM[[#This Row],[Lowest A-No PTX]])</f>
        <v>DistributionFeederCB2662_Waipopo11377.749428</v>
      </c>
      <c r="BE43" s="9" t="str">
        <f>CONCATENATE(TIM[[#This Row],[Supply Level]],TIM[[#This Row],[Station/Feeder]],TIM[[#This Row],[Voltage]],TIM[[#This Row],[Lowest A-PTX]])</f>
        <v>DistributionFeederCB2662_Waipopo11377.749428</v>
      </c>
      <c r="BF43" s="9">
        <f>IFERROR(IF(MIN(TIM[[#This Row],[Summ Cont Winter A]:[Cable Derating]])=0,"",MIN(TIM[[#This Row],[Summ Cont Winter A]:[Cable Derating]])),"")</f>
        <v>7.197093220086896</v>
      </c>
      <c r="BG43" s="9">
        <f>IFERROR(TIM[[#This Row],[Lowest MVA]]*1000/(TIM[[#This Row],[Voltage]]*SQRT(3)),"")</f>
        <v>377.74942799999997</v>
      </c>
      <c r="BH43" s="9">
        <f t="shared" si="10"/>
        <v>377.74942799999997</v>
      </c>
      <c r="BI43" s="9" t="str">
        <f>TIM[[#This Row],[From]]</f>
        <v>L905</v>
      </c>
      <c r="BJ43" s="9" t="str">
        <f>TIM[[#This Row],[To]]</f>
        <v>Joint</v>
      </c>
      <c r="BK43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- 3/1c 400mm² AL XLPE HDPE Screened</v>
      </c>
      <c r="BL43" s="9">
        <f>TIM[[#This Row],[Voltage]]</f>
        <v>11</v>
      </c>
    </row>
    <row r="44" spans="1:64" ht="15" customHeight="1" x14ac:dyDescent="0.25">
      <c r="A44" s="6" t="str">
        <f>CONCATENATE(TIM[[#This Row],[Supply Level]],TIM[[#This Row],[Station/Feeder]],TIM[[#This Row],[Voltage]])</f>
        <v>DistributionFeederCB2662_Waipopo11</v>
      </c>
      <c r="B44" s="6" t="str">
        <f>CONCATENATE(TIM[[#This Row],[Supply Level]],TIM[[#This Row],[Station/Feeder]],TIM[[#This Row],[Equipment ID]],TIM[[#This Row],[Voltage]],TIM[[#This Row],[Device type]])</f>
        <v>DistributionFeederCB2662_Waipopo3c 240mm² AL PILC11-</v>
      </c>
      <c r="C44" s="6" t="s">
        <v>1276</v>
      </c>
      <c r="D44" s="6" t="s">
        <v>1305</v>
      </c>
      <c r="E44" s="6" t="s">
        <v>750</v>
      </c>
      <c r="F44" s="6" t="s">
        <v>750</v>
      </c>
      <c r="G44" s="8">
        <v>6</v>
      </c>
      <c r="H44" s="7" t="s">
        <v>273</v>
      </c>
      <c r="I44" s="6" t="s">
        <v>1453</v>
      </c>
      <c r="J44" s="6" t="s">
        <v>250</v>
      </c>
      <c r="K44" s="6" t="s">
        <v>0</v>
      </c>
      <c r="L44" s="6" t="s">
        <v>0</v>
      </c>
      <c r="M44" s="8">
        <v>11</v>
      </c>
      <c r="N44" s="9">
        <v>345</v>
      </c>
      <c r="O44" s="9">
        <f t="shared" si="85"/>
        <v>6.5731328147238894</v>
      </c>
      <c r="P44" s="9">
        <v>345</v>
      </c>
      <c r="Q44" s="9">
        <f t="shared" si="86"/>
        <v>6.5731328147238894</v>
      </c>
      <c r="R44" s="9">
        <v>345</v>
      </c>
      <c r="S44" s="9">
        <f t="shared" si="87"/>
        <v>6.5731328147238894</v>
      </c>
      <c r="T44" s="9" t="s">
        <v>0</v>
      </c>
      <c r="U44" s="9" t="str">
        <f t="shared" si="88"/>
        <v>-</v>
      </c>
      <c r="V44" s="9" t="s">
        <v>0</v>
      </c>
      <c r="W44" s="9" t="str">
        <f t="shared" si="89"/>
        <v>-</v>
      </c>
      <c r="X44" s="9" t="s">
        <v>0</v>
      </c>
      <c r="Y44" s="9" t="str">
        <f t="shared" si="90"/>
        <v>-</v>
      </c>
      <c r="Z44" s="9" t="s">
        <v>0</v>
      </c>
      <c r="AA44" s="9" t="str">
        <f t="shared" si="91"/>
        <v>-</v>
      </c>
      <c r="AB44" s="9" t="s">
        <v>0</v>
      </c>
      <c r="AC44" s="9" t="str">
        <f t="shared" si="92"/>
        <v>-</v>
      </c>
      <c r="AD44" s="9" t="s">
        <v>0</v>
      </c>
      <c r="AE44" s="9" t="str">
        <f t="shared" si="93"/>
        <v>-</v>
      </c>
      <c r="AF44" s="9" t="s">
        <v>716</v>
      </c>
      <c r="AG44" s="9" t="s">
        <v>344</v>
      </c>
      <c r="AH44" s="9">
        <v>9.5</v>
      </c>
      <c r="AI44" s="9">
        <v>0.9</v>
      </c>
      <c r="AJ44" s="43">
        <v>0.96</v>
      </c>
      <c r="AK44" s="9">
        <v>18.5</v>
      </c>
      <c r="AL44" s="43">
        <v>0.97</v>
      </c>
      <c r="AM44" s="9">
        <v>1.2</v>
      </c>
      <c r="AN44" s="43">
        <v>1</v>
      </c>
      <c r="AO44" s="9">
        <v>2</v>
      </c>
      <c r="AP44" s="9">
        <v>0.3</v>
      </c>
      <c r="AQ44" s="43">
        <v>0.86</v>
      </c>
      <c r="AR44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276.28703999999993</v>
      </c>
      <c r="AS44" s="9">
        <f t="shared" si="94"/>
        <v>5.2639750982809597</v>
      </c>
      <c r="AT44" s="9">
        <f>IF(RIGHT(TIM[[#This Row],[Device type]],7)="Winding","-",TIM[[#This Row],[Cont Winter MVA]])</f>
        <v>6.5731328147238894</v>
      </c>
      <c r="AU44" s="9">
        <f>IF(RIGHT(TIM[[#This Row],[Device type]],7)="Winding","-",TIM[[#This Row],[Cont Shoulder MVA]])</f>
        <v>6.5731328147238894</v>
      </c>
      <c r="AV44" s="9">
        <f>IF(RIGHT(TIM[[#This Row],[Device type]],7)="Winding","-",TIM[[#This Row],[Cont Summer MVA]])</f>
        <v>6.5731328147238894</v>
      </c>
      <c r="AW44" s="9" t="str">
        <f>TIM[[#This Row],[24 Hr Winter MVA]]</f>
        <v>-</v>
      </c>
      <c r="AX44" s="9" t="str">
        <f>TIM[[#This Row],[24 Hr Summer MVA]]</f>
        <v>-</v>
      </c>
      <c r="AY44" s="9" t="str">
        <f>TIM[[#This Row],[Forwards MVA]]</f>
        <v>-</v>
      </c>
      <c r="AZ44" s="9" t="str">
        <f>TIM[[#This Row],[Relay MVA]]</f>
        <v>-</v>
      </c>
      <c r="BA44" s="9" t="str">
        <f>TIM[[#This Row],[CT MVA]]</f>
        <v>-</v>
      </c>
      <c r="BB44" s="9">
        <f>TIM[[#This Row],[Derating MVA]]</f>
        <v>5.2639750982809597</v>
      </c>
      <c r="BC44" s="9" t="str">
        <f>TIM[[#This Row],[Station/Feeder]]&amp;TIM[[#This Row],[Lowest MVA]]</f>
        <v>CB2662_Waipopo5.26397509828096</v>
      </c>
      <c r="BD44" s="9" t="str">
        <f>CONCATENATE(TIM[[#This Row],[Supply Level]],TIM[[#This Row],[Station/Feeder]],TIM[[#This Row],[Voltage]],TIM[[#This Row],[Lowest A-No PTX]])</f>
        <v>DistributionFeederCB2662_Waipopo11276.28704</v>
      </c>
      <c r="BE44" s="9" t="str">
        <f>CONCATENATE(TIM[[#This Row],[Supply Level]],TIM[[#This Row],[Station/Feeder]],TIM[[#This Row],[Voltage]],TIM[[#This Row],[Lowest A-PTX]])</f>
        <v>DistributionFeederCB2662_Waipopo11276.28704</v>
      </c>
      <c r="BF44" s="9">
        <f>IFERROR(IF(MIN(TIM[[#This Row],[Summ Cont Winter A]:[Cable Derating]])=0,"",MIN(TIM[[#This Row],[Summ Cont Winter A]:[Cable Derating]])),"")</f>
        <v>5.2639750982809597</v>
      </c>
      <c r="BG44" s="9">
        <f>IFERROR(TIM[[#This Row],[Lowest MVA]]*1000/(TIM[[#This Row],[Voltage]]*SQRT(3)),"")</f>
        <v>276.28703999999993</v>
      </c>
      <c r="BH44" s="9">
        <f t="shared" si="10"/>
        <v>276.28703999999993</v>
      </c>
      <c r="BI44" s="9" t="str">
        <f>TIM[[#This Row],[From]]</f>
        <v>Joint</v>
      </c>
      <c r="BJ44" s="9" t="str">
        <f>TIM[[#This Row],[To]]</f>
        <v>Joint</v>
      </c>
      <c r="BK44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- 3c 240mm² AL PILC</v>
      </c>
      <c r="BL44" s="9">
        <f>TIM[[#This Row],[Voltage]]</f>
        <v>11</v>
      </c>
    </row>
    <row r="45" spans="1:64" ht="15" customHeight="1" x14ac:dyDescent="0.25">
      <c r="A45" s="6" t="str">
        <f>CONCATENATE(TIM[[#This Row],[Supply Level]],TIM[[#This Row],[Station/Feeder]],TIM[[#This Row],[Voltage]])</f>
        <v>DistributionFeederCB2662_Waipopo11</v>
      </c>
      <c r="B45" s="6" t="str">
        <f>CONCATENATE(TIM[[#This Row],[Supply Level]],TIM[[#This Row],[Station/Feeder]],TIM[[#This Row],[Equipment ID]],TIM[[#This Row],[Voltage]],TIM[[#This Row],[Device type]])</f>
        <v>DistributionFeederCB2662_Waipopo3c 300mm² AL XLPE HDPE Screened11-</v>
      </c>
      <c r="C45" s="6" t="s">
        <v>1276</v>
      </c>
      <c r="D45" s="6" t="s">
        <v>1305</v>
      </c>
      <c r="E45" s="6" t="s">
        <v>750</v>
      </c>
      <c r="F45" s="6" t="s">
        <v>1450</v>
      </c>
      <c r="G45" s="8">
        <v>7</v>
      </c>
      <c r="H45" s="7" t="s">
        <v>273</v>
      </c>
      <c r="I45" s="6" t="s">
        <v>1451</v>
      </c>
      <c r="J45" s="6" t="s">
        <v>250</v>
      </c>
      <c r="K45" s="6" t="s">
        <v>0</v>
      </c>
      <c r="L45" s="6" t="s">
        <v>0</v>
      </c>
      <c r="M45" s="8">
        <v>11</v>
      </c>
      <c r="N45" s="9">
        <v>476</v>
      </c>
      <c r="O45" s="9">
        <f t="shared" si="85"/>
        <v>9.0690180284306408</v>
      </c>
      <c r="P45" s="9">
        <v>476</v>
      </c>
      <c r="Q45" s="9">
        <f t="shared" si="86"/>
        <v>9.0690180284306408</v>
      </c>
      <c r="R45" s="9">
        <v>476</v>
      </c>
      <c r="S45" s="9">
        <f t="shared" si="87"/>
        <v>9.0690180284306408</v>
      </c>
      <c r="T45" s="9" t="s">
        <v>0</v>
      </c>
      <c r="U45" s="9" t="str">
        <f t="shared" si="88"/>
        <v>-</v>
      </c>
      <c r="V45" s="9" t="s">
        <v>0</v>
      </c>
      <c r="W45" s="9" t="str">
        <f t="shared" si="89"/>
        <v>-</v>
      </c>
      <c r="X45" s="9" t="s">
        <v>0</v>
      </c>
      <c r="Y45" s="9" t="str">
        <f t="shared" si="90"/>
        <v>-</v>
      </c>
      <c r="Z45" s="9" t="s">
        <v>0</v>
      </c>
      <c r="AA45" s="9" t="str">
        <f t="shared" si="91"/>
        <v>-</v>
      </c>
      <c r="AB45" s="9" t="s">
        <v>0</v>
      </c>
      <c r="AC45" s="9" t="str">
        <f t="shared" si="92"/>
        <v>-</v>
      </c>
      <c r="AD45" s="9" t="s">
        <v>0</v>
      </c>
      <c r="AE45" s="9" t="str">
        <f t="shared" si="93"/>
        <v>-</v>
      </c>
      <c r="AF45" s="9" t="s">
        <v>716</v>
      </c>
      <c r="AG45" s="9" t="s">
        <v>1452</v>
      </c>
      <c r="AH45" s="9">
        <v>9</v>
      </c>
      <c r="AI45" s="9">
        <v>0.9</v>
      </c>
      <c r="AJ45" s="43">
        <v>0.96</v>
      </c>
      <c r="AK45" s="9">
        <v>18.5</v>
      </c>
      <c r="AL45" s="43">
        <v>0.97</v>
      </c>
      <c r="AM45" s="9">
        <v>1.2</v>
      </c>
      <c r="AN45" s="43">
        <v>1</v>
      </c>
      <c r="AO45" s="9">
        <v>2</v>
      </c>
      <c r="AP45" s="9">
        <v>0.3</v>
      </c>
      <c r="AQ45" s="43">
        <v>0.86</v>
      </c>
      <c r="AR45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381.19603199999995</v>
      </c>
      <c r="AS45" s="9">
        <f t="shared" si="94"/>
        <v>7.2627598457441653</v>
      </c>
      <c r="AT45" s="9">
        <f>IF(RIGHT(TIM[[#This Row],[Device type]],7)="Winding","-",TIM[[#This Row],[Cont Winter MVA]])</f>
        <v>9.0690180284306408</v>
      </c>
      <c r="AU45" s="9">
        <f>IF(RIGHT(TIM[[#This Row],[Device type]],7)="Winding","-",TIM[[#This Row],[Cont Shoulder MVA]])</f>
        <v>9.0690180284306408</v>
      </c>
      <c r="AV45" s="9">
        <f>IF(RIGHT(TIM[[#This Row],[Device type]],7)="Winding","-",TIM[[#This Row],[Cont Summer MVA]])</f>
        <v>9.0690180284306408</v>
      </c>
      <c r="AW45" s="9" t="str">
        <f>TIM[[#This Row],[24 Hr Winter MVA]]</f>
        <v>-</v>
      </c>
      <c r="AX45" s="9" t="str">
        <f>TIM[[#This Row],[24 Hr Summer MVA]]</f>
        <v>-</v>
      </c>
      <c r="AY45" s="9" t="str">
        <f>TIM[[#This Row],[Forwards MVA]]</f>
        <v>-</v>
      </c>
      <c r="AZ45" s="9" t="str">
        <f>TIM[[#This Row],[Relay MVA]]</f>
        <v>-</v>
      </c>
      <c r="BA45" s="9" t="str">
        <f>TIM[[#This Row],[CT MVA]]</f>
        <v>-</v>
      </c>
      <c r="BB45" s="9">
        <f>TIM[[#This Row],[Derating MVA]]</f>
        <v>7.2627598457441653</v>
      </c>
      <c r="BC45" s="9" t="str">
        <f>TIM[[#This Row],[Station/Feeder]]&amp;TIM[[#This Row],[Lowest MVA]]</f>
        <v>CB2662_Waipopo7.26275984574417</v>
      </c>
      <c r="BD45" s="9" t="str">
        <f>CONCATENATE(TIM[[#This Row],[Supply Level]],TIM[[#This Row],[Station/Feeder]],TIM[[#This Row],[Voltage]],TIM[[#This Row],[Lowest A-No PTX]])</f>
        <v>DistributionFeederCB2662_Waipopo11381.196032</v>
      </c>
      <c r="BE45" s="9" t="str">
        <f>CONCATENATE(TIM[[#This Row],[Supply Level]],TIM[[#This Row],[Station/Feeder]],TIM[[#This Row],[Voltage]],TIM[[#This Row],[Lowest A-PTX]])</f>
        <v>DistributionFeederCB2662_Waipopo11381.196032</v>
      </c>
      <c r="BF45" s="9">
        <f>IFERROR(IF(MIN(TIM[[#This Row],[Summ Cont Winter A]:[Cable Derating]])=0,"",MIN(TIM[[#This Row],[Summ Cont Winter A]:[Cable Derating]])),"")</f>
        <v>7.2627598457441653</v>
      </c>
      <c r="BG45" s="9">
        <f>IFERROR(TIM[[#This Row],[Lowest MVA]]*1000/(TIM[[#This Row],[Voltage]]*SQRT(3)),"")</f>
        <v>381.19603199999989</v>
      </c>
      <c r="BH45" s="9">
        <f t="shared" si="10"/>
        <v>381.19603199999995</v>
      </c>
      <c r="BI45" s="9" t="str">
        <f>TIM[[#This Row],[From]]</f>
        <v>Joint</v>
      </c>
      <c r="BJ45" s="9" t="str">
        <f>TIM[[#This Row],[To]]</f>
        <v>L1230</v>
      </c>
      <c r="BK45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- 3c 300mm² AL XLPE HDPE Screened</v>
      </c>
      <c r="BL45" s="9">
        <f>TIM[[#This Row],[Voltage]]</f>
        <v>11</v>
      </c>
    </row>
    <row r="46" spans="1:64" ht="15" hidden="1" customHeight="1" x14ac:dyDescent="0.25">
      <c r="A46" s="6" t="str">
        <f>CONCATENATE(TIM[[#This Row],[Supply Level]],TIM[[#This Row],[Station/Feeder]],TIM[[#This Row],[Voltage]])</f>
        <v>SubTransmissionTIM_WSS_SUBTRANS11</v>
      </c>
      <c r="B46" s="6" t="str">
        <f>CONCATENATE(TIM[[#This Row],[Supply Level]],TIM[[#This Row],[Station/Feeder]],TIM[[#This Row],[Equipment ID]],TIM[[#This Row],[Voltage]],TIM[[#This Row],[Device type]])</f>
        <v>SubTransmissionTIM_WSS_SUBTRANSTIM-CB266211Protection</v>
      </c>
      <c r="C46" s="6" t="s">
        <v>1245</v>
      </c>
      <c r="D46" s="11" t="s">
        <v>1313</v>
      </c>
      <c r="E46" s="6" t="s">
        <v>243</v>
      </c>
      <c r="F46" s="6" t="s">
        <v>802</v>
      </c>
      <c r="G46" s="27">
        <v>1</v>
      </c>
      <c r="H46" s="7" t="s">
        <v>2352</v>
      </c>
      <c r="I46" s="7" t="s">
        <v>2221</v>
      </c>
      <c r="J46" s="7" t="s">
        <v>15</v>
      </c>
      <c r="K46" s="7" t="s">
        <v>1121</v>
      </c>
      <c r="L46" s="7" t="s">
        <v>1423</v>
      </c>
      <c r="M46" s="8">
        <v>11</v>
      </c>
      <c r="N46" s="29">
        <v>1250</v>
      </c>
      <c r="O46" s="29">
        <f t="shared" ref="O46" si="95">IF(OR(N46="",N46="-"),"-",N46*$M46*SQRT(3)/1000)</f>
        <v>23.815698604072061</v>
      </c>
      <c r="P46" s="29">
        <v>1250</v>
      </c>
      <c r="Q46" s="29">
        <f t="shared" ref="Q46" si="96">IF(OR(P46="",P46="-"),"-",P46*$M46*SQRT(3)/1000)</f>
        <v>23.815698604072061</v>
      </c>
      <c r="R46" s="29">
        <v>1250</v>
      </c>
      <c r="S46" s="29">
        <f t="shared" ref="S46" si="97">IF(OR(R46="",R46="-"),"-",R46*$M46*SQRT(3)/1000)</f>
        <v>23.815698604072061</v>
      </c>
      <c r="T46" s="29" t="s">
        <v>0</v>
      </c>
      <c r="U46" s="29" t="str">
        <f t="shared" ref="U46" si="98">IF(OR(T46="",T46="-"),"-",T46*$M46*SQRT(3)/1000)</f>
        <v>-</v>
      </c>
      <c r="V46" s="29" t="s">
        <v>0</v>
      </c>
      <c r="W46" s="29" t="str">
        <f t="shared" ref="W46" si="99">IF(OR(V46="",V46="-"),"-",V46*$M46*SQRT(3)/1000)</f>
        <v>-</v>
      </c>
      <c r="X46" s="29">
        <f>VLOOKUP(TIM[[#This Row],[Equipment ID]],AEL_Protection_Data[#All],12,0)</f>
        <v>400</v>
      </c>
      <c r="Y46" s="29">
        <f t="shared" ref="Y46" si="100">IF(OR(X46="",X46="-"),"-",X46*$M46*SQRT(3)/1000)</f>
        <v>7.6210235533030604</v>
      </c>
      <c r="Z46" s="29">
        <v>366</v>
      </c>
      <c r="AA46" s="29">
        <f t="shared" ref="AA46" si="101">IF(OR(Z46="",Z46="-"),"-",Z46*$M46*SQRT(3)/1000)</f>
        <v>6.9732365512722998</v>
      </c>
      <c r="AB46" s="29">
        <v>2400</v>
      </c>
      <c r="AC46" s="29">
        <f t="shared" ref="AC46" si="102">IF(OR(AB46="",AB46="-"),"-",AB46*$M46*SQRT(3)/1000)</f>
        <v>45.72614131981836</v>
      </c>
      <c r="AD46" s="29">
        <v>1600</v>
      </c>
      <c r="AE46" s="169">
        <f t="shared" ref="AE46" si="103">IF(OR(AD46="",AD46="-"),"-",AD46*$M46*SQRT(3)/1000)</f>
        <v>30.484094213212241</v>
      </c>
      <c r="AF46" s="29" t="s">
        <v>0</v>
      </c>
      <c r="AG46" s="29" t="s">
        <v>0</v>
      </c>
      <c r="AH46" s="146" t="s">
        <v>0</v>
      </c>
      <c r="AI46" s="29" t="s">
        <v>0</v>
      </c>
      <c r="AJ46" s="32" t="s">
        <v>0</v>
      </c>
      <c r="AK46" s="29" t="s">
        <v>0</v>
      </c>
      <c r="AL46" s="32" t="s">
        <v>0</v>
      </c>
      <c r="AM46" s="29" t="s">
        <v>0</v>
      </c>
      <c r="AN46" s="32" t="s">
        <v>0</v>
      </c>
      <c r="AO46" s="29" t="s">
        <v>0</v>
      </c>
      <c r="AP46" s="29" t="s">
        <v>0</v>
      </c>
      <c r="AQ46" s="32" t="s">
        <v>0</v>
      </c>
      <c r="AR46" s="2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46" s="29" t="str">
        <f t="shared" ref="AS46" si="104">IF(OR(AR46="",AR46="-"),"-",AR46*$M46*SQRT(3)/1000)</f>
        <v>-</v>
      </c>
      <c r="AT46" s="29">
        <f>IF(RIGHT(TIM[[#This Row],[Device type]],7)="Winding","-",TIM[[#This Row],[Cont Winter MVA]])</f>
        <v>23.815698604072061</v>
      </c>
      <c r="AU46" s="29">
        <f>IF(RIGHT(TIM[[#This Row],[Device type]],7)="Winding","-",TIM[[#This Row],[Cont Shoulder MVA]])</f>
        <v>23.815698604072061</v>
      </c>
      <c r="AV46" s="29">
        <f>IF(RIGHT(TIM[[#This Row],[Device type]],7)="Winding","-",TIM[[#This Row],[Cont Summer MVA]])</f>
        <v>23.815698604072061</v>
      </c>
      <c r="AW46" s="29" t="str">
        <f>TIM[[#This Row],[24 Hr Winter MVA]]</f>
        <v>-</v>
      </c>
      <c r="AX46" s="29" t="str">
        <f>TIM[[#This Row],[24 Hr Summer MVA]]</f>
        <v>-</v>
      </c>
      <c r="AY46" s="29">
        <f>TIM[[#This Row],[Forwards MVA]]</f>
        <v>7.6210235533030604</v>
      </c>
      <c r="AZ46" s="29">
        <f>TIM[[#This Row],[Relay MVA]]</f>
        <v>45.72614131981836</v>
      </c>
      <c r="BA46" s="29">
        <f>TIM[[#This Row],[CT MVA]]</f>
        <v>30.484094213212241</v>
      </c>
      <c r="BB46" s="29" t="str">
        <f>TIM[[#This Row],[Derating MVA]]</f>
        <v>-</v>
      </c>
      <c r="BC46" s="29" t="str">
        <f>TIM[[#This Row],[Station/Feeder]]&amp;TIM[[#This Row],[Lowest MVA]]</f>
        <v>TIM_WSS_SUBTRANS7.62102355330306</v>
      </c>
      <c r="BD46" s="29" t="str">
        <f>CONCATENATE(TIM[[#This Row],[Supply Level]],TIM[[#This Row],[Station/Feeder]],TIM[[#This Row],[Voltage]],TIM[[#This Row],[Lowest A-No PTX]])</f>
        <v>SubTransmissionTIM_WSS_SUBTRANS11400</v>
      </c>
      <c r="BE46" s="29" t="str">
        <f>CONCATENATE(TIM[[#This Row],[Supply Level]],TIM[[#This Row],[Station/Feeder]],TIM[[#This Row],[Voltage]],TIM[[#This Row],[Lowest A-PTX]])</f>
        <v>SubTransmissionTIM_WSS_SUBTRANS11366</v>
      </c>
      <c r="BF46" s="29">
        <f>IFERROR(IF(MIN(TIM[[#This Row],[Summ Cont Winter A]:[Cable Derating]])=0,"",MIN(TIM[[#This Row],[Summ Cont Winter A]:[Cable Derating]])),"")</f>
        <v>7.6210235533030604</v>
      </c>
      <c r="BG46" s="29">
        <f>IFERROR(TIM[[#This Row],[Lowest MVA]]*1000/(TIM[[#This Row],[Voltage]]*SQRT(3)),"")</f>
        <v>400</v>
      </c>
      <c r="BH46" s="29">
        <f t="shared" si="10"/>
        <v>366</v>
      </c>
      <c r="BI46" s="29" t="str">
        <f>TIM[[#This Row],[From]]</f>
        <v>11 kV Bus</v>
      </c>
      <c r="BJ46" s="29" t="str">
        <f>TIM[[#This Row],[To]]</f>
        <v>CB2662</v>
      </c>
      <c r="BK46" s="2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Breaker-TIM-CB2662-Protection</v>
      </c>
      <c r="BL46" s="29">
        <f>TIM[[#This Row],[Voltage]]</f>
        <v>11</v>
      </c>
    </row>
    <row r="47" spans="1:64" ht="15" customHeight="1" x14ac:dyDescent="0.25">
      <c r="A47" s="6" t="str">
        <f>CONCATENATE(TIM[[#This Row],[Supply Level]],TIM[[#This Row],[Station/Feeder]],TIM[[#This Row],[Voltage]])</f>
        <v>DistributionFeederCB2672_Washdyke11</v>
      </c>
      <c r="B47" s="6" t="str">
        <f>CONCATENATE(TIM[[#This Row],[Supply Level]],TIM[[#This Row],[Station/Feeder]],TIM[[#This Row],[Equipment ID]],TIM[[#This Row],[Voltage]],TIM[[#This Row],[Device type]])</f>
        <v>DistributionFeederCB2672_WashdykeTIM-CB267211Protection</v>
      </c>
      <c r="C47" s="6" t="s">
        <v>1276</v>
      </c>
      <c r="D47" s="11" t="s">
        <v>1306</v>
      </c>
      <c r="E47" s="6" t="s">
        <v>243</v>
      </c>
      <c r="F47" s="6" t="s">
        <v>804</v>
      </c>
      <c r="G47" s="27">
        <v>1</v>
      </c>
      <c r="H47" s="7" t="s">
        <v>2353</v>
      </c>
      <c r="I47" s="7" t="s">
        <v>2222</v>
      </c>
      <c r="J47" s="7" t="s">
        <v>15</v>
      </c>
      <c r="K47" s="7" t="s">
        <v>1121</v>
      </c>
      <c r="L47" s="7" t="s">
        <v>1423</v>
      </c>
      <c r="M47" s="8">
        <v>11</v>
      </c>
      <c r="N47" s="9">
        <v>1250</v>
      </c>
      <c r="O47" s="9">
        <f t="shared" si="0"/>
        <v>23.815698604072061</v>
      </c>
      <c r="P47" s="9">
        <v>1250</v>
      </c>
      <c r="Q47" s="9">
        <f t="shared" si="1"/>
        <v>23.815698604072061</v>
      </c>
      <c r="R47" s="9">
        <v>1250</v>
      </c>
      <c r="S47" s="9">
        <f t="shared" si="2"/>
        <v>23.815698604072061</v>
      </c>
      <c r="T47" s="9" t="s">
        <v>0</v>
      </c>
      <c r="U47" s="9" t="str">
        <f t="shared" si="3"/>
        <v>-</v>
      </c>
      <c r="V47" s="9" t="s">
        <v>0</v>
      </c>
      <c r="W47" s="9" t="str">
        <f t="shared" si="4"/>
        <v>-</v>
      </c>
      <c r="X47" s="9">
        <f>VLOOKUP(TIM[[#This Row],[Equipment ID]],AEL_Protection_Data[#All],12,0)</f>
        <v>400</v>
      </c>
      <c r="Y47" s="9">
        <f t="shared" si="5"/>
        <v>7.6210235533030604</v>
      </c>
      <c r="Z47" s="9">
        <v>366</v>
      </c>
      <c r="AA47" s="9">
        <f t="shared" si="6"/>
        <v>6.9732365512722998</v>
      </c>
      <c r="AB47" s="9">
        <v>2400</v>
      </c>
      <c r="AC47" s="9">
        <f t="shared" si="7"/>
        <v>45.72614131981836</v>
      </c>
      <c r="AD47" s="9">
        <v>1600</v>
      </c>
      <c r="AE47" s="12">
        <f t="shared" si="8"/>
        <v>30.484094213212241</v>
      </c>
      <c r="AF47" s="29" t="s">
        <v>0</v>
      </c>
      <c r="AG47" s="29" t="s">
        <v>0</v>
      </c>
      <c r="AH47" s="8" t="s">
        <v>0</v>
      </c>
      <c r="AI47" s="29" t="s">
        <v>0</v>
      </c>
      <c r="AJ47" s="32" t="s">
        <v>0</v>
      </c>
      <c r="AK47" s="29" t="s">
        <v>0</v>
      </c>
      <c r="AL47" s="32" t="s">
        <v>0</v>
      </c>
      <c r="AM47" s="29" t="s">
        <v>0</v>
      </c>
      <c r="AN47" s="32" t="s">
        <v>0</v>
      </c>
      <c r="AO47" s="29" t="s">
        <v>0</v>
      </c>
      <c r="AP47" s="29" t="s">
        <v>0</v>
      </c>
      <c r="AQ47" s="32" t="s">
        <v>0</v>
      </c>
      <c r="AR47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47" s="9" t="str">
        <f t="shared" si="9"/>
        <v>-</v>
      </c>
      <c r="AT47" s="9">
        <f>IF(RIGHT(TIM[[#This Row],[Device type]],7)="Winding","-",TIM[[#This Row],[Cont Winter MVA]])</f>
        <v>23.815698604072061</v>
      </c>
      <c r="AU47" s="9">
        <f>IF(RIGHT(TIM[[#This Row],[Device type]],7)="Winding","-",TIM[[#This Row],[Cont Shoulder MVA]])</f>
        <v>23.815698604072061</v>
      </c>
      <c r="AV47" s="9">
        <f>IF(RIGHT(TIM[[#This Row],[Device type]],7)="Winding","-",TIM[[#This Row],[Cont Summer MVA]])</f>
        <v>23.815698604072061</v>
      </c>
      <c r="AW47" s="9" t="str">
        <f>TIM[[#This Row],[24 Hr Winter MVA]]</f>
        <v>-</v>
      </c>
      <c r="AX47" s="9" t="str">
        <f>TIM[[#This Row],[24 Hr Summer MVA]]</f>
        <v>-</v>
      </c>
      <c r="AY47" s="9">
        <f>TIM[[#This Row],[Forwards MVA]]</f>
        <v>7.6210235533030604</v>
      </c>
      <c r="AZ47" s="9">
        <f>TIM[[#This Row],[Relay MVA]]</f>
        <v>45.72614131981836</v>
      </c>
      <c r="BA47" s="9">
        <f>TIM[[#This Row],[CT MVA]]</f>
        <v>30.484094213212241</v>
      </c>
      <c r="BB47" s="9" t="str">
        <f>TIM[[#This Row],[Derating MVA]]</f>
        <v>-</v>
      </c>
      <c r="BC47" s="9" t="str">
        <f>TIM[[#This Row],[Station/Feeder]]&amp;TIM[[#This Row],[Lowest MVA]]</f>
        <v>CB2672_Washdyke7.62102355330306</v>
      </c>
      <c r="BD47" s="9" t="str">
        <f>CONCATENATE(TIM[[#This Row],[Supply Level]],TIM[[#This Row],[Station/Feeder]],TIM[[#This Row],[Voltage]],TIM[[#This Row],[Lowest A-No PTX]])</f>
        <v>DistributionFeederCB2672_Washdyke11400</v>
      </c>
      <c r="BE47" s="9" t="str">
        <f>CONCATENATE(TIM[[#This Row],[Supply Level]],TIM[[#This Row],[Station/Feeder]],TIM[[#This Row],[Voltage]],TIM[[#This Row],[Lowest A-PTX]])</f>
        <v>DistributionFeederCB2672_Washdyke11366</v>
      </c>
      <c r="BF47" s="9">
        <f>IFERROR(IF(MIN(TIM[[#This Row],[Summ Cont Winter A]:[Cable Derating]])=0,"",MIN(TIM[[#This Row],[Summ Cont Winter A]:[Cable Derating]])),"")</f>
        <v>7.6210235533030604</v>
      </c>
      <c r="BG47" s="9">
        <f>IFERROR(TIM[[#This Row],[Lowest MVA]]*1000/(TIM[[#This Row],[Voltage]]*SQRT(3)),"")</f>
        <v>400</v>
      </c>
      <c r="BH47" s="9">
        <f t="shared" si="10"/>
        <v>366</v>
      </c>
      <c r="BI47" s="9" t="str">
        <f>TIM[[#This Row],[From]]</f>
        <v>11 kV Bus</v>
      </c>
      <c r="BJ47" s="9" t="str">
        <f>TIM[[#This Row],[To]]</f>
        <v>CB2672</v>
      </c>
      <c r="BK4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Breaker-TIM-CB2672-Protection</v>
      </c>
      <c r="BL47" s="9">
        <f>TIM[[#This Row],[Voltage]]</f>
        <v>11</v>
      </c>
    </row>
    <row r="48" spans="1:64" ht="15" customHeight="1" x14ac:dyDescent="0.25">
      <c r="A48" s="6" t="str">
        <f>CONCATENATE(TIM[[#This Row],[Supply Level]],TIM[[#This Row],[Station/Feeder]],TIM[[#This Row],[Voltage]])</f>
        <v>DistributionFeederCB2672_Washdyke11</v>
      </c>
      <c r="B48" s="6" t="str">
        <f>CONCATENATE(TIM[[#This Row],[Supply Level]],TIM[[#This Row],[Station/Feeder]],TIM[[#This Row],[Equipment ID]],TIM[[#This Row],[Voltage]],TIM[[#This Row],[Device type]])</f>
        <v>DistributionFeederCB2672_Washdyke3/1c 1000mm² Al XLPE CWS MDPE11-</v>
      </c>
      <c r="C48" s="6" t="s">
        <v>1276</v>
      </c>
      <c r="D48" s="11" t="s">
        <v>1306</v>
      </c>
      <c r="E48" s="6" t="s">
        <v>804</v>
      </c>
      <c r="F48" s="6" t="s">
        <v>750</v>
      </c>
      <c r="G48" s="8">
        <v>3</v>
      </c>
      <c r="H48" s="7" t="s">
        <v>273</v>
      </c>
      <c r="I48" s="6" t="s">
        <v>1448</v>
      </c>
      <c r="J48" s="6" t="s">
        <v>250</v>
      </c>
      <c r="K48" s="6" t="s">
        <v>0</v>
      </c>
      <c r="L48" s="6" t="s">
        <v>0</v>
      </c>
      <c r="M48" s="8">
        <v>11</v>
      </c>
      <c r="N48" s="9">
        <v>728</v>
      </c>
      <c r="O48" s="9">
        <f t="shared" si="0"/>
        <v>13.870262867011569</v>
      </c>
      <c r="P48" s="9">
        <v>728</v>
      </c>
      <c r="Q48" s="9">
        <f t="shared" si="1"/>
        <v>13.870262867011569</v>
      </c>
      <c r="R48" s="9">
        <v>728</v>
      </c>
      <c r="S48" s="9">
        <f t="shared" si="2"/>
        <v>13.870262867011569</v>
      </c>
      <c r="T48" s="9" t="s">
        <v>0</v>
      </c>
      <c r="U48" s="9" t="str">
        <f>IF(OR(T48="",T48="-"),"-",T48*$M48*SQRT(3)/1000)</f>
        <v>-</v>
      </c>
      <c r="V48" s="9" t="s">
        <v>0</v>
      </c>
      <c r="W48" s="9" t="str">
        <f>IF(OR(V48="",V48="-"),"-",V48*$M48*SQRT(3)/1000)</f>
        <v>-</v>
      </c>
      <c r="X48" s="9" t="s">
        <v>0</v>
      </c>
      <c r="Y48" s="9" t="str">
        <f>IF(OR(X48="",X48="-"),"-",X48*$M48*SQRT(3)/1000)</f>
        <v>-</v>
      </c>
      <c r="Z48" s="9" t="s">
        <v>0</v>
      </c>
      <c r="AA48" s="9" t="str">
        <f>IF(OR(Z48="",Z48="-"),"-",Z48*$M48*SQRT(3)/1000)</f>
        <v>-</v>
      </c>
      <c r="AB48" s="9" t="s">
        <v>0</v>
      </c>
      <c r="AC48" s="9" t="str">
        <f>IF(OR(AB48="",AB48="-"),"-",AB48*$M48*SQRT(3)/1000)</f>
        <v>-</v>
      </c>
      <c r="AD48" s="9" t="s">
        <v>0</v>
      </c>
      <c r="AE48" s="9" t="str">
        <f>IF(OR(AD48="",AD48="-"),"-",AD48*$M48*SQRT(3)/1000)</f>
        <v>-</v>
      </c>
      <c r="AF48" s="9" t="s">
        <v>713</v>
      </c>
      <c r="AG48" s="9" t="s">
        <v>1452</v>
      </c>
      <c r="AH48" s="9">
        <v>3575</v>
      </c>
      <c r="AI48" s="9">
        <v>1</v>
      </c>
      <c r="AJ48" s="43">
        <v>1</v>
      </c>
      <c r="AK48" s="9">
        <v>15</v>
      </c>
      <c r="AL48" s="43">
        <v>1</v>
      </c>
      <c r="AM48" s="9">
        <v>1.2</v>
      </c>
      <c r="AN48" s="43">
        <v>1</v>
      </c>
      <c r="AO48" s="9">
        <v>4</v>
      </c>
      <c r="AP48" s="9">
        <v>0.5</v>
      </c>
      <c r="AQ48" s="43">
        <v>0.81200000000000006</v>
      </c>
      <c r="AR48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591.13600000000008</v>
      </c>
      <c r="AS48" s="9">
        <f>IF(OR(AR48="",AR48="-"),"-",AR48*$M48*SQRT(3)/1000)</f>
        <v>11.262653448013396</v>
      </c>
      <c r="AT48" s="9">
        <f>IF(RIGHT(TIM[[#This Row],[Device type]],7)="Winding","-",TIM[[#This Row],[Cont Winter MVA]])</f>
        <v>13.870262867011569</v>
      </c>
      <c r="AU48" s="9">
        <f>IF(RIGHT(TIM[[#This Row],[Device type]],7)="Winding","-",TIM[[#This Row],[Cont Shoulder MVA]])</f>
        <v>13.870262867011569</v>
      </c>
      <c r="AV48" s="9">
        <f>IF(RIGHT(TIM[[#This Row],[Device type]],7)="Winding","-",TIM[[#This Row],[Cont Summer MVA]])</f>
        <v>13.870262867011569</v>
      </c>
      <c r="AW48" s="9" t="str">
        <f>TIM[[#This Row],[24 Hr Winter MVA]]</f>
        <v>-</v>
      </c>
      <c r="AX48" s="9" t="str">
        <f>TIM[[#This Row],[24 Hr Summer MVA]]</f>
        <v>-</v>
      </c>
      <c r="AY48" s="9" t="str">
        <f>TIM[[#This Row],[Forwards MVA]]</f>
        <v>-</v>
      </c>
      <c r="AZ48" s="9" t="str">
        <f>TIM[[#This Row],[Relay MVA]]</f>
        <v>-</v>
      </c>
      <c r="BA48" s="9" t="str">
        <f>TIM[[#This Row],[CT MVA]]</f>
        <v>-</v>
      </c>
      <c r="BB48" s="9">
        <f>TIM[[#This Row],[Derating MVA]]</f>
        <v>11.262653448013396</v>
      </c>
      <c r="BC48" s="9" t="str">
        <f>TIM[[#This Row],[Station/Feeder]]&amp;TIM[[#This Row],[Lowest MVA]]</f>
        <v>CB2672_Washdyke11.2626534480134</v>
      </c>
      <c r="BD48" s="9" t="str">
        <f>CONCATENATE(TIM[[#This Row],[Supply Level]],TIM[[#This Row],[Station/Feeder]],TIM[[#This Row],[Voltage]],TIM[[#This Row],[Lowest A-No PTX]])</f>
        <v>DistributionFeederCB2672_Washdyke11591.136</v>
      </c>
      <c r="BE48" s="9" t="str">
        <f>CONCATENATE(TIM[[#This Row],[Supply Level]],TIM[[#This Row],[Station/Feeder]],TIM[[#This Row],[Voltage]],TIM[[#This Row],[Lowest A-PTX]])</f>
        <v>DistributionFeederCB2672_Washdyke11591.136</v>
      </c>
      <c r="BF48" s="9">
        <f>IFERROR(IF(MIN(TIM[[#This Row],[Summ Cont Winter A]:[Cable Derating]])=0,"",MIN(TIM[[#This Row],[Summ Cont Winter A]:[Cable Derating]])),"")</f>
        <v>11.262653448013396</v>
      </c>
      <c r="BG48" s="9">
        <f>IFERROR(TIM[[#This Row],[Lowest MVA]]*1000/(TIM[[#This Row],[Voltage]]*SQRT(3)),"")</f>
        <v>591.13600000000008</v>
      </c>
      <c r="BH48" s="9">
        <f t="shared" si="10"/>
        <v>591.13600000000008</v>
      </c>
      <c r="BI48" s="9" t="str">
        <f>TIM[[#This Row],[From]]</f>
        <v>CB2672</v>
      </c>
      <c r="BJ48" s="9" t="str">
        <f>TIM[[#This Row],[To]]</f>
        <v>Joint</v>
      </c>
      <c r="BK48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- 3/1c 1000mm² Al XLPE CWS MDPE</v>
      </c>
      <c r="BL48" s="9">
        <f>TIM[[#This Row],[Voltage]]</f>
        <v>11</v>
      </c>
    </row>
    <row r="49" spans="1:64" ht="15" customHeight="1" x14ac:dyDescent="0.25">
      <c r="A49" s="6" t="str">
        <f>CONCATENATE(TIM[[#This Row],[Supply Level]],TIM[[#This Row],[Station/Feeder]],TIM[[#This Row],[Voltage]])</f>
        <v>DistributionFeederCB2672_Washdyke11</v>
      </c>
      <c r="B49" s="6" t="str">
        <f>CONCATENATE(TIM[[#This Row],[Supply Level]],TIM[[#This Row],[Station/Feeder]],TIM[[#This Row],[Equipment ID]],TIM[[#This Row],[Voltage]],TIM[[#This Row],[Device type]])</f>
        <v>DistributionFeederCB2672_Washdyke3/1c 400mm² AL XLPE HDPE Screened11-</v>
      </c>
      <c r="C49" s="6" t="s">
        <v>1276</v>
      </c>
      <c r="D49" s="11" t="s">
        <v>1306</v>
      </c>
      <c r="E49" s="6" t="s">
        <v>750</v>
      </c>
      <c r="F49" s="6" t="s">
        <v>1108</v>
      </c>
      <c r="G49" s="8">
        <v>2</v>
      </c>
      <c r="H49" s="7" t="s">
        <v>273</v>
      </c>
      <c r="I49" s="6" t="s">
        <v>819</v>
      </c>
      <c r="J49" s="6" t="s">
        <v>250</v>
      </c>
      <c r="K49" s="6" t="s">
        <v>0</v>
      </c>
      <c r="L49" s="6" t="s">
        <v>0</v>
      </c>
      <c r="M49" s="8">
        <v>11</v>
      </c>
      <c r="N49" s="9">
        <v>537</v>
      </c>
      <c r="O49" s="9">
        <f>IF(OR(N49="",N49="-"),"-",N49*$M49*SQRT(3)/1000)</f>
        <v>10.231224120309358</v>
      </c>
      <c r="P49" s="9">
        <v>537</v>
      </c>
      <c r="Q49" s="9">
        <f>IF(OR(P49="",P49="-"),"-",P49*$M49*SQRT(3)/1000)</f>
        <v>10.231224120309358</v>
      </c>
      <c r="R49" s="9">
        <v>537</v>
      </c>
      <c r="S49" s="9">
        <f>IF(OR(R49="",R49="-"),"-",R49*$M49*SQRT(3)/1000)</f>
        <v>10.231224120309358</v>
      </c>
      <c r="T49" s="9" t="s">
        <v>0</v>
      </c>
      <c r="U49" s="9" t="str">
        <f>IF(OR(T49="",T49="-"),"-",T49*$M49*SQRT(3)/1000)</f>
        <v>-</v>
      </c>
      <c r="V49" s="9" t="s">
        <v>0</v>
      </c>
      <c r="W49" s="9" t="str">
        <f>IF(OR(V49="",V49="-"),"-",V49*$M49*SQRT(3)/1000)</f>
        <v>-</v>
      </c>
      <c r="X49" s="9" t="s">
        <v>0</v>
      </c>
      <c r="Y49" s="9" t="str">
        <f>IF(OR(X49="",X49="-"),"-",X49*$M49*SQRT(3)/1000)</f>
        <v>-</v>
      </c>
      <c r="Z49" s="9" t="s">
        <v>0</v>
      </c>
      <c r="AA49" s="9" t="str">
        <f>IF(OR(Z49="",Z49="-"),"-",Z49*$M49*SQRT(3)/1000)</f>
        <v>-</v>
      </c>
      <c r="AB49" s="9" t="s">
        <v>0</v>
      </c>
      <c r="AC49" s="9" t="str">
        <f>IF(OR(AB49="",AB49="-"),"-",AB49*$M49*SQRT(3)/1000)</f>
        <v>-</v>
      </c>
      <c r="AD49" s="9" t="s">
        <v>0</v>
      </c>
      <c r="AE49" s="9" t="str">
        <f>IF(OR(AD49="",AD49="-"),"-",AD49*$M49*SQRT(3)/1000)</f>
        <v>-</v>
      </c>
      <c r="AF49" s="9" t="s">
        <v>716</v>
      </c>
      <c r="AG49" s="9" t="s">
        <v>0</v>
      </c>
      <c r="AH49" s="9" t="s">
        <v>0</v>
      </c>
      <c r="AI49" s="9">
        <v>0.9</v>
      </c>
      <c r="AJ49" s="43">
        <v>0.98</v>
      </c>
      <c r="AK49" s="9">
        <v>18.5</v>
      </c>
      <c r="AL49" s="43">
        <v>0.97</v>
      </c>
      <c r="AM49" s="9">
        <v>1.2</v>
      </c>
      <c r="AN49" s="43">
        <v>1</v>
      </c>
      <c r="AO49" s="9">
        <v>4</v>
      </c>
      <c r="AP49" s="9">
        <v>0.3</v>
      </c>
      <c r="AQ49" s="43">
        <v>0.82</v>
      </c>
      <c r="AR49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418.58720399999999</v>
      </c>
      <c r="AS49" s="9">
        <f>IF(OR(AR49="",AR49="-"),"-",AR49*$M49*SQRT(3)/1000)</f>
        <v>7.9751573519881811</v>
      </c>
      <c r="AT49" s="9">
        <f>IF(RIGHT(TIM[[#This Row],[Device type]],7)="Winding","-",TIM[[#This Row],[Cont Winter MVA]])</f>
        <v>10.231224120309358</v>
      </c>
      <c r="AU49" s="9">
        <f>IF(RIGHT(TIM[[#This Row],[Device type]],7)="Winding","-",TIM[[#This Row],[Cont Shoulder MVA]])</f>
        <v>10.231224120309358</v>
      </c>
      <c r="AV49" s="9">
        <f>IF(RIGHT(TIM[[#This Row],[Device type]],7)="Winding","-",TIM[[#This Row],[Cont Summer MVA]])</f>
        <v>10.231224120309358</v>
      </c>
      <c r="AW49" s="9" t="str">
        <f>TIM[[#This Row],[24 Hr Winter MVA]]</f>
        <v>-</v>
      </c>
      <c r="AX49" s="9" t="str">
        <f>TIM[[#This Row],[24 Hr Summer MVA]]</f>
        <v>-</v>
      </c>
      <c r="AY49" s="9" t="str">
        <f>TIM[[#This Row],[Forwards MVA]]</f>
        <v>-</v>
      </c>
      <c r="AZ49" s="9" t="str">
        <f>TIM[[#This Row],[Relay MVA]]</f>
        <v>-</v>
      </c>
      <c r="BA49" s="9" t="str">
        <f>TIM[[#This Row],[CT MVA]]</f>
        <v>-</v>
      </c>
      <c r="BB49" s="9">
        <f>TIM[[#This Row],[Derating MVA]]</f>
        <v>7.9751573519881811</v>
      </c>
      <c r="BC49" s="9" t="str">
        <f>TIM[[#This Row],[Station/Feeder]]&amp;TIM[[#This Row],[Lowest MVA]]</f>
        <v>CB2672_Washdyke7.97515735198818</v>
      </c>
      <c r="BD49" s="9" t="str">
        <f>CONCATENATE(TIM[[#This Row],[Supply Level]],TIM[[#This Row],[Station/Feeder]],TIM[[#This Row],[Voltage]],TIM[[#This Row],[Lowest A-No PTX]])</f>
        <v>DistributionFeederCB2672_Washdyke11418.587204</v>
      </c>
      <c r="BE49" s="9" t="str">
        <f>CONCATENATE(TIM[[#This Row],[Supply Level]],TIM[[#This Row],[Station/Feeder]],TIM[[#This Row],[Voltage]],TIM[[#This Row],[Lowest A-PTX]])</f>
        <v>DistributionFeederCB2672_Washdyke11418.587204</v>
      </c>
      <c r="BF49" s="9">
        <f>IFERROR(IF(MIN(TIM[[#This Row],[Summ Cont Winter A]:[Cable Derating]])=0,"",MIN(TIM[[#This Row],[Summ Cont Winter A]:[Cable Derating]])),"")</f>
        <v>7.9751573519881811</v>
      </c>
      <c r="BG49" s="9">
        <f>IFERROR(TIM[[#This Row],[Lowest MVA]]*1000/(TIM[[#This Row],[Voltage]]*SQRT(3)),"")</f>
        <v>418.58720399999999</v>
      </c>
      <c r="BH49" s="9">
        <f t="shared" si="10"/>
        <v>418.58720399999999</v>
      </c>
      <c r="BI49" s="9" t="str">
        <f>TIM[[#This Row],[From]]</f>
        <v>Joint</v>
      </c>
      <c r="BJ49" s="9" t="str">
        <f>TIM[[#This Row],[To]]</f>
        <v>L910</v>
      </c>
      <c r="BK49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- 3/1c 400mm² AL XLPE HDPE Screened</v>
      </c>
      <c r="BL49" s="9">
        <f>TIM[[#This Row],[Voltage]]</f>
        <v>11</v>
      </c>
    </row>
    <row r="50" spans="1:64" ht="15" customHeight="1" x14ac:dyDescent="0.25">
      <c r="A50" s="6" t="str">
        <f>CONCATENATE(TIM[[#This Row],[Supply Level]],TIM[[#This Row],[Station/Feeder]],TIM[[#This Row],[Voltage]])</f>
        <v>DistributionFeederCB2672_Washdyke11</v>
      </c>
      <c r="B50" s="6" t="str">
        <f>CONCATENATE(TIM[[#This Row],[Supply Level]],TIM[[#This Row],[Station/Feeder]],TIM[[#This Row],[Equipment ID]],TIM[[#This Row],[Voltage]],TIM[[#This Row],[Device type]])</f>
        <v>DistributionFeederCB2672_WashdykeRingmain unit11-</v>
      </c>
      <c r="C50" s="6" t="s">
        <v>1276</v>
      </c>
      <c r="D50" s="11" t="s">
        <v>1306</v>
      </c>
      <c r="E50" s="6" t="s">
        <v>1108</v>
      </c>
      <c r="F50" s="6" t="s">
        <v>1454</v>
      </c>
      <c r="G50" s="8">
        <v>4</v>
      </c>
      <c r="H50" s="7" t="s">
        <v>273</v>
      </c>
      <c r="I50" s="6" t="s">
        <v>1457</v>
      </c>
      <c r="J50" s="6" t="s">
        <v>1458</v>
      </c>
      <c r="K50" s="6" t="s">
        <v>0</v>
      </c>
      <c r="L50" s="6" t="s">
        <v>0</v>
      </c>
      <c r="M50" s="8">
        <v>11</v>
      </c>
      <c r="N50" s="9">
        <v>630</v>
      </c>
      <c r="O50" s="9">
        <f>IF(OR(N50="",N50="-"),"-",N50*$M50*SQRT(3)/1000)</f>
        <v>12.00311209645232</v>
      </c>
      <c r="P50" s="9">
        <v>630</v>
      </c>
      <c r="Q50" s="9">
        <f>IF(OR(P50="",P50="-"),"-",P50*$M50*SQRT(3)/1000)</f>
        <v>12.00311209645232</v>
      </c>
      <c r="R50" s="9">
        <v>630</v>
      </c>
      <c r="S50" s="9">
        <f>IF(OR(R50="",R50="-"),"-",R50*$M50*SQRT(3)/1000)</f>
        <v>12.00311209645232</v>
      </c>
      <c r="T50" s="9" t="s">
        <v>0</v>
      </c>
      <c r="U50" s="9" t="str">
        <f>IF(OR(T50="",T50="-"),"-",T50*$M50*SQRT(3)/1000)</f>
        <v>-</v>
      </c>
      <c r="V50" s="9" t="s">
        <v>0</v>
      </c>
      <c r="W50" s="9" t="str">
        <f>IF(OR(V50="",V50="-"),"-",V50*$M50*SQRT(3)/1000)</f>
        <v>-</v>
      </c>
      <c r="X50" s="9" t="s">
        <v>0</v>
      </c>
      <c r="Y50" s="9" t="str">
        <f>IF(OR(X50="",X50="-"),"-",X50*$M50*SQRT(3)/1000)</f>
        <v>-</v>
      </c>
      <c r="Z50" s="9" t="s">
        <v>0</v>
      </c>
      <c r="AA50" s="9" t="str">
        <f>IF(OR(Z50="",Z50="-"),"-",Z50*$M50*SQRT(3)/1000)</f>
        <v>-</v>
      </c>
      <c r="AB50" s="9" t="s">
        <v>0</v>
      </c>
      <c r="AC50" s="9" t="str">
        <f>IF(OR(AB50="",AB50="-"),"-",AB50*$M50*SQRT(3)/1000)</f>
        <v>-</v>
      </c>
      <c r="AD50" s="9" t="s">
        <v>0</v>
      </c>
      <c r="AE50" s="9" t="str">
        <f>IF(OR(AD50="",AD50="-"),"-",AD50*$M50*SQRT(3)/1000)</f>
        <v>-</v>
      </c>
      <c r="AF50" s="9" t="s">
        <v>0</v>
      </c>
      <c r="AG50" s="9" t="s">
        <v>0</v>
      </c>
      <c r="AH50" s="9" t="s">
        <v>0</v>
      </c>
      <c r="AI50" s="9" t="s">
        <v>0</v>
      </c>
      <c r="AJ50" s="43" t="s">
        <v>0</v>
      </c>
      <c r="AK50" s="9" t="s">
        <v>0</v>
      </c>
      <c r="AL50" s="43" t="s">
        <v>0</v>
      </c>
      <c r="AM50" s="9" t="s">
        <v>0</v>
      </c>
      <c r="AN50" s="43" t="s">
        <v>0</v>
      </c>
      <c r="AO50" s="9" t="s">
        <v>0</v>
      </c>
      <c r="AP50" s="9" t="s">
        <v>0</v>
      </c>
      <c r="AQ50" s="43" t="s">
        <v>0</v>
      </c>
      <c r="AR5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50" s="9" t="str">
        <f>IF(OR(AR50="",AR50="-"),"-",AR50*$M50*SQRT(3)/1000)</f>
        <v>-</v>
      </c>
      <c r="AT50" s="9">
        <f>IF(RIGHT(TIM[[#This Row],[Device type]],7)="Winding","-",TIM[[#This Row],[Cont Winter MVA]])</f>
        <v>12.00311209645232</v>
      </c>
      <c r="AU50" s="9">
        <f>IF(RIGHT(TIM[[#This Row],[Device type]],7)="Winding","-",TIM[[#This Row],[Cont Shoulder MVA]])</f>
        <v>12.00311209645232</v>
      </c>
      <c r="AV50" s="9">
        <f>IF(RIGHT(TIM[[#This Row],[Device type]],7)="Winding","-",TIM[[#This Row],[Cont Summer MVA]])</f>
        <v>12.00311209645232</v>
      </c>
      <c r="AW50" s="9" t="str">
        <f>TIM[[#This Row],[24 Hr Winter MVA]]</f>
        <v>-</v>
      </c>
      <c r="AX50" s="9" t="str">
        <f>TIM[[#This Row],[24 Hr Summer MVA]]</f>
        <v>-</v>
      </c>
      <c r="AY50" s="9" t="str">
        <f>TIM[[#This Row],[Forwards MVA]]</f>
        <v>-</v>
      </c>
      <c r="AZ50" s="9" t="str">
        <f>TIM[[#This Row],[Relay MVA]]</f>
        <v>-</v>
      </c>
      <c r="BA50" s="9" t="str">
        <f>TIM[[#This Row],[CT MVA]]</f>
        <v>-</v>
      </c>
      <c r="BB50" s="9" t="str">
        <f>TIM[[#This Row],[Derating MVA]]</f>
        <v>-</v>
      </c>
      <c r="BC50" s="9" t="str">
        <f>TIM[[#This Row],[Station/Feeder]]&amp;TIM[[#This Row],[Lowest MVA]]</f>
        <v>CB2672_Washdyke12.0031120964523</v>
      </c>
      <c r="BD50" s="9" t="str">
        <f>CONCATENATE(TIM[[#This Row],[Supply Level]],TIM[[#This Row],[Station/Feeder]],TIM[[#This Row],[Voltage]],TIM[[#This Row],[Lowest A-No PTX]])</f>
        <v>DistributionFeederCB2672_Washdyke11630</v>
      </c>
      <c r="BE50" s="9" t="str">
        <f>CONCATENATE(TIM[[#This Row],[Supply Level]],TIM[[#This Row],[Station/Feeder]],TIM[[#This Row],[Voltage]],TIM[[#This Row],[Lowest A-PTX]])</f>
        <v>DistributionFeederCB2672_Washdyke11630</v>
      </c>
      <c r="BF50" s="9">
        <f>IFERROR(IF(MIN(TIM[[#This Row],[Summ Cont Winter A]:[Cable Derating]])=0,"",MIN(TIM[[#This Row],[Summ Cont Winter A]:[Cable Derating]])),"")</f>
        <v>12.00311209645232</v>
      </c>
      <c r="BG50" s="9">
        <f>IFERROR(TIM[[#This Row],[Lowest MVA]]*1000/(TIM[[#This Row],[Voltage]]*SQRT(3)),"")</f>
        <v>630</v>
      </c>
      <c r="BH50" s="9">
        <f t="shared" si="10"/>
        <v>630</v>
      </c>
      <c r="BI50" s="9" t="str">
        <f>TIM[[#This Row],[From]]</f>
        <v>L910</v>
      </c>
      <c r="BJ50" s="9" t="str">
        <f>TIM[[#This Row],[To]]</f>
        <v>L912</v>
      </c>
      <c r="BK50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RMU - Ringmain unit</v>
      </c>
      <c r="BL50" s="9">
        <f>TIM[[#This Row],[Voltage]]</f>
        <v>11</v>
      </c>
    </row>
    <row r="51" spans="1:64" ht="15" customHeight="1" x14ac:dyDescent="0.25">
      <c r="A51" s="6" t="str">
        <f>CONCATENATE(TIM[[#This Row],[Supply Level]],TIM[[#This Row],[Station/Feeder]],TIM[[#This Row],[Voltage]])</f>
        <v>DistributionFeederCB2672_Washdyke11</v>
      </c>
      <c r="B51" s="6" t="str">
        <f>CONCATENATE(TIM[[#This Row],[Supply Level]],TIM[[#This Row],[Station/Feeder]],TIM[[#This Row],[Equipment ID]],TIM[[#This Row],[Voltage]],TIM[[#This Row],[Device type]])</f>
        <v>DistributionFeederCB2672_Washdyke3c 240mm² AL PILC11-</v>
      </c>
      <c r="C51" s="6" t="s">
        <v>1276</v>
      </c>
      <c r="D51" s="11" t="s">
        <v>1306</v>
      </c>
      <c r="E51" s="6" t="s">
        <v>1454</v>
      </c>
      <c r="F51" s="6" t="s">
        <v>1456</v>
      </c>
      <c r="G51" s="8">
        <v>5</v>
      </c>
      <c r="H51" s="7" t="s">
        <v>273</v>
      </c>
      <c r="I51" s="6" t="s">
        <v>1453</v>
      </c>
      <c r="J51" s="6" t="s">
        <v>250</v>
      </c>
      <c r="K51" s="6" t="s">
        <v>0</v>
      </c>
      <c r="L51" s="6" t="s">
        <v>0</v>
      </c>
      <c r="M51" s="8">
        <v>11</v>
      </c>
      <c r="N51" s="9">
        <v>345</v>
      </c>
      <c r="O51" s="9">
        <f>IF(OR(N51="",N51="-"),"-",N51*$M51*SQRT(3)/1000)</f>
        <v>6.5731328147238894</v>
      </c>
      <c r="P51" s="9">
        <v>345</v>
      </c>
      <c r="Q51" s="9">
        <f>IF(OR(P51="",P51="-"),"-",P51*$M51*SQRT(3)/1000)</f>
        <v>6.5731328147238894</v>
      </c>
      <c r="R51" s="9">
        <v>345</v>
      </c>
      <c r="S51" s="9">
        <f>IF(OR(R51="",R51="-"),"-",R51*$M51*SQRT(3)/1000)</f>
        <v>6.5731328147238894</v>
      </c>
      <c r="T51" s="9" t="s">
        <v>0</v>
      </c>
      <c r="U51" s="9" t="str">
        <f>IF(OR(T51="",T51="-"),"-",T51*$M51*SQRT(3)/1000)</f>
        <v>-</v>
      </c>
      <c r="V51" s="9" t="s">
        <v>0</v>
      </c>
      <c r="W51" s="9" t="str">
        <f>IF(OR(V51="",V51="-"),"-",V51*$M51*SQRT(3)/1000)</f>
        <v>-</v>
      </c>
      <c r="X51" s="9" t="s">
        <v>0</v>
      </c>
      <c r="Y51" s="9" t="str">
        <f>IF(OR(X51="",X51="-"),"-",X51*$M51*SQRT(3)/1000)</f>
        <v>-</v>
      </c>
      <c r="Z51" s="9" t="s">
        <v>0</v>
      </c>
      <c r="AA51" s="9" t="str">
        <f>IF(OR(Z51="",Z51="-"),"-",Z51*$M51*SQRT(3)/1000)</f>
        <v>-</v>
      </c>
      <c r="AB51" s="9" t="s">
        <v>0</v>
      </c>
      <c r="AC51" s="9" t="str">
        <f>IF(OR(AB51="",AB51="-"),"-",AB51*$M51*SQRT(3)/1000)</f>
        <v>-</v>
      </c>
      <c r="AD51" s="9" t="s">
        <v>0</v>
      </c>
      <c r="AE51" s="9" t="str">
        <f>IF(OR(AD51="",AD51="-"),"-",AD51*$M51*SQRT(3)/1000)</f>
        <v>-</v>
      </c>
      <c r="AF51" s="9" t="s">
        <v>716</v>
      </c>
      <c r="AG51" s="9" t="s">
        <v>0</v>
      </c>
      <c r="AH51" s="9" t="s">
        <v>0</v>
      </c>
      <c r="AI51" s="9">
        <v>0.9</v>
      </c>
      <c r="AJ51" s="43">
        <v>0.96</v>
      </c>
      <c r="AK51" s="9">
        <v>18.5</v>
      </c>
      <c r="AL51" s="43">
        <v>0.97</v>
      </c>
      <c r="AM51" s="9">
        <v>1.2</v>
      </c>
      <c r="AN51" s="43">
        <v>1</v>
      </c>
      <c r="AO51" s="9">
        <v>2</v>
      </c>
      <c r="AP51" s="9">
        <v>0.3</v>
      </c>
      <c r="AQ51" s="43">
        <v>0.86</v>
      </c>
      <c r="AR51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276.28703999999993</v>
      </c>
      <c r="AS51" s="9">
        <f>IF(OR(AR51="",AR51="-"),"-",AR51*$M51*SQRT(3)/1000)</f>
        <v>5.2639750982809597</v>
      </c>
      <c r="AT51" s="9">
        <f>IF(RIGHT(TIM[[#This Row],[Device type]],7)="Winding","-",TIM[[#This Row],[Cont Winter MVA]])</f>
        <v>6.5731328147238894</v>
      </c>
      <c r="AU51" s="9">
        <f>IF(RIGHT(TIM[[#This Row],[Device type]],7)="Winding","-",TIM[[#This Row],[Cont Shoulder MVA]])</f>
        <v>6.5731328147238894</v>
      </c>
      <c r="AV51" s="9">
        <f>IF(RIGHT(TIM[[#This Row],[Device type]],7)="Winding","-",TIM[[#This Row],[Cont Summer MVA]])</f>
        <v>6.5731328147238894</v>
      </c>
      <c r="AW51" s="9" t="str">
        <f>TIM[[#This Row],[24 Hr Winter MVA]]</f>
        <v>-</v>
      </c>
      <c r="AX51" s="9" t="str">
        <f>TIM[[#This Row],[24 Hr Summer MVA]]</f>
        <v>-</v>
      </c>
      <c r="AY51" s="9" t="str">
        <f>TIM[[#This Row],[Forwards MVA]]</f>
        <v>-</v>
      </c>
      <c r="AZ51" s="9" t="str">
        <f>TIM[[#This Row],[Relay MVA]]</f>
        <v>-</v>
      </c>
      <c r="BA51" s="9" t="str">
        <f>TIM[[#This Row],[CT MVA]]</f>
        <v>-</v>
      </c>
      <c r="BB51" s="9">
        <f>TIM[[#This Row],[Derating MVA]]</f>
        <v>5.2639750982809597</v>
      </c>
      <c r="BC51" s="9" t="str">
        <f>TIM[[#This Row],[Station/Feeder]]&amp;TIM[[#This Row],[Lowest MVA]]</f>
        <v>CB2672_Washdyke5.26397509828096</v>
      </c>
      <c r="BD51" s="9" t="str">
        <f>CONCATENATE(TIM[[#This Row],[Supply Level]],TIM[[#This Row],[Station/Feeder]],TIM[[#This Row],[Voltage]],TIM[[#This Row],[Lowest A-No PTX]])</f>
        <v>DistributionFeederCB2672_Washdyke11276.28704</v>
      </c>
      <c r="BE51" s="9" t="str">
        <f>CONCATENATE(TIM[[#This Row],[Supply Level]],TIM[[#This Row],[Station/Feeder]],TIM[[#This Row],[Voltage]],TIM[[#This Row],[Lowest A-PTX]])</f>
        <v>DistributionFeederCB2672_Washdyke11276.28704</v>
      </c>
      <c r="BF51" s="9">
        <f>IFERROR(IF(MIN(TIM[[#This Row],[Summ Cont Winter A]:[Cable Derating]])=0,"",MIN(TIM[[#This Row],[Summ Cont Winter A]:[Cable Derating]])),"")</f>
        <v>5.2639750982809597</v>
      </c>
      <c r="BG51" s="9">
        <f>IFERROR(TIM[[#This Row],[Lowest MVA]]*1000/(TIM[[#This Row],[Voltage]]*SQRT(3)),"")</f>
        <v>276.28703999999993</v>
      </c>
      <c r="BH51" s="9">
        <f t="shared" si="10"/>
        <v>276.28703999999993</v>
      </c>
      <c r="BI51" s="9" t="str">
        <f>TIM[[#This Row],[From]]</f>
        <v>L912</v>
      </c>
      <c r="BJ51" s="9" t="str">
        <f>TIM[[#This Row],[To]]</f>
        <v>LX25</v>
      </c>
      <c r="BK51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- 3c 240mm² AL PILC</v>
      </c>
      <c r="BL51" s="9">
        <f>TIM[[#This Row],[Voltage]]</f>
        <v>11</v>
      </c>
    </row>
    <row r="52" spans="1:64" ht="15" customHeight="1" x14ac:dyDescent="0.25">
      <c r="A52" s="6" t="str">
        <f>CONCATENATE(TIM[[#This Row],[Supply Level]],TIM[[#This Row],[Station/Feeder]],TIM[[#This Row],[Voltage]])</f>
        <v>DistributionFeederCB2672_Washdyke11</v>
      </c>
      <c r="B52" s="6" t="str">
        <f>CONCATENATE(TIM[[#This Row],[Supply Level]],TIM[[#This Row],[Station/Feeder]],TIM[[#This Row],[Equipment ID]],TIM[[#This Row],[Voltage]],TIM[[#This Row],[Device type]])</f>
        <v>DistributionFeederCB2672_WashdykeWeke11-</v>
      </c>
      <c r="C52" s="6" t="s">
        <v>1276</v>
      </c>
      <c r="D52" s="11" t="s">
        <v>1306</v>
      </c>
      <c r="E52" s="6" t="s">
        <v>1456</v>
      </c>
      <c r="F52" s="6" t="s">
        <v>1455</v>
      </c>
      <c r="G52" s="8">
        <v>6</v>
      </c>
      <c r="H52" s="7" t="s">
        <v>273</v>
      </c>
      <c r="I52" s="6" t="s">
        <v>1079</v>
      </c>
      <c r="J52" s="6" t="s">
        <v>69</v>
      </c>
      <c r="K52" s="6" t="s">
        <v>0</v>
      </c>
      <c r="L52" s="6" t="s">
        <v>0</v>
      </c>
      <c r="M52" s="8">
        <v>11</v>
      </c>
      <c r="N52" s="9">
        <v>277</v>
      </c>
      <c r="O52" s="9">
        <f>IF(OR(N52="",N52="-"),"-",N52*$M52*SQRT(3)/1000)</f>
        <v>5.2775588106623692</v>
      </c>
      <c r="P52" s="9">
        <v>277</v>
      </c>
      <c r="Q52" s="9">
        <f>IF(OR(P52="",P52="-"),"-",P52*$M52*SQRT(3)/1000)</f>
        <v>5.2775588106623692</v>
      </c>
      <c r="R52" s="9">
        <v>277</v>
      </c>
      <c r="S52" s="9">
        <f>IF(OR(R52="",R52="-"),"-",R52*$M52*SQRT(3)/1000)</f>
        <v>5.2775588106623692</v>
      </c>
      <c r="T52" s="9" t="s">
        <v>0</v>
      </c>
      <c r="U52" s="9" t="str">
        <f>IF(OR(T52="",T52="-"),"-",T52*$M52*SQRT(3)/1000)</f>
        <v>-</v>
      </c>
      <c r="V52" s="9" t="s">
        <v>0</v>
      </c>
      <c r="W52" s="9" t="str">
        <f>IF(OR(V52="",V52="-"),"-",V52*$M52*SQRT(3)/1000)</f>
        <v>-</v>
      </c>
      <c r="X52" s="9" t="s">
        <v>0</v>
      </c>
      <c r="Y52" s="9" t="str">
        <f>IF(OR(X52="",X52="-"),"-",X52*$M52*SQRT(3)/1000)</f>
        <v>-</v>
      </c>
      <c r="Z52" s="9" t="s">
        <v>0</v>
      </c>
      <c r="AA52" s="9" t="str">
        <f>IF(OR(Z52="",Z52="-"),"-",Z52*$M52*SQRT(3)/1000)</f>
        <v>-</v>
      </c>
      <c r="AB52" s="9" t="s">
        <v>0</v>
      </c>
      <c r="AC52" s="9" t="str">
        <f>IF(OR(AB52="",AB52="-"),"-",AB52*$M52*SQRT(3)/1000)</f>
        <v>-</v>
      </c>
      <c r="AD52" s="9" t="s">
        <v>0</v>
      </c>
      <c r="AE52" s="9" t="str">
        <f>IF(OR(AD52="",AD52="-"),"-",AD52*$M52*SQRT(3)/1000)</f>
        <v>-</v>
      </c>
      <c r="AF52" s="9" t="s">
        <v>0</v>
      </c>
      <c r="AG52" s="9" t="s">
        <v>0</v>
      </c>
      <c r="AH52" s="9" t="s">
        <v>0</v>
      </c>
      <c r="AI52" s="9" t="s">
        <v>0</v>
      </c>
      <c r="AJ52" s="43" t="s">
        <v>0</v>
      </c>
      <c r="AK52" s="9" t="s">
        <v>0</v>
      </c>
      <c r="AL52" s="43" t="s">
        <v>0</v>
      </c>
      <c r="AM52" s="9" t="s">
        <v>0</v>
      </c>
      <c r="AN52" s="43" t="s">
        <v>0</v>
      </c>
      <c r="AO52" s="9" t="s">
        <v>0</v>
      </c>
      <c r="AP52" s="9" t="s">
        <v>0</v>
      </c>
      <c r="AQ52" s="43" t="s">
        <v>0</v>
      </c>
      <c r="AR52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52" s="9" t="str">
        <f>IF(OR(AR52="",AR52="-"),"-",AR52*$M52*SQRT(3)/1000)</f>
        <v>-</v>
      </c>
      <c r="AT52" s="9">
        <f>IF(RIGHT(TIM[[#This Row],[Device type]],7)="Winding","-",TIM[[#This Row],[Cont Winter MVA]])</f>
        <v>5.2775588106623692</v>
      </c>
      <c r="AU52" s="9">
        <f>IF(RIGHT(TIM[[#This Row],[Device type]],7)="Winding","-",TIM[[#This Row],[Cont Shoulder MVA]])</f>
        <v>5.2775588106623692</v>
      </c>
      <c r="AV52" s="9">
        <f>IF(RIGHT(TIM[[#This Row],[Device type]],7)="Winding","-",TIM[[#This Row],[Cont Summer MVA]])</f>
        <v>5.2775588106623692</v>
      </c>
      <c r="AW52" s="9" t="str">
        <f>TIM[[#This Row],[24 Hr Winter MVA]]</f>
        <v>-</v>
      </c>
      <c r="AX52" s="9" t="str">
        <f>TIM[[#This Row],[24 Hr Summer MVA]]</f>
        <v>-</v>
      </c>
      <c r="AY52" s="9" t="str">
        <f>TIM[[#This Row],[Forwards MVA]]</f>
        <v>-</v>
      </c>
      <c r="AZ52" s="9" t="str">
        <f>TIM[[#This Row],[Relay MVA]]</f>
        <v>-</v>
      </c>
      <c r="BA52" s="9" t="str">
        <f>TIM[[#This Row],[CT MVA]]</f>
        <v>-</v>
      </c>
      <c r="BB52" s="9" t="str">
        <f>TIM[[#This Row],[Derating MVA]]</f>
        <v>-</v>
      </c>
      <c r="BC52" s="9" t="str">
        <f>TIM[[#This Row],[Station/Feeder]]&amp;TIM[[#This Row],[Lowest MVA]]</f>
        <v>CB2672_Washdyke5.27755881066237</v>
      </c>
      <c r="BD52" s="9" t="str">
        <f>CONCATENATE(TIM[[#This Row],[Supply Level]],TIM[[#This Row],[Station/Feeder]],TIM[[#This Row],[Voltage]],TIM[[#This Row],[Lowest A-No PTX]])</f>
        <v>DistributionFeederCB2672_Washdyke11277</v>
      </c>
      <c r="BE52" s="9" t="str">
        <f>CONCATENATE(TIM[[#This Row],[Supply Level]],TIM[[#This Row],[Station/Feeder]],TIM[[#This Row],[Voltage]],TIM[[#This Row],[Lowest A-PTX]])</f>
        <v>DistributionFeederCB2672_Washdyke11277</v>
      </c>
      <c r="BF52" s="9">
        <f>IFERROR(IF(MIN(TIM[[#This Row],[Summ Cont Winter A]:[Cable Derating]])=0,"",MIN(TIM[[#This Row],[Summ Cont Winter A]:[Cable Derating]])),"")</f>
        <v>5.2775588106623692</v>
      </c>
      <c r="BG52" s="9">
        <f>IFERROR(TIM[[#This Row],[Lowest MVA]]*1000/(TIM[[#This Row],[Voltage]]*SQRT(3)),"")</f>
        <v>277</v>
      </c>
      <c r="BH52" s="9">
        <f t="shared" si="10"/>
        <v>277</v>
      </c>
      <c r="BI52" s="9" t="str">
        <f>TIM[[#This Row],[From]]</f>
        <v>LX25</v>
      </c>
      <c r="BJ52" s="9" t="str">
        <f>TIM[[#This Row],[To]]</f>
        <v>B1110</v>
      </c>
      <c r="BK52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OH Line - Weke</v>
      </c>
      <c r="BL52" s="9">
        <f>TIM[[#This Row],[Voltage]]</f>
        <v>11</v>
      </c>
    </row>
    <row r="53" spans="1:64" ht="15" hidden="1" customHeight="1" x14ac:dyDescent="0.25">
      <c r="A53" s="6" t="str">
        <f>CONCATENATE(TIM[[#This Row],[Supply Level]],TIM[[#This Row],[Station/Feeder]],TIM[[#This Row],[Voltage]])</f>
        <v>SubTransmissionTIM_WSS_SUBTRANS11</v>
      </c>
      <c r="B53" s="6" t="str">
        <f>CONCATENATE(TIM[[#This Row],[Supply Level]],TIM[[#This Row],[Station/Feeder]],TIM[[#This Row],[Equipment ID]],TIM[[#This Row],[Voltage]],TIM[[#This Row],[Device type]])</f>
        <v>SubTransmissionTIM_WSS_SUBTRANSTIM-CB267211Protection</v>
      </c>
      <c r="C53" s="6" t="s">
        <v>1245</v>
      </c>
      <c r="D53" s="11" t="s">
        <v>1313</v>
      </c>
      <c r="E53" s="6" t="s">
        <v>243</v>
      </c>
      <c r="F53" s="6" t="s">
        <v>804</v>
      </c>
      <c r="G53" s="27">
        <v>1</v>
      </c>
      <c r="H53" s="7" t="s">
        <v>2353</v>
      </c>
      <c r="I53" s="7" t="s">
        <v>2222</v>
      </c>
      <c r="J53" s="7" t="s">
        <v>15</v>
      </c>
      <c r="K53" s="7" t="s">
        <v>1121</v>
      </c>
      <c r="L53" s="7" t="s">
        <v>1423</v>
      </c>
      <c r="M53" s="8">
        <v>11</v>
      </c>
      <c r="N53" s="9">
        <v>1250</v>
      </c>
      <c r="O53" s="9">
        <f t="shared" ref="O53" si="105">IF(OR(N53="",N53="-"),"-",N53*$M53*SQRT(3)/1000)</f>
        <v>23.815698604072061</v>
      </c>
      <c r="P53" s="9">
        <v>1250</v>
      </c>
      <c r="Q53" s="9">
        <f t="shared" ref="Q53" si="106">IF(OR(P53="",P53="-"),"-",P53*$M53*SQRT(3)/1000)</f>
        <v>23.815698604072061</v>
      </c>
      <c r="R53" s="9">
        <v>1250</v>
      </c>
      <c r="S53" s="9">
        <f t="shared" ref="S53" si="107">IF(OR(R53="",R53="-"),"-",R53*$M53*SQRT(3)/1000)</f>
        <v>23.815698604072061</v>
      </c>
      <c r="T53" s="9" t="s">
        <v>0</v>
      </c>
      <c r="U53" s="9" t="str">
        <f t="shared" ref="U53" si="108">IF(OR(T53="",T53="-"),"-",T53*$M53*SQRT(3)/1000)</f>
        <v>-</v>
      </c>
      <c r="V53" s="9" t="s">
        <v>0</v>
      </c>
      <c r="W53" s="9" t="str">
        <f t="shared" ref="W53" si="109">IF(OR(V53="",V53="-"),"-",V53*$M53*SQRT(3)/1000)</f>
        <v>-</v>
      </c>
      <c r="X53" s="9">
        <f>VLOOKUP(TIM[[#This Row],[Equipment ID]],AEL_Protection_Data[#All],12,0)</f>
        <v>400</v>
      </c>
      <c r="Y53" s="9">
        <f t="shared" ref="Y53" si="110">IF(OR(X53="",X53="-"),"-",X53*$M53*SQRT(3)/1000)</f>
        <v>7.6210235533030604</v>
      </c>
      <c r="Z53" s="9">
        <v>366</v>
      </c>
      <c r="AA53" s="9">
        <f t="shared" ref="AA53" si="111">IF(OR(Z53="",Z53="-"),"-",Z53*$M53*SQRT(3)/1000)</f>
        <v>6.9732365512722998</v>
      </c>
      <c r="AB53" s="9">
        <v>2400</v>
      </c>
      <c r="AC53" s="9">
        <f t="shared" ref="AC53" si="112">IF(OR(AB53="",AB53="-"),"-",AB53*$M53*SQRT(3)/1000)</f>
        <v>45.72614131981836</v>
      </c>
      <c r="AD53" s="9">
        <v>1600</v>
      </c>
      <c r="AE53" s="12">
        <f t="shared" ref="AE53" si="113">IF(OR(AD53="",AD53="-"),"-",AD53*$M53*SQRT(3)/1000)</f>
        <v>30.484094213212241</v>
      </c>
      <c r="AF53" s="29" t="s">
        <v>0</v>
      </c>
      <c r="AG53" s="29" t="s">
        <v>0</v>
      </c>
      <c r="AH53" s="8" t="s">
        <v>0</v>
      </c>
      <c r="AI53" s="29" t="s">
        <v>0</v>
      </c>
      <c r="AJ53" s="32" t="s">
        <v>0</v>
      </c>
      <c r="AK53" s="29" t="s">
        <v>0</v>
      </c>
      <c r="AL53" s="32" t="s">
        <v>0</v>
      </c>
      <c r="AM53" s="29" t="s">
        <v>0</v>
      </c>
      <c r="AN53" s="32" t="s">
        <v>0</v>
      </c>
      <c r="AO53" s="29" t="s">
        <v>0</v>
      </c>
      <c r="AP53" s="29" t="s">
        <v>0</v>
      </c>
      <c r="AQ53" s="32" t="s">
        <v>0</v>
      </c>
      <c r="AR53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53" s="9" t="str">
        <f t="shared" ref="AS53" si="114">IF(OR(AR53="",AR53="-"),"-",AR53*$M53*SQRT(3)/1000)</f>
        <v>-</v>
      </c>
      <c r="AT53" s="9">
        <f>IF(RIGHT(TIM[[#This Row],[Device type]],7)="Winding","-",TIM[[#This Row],[Cont Winter MVA]])</f>
        <v>23.815698604072061</v>
      </c>
      <c r="AU53" s="9">
        <f>IF(RIGHT(TIM[[#This Row],[Device type]],7)="Winding","-",TIM[[#This Row],[Cont Shoulder MVA]])</f>
        <v>23.815698604072061</v>
      </c>
      <c r="AV53" s="9">
        <f>IF(RIGHT(TIM[[#This Row],[Device type]],7)="Winding","-",TIM[[#This Row],[Cont Summer MVA]])</f>
        <v>23.815698604072061</v>
      </c>
      <c r="AW53" s="9" t="str">
        <f>TIM[[#This Row],[24 Hr Winter MVA]]</f>
        <v>-</v>
      </c>
      <c r="AX53" s="9" t="str">
        <f>TIM[[#This Row],[24 Hr Summer MVA]]</f>
        <v>-</v>
      </c>
      <c r="AY53" s="9">
        <f>TIM[[#This Row],[Forwards MVA]]</f>
        <v>7.6210235533030604</v>
      </c>
      <c r="AZ53" s="9">
        <f>TIM[[#This Row],[Relay MVA]]</f>
        <v>45.72614131981836</v>
      </c>
      <c r="BA53" s="9">
        <f>TIM[[#This Row],[CT MVA]]</f>
        <v>30.484094213212241</v>
      </c>
      <c r="BB53" s="9" t="str">
        <f>TIM[[#This Row],[Derating MVA]]</f>
        <v>-</v>
      </c>
      <c r="BC53" s="9" t="str">
        <f>TIM[[#This Row],[Station/Feeder]]&amp;TIM[[#This Row],[Lowest MVA]]</f>
        <v>TIM_WSS_SUBTRANS7.62102355330306</v>
      </c>
      <c r="BD53" s="9" t="str">
        <f>CONCATENATE(TIM[[#This Row],[Supply Level]],TIM[[#This Row],[Station/Feeder]],TIM[[#This Row],[Voltage]],TIM[[#This Row],[Lowest A-No PTX]])</f>
        <v>SubTransmissionTIM_WSS_SUBTRANS11400</v>
      </c>
      <c r="BE53" s="9" t="str">
        <f>CONCATENATE(TIM[[#This Row],[Supply Level]],TIM[[#This Row],[Station/Feeder]],TIM[[#This Row],[Voltage]],TIM[[#This Row],[Lowest A-PTX]])</f>
        <v>SubTransmissionTIM_WSS_SUBTRANS11366</v>
      </c>
      <c r="BF53" s="9">
        <f>IFERROR(IF(MIN(TIM[[#This Row],[Summ Cont Winter A]:[Cable Derating]])=0,"",MIN(TIM[[#This Row],[Summ Cont Winter A]:[Cable Derating]])),"")</f>
        <v>7.6210235533030604</v>
      </c>
      <c r="BG53" s="9">
        <f>IFERROR(TIM[[#This Row],[Lowest MVA]]*1000/(TIM[[#This Row],[Voltage]]*SQRT(3)),"")</f>
        <v>400</v>
      </c>
      <c r="BH53" s="9">
        <f t="shared" si="10"/>
        <v>366</v>
      </c>
      <c r="BI53" s="9" t="str">
        <f>TIM[[#This Row],[From]]</f>
        <v>11 kV Bus</v>
      </c>
      <c r="BJ53" s="9" t="str">
        <f>TIM[[#This Row],[To]]</f>
        <v>CB2672</v>
      </c>
      <c r="BK5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Breaker-TIM-CB2672-Protection</v>
      </c>
      <c r="BL53" s="9">
        <f>TIM[[#This Row],[Voltage]]</f>
        <v>11</v>
      </c>
    </row>
    <row r="54" spans="1:64" ht="15" customHeight="1" x14ac:dyDescent="0.25">
      <c r="A54" s="6" t="str">
        <f>CONCATENATE(TIM[[#This Row],[Supply Level]],TIM[[#This Row],[Station/Feeder]],TIM[[#This Row],[Voltage]])</f>
        <v>DistributionFeederCB2682_Showgrounds Hill11</v>
      </c>
      <c r="B54" s="6" t="str">
        <f>CONCATENATE(TIM[[#This Row],[Supply Level]],TIM[[#This Row],[Station/Feeder]],TIM[[#This Row],[Equipment ID]],TIM[[#This Row],[Voltage]],TIM[[#This Row],[Device type]])</f>
        <v>DistributionFeederCB2682_Showgrounds HillTIM-CB268211Protection</v>
      </c>
      <c r="C54" s="6" t="s">
        <v>1276</v>
      </c>
      <c r="D54" s="11" t="s">
        <v>1308</v>
      </c>
      <c r="E54" s="6" t="s">
        <v>243</v>
      </c>
      <c r="F54" s="6" t="s">
        <v>806</v>
      </c>
      <c r="G54" s="27">
        <v>1</v>
      </c>
      <c r="H54" s="7" t="s">
        <v>2354</v>
      </c>
      <c r="I54" s="7" t="s">
        <v>2223</v>
      </c>
      <c r="J54" s="7" t="s">
        <v>15</v>
      </c>
      <c r="K54" s="7" t="s">
        <v>1121</v>
      </c>
      <c r="L54" s="7" t="s">
        <v>1423</v>
      </c>
      <c r="M54" s="8">
        <v>11</v>
      </c>
      <c r="N54" s="9">
        <v>1250</v>
      </c>
      <c r="O54" s="9">
        <f t="shared" si="0"/>
        <v>23.815698604072061</v>
      </c>
      <c r="P54" s="9">
        <v>1250</v>
      </c>
      <c r="Q54" s="9">
        <f t="shared" si="1"/>
        <v>23.815698604072061</v>
      </c>
      <c r="R54" s="9">
        <v>1250</v>
      </c>
      <c r="S54" s="9">
        <f t="shared" si="2"/>
        <v>23.815698604072061</v>
      </c>
      <c r="T54" s="9" t="s">
        <v>0</v>
      </c>
      <c r="U54" s="9" t="str">
        <f t="shared" si="3"/>
        <v>-</v>
      </c>
      <c r="V54" s="9" t="s">
        <v>0</v>
      </c>
      <c r="W54" s="9" t="str">
        <f t="shared" si="4"/>
        <v>-</v>
      </c>
      <c r="X54" s="9">
        <f>VLOOKUP(TIM[[#This Row],[Equipment ID]],AEL_Protection_Data[#All],12,0)</f>
        <v>400</v>
      </c>
      <c r="Y54" s="9">
        <f t="shared" si="5"/>
        <v>7.6210235533030604</v>
      </c>
      <c r="Z54" s="9">
        <v>366</v>
      </c>
      <c r="AA54" s="9">
        <f t="shared" si="6"/>
        <v>6.9732365512722998</v>
      </c>
      <c r="AB54" s="9">
        <v>2400</v>
      </c>
      <c r="AC54" s="9">
        <f t="shared" si="7"/>
        <v>45.72614131981836</v>
      </c>
      <c r="AD54" s="9">
        <v>1600</v>
      </c>
      <c r="AE54" s="12">
        <f t="shared" si="8"/>
        <v>30.484094213212241</v>
      </c>
      <c r="AF54" s="29" t="s">
        <v>0</v>
      </c>
      <c r="AG54" s="29" t="s">
        <v>0</v>
      </c>
      <c r="AH54" s="8" t="s">
        <v>0</v>
      </c>
      <c r="AI54" s="29" t="s">
        <v>0</v>
      </c>
      <c r="AJ54" s="32" t="s">
        <v>0</v>
      </c>
      <c r="AK54" s="29" t="s">
        <v>0</v>
      </c>
      <c r="AL54" s="32" t="s">
        <v>0</v>
      </c>
      <c r="AM54" s="29" t="s">
        <v>0</v>
      </c>
      <c r="AN54" s="32" t="s">
        <v>0</v>
      </c>
      <c r="AO54" s="29" t="s">
        <v>0</v>
      </c>
      <c r="AP54" s="29" t="s">
        <v>0</v>
      </c>
      <c r="AQ54" s="32" t="s">
        <v>0</v>
      </c>
      <c r="AR5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54" s="9" t="str">
        <f t="shared" si="9"/>
        <v>-</v>
      </c>
      <c r="AT54" s="9">
        <f>IF(RIGHT(TIM[[#This Row],[Device type]],7)="Winding","-",TIM[[#This Row],[Cont Winter MVA]])</f>
        <v>23.815698604072061</v>
      </c>
      <c r="AU54" s="9">
        <f>IF(RIGHT(TIM[[#This Row],[Device type]],7)="Winding","-",TIM[[#This Row],[Cont Shoulder MVA]])</f>
        <v>23.815698604072061</v>
      </c>
      <c r="AV54" s="9">
        <f>IF(RIGHT(TIM[[#This Row],[Device type]],7)="Winding","-",TIM[[#This Row],[Cont Summer MVA]])</f>
        <v>23.815698604072061</v>
      </c>
      <c r="AW54" s="9" t="str">
        <f>TIM[[#This Row],[24 Hr Winter MVA]]</f>
        <v>-</v>
      </c>
      <c r="AX54" s="9" t="str">
        <f>TIM[[#This Row],[24 Hr Summer MVA]]</f>
        <v>-</v>
      </c>
      <c r="AY54" s="9">
        <f>TIM[[#This Row],[Forwards MVA]]</f>
        <v>7.6210235533030604</v>
      </c>
      <c r="AZ54" s="9">
        <f>TIM[[#This Row],[Relay MVA]]</f>
        <v>45.72614131981836</v>
      </c>
      <c r="BA54" s="9">
        <f>TIM[[#This Row],[CT MVA]]</f>
        <v>30.484094213212241</v>
      </c>
      <c r="BB54" s="9" t="str">
        <f>TIM[[#This Row],[Derating MVA]]</f>
        <v>-</v>
      </c>
      <c r="BC54" s="9" t="str">
        <f>TIM[[#This Row],[Station/Feeder]]&amp;TIM[[#This Row],[Lowest MVA]]</f>
        <v>CB2682_Showgrounds Hill7.62102355330306</v>
      </c>
      <c r="BD54" s="9" t="str">
        <f>CONCATENATE(TIM[[#This Row],[Supply Level]],TIM[[#This Row],[Station/Feeder]],TIM[[#This Row],[Voltage]],TIM[[#This Row],[Lowest A-No PTX]])</f>
        <v>DistributionFeederCB2682_Showgrounds Hill11400</v>
      </c>
      <c r="BE54" s="9" t="str">
        <f>CONCATENATE(TIM[[#This Row],[Supply Level]],TIM[[#This Row],[Station/Feeder]],TIM[[#This Row],[Voltage]],TIM[[#This Row],[Lowest A-PTX]])</f>
        <v>DistributionFeederCB2682_Showgrounds Hill11366</v>
      </c>
      <c r="BF54" s="9">
        <f>IFERROR(IF(MIN(TIM[[#This Row],[Summ Cont Winter A]:[Cable Derating]])=0,"",MIN(TIM[[#This Row],[Summ Cont Winter A]:[Cable Derating]])),"")</f>
        <v>7.6210235533030604</v>
      </c>
      <c r="BG54" s="9">
        <f>IFERROR(TIM[[#This Row],[Lowest MVA]]*1000/(TIM[[#This Row],[Voltage]]*SQRT(3)),"")</f>
        <v>400</v>
      </c>
      <c r="BH54" s="9">
        <f t="shared" si="10"/>
        <v>366</v>
      </c>
      <c r="BI54" s="9" t="str">
        <f>TIM[[#This Row],[From]]</f>
        <v>11 kV Bus</v>
      </c>
      <c r="BJ54" s="9" t="str">
        <f>TIM[[#This Row],[To]]</f>
        <v>CB2682</v>
      </c>
      <c r="BK5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Breaker-TIM-CB2682-Protection</v>
      </c>
      <c r="BL54" s="9">
        <f>TIM[[#This Row],[Voltage]]</f>
        <v>11</v>
      </c>
    </row>
    <row r="55" spans="1:64" ht="15" customHeight="1" x14ac:dyDescent="0.25">
      <c r="A55" s="6" t="str">
        <f>CONCATENATE(TIM[[#This Row],[Supply Level]],TIM[[#This Row],[Station/Feeder]],TIM[[#This Row],[Voltage]])</f>
        <v>DistributionFeederCB2682_Showgrounds Hill11</v>
      </c>
      <c r="B55" s="6" t="str">
        <f>CONCATENATE(TIM[[#This Row],[Supply Level]],TIM[[#This Row],[Station/Feeder]],TIM[[#This Row],[Equipment ID]],TIM[[#This Row],[Voltage]],TIM[[#This Row],[Device type]])</f>
        <v>DistributionFeederCB2682_Showgrounds Hill3x 1c 400mm2 Al XLPE HDPE11-</v>
      </c>
      <c r="C55" s="6" t="s">
        <v>1276</v>
      </c>
      <c r="D55" s="11" t="s">
        <v>1308</v>
      </c>
      <c r="E55" s="6" t="s">
        <v>806</v>
      </c>
      <c r="F55" s="6" t="s">
        <v>1110</v>
      </c>
      <c r="G55" s="27">
        <v>1</v>
      </c>
      <c r="H55" s="7" t="s">
        <v>807</v>
      </c>
      <c r="I55" s="402" t="s">
        <v>2714</v>
      </c>
      <c r="J55" s="7" t="s">
        <v>250</v>
      </c>
      <c r="K55" s="7" t="s">
        <v>0</v>
      </c>
      <c r="L55" s="7" t="s">
        <v>0</v>
      </c>
      <c r="M55" s="8">
        <v>11</v>
      </c>
      <c r="N55" s="9">
        <v>345</v>
      </c>
      <c r="O55" s="9">
        <f t="shared" ref="O55" si="115">IF(OR(N55="",N55="-"),"-",N55*$M55*SQRT(3)/1000)</f>
        <v>6.5731328147238894</v>
      </c>
      <c r="P55" s="9">
        <v>345</v>
      </c>
      <c r="Q55" s="9">
        <f t="shared" ref="Q55" si="116">IF(OR(P55="",P55="-"),"-",P55*$M55*SQRT(3)/1000)</f>
        <v>6.5731328147238894</v>
      </c>
      <c r="R55" s="9">
        <v>345</v>
      </c>
      <c r="S55" s="9">
        <f t="shared" ref="S55" si="117">IF(OR(R55="",R55="-"),"-",R55*$M55*SQRT(3)/1000)</f>
        <v>6.5731328147238894</v>
      </c>
      <c r="T55" s="9" t="s">
        <v>0</v>
      </c>
      <c r="U55" s="9" t="str">
        <f t="shared" ref="U55" si="118">IF(OR(T55="",T55="-"),"-",T55*$M55*SQRT(3)/1000)</f>
        <v>-</v>
      </c>
      <c r="V55" s="9" t="s">
        <v>0</v>
      </c>
      <c r="W55" s="9" t="str">
        <f t="shared" ref="W55" si="119">IF(OR(V55="",V55="-"),"-",V55*$M55*SQRT(3)/1000)</f>
        <v>-</v>
      </c>
      <c r="X55" s="9" t="s">
        <v>0</v>
      </c>
      <c r="Y55" s="9" t="str">
        <f t="shared" ref="Y55" si="120">IF(OR(X55="",X55="-"),"-",X55*$M55*SQRT(3)/1000)</f>
        <v>-</v>
      </c>
      <c r="Z55" s="9" t="s">
        <v>0</v>
      </c>
      <c r="AA55" s="9" t="str">
        <f t="shared" ref="AA55" si="121">IF(OR(Z55="",Z55="-"),"-",Z55*$M55*SQRT(3)/1000)</f>
        <v>-</v>
      </c>
      <c r="AB55" s="9" t="s">
        <v>0</v>
      </c>
      <c r="AC55" s="9" t="str">
        <f t="shared" ref="AC55" si="122">IF(OR(AB55="",AB55="-"),"-",AB55*$M55*SQRT(3)/1000)</f>
        <v>-</v>
      </c>
      <c r="AD55" s="9" t="s">
        <v>0</v>
      </c>
      <c r="AE55" s="12" t="str">
        <f t="shared" ref="AE55" si="123">IF(OR(AD55="",AD55="-"),"-",AD55*$M55*SQRT(3)/1000)</f>
        <v>-</v>
      </c>
      <c r="AF55" s="29" t="s">
        <v>0</v>
      </c>
      <c r="AG55" s="29" t="s">
        <v>0</v>
      </c>
      <c r="AH55" s="8" t="s">
        <v>0</v>
      </c>
      <c r="AI55" s="29" t="s">
        <v>0</v>
      </c>
      <c r="AJ55" s="32" t="s">
        <v>0</v>
      </c>
      <c r="AK55" s="29" t="s">
        <v>0</v>
      </c>
      <c r="AL55" s="32" t="s">
        <v>0</v>
      </c>
      <c r="AM55" s="29" t="s">
        <v>0</v>
      </c>
      <c r="AN55" s="32" t="s">
        <v>0</v>
      </c>
      <c r="AO55" s="29" t="s">
        <v>0</v>
      </c>
      <c r="AP55" s="29" t="s">
        <v>0</v>
      </c>
      <c r="AQ55" s="32" t="s">
        <v>0</v>
      </c>
      <c r="AR55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55" s="9" t="str">
        <f t="shared" ref="AS55" si="124">IF(OR(AR55="",AR55="-"),"-",AR55*$M55*SQRT(3)/1000)</f>
        <v>-</v>
      </c>
      <c r="AT55" s="9">
        <f>IF(RIGHT(TIM[[#This Row],[Device type]],7)="Winding","-",TIM[[#This Row],[Cont Winter MVA]])</f>
        <v>6.5731328147238894</v>
      </c>
      <c r="AU55" s="9">
        <f>IF(RIGHT(TIM[[#This Row],[Device type]],7)="Winding","-",TIM[[#This Row],[Cont Shoulder MVA]])</f>
        <v>6.5731328147238894</v>
      </c>
      <c r="AV55" s="9">
        <f>IF(RIGHT(TIM[[#This Row],[Device type]],7)="Winding","-",TIM[[#This Row],[Cont Summer MVA]])</f>
        <v>6.5731328147238894</v>
      </c>
      <c r="AW55" s="9" t="str">
        <f>TIM[[#This Row],[24 Hr Winter MVA]]</f>
        <v>-</v>
      </c>
      <c r="AX55" s="9" t="str">
        <f>TIM[[#This Row],[24 Hr Summer MVA]]</f>
        <v>-</v>
      </c>
      <c r="AY55" s="9" t="str">
        <f>TIM[[#This Row],[Forwards MVA]]</f>
        <v>-</v>
      </c>
      <c r="AZ55" s="9" t="str">
        <f>TIM[[#This Row],[Relay MVA]]</f>
        <v>-</v>
      </c>
      <c r="BA55" s="9" t="str">
        <f>TIM[[#This Row],[CT MVA]]</f>
        <v>-</v>
      </c>
      <c r="BB55" s="9" t="str">
        <f>TIM[[#This Row],[Derating MVA]]</f>
        <v>-</v>
      </c>
      <c r="BC55" s="9" t="str">
        <f>TIM[[#This Row],[Station/Feeder]]&amp;TIM[[#This Row],[Lowest MVA]]</f>
        <v>CB2682_Showgrounds Hill6.57313281472389</v>
      </c>
      <c r="BD55" s="9" t="str">
        <f>CONCATENATE(TIM[[#This Row],[Supply Level]],TIM[[#This Row],[Station/Feeder]],TIM[[#This Row],[Voltage]],TIM[[#This Row],[Lowest A-No PTX]])</f>
        <v>DistributionFeederCB2682_Showgrounds Hill11345</v>
      </c>
      <c r="BE55" s="9" t="str">
        <f>CONCATENATE(TIM[[#This Row],[Supply Level]],TIM[[#This Row],[Station/Feeder]],TIM[[#This Row],[Voltage]],TIM[[#This Row],[Lowest A-PTX]])</f>
        <v>DistributionFeederCB2682_Showgrounds Hill11345</v>
      </c>
      <c r="BF55" s="9">
        <f>IFERROR(IF(MIN(TIM[[#This Row],[Summ Cont Winter A]:[Cable Derating]])=0,"",MIN(TIM[[#This Row],[Summ Cont Winter A]:[Cable Derating]])),"")</f>
        <v>6.5731328147238894</v>
      </c>
      <c r="BG55" s="9">
        <f>IFERROR(TIM[[#This Row],[Lowest MVA]]*1000/(TIM[[#This Row],[Voltage]]*SQRT(3)),"")</f>
        <v>345</v>
      </c>
      <c r="BH55" s="9">
        <f t="shared" si="10"/>
        <v>345</v>
      </c>
      <c r="BI55" s="9" t="str">
        <f>TIM[[#This Row],[From]]</f>
        <v>CB2682</v>
      </c>
      <c r="BJ55" s="9" t="str">
        <f>TIM[[#This Row],[To]]</f>
        <v>L1080</v>
      </c>
      <c r="BK5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Cable-3x 1c 400mm2 Al XLPE HDPE</v>
      </c>
      <c r="BL55" s="9">
        <f>TIM[[#This Row],[Voltage]]</f>
        <v>11</v>
      </c>
    </row>
    <row r="56" spans="1:64" ht="15" hidden="1" customHeight="1" x14ac:dyDescent="0.25">
      <c r="A56" s="6" t="str">
        <f>CONCATENATE(TIM[[#This Row],[Supply Level]],TIM[[#This Row],[Station/Feeder]],TIM[[#This Row],[Voltage]])</f>
        <v>SubTransmissionCB2692_North ST.111</v>
      </c>
      <c r="B56" s="6" t="str">
        <f>CONCATENATE(TIM[[#This Row],[Supply Level]],TIM[[#This Row],[Station/Feeder]],TIM[[#This Row],[Equipment ID]],TIM[[#This Row],[Voltage]],TIM[[#This Row],[Device type]])</f>
        <v>SubTransmissionCB2692_North ST.1TIM-CB269211Protection</v>
      </c>
      <c r="C56" s="6" t="s">
        <v>1245</v>
      </c>
      <c r="D56" s="13" t="s">
        <v>1317</v>
      </c>
      <c r="E56" s="14" t="s">
        <v>243</v>
      </c>
      <c r="F56" s="14" t="s">
        <v>808</v>
      </c>
      <c r="G56" s="28">
        <v>1</v>
      </c>
      <c r="H56" s="39" t="s">
        <v>2355</v>
      </c>
      <c r="I56" s="39" t="s">
        <v>2224</v>
      </c>
      <c r="J56" s="39" t="s">
        <v>15</v>
      </c>
      <c r="K56" s="39" t="s">
        <v>1121</v>
      </c>
      <c r="L56" s="39" t="s">
        <v>1423</v>
      </c>
      <c r="M56" s="15">
        <v>11</v>
      </c>
      <c r="N56" s="16">
        <v>1250</v>
      </c>
      <c r="O56" s="16">
        <f t="shared" si="0"/>
        <v>23.815698604072061</v>
      </c>
      <c r="P56" s="16">
        <v>1250</v>
      </c>
      <c r="Q56" s="16">
        <f t="shared" si="1"/>
        <v>23.815698604072061</v>
      </c>
      <c r="R56" s="16">
        <v>1250</v>
      </c>
      <c r="S56" s="16">
        <f t="shared" si="2"/>
        <v>23.815698604072061</v>
      </c>
      <c r="T56" s="16" t="s">
        <v>0</v>
      </c>
      <c r="U56" s="16" t="str">
        <f t="shared" si="3"/>
        <v>-</v>
      </c>
      <c r="V56" s="16" t="s">
        <v>0</v>
      </c>
      <c r="W56" s="16" t="str">
        <f t="shared" si="4"/>
        <v>-</v>
      </c>
      <c r="X56" s="16">
        <f>VLOOKUP(TIM[[#This Row],[Equipment ID]],AEL_Protection_Data[#All],12,0)</f>
        <v>1184</v>
      </c>
      <c r="Y56" s="16">
        <f t="shared" si="5"/>
        <v>22.558229717777056</v>
      </c>
      <c r="Z56" s="16">
        <v>1184</v>
      </c>
      <c r="AA56" s="16">
        <f t="shared" si="6"/>
        <v>22.558229717777056</v>
      </c>
      <c r="AB56" s="16">
        <v>2400</v>
      </c>
      <c r="AC56" s="16">
        <f t="shared" si="7"/>
        <v>45.72614131981836</v>
      </c>
      <c r="AD56" s="16">
        <v>1600</v>
      </c>
      <c r="AE56" s="17">
        <f t="shared" si="8"/>
        <v>30.484094213212241</v>
      </c>
      <c r="AF56" s="126" t="s">
        <v>0</v>
      </c>
      <c r="AG56" s="126" t="s">
        <v>0</v>
      </c>
      <c r="AH56" s="15" t="s">
        <v>0</v>
      </c>
      <c r="AI56" s="126" t="s">
        <v>0</v>
      </c>
      <c r="AJ56" s="127" t="s">
        <v>0</v>
      </c>
      <c r="AK56" s="126" t="s">
        <v>0</v>
      </c>
      <c r="AL56" s="127" t="s">
        <v>0</v>
      </c>
      <c r="AM56" s="126" t="s">
        <v>0</v>
      </c>
      <c r="AN56" s="127" t="s">
        <v>0</v>
      </c>
      <c r="AO56" s="126" t="s">
        <v>0</v>
      </c>
      <c r="AP56" s="126" t="s">
        <v>0</v>
      </c>
      <c r="AQ56" s="127" t="s">
        <v>0</v>
      </c>
      <c r="AR56" s="16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56" s="16" t="str">
        <f t="shared" si="9"/>
        <v>-</v>
      </c>
      <c r="AT56" s="9">
        <f>IF(RIGHT(TIM[[#This Row],[Device type]],7)="Winding","-",TIM[[#This Row],[Cont Winter MVA]])</f>
        <v>23.815698604072061</v>
      </c>
      <c r="AU56" s="9">
        <f>IF(RIGHT(TIM[[#This Row],[Device type]],7)="Winding","-",TIM[[#This Row],[Cont Shoulder MVA]])</f>
        <v>23.815698604072061</v>
      </c>
      <c r="AV56" s="9">
        <f>IF(RIGHT(TIM[[#This Row],[Device type]],7)="Winding","-",TIM[[#This Row],[Cont Summer MVA]])</f>
        <v>23.815698604072061</v>
      </c>
      <c r="AW56" s="9" t="str">
        <f>TIM[[#This Row],[24 Hr Winter MVA]]</f>
        <v>-</v>
      </c>
      <c r="AX56" s="9" t="str">
        <f>TIM[[#This Row],[24 Hr Summer MVA]]</f>
        <v>-</v>
      </c>
      <c r="AY56" s="9">
        <f>TIM[[#This Row],[Forwards MVA]]</f>
        <v>22.558229717777056</v>
      </c>
      <c r="AZ56" s="9">
        <f>TIM[[#This Row],[Relay MVA]]</f>
        <v>45.72614131981836</v>
      </c>
      <c r="BA56" s="9">
        <f>TIM[[#This Row],[CT MVA]]</f>
        <v>30.484094213212241</v>
      </c>
      <c r="BB56" s="9" t="str">
        <f>TIM[[#This Row],[Derating MVA]]</f>
        <v>-</v>
      </c>
      <c r="BC56" s="9" t="str">
        <f>TIM[[#This Row],[Station/Feeder]]&amp;TIM[[#This Row],[Lowest MVA]]</f>
        <v>CB2692_North ST.122.5582297177771</v>
      </c>
      <c r="BD56" s="9" t="str">
        <f>CONCATENATE(TIM[[#This Row],[Supply Level]],TIM[[#This Row],[Station/Feeder]],TIM[[#This Row],[Voltage]],TIM[[#This Row],[Lowest A-No PTX]])</f>
        <v>SubTransmissionCB2692_North ST.1111184</v>
      </c>
      <c r="BE56" s="9" t="str">
        <f>CONCATENATE(TIM[[#This Row],[Supply Level]],TIM[[#This Row],[Station/Feeder]],TIM[[#This Row],[Voltage]],TIM[[#This Row],[Lowest A-PTX]])</f>
        <v>SubTransmissionCB2692_North ST.1111184</v>
      </c>
      <c r="BF56" s="9">
        <f>IFERROR(IF(MIN(TIM[[#This Row],[Summ Cont Winter A]:[Cable Derating]])=0,"",MIN(TIM[[#This Row],[Summ Cont Winter A]:[Cable Derating]])),"")</f>
        <v>22.558229717777056</v>
      </c>
      <c r="BG56" s="9">
        <f>IFERROR(TIM[[#This Row],[Lowest MVA]]*1000/(TIM[[#This Row],[Voltage]]*SQRT(3)),"")</f>
        <v>1184</v>
      </c>
      <c r="BH56" s="9">
        <f t="shared" si="10"/>
        <v>1184</v>
      </c>
      <c r="BI56" s="9" t="str">
        <f>TIM[[#This Row],[From]]</f>
        <v>11 kV Bus</v>
      </c>
      <c r="BJ56" s="9" t="str">
        <f>TIM[[#This Row],[To]]</f>
        <v>CB2692</v>
      </c>
      <c r="BK5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Breaker-TIM-CB2692-Protection</v>
      </c>
      <c r="BL56" s="9">
        <f>TIM[[#This Row],[Voltage]]</f>
        <v>11</v>
      </c>
    </row>
    <row r="57" spans="1:64" ht="15" hidden="1" customHeight="1" x14ac:dyDescent="0.25">
      <c r="A57" s="6" t="str">
        <f>CONCATENATE(TIM[[#This Row],[Supply Level]],TIM[[#This Row],[Station/Feeder]],TIM[[#This Row],[Voltage]])</f>
        <v>SubTransmissionCB2692_North ST.111</v>
      </c>
      <c r="B57" s="6" t="str">
        <f>CONCATENATE(TIM[[#This Row],[Supply Level]],TIM[[#This Row],[Station/Feeder]],TIM[[#This Row],[Equipment ID]],TIM[[#This Row],[Voltage]],TIM[[#This Row],[Device type]])</f>
        <v>SubTransmissionCB2692_North ST.13/1c 1200mm² Al XLPE CWS MDPE11-</v>
      </c>
      <c r="C57" s="6" t="s">
        <v>1245</v>
      </c>
      <c r="D57" s="13" t="s">
        <v>1317</v>
      </c>
      <c r="E57" s="6" t="s">
        <v>808</v>
      </c>
      <c r="F57" s="6" t="s">
        <v>810</v>
      </c>
      <c r="G57" s="27">
        <v>2</v>
      </c>
      <c r="H57" s="7" t="s">
        <v>811</v>
      </c>
      <c r="I57" s="7" t="s">
        <v>812</v>
      </c>
      <c r="J57" s="7" t="s">
        <v>250</v>
      </c>
      <c r="K57" s="7" t="s">
        <v>0</v>
      </c>
      <c r="L57" s="7" t="s">
        <v>0</v>
      </c>
      <c r="M57" s="8">
        <v>11</v>
      </c>
      <c r="N57" s="9">
        <v>1025</v>
      </c>
      <c r="O57" s="9">
        <f>IF(OR(N57="",N57="-"),"-",N57*$M57*SQRT(3)/1000)</f>
        <v>19.528872855339092</v>
      </c>
      <c r="P57" s="9">
        <v>1025</v>
      </c>
      <c r="Q57" s="9">
        <f>IF(OR(P57="",P57="-"),"-",P57*$M57*SQRT(3)/1000)</f>
        <v>19.528872855339092</v>
      </c>
      <c r="R57" s="9">
        <v>1025</v>
      </c>
      <c r="S57" s="9">
        <f>IF(OR(R57="",R57="-"),"-",R57*$M57*SQRT(3)/1000)</f>
        <v>19.528872855339092</v>
      </c>
      <c r="T57" s="9" t="s">
        <v>0</v>
      </c>
      <c r="U57" s="9" t="str">
        <f>IF(OR(T57="",T57="-"),"-",T57*$M57*SQRT(3)/1000)</f>
        <v>-</v>
      </c>
      <c r="V57" s="9" t="s">
        <v>0</v>
      </c>
      <c r="W57" s="9" t="str">
        <f>IF(OR(V57="",V57="-"),"-",V57*$M57*SQRT(3)/1000)</f>
        <v>-</v>
      </c>
      <c r="X57" s="9" t="s">
        <v>0</v>
      </c>
      <c r="Y57" s="9" t="str">
        <f>IF(OR(X57="",X57="-"),"-",X57*$M57*SQRT(3)/1000)</f>
        <v>-</v>
      </c>
      <c r="Z57" s="9" t="s">
        <v>0</v>
      </c>
      <c r="AA57" s="9" t="str">
        <f t="shared" si="6"/>
        <v>-</v>
      </c>
      <c r="AB57" s="9" t="s">
        <v>0</v>
      </c>
      <c r="AC57" s="9" t="str">
        <f t="shared" si="7"/>
        <v>-</v>
      </c>
      <c r="AD57" s="9" t="s">
        <v>0</v>
      </c>
      <c r="AE57" s="12" t="str">
        <f t="shared" si="8"/>
        <v>-</v>
      </c>
      <c r="AF57" s="159" t="s">
        <v>713</v>
      </c>
      <c r="AG57" s="9" t="s">
        <v>0</v>
      </c>
      <c r="AH57" s="9">
        <v>5632.6</v>
      </c>
      <c r="AI57" s="9">
        <v>1.8</v>
      </c>
      <c r="AJ57" s="43">
        <v>0.92</v>
      </c>
      <c r="AK57" s="9">
        <v>18.5</v>
      </c>
      <c r="AL57" s="43">
        <v>0.95</v>
      </c>
      <c r="AM57" s="9">
        <v>1.2</v>
      </c>
      <c r="AN57" s="43">
        <v>1</v>
      </c>
      <c r="AO57" s="9">
        <v>2</v>
      </c>
      <c r="AP57" s="9">
        <v>0.6</v>
      </c>
      <c r="AQ57" s="43">
        <v>0.9</v>
      </c>
      <c r="AR57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806.26499999999999</v>
      </c>
      <c r="AS57" s="9">
        <f>IF(OR(AR57="",AR57="-"),"-",AR57*$M57*SQRT(3)/1000)</f>
        <v>15.361411388009726</v>
      </c>
      <c r="AT57" s="9">
        <f>IF(RIGHT(TIM[[#This Row],[Device type]],7)="Winding","-",TIM[[#This Row],[Cont Winter MVA]])</f>
        <v>19.528872855339092</v>
      </c>
      <c r="AU57" s="9">
        <f>IF(RIGHT(TIM[[#This Row],[Device type]],7)="Winding","-",TIM[[#This Row],[Cont Shoulder MVA]])</f>
        <v>19.528872855339092</v>
      </c>
      <c r="AV57" s="9">
        <f>IF(RIGHT(TIM[[#This Row],[Device type]],7)="Winding","-",TIM[[#This Row],[Cont Summer MVA]])</f>
        <v>19.528872855339092</v>
      </c>
      <c r="AW57" s="9" t="str">
        <f>TIM[[#This Row],[24 Hr Winter MVA]]</f>
        <v>-</v>
      </c>
      <c r="AX57" s="9" t="str">
        <f>TIM[[#This Row],[24 Hr Summer MVA]]</f>
        <v>-</v>
      </c>
      <c r="AY57" s="9" t="str">
        <f>TIM[[#This Row],[Forwards MVA]]</f>
        <v>-</v>
      </c>
      <c r="AZ57" s="9" t="str">
        <f>TIM[[#This Row],[Relay MVA]]</f>
        <v>-</v>
      </c>
      <c r="BA57" s="9" t="str">
        <f>TIM[[#This Row],[CT MVA]]</f>
        <v>-</v>
      </c>
      <c r="BB57" s="9">
        <f>TIM[[#This Row],[Derating MVA]]</f>
        <v>15.361411388009726</v>
      </c>
      <c r="BC57" s="9" t="str">
        <f>TIM[[#This Row],[Station/Feeder]]&amp;TIM[[#This Row],[Lowest MVA]]</f>
        <v>CB2692_North ST.115.3614113880097</v>
      </c>
      <c r="BD57" s="9" t="str">
        <f>CONCATENATE(TIM[[#This Row],[Supply Level]],TIM[[#This Row],[Station/Feeder]],TIM[[#This Row],[Voltage]],TIM[[#This Row],[Lowest A-No PTX]])</f>
        <v>SubTransmissionCB2692_North ST.111806.265</v>
      </c>
      <c r="BE57" s="9" t="str">
        <f>CONCATENATE(TIM[[#This Row],[Supply Level]],TIM[[#This Row],[Station/Feeder]],TIM[[#This Row],[Voltage]],TIM[[#This Row],[Lowest A-PTX]])</f>
        <v>SubTransmissionCB2692_North ST.111806.265</v>
      </c>
      <c r="BF57" s="9">
        <f>IFERROR(IF(MIN(TIM[[#This Row],[Summ Cont Winter A]:[Cable Derating]])=0,"",MIN(TIM[[#This Row],[Summ Cont Winter A]:[Cable Derating]])),"")</f>
        <v>15.361411388009726</v>
      </c>
      <c r="BG57" s="9">
        <f>IFERROR(TIM[[#This Row],[Lowest MVA]]*1000/(TIM[[#This Row],[Voltage]]*SQRT(3)),"")</f>
        <v>806.26499999999987</v>
      </c>
      <c r="BH57" s="9">
        <f t="shared" si="10"/>
        <v>806.26499999999999</v>
      </c>
      <c r="BI57" s="9" t="str">
        <f>TIM[[#This Row],[From]]</f>
        <v>CB2692</v>
      </c>
      <c r="BJ57" s="9" t="str">
        <f>TIM[[#This Row],[To]]</f>
        <v>NST35</v>
      </c>
      <c r="BK5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1200mm² Al XLPE CWS MDPE</v>
      </c>
      <c r="BL57" s="9">
        <f>TIM[[#This Row],[Voltage]]</f>
        <v>11</v>
      </c>
    </row>
    <row r="58" spans="1:64" ht="15" hidden="1" customHeight="1" x14ac:dyDescent="0.25">
      <c r="A58" s="6" t="str">
        <f>CONCATENATE(TIM[[#This Row],[Supply Level]],TIM[[#This Row],[Station/Feeder]],TIM[[#This Row],[Voltage]])</f>
        <v>SubTransmissionTIM_NST_SUBTRANS11</v>
      </c>
      <c r="B58" s="6" t="str">
        <f>CONCATENATE(TIM[[#This Row],[Supply Level]],TIM[[#This Row],[Station/Feeder]],TIM[[#This Row],[Equipment ID]],TIM[[#This Row],[Voltage]],TIM[[#This Row],[Device type]])</f>
        <v>SubTransmissionTIM_NST_SUBTRANSTIM-CB269211Protection</v>
      </c>
      <c r="C58" s="6" t="s">
        <v>1245</v>
      </c>
      <c r="D58" s="6" t="s">
        <v>93</v>
      </c>
      <c r="E58" s="6" t="s">
        <v>243</v>
      </c>
      <c r="F58" s="6" t="s">
        <v>808</v>
      </c>
      <c r="G58" s="8">
        <v>1</v>
      </c>
      <c r="H58" s="7" t="s">
        <v>2355</v>
      </c>
      <c r="I58" s="6" t="s">
        <v>2224</v>
      </c>
      <c r="J58" s="6" t="s">
        <v>15</v>
      </c>
      <c r="K58" s="6" t="s">
        <v>1121</v>
      </c>
      <c r="L58" s="6" t="s">
        <v>1423</v>
      </c>
      <c r="M58" s="8">
        <v>11</v>
      </c>
      <c r="N58" s="9">
        <v>1250</v>
      </c>
      <c r="O58" s="9">
        <f t="shared" ref="O58" si="125">IF(OR(N58="",N58="-"),"-",N58*$M58*SQRT(3)/1000)</f>
        <v>23.815698604072061</v>
      </c>
      <c r="P58" s="9">
        <v>1250</v>
      </c>
      <c r="Q58" s="9">
        <f t="shared" ref="Q58" si="126">IF(OR(P58="",P58="-"),"-",P58*$M58*SQRT(3)/1000)</f>
        <v>23.815698604072061</v>
      </c>
      <c r="R58" s="9">
        <v>1250</v>
      </c>
      <c r="S58" s="9">
        <f t="shared" ref="S58" si="127">IF(OR(R58="",R58="-"),"-",R58*$M58*SQRT(3)/1000)</f>
        <v>23.815698604072061</v>
      </c>
      <c r="T58" s="9" t="s">
        <v>0</v>
      </c>
      <c r="U58" s="9" t="str">
        <f t="shared" ref="U58" si="128">IF(OR(T58="",T58="-"),"-",T58*$M58*SQRT(3)/1000)</f>
        <v>-</v>
      </c>
      <c r="V58" s="9" t="s">
        <v>0</v>
      </c>
      <c r="W58" s="9" t="str">
        <f t="shared" ref="W58" si="129">IF(OR(V58="",V58="-"),"-",V58*$M58*SQRT(3)/1000)</f>
        <v>-</v>
      </c>
      <c r="X58" s="9">
        <f>VLOOKUP(TIM[[#This Row],[Equipment ID]],AEL_Protection_Data[#All],12,0)</f>
        <v>1184</v>
      </c>
      <c r="Y58" s="9">
        <f t="shared" ref="Y58" si="130">IF(OR(X58="",X58="-"),"-",X58*$M58*SQRT(3)/1000)</f>
        <v>22.558229717777056</v>
      </c>
      <c r="Z58" s="9">
        <v>1083</v>
      </c>
      <c r="AA58" s="9">
        <f t="shared" ref="AA58:AA59" si="131">IF(OR(Z58="",Z58="-"),"-",Z58*$M58*SQRT(3)/1000)</f>
        <v>20.633921270568035</v>
      </c>
      <c r="AB58" s="9">
        <v>2400</v>
      </c>
      <c r="AC58" s="9">
        <f t="shared" ref="AC58:AC59" si="132">IF(OR(AB58="",AB58="-"),"-",AB58*$M58*SQRT(3)/1000)</f>
        <v>45.72614131981836</v>
      </c>
      <c r="AD58" s="9">
        <v>1600</v>
      </c>
      <c r="AE58" s="9">
        <f t="shared" ref="AE58:AE59" si="133">IF(OR(AD58="",AD58="-"),"-",AD58*$M58*SQRT(3)/1000)</f>
        <v>30.484094213212241</v>
      </c>
      <c r="AF58" s="159" t="s">
        <v>0</v>
      </c>
      <c r="AG58" s="9" t="s">
        <v>0</v>
      </c>
      <c r="AH58" s="9" t="s">
        <v>0</v>
      </c>
      <c r="AI58" s="9" t="s">
        <v>0</v>
      </c>
      <c r="AJ58" s="43" t="s">
        <v>0</v>
      </c>
      <c r="AK58" s="9" t="s">
        <v>0</v>
      </c>
      <c r="AL58" s="43" t="s">
        <v>0</v>
      </c>
      <c r="AM58" s="9" t="s">
        <v>0</v>
      </c>
      <c r="AN58" s="43" t="s">
        <v>0</v>
      </c>
      <c r="AO58" s="9" t="s">
        <v>0</v>
      </c>
      <c r="AP58" s="9" t="s">
        <v>0</v>
      </c>
      <c r="AQ58" s="43" t="s">
        <v>0</v>
      </c>
      <c r="AR58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58" s="9" t="str">
        <f t="shared" ref="AS58" si="134">IF(OR(AR58="",AR58="-"),"-",AR58*$M58*SQRT(3)/1000)</f>
        <v>-</v>
      </c>
      <c r="AT58" s="9">
        <f>IF(RIGHT(TIM[[#This Row],[Device type]],7)="Winding","-",TIM[[#This Row],[Cont Winter MVA]])</f>
        <v>23.815698604072061</v>
      </c>
      <c r="AU58" s="9">
        <f>IF(RIGHT(TIM[[#This Row],[Device type]],7)="Winding","-",TIM[[#This Row],[Cont Shoulder MVA]])</f>
        <v>23.815698604072061</v>
      </c>
      <c r="AV58" s="9">
        <f>IF(RIGHT(TIM[[#This Row],[Device type]],7)="Winding","-",TIM[[#This Row],[Cont Summer MVA]])</f>
        <v>23.815698604072061</v>
      </c>
      <c r="AW58" s="9" t="str">
        <f>TIM[[#This Row],[24 Hr Winter MVA]]</f>
        <v>-</v>
      </c>
      <c r="AX58" s="9" t="str">
        <f>TIM[[#This Row],[24 Hr Summer MVA]]</f>
        <v>-</v>
      </c>
      <c r="AY58" s="9">
        <f>TIM[[#This Row],[Forwards MVA]]</f>
        <v>22.558229717777056</v>
      </c>
      <c r="AZ58" s="9">
        <f>TIM[[#This Row],[Relay MVA]]</f>
        <v>45.72614131981836</v>
      </c>
      <c r="BA58" s="9">
        <f>TIM[[#This Row],[CT MVA]]</f>
        <v>30.484094213212241</v>
      </c>
      <c r="BB58" s="9" t="str">
        <f>TIM[[#This Row],[Derating MVA]]</f>
        <v>-</v>
      </c>
      <c r="BC58" s="9" t="str">
        <f>TIM[[#This Row],[Station/Feeder]]&amp;TIM[[#This Row],[Lowest MVA]]</f>
        <v>TIM_NST_SUBTRANS22.5582297177771</v>
      </c>
      <c r="BD58" s="9" t="str">
        <f>CONCATENATE(TIM[[#This Row],[Supply Level]],TIM[[#This Row],[Station/Feeder]],TIM[[#This Row],[Voltage]],TIM[[#This Row],[Lowest A-No PTX]])</f>
        <v>SubTransmissionTIM_NST_SUBTRANS111184</v>
      </c>
      <c r="BE58" s="9" t="str">
        <f>CONCATENATE(TIM[[#This Row],[Supply Level]],TIM[[#This Row],[Station/Feeder]],TIM[[#This Row],[Voltage]],TIM[[#This Row],[Lowest A-PTX]])</f>
        <v>SubTransmissionTIM_NST_SUBTRANS111083</v>
      </c>
      <c r="BF58" s="9">
        <f>IFERROR(IF(MIN(TIM[[#This Row],[Summ Cont Winter A]:[Cable Derating]])=0,"",MIN(TIM[[#This Row],[Summ Cont Winter A]:[Cable Derating]])),"")</f>
        <v>22.558229717777056</v>
      </c>
      <c r="BG58" s="9">
        <f>IFERROR(TIM[[#This Row],[Lowest MVA]]*1000/(TIM[[#This Row],[Voltage]]*SQRT(3)),"")</f>
        <v>1184</v>
      </c>
      <c r="BH58" s="9">
        <f t="shared" si="10"/>
        <v>1083</v>
      </c>
      <c r="BI58" s="9" t="str">
        <f>TIM[[#This Row],[From]]</f>
        <v>11 kV Bus</v>
      </c>
      <c r="BJ58" s="9" t="str">
        <f>TIM[[#This Row],[To]]</f>
        <v>CB2692</v>
      </c>
      <c r="BK5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Breaker-TIM-CB2692-Protection</v>
      </c>
      <c r="BL58" s="9">
        <f>TIM[[#This Row],[Voltage]]</f>
        <v>11</v>
      </c>
    </row>
    <row r="59" spans="1:64" ht="15" hidden="1" customHeight="1" x14ac:dyDescent="0.25">
      <c r="A59" s="6" t="str">
        <f>CONCATENATE(TIM[[#This Row],[Supply Level]],TIM[[#This Row],[Station/Feeder]],TIM[[#This Row],[Voltage]])</f>
        <v>SubTransmissionTIM_NST_SUBTRANS11</v>
      </c>
      <c r="B59" s="6" t="str">
        <f>CONCATENATE(TIM[[#This Row],[Supply Level]],TIM[[#This Row],[Station/Feeder]],TIM[[#This Row],[Equipment ID]],TIM[[#This Row],[Voltage]],TIM[[#This Row],[Device type]])</f>
        <v>SubTransmissionTIM_NST_SUBTRANS3/1c 1200mm² Al XLPE CWS MDPE11-</v>
      </c>
      <c r="C59" s="6" t="s">
        <v>1245</v>
      </c>
      <c r="D59" s="6" t="s">
        <v>93</v>
      </c>
      <c r="E59" s="6" t="s">
        <v>808</v>
      </c>
      <c r="F59" s="6" t="s">
        <v>810</v>
      </c>
      <c r="G59" s="8">
        <v>2</v>
      </c>
      <c r="H59" s="7" t="s">
        <v>811</v>
      </c>
      <c r="I59" s="6" t="s">
        <v>879</v>
      </c>
      <c r="J59" s="6" t="s">
        <v>250</v>
      </c>
      <c r="K59" s="6" t="s">
        <v>0</v>
      </c>
      <c r="L59" s="6" t="s">
        <v>0</v>
      </c>
      <c r="M59" s="8">
        <v>11</v>
      </c>
      <c r="N59" s="9">
        <v>1025</v>
      </c>
      <c r="O59" s="9">
        <f>IF(OR(N59="",N59="-"),"-",N59*$M59*SQRT(3)/1000)</f>
        <v>19.528872855339092</v>
      </c>
      <c r="P59" s="9">
        <v>1025</v>
      </c>
      <c r="Q59" s="9">
        <f>IF(OR(P59="",P59="-"),"-",P59*$M59*SQRT(3)/1000)</f>
        <v>19.528872855339092</v>
      </c>
      <c r="R59" s="9">
        <v>1025</v>
      </c>
      <c r="S59" s="9">
        <f>IF(OR(R59="",R59="-"),"-",R59*$M59*SQRT(3)/1000)</f>
        <v>19.528872855339092</v>
      </c>
      <c r="T59" s="9" t="s">
        <v>0</v>
      </c>
      <c r="U59" s="9" t="str">
        <f>IF(OR(T59="",T59="-"),"-",T59*$M59*SQRT(3)/1000)</f>
        <v>-</v>
      </c>
      <c r="V59" s="9" t="s">
        <v>0</v>
      </c>
      <c r="W59" s="9" t="str">
        <f>IF(OR(V59="",V59="-"),"-",V59*$M59*SQRT(3)/1000)</f>
        <v>-</v>
      </c>
      <c r="X59" s="9" t="s">
        <v>0</v>
      </c>
      <c r="Y59" s="9" t="str">
        <f>IF(OR(X59="",X59="-"),"-",X59*$M59*SQRT(3)/1000)</f>
        <v>-</v>
      </c>
      <c r="Z59" s="9" t="s">
        <v>0</v>
      </c>
      <c r="AA59" s="9" t="str">
        <f t="shared" si="131"/>
        <v>-</v>
      </c>
      <c r="AB59" s="9" t="s">
        <v>0</v>
      </c>
      <c r="AC59" s="9" t="str">
        <f t="shared" si="132"/>
        <v>-</v>
      </c>
      <c r="AD59" s="9" t="s">
        <v>0</v>
      </c>
      <c r="AE59" s="9" t="str">
        <f t="shared" si="133"/>
        <v>-</v>
      </c>
      <c r="AF59" s="159" t="s">
        <v>713</v>
      </c>
      <c r="AG59" s="9" t="s">
        <v>0</v>
      </c>
      <c r="AH59" s="9">
        <v>5632.6</v>
      </c>
      <c r="AI59" s="9">
        <v>1.8</v>
      </c>
      <c r="AJ59" s="43">
        <v>0.92</v>
      </c>
      <c r="AK59" s="9">
        <v>18.5</v>
      </c>
      <c r="AL59" s="43">
        <v>0.95</v>
      </c>
      <c r="AM59" s="9">
        <v>1.2</v>
      </c>
      <c r="AN59" s="43">
        <v>1</v>
      </c>
      <c r="AO59" s="9">
        <v>2</v>
      </c>
      <c r="AP59" s="9">
        <v>0.6</v>
      </c>
      <c r="AQ59" s="43">
        <v>0.9</v>
      </c>
      <c r="AR59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806.26499999999999</v>
      </c>
      <c r="AS59" s="9">
        <f>IF(OR(AR59="",AR59="-"),"-",AR59*$M59*SQRT(3)/1000)</f>
        <v>15.361411388009726</v>
      </c>
      <c r="AT59" s="9">
        <f>IF(RIGHT(TIM[[#This Row],[Device type]],7)="Winding","-",TIM[[#This Row],[Cont Winter MVA]])</f>
        <v>19.528872855339092</v>
      </c>
      <c r="AU59" s="9">
        <f>IF(RIGHT(TIM[[#This Row],[Device type]],7)="Winding","-",TIM[[#This Row],[Cont Shoulder MVA]])</f>
        <v>19.528872855339092</v>
      </c>
      <c r="AV59" s="9">
        <f>IF(RIGHT(TIM[[#This Row],[Device type]],7)="Winding","-",TIM[[#This Row],[Cont Summer MVA]])</f>
        <v>19.528872855339092</v>
      </c>
      <c r="AW59" s="9" t="str">
        <f>TIM[[#This Row],[24 Hr Winter MVA]]</f>
        <v>-</v>
      </c>
      <c r="AX59" s="9" t="str">
        <f>TIM[[#This Row],[24 Hr Summer MVA]]</f>
        <v>-</v>
      </c>
      <c r="AY59" s="9" t="str">
        <f>TIM[[#This Row],[Forwards MVA]]</f>
        <v>-</v>
      </c>
      <c r="AZ59" s="9" t="str">
        <f>TIM[[#This Row],[Relay MVA]]</f>
        <v>-</v>
      </c>
      <c r="BA59" s="9" t="str">
        <f>TIM[[#This Row],[CT MVA]]</f>
        <v>-</v>
      </c>
      <c r="BB59" s="9">
        <f>TIM[[#This Row],[Derating MVA]]</f>
        <v>15.361411388009726</v>
      </c>
      <c r="BC59" s="9" t="str">
        <f>TIM[[#This Row],[Station/Feeder]]&amp;TIM[[#This Row],[Lowest MVA]]</f>
        <v>TIM_NST_SUBTRANS15.3614113880097</v>
      </c>
      <c r="BD59" s="9" t="str">
        <f>CONCATENATE(TIM[[#This Row],[Supply Level]],TIM[[#This Row],[Station/Feeder]],TIM[[#This Row],[Voltage]],TIM[[#This Row],[Lowest A-No PTX]])</f>
        <v>SubTransmissionTIM_NST_SUBTRANS11806.265</v>
      </c>
      <c r="BE59" s="9" t="str">
        <f>CONCATENATE(TIM[[#This Row],[Supply Level]],TIM[[#This Row],[Station/Feeder]],TIM[[#This Row],[Voltage]],TIM[[#This Row],[Lowest A-PTX]])</f>
        <v>SubTransmissionTIM_NST_SUBTRANS11806.265</v>
      </c>
      <c r="BF59" s="9">
        <f>IFERROR(IF(MIN(TIM[[#This Row],[Summ Cont Winter A]:[Cable Derating]])=0,"",MIN(TIM[[#This Row],[Summ Cont Winter A]:[Cable Derating]])),"")</f>
        <v>15.361411388009726</v>
      </c>
      <c r="BG59" s="9">
        <f>IFERROR(TIM[[#This Row],[Lowest MVA]]*1000/(TIM[[#This Row],[Voltage]]*SQRT(3)),"")</f>
        <v>806.26499999999987</v>
      </c>
      <c r="BH59" s="9">
        <f t="shared" si="10"/>
        <v>806.26499999999999</v>
      </c>
      <c r="BI59" s="9" t="str">
        <f>TIM[[#This Row],[From]]</f>
        <v>CB2692</v>
      </c>
      <c r="BJ59" s="9" t="str">
        <f>TIM[[#This Row],[To]]</f>
        <v>NST35</v>
      </c>
      <c r="BK5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1200mm² Al XLPE CWS MDPE</v>
      </c>
      <c r="BL59" s="9">
        <f>TIM[[#This Row],[Voltage]]</f>
        <v>11</v>
      </c>
    </row>
    <row r="60" spans="1:64" ht="15" customHeight="1" x14ac:dyDescent="0.25">
      <c r="A60" s="6" t="str">
        <f>CONCATENATE(TIM[[#This Row],[Supply Level]],TIM[[#This Row],[Station/Feeder]],TIM[[#This Row],[Voltage]])</f>
        <v>DistributionFeederCB2702_Morgans Rd11</v>
      </c>
      <c r="B60" s="6" t="str">
        <f>CONCATENATE(TIM[[#This Row],[Supply Level]],TIM[[#This Row],[Station/Feeder]],TIM[[#This Row],[Equipment ID]],TIM[[#This Row],[Voltage]],TIM[[#This Row],[Device type]])</f>
        <v>DistributionFeederCB2702_Morgans RdTIM-CB270211Protection</v>
      </c>
      <c r="C60" s="6" t="s">
        <v>1276</v>
      </c>
      <c r="D60" s="11" t="s">
        <v>117</v>
      </c>
      <c r="E60" s="6" t="s">
        <v>243</v>
      </c>
      <c r="F60" s="6" t="s">
        <v>813</v>
      </c>
      <c r="G60" s="27">
        <v>1</v>
      </c>
      <c r="H60" s="39" t="s">
        <v>2356</v>
      </c>
      <c r="I60" s="7" t="s">
        <v>2225</v>
      </c>
      <c r="J60" s="7" t="s">
        <v>15</v>
      </c>
      <c r="K60" s="7" t="s">
        <v>1121</v>
      </c>
      <c r="L60" s="7" t="s">
        <v>1423</v>
      </c>
      <c r="M60" s="8">
        <v>11</v>
      </c>
      <c r="N60" s="9">
        <v>1250</v>
      </c>
      <c r="O60" s="9">
        <f t="shared" ref="O60:O77" si="135">IF(OR(N60="",N60="-"),"-",N60*$M60*SQRT(3)/1000)</f>
        <v>23.815698604072061</v>
      </c>
      <c r="P60" s="9">
        <v>1250</v>
      </c>
      <c r="Q60" s="9">
        <f t="shared" ref="Q60:Q77" si="136">IF(OR(P60="",P60="-"),"-",P60*$M60*SQRT(3)/1000)</f>
        <v>23.815698604072061</v>
      </c>
      <c r="R60" s="9">
        <v>1250</v>
      </c>
      <c r="S60" s="9">
        <f t="shared" ref="S60:S77" si="137">IF(OR(R60="",R60="-"),"-",R60*$M60*SQRT(3)/1000)</f>
        <v>23.815698604072061</v>
      </c>
      <c r="T60" s="16" t="s">
        <v>0</v>
      </c>
      <c r="U60" s="9" t="str">
        <f t="shared" ref="U60:U77" si="138">IF(OR(T60="",T60="-"),"-",T60*$M60*SQRT(3)/1000)</f>
        <v>-</v>
      </c>
      <c r="V60" s="16" t="s">
        <v>0</v>
      </c>
      <c r="W60" s="9" t="str">
        <f t="shared" ref="W60:W77" si="139">IF(OR(V60="",V60="-"),"-",V60*$M60*SQRT(3)/1000)</f>
        <v>-</v>
      </c>
      <c r="X60" s="16">
        <f>VLOOKUP(TIM[[#This Row],[Equipment ID]],AEL_Protection_Data[#All],12,0)</f>
        <v>400</v>
      </c>
      <c r="Y60" s="9">
        <f t="shared" ref="Y60:Y77" si="140">IF(OR(X60="",X60="-"),"-",X60*$M60*SQRT(3)/1000)</f>
        <v>7.6210235533030604</v>
      </c>
      <c r="Z60" s="16">
        <v>366</v>
      </c>
      <c r="AA60" s="9">
        <f t="shared" si="6"/>
        <v>6.9732365512722998</v>
      </c>
      <c r="AB60" s="16">
        <v>2400</v>
      </c>
      <c r="AC60" s="9">
        <f t="shared" si="7"/>
        <v>45.72614131981836</v>
      </c>
      <c r="AD60" s="9">
        <v>1600</v>
      </c>
      <c r="AE60" s="12">
        <f t="shared" si="8"/>
        <v>30.484094213212241</v>
      </c>
      <c r="AF60" s="9" t="s">
        <v>0</v>
      </c>
      <c r="AG60" s="9" t="s">
        <v>0</v>
      </c>
      <c r="AH60" s="15" t="s">
        <v>0</v>
      </c>
      <c r="AI60" s="9" t="s">
        <v>0</v>
      </c>
      <c r="AJ60" s="43" t="s">
        <v>0</v>
      </c>
      <c r="AK60" s="9" t="s">
        <v>0</v>
      </c>
      <c r="AL60" s="43" t="s">
        <v>0</v>
      </c>
      <c r="AM60" s="9" t="s">
        <v>0</v>
      </c>
      <c r="AN60" s="43" t="s">
        <v>0</v>
      </c>
      <c r="AO60" s="9" t="s">
        <v>0</v>
      </c>
      <c r="AP60" s="9" t="s">
        <v>0</v>
      </c>
      <c r="AQ60" s="43" t="s">
        <v>0</v>
      </c>
      <c r="AR6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60" s="9" t="str">
        <f t="shared" ref="AS60:AS77" si="141">IF(OR(AR60="",AR60="-"),"-",AR60*$M60*SQRT(3)/1000)</f>
        <v>-</v>
      </c>
      <c r="AT60" s="9">
        <f>IF(RIGHT(TIM[[#This Row],[Device type]],7)="Winding","-",TIM[[#This Row],[Cont Winter MVA]])</f>
        <v>23.815698604072061</v>
      </c>
      <c r="AU60" s="9">
        <f>IF(RIGHT(TIM[[#This Row],[Device type]],7)="Winding","-",TIM[[#This Row],[Cont Shoulder MVA]])</f>
        <v>23.815698604072061</v>
      </c>
      <c r="AV60" s="9">
        <f>IF(RIGHT(TIM[[#This Row],[Device type]],7)="Winding","-",TIM[[#This Row],[Cont Summer MVA]])</f>
        <v>23.815698604072061</v>
      </c>
      <c r="AW60" s="9" t="str">
        <f>TIM[[#This Row],[24 Hr Winter MVA]]</f>
        <v>-</v>
      </c>
      <c r="AX60" s="9" t="str">
        <f>TIM[[#This Row],[24 Hr Summer MVA]]</f>
        <v>-</v>
      </c>
      <c r="AY60" s="9">
        <f>TIM[[#This Row],[Forwards MVA]]</f>
        <v>7.6210235533030604</v>
      </c>
      <c r="AZ60" s="9">
        <f>TIM[[#This Row],[Relay MVA]]</f>
        <v>45.72614131981836</v>
      </c>
      <c r="BA60" s="9">
        <f>TIM[[#This Row],[CT MVA]]</f>
        <v>30.484094213212241</v>
      </c>
      <c r="BB60" s="9" t="str">
        <f>TIM[[#This Row],[Derating MVA]]</f>
        <v>-</v>
      </c>
      <c r="BC60" s="9" t="str">
        <f>TIM[[#This Row],[Station/Feeder]]&amp;TIM[[#This Row],[Lowest MVA]]</f>
        <v>CB2702_Morgans Rd7.62102355330306</v>
      </c>
      <c r="BD60" s="9" t="str">
        <f>CONCATENATE(TIM[[#This Row],[Supply Level]],TIM[[#This Row],[Station/Feeder]],TIM[[#This Row],[Voltage]],TIM[[#This Row],[Lowest A-No PTX]])</f>
        <v>DistributionFeederCB2702_Morgans Rd11400</v>
      </c>
      <c r="BE60" s="9" t="str">
        <f>CONCATENATE(TIM[[#This Row],[Supply Level]],TIM[[#This Row],[Station/Feeder]],TIM[[#This Row],[Voltage]],TIM[[#This Row],[Lowest A-PTX]])</f>
        <v>DistributionFeederCB2702_Morgans Rd11366</v>
      </c>
      <c r="BF60" s="9">
        <f>IFERROR(IF(MIN(TIM[[#This Row],[Summ Cont Winter A]:[Cable Derating]])=0,"",MIN(TIM[[#This Row],[Summ Cont Winter A]:[Cable Derating]])),"")</f>
        <v>7.6210235533030604</v>
      </c>
      <c r="BG60" s="9">
        <f>IFERROR(TIM[[#This Row],[Lowest MVA]]*1000/(TIM[[#This Row],[Voltage]]*SQRT(3)),"")</f>
        <v>400</v>
      </c>
      <c r="BH60" s="9">
        <f t="shared" si="10"/>
        <v>366</v>
      </c>
      <c r="BI60" s="9" t="str">
        <f>TIM[[#This Row],[From]]</f>
        <v>11 kV Bus</v>
      </c>
      <c r="BJ60" s="9" t="str">
        <f>TIM[[#This Row],[To]]</f>
        <v>CB2702</v>
      </c>
      <c r="BK6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Breaker-TIM-CB2702-Protection</v>
      </c>
      <c r="BL60" s="9">
        <f>TIM[[#This Row],[Voltage]]</f>
        <v>11</v>
      </c>
    </row>
    <row r="61" spans="1:64" ht="15" customHeight="1" x14ac:dyDescent="0.25">
      <c r="A61" s="6" t="str">
        <f>CONCATENATE(TIM[[#This Row],[Supply Level]],TIM[[#This Row],[Station/Feeder]],TIM[[#This Row],[Voltage]])</f>
        <v>DistributionFeederCB2702_Morgans Rd11</v>
      </c>
      <c r="B61" s="6" t="str">
        <f>CONCATENATE(TIM[[#This Row],[Supply Level]],TIM[[#This Row],[Station/Feeder]],TIM[[#This Row],[Equipment ID]],TIM[[#This Row],[Voltage]],TIM[[#This Row],[Device type]])</f>
        <v>DistributionFeederCB2702_Morgans Rd3/1c 400mm² AL XLPE HDPE Screened11-</v>
      </c>
      <c r="C61" s="6" t="s">
        <v>1276</v>
      </c>
      <c r="D61" s="11" t="s">
        <v>117</v>
      </c>
      <c r="E61" s="6" t="s">
        <v>813</v>
      </c>
      <c r="F61" s="6" t="s">
        <v>815</v>
      </c>
      <c r="G61" s="27">
        <v>2</v>
      </c>
      <c r="H61" s="7" t="s">
        <v>811</v>
      </c>
      <c r="I61" s="7" t="s">
        <v>816</v>
      </c>
      <c r="J61" s="7" t="s">
        <v>250</v>
      </c>
      <c r="K61" s="7" t="s">
        <v>0</v>
      </c>
      <c r="L61" s="7" t="s">
        <v>0</v>
      </c>
      <c r="M61" s="8">
        <v>11</v>
      </c>
      <c r="N61" s="9">
        <v>537</v>
      </c>
      <c r="O61" s="9">
        <f>IF(OR(N61="",N61="-"),"-",N61*$M61*SQRT(3)/1000)</f>
        <v>10.231224120309358</v>
      </c>
      <c r="P61" s="9">
        <v>537</v>
      </c>
      <c r="Q61" s="9">
        <f>IF(OR(P61="",P61="-"),"-",P61*$M61*SQRT(3)/1000)</f>
        <v>10.231224120309358</v>
      </c>
      <c r="R61" s="9">
        <v>537</v>
      </c>
      <c r="S61" s="9">
        <f>IF(OR(R61="",R61="-"),"-",R61*$M61*SQRT(3)/1000)</f>
        <v>10.231224120309358</v>
      </c>
      <c r="T61" s="9" t="s">
        <v>0</v>
      </c>
      <c r="U61" s="9" t="str">
        <f>IF(OR(T61="",T61="-"),"-",T61*$M61*SQRT(3)/1000)</f>
        <v>-</v>
      </c>
      <c r="V61" s="9" t="s">
        <v>0</v>
      </c>
      <c r="W61" s="9" t="str">
        <f>IF(OR(V61="",V61="-"),"-",V61*$M61*SQRT(3)/1000)</f>
        <v>-</v>
      </c>
      <c r="X61" s="9" t="s">
        <v>0</v>
      </c>
      <c r="Y61" s="9" t="str">
        <f>IF(OR(X61="",X61="-"),"-",X61*$M61*SQRT(3)/1000)</f>
        <v>-</v>
      </c>
      <c r="Z61" s="9" t="s">
        <v>0</v>
      </c>
      <c r="AA61" s="9" t="str">
        <f t="shared" si="6"/>
        <v>-</v>
      </c>
      <c r="AB61" s="9" t="s">
        <v>0</v>
      </c>
      <c r="AC61" s="9" t="str">
        <f t="shared" si="7"/>
        <v>-</v>
      </c>
      <c r="AD61" s="9" t="s">
        <v>0</v>
      </c>
      <c r="AE61" s="12" t="str">
        <f t="shared" si="8"/>
        <v>-</v>
      </c>
      <c r="AF61" s="159" t="s">
        <v>713</v>
      </c>
      <c r="AG61" s="9" t="s">
        <v>0</v>
      </c>
      <c r="AH61" s="9">
        <v>99.3</v>
      </c>
      <c r="AI61" s="9">
        <v>1.1000000000000001</v>
      </c>
      <c r="AJ61" s="32">
        <v>0.97</v>
      </c>
      <c r="AK61" s="9">
        <v>18.5</v>
      </c>
      <c r="AL61" s="32">
        <v>0.95</v>
      </c>
      <c r="AM61" s="9">
        <v>1.2</v>
      </c>
      <c r="AN61" s="32">
        <v>1</v>
      </c>
      <c r="AO61" s="9">
        <v>4</v>
      </c>
      <c r="AP61" s="9">
        <v>0.45</v>
      </c>
      <c r="AQ61" s="32">
        <v>0.76</v>
      </c>
      <c r="AR61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376.08258000000001</v>
      </c>
      <c r="AS61" s="9">
        <f>IF(OR(AR61="",AR61="-"),"-",AR61*$M61*SQRT(3)/1000)</f>
        <v>7.1653355004174557</v>
      </c>
      <c r="AT61" s="9">
        <f>IF(RIGHT(TIM[[#This Row],[Device type]],7)="Winding","-",TIM[[#This Row],[Cont Winter MVA]])</f>
        <v>10.231224120309358</v>
      </c>
      <c r="AU61" s="9">
        <f>IF(RIGHT(TIM[[#This Row],[Device type]],7)="Winding","-",TIM[[#This Row],[Cont Shoulder MVA]])</f>
        <v>10.231224120309358</v>
      </c>
      <c r="AV61" s="9">
        <f>IF(RIGHT(TIM[[#This Row],[Device type]],7)="Winding","-",TIM[[#This Row],[Cont Summer MVA]])</f>
        <v>10.231224120309358</v>
      </c>
      <c r="AW61" s="9" t="str">
        <f>TIM[[#This Row],[24 Hr Winter MVA]]</f>
        <v>-</v>
      </c>
      <c r="AX61" s="9" t="str">
        <f>TIM[[#This Row],[24 Hr Summer MVA]]</f>
        <v>-</v>
      </c>
      <c r="AY61" s="9" t="str">
        <f>TIM[[#This Row],[Forwards MVA]]</f>
        <v>-</v>
      </c>
      <c r="AZ61" s="9" t="str">
        <f>TIM[[#This Row],[Relay MVA]]</f>
        <v>-</v>
      </c>
      <c r="BA61" s="9" t="str">
        <f>TIM[[#This Row],[CT MVA]]</f>
        <v>-</v>
      </c>
      <c r="BB61" s="9">
        <f>TIM[[#This Row],[Derating MVA]]</f>
        <v>7.1653355004174557</v>
      </c>
      <c r="BC61" s="9" t="str">
        <f>TIM[[#This Row],[Station/Feeder]]&amp;TIM[[#This Row],[Lowest MVA]]</f>
        <v>CB2702_Morgans Rd7.16533550041746</v>
      </c>
      <c r="BD61" s="9" t="str">
        <f>CONCATENATE(TIM[[#This Row],[Supply Level]],TIM[[#This Row],[Station/Feeder]],TIM[[#This Row],[Voltage]],TIM[[#This Row],[Lowest A-No PTX]])</f>
        <v>DistributionFeederCB2702_Morgans Rd11376.08258</v>
      </c>
      <c r="BE61" s="9" t="str">
        <f>CONCATENATE(TIM[[#This Row],[Supply Level]],TIM[[#This Row],[Station/Feeder]],TIM[[#This Row],[Voltage]],TIM[[#This Row],[Lowest A-PTX]])</f>
        <v>DistributionFeederCB2702_Morgans Rd11376.08258</v>
      </c>
      <c r="BF61" s="9">
        <f>IFERROR(IF(MIN(TIM[[#This Row],[Summ Cont Winter A]:[Cable Derating]])=0,"",MIN(TIM[[#This Row],[Summ Cont Winter A]:[Cable Derating]])),"")</f>
        <v>7.1653355004174557</v>
      </c>
      <c r="BG61" s="9">
        <f>IFERROR(TIM[[#This Row],[Lowest MVA]]*1000/(TIM[[#This Row],[Voltage]]*SQRT(3)),"")</f>
        <v>376.08258000000001</v>
      </c>
      <c r="BH61" s="9">
        <f t="shared" si="10"/>
        <v>376.08258000000001</v>
      </c>
      <c r="BI61" s="9" t="str">
        <f>TIM[[#This Row],[From]]</f>
        <v>CB2702</v>
      </c>
      <c r="BJ61" s="9" t="str">
        <f>TIM[[#This Row],[To]]</f>
        <v xml:space="preserve">L650 Link </v>
      </c>
      <c r="BK6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61" s="9">
        <f>TIM[[#This Row],[Voltage]]</f>
        <v>11</v>
      </c>
    </row>
    <row r="62" spans="1:64" ht="15" customHeight="1" x14ac:dyDescent="0.25">
      <c r="A62" s="6" t="str">
        <f>CONCATENATE(TIM[[#This Row],[Supply Level]],TIM[[#This Row],[Station/Feeder]],TIM[[#This Row],[Voltage]])</f>
        <v>DistributionFeederCB2702_Morgans Rd11</v>
      </c>
      <c r="B62" s="6" t="str">
        <f>CONCATENATE(TIM[[#This Row],[Supply Level]],TIM[[#This Row],[Station/Feeder]],TIM[[#This Row],[Equipment ID]],TIM[[#This Row],[Voltage]],TIM[[#This Row],[Device type]])</f>
        <v>DistributionFeederCB2702_Morgans RdJAGUAR11-</v>
      </c>
      <c r="C62" s="6" t="s">
        <v>1276</v>
      </c>
      <c r="D62" s="11" t="s">
        <v>117</v>
      </c>
      <c r="E62" s="6" t="s">
        <v>815</v>
      </c>
      <c r="F62" s="6" t="s">
        <v>817</v>
      </c>
      <c r="G62" s="27">
        <v>3</v>
      </c>
      <c r="H62" s="7" t="s">
        <v>1289</v>
      </c>
      <c r="I62" s="7" t="s">
        <v>345</v>
      </c>
      <c r="J62" s="7" t="s">
        <v>69</v>
      </c>
      <c r="K62" s="7" t="s">
        <v>0</v>
      </c>
      <c r="L62" s="7" t="s">
        <v>0</v>
      </c>
      <c r="M62" s="8">
        <v>11</v>
      </c>
      <c r="N62" s="9">
        <v>387</v>
      </c>
      <c r="O62" s="9">
        <f>IF(OR(N62="",N62="-"),"-",N62*$M62*SQRT(3)/1000)</f>
        <v>7.3733402878207102</v>
      </c>
      <c r="P62" s="9">
        <v>387</v>
      </c>
      <c r="Q62" s="9">
        <f>IF(OR(P62="",P62="-"),"-",P62*$M62*SQRT(3)/1000)</f>
        <v>7.3733402878207102</v>
      </c>
      <c r="R62" s="9">
        <v>387</v>
      </c>
      <c r="S62" s="9">
        <f>IF(OR(R62="",R62="-"),"-",R62*$M62*SQRT(3)/1000)</f>
        <v>7.3733402878207102</v>
      </c>
      <c r="T62" s="9" t="s">
        <v>0</v>
      </c>
      <c r="U62" s="9" t="str">
        <f>IF(OR(T62="",T62="-"),"-",T62*$M62*SQRT(3)/1000)</f>
        <v>-</v>
      </c>
      <c r="V62" s="9" t="s">
        <v>0</v>
      </c>
      <c r="W62" s="9" t="str">
        <f>IF(OR(V62="",V62="-"),"-",V62*$M62*SQRT(3)/1000)</f>
        <v>-</v>
      </c>
      <c r="X62" s="9" t="s">
        <v>0</v>
      </c>
      <c r="Y62" s="9" t="str">
        <f>IF(OR(X62="",X62="-"),"-",X62*$M62*SQRT(3)/1000)</f>
        <v>-</v>
      </c>
      <c r="Z62" s="9" t="s">
        <v>0</v>
      </c>
      <c r="AA62" s="9" t="str">
        <f t="shared" si="6"/>
        <v>-</v>
      </c>
      <c r="AB62" s="9" t="s">
        <v>0</v>
      </c>
      <c r="AC62" s="9" t="str">
        <f t="shared" si="7"/>
        <v>-</v>
      </c>
      <c r="AD62" s="9" t="s">
        <v>0</v>
      </c>
      <c r="AE62" s="12" t="str">
        <f t="shared" si="8"/>
        <v>-</v>
      </c>
      <c r="AF62" s="9" t="s">
        <v>0</v>
      </c>
      <c r="AG62" s="9" t="s">
        <v>0</v>
      </c>
      <c r="AH62" s="9">
        <v>1762.1</v>
      </c>
      <c r="AI62" s="9" t="s">
        <v>0</v>
      </c>
      <c r="AJ62" s="32" t="s">
        <v>0</v>
      </c>
      <c r="AK62" s="9" t="s">
        <v>0</v>
      </c>
      <c r="AL62" s="32" t="s">
        <v>0</v>
      </c>
      <c r="AM62" s="9" t="s">
        <v>0</v>
      </c>
      <c r="AN62" s="32" t="s">
        <v>0</v>
      </c>
      <c r="AO62" s="9" t="s">
        <v>0</v>
      </c>
      <c r="AP62" s="9" t="s">
        <v>0</v>
      </c>
      <c r="AQ62" s="32" t="s">
        <v>0</v>
      </c>
      <c r="AR62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62" s="9" t="str">
        <f>IF(OR(AR62="",AR62="-"),"-",AR62*$M62*SQRT(3)/1000)</f>
        <v>-</v>
      </c>
      <c r="AT62" s="9">
        <f>IF(RIGHT(TIM[[#This Row],[Device type]],7)="Winding","-",TIM[[#This Row],[Cont Winter MVA]])</f>
        <v>7.3733402878207102</v>
      </c>
      <c r="AU62" s="9">
        <f>IF(RIGHT(TIM[[#This Row],[Device type]],7)="Winding","-",TIM[[#This Row],[Cont Shoulder MVA]])</f>
        <v>7.3733402878207102</v>
      </c>
      <c r="AV62" s="9">
        <f>IF(RIGHT(TIM[[#This Row],[Device type]],7)="Winding","-",TIM[[#This Row],[Cont Summer MVA]])</f>
        <v>7.3733402878207102</v>
      </c>
      <c r="AW62" s="9" t="str">
        <f>TIM[[#This Row],[24 Hr Winter MVA]]</f>
        <v>-</v>
      </c>
      <c r="AX62" s="9" t="str">
        <f>TIM[[#This Row],[24 Hr Summer MVA]]</f>
        <v>-</v>
      </c>
      <c r="AY62" s="9" t="str">
        <f>TIM[[#This Row],[Forwards MVA]]</f>
        <v>-</v>
      </c>
      <c r="AZ62" s="9" t="str">
        <f>TIM[[#This Row],[Relay MVA]]</f>
        <v>-</v>
      </c>
      <c r="BA62" s="9" t="str">
        <f>TIM[[#This Row],[CT MVA]]</f>
        <v>-</v>
      </c>
      <c r="BB62" s="9" t="str">
        <f>TIM[[#This Row],[Derating MVA]]</f>
        <v>-</v>
      </c>
      <c r="BC62" s="9" t="str">
        <f>TIM[[#This Row],[Station/Feeder]]&amp;TIM[[#This Row],[Lowest MVA]]</f>
        <v>CB2702_Morgans Rd7.37334028782071</v>
      </c>
      <c r="BD62" s="9" t="str">
        <f>CONCATENATE(TIM[[#This Row],[Supply Level]],TIM[[#This Row],[Station/Feeder]],TIM[[#This Row],[Voltage]],TIM[[#This Row],[Lowest A-No PTX]])</f>
        <v>DistributionFeederCB2702_Morgans Rd11387</v>
      </c>
      <c r="BE62" s="9" t="str">
        <f>CONCATENATE(TIM[[#This Row],[Supply Level]],TIM[[#This Row],[Station/Feeder]],TIM[[#This Row],[Voltage]],TIM[[#This Row],[Lowest A-PTX]])</f>
        <v>DistributionFeederCB2702_Morgans Rd11387</v>
      </c>
      <c r="BF62" s="9">
        <f>IFERROR(IF(MIN(TIM[[#This Row],[Summ Cont Winter A]:[Cable Derating]])=0,"",MIN(TIM[[#This Row],[Summ Cont Winter A]:[Cable Derating]])),"")</f>
        <v>7.3733402878207102</v>
      </c>
      <c r="BG62" s="9">
        <f>IFERROR(TIM[[#This Row],[Lowest MVA]]*1000/(TIM[[#This Row],[Voltage]]*SQRT(3)),"")</f>
        <v>386.99999999999994</v>
      </c>
      <c r="BH62" s="9">
        <f t="shared" si="10"/>
        <v>387</v>
      </c>
      <c r="BI62" s="9" t="str">
        <f>TIM[[#This Row],[From]]</f>
        <v xml:space="preserve">L650 Link </v>
      </c>
      <c r="BJ62" s="9" t="str">
        <f>TIM[[#This Row],[To]]</f>
        <v>L651 ABS</v>
      </c>
      <c r="BK6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Line-JAGUAR</v>
      </c>
      <c r="BL62" s="9">
        <f>TIM[[#This Row],[Voltage]]</f>
        <v>11</v>
      </c>
    </row>
    <row r="63" spans="1:64" ht="15" customHeight="1" x14ac:dyDescent="0.25">
      <c r="A63" s="460" t="str">
        <f>CONCATENATE(TIM[[#This Row],[Supply Level]],TIM[[#This Row],[Station/Feeder]],TIM[[#This Row],[Voltage]])</f>
        <v>DistributionFeederCB2702_Morgans Rd11</v>
      </c>
      <c r="B63" s="460" t="str">
        <f>CONCATENATE(TIM[[#This Row],[Supply Level]],TIM[[#This Row],[Station/Feeder]],TIM[[#This Row],[Equipment ID]],TIM[[#This Row],[Voltage]],TIM[[#This Row],[Device type]])</f>
        <v>DistributionFeederCB2702_Morgans Rd3c 185mm² Al XLPE HDPE11-</v>
      </c>
      <c r="C63" s="6" t="s">
        <v>1276</v>
      </c>
      <c r="D63" s="6" t="s">
        <v>117</v>
      </c>
      <c r="E63" s="6" t="s">
        <v>2972</v>
      </c>
      <c r="F63" s="6" t="s">
        <v>2971</v>
      </c>
      <c r="G63" s="8">
        <v>4</v>
      </c>
      <c r="H63" s="7" t="s">
        <v>811</v>
      </c>
      <c r="I63" s="6" t="s">
        <v>2970</v>
      </c>
      <c r="J63" s="6" t="s">
        <v>250</v>
      </c>
      <c r="K63" s="6" t="s">
        <v>0</v>
      </c>
      <c r="L63" s="6" t="s">
        <v>0</v>
      </c>
      <c r="M63" s="8">
        <v>11</v>
      </c>
      <c r="N63" s="9">
        <v>367</v>
      </c>
      <c r="O63" s="9">
        <f t="shared" ref="O63" si="142">IF(OR(N63="",N63="-"),"-",N63*$M63*SQRT(3)/1000)</f>
        <v>6.9922891101555571</v>
      </c>
      <c r="P63" s="9">
        <v>367</v>
      </c>
      <c r="Q63" s="9">
        <f t="shared" ref="Q63" si="143">IF(OR(P63="",P63="-"),"-",P63*$M63*SQRT(3)/1000)</f>
        <v>6.9922891101555571</v>
      </c>
      <c r="R63" s="9">
        <v>367</v>
      </c>
      <c r="S63" s="9">
        <f t="shared" ref="S63" si="144">IF(OR(R63="",R63="-"),"-",R63*$M63*SQRT(3)/1000)</f>
        <v>6.9922891101555571</v>
      </c>
      <c r="T63" s="9" t="s">
        <v>0</v>
      </c>
      <c r="U63" s="9" t="str">
        <f t="shared" ref="U63" si="145">IF(OR(T63="",T63="-"),"-",T63*$M63*SQRT(3)/1000)</f>
        <v>-</v>
      </c>
      <c r="V63" s="9" t="s">
        <v>0</v>
      </c>
      <c r="W63" s="9" t="str">
        <f t="shared" ref="W63" si="146">IF(OR(V63="",V63="-"),"-",V63*$M63*SQRT(3)/1000)</f>
        <v>-</v>
      </c>
      <c r="X63" s="9" t="s">
        <v>0</v>
      </c>
      <c r="Y63" s="9" t="str">
        <f>IF(OR(X63="",X63="-"),"-",X63*$M63*SQRT(3)/1000)</f>
        <v>-</v>
      </c>
      <c r="Z63" s="9" t="s">
        <v>0</v>
      </c>
      <c r="AA63" s="9" t="str">
        <f>IF(OR(Z63="",Z63="-"),"-",Z63*$M63*SQRT(3)/1000)</f>
        <v>-</v>
      </c>
      <c r="AB63" s="9" t="s">
        <v>0</v>
      </c>
      <c r="AC63" s="9" t="str">
        <f>IF(OR(AB63="",AB63="-"),"-",AB63*$M63*SQRT(3)/1000)</f>
        <v>-</v>
      </c>
      <c r="AD63" s="9" t="s">
        <v>0</v>
      </c>
      <c r="AE63" s="9" t="str">
        <f>IF(OR(AD63="",AD63="-"),"-",AD63*$M63*SQRT(3)/1000)</f>
        <v>-</v>
      </c>
      <c r="AF63" s="9" t="s">
        <v>716</v>
      </c>
      <c r="AG63" s="9" t="s">
        <v>0</v>
      </c>
      <c r="AH63" s="9">
        <v>104.1</v>
      </c>
      <c r="AI63" s="9">
        <v>1.1000000000000001</v>
      </c>
      <c r="AJ63" s="43">
        <v>0.97</v>
      </c>
      <c r="AK63" s="9">
        <v>18.5</v>
      </c>
      <c r="AL63" s="43">
        <v>0.95</v>
      </c>
      <c r="AM63" s="9">
        <v>1.2</v>
      </c>
      <c r="AN63" s="43">
        <v>1</v>
      </c>
      <c r="AO63" s="9">
        <v>4</v>
      </c>
      <c r="AP63" s="9">
        <v>0.3</v>
      </c>
      <c r="AQ63" s="43">
        <v>0.77</v>
      </c>
      <c r="AR63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260.40668500000004</v>
      </c>
      <c r="AS63" s="9">
        <f t="shared" ref="AS63" si="147">IF(OR(AR63="",AR63="-"),"-",AR63*$M63*SQRT(3)/1000)</f>
        <v>4.9614136995564273</v>
      </c>
      <c r="AT63" s="9">
        <f>IF(RIGHT(TIM[[#This Row],[Device type]],7)="Winding","-",TIM[[#This Row],[Cont Winter MVA]])</f>
        <v>6.9922891101555571</v>
      </c>
      <c r="AU63" s="9">
        <f>IF(RIGHT(TIM[[#This Row],[Device type]],7)="Winding","-",TIM[[#This Row],[Cont Shoulder MVA]])</f>
        <v>6.9922891101555571</v>
      </c>
      <c r="AV63" s="9">
        <f>IF(RIGHT(TIM[[#This Row],[Device type]],7)="Winding","-",TIM[[#This Row],[Cont Summer MVA]])</f>
        <v>6.9922891101555571</v>
      </c>
      <c r="AW63" s="9" t="str">
        <f>TIM[[#This Row],[24 Hr Winter MVA]]</f>
        <v>-</v>
      </c>
      <c r="AX63" s="9" t="str">
        <f>TIM[[#This Row],[24 Hr Summer MVA]]</f>
        <v>-</v>
      </c>
      <c r="AY63" s="9" t="str">
        <f>TIM[[#This Row],[Forwards MVA]]</f>
        <v>-</v>
      </c>
      <c r="AZ63" s="9" t="str">
        <f>TIM[[#This Row],[Relay MVA]]</f>
        <v>-</v>
      </c>
      <c r="BA63" s="9" t="str">
        <f>TIM[[#This Row],[CT MVA]]</f>
        <v>-</v>
      </c>
      <c r="BB63" s="9">
        <f>TIM[[#This Row],[Derating MVA]]</f>
        <v>4.9614136995564273</v>
      </c>
      <c r="BC63" s="9" t="str">
        <f>TIM[[#This Row],[Station/Feeder]]&amp;TIM[[#This Row],[Lowest MVA]]</f>
        <v>CB2702_Morgans Rd4.96141369955643</v>
      </c>
      <c r="BD63" s="9" t="str">
        <f>CONCATENATE(TIM[[#This Row],[Supply Level]],TIM[[#This Row],[Station/Feeder]],TIM[[#This Row],[Voltage]],TIM[[#This Row],[Lowest A-No PTX]])</f>
        <v>DistributionFeederCB2702_Morgans Rd11260.406685</v>
      </c>
      <c r="BE63" s="9" t="str">
        <f>CONCATENATE(TIM[[#This Row],[Supply Level]],TIM[[#This Row],[Station/Feeder]],TIM[[#This Row],[Voltage]],TIM[[#This Row],[Lowest A-PTX]])</f>
        <v>DistributionFeederCB2702_Morgans Rd11260.406685</v>
      </c>
      <c r="BF63" s="9">
        <f>IFERROR(IF(MIN(TIM[[#This Row],[Summ Cont Winter A]:[Cable Derating]])=0,"",MIN(TIM[[#This Row],[Summ Cont Winter A]:[Cable Derating]])),"")</f>
        <v>4.9614136995564273</v>
      </c>
      <c r="BG63" s="9">
        <f>IFERROR(TIM[[#This Row],[Lowest MVA]]*1000/(TIM[[#This Row],[Voltage]]*SQRT(3)),"")</f>
        <v>260.40668500000004</v>
      </c>
      <c r="BH63" s="9">
        <f t="shared" si="10"/>
        <v>260.40668500000004</v>
      </c>
      <c r="BI63" s="9" t="str">
        <f>TIM[[#This Row],[From]]</f>
        <v>Pole 35185</v>
      </c>
      <c r="BJ63" s="9" t="str">
        <f>TIM[[#This Row],[To]]</f>
        <v>Pole 35229</v>
      </c>
      <c r="BK6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XLPE HDPE</v>
      </c>
      <c r="BL63" s="9">
        <f>TIM[[#This Row],[Voltage]]</f>
        <v>11</v>
      </c>
    </row>
    <row r="64" spans="1:64" ht="15" customHeight="1" x14ac:dyDescent="0.25">
      <c r="A64" s="460" t="str">
        <f>CONCATENATE(TIM[[#This Row],[Supply Level]],TIM[[#This Row],[Station/Feeder]],TIM[[#This Row],[Voltage]])</f>
        <v>DistributionFeederCB2702_Morgans Rd11</v>
      </c>
      <c r="B64" s="460" t="str">
        <f>CONCATENATE(TIM[[#This Row],[Supply Level]],TIM[[#This Row],[Station/Feeder]],TIM[[#This Row],[Equipment ID]],TIM[[#This Row],[Voltage]],TIM[[#This Row],[Device type]])</f>
        <v>DistributionFeederCB2702_Morgans RdWeke11-</v>
      </c>
      <c r="C64" s="6" t="s">
        <v>1276</v>
      </c>
      <c r="D64" s="6" t="s">
        <v>117</v>
      </c>
      <c r="E64" s="6" t="s">
        <v>2971</v>
      </c>
      <c r="F64" s="6" t="s">
        <v>2969</v>
      </c>
      <c r="G64" s="8">
        <v>5</v>
      </c>
      <c r="H64" s="7" t="s">
        <v>1289</v>
      </c>
      <c r="I64" s="6" t="s">
        <v>1079</v>
      </c>
      <c r="J64" s="6" t="s">
        <v>69</v>
      </c>
      <c r="K64" s="6" t="s">
        <v>0</v>
      </c>
      <c r="L64" s="6" t="s">
        <v>0</v>
      </c>
      <c r="M64" s="8">
        <v>11</v>
      </c>
      <c r="N64" s="9">
        <v>277</v>
      </c>
      <c r="O64" s="9">
        <f>IF(OR(N64="",N64="-"),"-",N64*$M64*SQRT(3)/1000)</f>
        <v>5.2775588106623692</v>
      </c>
      <c r="P64" s="9">
        <v>277</v>
      </c>
      <c r="Q64" s="9">
        <f>IF(OR(P64="",P64="-"),"-",P64*$M64*SQRT(3)/1000)</f>
        <v>5.2775588106623692</v>
      </c>
      <c r="R64" s="9">
        <v>277</v>
      </c>
      <c r="S64" s="9">
        <f>IF(OR(R64="",R64="-"),"-",R64*$M64*SQRT(3)/1000)</f>
        <v>5.2775588106623692</v>
      </c>
      <c r="T64" s="9" t="s">
        <v>0</v>
      </c>
      <c r="U64" s="9" t="str">
        <f>IF(OR(T64="",T64="-"),"-",T64*$M64*SQRT(3)/1000)</f>
        <v>-</v>
      </c>
      <c r="V64" s="9" t="s">
        <v>0</v>
      </c>
      <c r="W64" s="9" t="str">
        <f>IF(OR(V64="",V64="-"),"-",V64*$M64*SQRT(3)/1000)</f>
        <v>-</v>
      </c>
      <c r="X64" s="9" t="s">
        <v>0</v>
      </c>
      <c r="Y64" s="9" t="str">
        <f>IF(OR(X64="",X64="-"),"-",X64*$M64*SQRT(3)/1000)</f>
        <v>-</v>
      </c>
      <c r="Z64" s="9" t="s">
        <v>0</v>
      </c>
      <c r="AA64" s="9" t="str">
        <f t="shared" si="6"/>
        <v>-</v>
      </c>
      <c r="AB64" s="9" t="s">
        <v>0</v>
      </c>
      <c r="AC64" s="9" t="str">
        <f t="shared" si="7"/>
        <v>-</v>
      </c>
      <c r="AD64" s="9" t="s">
        <v>0</v>
      </c>
      <c r="AE64" s="9" t="str">
        <f t="shared" si="8"/>
        <v>-</v>
      </c>
      <c r="AF64" s="9" t="s">
        <v>0</v>
      </c>
      <c r="AG64" s="9" t="s">
        <v>0</v>
      </c>
      <c r="AH64" s="9" t="s">
        <v>0</v>
      </c>
      <c r="AI64" s="9" t="s">
        <v>0</v>
      </c>
      <c r="AJ64" s="43" t="s">
        <v>0</v>
      </c>
      <c r="AK64" s="9" t="s">
        <v>0</v>
      </c>
      <c r="AL64" s="43" t="s">
        <v>0</v>
      </c>
      <c r="AM64" s="9" t="s">
        <v>0</v>
      </c>
      <c r="AN64" s="43" t="s">
        <v>0</v>
      </c>
      <c r="AO64" s="9" t="s">
        <v>0</v>
      </c>
      <c r="AP64" s="9" t="s">
        <v>0</v>
      </c>
      <c r="AQ64" s="43" t="s">
        <v>0</v>
      </c>
      <c r="AR6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64" s="9" t="str">
        <f>IF(OR(AR64="",AR64="-"),"-",AR64*$M64*SQRT(3)/1000)</f>
        <v>-</v>
      </c>
      <c r="AT64" s="9">
        <f>IF(RIGHT(TIM[[#This Row],[Device type]],7)="Winding","-",TIM[[#This Row],[Cont Winter MVA]])</f>
        <v>5.2775588106623692</v>
      </c>
      <c r="AU64" s="9">
        <f>IF(RIGHT(TIM[[#This Row],[Device type]],7)="Winding","-",TIM[[#This Row],[Cont Shoulder MVA]])</f>
        <v>5.2775588106623692</v>
      </c>
      <c r="AV64" s="9">
        <f>IF(RIGHT(TIM[[#This Row],[Device type]],7)="Winding","-",TIM[[#This Row],[Cont Summer MVA]])</f>
        <v>5.2775588106623692</v>
      </c>
      <c r="AW64" s="9" t="str">
        <f>TIM[[#This Row],[24 Hr Winter MVA]]</f>
        <v>-</v>
      </c>
      <c r="AX64" s="9" t="str">
        <f>TIM[[#This Row],[24 Hr Summer MVA]]</f>
        <v>-</v>
      </c>
      <c r="AY64" s="9" t="str">
        <f>TIM[[#This Row],[Forwards MVA]]</f>
        <v>-</v>
      </c>
      <c r="AZ64" s="9" t="str">
        <f>TIM[[#This Row],[Relay MVA]]</f>
        <v>-</v>
      </c>
      <c r="BA64" s="9" t="str">
        <f>TIM[[#This Row],[CT MVA]]</f>
        <v>-</v>
      </c>
      <c r="BB64" s="9" t="str">
        <f>TIM[[#This Row],[Derating MVA]]</f>
        <v>-</v>
      </c>
      <c r="BC64" s="9" t="str">
        <f>TIM[[#This Row],[Station/Feeder]]&amp;TIM[[#This Row],[Lowest MVA]]</f>
        <v>CB2702_Morgans Rd5.27755881066237</v>
      </c>
      <c r="BD64" s="9" t="str">
        <f>CONCATENATE(TIM[[#This Row],[Supply Level]],TIM[[#This Row],[Station/Feeder]],TIM[[#This Row],[Voltage]],TIM[[#This Row],[Lowest A-No PTX]])</f>
        <v>DistributionFeederCB2702_Morgans Rd11277</v>
      </c>
      <c r="BE64" s="9" t="str">
        <f>CONCATENATE(TIM[[#This Row],[Supply Level]],TIM[[#This Row],[Station/Feeder]],TIM[[#This Row],[Voltage]],TIM[[#This Row],[Lowest A-PTX]])</f>
        <v>DistributionFeederCB2702_Morgans Rd11277</v>
      </c>
      <c r="BF64" s="9">
        <f>IFERROR(IF(MIN(TIM[[#This Row],[Summ Cont Winter A]:[Cable Derating]])=0,"",MIN(TIM[[#This Row],[Summ Cont Winter A]:[Cable Derating]])),"")</f>
        <v>5.2775588106623692</v>
      </c>
      <c r="BG64" s="9">
        <f>IFERROR(TIM[[#This Row],[Lowest MVA]]*1000/(TIM[[#This Row],[Voltage]]*SQRT(3)),"")</f>
        <v>277</v>
      </c>
      <c r="BH64" s="9">
        <f t="shared" si="10"/>
        <v>277</v>
      </c>
      <c r="BI64" s="9" t="str">
        <f>TIM[[#This Row],[From]]</f>
        <v>Pole 35229</v>
      </c>
      <c r="BJ64" s="9" t="str">
        <f>TIM[[#This Row],[To]]</f>
        <v>Pole 35233</v>
      </c>
      <c r="BK6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Line-Weke</v>
      </c>
      <c r="BL64" s="9">
        <f>TIM[[#This Row],[Voltage]]</f>
        <v>11</v>
      </c>
    </row>
    <row r="65" spans="1:64" ht="15" customHeight="1" x14ac:dyDescent="0.25">
      <c r="A65" s="460" t="str">
        <f>CONCATENATE(TIM[[#This Row],[Supply Level]],TIM[[#This Row],[Station/Feeder]],TIM[[#This Row],[Voltage]])</f>
        <v>DistributionFeederCB2702_Morgans Rd11</v>
      </c>
      <c r="B65" s="460" t="str">
        <f>CONCATENATE(TIM[[#This Row],[Supply Level]],TIM[[#This Row],[Station/Feeder]],TIM[[#This Row],[Equipment ID]],TIM[[#This Row],[Voltage]],TIM[[#This Row],[Device type]])</f>
        <v>DistributionFeederCB2702_Morgans Rd3c 150mm² Al PILC STA11-</v>
      </c>
      <c r="C65" s="6" t="s">
        <v>1276</v>
      </c>
      <c r="D65" s="6" t="s">
        <v>117</v>
      </c>
      <c r="E65" s="6" t="s">
        <v>2969</v>
      </c>
      <c r="F65" s="6" t="s">
        <v>750</v>
      </c>
      <c r="G65" s="8">
        <v>6</v>
      </c>
      <c r="H65" s="7" t="s">
        <v>811</v>
      </c>
      <c r="I65" s="6" t="s">
        <v>1097</v>
      </c>
      <c r="J65" s="6" t="s">
        <v>250</v>
      </c>
      <c r="K65" s="6" t="s">
        <v>0</v>
      </c>
      <c r="L65" s="6" t="s">
        <v>0</v>
      </c>
      <c r="M65" s="8">
        <v>11</v>
      </c>
      <c r="N65" s="9">
        <v>265</v>
      </c>
      <c r="O65" s="9">
        <f>IF(OR(N65="",N65="-"),"-",N65*$M65*SQRT(3)/1000)</f>
        <v>5.0489281040632772</v>
      </c>
      <c r="P65" s="9">
        <v>265</v>
      </c>
      <c r="Q65" s="9">
        <f>IF(OR(P65="",P65="-"),"-",P65*$M65*SQRT(3)/1000)</f>
        <v>5.0489281040632772</v>
      </c>
      <c r="R65" s="9">
        <v>265</v>
      </c>
      <c r="S65" s="9">
        <f>IF(OR(R65="",R65="-"),"-",R65*$M65*SQRT(3)/1000)</f>
        <v>5.0489281040632772</v>
      </c>
      <c r="T65" s="9" t="s">
        <v>0</v>
      </c>
      <c r="U65" s="9" t="str">
        <f>IF(OR(T65="",T65="-"),"-",T65*$M65*SQRT(3)/1000)</f>
        <v>-</v>
      </c>
      <c r="V65" s="9" t="s">
        <v>0</v>
      </c>
      <c r="W65" s="9" t="str">
        <f>IF(OR(V65="",V65="-"),"-",V65*$M65*SQRT(3)/1000)</f>
        <v>-</v>
      </c>
      <c r="X65" s="9" t="s">
        <v>0</v>
      </c>
      <c r="Y65" s="9" t="str">
        <f>IF(OR(X65="",X65="-"),"-",X65*$M65*SQRT(3)/1000)</f>
        <v>-</v>
      </c>
      <c r="Z65" s="9" t="s">
        <v>0</v>
      </c>
      <c r="AA65" s="9" t="str">
        <f t="shared" ref="AA65" si="148">IF(OR(Z65="",Z65="-"),"-",Z65*$M65*SQRT(3)/1000)</f>
        <v>-</v>
      </c>
      <c r="AB65" s="9" t="s">
        <v>0</v>
      </c>
      <c r="AC65" s="9" t="str">
        <f t="shared" ref="AC65" si="149">IF(OR(AB65="",AB65="-"),"-",AB65*$M65*SQRT(3)/1000)</f>
        <v>-</v>
      </c>
      <c r="AD65" s="9" t="s">
        <v>0</v>
      </c>
      <c r="AE65" s="9" t="str">
        <f t="shared" ref="AE65" si="150">IF(OR(AD65="",AD65="-"),"-",AD65*$M65*SQRT(3)/1000)</f>
        <v>-</v>
      </c>
      <c r="AF65" s="9" t="s">
        <v>716</v>
      </c>
      <c r="AG65" s="9" t="s">
        <v>0</v>
      </c>
      <c r="AH65" s="9">
        <v>150</v>
      </c>
      <c r="AI65" s="9">
        <v>1.1000000000000001</v>
      </c>
      <c r="AJ65" s="43">
        <v>0.97</v>
      </c>
      <c r="AK65" s="9">
        <v>18.5</v>
      </c>
      <c r="AL65" s="43">
        <v>0.95</v>
      </c>
      <c r="AM65" s="9">
        <v>1.2</v>
      </c>
      <c r="AN65" s="43">
        <v>1</v>
      </c>
      <c r="AO65" s="9">
        <v>4</v>
      </c>
      <c r="AP65" s="9">
        <v>0.3</v>
      </c>
      <c r="AQ65" s="43">
        <v>0.77</v>
      </c>
      <c r="AR65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188.03207500000002</v>
      </c>
      <c r="AS65" s="9">
        <f t="shared" ref="AS65" si="151">IF(OR(AR65="",AR65="-"),"-",AR65*$M65*SQRT(3)/1000)</f>
        <v>3.5824921808786194</v>
      </c>
      <c r="AT65" s="9">
        <f>IF(RIGHT(TIM[[#This Row],[Device type]],7)="Winding","-",TIM[[#This Row],[Cont Winter MVA]])</f>
        <v>5.0489281040632772</v>
      </c>
      <c r="AU65" s="9">
        <f>IF(RIGHT(TIM[[#This Row],[Device type]],7)="Winding","-",TIM[[#This Row],[Cont Shoulder MVA]])</f>
        <v>5.0489281040632772</v>
      </c>
      <c r="AV65" s="9">
        <f>IF(RIGHT(TIM[[#This Row],[Device type]],7)="Winding","-",TIM[[#This Row],[Cont Summer MVA]])</f>
        <v>5.0489281040632772</v>
      </c>
      <c r="AW65" s="9" t="str">
        <f>TIM[[#This Row],[24 Hr Winter MVA]]</f>
        <v>-</v>
      </c>
      <c r="AX65" s="9" t="str">
        <f>TIM[[#This Row],[24 Hr Summer MVA]]</f>
        <v>-</v>
      </c>
      <c r="AY65" s="9" t="str">
        <f>TIM[[#This Row],[Forwards MVA]]</f>
        <v>-</v>
      </c>
      <c r="AZ65" s="9" t="str">
        <f>TIM[[#This Row],[Relay MVA]]</f>
        <v>-</v>
      </c>
      <c r="BA65" s="9" t="str">
        <f>TIM[[#This Row],[CT MVA]]</f>
        <v>-</v>
      </c>
      <c r="BB65" s="9">
        <f>TIM[[#This Row],[Derating MVA]]</f>
        <v>3.5824921808786194</v>
      </c>
      <c r="BC65" s="9" t="str">
        <f>TIM[[#This Row],[Station/Feeder]]&amp;TIM[[#This Row],[Lowest MVA]]</f>
        <v>CB2702_Morgans Rd3.58249218087862</v>
      </c>
      <c r="BD65" s="9" t="str">
        <f>CONCATENATE(TIM[[#This Row],[Supply Level]],TIM[[#This Row],[Station/Feeder]],TIM[[#This Row],[Voltage]],TIM[[#This Row],[Lowest A-No PTX]])</f>
        <v>DistributionFeederCB2702_Morgans Rd11188.032075</v>
      </c>
      <c r="BE65" s="9" t="str">
        <f>CONCATENATE(TIM[[#This Row],[Supply Level]],TIM[[#This Row],[Station/Feeder]],TIM[[#This Row],[Voltage]],TIM[[#This Row],[Lowest A-PTX]])</f>
        <v>DistributionFeederCB2702_Morgans Rd11188.032075</v>
      </c>
      <c r="BF65" s="9">
        <f>IFERROR(IF(MIN(TIM[[#This Row],[Summ Cont Winter A]:[Cable Derating]])=0,"",MIN(TIM[[#This Row],[Summ Cont Winter A]:[Cable Derating]])),"")</f>
        <v>3.5824921808786194</v>
      </c>
      <c r="BG65" s="9">
        <f>IFERROR(TIM[[#This Row],[Lowest MVA]]*1000/(TIM[[#This Row],[Voltage]]*SQRT(3)),"")</f>
        <v>188.03207500000005</v>
      </c>
      <c r="BH65" s="9">
        <f t="shared" ref="BH65" si="152">IF(MIN(N65,P65,R65,T65,V65,X65,Z65,AB65,AD65,AR65)=0,"",MIN(N65,P65,R65,T65,V65,X65,Z65,AB65,AD65,AR65))</f>
        <v>188.03207500000002</v>
      </c>
      <c r="BI65" s="9" t="str">
        <f>TIM[[#This Row],[From]]</f>
        <v>Pole 35233</v>
      </c>
      <c r="BJ65" s="9" t="str">
        <f>TIM[[#This Row],[To]]</f>
        <v>Joint</v>
      </c>
      <c r="BK6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150mm² Al PILC STA</v>
      </c>
      <c r="BL65" s="9">
        <f>TIM[[#This Row],[Voltage]]</f>
        <v>11</v>
      </c>
    </row>
    <row r="66" spans="1:64" ht="15" customHeight="1" x14ac:dyDescent="0.25">
      <c r="A66" s="6" t="str">
        <f>CONCATENATE(TIM[[#This Row],[Supply Level]],TIM[[#This Row],[Station/Feeder]],TIM[[#This Row],[Voltage]])</f>
        <v>DistributionFeederCB2712_Mountain View Rd11</v>
      </c>
      <c r="B66" s="6" t="str">
        <f>CONCATENATE(TIM[[#This Row],[Supply Level]],TIM[[#This Row],[Station/Feeder]],TIM[[#This Row],[Equipment ID]],TIM[[#This Row],[Voltage]],TIM[[#This Row],[Device type]])</f>
        <v>DistributionFeederCB2712_Mountain View RdTIM-CB271211Protection</v>
      </c>
      <c r="C66" s="6" t="s">
        <v>1276</v>
      </c>
      <c r="D66" s="11" t="s">
        <v>128</v>
      </c>
      <c r="E66" s="6" t="s">
        <v>243</v>
      </c>
      <c r="F66" s="6" t="s">
        <v>309</v>
      </c>
      <c r="G66" s="27">
        <v>1</v>
      </c>
      <c r="H66" s="39" t="s">
        <v>2357</v>
      </c>
      <c r="I66" s="39" t="s">
        <v>2226</v>
      </c>
      <c r="J66" s="7" t="s">
        <v>15</v>
      </c>
      <c r="K66" s="7" t="s">
        <v>1121</v>
      </c>
      <c r="L66" s="7" t="s">
        <v>1423</v>
      </c>
      <c r="M66" s="8">
        <v>11</v>
      </c>
      <c r="N66" s="9">
        <v>1250</v>
      </c>
      <c r="O66" s="9">
        <f t="shared" si="135"/>
        <v>23.815698604072061</v>
      </c>
      <c r="P66" s="9">
        <v>1250</v>
      </c>
      <c r="Q66" s="9">
        <f t="shared" si="136"/>
        <v>23.815698604072061</v>
      </c>
      <c r="R66" s="9">
        <v>1250</v>
      </c>
      <c r="S66" s="9">
        <f t="shared" si="137"/>
        <v>23.815698604072061</v>
      </c>
      <c r="T66" s="16" t="s">
        <v>0</v>
      </c>
      <c r="U66" s="9" t="str">
        <f t="shared" si="138"/>
        <v>-</v>
      </c>
      <c r="V66" s="16" t="s">
        <v>0</v>
      </c>
      <c r="W66" s="9" t="str">
        <f t="shared" si="139"/>
        <v>-</v>
      </c>
      <c r="X66" s="9">
        <f>VLOOKUP(TIM[[#This Row],[Equipment ID]],AEL_Protection_Data[#All],12,0)</f>
        <v>400</v>
      </c>
      <c r="Y66" s="9">
        <f t="shared" si="140"/>
        <v>7.6210235533030604</v>
      </c>
      <c r="Z66" s="16">
        <v>366</v>
      </c>
      <c r="AA66" s="9">
        <f t="shared" si="6"/>
        <v>6.9732365512722998</v>
      </c>
      <c r="AB66" s="16">
        <v>2400</v>
      </c>
      <c r="AC66" s="9">
        <f t="shared" si="7"/>
        <v>45.72614131981836</v>
      </c>
      <c r="AD66" s="9">
        <v>1600</v>
      </c>
      <c r="AE66" s="12">
        <f t="shared" si="8"/>
        <v>30.484094213212241</v>
      </c>
      <c r="AF66" s="9" t="s">
        <v>0</v>
      </c>
      <c r="AG66" s="9" t="s">
        <v>0</v>
      </c>
      <c r="AH66" s="15" t="s">
        <v>0</v>
      </c>
      <c r="AI66" s="9" t="s">
        <v>0</v>
      </c>
      <c r="AJ66" s="32" t="s">
        <v>0</v>
      </c>
      <c r="AK66" s="9" t="s">
        <v>0</v>
      </c>
      <c r="AL66" s="32" t="s">
        <v>0</v>
      </c>
      <c r="AM66" s="9" t="s">
        <v>0</v>
      </c>
      <c r="AN66" s="32" t="s">
        <v>0</v>
      </c>
      <c r="AO66" s="9" t="s">
        <v>0</v>
      </c>
      <c r="AP66" s="9" t="s">
        <v>0</v>
      </c>
      <c r="AQ66" s="32" t="s">
        <v>0</v>
      </c>
      <c r="AR66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66" s="9" t="str">
        <f t="shared" si="141"/>
        <v>-</v>
      </c>
      <c r="AT66" s="9">
        <f>IF(RIGHT(TIM[[#This Row],[Device type]],7)="Winding","-",TIM[[#This Row],[Cont Winter MVA]])</f>
        <v>23.815698604072061</v>
      </c>
      <c r="AU66" s="9">
        <f>IF(RIGHT(TIM[[#This Row],[Device type]],7)="Winding","-",TIM[[#This Row],[Cont Shoulder MVA]])</f>
        <v>23.815698604072061</v>
      </c>
      <c r="AV66" s="9">
        <f>IF(RIGHT(TIM[[#This Row],[Device type]],7)="Winding","-",TIM[[#This Row],[Cont Summer MVA]])</f>
        <v>23.815698604072061</v>
      </c>
      <c r="AW66" s="9" t="str">
        <f>TIM[[#This Row],[24 Hr Winter MVA]]</f>
        <v>-</v>
      </c>
      <c r="AX66" s="9" t="str">
        <f>TIM[[#This Row],[24 Hr Summer MVA]]</f>
        <v>-</v>
      </c>
      <c r="AY66" s="9">
        <f>TIM[[#This Row],[Forwards MVA]]</f>
        <v>7.6210235533030604</v>
      </c>
      <c r="AZ66" s="9">
        <f>TIM[[#This Row],[Relay MVA]]</f>
        <v>45.72614131981836</v>
      </c>
      <c r="BA66" s="9">
        <f>TIM[[#This Row],[CT MVA]]</f>
        <v>30.484094213212241</v>
      </c>
      <c r="BB66" s="9" t="str">
        <f>TIM[[#This Row],[Derating MVA]]</f>
        <v>-</v>
      </c>
      <c r="BC66" s="9" t="str">
        <f>TIM[[#This Row],[Station/Feeder]]&amp;TIM[[#This Row],[Lowest MVA]]</f>
        <v>CB2712_Mountain View Rd7.62102355330306</v>
      </c>
      <c r="BD66" s="9" t="str">
        <f>CONCATENATE(TIM[[#This Row],[Supply Level]],TIM[[#This Row],[Station/Feeder]],TIM[[#This Row],[Voltage]],TIM[[#This Row],[Lowest A-No PTX]])</f>
        <v>DistributionFeederCB2712_Mountain View Rd11400</v>
      </c>
      <c r="BE66" s="9" t="str">
        <f>CONCATENATE(TIM[[#This Row],[Supply Level]],TIM[[#This Row],[Station/Feeder]],TIM[[#This Row],[Voltage]],TIM[[#This Row],[Lowest A-PTX]])</f>
        <v>DistributionFeederCB2712_Mountain View Rd11366</v>
      </c>
      <c r="BF66" s="9">
        <f>IFERROR(IF(MIN(TIM[[#This Row],[Summ Cont Winter A]:[Cable Derating]])=0,"",MIN(TIM[[#This Row],[Summ Cont Winter A]:[Cable Derating]])),"")</f>
        <v>7.6210235533030604</v>
      </c>
      <c r="BG66" s="9">
        <f>IFERROR(TIM[[#This Row],[Lowest MVA]]*1000/(TIM[[#This Row],[Voltage]]*SQRT(3)),"")</f>
        <v>400</v>
      </c>
      <c r="BH66" s="9">
        <f t="shared" si="10"/>
        <v>366</v>
      </c>
      <c r="BI66" s="9" t="str">
        <f>TIM[[#This Row],[From]]</f>
        <v>11 kV Bus</v>
      </c>
      <c r="BJ66" s="9" t="str">
        <f>TIM[[#This Row],[To]]</f>
        <v>CB2712</v>
      </c>
      <c r="BK6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Breaker-TIM-CB2712-Protection</v>
      </c>
      <c r="BL66" s="9">
        <f>TIM[[#This Row],[Voltage]]</f>
        <v>11</v>
      </c>
    </row>
    <row r="67" spans="1:64" ht="15" customHeight="1" x14ac:dyDescent="0.25">
      <c r="A67" s="6" t="str">
        <f>CONCATENATE(TIM[[#This Row],[Supply Level]],TIM[[#This Row],[Station/Feeder]],TIM[[#This Row],[Voltage]])</f>
        <v>DistributionFeederCB2712_Mountain View Rd11</v>
      </c>
      <c r="B67" s="6" t="str">
        <f>CONCATENATE(TIM[[#This Row],[Supply Level]],TIM[[#This Row],[Station/Feeder]],TIM[[#This Row],[Equipment ID]],TIM[[#This Row],[Voltage]],TIM[[#This Row],[Device type]])</f>
        <v>DistributionFeederCB2712_Mountain View Rd3/1c 400mm² AL XLPE HDPE Screened11-</v>
      </c>
      <c r="C67" s="6" t="s">
        <v>1276</v>
      </c>
      <c r="D67" s="11" t="s">
        <v>128</v>
      </c>
      <c r="E67" s="6" t="s">
        <v>309</v>
      </c>
      <c r="F67" s="6" t="s">
        <v>750</v>
      </c>
      <c r="G67" s="27">
        <v>2</v>
      </c>
      <c r="H67" s="7" t="s">
        <v>811</v>
      </c>
      <c r="I67" s="7" t="s">
        <v>819</v>
      </c>
      <c r="J67" s="7" t="s">
        <v>250</v>
      </c>
      <c r="K67" s="7" t="s">
        <v>0</v>
      </c>
      <c r="L67" s="7" t="s">
        <v>0</v>
      </c>
      <c r="M67" s="8">
        <v>11</v>
      </c>
      <c r="N67" s="9">
        <v>650</v>
      </c>
      <c r="O67" s="9">
        <f>IF(OR(N67="",N67="-"),"-",N67*$M67*SQRT(3)/1000)</f>
        <v>12.384163274117473</v>
      </c>
      <c r="P67" s="9">
        <v>650</v>
      </c>
      <c r="Q67" s="9">
        <f>IF(OR(P67="",P67="-"),"-",P67*$M67*SQRT(3)/1000)</f>
        <v>12.384163274117473</v>
      </c>
      <c r="R67" s="9">
        <v>650</v>
      </c>
      <c r="S67" s="9">
        <f>IF(OR(R67="",R67="-"),"-",R67*$M67*SQRT(3)/1000)</f>
        <v>12.384163274117473</v>
      </c>
      <c r="T67" s="9" t="s">
        <v>0</v>
      </c>
      <c r="U67" s="9" t="str">
        <f>IF(OR(T67="",T67="-"),"-",T67*$M67*SQRT(3)/1000)</f>
        <v>-</v>
      </c>
      <c r="V67" s="9" t="s">
        <v>0</v>
      </c>
      <c r="W67" s="9" t="str">
        <f>IF(OR(V67="",V67="-"),"-",V67*$M67*SQRT(3)/1000)</f>
        <v>-</v>
      </c>
      <c r="X67" s="9" t="s">
        <v>0</v>
      </c>
      <c r="Y67" s="9" t="str">
        <f>IF(OR(X67="",X67="-"),"-",X67*$M67*SQRT(3)/1000)</f>
        <v>-</v>
      </c>
      <c r="Z67" s="9" t="s">
        <v>0</v>
      </c>
      <c r="AA67" s="9" t="str">
        <f t="shared" si="6"/>
        <v>-</v>
      </c>
      <c r="AB67" s="9" t="s">
        <v>0</v>
      </c>
      <c r="AC67" s="9" t="str">
        <f t="shared" si="7"/>
        <v>-</v>
      </c>
      <c r="AD67" s="9" t="s">
        <v>0</v>
      </c>
      <c r="AE67" s="12" t="str">
        <f t="shared" si="8"/>
        <v>-</v>
      </c>
      <c r="AF67" s="160" t="s">
        <v>713</v>
      </c>
      <c r="AG67" s="9" t="s">
        <v>0</v>
      </c>
      <c r="AH67" s="9">
        <v>58.4</v>
      </c>
      <c r="AI67" s="9">
        <v>1.4</v>
      </c>
      <c r="AJ67" s="32">
        <v>0.94</v>
      </c>
      <c r="AK67" s="9">
        <v>18.5</v>
      </c>
      <c r="AL67" s="32">
        <v>0.95</v>
      </c>
      <c r="AM67" s="9">
        <v>1.2</v>
      </c>
      <c r="AN67" s="32">
        <v>1</v>
      </c>
      <c r="AO67" s="9">
        <v>3</v>
      </c>
      <c r="AP67" s="9">
        <v>0.45</v>
      </c>
      <c r="AQ67" s="32">
        <v>0.82</v>
      </c>
      <c r="AR67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475.96899999999994</v>
      </c>
      <c r="AS67" s="9">
        <f>IF(OR(AR67="",AR67="-"),"-",AR67*$M67*SQRT(3)/1000)</f>
        <v>9.0684273991052589</v>
      </c>
      <c r="AT67" s="9">
        <f>IF(RIGHT(TIM[[#This Row],[Device type]],7)="Winding","-",TIM[[#This Row],[Cont Winter MVA]])</f>
        <v>12.384163274117473</v>
      </c>
      <c r="AU67" s="9">
        <f>IF(RIGHT(TIM[[#This Row],[Device type]],7)="Winding","-",TIM[[#This Row],[Cont Shoulder MVA]])</f>
        <v>12.384163274117473</v>
      </c>
      <c r="AV67" s="9">
        <f>IF(RIGHT(TIM[[#This Row],[Device type]],7)="Winding","-",TIM[[#This Row],[Cont Summer MVA]])</f>
        <v>12.384163274117473</v>
      </c>
      <c r="AW67" s="9" t="str">
        <f>TIM[[#This Row],[24 Hr Winter MVA]]</f>
        <v>-</v>
      </c>
      <c r="AX67" s="9" t="str">
        <f>TIM[[#This Row],[24 Hr Summer MVA]]</f>
        <v>-</v>
      </c>
      <c r="AY67" s="9" t="str">
        <f>TIM[[#This Row],[Forwards MVA]]</f>
        <v>-</v>
      </c>
      <c r="AZ67" s="9" t="str">
        <f>TIM[[#This Row],[Relay MVA]]</f>
        <v>-</v>
      </c>
      <c r="BA67" s="9" t="str">
        <f>TIM[[#This Row],[CT MVA]]</f>
        <v>-</v>
      </c>
      <c r="BB67" s="9">
        <f>TIM[[#This Row],[Derating MVA]]</f>
        <v>9.0684273991052589</v>
      </c>
      <c r="BC67" s="9" t="str">
        <f>TIM[[#This Row],[Station/Feeder]]&amp;TIM[[#This Row],[Lowest MVA]]</f>
        <v>CB2712_Mountain View Rd9.06842739910526</v>
      </c>
      <c r="BD67" s="9" t="str">
        <f>CONCATENATE(TIM[[#This Row],[Supply Level]],TIM[[#This Row],[Station/Feeder]],TIM[[#This Row],[Voltage]],TIM[[#This Row],[Lowest A-No PTX]])</f>
        <v>DistributionFeederCB2712_Mountain View Rd11475.969</v>
      </c>
      <c r="BE67" s="9" t="str">
        <f>CONCATENATE(TIM[[#This Row],[Supply Level]],TIM[[#This Row],[Station/Feeder]],TIM[[#This Row],[Voltage]],TIM[[#This Row],[Lowest A-PTX]])</f>
        <v>DistributionFeederCB2712_Mountain View Rd11475.969</v>
      </c>
      <c r="BF67" s="9">
        <f>IFERROR(IF(MIN(TIM[[#This Row],[Summ Cont Winter A]:[Cable Derating]])=0,"",MIN(TIM[[#This Row],[Summ Cont Winter A]:[Cable Derating]])),"")</f>
        <v>9.0684273991052589</v>
      </c>
      <c r="BG67" s="9">
        <f>IFERROR(TIM[[#This Row],[Lowest MVA]]*1000/(TIM[[#This Row],[Voltage]]*SQRT(3)),"")</f>
        <v>475.96899999999999</v>
      </c>
      <c r="BH67" s="9">
        <f t="shared" si="10"/>
        <v>475.96899999999994</v>
      </c>
      <c r="BI67" s="9" t="str">
        <f>TIM[[#This Row],[From]]</f>
        <v>CB2712</v>
      </c>
      <c r="BJ67" s="9" t="str">
        <f>TIM[[#This Row],[To]]</f>
        <v>Joint</v>
      </c>
      <c r="BK6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67" s="9">
        <f>TIM[[#This Row],[Voltage]]</f>
        <v>11</v>
      </c>
    </row>
    <row r="68" spans="1:64" ht="15" customHeight="1" x14ac:dyDescent="0.25">
      <c r="A68" s="6" t="str">
        <f>CONCATENATE(TIM[[#This Row],[Supply Level]],TIM[[#This Row],[Station/Feeder]],TIM[[#This Row],[Voltage]])</f>
        <v>DistributionFeederCB2712_Mountain View Rd11</v>
      </c>
      <c r="B68" s="6" t="str">
        <f>CONCATENATE(TIM[[#This Row],[Supply Level]],TIM[[#This Row],[Station/Feeder]],TIM[[#This Row],[Equipment ID]],TIM[[#This Row],[Voltage]],TIM[[#This Row],[Device type]])</f>
        <v>DistributionFeederCB2712_Mountain View Rd3c 300mm² Al XLPE MDPE11-</v>
      </c>
      <c r="C68" s="6" t="s">
        <v>1276</v>
      </c>
      <c r="D68" s="11" t="s">
        <v>128</v>
      </c>
      <c r="E68" s="6" t="s">
        <v>750</v>
      </c>
      <c r="F68" s="6" t="s">
        <v>820</v>
      </c>
      <c r="G68" s="27">
        <v>3</v>
      </c>
      <c r="H68" s="7" t="s">
        <v>811</v>
      </c>
      <c r="I68" s="7" t="s">
        <v>821</v>
      </c>
      <c r="J68" s="7" t="s">
        <v>250</v>
      </c>
      <c r="K68" s="7" t="s">
        <v>0</v>
      </c>
      <c r="L68" s="7" t="s">
        <v>0</v>
      </c>
      <c r="M68" s="8">
        <v>11</v>
      </c>
      <c r="N68" s="9">
        <v>476</v>
      </c>
      <c r="O68" s="9">
        <f>IF(OR(N68="",N68="-"),"-",N68*$M68*SQRT(3)/1000)</f>
        <v>9.0690180284306408</v>
      </c>
      <c r="P68" s="9">
        <v>476</v>
      </c>
      <c r="Q68" s="9">
        <f>IF(OR(P68="",P68="-"),"-",P68*$M68*SQRT(3)/1000)</f>
        <v>9.0690180284306408</v>
      </c>
      <c r="R68" s="9">
        <v>476</v>
      </c>
      <c r="S68" s="9">
        <f>IF(OR(R68="",R68="-"),"-",R68*$M68*SQRT(3)/1000)</f>
        <v>9.0690180284306408</v>
      </c>
      <c r="T68" s="9" t="s">
        <v>0</v>
      </c>
      <c r="U68" s="9" t="str">
        <f>IF(OR(T68="",T68="-"),"-",T68*$M68*SQRT(3)/1000)</f>
        <v>-</v>
      </c>
      <c r="V68" s="9" t="s">
        <v>0</v>
      </c>
      <c r="W68" s="9" t="str">
        <f>IF(OR(V68="",V68="-"),"-",V68*$M68*SQRT(3)/1000)</f>
        <v>-</v>
      </c>
      <c r="X68" s="9" t="s">
        <v>0</v>
      </c>
      <c r="Y68" s="9" t="str">
        <f>IF(OR(X68="",X68="-"),"-",X68*$M68*SQRT(3)/1000)</f>
        <v>-</v>
      </c>
      <c r="Z68" s="9" t="s">
        <v>0</v>
      </c>
      <c r="AA68" s="9" t="str">
        <f t="shared" si="6"/>
        <v>-</v>
      </c>
      <c r="AB68" s="9" t="s">
        <v>0</v>
      </c>
      <c r="AC68" s="9" t="str">
        <f t="shared" si="7"/>
        <v>-</v>
      </c>
      <c r="AD68" s="9" t="s">
        <v>0</v>
      </c>
      <c r="AE68" s="12" t="str">
        <f t="shared" si="8"/>
        <v>-</v>
      </c>
      <c r="AF68" s="9" t="s">
        <v>716</v>
      </c>
      <c r="AG68" s="9" t="s">
        <v>0</v>
      </c>
      <c r="AH68" s="9">
        <v>662</v>
      </c>
      <c r="AI68" s="9">
        <v>1.4</v>
      </c>
      <c r="AJ68" s="32">
        <v>0.95</v>
      </c>
      <c r="AK68" s="9">
        <v>18.5</v>
      </c>
      <c r="AL68" s="32">
        <v>0.97</v>
      </c>
      <c r="AM68" s="9">
        <v>1.2</v>
      </c>
      <c r="AN68" s="32">
        <v>1</v>
      </c>
      <c r="AO68" s="9">
        <v>3</v>
      </c>
      <c r="AP68" s="9">
        <v>0.45</v>
      </c>
      <c r="AQ68" s="32">
        <v>0.84</v>
      </c>
      <c r="AR68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368.45256000000001</v>
      </c>
      <c r="AS68" s="9">
        <f>IF(OR(AR68="",AR68="-"),"-",AR68*$M68*SQRT(3)/1000)</f>
        <v>7.0199640950870226</v>
      </c>
      <c r="AT68" s="9">
        <f>IF(RIGHT(TIM[[#This Row],[Device type]],7)="Winding","-",TIM[[#This Row],[Cont Winter MVA]])</f>
        <v>9.0690180284306408</v>
      </c>
      <c r="AU68" s="9">
        <f>IF(RIGHT(TIM[[#This Row],[Device type]],7)="Winding","-",TIM[[#This Row],[Cont Shoulder MVA]])</f>
        <v>9.0690180284306408</v>
      </c>
      <c r="AV68" s="9">
        <f>IF(RIGHT(TIM[[#This Row],[Device type]],7)="Winding","-",TIM[[#This Row],[Cont Summer MVA]])</f>
        <v>9.0690180284306408</v>
      </c>
      <c r="AW68" s="9" t="str">
        <f>TIM[[#This Row],[24 Hr Winter MVA]]</f>
        <v>-</v>
      </c>
      <c r="AX68" s="9" t="str">
        <f>TIM[[#This Row],[24 Hr Summer MVA]]</f>
        <v>-</v>
      </c>
      <c r="AY68" s="9" t="str">
        <f>TIM[[#This Row],[Forwards MVA]]</f>
        <v>-</v>
      </c>
      <c r="AZ68" s="9" t="str">
        <f>TIM[[#This Row],[Relay MVA]]</f>
        <v>-</v>
      </c>
      <c r="BA68" s="9" t="str">
        <f>TIM[[#This Row],[CT MVA]]</f>
        <v>-</v>
      </c>
      <c r="BB68" s="9">
        <f>TIM[[#This Row],[Derating MVA]]</f>
        <v>7.0199640950870226</v>
      </c>
      <c r="BC68" s="9" t="str">
        <f>TIM[[#This Row],[Station/Feeder]]&amp;TIM[[#This Row],[Lowest MVA]]</f>
        <v>CB2712_Mountain View Rd7.01996409508702</v>
      </c>
      <c r="BD68" s="9" t="str">
        <f>CONCATENATE(TIM[[#This Row],[Supply Level]],TIM[[#This Row],[Station/Feeder]],TIM[[#This Row],[Voltage]],TIM[[#This Row],[Lowest A-No PTX]])</f>
        <v>DistributionFeederCB2712_Mountain View Rd11368.45256</v>
      </c>
      <c r="BE68" s="9" t="str">
        <f>CONCATENATE(TIM[[#This Row],[Supply Level]],TIM[[#This Row],[Station/Feeder]],TIM[[#This Row],[Voltage]],TIM[[#This Row],[Lowest A-PTX]])</f>
        <v>DistributionFeederCB2712_Mountain View Rd11368.45256</v>
      </c>
      <c r="BF68" s="9">
        <f>IFERROR(IF(MIN(TIM[[#This Row],[Summ Cont Winter A]:[Cable Derating]])=0,"",MIN(TIM[[#This Row],[Summ Cont Winter A]:[Cable Derating]])),"")</f>
        <v>7.0199640950870226</v>
      </c>
      <c r="BG68" s="9">
        <f>IFERROR(TIM[[#This Row],[Lowest MVA]]*1000/(TIM[[#This Row],[Voltage]]*SQRT(3)),"")</f>
        <v>368.45256000000001</v>
      </c>
      <c r="BH68" s="9">
        <f t="shared" si="10"/>
        <v>368.45256000000001</v>
      </c>
      <c r="BI68" s="9" t="str">
        <f>TIM[[#This Row],[From]]</f>
        <v>Joint</v>
      </c>
      <c r="BJ68" s="9" t="str">
        <f>TIM[[#This Row],[To]]</f>
        <v>ABS L978</v>
      </c>
      <c r="BK6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300mm² Al XLPE MDPE</v>
      </c>
      <c r="BL68" s="9">
        <f>TIM[[#This Row],[Voltage]]</f>
        <v>11</v>
      </c>
    </row>
    <row r="69" spans="1:64" ht="15" hidden="1" customHeight="1" x14ac:dyDescent="0.25">
      <c r="A69" s="6" t="str">
        <f>CONCATENATE(TIM[[#This Row],[Supply Level]],TIM[[#This Row],[Station/Feeder]],TIM[[#This Row],[Voltage]])</f>
        <v>SubTransmissionCB2732_ATM_T111</v>
      </c>
      <c r="B69" s="6" t="str">
        <f>CONCATENATE(TIM[[#This Row],[Supply Level]],TIM[[#This Row],[Station/Feeder]],TIM[[#This Row],[Equipment ID]],TIM[[#This Row],[Voltage]],TIM[[#This Row],[Device type]])</f>
        <v>SubTransmissionCB2732_ATM_T1TIM-CB273211Protection</v>
      </c>
      <c r="C69" s="6" t="s">
        <v>1245</v>
      </c>
      <c r="D69" s="11" t="s">
        <v>135</v>
      </c>
      <c r="E69" s="6" t="s">
        <v>243</v>
      </c>
      <c r="F69" s="6" t="s">
        <v>313</v>
      </c>
      <c r="G69" s="27">
        <v>1</v>
      </c>
      <c r="H69" s="39" t="s">
        <v>2358</v>
      </c>
      <c r="I69" s="7" t="s">
        <v>2227</v>
      </c>
      <c r="J69" s="7" t="s">
        <v>15</v>
      </c>
      <c r="K69" s="7" t="s">
        <v>1121</v>
      </c>
      <c r="L69" s="7" t="s">
        <v>1423</v>
      </c>
      <c r="M69" s="8">
        <v>11</v>
      </c>
      <c r="N69" s="9">
        <v>1250</v>
      </c>
      <c r="O69" s="9">
        <f t="shared" si="135"/>
        <v>23.815698604072061</v>
      </c>
      <c r="P69" s="9">
        <v>1250</v>
      </c>
      <c r="Q69" s="9">
        <f t="shared" si="136"/>
        <v>23.815698604072061</v>
      </c>
      <c r="R69" s="9">
        <v>1250</v>
      </c>
      <c r="S69" s="9">
        <f t="shared" si="137"/>
        <v>23.815698604072061</v>
      </c>
      <c r="T69" s="16" t="s">
        <v>0</v>
      </c>
      <c r="U69" s="9" t="str">
        <f t="shared" si="138"/>
        <v>-</v>
      </c>
      <c r="V69" s="16" t="s">
        <v>0</v>
      </c>
      <c r="W69" s="9" t="str">
        <f t="shared" si="139"/>
        <v>-</v>
      </c>
      <c r="X69" s="9">
        <f>VLOOKUP(TIM[[#This Row],[Equipment ID]],AEL_Protection_Data[#All],12,0)</f>
        <v>1068</v>
      </c>
      <c r="Y69" s="9">
        <f t="shared" si="140"/>
        <v>20.348132887319171</v>
      </c>
      <c r="Z69" s="16">
        <v>976</v>
      </c>
      <c r="AA69" s="9">
        <f t="shared" si="6"/>
        <v>18.595297470059464</v>
      </c>
      <c r="AB69" s="16">
        <v>3600</v>
      </c>
      <c r="AC69" s="9">
        <f t="shared" si="7"/>
        <v>68.589211979727537</v>
      </c>
      <c r="AD69" s="9">
        <v>2400</v>
      </c>
      <c r="AE69" s="12">
        <f t="shared" si="8"/>
        <v>45.72614131981836</v>
      </c>
      <c r="AF69" s="9" t="s">
        <v>0</v>
      </c>
      <c r="AG69" s="9" t="s">
        <v>0</v>
      </c>
      <c r="AH69" s="15" t="s">
        <v>0</v>
      </c>
      <c r="AI69" s="9" t="s">
        <v>0</v>
      </c>
      <c r="AJ69" s="32" t="s">
        <v>0</v>
      </c>
      <c r="AK69" s="9" t="s">
        <v>0</v>
      </c>
      <c r="AL69" s="32" t="s">
        <v>0</v>
      </c>
      <c r="AM69" s="9" t="s">
        <v>0</v>
      </c>
      <c r="AN69" s="32" t="s">
        <v>0</v>
      </c>
      <c r="AO69" s="9" t="s">
        <v>0</v>
      </c>
      <c r="AP69" s="9" t="s">
        <v>0</v>
      </c>
      <c r="AQ69" s="32" t="s">
        <v>0</v>
      </c>
      <c r="AR69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69" s="9" t="str">
        <f t="shared" si="141"/>
        <v>-</v>
      </c>
      <c r="AT69" s="9">
        <f>IF(RIGHT(TIM[[#This Row],[Device type]],7)="Winding","-",TIM[[#This Row],[Cont Winter MVA]])</f>
        <v>23.815698604072061</v>
      </c>
      <c r="AU69" s="9">
        <f>IF(RIGHT(TIM[[#This Row],[Device type]],7)="Winding","-",TIM[[#This Row],[Cont Shoulder MVA]])</f>
        <v>23.815698604072061</v>
      </c>
      <c r="AV69" s="9">
        <f>IF(RIGHT(TIM[[#This Row],[Device type]],7)="Winding","-",TIM[[#This Row],[Cont Summer MVA]])</f>
        <v>23.815698604072061</v>
      </c>
      <c r="AW69" s="9" t="str">
        <f>TIM[[#This Row],[24 Hr Winter MVA]]</f>
        <v>-</v>
      </c>
      <c r="AX69" s="9" t="str">
        <f>TIM[[#This Row],[24 Hr Summer MVA]]</f>
        <v>-</v>
      </c>
      <c r="AY69" s="9">
        <f>TIM[[#This Row],[Forwards MVA]]</f>
        <v>20.348132887319171</v>
      </c>
      <c r="AZ69" s="9">
        <f>TIM[[#This Row],[Relay MVA]]</f>
        <v>68.589211979727537</v>
      </c>
      <c r="BA69" s="9">
        <f>TIM[[#This Row],[CT MVA]]</f>
        <v>45.72614131981836</v>
      </c>
      <c r="BB69" s="9" t="str">
        <f>TIM[[#This Row],[Derating MVA]]</f>
        <v>-</v>
      </c>
      <c r="BC69" s="9" t="str">
        <f>TIM[[#This Row],[Station/Feeder]]&amp;TIM[[#This Row],[Lowest MVA]]</f>
        <v>CB2732_ATM_T120.3481328873192</v>
      </c>
      <c r="BD69" s="9" t="str">
        <f>CONCATENATE(TIM[[#This Row],[Supply Level]],TIM[[#This Row],[Station/Feeder]],TIM[[#This Row],[Voltage]],TIM[[#This Row],[Lowest A-No PTX]])</f>
        <v>SubTransmissionCB2732_ATM_T1111068</v>
      </c>
      <c r="BE69" s="9" t="str">
        <f>CONCATENATE(TIM[[#This Row],[Supply Level]],TIM[[#This Row],[Station/Feeder]],TIM[[#This Row],[Voltage]],TIM[[#This Row],[Lowest A-PTX]])</f>
        <v>SubTransmissionCB2732_ATM_T111976</v>
      </c>
      <c r="BF69" s="9">
        <f>IFERROR(IF(MIN(TIM[[#This Row],[Summ Cont Winter A]:[Cable Derating]])=0,"",MIN(TIM[[#This Row],[Summ Cont Winter A]:[Cable Derating]])),"")</f>
        <v>20.348132887319171</v>
      </c>
      <c r="BG69" s="9">
        <f>IFERROR(TIM[[#This Row],[Lowest MVA]]*1000/(TIM[[#This Row],[Voltage]]*SQRT(3)),"")</f>
        <v>1068</v>
      </c>
      <c r="BH69" s="9">
        <f t="shared" si="10"/>
        <v>976</v>
      </c>
      <c r="BI69" s="9" t="str">
        <f>TIM[[#This Row],[From]]</f>
        <v>11 kV Bus</v>
      </c>
      <c r="BJ69" s="9" t="str">
        <f>TIM[[#This Row],[To]]</f>
        <v>CB2732</v>
      </c>
      <c r="BK6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Breaker-TIM-CB2732-Protection</v>
      </c>
      <c r="BL69" s="9">
        <f>TIM[[#This Row],[Voltage]]</f>
        <v>11</v>
      </c>
    </row>
    <row r="70" spans="1:64" ht="15" hidden="1" customHeight="1" x14ac:dyDescent="0.25">
      <c r="A70" s="6" t="str">
        <f>CONCATENATE(TIM[[#This Row],[Supply Level]],TIM[[#This Row],[Station/Feeder]],TIM[[#This Row],[Voltage]])</f>
        <v>SubTransmissionCB2732_ATM_T111</v>
      </c>
      <c r="B70" s="6" t="str">
        <f>CONCATENATE(TIM[[#This Row],[Supply Level]],TIM[[#This Row],[Station/Feeder]],TIM[[#This Row],[Equipment ID]],TIM[[#This Row],[Voltage]],TIM[[#This Row],[Device type]])</f>
        <v>SubTransmissionCB2732_ATM_T12 x 3/1c 630mm² Cu 11-</v>
      </c>
      <c r="C70" s="6" t="s">
        <v>1245</v>
      </c>
      <c r="D70" s="11" t="s">
        <v>135</v>
      </c>
      <c r="E70" s="6" t="s">
        <v>313</v>
      </c>
      <c r="F70" s="6" t="s">
        <v>823</v>
      </c>
      <c r="G70" s="27">
        <v>2</v>
      </c>
      <c r="H70" s="7" t="s">
        <v>824</v>
      </c>
      <c r="I70" s="7" t="s">
        <v>825</v>
      </c>
      <c r="J70" s="7" t="s">
        <v>250</v>
      </c>
      <c r="K70" s="7" t="s">
        <v>0</v>
      </c>
      <c r="L70" s="7" t="s">
        <v>0</v>
      </c>
      <c r="M70" s="8">
        <v>11</v>
      </c>
      <c r="N70" s="9">
        <v>1600</v>
      </c>
      <c r="O70" s="9">
        <f>IF(OR(N70="",N70="-"),"-",N70*$M70*SQRT(3)/1000)</f>
        <v>30.484094213212241</v>
      </c>
      <c r="P70" s="9">
        <v>1600</v>
      </c>
      <c r="Q70" s="9">
        <f>IF(OR(P70="",P70="-"),"-",P70*$M70*SQRT(3)/1000)</f>
        <v>30.484094213212241</v>
      </c>
      <c r="R70" s="9">
        <v>1600</v>
      </c>
      <c r="S70" s="9">
        <f>IF(OR(R70="",R70="-"),"-",R70*$M70*SQRT(3)/1000)</f>
        <v>30.484094213212241</v>
      </c>
      <c r="T70" s="9" t="s">
        <v>0</v>
      </c>
      <c r="U70" s="9" t="str">
        <f>IF(OR(T70="",T70="-"),"-",T70*$M70*SQRT(3)/1000)</f>
        <v>-</v>
      </c>
      <c r="V70" s="9" t="s">
        <v>0</v>
      </c>
      <c r="W70" s="9" t="str">
        <f>IF(OR(V70="",V70="-"),"-",V70*$M70*SQRT(3)/1000)</f>
        <v>-</v>
      </c>
      <c r="X70" s="9" t="s">
        <v>0</v>
      </c>
      <c r="Y70" s="9" t="str">
        <f>IF(OR(X70="",X70="-"),"-",X70*$M70*SQRT(3)/1000)</f>
        <v>-</v>
      </c>
      <c r="Z70" s="9" t="s">
        <v>0</v>
      </c>
      <c r="AA70" s="9" t="str">
        <f t="shared" si="6"/>
        <v>-</v>
      </c>
      <c r="AB70" s="9" t="s">
        <v>0</v>
      </c>
      <c r="AC70" s="9" t="str">
        <f t="shared" si="7"/>
        <v>-</v>
      </c>
      <c r="AD70" s="9" t="s">
        <v>0</v>
      </c>
      <c r="AE70" s="12" t="str">
        <f t="shared" si="8"/>
        <v>-</v>
      </c>
      <c r="AF70" s="9" t="s">
        <v>826</v>
      </c>
      <c r="AG70" s="9" t="s">
        <v>0</v>
      </c>
      <c r="AH70" s="9">
        <v>87.2</v>
      </c>
      <c r="AI70" s="9">
        <v>1</v>
      </c>
      <c r="AJ70" s="32">
        <v>0.97</v>
      </c>
      <c r="AK70" s="9">
        <v>18.5</v>
      </c>
      <c r="AL70" s="32">
        <v>0.95</v>
      </c>
      <c r="AM70" s="9">
        <v>1.2</v>
      </c>
      <c r="AN70" s="32">
        <v>1</v>
      </c>
      <c r="AO70" s="9">
        <v>4</v>
      </c>
      <c r="AP70" s="9">
        <v>0.45</v>
      </c>
      <c r="AQ70" s="32">
        <v>0.76</v>
      </c>
      <c r="AR70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1120.5439999999999</v>
      </c>
      <c r="AS70" s="9">
        <f>IF(OR(AR70="",AR70="-"),"-",AR70*$M70*SQRT(3)/1000)</f>
        <v>21.349230541281056</v>
      </c>
      <c r="AT70" s="9">
        <f>IF(RIGHT(TIM[[#This Row],[Device type]],7)="Winding","-",TIM[[#This Row],[Cont Winter MVA]])</f>
        <v>30.484094213212241</v>
      </c>
      <c r="AU70" s="9">
        <f>IF(RIGHT(TIM[[#This Row],[Device type]],7)="Winding","-",TIM[[#This Row],[Cont Shoulder MVA]])</f>
        <v>30.484094213212241</v>
      </c>
      <c r="AV70" s="9">
        <f>IF(RIGHT(TIM[[#This Row],[Device type]],7)="Winding","-",TIM[[#This Row],[Cont Summer MVA]])</f>
        <v>30.484094213212241</v>
      </c>
      <c r="AW70" s="9" t="str">
        <f>TIM[[#This Row],[24 Hr Winter MVA]]</f>
        <v>-</v>
      </c>
      <c r="AX70" s="9" t="str">
        <f>TIM[[#This Row],[24 Hr Summer MVA]]</f>
        <v>-</v>
      </c>
      <c r="AY70" s="9" t="str">
        <f>TIM[[#This Row],[Forwards MVA]]</f>
        <v>-</v>
      </c>
      <c r="AZ70" s="9" t="str">
        <f>TIM[[#This Row],[Relay MVA]]</f>
        <v>-</v>
      </c>
      <c r="BA70" s="9" t="str">
        <f>TIM[[#This Row],[CT MVA]]</f>
        <v>-</v>
      </c>
      <c r="BB70" s="9">
        <f>TIM[[#This Row],[Derating MVA]]</f>
        <v>21.349230541281056</v>
      </c>
      <c r="BC70" s="9" t="str">
        <f>TIM[[#This Row],[Station/Feeder]]&amp;TIM[[#This Row],[Lowest MVA]]</f>
        <v>CB2732_ATM_T121.3492305412811</v>
      </c>
      <c r="BD70" s="9" t="str">
        <f>CONCATENATE(TIM[[#This Row],[Supply Level]],TIM[[#This Row],[Station/Feeder]],TIM[[#This Row],[Voltage]],TIM[[#This Row],[Lowest A-No PTX]])</f>
        <v>SubTransmissionCB2732_ATM_T1111120.544</v>
      </c>
      <c r="BE70" s="9" t="str">
        <f>CONCATENATE(TIM[[#This Row],[Supply Level]],TIM[[#This Row],[Station/Feeder]],TIM[[#This Row],[Voltage]],TIM[[#This Row],[Lowest A-PTX]])</f>
        <v>SubTransmissionCB2732_ATM_T1111120.544</v>
      </c>
      <c r="BF70" s="9">
        <f>IFERROR(IF(MIN(TIM[[#This Row],[Summ Cont Winter A]:[Cable Derating]])=0,"",MIN(TIM[[#This Row],[Summ Cont Winter A]:[Cable Derating]])),"")</f>
        <v>21.349230541281056</v>
      </c>
      <c r="BG70" s="9">
        <f>IFERROR(TIM[[#This Row],[Lowest MVA]]*1000/(TIM[[#This Row],[Voltage]]*SQRT(3)),"")</f>
        <v>1120.5439999999999</v>
      </c>
      <c r="BH70" s="9">
        <f t="shared" si="10"/>
        <v>1120.5439999999999</v>
      </c>
      <c r="BI70" s="9" t="str">
        <f>TIM[[#This Row],[From]]</f>
        <v>CB2732</v>
      </c>
      <c r="BJ70" s="9" t="str">
        <f>TIM[[#This Row],[To]]</f>
        <v>B774/T1</v>
      </c>
      <c r="BK7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 xml:space="preserve">Cable-2 x 3/1c 630mm² Cu </v>
      </c>
      <c r="BL70" s="9">
        <f>TIM[[#This Row],[Voltage]]</f>
        <v>11</v>
      </c>
    </row>
    <row r="71" spans="1:64" ht="15" customHeight="1" x14ac:dyDescent="0.25">
      <c r="A71" s="6" t="str">
        <f>CONCATENATE(TIM[[#This Row],[Supply Level]],TIM[[#This Row],[Station/Feeder]],TIM[[#This Row],[Voltage]])</f>
        <v>DistributionFeederCB2742_Levels Plain11</v>
      </c>
      <c r="B71" s="6" t="str">
        <f>CONCATENATE(TIM[[#This Row],[Supply Level]],TIM[[#This Row],[Station/Feeder]],TIM[[#This Row],[Equipment ID]],TIM[[#This Row],[Voltage]],TIM[[#This Row],[Device type]])</f>
        <v>DistributionFeederCB2742_Levels PlainTIM-CB274211Protection</v>
      </c>
      <c r="C71" s="6" t="s">
        <v>1276</v>
      </c>
      <c r="D71" s="13" t="s">
        <v>1309</v>
      </c>
      <c r="E71" s="14" t="s">
        <v>243</v>
      </c>
      <c r="F71" s="14" t="s">
        <v>314</v>
      </c>
      <c r="G71" s="28">
        <v>1</v>
      </c>
      <c r="H71" s="39" t="s">
        <v>2359</v>
      </c>
      <c r="I71" s="39" t="s">
        <v>2228</v>
      </c>
      <c r="J71" s="39" t="s">
        <v>15</v>
      </c>
      <c r="K71" s="39" t="s">
        <v>1121</v>
      </c>
      <c r="L71" s="39" t="s">
        <v>1423</v>
      </c>
      <c r="M71" s="15">
        <v>11</v>
      </c>
      <c r="N71" s="16">
        <v>1250</v>
      </c>
      <c r="O71" s="16">
        <f t="shared" si="135"/>
        <v>23.815698604072061</v>
      </c>
      <c r="P71" s="16">
        <v>1250</v>
      </c>
      <c r="Q71" s="16">
        <f t="shared" si="136"/>
        <v>23.815698604072061</v>
      </c>
      <c r="R71" s="16">
        <v>1250</v>
      </c>
      <c r="S71" s="16">
        <f t="shared" si="137"/>
        <v>23.815698604072061</v>
      </c>
      <c r="T71" s="16" t="s">
        <v>0</v>
      </c>
      <c r="U71" s="16" t="str">
        <f t="shared" si="138"/>
        <v>-</v>
      </c>
      <c r="V71" s="16" t="s">
        <v>0</v>
      </c>
      <c r="W71" s="16" t="str">
        <f t="shared" si="139"/>
        <v>-</v>
      </c>
      <c r="X71" s="16">
        <f>VLOOKUP(TIM[[#This Row],[Equipment ID]],AEL_Protection_Data[#All],12,0)</f>
        <v>400</v>
      </c>
      <c r="Y71" s="16">
        <f t="shared" si="140"/>
        <v>7.6210235533030604</v>
      </c>
      <c r="Z71" s="16">
        <v>366</v>
      </c>
      <c r="AA71" s="16">
        <f t="shared" si="6"/>
        <v>6.9732365512722998</v>
      </c>
      <c r="AB71" s="16">
        <v>2400</v>
      </c>
      <c r="AC71" s="16">
        <f t="shared" si="7"/>
        <v>45.72614131981836</v>
      </c>
      <c r="AD71" s="16">
        <v>1600</v>
      </c>
      <c r="AE71" s="17">
        <f t="shared" si="8"/>
        <v>30.484094213212241</v>
      </c>
      <c r="AF71" s="16" t="s">
        <v>0</v>
      </c>
      <c r="AG71" s="16" t="s">
        <v>0</v>
      </c>
      <c r="AH71" s="15" t="s">
        <v>0</v>
      </c>
      <c r="AI71" s="16" t="s">
        <v>0</v>
      </c>
      <c r="AJ71" s="127" t="s">
        <v>0</v>
      </c>
      <c r="AK71" s="16" t="s">
        <v>0</v>
      </c>
      <c r="AL71" s="127" t="s">
        <v>0</v>
      </c>
      <c r="AM71" s="16" t="s">
        <v>0</v>
      </c>
      <c r="AN71" s="127" t="s">
        <v>0</v>
      </c>
      <c r="AO71" s="16" t="s">
        <v>0</v>
      </c>
      <c r="AP71" s="16" t="s">
        <v>0</v>
      </c>
      <c r="AQ71" s="127" t="s">
        <v>0</v>
      </c>
      <c r="AR71" s="16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71" s="16" t="str">
        <f t="shared" si="141"/>
        <v>-</v>
      </c>
      <c r="AT71" s="9">
        <f>IF(RIGHT(TIM[[#This Row],[Device type]],7)="Winding","-",TIM[[#This Row],[Cont Winter MVA]])</f>
        <v>23.815698604072061</v>
      </c>
      <c r="AU71" s="9">
        <f>IF(RIGHT(TIM[[#This Row],[Device type]],7)="Winding","-",TIM[[#This Row],[Cont Shoulder MVA]])</f>
        <v>23.815698604072061</v>
      </c>
      <c r="AV71" s="9">
        <f>IF(RIGHT(TIM[[#This Row],[Device type]],7)="Winding","-",TIM[[#This Row],[Cont Summer MVA]])</f>
        <v>23.815698604072061</v>
      </c>
      <c r="AW71" s="9" t="str">
        <f>TIM[[#This Row],[24 Hr Winter MVA]]</f>
        <v>-</v>
      </c>
      <c r="AX71" s="9" t="str">
        <f>TIM[[#This Row],[24 Hr Summer MVA]]</f>
        <v>-</v>
      </c>
      <c r="AY71" s="9">
        <f>TIM[[#This Row],[Forwards MVA]]</f>
        <v>7.6210235533030604</v>
      </c>
      <c r="AZ71" s="9">
        <f>TIM[[#This Row],[Relay MVA]]</f>
        <v>45.72614131981836</v>
      </c>
      <c r="BA71" s="9">
        <f>TIM[[#This Row],[CT MVA]]</f>
        <v>30.484094213212241</v>
      </c>
      <c r="BB71" s="9" t="str">
        <f>TIM[[#This Row],[Derating MVA]]</f>
        <v>-</v>
      </c>
      <c r="BC71" s="9" t="str">
        <f>TIM[[#This Row],[Station/Feeder]]&amp;TIM[[#This Row],[Lowest MVA]]</f>
        <v>CB2742_Levels Plain7.62102355330306</v>
      </c>
      <c r="BD71" s="9" t="str">
        <f>CONCATENATE(TIM[[#This Row],[Supply Level]],TIM[[#This Row],[Station/Feeder]],TIM[[#This Row],[Voltage]],TIM[[#This Row],[Lowest A-No PTX]])</f>
        <v>DistributionFeederCB2742_Levels Plain11400</v>
      </c>
      <c r="BE71" s="9" t="str">
        <f>CONCATENATE(TIM[[#This Row],[Supply Level]],TIM[[#This Row],[Station/Feeder]],TIM[[#This Row],[Voltage]],TIM[[#This Row],[Lowest A-PTX]])</f>
        <v>DistributionFeederCB2742_Levels Plain11366</v>
      </c>
      <c r="BF71" s="9">
        <f>IFERROR(IF(MIN(TIM[[#This Row],[Summ Cont Winter A]:[Cable Derating]])=0,"",MIN(TIM[[#This Row],[Summ Cont Winter A]:[Cable Derating]])),"")</f>
        <v>7.6210235533030604</v>
      </c>
      <c r="BG71" s="9">
        <f>IFERROR(TIM[[#This Row],[Lowest MVA]]*1000/(TIM[[#This Row],[Voltage]]*SQRT(3)),"")</f>
        <v>400</v>
      </c>
      <c r="BH71" s="9">
        <f t="shared" si="10"/>
        <v>366</v>
      </c>
      <c r="BI71" s="9" t="str">
        <f>TIM[[#This Row],[From]]</f>
        <v>11 kV Bus</v>
      </c>
      <c r="BJ71" s="9" t="str">
        <f>TIM[[#This Row],[To]]</f>
        <v>CB2742</v>
      </c>
      <c r="BK7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Breaker-TIM-CB2742-Protection</v>
      </c>
      <c r="BL71" s="9">
        <f>TIM[[#This Row],[Voltage]]</f>
        <v>11</v>
      </c>
    </row>
    <row r="72" spans="1:64" ht="15" customHeight="1" x14ac:dyDescent="0.25">
      <c r="A72" s="6" t="str">
        <f>CONCATENATE(TIM[[#This Row],[Supply Level]],TIM[[#This Row],[Station/Feeder]],TIM[[#This Row],[Voltage]])</f>
        <v>DistributionFeederCB2742_Levels Plain11</v>
      </c>
      <c r="B72" s="6" t="str">
        <f>CONCATENATE(TIM[[#This Row],[Supply Level]],TIM[[#This Row],[Station/Feeder]],TIM[[#This Row],[Equipment ID]],TIM[[#This Row],[Voltage]],TIM[[#This Row],[Device type]])</f>
        <v>DistributionFeederCB2742_Levels Plain3/1c 400mm² AL XLPE HDPE Screened11-</v>
      </c>
      <c r="C72" s="6" t="s">
        <v>1276</v>
      </c>
      <c r="D72" s="13" t="s">
        <v>1309</v>
      </c>
      <c r="E72" s="6" t="s">
        <v>314</v>
      </c>
      <c r="F72" s="6" t="s">
        <v>750</v>
      </c>
      <c r="G72" s="27">
        <v>2</v>
      </c>
      <c r="H72" s="7" t="s">
        <v>811</v>
      </c>
      <c r="I72" s="7" t="s">
        <v>819</v>
      </c>
      <c r="J72" s="7" t="s">
        <v>250</v>
      </c>
      <c r="K72" s="7" t="s">
        <v>0</v>
      </c>
      <c r="L72" s="7" t="s">
        <v>0</v>
      </c>
      <c r="M72" s="8">
        <v>11</v>
      </c>
      <c r="N72" s="9">
        <v>537</v>
      </c>
      <c r="O72" s="9">
        <f>IF(OR(N72="",N72="-"),"-",N72*$M72*SQRT(3)/1000)</f>
        <v>10.231224120309358</v>
      </c>
      <c r="P72" s="9">
        <v>537</v>
      </c>
      <c r="Q72" s="9">
        <f>IF(OR(P72="",P72="-"),"-",P72*$M72*SQRT(3)/1000)</f>
        <v>10.231224120309358</v>
      </c>
      <c r="R72" s="9">
        <v>537</v>
      </c>
      <c r="S72" s="9">
        <f>IF(OR(R72="",R72="-"),"-",R72*$M72*SQRT(3)/1000)</f>
        <v>10.231224120309358</v>
      </c>
      <c r="T72" s="9" t="s">
        <v>0</v>
      </c>
      <c r="U72" s="9" t="str">
        <f>IF(OR(T72="",T72="-"),"-",T72*$M72*SQRT(3)/1000)</f>
        <v>-</v>
      </c>
      <c r="V72" s="9" t="s">
        <v>0</v>
      </c>
      <c r="W72" s="9" t="str">
        <f>IF(OR(V72="",V72="-"),"-",V72*$M72*SQRT(3)/1000)</f>
        <v>-</v>
      </c>
      <c r="X72" s="9" t="s">
        <v>0</v>
      </c>
      <c r="Y72" s="9" t="str">
        <f>IF(OR(X72="",X72="-"),"-",X72*$M72*SQRT(3)/1000)</f>
        <v>-</v>
      </c>
      <c r="Z72" s="9" t="s">
        <v>0</v>
      </c>
      <c r="AA72" s="9" t="str">
        <f t="shared" si="6"/>
        <v>-</v>
      </c>
      <c r="AB72" s="9" t="s">
        <v>0</v>
      </c>
      <c r="AC72" s="9" t="str">
        <f t="shared" si="7"/>
        <v>-</v>
      </c>
      <c r="AD72" s="9" t="s">
        <v>0</v>
      </c>
      <c r="AE72" s="12" t="str">
        <f t="shared" si="8"/>
        <v>-</v>
      </c>
      <c r="AF72" s="159" t="s">
        <v>713</v>
      </c>
      <c r="AG72" s="9" t="s">
        <v>0</v>
      </c>
      <c r="AH72" s="9">
        <v>89.3</v>
      </c>
      <c r="AI72" s="9">
        <v>1.2</v>
      </c>
      <c r="AJ72" s="43">
        <v>0.96</v>
      </c>
      <c r="AK72" s="9">
        <v>18.5</v>
      </c>
      <c r="AL72" s="43">
        <v>0.95</v>
      </c>
      <c r="AM72" s="9">
        <v>1.2</v>
      </c>
      <c r="AN72" s="43">
        <v>1</v>
      </c>
      <c r="AO72" s="9">
        <v>2</v>
      </c>
      <c r="AP72" s="9">
        <v>0.3</v>
      </c>
      <c r="AQ72" s="43">
        <v>0.85</v>
      </c>
      <c r="AR72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416.28239999999994</v>
      </c>
      <c r="AS72" s="9">
        <f>IF(OR(AR72="",AR72="-"),"-",AR72*$M72*SQRT(3)/1000)</f>
        <v>7.9312449380638137</v>
      </c>
      <c r="AT72" s="9">
        <f>IF(RIGHT(TIM[[#This Row],[Device type]],7)="Winding","-",TIM[[#This Row],[Cont Winter MVA]])</f>
        <v>10.231224120309358</v>
      </c>
      <c r="AU72" s="9">
        <f>IF(RIGHT(TIM[[#This Row],[Device type]],7)="Winding","-",TIM[[#This Row],[Cont Shoulder MVA]])</f>
        <v>10.231224120309358</v>
      </c>
      <c r="AV72" s="9">
        <f>IF(RIGHT(TIM[[#This Row],[Device type]],7)="Winding","-",TIM[[#This Row],[Cont Summer MVA]])</f>
        <v>10.231224120309358</v>
      </c>
      <c r="AW72" s="9" t="str">
        <f>TIM[[#This Row],[24 Hr Winter MVA]]</f>
        <v>-</v>
      </c>
      <c r="AX72" s="9" t="str">
        <f>TIM[[#This Row],[24 Hr Summer MVA]]</f>
        <v>-</v>
      </c>
      <c r="AY72" s="9" t="str">
        <f>TIM[[#This Row],[Forwards MVA]]</f>
        <v>-</v>
      </c>
      <c r="AZ72" s="9" t="str">
        <f>TIM[[#This Row],[Relay MVA]]</f>
        <v>-</v>
      </c>
      <c r="BA72" s="9" t="str">
        <f>TIM[[#This Row],[CT MVA]]</f>
        <v>-</v>
      </c>
      <c r="BB72" s="9">
        <f>TIM[[#This Row],[Derating MVA]]</f>
        <v>7.9312449380638137</v>
      </c>
      <c r="BC72" s="9" t="str">
        <f>TIM[[#This Row],[Station/Feeder]]&amp;TIM[[#This Row],[Lowest MVA]]</f>
        <v>CB2742_Levels Plain7.93124493806381</v>
      </c>
      <c r="BD72" s="9" t="str">
        <f>CONCATENATE(TIM[[#This Row],[Supply Level]],TIM[[#This Row],[Station/Feeder]],TIM[[#This Row],[Voltage]],TIM[[#This Row],[Lowest A-No PTX]])</f>
        <v>DistributionFeederCB2742_Levels Plain11416.2824</v>
      </c>
      <c r="BE72" s="9" t="str">
        <f>CONCATENATE(TIM[[#This Row],[Supply Level]],TIM[[#This Row],[Station/Feeder]],TIM[[#This Row],[Voltage]],TIM[[#This Row],[Lowest A-PTX]])</f>
        <v>DistributionFeederCB2742_Levels Plain11416.2824</v>
      </c>
      <c r="BF72" s="9">
        <f>IFERROR(IF(MIN(TIM[[#This Row],[Summ Cont Winter A]:[Cable Derating]])=0,"",MIN(TIM[[#This Row],[Summ Cont Winter A]:[Cable Derating]])),"")</f>
        <v>7.9312449380638137</v>
      </c>
      <c r="BG72" s="9">
        <f>IFERROR(TIM[[#This Row],[Lowest MVA]]*1000/(TIM[[#This Row],[Voltage]]*SQRT(3)),"")</f>
        <v>416.2824</v>
      </c>
      <c r="BH72" s="9">
        <f t="shared" ref="BH72:BH150" si="153">IF(MIN(N72,P72,R72,T72,V72,X72,Z72,AB72,AD72,AR72)=0,"",MIN(N72,P72,R72,T72,V72,X72,Z72,AB72,AD72,AR72))</f>
        <v>416.28239999999994</v>
      </c>
      <c r="BI72" s="9" t="str">
        <f>TIM[[#This Row],[From]]</f>
        <v>CB2742</v>
      </c>
      <c r="BJ72" s="9" t="str">
        <f>TIM[[#This Row],[To]]</f>
        <v>Joint</v>
      </c>
      <c r="BK7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72" s="9">
        <f>TIM[[#This Row],[Voltage]]</f>
        <v>11</v>
      </c>
    </row>
    <row r="73" spans="1:64" ht="15" customHeight="1" x14ac:dyDescent="0.25">
      <c r="A73" s="6" t="str">
        <f>CONCATENATE(TIM[[#This Row],[Supply Level]],TIM[[#This Row],[Station/Feeder]],TIM[[#This Row],[Voltage]])</f>
        <v>DistributionFeederCB2742_Levels Plain11</v>
      </c>
      <c r="B73" s="6" t="str">
        <f>CONCATENATE(TIM[[#This Row],[Supply Level]],TIM[[#This Row],[Station/Feeder]],TIM[[#This Row],[Equipment ID]],TIM[[#This Row],[Voltage]],TIM[[#This Row],[Device type]])</f>
        <v>DistributionFeederCB2742_Levels Plain3c 300mm² Al XLPE MDPE11-</v>
      </c>
      <c r="C73" s="6" t="s">
        <v>1276</v>
      </c>
      <c r="D73" s="13" t="s">
        <v>1309</v>
      </c>
      <c r="E73" s="6" t="s">
        <v>750</v>
      </c>
      <c r="F73" s="6" t="s">
        <v>828</v>
      </c>
      <c r="G73" s="27">
        <v>3</v>
      </c>
      <c r="H73" s="7" t="s">
        <v>811</v>
      </c>
      <c r="I73" s="7" t="s">
        <v>829</v>
      </c>
      <c r="J73" s="7" t="s">
        <v>250</v>
      </c>
      <c r="K73" s="7" t="s">
        <v>0</v>
      </c>
      <c r="L73" s="7" t="s">
        <v>0</v>
      </c>
      <c r="M73" s="8">
        <v>11</v>
      </c>
      <c r="N73" s="9">
        <v>476</v>
      </c>
      <c r="O73" s="9">
        <f>IF(OR(N73="",N73="-"),"-",N73*$M73*SQRT(3)/1000)</f>
        <v>9.0690180284306408</v>
      </c>
      <c r="P73" s="9">
        <v>476</v>
      </c>
      <c r="Q73" s="9">
        <f>IF(OR(P73="",P73="-"),"-",P73*$M73*SQRT(3)/1000)</f>
        <v>9.0690180284306408</v>
      </c>
      <c r="R73" s="9">
        <v>476</v>
      </c>
      <c r="S73" s="9">
        <f>IF(OR(R73="",R73="-"),"-",R73*$M73*SQRT(3)/1000)</f>
        <v>9.0690180284306408</v>
      </c>
      <c r="T73" s="9" t="s">
        <v>0</v>
      </c>
      <c r="U73" s="9" t="str">
        <f>IF(OR(T73="",T73="-"),"-",T73*$M73*SQRT(3)/1000)</f>
        <v>-</v>
      </c>
      <c r="V73" s="9" t="s">
        <v>0</v>
      </c>
      <c r="W73" s="9" t="str">
        <f>IF(OR(V73="",V73="-"),"-",V73*$M73*SQRT(3)/1000)</f>
        <v>-</v>
      </c>
      <c r="X73" s="9" t="s">
        <v>0</v>
      </c>
      <c r="Y73" s="9" t="str">
        <f>IF(OR(X73="",X73="-"),"-",X73*$M73*SQRT(3)/1000)</f>
        <v>-</v>
      </c>
      <c r="Z73" s="9" t="s">
        <v>0</v>
      </c>
      <c r="AA73" s="9" t="str">
        <f t="shared" si="6"/>
        <v>-</v>
      </c>
      <c r="AB73" s="9" t="s">
        <v>0</v>
      </c>
      <c r="AC73" s="9" t="str">
        <f t="shared" si="7"/>
        <v>-</v>
      </c>
      <c r="AD73" s="9" t="s">
        <v>0</v>
      </c>
      <c r="AE73" s="12" t="str">
        <f t="shared" si="8"/>
        <v>-</v>
      </c>
      <c r="AF73" s="9" t="s">
        <v>716</v>
      </c>
      <c r="AG73" s="9" t="s">
        <v>0</v>
      </c>
      <c r="AH73" s="9">
        <v>2553.1</v>
      </c>
      <c r="AI73" s="9">
        <v>1.2</v>
      </c>
      <c r="AJ73" s="32">
        <v>0.96</v>
      </c>
      <c r="AK73" s="9">
        <v>18.5</v>
      </c>
      <c r="AL73" s="32">
        <v>0.97</v>
      </c>
      <c r="AM73" s="9">
        <v>1.2</v>
      </c>
      <c r="AN73" s="32">
        <v>1</v>
      </c>
      <c r="AO73" s="9">
        <v>2</v>
      </c>
      <c r="AP73" s="9">
        <v>0.3</v>
      </c>
      <c r="AQ73" s="32">
        <v>0.89</v>
      </c>
      <c r="AR73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394.49356799999998</v>
      </c>
      <c r="AS73" s="9">
        <f>IF(OR(AR73="",AR73="-"),"-",AR73*$M73*SQRT(3)/1000)</f>
        <v>7.5161119333864042</v>
      </c>
      <c r="AT73" s="9">
        <f>IF(RIGHT(TIM[[#This Row],[Device type]],7)="Winding","-",TIM[[#This Row],[Cont Winter MVA]])</f>
        <v>9.0690180284306408</v>
      </c>
      <c r="AU73" s="9">
        <f>IF(RIGHT(TIM[[#This Row],[Device type]],7)="Winding","-",TIM[[#This Row],[Cont Shoulder MVA]])</f>
        <v>9.0690180284306408</v>
      </c>
      <c r="AV73" s="9">
        <f>IF(RIGHT(TIM[[#This Row],[Device type]],7)="Winding","-",TIM[[#This Row],[Cont Summer MVA]])</f>
        <v>9.0690180284306408</v>
      </c>
      <c r="AW73" s="9" t="str">
        <f>TIM[[#This Row],[24 Hr Winter MVA]]</f>
        <v>-</v>
      </c>
      <c r="AX73" s="9" t="str">
        <f>TIM[[#This Row],[24 Hr Summer MVA]]</f>
        <v>-</v>
      </c>
      <c r="AY73" s="9" t="str">
        <f>TIM[[#This Row],[Forwards MVA]]</f>
        <v>-</v>
      </c>
      <c r="AZ73" s="9" t="str">
        <f>TIM[[#This Row],[Relay MVA]]</f>
        <v>-</v>
      </c>
      <c r="BA73" s="9" t="str">
        <f>TIM[[#This Row],[CT MVA]]</f>
        <v>-</v>
      </c>
      <c r="BB73" s="9">
        <f>TIM[[#This Row],[Derating MVA]]</f>
        <v>7.5161119333864042</v>
      </c>
      <c r="BC73" s="9" t="str">
        <f>TIM[[#This Row],[Station/Feeder]]&amp;TIM[[#This Row],[Lowest MVA]]</f>
        <v>CB2742_Levels Plain7.5161119333864</v>
      </c>
      <c r="BD73" s="9" t="str">
        <f>CONCATENATE(TIM[[#This Row],[Supply Level]],TIM[[#This Row],[Station/Feeder]],TIM[[#This Row],[Voltage]],TIM[[#This Row],[Lowest A-No PTX]])</f>
        <v>DistributionFeederCB2742_Levels Plain11394.493568</v>
      </c>
      <c r="BE73" s="9" t="str">
        <f>CONCATENATE(TIM[[#This Row],[Supply Level]],TIM[[#This Row],[Station/Feeder]],TIM[[#This Row],[Voltage]],TIM[[#This Row],[Lowest A-PTX]])</f>
        <v>DistributionFeederCB2742_Levels Plain11394.493568</v>
      </c>
      <c r="BF73" s="9">
        <f>IFERROR(IF(MIN(TIM[[#This Row],[Summ Cont Winter A]:[Cable Derating]])=0,"",MIN(TIM[[#This Row],[Summ Cont Winter A]:[Cable Derating]])),"")</f>
        <v>7.5161119333864042</v>
      </c>
      <c r="BG73" s="9">
        <f>IFERROR(TIM[[#This Row],[Lowest MVA]]*1000/(TIM[[#This Row],[Voltage]]*SQRT(3)),"")</f>
        <v>394.49356799999993</v>
      </c>
      <c r="BH73" s="9">
        <f t="shared" si="153"/>
        <v>394.49356799999998</v>
      </c>
      <c r="BI73" s="9" t="str">
        <f>TIM[[#This Row],[From]]</f>
        <v>Joint</v>
      </c>
      <c r="BJ73" s="9" t="str">
        <f>TIM[[#This Row],[To]]</f>
        <v>ABS L767</v>
      </c>
      <c r="BK7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300mm² Al XLPE MDPE</v>
      </c>
      <c r="BL73" s="9">
        <f>TIM[[#This Row],[Voltage]]</f>
        <v>11</v>
      </c>
    </row>
    <row r="74" spans="1:64" ht="15" customHeight="1" x14ac:dyDescent="0.25">
      <c r="A74" s="6" t="str">
        <f>CONCATENATE(TIM[[#This Row],[Supply Level]],TIM[[#This Row],[Station/Feeder]],TIM[[#This Row],[Voltage]])</f>
        <v>DistributionFeederCB2762_AEL Yard11</v>
      </c>
      <c r="B74" s="6" t="str">
        <f>CONCATENATE(TIM[[#This Row],[Supply Level]],TIM[[#This Row],[Station/Feeder]],TIM[[#This Row],[Equipment ID]],TIM[[#This Row],[Voltage]],TIM[[#This Row],[Device type]])</f>
        <v>DistributionFeederCB2762_AEL YardTIM-CB276211Protection</v>
      </c>
      <c r="C74" s="6" t="s">
        <v>1276</v>
      </c>
      <c r="D74" s="11" t="s">
        <v>143</v>
      </c>
      <c r="E74" s="6" t="s">
        <v>243</v>
      </c>
      <c r="F74" s="6" t="s">
        <v>830</v>
      </c>
      <c r="G74" s="27">
        <v>1</v>
      </c>
      <c r="H74" s="7" t="s">
        <v>2360</v>
      </c>
      <c r="I74" s="7" t="s">
        <v>2229</v>
      </c>
      <c r="J74" s="7" t="s">
        <v>15</v>
      </c>
      <c r="K74" s="7" t="s">
        <v>1121</v>
      </c>
      <c r="L74" s="7" t="s">
        <v>1423</v>
      </c>
      <c r="M74" s="8">
        <v>11</v>
      </c>
      <c r="N74" s="9">
        <v>1250</v>
      </c>
      <c r="O74" s="9">
        <f t="shared" si="135"/>
        <v>23.815698604072061</v>
      </c>
      <c r="P74" s="9">
        <v>1250</v>
      </c>
      <c r="Q74" s="9">
        <f t="shared" si="136"/>
        <v>23.815698604072061</v>
      </c>
      <c r="R74" s="9">
        <v>1250</v>
      </c>
      <c r="S74" s="9">
        <f t="shared" si="137"/>
        <v>23.815698604072061</v>
      </c>
      <c r="T74" s="9" t="s">
        <v>0</v>
      </c>
      <c r="U74" s="9" t="str">
        <f t="shared" si="138"/>
        <v>-</v>
      </c>
      <c r="V74" s="9" t="s">
        <v>0</v>
      </c>
      <c r="W74" s="9" t="str">
        <f t="shared" si="139"/>
        <v>-</v>
      </c>
      <c r="X74" s="9">
        <f>VLOOKUP(TIM[[#This Row],[Equipment ID]],AEL_Protection_Data[#All],12,0)</f>
        <v>400</v>
      </c>
      <c r="Y74" s="9">
        <f t="shared" si="140"/>
        <v>7.6210235533030604</v>
      </c>
      <c r="Z74" s="9">
        <v>366</v>
      </c>
      <c r="AA74" s="9">
        <f t="shared" si="6"/>
        <v>6.9732365512722998</v>
      </c>
      <c r="AB74" s="9">
        <v>2400</v>
      </c>
      <c r="AC74" s="9">
        <f t="shared" si="7"/>
        <v>45.72614131981836</v>
      </c>
      <c r="AD74" s="9">
        <v>1600</v>
      </c>
      <c r="AE74" s="12">
        <f t="shared" si="8"/>
        <v>30.484094213212241</v>
      </c>
      <c r="AF74" s="9" t="s">
        <v>0</v>
      </c>
      <c r="AG74" s="9" t="s">
        <v>0</v>
      </c>
      <c r="AH74" s="8" t="s">
        <v>0</v>
      </c>
      <c r="AI74" s="9" t="s">
        <v>0</v>
      </c>
      <c r="AJ74" s="43" t="s">
        <v>0</v>
      </c>
      <c r="AK74" s="9" t="s">
        <v>0</v>
      </c>
      <c r="AL74" s="43" t="s">
        <v>0</v>
      </c>
      <c r="AM74" s="9" t="s">
        <v>0</v>
      </c>
      <c r="AN74" s="43" t="s">
        <v>0</v>
      </c>
      <c r="AO74" s="9" t="s">
        <v>0</v>
      </c>
      <c r="AP74" s="9" t="s">
        <v>0</v>
      </c>
      <c r="AQ74" s="43" t="s">
        <v>0</v>
      </c>
      <c r="AR7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74" s="9" t="str">
        <f t="shared" si="141"/>
        <v>-</v>
      </c>
      <c r="AT74" s="9">
        <f>IF(RIGHT(TIM[[#This Row],[Device type]],7)="Winding","-",TIM[[#This Row],[Cont Winter MVA]])</f>
        <v>23.815698604072061</v>
      </c>
      <c r="AU74" s="9">
        <f>IF(RIGHT(TIM[[#This Row],[Device type]],7)="Winding","-",TIM[[#This Row],[Cont Shoulder MVA]])</f>
        <v>23.815698604072061</v>
      </c>
      <c r="AV74" s="9">
        <f>IF(RIGHT(TIM[[#This Row],[Device type]],7)="Winding","-",TIM[[#This Row],[Cont Summer MVA]])</f>
        <v>23.815698604072061</v>
      </c>
      <c r="AW74" s="9" t="str">
        <f>TIM[[#This Row],[24 Hr Winter MVA]]</f>
        <v>-</v>
      </c>
      <c r="AX74" s="9" t="str">
        <f>TIM[[#This Row],[24 Hr Summer MVA]]</f>
        <v>-</v>
      </c>
      <c r="AY74" s="9">
        <f>TIM[[#This Row],[Forwards MVA]]</f>
        <v>7.6210235533030604</v>
      </c>
      <c r="AZ74" s="9">
        <f>TIM[[#This Row],[Relay MVA]]</f>
        <v>45.72614131981836</v>
      </c>
      <c r="BA74" s="9">
        <f>TIM[[#This Row],[CT MVA]]</f>
        <v>30.484094213212241</v>
      </c>
      <c r="BB74" s="9" t="str">
        <f>TIM[[#This Row],[Derating MVA]]</f>
        <v>-</v>
      </c>
      <c r="BC74" s="9" t="str">
        <f>TIM[[#This Row],[Station/Feeder]]&amp;TIM[[#This Row],[Lowest MVA]]</f>
        <v>CB2762_AEL Yard7.62102355330306</v>
      </c>
      <c r="BD74" s="9" t="str">
        <f>CONCATENATE(TIM[[#This Row],[Supply Level]],TIM[[#This Row],[Station/Feeder]],TIM[[#This Row],[Voltage]],TIM[[#This Row],[Lowest A-No PTX]])</f>
        <v>DistributionFeederCB2762_AEL Yard11400</v>
      </c>
      <c r="BE74" s="9" t="str">
        <f>CONCATENATE(TIM[[#This Row],[Supply Level]],TIM[[#This Row],[Station/Feeder]],TIM[[#This Row],[Voltage]],TIM[[#This Row],[Lowest A-PTX]])</f>
        <v>DistributionFeederCB2762_AEL Yard11366</v>
      </c>
      <c r="BF74" s="9">
        <f>IFERROR(IF(MIN(TIM[[#This Row],[Summ Cont Winter A]:[Cable Derating]])=0,"",MIN(TIM[[#This Row],[Summ Cont Winter A]:[Cable Derating]])),"")</f>
        <v>7.6210235533030604</v>
      </c>
      <c r="BG74" s="9">
        <f>IFERROR(TIM[[#This Row],[Lowest MVA]]*1000/(TIM[[#This Row],[Voltage]]*SQRT(3)),"")</f>
        <v>400</v>
      </c>
      <c r="BH74" s="9">
        <f t="shared" si="153"/>
        <v>366</v>
      </c>
      <c r="BI74" s="9" t="str">
        <f>TIM[[#This Row],[From]]</f>
        <v>11 kV Bus</v>
      </c>
      <c r="BJ74" s="9" t="str">
        <f>TIM[[#This Row],[To]]</f>
        <v>CB2762</v>
      </c>
      <c r="BK7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Breaker-TIM-CB2762-Protection</v>
      </c>
      <c r="BL74" s="9">
        <f>TIM[[#This Row],[Voltage]]</f>
        <v>11</v>
      </c>
    </row>
    <row r="75" spans="1:64" ht="15" customHeight="1" x14ac:dyDescent="0.25">
      <c r="A75" s="6" t="str">
        <f>CONCATENATE(TIM[[#This Row],[Supply Level]],TIM[[#This Row],[Station/Feeder]],TIM[[#This Row],[Voltage]])</f>
        <v>DistributionFeederCB2762_AEL Yard11</v>
      </c>
      <c r="B75" s="6" t="str">
        <f>CONCATENATE(TIM[[#This Row],[Supply Level]],TIM[[#This Row],[Station/Feeder]],TIM[[#This Row],[Equipment ID]],TIM[[#This Row],[Voltage]],TIM[[#This Row],[Device type]])</f>
        <v>DistributionFeederCB2762_AEL Yard3/1c 400mm² AL XLPE HDPE Screened11-</v>
      </c>
      <c r="C75" s="6" t="s">
        <v>1276</v>
      </c>
      <c r="D75" s="11" t="s">
        <v>143</v>
      </c>
      <c r="E75" s="6" t="s">
        <v>830</v>
      </c>
      <c r="F75" s="6" t="s">
        <v>750</v>
      </c>
      <c r="G75" s="27">
        <v>2</v>
      </c>
      <c r="H75" s="7" t="s">
        <v>811</v>
      </c>
      <c r="I75" s="7" t="s">
        <v>819</v>
      </c>
      <c r="J75" s="7" t="s">
        <v>250</v>
      </c>
      <c r="K75" s="7" t="s">
        <v>0</v>
      </c>
      <c r="L75" s="7" t="s">
        <v>0</v>
      </c>
      <c r="M75" s="8">
        <v>11</v>
      </c>
      <c r="N75" s="9">
        <v>537</v>
      </c>
      <c r="O75" s="9">
        <f>IF(OR(N75="",N75="-"),"-",N75*$M75*SQRT(3)/1000)</f>
        <v>10.231224120309358</v>
      </c>
      <c r="P75" s="9">
        <v>537</v>
      </c>
      <c r="Q75" s="9">
        <f>IF(OR(P75="",P75="-"),"-",P75*$M75*SQRT(3)/1000)</f>
        <v>10.231224120309358</v>
      </c>
      <c r="R75" s="9">
        <v>537</v>
      </c>
      <c r="S75" s="9">
        <f>IF(OR(R75="",R75="-"),"-",R75*$M75*SQRT(3)/1000)</f>
        <v>10.231224120309358</v>
      </c>
      <c r="T75" s="9" t="s">
        <v>0</v>
      </c>
      <c r="U75" s="9" t="str">
        <f>IF(OR(T75="",T75="-"),"-",T75*$M75*SQRT(3)/1000)</f>
        <v>-</v>
      </c>
      <c r="V75" s="9" t="s">
        <v>0</v>
      </c>
      <c r="W75" s="9" t="str">
        <f>IF(OR(V75="",V75="-"),"-",V75*$M75*SQRT(3)/1000)</f>
        <v>-</v>
      </c>
      <c r="X75" s="9" t="s">
        <v>0</v>
      </c>
      <c r="Y75" s="9" t="str">
        <f>IF(OR(X75="",X75="-"),"-",X75*$M75*SQRT(3)/1000)</f>
        <v>-</v>
      </c>
      <c r="Z75" s="9" t="s">
        <v>0</v>
      </c>
      <c r="AA75" s="9" t="str">
        <f>IF(OR(Z75="",Z75="-"),"-",Z75*$M75*SQRT(3)/1000)</f>
        <v>-</v>
      </c>
      <c r="AB75" s="9" t="s">
        <v>0</v>
      </c>
      <c r="AC75" s="9" t="str">
        <f>IF(OR(AB75="",AB75="-"),"-",AB75*$M75*SQRT(3)/1000)</f>
        <v>-</v>
      </c>
      <c r="AD75" s="9" t="s">
        <v>0</v>
      </c>
      <c r="AE75" s="12" t="str">
        <f>IF(OR(AD75="",AD75="-"),"-",AD75*$M75*SQRT(3)/1000)</f>
        <v>-</v>
      </c>
      <c r="AF75" s="160" t="s">
        <v>713</v>
      </c>
      <c r="AG75" s="9" t="s">
        <v>0</v>
      </c>
      <c r="AH75" s="9">
        <v>85.5</v>
      </c>
      <c r="AI75" s="9">
        <v>1.18</v>
      </c>
      <c r="AJ75" s="32">
        <v>0.96</v>
      </c>
      <c r="AK75" s="9">
        <v>18.5</v>
      </c>
      <c r="AL75" s="32">
        <v>0.95</v>
      </c>
      <c r="AM75" s="9">
        <v>1.2</v>
      </c>
      <c r="AN75" s="32">
        <v>1</v>
      </c>
      <c r="AO75" s="9">
        <v>3</v>
      </c>
      <c r="AP75" s="9">
        <v>0.45</v>
      </c>
      <c r="AQ75" s="32">
        <v>0.81</v>
      </c>
      <c r="AR75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396.69263999999998</v>
      </c>
      <c r="AS75" s="9">
        <f>IF(OR(AR75="",AR75="-"),"-",AR75*$M75*SQRT(3)/1000)</f>
        <v>7.558009882154928</v>
      </c>
      <c r="AT75" s="9">
        <f>IF(RIGHT(TIM[[#This Row],[Device type]],7)="Winding","-",TIM[[#This Row],[Cont Winter MVA]])</f>
        <v>10.231224120309358</v>
      </c>
      <c r="AU75" s="9">
        <f>IF(RIGHT(TIM[[#This Row],[Device type]],7)="Winding","-",TIM[[#This Row],[Cont Shoulder MVA]])</f>
        <v>10.231224120309358</v>
      </c>
      <c r="AV75" s="9">
        <f>IF(RIGHT(TIM[[#This Row],[Device type]],7)="Winding","-",TIM[[#This Row],[Cont Summer MVA]])</f>
        <v>10.231224120309358</v>
      </c>
      <c r="AW75" s="9" t="str">
        <f>TIM[[#This Row],[24 Hr Winter MVA]]</f>
        <v>-</v>
      </c>
      <c r="AX75" s="9" t="str">
        <f>TIM[[#This Row],[24 Hr Summer MVA]]</f>
        <v>-</v>
      </c>
      <c r="AY75" s="9" t="str">
        <f>TIM[[#This Row],[Forwards MVA]]</f>
        <v>-</v>
      </c>
      <c r="AZ75" s="9" t="str">
        <f>TIM[[#This Row],[Relay MVA]]</f>
        <v>-</v>
      </c>
      <c r="BA75" s="9" t="str">
        <f>TIM[[#This Row],[CT MVA]]</f>
        <v>-</v>
      </c>
      <c r="BB75" s="9">
        <f>TIM[[#This Row],[Derating MVA]]</f>
        <v>7.558009882154928</v>
      </c>
      <c r="BC75" s="9" t="str">
        <f>TIM[[#This Row],[Station/Feeder]]&amp;TIM[[#This Row],[Lowest MVA]]</f>
        <v>CB2762_AEL Yard7.55800988215493</v>
      </c>
      <c r="BD75" s="9" t="str">
        <f>CONCATENATE(TIM[[#This Row],[Supply Level]],TIM[[#This Row],[Station/Feeder]],TIM[[#This Row],[Voltage]],TIM[[#This Row],[Lowest A-No PTX]])</f>
        <v>DistributionFeederCB2762_AEL Yard11396.69264</v>
      </c>
      <c r="BE75" s="9" t="str">
        <f>CONCATENATE(TIM[[#This Row],[Supply Level]],TIM[[#This Row],[Station/Feeder]],TIM[[#This Row],[Voltage]],TIM[[#This Row],[Lowest A-PTX]])</f>
        <v>DistributionFeederCB2762_AEL Yard11396.69264</v>
      </c>
      <c r="BF75" s="9">
        <f>IFERROR(IF(MIN(TIM[[#This Row],[Summ Cont Winter A]:[Cable Derating]])=0,"",MIN(TIM[[#This Row],[Summ Cont Winter A]:[Cable Derating]])),"")</f>
        <v>7.558009882154928</v>
      </c>
      <c r="BG75" s="9">
        <f>IFERROR(TIM[[#This Row],[Lowest MVA]]*1000/(TIM[[#This Row],[Voltage]]*SQRT(3)),"")</f>
        <v>396.69263999999998</v>
      </c>
      <c r="BH75" s="9">
        <f t="shared" si="153"/>
        <v>396.69263999999998</v>
      </c>
      <c r="BI75" s="9" t="str">
        <f>TIM[[#This Row],[From]]</f>
        <v>CB2762</v>
      </c>
      <c r="BJ75" s="9" t="str">
        <f>TIM[[#This Row],[To]]</f>
        <v>Joint</v>
      </c>
      <c r="BK7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75" s="9">
        <f>TIM[[#This Row],[Voltage]]</f>
        <v>11</v>
      </c>
    </row>
    <row r="76" spans="1:64" ht="15" customHeight="1" x14ac:dyDescent="0.25">
      <c r="A76" s="6" t="str">
        <f>CONCATENATE(TIM[[#This Row],[Supply Level]],TIM[[#This Row],[Station/Feeder]],TIM[[#This Row],[Voltage]])</f>
        <v>DistributionFeederCB2762_AEL Yard11</v>
      </c>
      <c r="B76" s="6" t="str">
        <f>CONCATENATE(TIM[[#This Row],[Supply Level]],TIM[[#This Row],[Station/Feeder]],TIM[[#This Row],[Equipment ID]],TIM[[#This Row],[Voltage]],TIM[[#This Row],[Device type]])</f>
        <v>DistributionFeederCB2762_AEL Yard3c 240mm²  AL PILC STA11-</v>
      </c>
      <c r="C76" s="6" t="s">
        <v>1276</v>
      </c>
      <c r="D76" s="11" t="s">
        <v>143</v>
      </c>
      <c r="E76" s="6" t="s">
        <v>750</v>
      </c>
      <c r="F76" s="6" t="s">
        <v>832</v>
      </c>
      <c r="G76" s="27">
        <v>3</v>
      </c>
      <c r="H76" s="7" t="s">
        <v>811</v>
      </c>
      <c r="I76" s="7" t="s">
        <v>833</v>
      </c>
      <c r="J76" s="7" t="s">
        <v>250</v>
      </c>
      <c r="K76" s="7" t="s">
        <v>0</v>
      </c>
      <c r="L76" s="7" t="s">
        <v>0</v>
      </c>
      <c r="M76" s="8">
        <v>11</v>
      </c>
      <c r="N76" s="9">
        <v>345</v>
      </c>
      <c r="O76" s="9">
        <f>IF(OR(N76="",N76="-"),"-",N76*$M76*SQRT(3)/1000)</f>
        <v>6.5731328147238894</v>
      </c>
      <c r="P76" s="9">
        <v>345</v>
      </c>
      <c r="Q76" s="9">
        <f>IF(OR(P76="",P76="-"),"-",P76*$M76*SQRT(3)/1000)</f>
        <v>6.5731328147238894</v>
      </c>
      <c r="R76" s="9">
        <v>345</v>
      </c>
      <c r="S76" s="9">
        <f>IF(OR(R76="",R76="-"),"-",R76*$M76*SQRT(3)/1000)</f>
        <v>6.5731328147238894</v>
      </c>
      <c r="T76" s="9" t="s">
        <v>0</v>
      </c>
      <c r="U76" s="9" t="str">
        <f>IF(OR(T76="",T76="-"),"-",T76*$M76*SQRT(3)/1000)</f>
        <v>-</v>
      </c>
      <c r="V76" s="9" t="s">
        <v>0</v>
      </c>
      <c r="W76" s="9" t="str">
        <f>IF(OR(V76="",V76="-"),"-",V76*$M76*SQRT(3)/1000)</f>
        <v>-</v>
      </c>
      <c r="X76" s="9" t="s">
        <v>0</v>
      </c>
      <c r="Y76" s="9" t="str">
        <f>IF(OR(X76="",X76="-"),"-",X76*$M76*SQRT(3)/1000)</f>
        <v>-</v>
      </c>
      <c r="Z76" s="9" t="s">
        <v>0</v>
      </c>
      <c r="AA76" s="9" t="str">
        <f>IF(OR(Z76="",Z76="-"),"-",Z76*$M76*SQRT(3)/1000)</f>
        <v>-</v>
      </c>
      <c r="AB76" s="9" t="s">
        <v>0</v>
      </c>
      <c r="AC76" s="9" t="str">
        <f>IF(OR(AB76="",AB76="-"),"-",AB76*$M76*SQRT(3)/1000)</f>
        <v>-</v>
      </c>
      <c r="AD76" s="9" t="s">
        <v>0</v>
      </c>
      <c r="AE76" s="12" t="str">
        <f>IF(OR(AD76="",AD76="-"),"-",AD76*$M76*SQRT(3)/1000)</f>
        <v>-</v>
      </c>
      <c r="AF76" s="9" t="s">
        <v>716</v>
      </c>
      <c r="AG76" s="9" t="s">
        <v>0</v>
      </c>
      <c r="AH76" s="9">
        <v>2404.3000000000002</v>
      </c>
      <c r="AI76" s="9">
        <v>1.18</v>
      </c>
      <c r="AJ76" s="32">
        <v>0.96</v>
      </c>
      <c r="AK76" s="9">
        <v>18.5</v>
      </c>
      <c r="AL76" s="32">
        <v>0.95</v>
      </c>
      <c r="AM76" s="9">
        <v>1.2</v>
      </c>
      <c r="AN76" s="32">
        <v>1</v>
      </c>
      <c r="AO76" s="9">
        <v>2</v>
      </c>
      <c r="AP76" s="9">
        <v>0.45</v>
      </c>
      <c r="AQ76" s="32">
        <v>0.89</v>
      </c>
      <c r="AR76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280.02959999999996</v>
      </c>
      <c r="AS76" s="9">
        <f>IF(OR(AR76="",AR76="-"),"-",AR76*$M76*SQRT(3)/1000)</f>
        <v>5.335280443055086</v>
      </c>
      <c r="AT76" s="9">
        <f>IF(RIGHT(TIM[[#This Row],[Device type]],7)="Winding","-",TIM[[#This Row],[Cont Winter MVA]])</f>
        <v>6.5731328147238894</v>
      </c>
      <c r="AU76" s="9">
        <f>IF(RIGHT(TIM[[#This Row],[Device type]],7)="Winding","-",TIM[[#This Row],[Cont Shoulder MVA]])</f>
        <v>6.5731328147238894</v>
      </c>
      <c r="AV76" s="9">
        <f>IF(RIGHT(TIM[[#This Row],[Device type]],7)="Winding","-",TIM[[#This Row],[Cont Summer MVA]])</f>
        <v>6.5731328147238894</v>
      </c>
      <c r="AW76" s="9" t="str">
        <f>TIM[[#This Row],[24 Hr Winter MVA]]</f>
        <v>-</v>
      </c>
      <c r="AX76" s="9" t="str">
        <f>TIM[[#This Row],[24 Hr Summer MVA]]</f>
        <v>-</v>
      </c>
      <c r="AY76" s="9" t="str">
        <f>TIM[[#This Row],[Forwards MVA]]</f>
        <v>-</v>
      </c>
      <c r="AZ76" s="9" t="str">
        <f>TIM[[#This Row],[Relay MVA]]</f>
        <v>-</v>
      </c>
      <c r="BA76" s="9" t="str">
        <f>TIM[[#This Row],[CT MVA]]</f>
        <v>-</v>
      </c>
      <c r="BB76" s="9">
        <f>TIM[[#This Row],[Derating MVA]]</f>
        <v>5.335280443055086</v>
      </c>
      <c r="BC76" s="9" t="str">
        <f>TIM[[#This Row],[Station/Feeder]]&amp;TIM[[#This Row],[Lowest MVA]]</f>
        <v>CB2762_AEL Yard5.33528044305509</v>
      </c>
      <c r="BD76" s="9" t="str">
        <f>CONCATENATE(TIM[[#This Row],[Supply Level]],TIM[[#This Row],[Station/Feeder]],TIM[[#This Row],[Voltage]],TIM[[#This Row],[Lowest A-No PTX]])</f>
        <v>DistributionFeederCB2762_AEL Yard11280.0296</v>
      </c>
      <c r="BE76" s="9" t="str">
        <f>CONCATENATE(TIM[[#This Row],[Supply Level]],TIM[[#This Row],[Station/Feeder]],TIM[[#This Row],[Voltage]],TIM[[#This Row],[Lowest A-PTX]])</f>
        <v>DistributionFeederCB2762_AEL Yard11280.0296</v>
      </c>
      <c r="BF76" s="9">
        <f>IFERROR(IF(MIN(TIM[[#This Row],[Summ Cont Winter A]:[Cable Derating]])=0,"",MIN(TIM[[#This Row],[Summ Cont Winter A]:[Cable Derating]])),"")</f>
        <v>5.335280443055086</v>
      </c>
      <c r="BG76" s="9">
        <f>IFERROR(TIM[[#This Row],[Lowest MVA]]*1000/(TIM[[#This Row],[Voltage]]*SQRT(3)),"")</f>
        <v>280.02959999999996</v>
      </c>
      <c r="BH76" s="9">
        <f t="shared" si="153"/>
        <v>280.02959999999996</v>
      </c>
      <c r="BI76" s="9" t="str">
        <f>TIM[[#This Row],[From]]</f>
        <v>Joint</v>
      </c>
      <c r="BJ76" s="9" t="str">
        <f>TIM[[#This Row],[To]]</f>
        <v>ABS L516</v>
      </c>
      <c r="BK7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240mm²  AL PILC STA</v>
      </c>
      <c r="BL76" s="9">
        <f>TIM[[#This Row],[Voltage]]</f>
        <v>11</v>
      </c>
    </row>
    <row r="77" spans="1:64" ht="15" hidden="1" customHeight="1" x14ac:dyDescent="0.25">
      <c r="A77" s="6" t="str">
        <f>CONCATENATE(TIM[[#This Row],[Supply Level]],TIM[[#This Row],[Station/Feeder]],TIM[[#This Row],[Voltage]])</f>
        <v>SubTransmissionTIM_GRM_SUBTRANS11</v>
      </c>
      <c r="B77" s="6" t="str">
        <f>CONCATENATE(TIM[[#This Row],[Supply Level]],TIM[[#This Row],[Station/Feeder]],TIM[[#This Row],[Equipment ID]],TIM[[#This Row],[Voltage]],TIM[[#This Row],[Device type]])</f>
        <v>SubTransmissionTIM_GRM_SUBTRANSTIM-CB277211Protection</v>
      </c>
      <c r="C77" s="6" t="s">
        <v>1245</v>
      </c>
      <c r="D77" s="11" t="s">
        <v>106</v>
      </c>
      <c r="E77" s="6" t="s">
        <v>243</v>
      </c>
      <c r="F77" s="6" t="s">
        <v>834</v>
      </c>
      <c r="G77" s="27">
        <v>1</v>
      </c>
      <c r="H77" s="7" t="s">
        <v>2361</v>
      </c>
      <c r="I77" s="7" t="s">
        <v>2230</v>
      </c>
      <c r="J77" s="7" t="s">
        <v>15</v>
      </c>
      <c r="K77" s="7" t="s">
        <v>1121</v>
      </c>
      <c r="L77" s="7" t="s">
        <v>1423</v>
      </c>
      <c r="M77" s="8">
        <v>11</v>
      </c>
      <c r="N77" s="9">
        <v>1250</v>
      </c>
      <c r="O77" s="9">
        <f t="shared" si="135"/>
        <v>23.815698604072061</v>
      </c>
      <c r="P77" s="9">
        <v>1250</v>
      </c>
      <c r="Q77" s="9">
        <f t="shared" si="136"/>
        <v>23.815698604072061</v>
      </c>
      <c r="R77" s="9">
        <v>1250</v>
      </c>
      <c r="S77" s="9">
        <f t="shared" si="137"/>
        <v>23.815698604072061</v>
      </c>
      <c r="T77" s="9" t="s">
        <v>0</v>
      </c>
      <c r="U77" s="9" t="str">
        <f t="shared" si="138"/>
        <v>-</v>
      </c>
      <c r="V77" s="9" t="s">
        <v>0</v>
      </c>
      <c r="W77" s="9" t="str">
        <f t="shared" si="139"/>
        <v>-</v>
      </c>
      <c r="X77" s="9">
        <f>VLOOKUP(TIM[[#This Row],[Equipment ID]],AEL_Protection_Data[#All],12,0)</f>
        <v>600</v>
      </c>
      <c r="Y77" s="9">
        <f t="shared" si="140"/>
        <v>11.43153532995459</v>
      </c>
      <c r="Z77" s="9">
        <v>549</v>
      </c>
      <c r="AA77" s="9">
        <f t="shared" si="6"/>
        <v>10.459854826908449</v>
      </c>
      <c r="AB77" s="9">
        <v>2400</v>
      </c>
      <c r="AC77" s="9">
        <f t="shared" si="7"/>
        <v>45.72614131981836</v>
      </c>
      <c r="AD77" s="9">
        <v>1600</v>
      </c>
      <c r="AE77" s="12">
        <f t="shared" si="8"/>
        <v>30.484094213212241</v>
      </c>
      <c r="AF77" s="9" t="s">
        <v>0</v>
      </c>
      <c r="AG77" s="9" t="s">
        <v>0</v>
      </c>
      <c r="AH77" s="8" t="s">
        <v>0</v>
      </c>
      <c r="AI77" s="9" t="s">
        <v>0</v>
      </c>
      <c r="AJ77" s="32" t="s">
        <v>0</v>
      </c>
      <c r="AK77" s="9" t="s">
        <v>0</v>
      </c>
      <c r="AL77" s="32" t="s">
        <v>0</v>
      </c>
      <c r="AM77" s="9" t="s">
        <v>0</v>
      </c>
      <c r="AN77" s="32" t="s">
        <v>0</v>
      </c>
      <c r="AO77" s="9" t="s">
        <v>0</v>
      </c>
      <c r="AP77" s="9" t="s">
        <v>0</v>
      </c>
      <c r="AQ77" s="32" t="s">
        <v>0</v>
      </c>
      <c r="AR77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77" s="9" t="str">
        <f t="shared" si="141"/>
        <v>-</v>
      </c>
      <c r="AT77" s="9">
        <f>IF(RIGHT(TIM[[#This Row],[Device type]],7)="Winding","-",TIM[[#This Row],[Cont Winter MVA]])</f>
        <v>23.815698604072061</v>
      </c>
      <c r="AU77" s="9">
        <f>IF(RIGHT(TIM[[#This Row],[Device type]],7)="Winding","-",TIM[[#This Row],[Cont Shoulder MVA]])</f>
        <v>23.815698604072061</v>
      </c>
      <c r="AV77" s="9">
        <f>IF(RIGHT(TIM[[#This Row],[Device type]],7)="Winding","-",TIM[[#This Row],[Cont Summer MVA]])</f>
        <v>23.815698604072061</v>
      </c>
      <c r="AW77" s="9" t="str">
        <f>TIM[[#This Row],[24 Hr Winter MVA]]</f>
        <v>-</v>
      </c>
      <c r="AX77" s="9" t="str">
        <f>TIM[[#This Row],[24 Hr Summer MVA]]</f>
        <v>-</v>
      </c>
      <c r="AY77" s="9">
        <f>TIM[[#This Row],[Forwards MVA]]</f>
        <v>11.43153532995459</v>
      </c>
      <c r="AZ77" s="9">
        <f>TIM[[#This Row],[Relay MVA]]</f>
        <v>45.72614131981836</v>
      </c>
      <c r="BA77" s="9">
        <f>TIM[[#This Row],[CT MVA]]</f>
        <v>30.484094213212241</v>
      </c>
      <c r="BB77" s="9" t="str">
        <f>TIM[[#This Row],[Derating MVA]]</f>
        <v>-</v>
      </c>
      <c r="BC77" s="9" t="str">
        <f>TIM[[#This Row],[Station/Feeder]]&amp;TIM[[#This Row],[Lowest MVA]]</f>
        <v>TIM_GRM_SUBTRANS11.4315353299546</v>
      </c>
      <c r="BD77" s="9" t="str">
        <f>CONCATENATE(TIM[[#This Row],[Supply Level]],TIM[[#This Row],[Station/Feeder]],TIM[[#This Row],[Voltage]],TIM[[#This Row],[Lowest A-No PTX]])</f>
        <v>SubTransmissionTIM_GRM_SUBTRANS11600</v>
      </c>
      <c r="BE77" s="9" t="str">
        <f>CONCATENATE(TIM[[#This Row],[Supply Level]],TIM[[#This Row],[Station/Feeder]],TIM[[#This Row],[Voltage]],TIM[[#This Row],[Lowest A-PTX]])</f>
        <v>SubTransmissionTIM_GRM_SUBTRANS11549</v>
      </c>
      <c r="BF77" s="9">
        <f>IFERROR(IF(MIN(TIM[[#This Row],[Summ Cont Winter A]:[Cable Derating]])=0,"",MIN(TIM[[#This Row],[Summ Cont Winter A]:[Cable Derating]])),"")</f>
        <v>11.43153532995459</v>
      </c>
      <c r="BG77" s="9">
        <f>IFERROR(TIM[[#This Row],[Lowest MVA]]*1000/(TIM[[#This Row],[Voltage]]*SQRT(3)),"")</f>
        <v>600</v>
      </c>
      <c r="BH77" s="9">
        <f t="shared" si="153"/>
        <v>549</v>
      </c>
      <c r="BI77" s="9" t="str">
        <f>TIM[[#This Row],[From]]</f>
        <v>11 kV Bus</v>
      </c>
      <c r="BJ77" s="9" t="str">
        <f>TIM[[#This Row],[To]]</f>
        <v>CB2772</v>
      </c>
      <c r="BK7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Breaker-TIM-CB2772-Protection</v>
      </c>
      <c r="BL77" s="9">
        <f>TIM[[#This Row],[Voltage]]</f>
        <v>11</v>
      </c>
    </row>
    <row r="78" spans="1:64" ht="15" hidden="1" customHeight="1" x14ac:dyDescent="0.25">
      <c r="A78" s="6" t="str">
        <f>CONCATENATE(TIM[[#This Row],[Supply Level]],TIM[[#This Row],[Station/Feeder]],TIM[[#This Row],[Voltage]])</f>
        <v>SubTransmissionTIM_GRM_SUBTRANS11</v>
      </c>
      <c r="B78" s="6" t="str">
        <f>CONCATENATE(TIM[[#This Row],[Supply Level]],TIM[[#This Row],[Station/Feeder]],TIM[[#This Row],[Equipment ID]],TIM[[#This Row],[Voltage]],TIM[[#This Row],[Device type]])</f>
        <v>SubTransmissionTIM_GRM_SUBTRANS3/1c 630mm² XLPE Cu CWS PVC HDPE11-</v>
      </c>
      <c r="C78" s="6" t="s">
        <v>1245</v>
      </c>
      <c r="D78" s="11" t="s">
        <v>106</v>
      </c>
      <c r="E78" s="6" t="s">
        <v>834</v>
      </c>
      <c r="F78" s="6" t="s">
        <v>750</v>
      </c>
      <c r="G78" s="27">
        <v>2</v>
      </c>
      <c r="H78" s="7" t="s">
        <v>811</v>
      </c>
      <c r="I78" s="7" t="s">
        <v>1279</v>
      </c>
      <c r="J78" s="7" t="s">
        <v>250</v>
      </c>
      <c r="K78" s="7" t="s">
        <v>0</v>
      </c>
      <c r="L78" s="7" t="s">
        <v>0</v>
      </c>
      <c r="M78" s="8">
        <v>11</v>
      </c>
      <c r="N78" s="9">
        <v>810</v>
      </c>
      <c r="O78" s="9">
        <f>IF(OR(N78="",N78="-"),"-",N78*$M78*SQRT(3)/1000)</f>
        <v>15.432572695438695</v>
      </c>
      <c r="P78" s="9">
        <v>810</v>
      </c>
      <c r="Q78" s="9">
        <f>IF(OR(P78="",P78="-"),"-",P78*$M78*SQRT(3)/1000)</f>
        <v>15.432572695438695</v>
      </c>
      <c r="R78" s="9">
        <v>810</v>
      </c>
      <c r="S78" s="9">
        <f>IF(OR(R78="",R78="-"),"-",R78*$M78*SQRT(3)/1000)</f>
        <v>15.432572695438695</v>
      </c>
      <c r="T78" s="9" t="s">
        <v>0</v>
      </c>
      <c r="U78" s="9" t="str">
        <f>IF(OR(T78="",T78="-"),"-",T78*$M78*SQRT(3)/1000)</f>
        <v>-</v>
      </c>
      <c r="V78" s="9" t="s">
        <v>0</v>
      </c>
      <c r="W78" s="9" t="str">
        <f>IF(OR(V78="",V78="-"),"-",V78*$M78*SQRT(3)/1000)</f>
        <v>-</v>
      </c>
      <c r="X78" s="9" t="s">
        <v>0</v>
      </c>
      <c r="Y78" s="9" t="str">
        <f>IF(OR(X78="",X78="-"),"-",X78*$M78*SQRT(3)/1000)</f>
        <v>-</v>
      </c>
      <c r="Z78" s="9" t="s">
        <v>0</v>
      </c>
      <c r="AA78" s="9" t="str">
        <f>IF(OR(Z78="",Z78="-"),"-",Z78*$M78*SQRT(3)/1000)</f>
        <v>-</v>
      </c>
      <c r="AB78" s="9" t="s">
        <v>0</v>
      </c>
      <c r="AC78" s="9" t="str">
        <f>IF(OR(AB78="",AB78="-"),"-",AB78*$M78*SQRT(3)/1000)</f>
        <v>-</v>
      </c>
      <c r="AD78" s="9" t="s">
        <v>0</v>
      </c>
      <c r="AE78" s="12" t="str">
        <f>IF(OR(AD78="",AD78="-"),"-",AD78*$M78*SQRT(3)/1000)</f>
        <v>-</v>
      </c>
      <c r="AF78" s="159" t="s">
        <v>713</v>
      </c>
      <c r="AG78" s="9" t="s">
        <v>0</v>
      </c>
      <c r="AH78" s="9">
        <v>79.3</v>
      </c>
      <c r="AI78" s="9">
        <v>1.4</v>
      </c>
      <c r="AJ78" s="32">
        <v>0.94</v>
      </c>
      <c r="AK78" s="9">
        <v>18.5</v>
      </c>
      <c r="AL78" s="32">
        <v>0.95</v>
      </c>
      <c r="AM78" s="9">
        <v>1.2</v>
      </c>
      <c r="AN78" s="32">
        <v>1</v>
      </c>
      <c r="AO78" s="9">
        <v>3</v>
      </c>
      <c r="AP78" s="9">
        <v>0.45</v>
      </c>
      <c r="AQ78" s="32">
        <v>0.84</v>
      </c>
      <c r="AR78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607.59719999999993</v>
      </c>
      <c r="AS78" s="9">
        <f>IF(OR(AR78="",AR78="-"),"-",AR78*$M78*SQRT(3)/1000)</f>
        <v>11.576281430302473</v>
      </c>
      <c r="AT78" s="9">
        <f>IF(RIGHT(TIM[[#This Row],[Device type]],7)="Winding","-",TIM[[#This Row],[Cont Winter MVA]])</f>
        <v>15.432572695438695</v>
      </c>
      <c r="AU78" s="9">
        <f>IF(RIGHT(TIM[[#This Row],[Device type]],7)="Winding","-",TIM[[#This Row],[Cont Shoulder MVA]])</f>
        <v>15.432572695438695</v>
      </c>
      <c r="AV78" s="9">
        <f>IF(RIGHT(TIM[[#This Row],[Device type]],7)="Winding","-",TIM[[#This Row],[Cont Summer MVA]])</f>
        <v>15.432572695438695</v>
      </c>
      <c r="AW78" s="9" t="str">
        <f>TIM[[#This Row],[24 Hr Winter MVA]]</f>
        <v>-</v>
      </c>
      <c r="AX78" s="9" t="str">
        <f>TIM[[#This Row],[24 Hr Summer MVA]]</f>
        <v>-</v>
      </c>
      <c r="AY78" s="9" t="str">
        <f>TIM[[#This Row],[Forwards MVA]]</f>
        <v>-</v>
      </c>
      <c r="AZ78" s="9" t="str">
        <f>TIM[[#This Row],[Relay MVA]]</f>
        <v>-</v>
      </c>
      <c r="BA78" s="9" t="str">
        <f>TIM[[#This Row],[CT MVA]]</f>
        <v>-</v>
      </c>
      <c r="BB78" s="9">
        <f>TIM[[#This Row],[Derating MVA]]</f>
        <v>11.576281430302473</v>
      </c>
      <c r="BC78" s="9" t="str">
        <f>TIM[[#This Row],[Station/Feeder]]&amp;TIM[[#This Row],[Lowest MVA]]</f>
        <v>TIM_GRM_SUBTRANS11.5762814303025</v>
      </c>
      <c r="BD78" s="9" t="str">
        <f>CONCATENATE(TIM[[#This Row],[Supply Level]],TIM[[#This Row],[Station/Feeder]],TIM[[#This Row],[Voltage]],TIM[[#This Row],[Lowest A-No PTX]])</f>
        <v>SubTransmissionTIM_GRM_SUBTRANS11607.5972</v>
      </c>
      <c r="BE78" s="9" t="str">
        <f>CONCATENATE(TIM[[#This Row],[Supply Level]],TIM[[#This Row],[Station/Feeder]],TIM[[#This Row],[Voltage]],TIM[[#This Row],[Lowest A-PTX]])</f>
        <v>SubTransmissionTIM_GRM_SUBTRANS11607.5972</v>
      </c>
      <c r="BF78" s="9">
        <f>IFERROR(IF(MIN(TIM[[#This Row],[Summ Cont Winter A]:[Cable Derating]])=0,"",MIN(TIM[[#This Row],[Summ Cont Winter A]:[Cable Derating]])),"")</f>
        <v>11.576281430302473</v>
      </c>
      <c r="BG78" s="9">
        <f>IFERROR(TIM[[#This Row],[Lowest MVA]]*1000/(TIM[[#This Row],[Voltage]]*SQRT(3)),"")</f>
        <v>607.59719999999993</v>
      </c>
      <c r="BH78" s="9">
        <f t="shared" si="153"/>
        <v>607.59719999999993</v>
      </c>
      <c r="BI78" s="9" t="str">
        <f>TIM[[#This Row],[From]]</f>
        <v>CB2772</v>
      </c>
      <c r="BJ78" s="9" t="str">
        <f>TIM[[#This Row],[To]]</f>
        <v>Joint</v>
      </c>
      <c r="BK7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630mm² XLPE Cu CWS PVC HDPE</v>
      </c>
      <c r="BL78" s="9">
        <f>TIM[[#This Row],[Voltage]]</f>
        <v>11</v>
      </c>
    </row>
    <row r="79" spans="1:64" ht="15" hidden="1" customHeight="1" x14ac:dyDescent="0.25">
      <c r="A79" s="6" t="str">
        <f>CONCATENATE(TIM[[#This Row],[Supply Level]],TIM[[#This Row],[Station/Feeder]],TIM[[#This Row],[Voltage]])</f>
        <v>SubTransmissionTIM_GRM_SUBTRANS11</v>
      </c>
      <c r="B79" s="6" t="str">
        <f>CONCATENATE(TIM[[#This Row],[Supply Level]],TIM[[#This Row],[Station/Feeder]],TIM[[#This Row],[Equipment ID]],TIM[[#This Row],[Voltage]],TIM[[#This Row],[Device type]])</f>
        <v>SubTransmissionTIM_GRM_SUBTRANS3c 400mm² Cu PILC SWA11-</v>
      </c>
      <c r="C79" s="6" t="s">
        <v>1245</v>
      </c>
      <c r="D79" s="11" t="s">
        <v>106</v>
      </c>
      <c r="E79" s="6" t="s">
        <v>750</v>
      </c>
      <c r="F79" s="6" t="s">
        <v>836</v>
      </c>
      <c r="G79" s="27">
        <v>3</v>
      </c>
      <c r="H79" s="7" t="s">
        <v>811</v>
      </c>
      <c r="I79" s="7" t="s">
        <v>837</v>
      </c>
      <c r="J79" s="7" t="s">
        <v>250</v>
      </c>
      <c r="K79" s="7" t="s">
        <v>0</v>
      </c>
      <c r="L79" s="7" t="s">
        <v>0</v>
      </c>
      <c r="M79" s="8">
        <v>11</v>
      </c>
      <c r="N79" s="9">
        <v>550</v>
      </c>
      <c r="O79" s="9">
        <f>IF(OR(N79="",N79="-"),"-",N79*$M79*SQRT(3)/1000)</f>
        <v>10.478907385791706</v>
      </c>
      <c r="P79" s="9">
        <v>550</v>
      </c>
      <c r="Q79" s="9">
        <f>IF(OR(P79="",P79="-"),"-",P79*$M79*SQRT(3)/1000)</f>
        <v>10.478907385791706</v>
      </c>
      <c r="R79" s="9">
        <v>550</v>
      </c>
      <c r="S79" s="9">
        <f>IF(OR(R79="",R79="-"),"-",R79*$M79*SQRT(3)/1000)</f>
        <v>10.478907385791706</v>
      </c>
      <c r="T79" s="9" t="s">
        <v>0</v>
      </c>
      <c r="U79" s="9" t="str">
        <f>IF(OR(T79="",T79="-"),"-",T79*$M79*SQRT(3)/1000)</f>
        <v>-</v>
      </c>
      <c r="V79" s="9" t="s">
        <v>0</v>
      </c>
      <c r="W79" s="9" t="str">
        <f>IF(OR(V79="",V79="-"),"-",V79*$M79*SQRT(3)/1000)</f>
        <v>-</v>
      </c>
      <c r="X79" s="9" t="s">
        <v>0</v>
      </c>
      <c r="Y79" s="9" t="str">
        <f>IF(OR(X79="",X79="-"),"-",X79*$M79*SQRT(3)/1000)</f>
        <v>-</v>
      </c>
      <c r="Z79" s="9" t="s">
        <v>0</v>
      </c>
      <c r="AA79" s="9" t="str">
        <f>IF(OR(Z79="",Z79="-"),"-",Z79*$M79*SQRT(3)/1000)</f>
        <v>-</v>
      </c>
      <c r="AB79" s="9" t="s">
        <v>0</v>
      </c>
      <c r="AC79" s="9" t="str">
        <f>IF(OR(AB79="",AB79="-"),"-",AB79*$M79*SQRT(3)/1000)</f>
        <v>-</v>
      </c>
      <c r="AD79" s="9" t="s">
        <v>0</v>
      </c>
      <c r="AE79" s="12" t="str">
        <f>IF(OR(AD79="",AD79="-"),"-",AD79*$M79*SQRT(3)/1000)</f>
        <v>-</v>
      </c>
      <c r="AF79" s="9" t="s">
        <v>716</v>
      </c>
      <c r="AG79" s="9" t="s">
        <v>0</v>
      </c>
      <c r="AH79" s="9">
        <v>1790.7</v>
      </c>
      <c r="AI79" s="9">
        <v>1.4</v>
      </c>
      <c r="AJ79" s="32">
        <v>0.94</v>
      </c>
      <c r="AK79" s="9">
        <v>18.5</v>
      </c>
      <c r="AL79" s="32">
        <v>0.95</v>
      </c>
      <c r="AM79" s="9">
        <v>1.2</v>
      </c>
      <c r="AN79" s="32">
        <v>1</v>
      </c>
      <c r="AO79" s="9">
        <v>3</v>
      </c>
      <c r="AP79" s="9">
        <v>0.45</v>
      </c>
      <c r="AQ79" s="32">
        <v>0.84</v>
      </c>
      <c r="AR79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412.56599999999992</v>
      </c>
      <c r="AS79" s="9">
        <f>IF(OR(AR79="",AR79="-"),"-",AR79*$M79*SQRT(3)/1000)</f>
        <v>7.8604380082300729</v>
      </c>
      <c r="AT79" s="9">
        <f>IF(RIGHT(TIM[[#This Row],[Device type]],7)="Winding","-",TIM[[#This Row],[Cont Winter MVA]])</f>
        <v>10.478907385791706</v>
      </c>
      <c r="AU79" s="9">
        <f>IF(RIGHT(TIM[[#This Row],[Device type]],7)="Winding","-",TIM[[#This Row],[Cont Shoulder MVA]])</f>
        <v>10.478907385791706</v>
      </c>
      <c r="AV79" s="9">
        <f>IF(RIGHT(TIM[[#This Row],[Device type]],7)="Winding","-",TIM[[#This Row],[Cont Summer MVA]])</f>
        <v>10.478907385791706</v>
      </c>
      <c r="AW79" s="9" t="str">
        <f>TIM[[#This Row],[24 Hr Winter MVA]]</f>
        <v>-</v>
      </c>
      <c r="AX79" s="9" t="str">
        <f>TIM[[#This Row],[24 Hr Summer MVA]]</f>
        <v>-</v>
      </c>
      <c r="AY79" s="9" t="str">
        <f>TIM[[#This Row],[Forwards MVA]]</f>
        <v>-</v>
      </c>
      <c r="AZ79" s="9" t="str">
        <f>TIM[[#This Row],[Relay MVA]]</f>
        <v>-</v>
      </c>
      <c r="BA79" s="9" t="str">
        <f>TIM[[#This Row],[CT MVA]]</f>
        <v>-</v>
      </c>
      <c r="BB79" s="9">
        <f>TIM[[#This Row],[Derating MVA]]</f>
        <v>7.8604380082300729</v>
      </c>
      <c r="BC79" s="9" t="str">
        <f>TIM[[#This Row],[Station/Feeder]]&amp;TIM[[#This Row],[Lowest MVA]]</f>
        <v>TIM_GRM_SUBTRANS7.86043800823007</v>
      </c>
      <c r="BD79" s="9" t="str">
        <f>CONCATENATE(TIM[[#This Row],[Supply Level]],TIM[[#This Row],[Station/Feeder]],TIM[[#This Row],[Voltage]],TIM[[#This Row],[Lowest A-No PTX]])</f>
        <v>SubTransmissionTIM_GRM_SUBTRANS11412.566</v>
      </c>
      <c r="BE79" s="9" t="str">
        <f>CONCATENATE(TIM[[#This Row],[Supply Level]],TIM[[#This Row],[Station/Feeder]],TIM[[#This Row],[Voltage]],TIM[[#This Row],[Lowest A-PTX]])</f>
        <v>SubTransmissionTIM_GRM_SUBTRANS11412.566</v>
      </c>
      <c r="BF79" s="9">
        <f>IFERROR(IF(MIN(TIM[[#This Row],[Summ Cont Winter A]:[Cable Derating]])=0,"",MIN(TIM[[#This Row],[Summ Cont Winter A]:[Cable Derating]])),"")</f>
        <v>7.8604380082300729</v>
      </c>
      <c r="BG79" s="9">
        <f>IFERROR(TIM[[#This Row],[Lowest MVA]]*1000/(TIM[[#This Row],[Voltage]]*SQRT(3)),"")</f>
        <v>412.56599999999986</v>
      </c>
      <c r="BH79" s="9">
        <f t="shared" si="153"/>
        <v>412.56599999999992</v>
      </c>
      <c r="BI79" s="9" t="str">
        <f>TIM[[#This Row],[From]]</f>
        <v>Joint</v>
      </c>
      <c r="BJ79" s="9" t="str">
        <f>TIM[[#This Row],[To]]</f>
        <v>TEGRASMERE19</v>
      </c>
      <c r="BK7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400mm² Cu PILC SWA</v>
      </c>
      <c r="BL79" s="9">
        <f>TIM[[#This Row],[Voltage]]</f>
        <v>11</v>
      </c>
    </row>
    <row r="80" spans="1:64" ht="15" hidden="1" customHeight="1" x14ac:dyDescent="0.25">
      <c r="A80" s="6" t="str">
        <f>CONCATENATE(TIM[[#This Row],[Supply Level]],TIM[[#This Row],[Station/Feeder]],TIM[[#This Row],[Voltage]])</f>
        <v>SubTransmissionTIM_GRM_SUBTRANS11</v>
      </c>
      <c r="B80" s="6" t="str">
        <f>CONCATENATE(TIM[[#This Row],[Supply Level]],TIM[[#This Row],[Station/Feeder]],TIM[[#This Row],[Equipment ID]],TIM[[#This Row],[Voltage]],TIM[[#This Row],[Device type]])</f>
        <v>SubTransmissionTIM_GRM_SUBTRANSTIM-CB281211Protection</v>
      </c>
      <c r="C80" s="6" t="s">
        <v>1245</v>
      </c>
      <c r="D80" s="11" t="s">
        <v>106</v>
      </c>
      <c r="E80" s="6" t="s">
        <v>243</v>
      </c>
      <c r="F80" s="6" t="s">
        <v>838</v>
      </c>
      <c r="G80" s="27">
        <v>1</v>
      </c>
      <c r="H80" s="7" t="s">
        <v>2362</v>
      </c>
      <c r="I80" s="7" t="s">
        <v>2231</v>
      </c>
      <c r="J80" s="7" t="s">
        <v>15</v>
      </c>
      <c r="K80" s="7" t="s">
        <v>1121</v>
      </c>
      <c r="L80" s="7" t="s">
        <v>1423</v>
      </c>
      <c r="M80" s="8">
        <v>11</v>
      </c>
      <c r="N80" s="9">
        <v>550</v>
      </c>
      <c r="O80" s="9">
        <f t="shared" si="0"/>
        <v>10.478907385791706</v>
      </c>
      <c r="P80" s="9">
        <v>550</v>
      </c>
      <c r="Q80" s="9">
        <f t="shared" si="1"/>
        <v>10.478907385791706</v>
      </c>
      <c r="R80" s="9">
        <v>810</v>
      </c>
      <c r="S80" s="9">
        <f t="shared" si="2"/>
        <v>15.432572695438695</v>
      </c>
      <c r="T80" s="9" t="s">
        <v>0</v>
      </c>
      <c r="U80" s="9" t="str">
        <f t="shared" si="3"/>
        <v>-</v>
      </c>
      <c r="V80" s="9" t="s">
        <v>0</v>
      </c>
      <c r="W80" s="9" t="str">
        <f t="shared" si="4"/>
        <v>-</v>
      </c>
      <c r="X80" s="9">
        <f>VLOOKUP(TIM[[#This Row],[Equipment ID]],AEL_Protection_Data[#All],12,0)</f>
        <v>600</v>
      </c>
      <c r="Y80" s="9">
        <f t="shared" si="5"/>
        <v>11.43153532995459</v>
      </c>
      <c r="Z80" s="9">
        <v>549</v>
      </c>
      <c r="AA80" s="9">
        <f t="shared" si="6"/>
        <v>10.459854826908449</v>
      </c>
      <c r="AB80" s="9">
        <v>2400</v>
      </c>
      <c r="AC80" s="9">
        <f t="shared" si="7"/>
        <v>45.72614131981836</v>
      </c>
      <c r="AD80" s="9">
        <v>1600</v>
      </c>
      <c r="AE80" s="12">
        <f t="shared" si="8"/>
        <v>30.484094213212241</v>
      </c>
      <c r="AF80" s="29" t="s">
        <v>0</v>
      </c>
      <c r="AG80" s="29" t="s">
        <v>0</v>
      </c>
      <c r="AH80" s="8" t="s">
        <v>0</v>
      </c>
      <c r="AI80" s="29" t="s">
        <v>0</v>
      </c>
      <c r="AJ80" s="32" t="s">
        <v>0</v>
      </c>
      <c r="AK80" s="29" t="s">
        <v>0</v>
      </c>
      <c r="AL80" s="32" t="s">
        <v>0</v>
      </c>
      <c r="AM80" s="29" t="s">
        <v>0</v>
      </c>
      <c r="AN80" s="32" t="s">
        <v>0</v>
      </c>
      <c r="AO80" s="29" t="s">
        <v>0</v>
      </c>
      <c r="AP80" s="29" t="s">
        <v>0</v>
      </c>
      <c r="AQ80" s="32" t="s">
        <v>0</v>
      </c>
      <c r="AR8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80" s="9" t="str">
        <f t="shared" si="9"/>
        <v>-</v>
      </c>
      <c r="AT80" s="9">
        <f>IF(RIGHT(TIM[[#This Row],[Device type]],7)="Winding","-",TIM[[#This Row],[Cont Winter MVA]])</f>
        <v>10.478907385791706</v>
      </c>
      <c r="AU80" s="9">
        <f>IF(RIGHT(TIM[[#This Row],[Device type]],7)="Winding","-",TIM[[#This Row],[Cont Shoulder MVA]])</f>
        <v>10.478907385791706</v>
      </c>
      <c r="AV80" s="9">
        <f>IF(RIGHT(TIM[[#This Row],[Device type]],7)="Winding","-",TIM[[#This Row],[Cont Summer MVA]])</f>
        <v>15.432572695438695</v>
      </c>
      <c r="AW80" s="9" t="str">
        <f>TIM[[#This Row],[24 Hr Winter MVA]]</f>
        <v>-</v>
      </c>
      <c r="AX80" s="9" t="str">
        <f>TIM[[#This Row],[24 Hr Summer MVA]]</f>
        <v>-</v>
      </c>
      <c r="AY80" s="9">
        <f>TIM[[#This Row],[Forwards MVA]]</f>
        <v>11.43153532995459</v>
      </c>
      <c r="AZ80" s="9">
        <f>TIM[[#This Row],[Relay MVA]]</f>
        <v>45.72614131981836</v>
      </c>
      <c r="BA80" s="9">
        <f>TIM[[#This Row],[CT MVA]]</f>
        <v>30.484094213212241</v>
      </c>
      <c r="BB80" s="9" t="str">
        <f>TIM[[#This Row],[Derating MVA]]</f>
        <v>-</v>
      </c>
      <c r="BC80" s="9" t="str">
        <f>TIM[[#This Row],[Station/Feeder]]&amp;TIM[[#This Row],[Lowest MVA]]</f>
        <v>TIM_GRM_SUBTRANS10.4789073857917</v>
      </c>
      <c r="BD80" s="9" t="str">
        <f>CONCATENATE(TIM[[#This Row],[Supply Level]],TIM[[#This Row],[Station/Feeder]],TIM[[#This Row],[Voltage]],TIM[[#This Row],[Lowest A-No PTX]])</f>
        <v>SubTransmissionTIM_GRM_SUBTRANS11550</v>
      </c>
      <c r="BE80" s="9" t="str">
        <f>CONCATENATE(TIM[[#This Row],[Supply Level]],TIM[[#This Row],[Station/Feeder]],TIM[[#This Row],[Voltage]],TIM[[#This Row],[Lowest A-PTX]])</f>
        <v>SubTransmissionTIM_GRM_SUBTRANS11549</v>
      </c>
      <c r="BF80" s="9">
        <f>IFERROR(IF(MIN(TIM[[#This Row],[Summ Cont Winter A]:[Cable Derating]])=0,"",MIN(TIM[[#This Row],[Summ Cont Winter A]:[Cable Derating]])),"")</f>
        <v>10.478907385791706</v>
      </c>
      <c r="BG80" s="9">
        <f>IFERROR(TIM[[#This Row],[Lowest MVA]]*1000/(TIM[[#This Row],[Voltage]]*SQRT(3)),"")</f>
        <v>550</v>
      </c>
      <c r="BH80" s="9">
        <f t="shared" si="153"/>
        <v>549</v>
      </c>
      <c r="BI80" s="9" t="str">
        <f>TIM[[#This Row],[From]]</f>
        <v>11 kV Bus</v>
      </c>
      <c r="BJ80" s="9" t="str">
        <f>TIM[[#This Row],[To]]</f>
        <v>CB2812</v>
      </c>
      <c r="BK8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Breaker-TIM-CB2812-Protection</v>
      </c>
      <c r="BL80" s="9">
        <f>TIM[[#This Row],[Voltage]]</f>
        <v>11</v>
      </c>
    </row>
    <row r="81" spans="1:64" ht="15" hidden="1" customHeight="1" x14ac:dyDescent="0.25">
      <c r="A81" s="6" t="str">
        <f>CONCATENATE(TIM[[#This Row],[Supply Level]],TIM[[#This Row],[Station/Feeder]],TIM[[#This Row],[Voltage]])</f>
        <v>SubTransmissionTIM_GRM_SUBTRANS11</v>
      </c>
      <c r="B81" s="6" t="str">
        <f>CONCATENATE(TIM[[#This Row],[Supply Level]],TIM[[#This Row],[Station/Feeder]],TIM[[#This Row],[Equipment ID]],TIM[[#This Row],[Voltage]],TIM[[#This Row],[Device type]])</f>
        <v>SubTransmissionTIM_GRM_SUBTRANS3/1c 630mm² XLPE Cu CWS PVC HDPE11-</v>
      </c>
      <c r="C81" s="6" t="s">
        <v>1245</v>
      </c>
      <c r="D81" s="11" t="s">
        <v>106</v>
      </c>
      <c r="E81" s="6" t="s">
        <v>838</v>
      </c>
      <c r="F81" s="6" t="s">
        <v>750</v>
      </c>
      <c r="G81" s="27">
        <v>2</v>
      </c>
      <c r="H81" s="7" t="s">
        <v>811</v>
      </c>
      <c r="I81" s="7" t="s">
        <v>1279</v>
      </c>
      <c r="J81" s="7" t="s">
        <v>250</v>
      </c>
      <c r="K81" s="7" t="s">
        <v>0</v>
      </c>
      <c r="L81" s="7" t="s">
        <v>0</v>
      </c>
      <c r="M81" s="8">
        <v>11</v>
      </c>
      <c r="N81" s="9">
        <v>810</v>
      </c>
      <c r="O81" s="9">
        <f>IF(OR(N81="",N81="-"),"-",N81*$M81*SQRT(3)/1000)</f>
        <v>15.432572695438695</v>
      </c>
      <c r="P81" s="9">
        <v>810</v>
      </c>
      <c r="Q81" s="9">
        <f>IF(OR(P81="",P81="-"),"-",P81*$M81*SQRT(3)/1000)</f>
        <v>15.432572695438695</v>
      </c>
      <c r="R81" s="9">
        <v>810</v>
      </c>
      <c r="S81" s="9">
        <f>IF(OR(R81="",R81="-"),"-",R81*$M81*SQRT(3)/1000)</f>
        <v>15.432572695438695</v>
      </c>
      <c r="T81" s="9" t="s">
        <v>0</v>
      </c>
      <c r="U81" s="9" t="str">
        <f>IF(OR(T81="",T81="-"),"-",T81*$M81*SQRT(3)/1000)</f>
        <v>-</v>
      </c>
      <c r="V81" s="9" t="s">
        <v>0</v>
      </c>
      <c r="W81" s="9" t="str">
        <f>IF(OR(V81="",V81="-"),"-",V81*$M81*SQRT(3)/1000)</f>
        <v>-</v>
      </c>
      <c r="X81" s="9" t="s">
        <v>0</v>
      </c>
      <c r="Y81" s="9" t="str">
        <f>IF(OR(X81="",X81="-"),"-",X81*$M81*SQRT(3)/1000)</f>
        <v>-</v>
      </c>
      <c r="Z81" s="9" t="s">
        <v>0</v>
      </c>
      <c r="AA81" s="9" t="str">
        <f>IF(OR(Z81="",Z81="-"),"-",Z81*$M81*SQRT(3)/1000)</f>
        <v>-</v>
      </c>
      <c r="AB81" s="9" t="s">
        <v>0</v>
      </c>
      <c r="AC81" s="9" t="str">
        <f>IF(OR(AB81="",AB81="-"),"-",AB81*$M81*SQRT(3)/1000)</f>
        <v>-</v>
      </c>
      <c r="AD81" s="9" t="s">
        <v>0</v>
      </c>
      <c r="AE81" s="12" t="str">
        <f>IF(OR(AD81="",AD81="-"),"-",AD81*$M81*SQRT(3)/1000)</f>
        <v>-</v>
      </c>
      <c r="AF81" s="160" t="s">
        <v>713</v>
      </c>
      <c r="AG81" s="9" t="s">
        <v>0</v>
      </c>
      <c r="AH81" s="9">
        <v>84.5</v>
      </c>
      <c r="AI81" s="9">
        <v>1.4</v>
      </c>
      <c r="AJ81" s="32">
        <v>0.94</v>
      </c>
      <c r="AK81" s="9">
        <v>18.5</v>
      </c>
      <c r="AL81" s="32">
        <v>0.95</v>
      </c>
      <c r="AM81" s="9">
        <v>1.2</v>
      </c>
      <c r="AN81" s="32">
        <v>1</v>
      </c>
      <c r="AO81" s="9">
        <v>3</v>
      </c>
      <c r="AP81" s="9">
        <v>0.45</v>
      </c>
      <c r="AQ81" s="32">
        <v>0.84</v>
      </c>
      <c r="AR81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607.59719999999993</v>
      </c>
      <c r="AS81" s="9">
        <f>IF(OR(AR81="",AR81="-"),"-",AR81*$M81*SQRT(3)/1000)</f>
        <v>11.576281430302473</v>
      </c>
      <c r="AT81" s="9">
        <f>IF(RIGHT(TIM[[#This Row],[Device type]],7)="Winding","-",TIM[[#This Row],[Cont Winter MVA]])</f>
        <v>15.432572695438695</v>
      </c>
      <c r="AU81" s="9">
        <f>IF(RIGHT(TIM[[#This Row],[Device type]],7)="Winding","-",TIM[[#This Row],[Cont Shoulder MVA]])</f>
        <v>15.432572695438695</v>
      </c>
      <c r="AV81" s="9">
        <f>IF(RIGHT(TIM[[#This Row],[Device type]],7)="Winding","-",TIM[[#This Row],[Cont Summer MVA]])</f>
        <v>15.432572695438695</v>
      </c>
      <c r="AW81" s="9" t="str">
        <f>TIM[[#This Row],[24 Hr Winter MVA]]</f>
        <v>-</v>
      </c>
      <c r="AX81" s="9" t="str">
        <f>TIM[[#This Row],[24 Hr Summer MVA]]</f>
        <v>-</v>
      </c>
      <c r="AY81" s="9" t="str">
        <f>TIM[[#This Row],[Forwards MVA]]</f>
        <v>-</v>
      </c>
      <c r="AZ81" s="9" t="str">
        <f>TIM[[#This Row],[Relay MVA]]</f>
        <v>-</v>
      </c>
      <c r="BA81" s="9" t="str">
        <f>TIM[[#This Row],[CT MVA]]</f>
        <v>-</v>
      </c>
      <c r="BB81" s="9">
        <f>TIM[[#This Row],[Derating MVA]]</f>
        <v>11.576281430302473</v>
      </c>
      <c r="BC81" s="9" t="str">
        <f>TIM[[#This Row],[Station/Feeder]]&amp;TIM[[#This Row],[Lowest MVA]]</f>
        <v>TIM_GRM_SUBTRANS11.5762814303025</v>
      </c>
      <c r="BD81" s="9" t="str">
        <f>CONCATENATE(TIM[[#This Row],[Supply Level]],TIM[[#This Row],[Station/Feeder]],TIM[[#This Row],[Voltage]],TIM[[#This Row],[Lowest A-No PTX]])</f>
        <v>SubTransmissionTIM_GRM_SUBTRANS11607.5972</v>
      </c>
      <c r="BE81" s="9" t="str">
        <f>CONCATENATE(TIM[[#This Row],[Supply Level]],TIM[[#This Row],[Station/Feeder]],TIM[[#This Row],[Voltage]],TIM[[#This Row],[Lowest A-PTX]])</f>
        <v>SubTransmissionTIM_GRM_SUBTRANS11607.5972</v>
      </c>
      <c r="BF81" s="9">
        <f>IFERROR(IF(MIN(TIM[[#This Row],[Summ Cont Winter A]:[Cable Derating]])=0,"",MIN(TIM[[#This Row],[Summ Cont Winter A]:[Cable Derating]])),"")</f>
        <v>11.576281430302473</v>
      </c>
      <c r="BG81" s="9">
        <f>IFERROR(TIM[[#This Row],[Lowest MVA]]*1000/(TIM[[#This Row],[Voltage]]*SQRT(3)),"")</f>
        <v>607.59719999999993</v>
      </c>
      <c r="BH81" s="9">
        <f t="shared" si="153"/>
        <v>607.59719999999993</v>
      </c>
      <c r="BI81" s="9" t="str">
        <f>TIM[[#This Row],[From]]</f>
        <v>CB2812</v>
      </c>
      <c r="BJ81" s="9" t="str">
        <f>TIM[[#This Row],[To]]</f>
        <v>Joint</v>
      </c>
      <c r="BK8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630mm² XLPE Cu CWS PVC HDPE</v>
      </c>
      <c r="BL81" s="9">
        <f>TIM[[#This Row],[Voltage]]</f>
        <v>11</v>
      </c>
    </row>
    <row r="82" spans="1:64" ht="15" hidden="1" customHeight="1" x14ac:dyDescent="0.25">
      <c r="A82" s="6" t="str">
        <f>CONCATENATE(TIM[[#This Row],[Supply Level]],TIM[[#This Row],[Station/Feeder]],TIM[[#This Row],[Voltage]])</f>
        <v>SubTransmissionTIM_GRM_SUBTRANS11</v>
      </c>
      <c r="B82" s="6" t="str">
        <f>CONCATENATE(TIM[[#This Row],[Supply Level]],TIM[[#This Row],[Station/Feeder]],TIM[[#This Row],[Equipment ID]],TIM[[#This Row],[Voltage]],TIM[[#This Row],[Device type]])</f>
        <v>SubTransmissionTIM_GRM_SUBTRANS3c 400mm² Cu PILC SWA11-</v>
      </c>
      <c r="C82" s="6" t="s">
        <v>1245</v>
      </c>
      <c r="D82" s="11" t="s">
        <v>106</v>
      </c>
      <c r="E82" s="6" t="s">
        <v>750</v>
      </c>
      <c r="F82" s="6" t="s">
        <v>750</v>
      </c>
      <c r="G82" s="27">
        <v>3</v>
      </c>
      <c r="H82" s="7" t="s">
        <v>811</v>
      </c>
      <c r="I82" s="7" t="s">
        <v>837</v>
      </c>
      <c r="J82" s="7" t="s">
        <v>250</v>
      </c>
      <c r="K82" s="7" t="s">
        <v>0</v>
      </c>
      <c r="L82" s="7" t="s">
        <v>0</v>
      </c>
      <c r="M82" s="8">
        <v>11</v>
      </c>
      <c r="N82" s="9">
        <v>550</v>
      </c>
      <c r="O82" s="9">
        <f>IF(OR(N82="",N82="-"),"-",N82*$M82*SQRT(3)/1000)</f>
        <v>10.478907385791706</v>
      </c>
      <c r="P82" s="9">
        <v>550</v>
      </c>
      <c r="Q82" s="9">
        <f>IF(OR(P82="",P82="-"),"-",P82*$M82*SQRT(3)/1000)</f>
        <v>10.478907385791706</v>
      </c>
      <c r="R82" s="9">
        <v>550</v>
      </c>
      <c r="S82" s="9">
        <f>IF(OR(R82="",R82="-"),"-",R82*$M82*SQRT(3)/1000)</f>
        <v>10.478907385791706</v>
      </c>
      <c r="T82" s="9" t="s">
        <v>0</v>
      </c>
      <c r="U82" s="9" t="str">
        <f>IF(OR(T82="",T82="-"),"-",T82*$M82*SQRT(3)/1000)</f>
        <v>-</v>
      </c>
      <c r="V82" s="9" t="s">
        <v>0</v>
      </c>
      <c r="W82" s="9" t="str">
        <f>IF(OR(V82="",V82="-"),"-",V82*$M82*SQRT(3)/1000)</f>
        <v>-</v>
      </c>
      <c r="X82" s="9" t="s">
        <v>0</v>
      </c>
      <c r="Y82" s="9" t="str">
        <f>IF(OR(X82="",X82="-"),"-",X82*$M82*SQRT(3)/1000)</f>
        <v>-</v>
      </c>
      <c r="Z82" s="9" t="s">
        <v>0</v>
      </c>
      <c r="AA82" s="9" t="str">
        <f>IF(OR(Z82="",Z82="-"),"-",Z82*$M82*SQRT(3)/1000)</f>
        <v>-</v>
      </c>
      <c r="AB82" s="9" t="s">
        <v>0</v>
      </c>
      <c r="AC82" s="9" t="str">
        <f>IF(OR(AB82="",AB82="-"),"-",AB82*$M82*SQRT(3)/1000)</f>
        <v>-</v>
      </c>
      <c r="AD82" s="9" t="s">
        <v>0</v>
      </c>
      <c r="AE82" s="12" t="str">
        <f>IF(OR(AD82="",AD82="-"),"-",AD82*$M82*SQRT(3)/1000)</f>
        <v>-</v>
      </c>
      <c r="AF82" s="9" t="s">
        <v>713</v>
      </c>
      <c r="AG82" s="9" t="s">
        <v>0</v>
      </c>
      <c r="AH82" s="9">
        <v>1782.5</v>
      </c>
      <c r="AI82" s="9">
        <v>1.4</v>
      </c>
      <c r="AJ82" s="32">
        <v>0.94</v>
      </c>
      <c r="AK82" s="9">
        <v>18.5</v>
      </c>
      <c r="AL82" s="32">
        <v>0.95</v>
      </c>
      <c r="AM82" s="9">
        <v>1.2</v>
      </c>
      <c r="AN82" s="32">
        <v>1</v>
      </c>
      <c r="AO82" s="9">
        <v>3</v>
      </c>
      <c r="AP82" s="9">
        <v>0.45</v>
      </c>
      <c r="AQ82" s="32">
        <v>0.84</v>
      </c>
      <c r="AR82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412.56599999999992</v>
      </c>
      <c r="AS82" s="9">
        <f>IF(OR(AR82="",AR82="-"),"-",AR82*$M82*SQRT(3)/1000)</f>
        <v>7.8604380082300729</v>
      </c>
      <c r="AT82" s="9">
        <f>IF(RIGHT(TIM[[#This Row],[Device type]],7)="Winding","-",TIM[[#This Row],[Cont Winter MVA]])</f>
        <v>10.478907385791706</v>
      </c>
      <c r="AU82" s="9">
        <f>IF(RIGHT(TIM[[#This Row],[Device type]],7)="Winding","-",TIM[[#This Row],[Cont Shoulder MVA]])</f>
        <v>10.478907385791706</v>
      </c>
      <c r="AV82" s="9">
        <f>IF(RIGHT(TIM[[#This Row],[Device type]],7)="Winding","-",TIM[[#This Row],[Cont Summer MVA]])</f>
        <v>10.478907385791706</v>
      </c>
      <c r="AW82" s="9" t="str">
        <f>TIM[[#This Row],[24 Hr Winter MVA]]</f>
        <v>-</v>
      </c>
      <c r="AX82" s="9" t="str">
        <f>TIM[[#This Row],[24 Hr Summer MVA]]</f>
        <v>-</v>
      </c>
      <c r="AY82" s="9" t="str">
        <f>TIM[[#This Row],[Forwards MVA]]</f>
        <v>-</v>
      </c>
      <c r="AZ82" s="9" t="str">
        <f>TIM[[#This Row],[Relay MVA]]</f>
        <v>-</v>
      </c>
      <c r="BA82" s="9" t="str">
        <f>TIM[[#This Row],[CT MVA]]</f>
        <v>-</v>
      </c>
      <c r="BB82" s="9">
        <f>TIM[[#This Row],[Derating MVA]]</f>
        <v>7.8604380082300729</v>
      </c>
      <c r="BC82" s="9" t="str">
        <f>TIM[[#This Row],[Station/Feeder]]&amp;TIM[[#This Row],[Lowest MVA]]</f>
        <v>TIM_GRM_SUBTRANS7.86043800823007</v>
      </c>
      <c r="BD82" s="9" t="str">
        <f>CONCATENATE(TIM[[#This Row],[Supply Level]],TIM[[#This Row],[Station/Feeder]],TIM[[#This Row],[Voltage]],TIM[[#This Row],[Lowest A-No PTX]])</f>
        <v>SubTransmissionTIM_GRM_SUBTRANS11412.566</v>
      </c>
      <c r="BE82" s="9" t="str">
        <f>CONCATENATE(TIM[[#This Row],[Supply Level]],TIM[[#This Row],[Station/Feeder]],TIM[[#This Row],[Voltage]],TIM[[#This Row],[Lowest A-PTX]])</f>
        <v>SubTransmissionTIM_GRM_SUBTRANS11412.566</v>
      </c>
      <c r="BF82" s="9">
        <f>IFERROR(IF(MIN(TIM[[#This Row],[Summ Cont Winter A]:[Cable Derating]])=0,"",MIN(TIM[[#This Row],[Summ Cont Winter A]:[Cable Derating]])),"")</f>
        <v>7.8604380082300729</v>
      </c>
      <c r="BG82" s="9">
        <f>IFERROR(TIM[[#This Row],[Lowest MVA]]*1000/(TIM[[#This Row],[Voltage]]*SQRT(3)),"")</f>
        <v>412.56599999999986</v>
      </c>
      <c r="BH82" s="9">
        <f t="shared" si="153"/>
        <v>412.56599999999992</v>
      </c>
      <c r="BI82" s="9" t="str">
        <f>TIM[[#This Row],[From]]</f>
        <v>Joint</v>
      </c>
      <c r="BJ82" s="9" t="str">
        <f>TIM[[#This Row],[To]]</f>
        <v>Joint</v>
      </c>
      <c r="BK8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400mm² Cu PILC SWA</v>
      </c>
      <c r="BL82" s="9">
        <f>TIM[[#This Row],[Voltage]]</f>
        <v>11</v>
      </c>
    </row>
    <row r="83" spans="1:64" ht="15" hidden="1" customHeight="1" x14ac:dyDescent="0.25">
      <c r="A83" s="6" t="str">
        <f>CONCATENATE(TIM[[#This Row],[Supply Level]],TIM[[#This Row],[Station/Feeder]],TIM[[#This Row],[Voltage]])</f>
        <v>SubTransmissionTIM_GRM_SUBTRANS11</v>
      </c>
      <c r="B83" s="6" t="str">
        <f>CONCATENATE(TIM[[#This Row],[Supply Level]],TIM[[#This Row],[Station/Feeder]],TIM[[#This Row],[Equipment ID]],TIM[[#This Row],[Voltage]],TIM[[#This Row],[Device type]])</f>
        <v>SubTransmissionTIM_GRM_SUBTRANS3/1c 630mm² XLPE Cu CWS PVC HDPE11-</v>
      </c>
      <c r="C83" s="6" t="s">
        <v>1245</v>
      </c>
      <c r="D83" s="11" t="s">
        <v>106</v>
      </c>
      <c r="E83" s="6" t="s">
        <v>750</v>
      </c>
      <c r="F83" s="6" t="s">
        <v>840</v>
      </c>
      <c r="G83" s="27">
        <v>4</v>
      </c>
      <c r="H83" s="7" t="s">
        <v>811</v>
      </c>
      <c r="I83" s="7" t="s">
        <v>1279</v>
      </c>
      <c r="J83" s="7" t="s">
        <v>250</v>
      </c>
      <c r="K83" s="7" t="s">
        <v>0</v>
      </c>
      <c r="L83" s="7" t="s">
        <v>0</v>
      </c>
      <c r="M83" s="8">
        <v>11</v>
      </c>
      <c r="N83" s="9">
        <v>810</v>
      </c>
      <c r="O83" s="9">
        <f>IF(OR(N83="",N83="-"),"-",N83*$M83*SQRT(3)/1000)</f>
        <v>15.432572695438695</v>
      </c>
      <c r="P83" s="9">
        <v>810</v>
      </c>
      <c r="Q83" s="9">
        <f>IF(OR(P83="",P83="-"),"-",P83*$M83*SQRT(3)/1000)</f>
        <v>15.432572695438695</v>
      </c>
      <c r="R83" s="9">
        <v>810</v>
      </c>
      <c r="S83" s="9">
        <f>IF(OR(R83="",R83="-"),"-",R83*$M83*SQRT(3)/1000)</f>
        <v>15.432572695438695</v>
      </c>
      <c r="T83" s="9" t="s">
        <v>0</v>
      </c>
      <c r="U83" s="9" t="str">
        <f>IF(OR(T83="",T83="-"),"-",T83*$M83*SQRT(3)/1000)</f>
        <v>-</v>
      </c>
      <c r="V83" s="9" t="s">
        <v>0</v>
      </c>
      <c r="W83" s="9" t="str">
        <f>IF(OR(V83="",V83="-"),"-",V83*$M83*SQRT(3)/1000)</f>
        <v>-</v>
      </c>
      <c r="X83" s="9" t="s">
        <v>0</v>
      </c>
      <c r="Y83" s="9" t="str">
        <f>IF(OR(X83="",X83="-"),"-",X83*$M83*SQRT(3)/1000)</f>
        <v>-</v>
      </c>
      <c r="Z83" s="9" t="s">
        <v>0</v>
      </c>
      <c r="AA83" s="9" t="str">
        <f>IF(OR(Z83="",Z83="-"),"-",Z83*$M83*SQRT(3)/1000)</f>
        <v>-</v>
      </c>
      <c r="AB83" s="9" t="s">
        <v>0</v>
      </c>
      <c r="AC83" s="9" t="str">
        <f>IF(OR(AB83="",AB83="-"),"-",AB83*$M83*SQRT(3)/1000)</f>
        <v>-</v>
      </c>
      <c r="AD83" s="9" t="s">
        <v>0</v>
      </c>
      <c r="AE83" s="12" t="str">
        <f>IF(OR(AD83="",AD83="-"),"-",AD83*$M83*SQRT(3)/1000)</f>
        <v>-</v>
      </c>
      <c r="AF83" s="160" t="s">
        <v>713</v>
      </c>
      <c r="AG83" s="9" t="s">
        <v>0</v>
      </c>
      <c r="AH83" s="9">
        <v>8.1999999999999993</v>
      </c>
      <c r="AI83" s="9">
        <v>1.4</v>
      </c>
      <c r="AJ83" s="32">
        <v>0.94</v>
      </c>
      <c r="AK83" s="9">
        <v>18.5</v>
      </c>
      <c r="AL83" s="32">
        <v>0.95</v>
      </c>
      <c r="AM83" s="9">
        <v>1.2</v>
      </c>
      <c r="AN83" s="32">
        <v>1</v>
      </c>
      <c r="AO83" s="9">
        <v>3</v>
      </c>
      <c r="AP83" s="9">
        <v>0.45</v>
      </c>
      <c r="AQ83" s="32">
        <v>0.84</v>
      </c>
      <c r="AR83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607.59719999999993</v>
      </c>
      <c r="AS83" s="9">
        <f>IF(OR(AR83="",AR83="-"),"-",AR83*$M83*SQRT(3)/1000)</f>
        <v>11.576281430302473</v>
      </c>
      <c r="AT83" s="9">
        <f>IF(RIGHT(TIM[[#This Row],[Device type]],7)="Winding","-",TIM[[#This Row],[Cont Winter MVA]])</f>
        <v>15.432572695438695</v>
      </c>
      <c r="AU83" s="9">
        <f>IF(RIGHT(TIM[[#This Row],[Device type]],7)="Winding","-",TIM[[#This Row],[Cont Shoulder MVA]])</f>
        <v>15.432572695438695</v>
      </c>
      <c r="AV83" s="9">
        <f>IF(RIGHT(TIM[[#This Row],[Device type]],7)="Winding","-",TIM[[#This Row],[Cont Summer MVA]])</f>
        <v>15.432572695438695</v>
      </c>
      <c r="AW83" s="9" t="str">
        <f>TIM[[#This Row],[24 Hr Winter MVA]]</f>
        <v>-</v>
      </c>
      <c r="AX83" s="9" t="str">
        <f>TIM[[#This Row],[24 Hr Summer MVA]]</f>
        <v>-</v>
      </c>
      <c r="AY83" s="9" t="str">
        <f>TIM[[#This Row],[Forwards MVA]]</f>
        <v>-</v>
      </c>
      <c r="AZ83" s="9" t="str">
        <f>TIM[[#This Row],[Relay MVA]]</f>
        <v>-</v>
      </c>
      <c r="BA83" s="9" t="str">
        <f>TIM[[#This Row],[CT MVA]]</f>
        <v>-</v>
      </c>
      <c r="BB83" s="9">
        <f>TIM[[#This Row],[Derating MVA]]</f>
        <v>11.576281430302473</v>
      </c>
      <c r="BC83" s="9" t="str">
        <f>TIM[[#This Row],[Station/Feeder]]&amp;TIM[[#This Row],[Lowest MVA]]</f>
        <v>TIM_GRM_SUBTRANS11.5762814303025</v>
      </c>
      <c r="BD83" s="9" t="str">
        <f>CONCATENATE(TIM[[#This Row],[Supply Level]],TIM[[#This Row],[Station/Feeder]],TIM[[#This Row],[Voltage]],TIM[[#This Row],[Lowest A-No PTX]])</f>
        <v>SubTransmissionTIM_GRM_SUBTRANS11607.5972</v>
      </c>
      <c r="BE83" s="9" t="str">
        <f>CONCATENATE(TIM[[#This Row],[Supply Level]],TIM[[#This Row],[Station/Feeder]],TIM[[#This Row],[Voltage]],TIM[[#This Row],[Lowest A-PTX]])</f>
        <v>SubTransmissionTIM_GRM_SUBTRANS11607.5972</v>
      </c>
      <c r="BF83" s="9">
        <f>IFERROR(IF(MIN(TIM[[#This Row],[Summ Cont Winter A]:[Cable Derating]])=0,"",MIN(TIM[[#This Row],[Summ Cont Winter A]:[Cable Derating]])),"")</f>
        <v>11.576281430302473</v>
      </c>
      <c r="BG83" s="9">
        <f>IFERROR(TIM[[#This Row],[Lowest MVA]]*1000/(TIM[[#This Row],[Voltage]]*SQRT(3)),"")</f>
        <v>607.59719999999993</v>
      </c>
      <c r="BH83" s="9">
        <f t="shared" si="153"/>
        <v>607.59719999999993</v>
      </c>
      <c r="BI83" s="9" t="str">
        <f>TIM[[#This Row],[From]]</f>
        <v>Joint</v>
      </c>
      <c r="BJ83" s="9" t="str">
        <f>TIM[[#This Row],[To]]</f>
        <v>TEGRASMERE14</v>
      </c>
      <c r="BK8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630mm² XLPE Cu CWS PVC HDPE</v>
      </c>
      <c r="BL83" s="9">
        <f>TIM[[#This Row],[Voltage]]</f>
        <v>11</v>
      </c>
    </row>
    <row r="84" spans="1:64" ht="15" hidden="1" customHeight="1" x14ac:dyDescent="0.25">
      <c r="A84" s="6" t="str">
        <f>CONCATENATE(TIM[[#This Row],[Supply Level]],TIM[[#This Row],[Station/Feeder]],TIM[[#This Row],[Voltage]])</f>
        <v>SubTransmissionTIM_GRM_SUBTRANS11</v>
      </c>
      <c r="B84" s="6" t="str">
        <f>CONCATENATE(TIM[[#This Row],[Supply Level]],TIM[[#This Row],[Station/Feeder]],TIM[[#This Row],[Equipment ID]],TIM[[#This Row],[Voltage]],TIM[[#This Row],[Device type]])</f>
        <v>SubTransmissionTIM_GRM_SUBTRANSTIM-CB282211Protection</v>
      </c>
      <c r="C84" s="6" t="s">
        <v>1245</v>
      </c>
      <c r="D84" s="11" t="s">
        <v>106</v>
      </c>
      <c r="E84" s="6" t="s">
        <v>243</v>
      </c>
      <c r="F84" s="6" t="s">
        <v>841</v>
      </c>
      <c r="G84" s="27">
        <v>1</v>
      </c>
      <c r="H84" s="7" t="s">
        <v>2363</v>
      </c>
      <c r="I84" s="7" t="s">
        <v>2232</v>
      </c>
      <c r="J84" s="7" t="s">
        <v>15</v>
      </c>
      <c r="K84" s="7" t="s">
        <v>1121</v>
      </c>
      <c r="L84" s="7" t="s">
        <v>1423</v>
      </c>
      <c r="M84" s="8">
        <v>11</v>
      </c>
      <c r="N84" s="9">
        <v>550</v>
      </c>
      <c r="O84" s="9">
        <f t="shared" si="0"/>
        <v>10.478907385791706</v>
      </c>
      <c r="P84" s="9">
        <v>550</v>
      </c>
      <c r="Q84" s="9">
        <f t="shared" si="1"/>
        <v>10.478907385791706</v>
      </c>
      <c r="R84" s="9">
        <v>550</v>
      </c>
      <c r="S84" s="9">
        <f t="shared" si="2"/>
        <v>10.478907385791706</v>
      </c>
      <c r="T84" s="9" t="s">
        <v>0</v>
      </c>
      <c r="U84" s="9" t="str">
        <f t="shared" si="3"/>
        <v>-</v>
      </c>
      <c r="V84" s="9" t="s">
        <v>0</v>
      </c>
      <c r="W84" s="9" t="str">
        <f t="shared" si="4"/>
        <v>-</v>
      </c>
      <c r="X84" s="9">
        <f>VLOOKUP(TIM[[#This Row],[Equipment ID]],AEL_Protection_Data[#All],12,0)</f>
        <v>600</v>
      </c>
      <c r="Y84" s="9">
        <f t="shared" ref="Y84:Y102" si="154">IF(OR(X84="",X84="-"),"-",X84*$M84*SQRT(3)/1000)</f>
        <v>11.43153532995459</v>
      </c>
      <c r="Z84" s="9">
        <v>549</v>
      </c>
      <c r="AA84" s="9">
        <f t="shared" ref="AA84:AA102" si="155">IF(OR(Z84="",Z84="-"),"-",Z84*$M84*SQRT(3)/1000)</f>
        <v>10.459854826908449</v>
      </c>
      <c r="AB84" s="9">
        <v>2400</v>
      </c>
      <c r="AC84" s="9">
        <f t="shared" ref="AC84:AC102" si="156">IF(OR(AB84="",AB84="-"),"-",AB84*$M84*SQRT(3)/1000)</f>
        <v>45.72614131981836</v>
      </c>
      <c r="AD84" s="9">
        <v>1600</v>
      </c>
      <c r="AE84" s="12">
        <f t="shared" ref="AE84:AE102" si="157">IF(OR(AD84="",AD84="-"),"-",AD84*$M84*SQRT(3)/1000)</f>
        <v>30.484094213212241</v>
      </c>
      <c r="AF84" s="29" t="s">
        <v>0</v>
      </c>
      <c r="AG84" s="29" t="s">
        <v>0</v>
      </c>
      <c r="AH84" s="8" t="s">
        <v>0</v>
      </c>
      <c r="AI84" s="29" t="s">
        <v>0</v>
      </c>
      <c r="AJ84" s="32" t="s">
        <v>0</v>
      </c>
      <c r="AK84" s="29" t="s">
        <v>0</v>
      </c>
      <c r="AL84" s="32" t="s">
        <v>0</v>
      </c>
      <c r="AM84" s="29" t="s">
        <v>0</v>
      </c>
      <c r="AN84" s="32" t="s">
        <v>0</v>
      </c>
      <c r="AO84" s="29" t="s">
        <v>0</v>
      </c>
      <c r="AP84" s="29" t="s">
        <v>0</v>
      </c>
      <c r="AQ84" s="32" t="s">
        <v>0</v>
      </c>
      <c r="AR8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84" s="9" t="str">
        <f t="shared" si="9"/>
        <v>-</v>
      </c>
      <c r="AT84" s="9">
        <f>IF(RIGHT(TIM[[#This Row],[Device type]],7)="Winding","-",TIM[[#This Row],[Cont Winter MVA]])</f>
        <v>10.478907385791706</v>
      </c>
      <c r="AU84" s="9">
        <f>IF(RIGHT(TIM[[#This Row],[Device type]],7)="Winding","-",TIM[[#This Row],[Cont Shoulder MVA]])</f>
        <v>10.478907385791706</v>
      </c>
      <c r="AV84" s="9">
        <f>IF(RIGHT(TIM[[#This Row],[Device type]],7)="Winding","-",TIM[[#This Row],[Cont Summer MVA]])</f>
        <v>10.478907385791706</v>
      </c>
      <c r="AW84" s="9" t="str">
        <f>TIM[[#This Row],[24 Hr Winter MVA]]</f>
        <v>-</v>
      </c>
      <c r="AX84" s="9" t="str">
        <f>TIM[[#This Row],[24 Hr Summer MVA]]</f>
        <v>-</v>
      </c>
      <c r="AY84" s="9">
        <f>TIM[[#This Row],[Forwards MVA]]</f>
        <v>11.43153532995459</v>
      </c>
      <c r="AZ84" s="9">
        <f>TIM[[#This Row],[Relay MVA]]</f>
        <v>45.72614131981836</v>
      </c>
      <c r="BA84" s="9">
        <f>TIM[[#This Row],[CT MVA]]</f>
        <v>30.484094213212241</v>
      </c>
      <c r="BB84" s="9" t="str">
        <f>TIM[[#This Row],[Derating MVA]]</f>
        <v>-</v>
      </c>
      <c r="BC84" s="9" t="str">
        <f>TIM[[#This Row],[Station/Feeder]]&amp;TIM[[#This Row],[Lowest MVA]]</f>
        <v>TIM_GRM_SUBTRANS10.4789073857917</v>
      </c>
      <c r="BD84" s="9" t="str">
        <f>CONCATENATE(TIM[[#This Row],[Supply Level]],TIM[[#This Row],[Station/Feeder]],TIM[[#This Row],[Voltage]],TIM[[#This Row],[Lowest A-No PTX]])</f>
        <v>SubTransmissionTIM_GRM_SUBTRANS11550</v>
      </c>
      <c r="BE84" s="9" t="str">
        <f>CONCATENATE(TIM[[#This Row],[Supply Level]],TIM[[#This Row],[Station/Feeder]],TIM[[#This Row],[Voltage]],TIM[[#This Row],[Lowest A-PTX]])</f>
        <v>SubTransmissionTIM_GRM_SUBTRANS11549</v>
      </c>
      <c r="BF84" s="9">
        <f>IFERROR(IF(MIN(TIM[[#This Row],[Summ Cont Winter A]:[Cable Derating]])=0,"",MIN(TIM[[#This Row],[Summ Cont Winter A]:[Cable Derating]])),"")</f>
        <v>10.478907385791706</v>
      </c>
      <c r="BG84" s="9">
        <f>IFERROR(TIM[[#This Row],[Lowest MVA]]*1000/(TIM[[#This Row],[Voltage]]*SQRT(3)),"")</f>
        <v>550</v>
      </c>
      <c r="BH84" s="9">
        <f t="shared" si="153"/>
        <v>549</v>
      </c>
      <c r="BI84" s="9" t="str">
        <f>TIM[[#This Row],[From]]</f>
        <v>11 kV Bus</v>
      </c>
      <c r="BJ84" s="9" t="str">
        <f>TIM[[#This Row],[To]]</f>
        <v>CB2822</v>
      </c>
      <c r="BK8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Breaker-TIM-CB2822-Protection</v>
      </c>
      <c r="BL84" s="9">
        <f>TIM[[#This Row],[Voltage]]</f>
        <v>11</v>
      </c>
    </row>
    <row r="85" spans="1:64" ht="15" hidden="1" customHeight="1" x14ac:dyDescent="0.25">
      <c r="A85" s="6" t="str">
        <f>CONCATENATE(TIM[[#This Row],[Supply Level]],TIM[[#This Row],[Station/Feeder]],TIM[[#This Row],[Voltage]])</f>
        <v>SubTransmissionTIM_GRM_SUBTRANS11</v>
      </c>
      <c r="B85" s="6" t="str">
        <f>CONCATENATE(TIM[[#This Row],[Supply Level]],TIM[[#This Row],[Station/Feeder]],TIM[[#This Row],[Equipment ID]],TIM[[#This Row],[Voltage]],TIM[[#This Row],[Device type]])</f>
        <v>SubTransmissionTIM_GRM_SUBTRANS3/1c 630mm² XLPE Cu CWS PVC HDPE11-</v>
      </c>
      <c r="C85" s="6" t="s">
        <v>1245</v>
      </c>
      <c r="D85" s="11" t="s">
        <v>106</v>
      </c>
      <c r="E85" s="6" t="s">
        <v>841</v>
      </c>
      <c r="F85" s="6" t="s">
        <v>750</v>
      </c>
      <c r="G85" s="27">
        <v>2</v>
      </c>
      <c r="H85" s="7" t="s">
        <v>811</v>
      </c>
      <c r="I85" s="7" t="s">
        <v>1279</v>
      </c>
      <c r="J85" s="7" t="s">
        <v>250</v>
      </c>
      <c r="K85" s="7" t="s">
        <v>0</v>
      </c>
      <c r="L85" s="7" t="s">
        <v>0</v>
      </c>
      <c r="M85" s="8">
        <v>11</v>
      </c>
      <c r="N85" s="9">
        <v>810</v>
      </c>
      <c r="O85" s="9">
        <f>IF(OR(N85="",N85="-"),"-",N85*$M85*SQRT(3)/1000)</f>
        <v>15.432572695438695</v>
      </c>
      <c r="P85" s="9">
        <v>810</v>
      </c>
      <c r="Q85" s="9">
        <f>IF(OR(P85="",P85="-"),"-",P85*$M85*SQRT(3)/1000)</f>
        <v>15.432572695438695</v>
      </c>
      <c r="R85" s="9">
        <v>810</v>
      </c>
      <c r="S85" s="9">
        <f>IF(OR(R85="",R85="-"),"-",R85*$M85*SQRT(3)/1000)</f>
        <v>15.432572695438695</v>
      </c>
      <c r="T85" s="9" t="s">
        <v>0</v>
      </c>
      <c r="U85" s="9" t="str">
        <f>IF(OR(T85="",T85="-"),"-",T85*$M85*SQRT(3)/1000)</f>
        <v>-</v>
      </c>
      <c r="V85" s="9" t="s">
        <v>0</v>
      </c>
      <c r="W85" s="9" t="str">
        <f>IF(OR(V85="",V85="-"),"-",V85*$M85*SQRT(3)/1000)</f>
        <v>-</v>
      </c>
      <c r="X85" s="9" t="s">
        <v>0</v>
      </c>
      <c r="Y85" s="9" t="str">
        <f>IF(OR(X85="",X85="-"),"-",X85*$M85*SQRT(3)/1000)</f>
        <v>-</v>
      </c>
      <c r="Z85" s="9" t="s">
        <v>0</v>
      </c>
      <c r="AA85" s="9" t="str">
        <f>IF(OR(Z85="",Z85="-"),"-",Z85*$M85*SQRT(3)/1000)</f>
        <v>-</v>
      </c>
      <c r="AB85" s="9" t="s">
        <v>0</v>
      </c>
      <c r="AC85" s="9" t="str">
        <f>IF(OR(AB85="",AB85="-"),"-",AB85*$M85*SQRT(3)/1000)</f>
        <v>-</v>
      </c>
      <c r="AD85" s="9" t="s">
        <v>0</v>
      </c>
      <c r="AE85" s="12" t="str">
        <f>IF(OR(AD85="",AD85="-"),"-",AD85*$M85*SQRT(3)/1000)</f>
        <v>-</v>
      </c>
      <c r="AF85" s="160" t="s">
        <v>713</v>
      </c>
      <c r="AG85" s="9" t="s">
        <v>0</v>
      </c>
      <c r="AH85" s="9">
        <v>81.099999999999994</v>
      </c>
      <c r="AI85" s="9">
        <v>1.4</v>
      </c>
      <c r="AJ85" s="32">
        <v>0.94</v>
      </c>
      <c r="AK85" s="9">
        <v>18.5</v>
      </c>
      <c r="AL85" s="32">
        <v>0.95</v>
      </c>
      <c r="AM85" s="9">
        <v>1.2</v>
      </c>
      <c r="AN85" s="32">
        <v>1</v>
      </c>
      <c r="AO85" s="9">
        <v>3</v>
      </c>
      <c r="AP85" s="9">
        <v>0.45</v>
      </c>
      <c r="AQ85" s="32">
        <v>0.84</v>
      </c>
      <c r="AR85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607.59719999999993</v>
      </c>
      <c r="AS85" s="9">
        <f>IF(OR(AR85="",AR85="-"),"-",AR85*$M85*SQRT(3)/1000)</f>
        <v>11.576281430302473</v>
      </c>
      <c r="AT85" s="9">
        <f>IF(RIGHT(TIM[[#This Row],[Device type]],7)="Winding","-",TIM[[#This Row],[Cont Winter MVA]])</f>
        <v>15.432572695438695</v>
      </c>
      <c r="AU85" s="9">
        <f>IF(RIGHT(TIM[[#This Row],[Device type]],7)="Winding","-",TIM[[#This Row],[Cont Shoulder MVA]])</f>
        <v>15.432572695438695</v>
      </c>
      <c r="AV85" s="9">
        <f>IF(RIGHT(TIM[[#This Row],[Device type]],7)="Winding","-",TIM[[#This Row],[Cont Summer MVA]])</f>
        <v>15.432572695438695</v>
      </c>
      <c r="AW85" s="9" t="str">
        <f>TIM[[#This Row],[24 Hr Winter MVA]]</f>
        <v>-</v>
      </c>
      <c r="AX85" s="9" t="str">
        <f>TIM[[#This Row],[24 Hr Summer MVA]]</f>
        <v>-</v>
      </c>
      <c r="AY85" s="9" t="str">
        <f>TIM[[#This Row],[Forwards MVA]]</f>
        <v>-</v>
      </c>
      <c r="AZ85" s="9" t="str">
        <f>TIM[[#This Row],[Relay MVA]]</f>
        <v>-</v>
      </c>
      <c r="BA85" s="9" t="str">
        <f>TIM[[#This Row],[CT MVA]]</f>
        <v>-</v>
      </c>
      <c r="BB85" s="9">
        <f>TIM[[#This Row],[Derating MVA]]</f>
        <v>11.576281430302473</v>
      </c>
      <c r="BC85" s="9" t="str">
        <f>TIM[[#This Row],[Station/Feeder]]&amp;TIM[[#This Row],[Lowest MVA]]</f>
        <v>TIM_GRM_SUBTRANS11.5762814303025</v>
      </c>
      <c r="BD85" s="9" t="str">
        <f>CONCATENATE(TIM[[#This Row],[Supply Level]],TIM[[#This Row],[Station/Feeder]],TIM[[#This Row],[Voltage]],TIM[[#This Row],[Lowest A-No PTX]])</f>
        <v>SubTransmissionTIM_GRM_SUBTRANS11607.5972</v>
      </c>
      <c r="BE85" s="9" t="str">
        <f>CONCATENATE(TIM[[#This Row],[Supply Level]],TIM[[#This Row],[Station/Feeder]],TIM[[#This Row],[Voltage]],TIM[[#This Row],[Lowest A-PTX]])</f>
        <v>SubTransmissionTIM_GRM_SUBTRANS11607.5972</v>
      </c>
      <c r="BF85" s="9">
        <f>IFERROR(IF(MIN(TIM[[#This Row],[Summ Cont Winter A]:[Cable Derating]])=0,"",MIN(TIM[[#This Row],[Summ Cont Winter A]:[Cable Derating]])),"")</f>
        <v>11.576281430302473</v>
      </c>
      <c r="BG85" s="9">
        <f>IFERROR(TIM[[#This Row],[Lowest MVA]]*1000/(TIM[[#This Row],[Voltage]]*SQRT(3)),"")</f>
        <v>607.59719999999993</v>
      </c>
      <c r="BH85" s="9">
        <f t="shared" si="153"/>
        <v>607.59719999999993</v>
      </c>
      <c r="BI85" s="9" t="str">
        <f>TIM[[#This Row],[From]]</f>
        <v>CB2822</v>
      </c>
      <c r="BJ85" s="9" t="str">
        <f>TIM[[#This Row],[To]]</f>
        <v>Joint</v>
      </c>
      <c r="BK8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630mm² XLPE Cu CWS PVC HDPE</v>
      </c>
      <c r="BL85" s="9">
        <f>TIM[[#This Row],[Voltage]]</f>
        <v>11</v>
      </c>
    </row>
    <row r="86" spans="1:64" ht="15" hidden="1" customHeight="1" x14ac:dyDescent="0.25">
      <c r="A86" s="6" t="str">
        <f>CONCATENATE(TIM[[#This Row],[Supply Level]],TIM[[#This Row],[Station/Feeder]],TIM[[#This Row],[Voltage]])</f>
        <v>SubTransmissionTIM_GRM_SUBTRANS11</v>
      </c>
      <c r="B86" s="6" t="str">
        <f>CONCATENATE(TIM[[#This Row],[Supply Level]],TIM[[#This Row],[Station/Feeder]],TIM[[#This Row],[Equipment ID]],TIM[[#This Row],[Voltage]],TIM[[#This Row],[Device type]])</f>
        <v>SubTransmissionTIM_GRM_SUBTRANS3c 400mm² Cu PILC SWA11-</v>
      </c>
      <c r="C86" s="6" t="s">
        <v>1245</v>
      </c>
      <c r="D86" s="11" t="s">
        <v>106</v>
      </c>
      <c r="E86" s="6" t="s">
        <v>750</v>
      </c>
      <c r="F86" s="6" t="s">
        <v>750</v>
      </c>
      <c r="G86" s="27">
        <v>3</v>
      </c>
      <c r="H86" s="7" t="s">
        <v>811</v>
      </c>
      <c r="I86" s="7" t="s">
        <v>837</v>
      </c>
      <c r="J86" s="7" t="s">
        <v>250</v>
      </c>
      <c r="K86" s="7" t="s">
        <v>0</v>
      </c>
      <c r="L86" s="7" t="s">
        <v>0</v>
      </c>
      <c r="M86" s="8">
        <v>11</v>
      </c>
      <c r="N86" s="9">
        <v>550</v>
      </c>
      <c r="O86" s="9">
        <f>IF(OR(N86="",N86="-"),"-",N86*$M86*SQRT(3)/1000)</f>
        <v>10.478907385791706</v>
      </c>
      <c r="P86" s="9">
        <v>550</v>
      </c>
      <c r="Q86" s="9">
        <f>IF(OR(P86="",P86="-"),"-",P86*$M86*SQRT(3)/1000)</f>
        <v>10.478907385791706</v>
      </c>
      <c r="R86" s="9">
        <v>550</v>
      </c>
      <c r="S86" s="9">
        <f>IF(OR(R86="",R86="-"),"-",R86*$M86*SQRT(3)/1000)</f>
        <v>10.478907385791706</v>
      </c>
      <c r="T86" s="9" t="s">
        <v>0</v>
      </c>
      <c r="U86" s="9" t="str">
        <f>IF(OR(T86="",T86="-"),"-",T86*$M86*SQRT(3)/1000)</f>
        <v>-</v>
      </c>
      <c r="V86" s="9" t="s">
        <v>0</v>
      </c>
      <c r="W86" s="9" t="str">
        <f>IF(OR(V86="",V86="-"),"-",V86*$M86*SQRT(3)/1000)</f>
        <v>-</v>
      </c>
      <c r="X86" s="9" t="s">
        <v>0</v>
      </c>
      <c r="Y86" s="9" t="str">
        <f>IF(OR(X86="",X86="-"),"-",X86*$M86*SQRT(3)/1000)</f>
        <v>-</v>
      </c>
      <c r="Z86" s="9" t="s">
        <v>0</v>
      </c>
      <c r="AA86" s="9" t="str">
        <f>IF(OR(Z86="",Z86="-"),"-",Z86*$M86*SQRT(3)/1000)</f>
        <v>-</v>
      </c>
      <c r="AB86" s="9" t="s">
        <v>0</v>
      </c>
      <c r="AC86" s="9" t="str">
        <f>IF(OR(AB86="",AB86="-"),"-",AB86*$M86*SQRT(3)/1000)</f>
        <v>-</v>
      </c>
      <c r="AD86" s="9" t="s">
        <v>0</v>
      </c>
      <c r="AE86" s="12" t="str">
        <f>IF(OR(AD86="",AD86="-"),"-",AD86*$M86*SQRT(3)/1000)</f>
        <v>-</v>
      </c>
      <c r="AF86" s="9" t="s">
        <v>716</v>
      </c>
      <c r="AG86" s="9" t="s">
        <v>0</v>
      </c>
      <c r="AH86" s="9">
        <v>1906.4</v>
      </c>
      <c r="AI86" s="9">
        <v>1.4</v>
      </c>
      <c r="AJ86" s="32">
        <v>0.94</v>
      </c>
      <c r="AK86" s="9">
        <v>18.5</v>
      </c>
      <c r="AL86" s="32">
        <v>0.95</v>
      </c>
      <c r="AM86" s="9">
        <v>1.2</v>
      </c>
      <c r="AN86" s="32">
        <v>1</v>
      </c>
      <c r="AO86" s="9">
        <v>3</v>
      </c>
      <c r="AP86" s="9">
        <v>0.45</v>
      </c>
      <c r="AQ86" s="32">
        <v>0.84</v>
      </c>
      <c r="AR86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412.56599999999992</v>
      </c>
      <c r="AS86" s="9">
        <f>IF(OR(AR86="",AR86="-"),"-",AR86*$M86*SQRT(3)/1000)</f>
        <v>7.8604380082300729</v>
      </c>
      <c r="AT86" s="9">
        <f>IF(RIGHT(TIM[[#This Row],[Device type]],7)="Winding","-",TIM[[#This Row],[Cont Winter MVA]])</f>
        <v>10.478907385791706</v>
      </c>
      <c r="AU86" s="9">
        <f>IF(RIGHT(TIM[[#This Row],[Device type]],7)="Winding","-",TIM[[#This Row],[Cont Shoulder MVA]])</f>
        <v>10.478907385791706</v>
      </c>
      <c r="AV86" s="9">
        <f>IF(RIGHT(TIM[[#This Row],[Device type]],7)="Winding","-",TIM[[#This Row],[Cont Summer MVA]])</f>
        <v>10.478907385791706</v>
      </c>
      <c r="AW86" s="9" t="str">
        <f>TIM[[#This Row],[24 Hr Winter MVA]]</f>
        <v>-</v>
      </c>
      <c r="AX86" s="9" t="str">
        <f>TIM[[#This Row],[24 Hr Summer MVA]]</f>
        <v>-</v>
      </c>
      <c r="AY86" s="9" t="str">
        <f>TIM[[#This Row],[Forwards MVA]]</f>
        <v>-</v>
      </c>
      <c r="AZ86" s="9" t="str">
        <f>TIM[[#This Row],[Relay MVA]]</f>
        <v>-</v>
      </c>
      <c r="BA86" s="9" t="str">
        <f>TIM[[#This Row],[CT MVA]]</f>
        <v>-</v>
      </c>
      <c r="BB86" s="9">
        <f>TIM[[#This Row],[Derating MVA]]</f>
        <v>7.8604380082300729</v>
      </c>
      <c r="BC86" s="9" t="str">
        <f>TIM[[#This Row],[Station/Feeder]]&amp;TIM[[#This Row],[Lowest MVA]]</f>
        <v>TIM_GRM_SUBTRANS7.86043800823007</v>
      </c>
      <c r="BD86" s="9" t="str">
        <f>CONCATENATE(TIM[[#This Row],[Supply Level]],TIM[[#This Row],[Station/Feeder]],TIM[[#This Row],[Voltage]],TIM[[#This Row],[Lowest A-No PTX]])</f>
        <v>SubTransmissionTIM_GRM_SUBTRANS11412.566</v>
      </c>
      <c r="BE86" s="9" t="str">
        <f>CONCATENATE(TIM[[#This Row],[Supply Level]],TIM[[#This Row],[Station/Feeder]],TIM[[#This Row],[Voltage]],TIM[[#This Row],[Lowest A-PTX]])</f>
        <v>SubTransmissionTIM_GRM_SUBTRANS11412.566</v>
      </c>
      <c r="BF86" s="9">
        <f>IFERROR(IF(MIN(TIM[[#This Row],[Summ Cont Winter A]:[Cable Derating]])=0,"",MIN(TIM[[#This Row],[Summ Cont Winter A]:[Cable Derating]])),"")</f>
        <v>7.8604380082300729</v>
      </c>
      <c r="BG86" s="9">
        <f>IFERROR(TIM[[#This Row],[Lowest MVA]]*1000/(TIM[[#This Row],[Voltage]]*SQRT(3)),"")</f>
        <v>412.56599999999986</v>
      </c>
      <c r="BH86" s="9">
        <f t="shared" si="153"/>
        <v>412.56599999999992</v>
      </c>
      <c r="BI86" s="9" t="str">
        <f>TIM[[#This Row],[From]]</f>
        <v>Joint</v>
      </c>
      <c r="BJ86" s="9" t="str">
        <f>TIM[[#This Row],[To]]</f>
        <v>Joint</v>
      </c>
      <c r="BK8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400mm² Cu PILC SWA</v>
      </c>
      <c r="BL86" s="9">
        <f>TIM[[#This Row],[Voltage]]</f>
        <v>11</v>
      </c>
    </row>
    <row r="87" spans="1:64" ht="15" hidden="1" customHeight="1" x14ac:dyDescent="0.25">
      <c r="A87" s="6" t="str">
        <f>CONCATENATE(TIM[[#This Row],[Supply Level]],TIM[[#This Row],[Station/Feeder]],TIM[[#This Row],[Voltage]])</f>
        <v>SubTransmissionTIM_GRM_SUBTRANS11</v>
      </c>
      <c r="B87" s="6" t="str">
        <f>CONCATENATE(TIM[[#This Row],[Supply Level]],TIM[[#This Row],[Station/Feeder]],TIM[[#This Row],[Equipment ID]],TIM[[#This Row],[Voltage]],TIM[[#This Row],[Device type]])</f>
        <v>SubTransmissionTIM_GRM_SUBTRANS3/1c 630mm² XLPE Cu CWS PVC HDPE11-</v>
      </c>
      <c r="C87" s="6" t="s">
        <v>1245</v>
      </c>
      <c r="D87" s="11" t="s">
        <v>106</v>
      </c>
      <c r="E87" s="6" t="s">
        <v>750</v>
      </c>
      <c r="F87" s="6" t="s">
        <v>843</v>
      </c>
      <c r="G87" s="27">
        <v>4</v>
      </c>
      <c r="H87" s="7" t="s">
        <v>811</v>
      </c>
      <c r="I87" s="7" t="s">
        <v>1279</v>
      </c>
      <c r="J87" s="7" t="s">
        <v>250</v>
      </c>
      <c r="K87" s="7" t="s">
        <v>0</v>
      </c>
      <c r="L87" s="7" t="s">
        <v>0</v>
      </c>
      <c r="M87" s="8">
        <v>11</v>
      </c>
      <c r="N87" s="9">
        <v>810</v>
      </c>
      <c r="O87" s="9">
        <f>IF(OR(N87="",N87="-"),"-",N87*$M87*SQRT(3)/1000)</f>
        <v>15.432572695438695</v>
      </c>
      <c r="P87" s="9">
        <v>810</v>
      </c>
      <c r="Q87" s="9">
        <f>IF(OR(P87="",P87="-"),"-",P87*$M87*SQRT(3)/1000)</f>
        <v>15.432572695438695</v>
      </c>
      <c r="R87" s="9">
        <v>810</v>
      </c>
      <c r="S87" s="9">
        <f>IF(OR(R87="",R87="-"),"-",R87*$M87*SQRT(3)/1000)</f>
        <v>15.432572695438695</v>
      </c>
      <c r="T87" s="9" t="s">
        <v>0</v>
      </c>
      <c r="U87" s="9" t="str">
        <f>IF(OR(T87="",T87="-"),"-",T87*$M87*SQRT(3)/1000)</f>
        <v>-</v>
      </c>
      <c r="V87" s="9" t="s">
        <v>0</v>
      </c>
      <c r="W87" s="9" t="str">
        <f>IF(OR(V87="",V87="-"),"-",V87*$M87*SQRT(3)/1000)</f>
        <v>-</v>
      </c>
      <c r="X87" s="9" t="s">
        <v>0</v>
      </c>
      <c r="Y87" s="9" t="str">
        <f>IF(OR(X87="",X87="-"),"-",X87*$M87*SQRT(3)/1000)</f>
        <v>-</v>
      </c>
      <c r="Z87" s="9" t="s">
        <v>0</v>
      </c>
      <c r="AA87" s="9" t="str">
        <f>IF(OR(Z87="",Z87="-"),"-",Z87*$M87*SQRT(3)/1000)</f>
        <v>-</v>
      </c>
      <c r="AB87" s="9" t="s">
        <v>0</v>
      </c>
      <c r="AC87" s="9" t="str">
        <f>IF(OR(AB87="",AB87="-"),"-",AB87*$M87*SQRT(3)/1000)</f>
        <v>-</v>
      </c>
      <c r="AD87" s="9" t="s">
        <v>0</v>
      </c>
      <c r="AE87" s="12" t="str">
        <f>IF(OR(AD87="",AD87="-"),"-",AD87*$M87*SQRT(3)/1000)</f>
        <v>-</v>
      </c>
      <c r="AF87" s="9" t="s">
        <v>713</v>
      </c>
      <c r="AG87" s="9" t="s">
        <v>0</v>
      </c>
      <c r="AH87" s="9">
        <v>19.600000000000001</v>
      </c>
      <c r="AI87" s="9">
        <v>1.4</v>
      </c>
      <c r="AJ87" s="32">
        <v>0.94</v>
      </c>
      <c r="AK87" s="9">
        <v>18.5</v>
      </c>
      <c r="AL87" s="32">
        <v>0.95</v>
      </c>
      <c r="AM87" s="9">
        <v>1.2</v>
      </c>
      <c r="AN87" s="32">
        <v>1</v>
      </c>
      <c r="AO87" s="9">
        <v>3</v>
      </c>
      <c r="AP87" s="9">
        <v>0.45</v>
      </c>
      <c r="AQ87" s="32">
        <v>0.84</v>
      </c>
      <c r="AR87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607.59719999999993</v>
      </c>
      <c r="AS87" s="9">
        <f>IF(OR(AR87="",AR87="-"),"-",AR87*$M87*SQRT(3)/1000)</f>
        <v>11.576281430302473</v>
      </c>
      <c r="AT87" s="9">
        <f>IF(RIGHT(TIM[[#This Row],[Device type]],7)="Winding","-",TIM[[#This Row],[Cont Winter MVA]])</f>
        <v>15.432572695438695</v>
      </c>
      <c r="AU87" s="9">
        <f>IF(RIGHT(TIM[[#This Row],[Device type]],7)="Winding","-",TIM[[#This Row],[Cont Shoulder MVA]])</f>
        <v>15.432572695438695</v>
      </c>
      <c r="AV87" s="9">
        <f>IF(RIGHT(TIM[[#This Row],[Device type]],7)="Winding","-",TIM[[#This Row],[Cont Summer MVA]])</f>
        <v>15.432572695438695</v>
      </c>
      <c r="AW87" s="9" t="str">
        <f>TIM[[#This Row],[24 Hr Winter MVA]]</f>
        <v>-</v>
      </c>
      <c r="AX87" s="9" t="str">
        <f>TIM[[#This Row],[24 Hr Summer MVA]]</f>
        <v>-</v>
      </c>
      <c r="AY87" s="9" t="str">
        <f>TIM[[#This Row],[Forwards MVA]]</f>
        <v>-</v>
      </c>
      <c r="AZ87" s="9" t="str">
        <f>TIM[[#This Row],[Relay MVA]]</f>
        <v>-</v>
      </c>
      <c r="BA87" s="9" t="str">
        <f>TIM[[#This Row],[CT MVA]]</f>
        <v>-</v>
      </c>
      <c r="BB87" s="9">
        <f>TIM[[#This Row],[Derating MVA]]</f>
        <v>11.576281430302473</v>
      </c>
      <c r="BC87" s="9" t="str">
        <f>TIM[[#This Row],[Station/Feeder]]&amp;TIM[[#This Row],[Lowest MVA]]</f>
        <v>TIM_GRM_SUBTRANS11.5762814303025</v>
      </c>
      <c r="BD87" s="9" t="str">
        <f>CONCATENATE(TIM[[#This Row],[Supply Level]],TIM[[#This Row],[Station/Feeder]],TIM[[#This Row],[Voltage]],TIM[[#This Row],[Lowest A-No PTX]])</f>
        <v>SubTransmissionTIM_GRM_SUBTRANS11607.5972</v>
      </c>
      <c r="BE87" s="9" t="str">
        <f>CONCATENATE(TIM[[#This Row],[Supply Level]],TIM[[#This Row],[Station/Feeder]],TIM[[#This Row],[Voltage]],TIM[[#This Row],[Lowest A-PTX]])</f>
        <v>SubTransmissionTIM_GRM_SUBTRANS11607.5972</v>
      </c>
      <c r="BF87" s="9">
        <f>IFERROR(IF(MIN(TIM[[#This Row],[Summ Cont Winter A]:[Cable Derating]])=0,"",MIN(TIM[[#This Row],[Summ Cont Winter A]:[Cable Derating]])),"")</f>
        <v>11.576281430302473</v>
      </c>
      <c r="BG87" s="9">
        <f>IFERROR(TIM[[#This Row],[Lowest MVA]]*1000/(TIM[[#This Row],[Voltage]]*SQRT(3)),"")</f>
        <v>607.59719999999993</v>
      </c>
      <c r="BH87" s="9">
        <f t="shared" si="153"/>
        <v>607.59719999999993</v>
      </c>
      <c r="BI87" s="9" t="str">
        <f>TIM[[#This Row],[From]]</f>
        <v>Joint</v>
      </c>
      <c r="BJ87" s="9" t="str">
        <f>TIM[[#This Row],[To]]</f>
        <v>TEGRASMERE8</v>
      </c>
      <c r="BK8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630mm² XLPE Cu CWS PVC HDPE</v>
      </c>
      <c r="BL87" s="9">
        <f>TIM[[#This Row],[Voltage]]</f>
        <v>11</v>
      </c>
    </row>
    <row r="88" spans="1:64" ht="15" hidden="1" customHeight="1" x14ac:dyDescent="0.25">
      <c r="A88" s="6" t="str">
        <f>CONCATENATE(TIM[[#This Row],[Supply Level]],TIM[[#This Row],[Station/Feeder]],TIM[[#This Row],[Voltage]])</f>
        <v>SubTransmissionTIM_GRMD_SUBTRANS11</v>
      </c>
      <c r="B88" s="6" t="str">
        <f>CONCATENATE(TIM[[#This Row],[Supply Level]],TIM[[#This Row],[Station/Feeder]],TIM[[#This Row],[Equipment ID]],TIM[[#This Row],[Voltage]],TIM[[#This Row],[Device type]])</f>
        <v>SubTransmissionTIM_GRMD_SUBTRANSTIM-CB277211Protection</v>
      </c>
      <c r="C88" s="6" t="s">
        <v>1245</v>
      </c>
      <c r="D88" s="11" t="s">
        <v>1321</v>
      </c>
      <c r="E88" s="6" t="s">
        <v>243</v>
      </c>
      <c r="F88" s="6" t="s">
        <v>834</v>
      </c>
      <c r="G88" s="27">
        <v>1</v>
      </c>
      <c r="H88" s="7" t="s">
        <v>2361</v>
      </c>
      <c r="I88" s="7" t="s">
        <v>2230</v>
      </c>
      <c r="J88" s="7" t="s">
        <v>15</v>
      </c>
      <c r="K88" s="7" t="s">
        <v>1121</v>
      </c>
      <c r="L88" s="7" t="s">
        <v>1423</v>
      </c>
      <c r="M88" s="8">
        <v>11</v>
      </c>
      <c r="N88" s="9">
        <v>1250</v>
      </c>
      <c r="O88" s="9">
        <f t="shared" ref="O88" si="158">IF(OR(N88="",N88="-"),"-",N88*$M88*SQRT(3)/1000)</f>
        <v>23.815698604072061</v>
      </c>
      <c r="P88" s="9">
        <v>1250</v>
      </c>
      <c r="Q88" s="9">
        <f t="shared" ref="Q88" si="159">IF(OR(P88="",P88="-"),"-",P88*$M88*SQRT(3)/1000)</f>
        <v>23.815698604072061</v>
      </c>
      <c r="R88" s="9">
        <v>1250</v>
      </c>
      <c r="S88" s="9">
        <f t="shared" ref="S88" si="160">IF(OR(R88="",R88="-"),"-",R88*$M88*SQRT(3)/1000)</f>
        <v>23.815698604072061</v>
      </c>
      <c r="T88" s="9" t="s">
        <v>0</v>
      </c>
      <c r="U88" s="9" t="str">
        <f t="shared" ref="U88" si="161">IF(OR(T88="",T88="-"),"-",T88*$M88*SQRT(3)/1000)</f>
        <v>-</v>
      </c>
      <c r="V88" s="9" t="s">
        <v>0</v>
      </c>
      <c r="W88" s="9" t="str">
        <f t="shared" ref="W88" si="162">IF(OR(V88="",V88="-"),"-",V88*$M88*SQRT(3)/1000)</f>
        <v>-</v>
      </c>
      <c r="X88" s="9">
        <f>VLOOKUP(TIM[[#This Row],[Equipment ID]],AEL_Protection_Data[#All],12,0)</f>
        <v>600</v>
      </c>
      <c r="Y88" s="9">
        <f t="shared" ref="Y88" si="163">IF(OR(X88="",X88="-"),"-",X88*$M88*SQRT(3)/1000)</f>
        <v>11.43153532995459</v>
      </c>
      <c r="Z88" s="9">
        <v>549</v>
      </c>
      <c r="AA88" s="9">
        <f t="shared" ref="AA88" si="164">IF(OR(Z88="",Z88="-"),"-",Z88*$M88*SQRT(3)/1000)</f>
        <v>10.459854826908449</v>
      </c>
      <c r="AB88" s="9">
        <v>2400</v>
      </c>
      <c r="AC88" s="9">
        <f t="shared" ref="AC88" si="165">IF(OR(AB88="",AB88="-"),"-",AB88*$M88*SQRT(3)/1000)</f>
        <v>45.72614131981836</v>
      </c>
      <c r="AD88" s="9">
        <v>1600</v>
      </c>
      <c r="AE88" s="12">
        <f t="shared" ref="AE88" si="166">IF(OR(AD88="",AD88="-"),"-",AD88*$M88*SQRT(3)/1000)</f>
        <v>30.484094213212241</v>
      </c>
      <c r="AF88" s="9" t="s">
        <v>0</v>
      </c>
      <c r="AG88" s="9" t="s">
        <v>0</v>
      </c>
      <c r="AH88" s="8" t="s">
        <v>0</v>
      </c>
      <c r="AI88" s="9" t="s">
        <v>0</v>
      </c>
      <c r="AJ88" s="32" t="s">
        <v>0</v>
      </c>
      <c r="AK88" s="9" t="s">
        <v>0</v>
      </c>
      <c r="AL88" s="32" t="s">
        <v>0</v>
      </c>
      <c r="AM88" s="9" t="s">
        <v>0</v>
      </c>
      <c r="AN88" s="32" t="s">
        <v>0</v>
      </c>
      <c r="AO88" s="9" t="s">
        <v>0</v>
      </c>
      <c r="AP88" s="9" t="s">
        <v>0</v>
      </c>
      <c r="AQ88" s="32" t="s">
        <v>0</v>
      </c>
      <c r="AR88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88" s="9" t="str">
        <f t="shared" ref="AS88" si="167">IF(OR(AR88="",AR88="-"),"-",AR88*$M88*SQRT(3)/1000)</f>
        <v>-</v>
      </c>
      <c r="AT88" s="9">
        <f>IF(RIGHT(TIM[[#This Row],[Device type]],7)="Winding","-",TIM[[#This Row],[Cont Winter MVA]])</f>
        <v>23.815698604072061</v>
      </c>
      <c r="AU88" s="9">
        <f>IF(RIGHT(TIM[[#This Row],[Device type]],7)="Winding","-",TIM[[#This Row],[Cont Shoulder MVA]])</f>
        <v>23.815698604072061</v>
      </c>
      <c r="AV88" s="9">
        <f>IF(RIGHT(TIM[[#This Row],[Device type]],7)="Winding","-",TIM[[#This Row],[Cont Summer MVA]])</f>
        <v>23.815698604072061</v>
      </c>
      <c r="AW88" s="9" t="str">
        <f>TIM[[#This Row],[24 Hr Winter MVA]]</f>
        <v>-</v>
      </c>
      <c r="AX88" s="9" t="str">
        <f>TIM[[#This Row],[24 Hr Summer MVA]]</f>
        <v>-</v>
      </c>
      <c r="AY88" s="9">
        <f>TIM[[#This Row],[Forwards MVA]]</f>
        <v>11.43153532995459</v>
      </c>
      <c r="AZ88" s="9">
        <f>TIM[[#This Row],[Relay MVA]]</f>
        <v>45.72614131981836</v>
      </c>
      <c r="BA88" s="9">
        <f>TIM[[#This Row],[CT MVA]]</f>
        <v>30.484094213212241</v>
      </c>
      <c r="BB88" s="9" t="str">
        <f>TIM[[#This Row],[Derating MVA]]</f>
        <v>-</v>
      </c>
      <c r="BC88" s="9" t="str">
        <f>TIM[[#This Row],[Station/Feeder]]&amp;TIM[[#This Row],[Lowest MVA]]</f>
        <v>TIM_GRMD_SUBTRANS11.4315353299546</v>
      </c>
      <c r="BD88" s="9" t="str">
        <f>CONCATENATE(TIM[[#This Row],[Supply Level]],TIM[[#This Row],[Station/Feeder]],TIM[[#This Row],[Voltage]],TIM[[#This Row],[Lowest A-No PTX]])</f>
        <v>SubTransmissionTIM_GRMD_SUBTRANS11600</v>
      </c>
      <c r="BE88" s="9" t="str">
        <f>CONCATENATE(TIM[[#This Row],[Supply Level]],TIM[[#This Row],[Station/Feeder]],TIM[[#This Row],[Voltage]],TIM[[#This Row],[Lowest A-PTX]])</f>
        <v>SubTransmissionTIM_GRMD_SUBTRANS11549</v>
      </c>
      <c r="BF88" s="9">
        <f>IFERROR(IF(MIN(TIM[[#This Row],[Summ Cont Winter A]:[Cable Derating]])=0,"",MIN(TIM[[#This Row],[Summ Cont Winter A]:[Cable Derating]])),"")</f>
        <v>11.43153532995459</v>
      </c>
      <c r="BG88" s="9">
        <f>IFERROR(TIM[[#This Row],[Lowest MVA]]*1000/(TIM[[#This Row],[Voltage]]*SQRT(3)),"")</f>
        <v>600</v>
      </c>
      <c r="BH88" s="9">
        <f t="shared" ref="BH88:BH98" si="168">IF(MIN(N88,P88,R88,T88,V88,X88,Z88,AB88,AD88,AR88)=0,"",MIN(N88,P88,R88,T88,V88,X88,Z88,AB88,AD88,AR88))</f>
        <v>549</v>
      </c>
      <c r="BI88" s="9" t="str">
        <f>TIM[[#This Row],[From]]</f>
        <v>11 kV Bus</v>
      </c>
      <c r="BJ88" s="9" t="str">
        <f>TIM[[#This Row],[To]]</f>
        <v>CB2772</v>
      </c>
      <c r="BK8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Breaker-TIM-CB2772-Protection</v>
      </c>
      <c r="BL88" s="9">
        <f>TIM[[#This Row],[Voltage]]</f>
        <v>11</v>
      </c>
    </row>
    <row r="89" spans="1:64" ht="15" hidden="1" customHeight="1" x14ac:dyDescent="0.25">
      <c r="A89" s="6" t="str">
        <f>CONCATENATE(TIM[[#This Row],[Supply Level]],TIM[[#This Row],[Station/Feeder]],TIM[[#This Row],[Voltage]])</f>
        <v>SubTransmissionTIM_GRMD_SUBTRANS11</v>
      </c>
      <c r="B89" s="6" t="str">
        <f>CONCATENATE(TIM[[#This Row],[Supply Level]],TIM[[#This Row],[Station/Feeder]],TIM[[#This Row],[Equipment ID]],TIM[[#This Row],[Voltage]],TIM[[#This Row],[Device type]])</f>
        <v>SubTransmissionTIM_GRMD_SUBTRANS3/1c 630mm² XLPE Cu CWS PVC HDPE11-</v>
      </c>
      <c r="C89" s="6" t="s">
        <v>1245</v>
      </c>
      <c r="D89" s="11" t="s">
        <v>1321</v>
      </c>
      <c r="E89" s="6" t="s">
        <v>834</v>
      </c>
      <c r="F89" s="6" t="s">
        <v>750</v>
      </c>
      <c r="G89" s="27">
        <v>2</v>
      </c>
      <c r="H89" s="7" t="s">
        <v>811</v>
      </c>
      <c r="I89" s="7" t="s">
        <v>1279</v>
      </c>
      <c r="J89" s="7" t="s">
        <v>250</v>
      </c>
      <c r="K89" s="7" t="s">
        <v>0</v>
      </c>
      <c r="L89" s="7" t="s">
        <v>0</v>
      </c>
      <c r="M89" s="8">
        <v>11</v>
      </c>
      <c r="N89" s="9">
        <v>810</v>
      </c>
      <c r="O89" s="9">
        <f>IF(OR(N89="",N89="-"),"-",N89*$M89*SQRT(3)/1000)</f>
        <v>15.432572695438695</v>
      </c>
      <c r="P89" s="9">
        <v>810</v>
      </c>
      <c r="Q89" s="9">
        <f>IF(OR(P89="",P89="-"),"-",P89*$M89*SQRT(3)/1000)</f>
        <v>15.432572695438695</v>
      </c>
      <c r="R89" s="9">
        <v>810</v>
      </c>
      <c r="S89" s="9">
        <f>IF(OR(R89="",R89="-"),"-",R89*$M89*SQRT(3)/1000)</f>
        <v>15.432572695438695</v>
      </c>
      <c r="T89" s="9" t="s">
        <v>0</v>
      </c>
      <c r="U89" s="9" t="str">
        <f>IF(OR(T89="",T89="-"),"-",T89*$M89*SQRT(3)/1000)</f>
        <v>-</v>
      </c>
      <c r="V89" s="9" t="s">
        <v>0</v>
      </c>
      <c r="W89" s="9" t="str">
        <f>IF(OR(V89="",V89="-"),"-",V89*$M89*SQRT(3)/1000)</f>
        <v>-</v>
      </c>
      <c r="X89" s="9" t="s">
        <v>0</v>
      </c>
      <c r="Y89" s="9" t="str">
        <f>IF(OR(X89="",X89="-"),"-",X89*$M89*SQRT(3)/1000)</f>
        <v>-</v>
      </c>
      <c r="Z89" s="9" t="s">
        <v>0</v>
      </c>
      <c r="AA89" s="9" t="str">
        <f>IF(OR(Z89="",Z89="-"),"-",Z89*$M89*SQRT(3)/1000)</f>
        <v>-</v>
      </c>
      <c r="AB89" s="9" t="s">
        <v>0</v>
      </c>
      <c r="AC89" s="9" t="str">
        <f>IF(OR(AB89="",AB89="-"),"-",AB89*$M89*SQRT(3)/1000)</f>
        <v>-</v>
      </c>
      <c r="AD89" s="9" t="s">
        <v>0</v>
      </c>
      <c r="AE89" s="12" t="str">
        <f>IF(OR(AD89="",AD89="-"),"-",AD89*$M89*SQRT(3)/1000)</f>
        <v>-</v>
      </c>
      <c r="AF89" s="159" t="s">
        <v>713</v>
      </c>
      <c r="AG89" s="9" t="s">
        <v>0</v>
      </c>
      <c r="AH89" s="9">
        <v>79.3</v>
      </c>
      <c r="AI89" s="9">
        <v>1.4</v>
      </c>
      <c r="AJ89" s="32">
        <v>0.94</v>
      </c>
      <c r="AK89" s="9">
        <v>18.5</v>
      </c>
      <c r="AL89" s="32">
        <v>0.95</v>
      </c>
      <c r="AM89" s="9">
        <v>1.2</v>
      </c>
      <c r="AN89" s="32">
        <v>1</v>
      </c>
      <c r="AO89" s="9">
        <v>3</v>
      </c>
      <c r="AP89" s="9">
        <v>0.45</v>
      </c>
      <c r="AQ89" s="32">
        <v>0.84</v>
      </c>
      <c r="AR89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607.59719999999993</v>
      </c>
      <c r="AS89" s="9">
        <f>IF(OR(AR89="",AR89="-"),"-",AR89*$M89*SQRT(3)/1000)</f>
        <v>11.576281430302473</v>
      </c>
      <c r="AT89" s="9">
        <f>IF(RIGHT(TIM[[#This Row],[Device type]],7)="Winding","-",TIM[[#This Row],[Cont Winter MVA]])</f>
        <v>15.432572695438695</v>
      </c>
      <c r="AU89" s="9">
        <f>IF(RIGHT(TIM[[#This Row],[Device type]],7)="Winding","-",TIM[[#This Row],[Cont Shoulder MVA]])</f>
        <v>15.432572695438695</v>
      </c>
      <c r="AV89" s="9">
        <f>IF(RIGHT(TIM[[#This Row],[Device type]],7)="Winding","-",TIM[[#This Row],[Cont Summer MVA]])</f>
        <v>15.432572695438695</v>
      </c>
      <c r="AW89" s="9" t="str">
        <f>TIM[[#This Row],[24 Hr Winter MVA]]</f>
        <v>-</v>
      </c>
      <c r="AX89" s="9" t="str">
        <f>TIM[[#This Row],[24 Hr Summer MVA]]</f>
        <v>-</v>
      </c>
      <c r="AY89" s="9" t="str">
        <f>TIM[[#This Row],[Forwards MVA]]</f>
        <v>-</v>
      </c>
      <c r="AZ89" s="9" t="str">
        <f>TIM[[#This Row],[Relay MVA]]</f>
        <v>-</v>
      </c>
      <c r="BA89" s="9" t="str">
        <f>TIM[[#This Row],[CT MVA]]</f>
        <v>-</v>
      </c>
      <c r="BB89" s="9">
        <f>TIM[[#This Row],[Derating MVA]]</f>
        <v>11.576281430302473</v>
      </c>
      <c r="BC89" s="9" t="str">
        <f>TIM[[#This Row],[Station/Feeder]]&amp;TIM[[#This Row],[Lowest MVA]]</f>
        <v>TIM_GRMD_SUBTRANS11.5762814303025</v>
      </c>
      <c r="BD89" s="9" t="str">
        <f>CONCATENATE(TIM[[#This Row],[Supply Level]],TIM[[#This Row],[Station/Feeder]],TIM[[#This Row],[Voltage]],TIM[[#This Row],[Lowest A-No PTX]])</f>
        <v>SubTransmissionTIM_GRMD_SUBTRANS11607.5972</v>
      </c>
      <c r="BE89" s="9" t="str">
        <f>CONCATENATE(TIM[[#This Row],[Supply Level]],TIM[[#This Row],[Station/Feeder]],TIM[[#This Row],[Voltage]],TIM[[#This Row],[Lowest A-PTX]])</f>
        <v>SubTransmissionTIM_GRMD_SUBTRANS11607.5972</v>
      </c>
      <c r="BF89" s="9">
        <f>IFERROR(IF(MIN(TIM[[#This Row],[Summ Cont Winter A]:[Cable Derating]])=0,"",MIN(TIM[[#This Row],[Summ Cont Winter A]:[Cable Derating]])),"")</f>
        <v>11.576281430302473</v>
      </c>
      <c r="BG89" s="9">
        <f>IFERROR(TIM[[#This Row],[Lowest MVA]]*1000/(TIM[[#This Row],[Voltage]]*SQRT(3)),"")</f>
        <v>607.59719999999993</v>
      </c>
      <c r="BH89" s="9">
        <f t="shared" si="168"/>
        <v>607.59719999999993</v>
      </c>
      <c r="BI89" s="9" t="str">
        <f>TIM[[#This Row],[From]]</f>
        <v>CB2772</v>
      </c>
      <c r="BJ89" s="9" t="str">
        <f>TIM[[#This Row],[To]]</f>
        <v>Joint</v>
      </c>
      <c r="BK8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630mm² XLPE Cu CWS PVC HDPE</v>
      </c>
      <c r="BL89" s="9">
        <f>TIM[[#This Row],[Voltage]]</f>
        <v>11</v>
      </c>
    </row>
    <row r="90" spans="1:64" ht="15" hidden="1" customHeight="1" x14ac:dyDescent="0.25">
      <c r="A90" s="6" t="str">
        <f>CONCATENATE(TIM[[#This Row],[Supply Level]],TIM[[#This Row],[Station/Feeder]],TIM[[#This Row],[Voltage]])</f>
        <v>SubTransmissionTIM_GRMD_SUBTRANS11</v>
      </c>
      <c r="B90" s="6" t="str">
        <f>CONCATENATE(TIM[[#This Row],[Supply Level]],TIM[[#This Row],[Station/Feeder]],TIM[[#This Row],[Equipment ID]],TIM[[#This Row],[Voltage]],TIM[[#This Row],[Device type]])</f>
        <v>SubTransmissionTIM_GRMD_SUBTRANS3c 400mm² Cu PILC SWA11-</v>
      </c>
      <c r="C90" s="6" t="s">
        <v>1245</v>
      </c>
      <c r="D90" s="11" t="s">
        <v>1321</v>
      </c>
      <c r="E90" s="6" t="s">
        <v>750</v>
      </c>
      <c r="F90" s="6" t="s">
        <v>836</v>
      </c>
      <c r="G90" s="27">
        <v>3</v>
      </c>
      <c r="H90" s="7" t="s">
        <v>811</v>
      </c>
      <c r="I90" s="7" t="s">
        <v>837</v>
      </c>
      <c r="J90" s="7" t="s">
        <v>250</v>
      </c>
      <c r="K90" s="7" t="s">
        <v>0</v>
      </c>
      <c r="L90" s="7" t="s">
        <v>0</v>
      </c>
      <c r="M90" s="8">
        <v>11</v>
      </c>
      <c r="N90" s="9">
        <v>550</v>
      </c>
      <c r="O90" s="9">
        <f>IF(OR(N90="",N90="-"),"-",N90*$M90*SQRT(3)/1000)</f>
        <v>10.478907385791706</v>
      </c>
      <c r="P90" s="9">
        <v>550</v>
      </c>
      <c r="Q90" s="9">
        <f>IF(OR(P90="",P90="-"),"-",P90*$M90*SQRT(3)/1000)</f>
        <v>10.478907385791706</v>
      </c>
      <c r="R90" s="9">
        <v>550</v>
      </c>
      <c r="S90" s="9">
        <f>IF(OR(R90="",R90="-"),"-",R90*$M90*SQRT(3)/1000)</f>
        <v>10.478907385791706</v>
      </c>
      <c r="T90" s="9" t="s">
        <v>0</v>
      </c>
      <c r="U90" s="9" t="str">
        <f>IF(OR(T90="",T90="-"),"-",T90*$M90*SQRT(3)/1000)</f>
        <v>-</v>
      </c>
      <c r="V90" s="9" t="s">
        <v>0</v>
      </c>
      <c r="W90" s="9" t="str">
        <f>IF(OR(V90="",V90="-"),"-",V90*$M90*SQRT(3)/1000)</f>
        <v>-</v>
      </c>
      <c r="X90" s="9" t="s">
        <v>0</v>
      </c>
      <c r="Y90" s="9" t="str">
        <f>IF(OR(X90="",X90="-"),"-",X90*$M90*SQRT(3)/1000)</f>
        <v>-</v>
      </c>
      <c r="Z90" s="9" t="s">
        <v>0</v>
      </c>
      <c r="AA90" s="9" t="str">
        <f>IF(OR(Z90="",Z90="-"),"-",Z90*$M90*SQRT(3)/1000)</f>
        <v>-</v>
      </c>
      <c r="AB90" s="9" t="s">
        <v>0</v>
      </c>
      <c r="AC90" s="9" t="str">
        <f>IF(OR(AB90="",AB90="-"),"-",AB90*$M90*SQRT(3)/1000)</f>
        <v>-</v>
      </c>
      <c r="AD90" s="9" t="s">
        <v>0</v>
      </c>
      <c r="AE90" s="12" t="str">
        <f>IF(OR(AD90="",AD90="-"),"-",AD90*$M90*SQRT(3)/1000)</f>
        <v>-</v>
      </c>
      <c r="AF90" s="9" t="s">
        <v>716</v>
      </c>
      <c r="AG90" s="9" t="s">
        <v>0</v>
      </c>
      <c r="AH90" s="9">
        <v>1790.7</v>
      </c>
      <c r="AI90" s="9">
        <v>1.4</v>
      </c>
      <c r="AJ90" s="32">
        <v>0.94</v>
      </c>
      <c r="AK90" s="9">
        <v>18.5</v>
      </c>
      <c r="AL90" s="32">
        <v>0.95</v>
      </c>
      <c r="AM90" s="9">
        <v>1.2</v>
      </c>
      <c r="AN90" s="32">
        <v>1</v>
      </c>
      <c r="AO90" s="9">
        <v>3</v>
      </c>
      <c r="AP90" s="9">
        <v>0.45</v>
      </c>
      <c r="AQ90" s="32">
        <v>0.84</v>
      </c>
      <c r="AR90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412.56599999999992</v>
      </c>
      <c r="AS90" s="9">
        <f>IF(OR(AR90="",AR90="-"),"-",AR90*$M90*SQRT(3)/1000)</f>
        <v>7.8604380082300729</v>
      </c>
      <c r="AT90" s="9">
        <f>IF(RIGHT(TIM[[#This Row],[Device type]],7)="Winding","-",TIM[[#This Row],[Cont Winter MVA]])</f>
        <v>10.478907385791706</v>
      </c>
      <c r="AU90" s="9">
        <f>IF(RIGHT(TIM[[#This Row],[Device type]],7)="Winding","-",TIM[[#This Row],[Cont Shoulder MVA]])</f>
        <v>10.478907385791706</v>
      </c>
      <c r="AV90" s="9">
        <f>IF(RIGHT(TIM[[#This Row],[Device type]],7)="Winding","-",TIM[[#This Row],[Cont Summer MVA]])</f>
        <v>10.478907385791706</v>
      </c>
      <c r="AW90" s="9" t="str">
        <f>TIM[[#This Row],[24 Hr Winter MVA]]</f>
        <v>-</v>
      </c>
      <c r="AX90" s="9" t="str">
        <f>TIM[[#This Row],[24 Hr Summer MVA]]</f>
        <v>-</v>
      </c>
      <c r="AY90" s="9" t="str">
        <f>TIM[[#This Row],[Forwards MVA]]</f>
        <v>-</v>
      </c>
      <c r="AZ90" s="9" t="str">
        <f>TIM[[#This Row],[Relay MVA]]</f>
        <v>-</v>
      </c>
      <c r="BA90" s="9" t="str">
        <f>TIM[[#This Row],[CT MVA]]</f>
        <v>-</v>
      </c>
      <c r="BB90" s="9">
        <f>TIM[[#This Row],[Derating MVA]]</f>
        <v>7.8604380082300729</v>
      </c>
      <c r="BC90" s="9" t="str">
        <f>TIM[[#This Row],[Station/Feeder]]&amp;TIM[[#This Row],[Lowest MVA]]</f>
        <v>TIM_GRMD_SUBTRANS7.86043800823007</v>
      </c>
      <c r="BD90" s="9" t="str">
        <f>CONCATENATE(TIM[[#This Row],[Supply Level]],TIM[[#This Row],[Station/Feeder]],TIM[[#This Row],[Voltage]],TIM[[#This Row],[Lowest A-No PTX]])</f>
        <v>SubTransmissionTIM_GRMD_SUBTRANS11412.566</v>
      </c>
      <c r="BE90" s="9" t="str">
        <f>CONCATENATE(TIM[[#This Row],[Supply Level]],TIM[[#This Row],[Station/Feeder]],TIM[[#This Row],[Voltage]],TIM[[#This Row],[Lowest A-PTX]])</f>
        <v>SubTransmissionTIM_GRMD_SUBTRANS11412.566</v>
      </c>
      <c r="BF90" s="9">
        <f>IFERROR(IF(MIN(TIM[[#This Row],[Summ Cont Winter A]:[Cable Derating]])=0,"",MIN(TIM[[#This Row],[Summ Cont Winter A]:[Cable Derating]])),"")</f>
        <v>7.8604380082300729</v>
      </c>
      <c r="BG90" s="9">
        <f>IFERROR(TIM[[#This Row],[Lowest MVA]]*1000/(TIM[[#This Row],[Voltage]]*SQRT(3)),"")</f>
        <v>412.56599999999986</v>
      </c>
      <c r="BH90" s="9">
        <f t="shared" si="168"/>
        <v>412.56599999999992</v>
      </c>
      <c r="BI90" s="9" t="str">
        <f>TIM[[#This Row],[From]]</f>
        <v>Joint</v>
      </c>
      <c r="BJ90" s="9" t="str">
        <f>TIM[[#This Row],[To]]</f>
        <v>TEGRASMERE19</v>
      </c>
      <c r="BK9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400mm² Cu PILC SWA</v>
      </c>
      <c r="BL90" s="9">
        <f>TIM[[#This Row],[Voltage]]</f>
        <v>11</v>
      </c>
    </row>
    <row r="91" spans="1:64" ht="15" hidden="1" customHeight="1" x14ac:dyDescent="0.25">
      <c r="A91" s="6" t="str">
        <f>CONCATENATE(TIM[[#This Row],[Supply Level]],TIM[[#This Row],[Station/Feeder]],TIM[[#This Row],[Voltage]])</f>
        <v>SubTransmissionTIM_GRMC_SUBTRANS11</v>
      </c>
      <c r="B91" s="6" t="str">
        <f>CONCATENATE(TIM[[#This Row],[Supply Level]],TIM[[#This Row],[Station/Feeder]],TIM[[#This Row],[Equipment ID]],TIM[[#This Row],[Voltage]],TIM[[#This Row],[Device type]])</f>
        <v>SubTransmissionTIM_GRMC_SUBTRANSTIM-CB281211Protection</v>
      </c>
      <c r="C91" s="6" t="s">
        <v>1245</v>
      </c>
      <c r="D91" s="11" t="s">
        <v>1320</v>
      </c>
      <c r="E91" s="6" t="s">
        <v>243</v>
      </c>
      <c r="F91" s="6" t="s">
        <v>838</v>
      </c>
      <c r="G91" s="27">
        <v>1</v>
      </c>
      <c r="H91" s="7" t="s">
        <v>2362</v>
      </c>
      <c r="I91" s="7" t="s">
        <v>2231</v>
      </c>
      <c r="J91" s="7" t="s">
        <v>15</v>
      </c>
      <c r="K91" s="7" t="s">
        <v>1121</v>
      </c>
      <c r="L91" s="7" t="s">
        <v>1423</v>
      </c>
      <c r="M91" s="8">
        <v>11</v>
      </c>
      <c r="N91" s="9">
        <v>550</v>
      </c>
      <c r="O91" s="9">
        <f t="shared" ref="O91" si="169">IF(OR(N91="",N91="-"),"-",N91*$M91*SQRT(3)/1000)</f>
        <v>10.478907385791706</v>
      </c>
      <c r="P91" s="9">
        <v>550</v>
      </c>
      <c r="Q91" s="9">
        <f t="shared" ref="Q91" si="170">IF(OR(P91="",P91="-"),"-",P91*$M91*SQRT(3)/1000)</f>
        <v>10.478907385791706</v>
      </c>
      <c r="R91" s="9">
        <v>810</v>
      </c>
      <c r="S91" s="9">
        <f t="shared" ref="S91" si="171">IF(OR(R91="",R91="-"),"-",R91*$M91*SQRT(3)/1000)</f>
        <v>15.432572695438695</v>
      </c>
      <c r="T91" s="9" t="s">
        <v>0</v>
      </c>
      <c r="U91" s="9" t="str">
        <f t="shared" ref="U91" si="172">IF(OR(T91="",T91="-"),"-",T91*$M91*SQRT(3)/1000)</f>
        <v>-</v>
      </c>
      <c r="V91" s="9" t="s">
        <v>0</v>
      </c>
      <c r="W91" s="9" t="str">
        <f t="shared" ref="W91" si="173">IF(OR(V91="",V91="-"),"-",V91*$M91*SQRT(3)/1000)</f>
        <v>-</v>
      </c>
      <c r="X91" s="9">
        <f>VLOOKUP(TIM[[#This Row],[Equipment ID]],AEL_Protection_Data[#All],12,0)</f>
        <v>600</v>
      </c>
      <c r="Y91" s="9">
        <f t="shared" ref="Y91" si="174">IF(OR(X91="",X91="-"),"-",X91*$M91*SQRT(3)/1000)</f>
        <v>11.43153532995459</v>
      </c>
      <c r="Z91" s="9">
        <v>549</v>
      </c>
      <c r="AA91" s="9">
        <f t="shared" ref="AA91" si="175">IF(OR(Z91="",Z91="-"),"-",Z91*$M91*SQRT(3)/1000)</f>
        <v>10.459854826908449</v>
      </c>
      <c r="AB91" s="9">
        <v>2400</v>
      </c>
      <c r="AC91" s="9">
        <f t="shared" ref="AC91" si="176">IF(OR(AB91="",AB91="-"),"-",AB91*$M91*SQRT(3)/1000)</f>
        <v>45.72614131981836</v>
      </c>
      <c r="AD91" s="9">
        <v>1600</v>
      </c>
      <c r="AE91" s="12">
        <f t="shared" ref="AE91" si="177">IF(OR(AD91="",AD91="-"),"-",AD91*$M91*SQRT(3)/1000)</f>
        <v>30.484094213212241</v>
      </c>
      <c r="AF91" s="29" t="s">
        <v>0</v>
      </c>
      <c r="AG91" s="29" t="s">
        <v>0</v>
      </c>
      <c r="AH91" s="8" t="s">
        <v>0</v>
      </c>
      <c r="AI91" s="29" t="s">
        <v>0</v>
      </c>
      <c r="AJ91" s="32" t="s">
        <v>0</v>
      </c>
      <c r="AK91" s="29" t="s">
        <v>0</v>
      </c>
      <c r="AL91" s="32" t="s">
        <v>0</v>
      </c>
      <c r="AM91" s="29" t="s">
        <v>0</v>
      </c>
      <c r="AN91" s="32" t="s">
        <v>0</v>
      </c>
      <c r="AO91" s="29" t="s">
        <v>0</v>
      </c>
      <c r="AP91" s="29" t="s">
        <v>0</v>
      </c>
      <c r="AQ91" s="32" t="s">
        <v>0</v>
      </c>
      <c r="AR9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91" s="9" t="str">
        <f t="shared" ref="AS91" si="178">IF(OR(AR91="",AR91="-"),"-",AR91*$M91*SQRT(3)/1000)</f>
        <v>-</v>
      </c>
      <c r="AT91" s="9">
        <f>IF(RIGHT(TIM[[#This Row],[Device type]],7)="Winding","-",TIM[[#This Row],[Cont Winter MVA]])</f>
        <v>10.478907385791706</v>
      </c>
      <c r="AU91" s="9">
        <f>IF(RIGHT(TIM[[#This Row],[Device type]],7)="Winding","-",TIM[[#This Row],[Cont Shoulder MVA]])</f>
        <v>10.478907385791706</v>
      </c>
      <c r="AV91" s="9">
        <f>IF(RIGHT(TIM[[#This Row],[Device type]],7)="Winding","-",TIM[[#This Row],[Cont Summer MVA]])</f>
        <v>15.432572695438695</v>
      </c>
      <c r="AW91" s="9" t="str">
        <f>TIM[[#This Row],[24 Hr Winter MVA]]</f>
        <v>-</v>
      </c>
      <c r="AX91" s="9" t="str">
        <f>TIM[[#This Row],[24 Hr Summer MVA]]</f>
        <v>-</v>
      </c>
      <c r="AY91" s="9">
        <f>TIM[[#This Row],[Forwards MVA]]</f>
        <v>11.43153532995459</v>
      </c>
      <c r="AZ91" s="9">
        <f>TIM[[#This Row],[Relay MVA]]</f>
        <v>45.72614131981836</v>
      </c>
      <c r="BA91" s="9">
        <f>TIM[[#This Row],[CT MVA]]</f>
        <v>30.484094213212241</v>
      </c>
      <c r="BB91" s="9" t="str">
        <f>TIM[[#This Row],[Derating MVA]]</f>
        <v>-</v>
      </c>
      <c r="BC91" s="9" t="str">
        <f>TIM[[#This Row],[Station/Feeder]]&amp;TIM[[#This Row],[Lowest MVA]]</f>
        <v>TIM_GRMC_SUBTRANS10.4789073857917</v>
      </c>
      <c r="BD91" s="9" t="str">
        <f>CONCATENATE(TIM[[#This Row],[Supply Level]],TIM[[#This Row],[Station/Feeder]],TIM[[#This Row],[Voltage]],TIM[[#This Row],[Lowest A-No PTX]])</f>
        <v>SubTransmissionTIM_GRMC_SUBTRANS11550</v>
      </c>
      <c r="BE91" s="9" t="str">
        <f>CONCATENATE(TIM[[#This Row],[Supply Level]],TIM[[#This Row],[Station/Feeder]],TIM[[#This Row],[Voltage]],TIM[[#This Row],[Lowest A-PTX]])</f>
        <v>SubTransmissionTIM_GRMC_SUBTRANS11549</v>
      </c>
      <c r="BF91" s="9">
        <f>IFERROR(IF(MIN(TIM[[#This Row],[Summ Cont Winter A]:[Cable Derating]])=0,"",MIN(TIM[[#This Row],[Summ Cont Winter A]:[Cable Derating]])),"")</f>
        <v>10.478907385791706</v>
      </c>
      <c r="BG91" s="9">
        <f>IFERROR(TIM[[#This Row],[Lowest MVA]]*1000/(TIM[[#This Row],[Voltage]]*SQRT(3)),"")</f>
        <v>550</v>
      </c>
      <c r="BH91" s="9">
        <f t="shared" si="168"/>
        <v>549</v>
      </c>
      <c r="BI91" s="9" t="str">
        <f>TIM[[#This Row],[From]]</f>
        <v>11 kV Bus</v>
      </c>
      <c r="BJ91" s="9" t="str">
        <f>TIM[[#This Row],[To]]</f>
        <v>CB2812</v>
      </c>
      <c r="BK9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Breaker-TIM-CB2812-Protection</v>
      </c>
      <c r="BL91" s="9">
        <f>TIM[[#This Row],[Voltage]]</f>
        <v>11</v>
      </c>
    </row>
    <row r="92" spans="1:64" ht="15" hidden="1" customHeight="1" x14ac:dyDescent="0.25">
      <c r="A92" s="6" t="str">
        <f>CONCATENATE(TIM[[#This Row],[Supply Level]],TIM[[#This Row],[Station/Feeder]],TIM[[#This Row],[Voltage]])</f>
        <v>SubTransmissionTIM_GRMC_SUBTRANS11</v>
      </c>
      <c r="B92" s="6" t="str">
        <f>CONCATENATE(TIM[[#This Row],[Supply Level]],TIM[[#This Row],[Station/Feeder]],TIM[[#This Row],[Equipment ID]],TIM[[#This Row],[Voltage]],TIM[[#This Row],[Device type]])</f>
        <v>SubTransmissionTIM_GRMC_SUBTRANS3/1c 630mm² XLPE Cu CWS PVC HDPE11-</v>
      </c>
      <c r="C92" s="6" t="s">
        <v>1245</v>
      </c>
      <c r="D92" s="11" t="s">
        <v>1320</v>
      </c>
      <c r="E92" s="6" t="s">
        <v>838</v>
      </c>
      <c r="F92" s="6" t="s">
        <v>750</v>
      </c>
      <c r="G92" s="27">
        <v>2</v>
      </c>
      <c r="H92" s="7" t="s">
        <v>811</v>
      </c>
      <c r="I92" s="7" t="s">
        <v>1279</v>
      </c>
      <c r="J92" s="7" t="s">
        <v>250</v>
      </c>
      <c r="K92" s="7" t="s">
        <v>0</v>
      </c>
      <c r="L92" s="7" t="s">
        <v>0</v>
      </c>
      <c r="M92" s="8">
        <v>11</v>
      </c>
      <c r="N92" s="9">
        <v>810</v>
      </c>
      <c r="O92" s="9">
        <f>IF(OR(N92="",N92="-"),"-",N92*$M92*SQRT(3)/1000)</f>
        <v>15.432572695438695</v>
      </c>
      <c r="P92" s="9">
        <v>810</v>
      </c>
      <c r="Q92" s="9">
        <f>IF(OR(P92="",P92="-"),"-",P92*$M92*SQRT(3)/1000)</f>
        <v>15.432572695438695</v>
      </c>
      <c r="R92" s="9">
        <v>810</v>
      </c>
      <c r="S92" s="9">
        <f>IF(OR(R92="",R92="-"),"-",R92*$M92*SQRT(3)/1000)</f>
        <v>15.432572695438695</v>
      </c>
      <c r="T92" s="9" t="s">
        <v>0</v>
      </c>
      <c r="U92" s="9" t="str">
        <f>IF(OR(T92="",T92="-"),"-",T92*$M92*SQRT(3)/1000)</f>
        <v>-</v>
      </c>
      <c r="V92" s="9" t="s">
        <v>0</v>
      </c>
      <c r="W92" s="9" t="str">
        <f>IF(OR(V92="",V92="-"),"-",V92*$M92*SQRT(3)/1000)</f>
        <v>-</v>
      </c>
      <c r="X92" s="9" t="s">
        <v>0</v>
      </c>
      <c r="Y92" s="9" t="str">
        <f>IF(OR(X92="",X92="-"),"-",X92*$M92*SQRT(3)/1000)</f>
        <v>-</v>
      </c>
      <c r="Z92" s="9" t="s">
        <v>0</v>
      </c>
      <c r="AA92" s="9" t="str">
        <f>IF(OR(Z92="",Z92="-"),"-",Z92*$M92*SQRT(3)/1000)</f>
        <v>-</v>
      </c>
      <c r="AB92" s="9" t="s">
        <v>0</v>
      </c>
      <c r="AC92" s="9" t="str">
        <f>IF(OR(AB92="",AB92="-"),"-",AB92*$M92*SQRT(3)/1000)</f>
        <v>-</v>
      </c>
      <c r="AD92" s="9" t="s">
        <v>0</v>
      </c>
      <c r="AE92" s="12" t="str">
        <f>IF(OR(AD92="",AD92="-"),"-",AD92*$M92*SQRT(3)/1000)</f>
        <v>-</v>
      </c>
      <c r="AF92" s="160" t="s">
        <v>713</v>
      </c>
      <c r="AG92" s="9" t="s">
        <v>0</v>
      </c>
      <c r="AH92" s="9">
        <v>84.5</v>
      </c>
      <c r="AI92" s="9">
        <v>1.4</v>
      </c>
      <c r="AJ92" s="32">
        <v>0.94</v>
      </c>
      <c r="AK92" s="9">
        <v>18.5</v>
      </c>
      <c r="AL92" s="32">
        <v>0.95</v>
      </c>
      <c r="AM92" s="9">
        <v>1.2</v>
      </c>
      <c r="AN92" s="32">
        <v>1</v>
      </c>
      <c r="AO92" s="9">
        <v>3</v>
      </c>
      <c r="AP92" s="9">
        <v>0.45</v>
      </c>
      <c r="AQ92" s="32">
        <v>0.84</v>
      </c>
      <c r="AR92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607.59719999999993</v>
      </c>
      <c r="AS92" s="9">
        <f>IF(OR(AR92="",AR92="-"),"-",AR92*$M92*SQRT(3)/1000)</f>
        <v>11.576281430302473</v>
      </c>
      <c r="AT92" s="9">
        <f>IF(RIGHT(TIM[[#This Row],[Device type]],7)="Winding","-",TIM[[#This Row],[Cont Winter MVA]])</f>
        <v>15.432572695438695</v>
      </c>
      <c r="AU92" s="9">
        <f>IF(RIGHT(TIM[[#This Row],[Device type]],7)="Winding","-",TIM[[#This Row],[Cont Shoulder MVA]])</f>
        <v>15.432572695438695</v>
      </c>
      <c r="AV92" s="9">
        <f>IF(RIGHT(TIM[[#This Row],[Device type]],7)="Winding","-",TIM[[#This Row],[Cont Summer MVA]])</f>
        <v>15.432572695438695</v>
      </c>
      <c r="AW92" s="9" t="str">
        <f>TIM[[#This Row],[24 Hr Winter MVA]]</f>
        <v>-</v>
      </c>
      <c r="AX92" s="9" t="str">
        <f>TIM[[#This Row],[24 Hr Summer MVA]]</f>
        <v>-</v>
      </c>
      <c r="AY92" s="9" t="str">
        <f>TIM[[#This Row],[Forwards MVA]]</f>
        <v>-</v>
      </c>
      <c r="AZ92" s="9" t="str">
        <f>TIM[[#This Row],[Relay MVA]]</f>
        <v>-</v>
      </c>
      <c r="BA92" s="9" t="str">
        <f>TIM[[#This Row],[CT MVA]]</f>
        <v>-</v>
      </c>
      <c r="BB92" s="9">
        <f>TIM[[#This Row],[Derating MVA]]</f>
        <v>11.576281430302473</v>
      </c>
      <c r="BC92" s="9" t="str">
        <f>TIM[[#This Row],[Station/Feeder]]&amp;TIM[[#This Row],[Lowest MVA]]</f>
        <v>TIM_GRMC_SUBTRANS11.5762814303025</v>
      </c>
      <c r="BD92" s="9" t="str">
        <f>CONCATENATE(TIM[[#This Row],[Supply Level]],TIM[[#This Row],[Station/Feeder]],TIM[[#This Row],[Voltage]],TIM[[#This Row],[Lowest A-No PTX]])</f>
        <v>SubTransmissionTIM_GRMC_SUBTRANS11607.5972</v>
      </c>
      <c r="BE92" s="9" t="str">
        <f>CONCATENATE(TIM[[#This Row],[Supply Level]],TIM[[#This Row],[Station/Feeder]],TIM[[#This Row],[Voltage]],TIM[[#This Row],[Lowest A-PTX]])</f>
        <v>SubTransmissionTIM_GRMC_SUBTRANS11607.5972</v>
      </c>
      <c r="BF92" s="9">
        <f>IFERROR(IF(MIN(TIM[[#This Row],[Summ Cont Winter A]:[Cable Derating]])=0,"",MIN(TIM[[#This Row],[Summ Cont Winter A]:[Cable Derating]])),"")</f>
        <v>11.576281430302473</v>
      </c>
      <c r="BG92" s="9">
        <f>IFERROR(TIM[[#This Row],[Lowest MVA]]*1000/(TIM[[#This Row],[Voltage]]*SQRT(3)),"")</f>
        <v>607.59719999999993</v>
      </c>
      <c r="BH92" s="9">
        <f t="shared" si="168"/>
        <v>607.59719999999993</v>
      </c>
      <c r="BI92" s="9" t="str">
        <f>TIM[[#This Row],[From]]</f>
        <v>CB2812</v>
      </c>
      <c r="BJ92" s="9" t="str">
        <f>TIM[[#This Row],[To]]</f>
        <v>Joint</v>
      </c>
      <c r="BK9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630mm² XLPE Cu CWS PVC HDPE</v>
      </c>
      <c r="BL92" s="9">
        <f>TIM[[#This Row],[Voltage]]</f>
        <v>11</v>
      </c>
    </row>
    <row r="93" spans="1:64" ht="15" hidden="1" customHeight="1" x14ac:dyDescent="0.25">
      <c r="A93" s="6" t="str">
        <f>CONCATENATE(TIM[[#This Row],[Supply Level]],TIM[[#This Row],[Station/Feeder]],TIM[[#This Row],[Voltage]])</f>
        <v>SubTransmissionTIM_GRMC_SUBTRANS11</v>
      </c>
      <c r="B93" s="6" t="str">
        <f>CONCATENATE(TIM[[#This Row],[Supply Level]],TIM[[#This Row],[Station/Feeder]],TIM[[#This Row],[Equipment ID]],TIM[[#This Row],[Voltage]],TIM[[#This Row],[Device type]])</f>
        <v>SubTransmissionTIM_GRMC_SUBTRANS3c 400mm² Cu PILC SWA11-</v>
      </c>
      <c r="C93" s="6" t="s">
        <v>1245</v>
      </c>
      <c r="D93" s="11" t="s">
        <v>1320</v>
      </c>
      <c r="E93" s="6" t="s">
        <v>750</v>
      </c>
      <c r="F93" s="6" t="s">
        <v>750</v>
      </c>
      <c r="G93" s="27">
        <v>3</v>
      </c>
      <c r="H93" s="7" t="s">
        <v>811</v>
      </c>
      <c r="I93" s="7" t="s">
        <v>837</v>
      </c>
      <c r="J93" s="7" t="s">
        <v>250</v>
      </c>
      <c r="K93" s="7" t="s">
        <v>0</v>
      </c>
      <c r="L93" s="7" t="s">
        <v>0</v>
      </c>
      <c r="M93" s="8">
        <v>11</v>
      </c>
      <c r="N93" s="9">
        <v>550</v>
      </c>
      <c r="O93" s="9">
        <f>IF(OR(N93="",N93="-"),"-",N93*$M93*SQRT(3)/1000)</f>
        <v>10.478907385791706</v>
      </c>
      <c r="P93" s="9">
        <v>550</v>
      </c>
      <c r="Q93" s="9">
        <f>IF(OR(P93="",P93="-"),"-",P93*$M93*SQRT(3)/1000)</f>
        <v>10.478907385791706</v>
      </c>
      <c r="R93" s="9">
        <v>550</v>
      </c>
      <c r="S93" s="9">
        <f>IF(OR(R93="",R93="-"),"-",R93*$M93*SQRT(3)/1000)</f>
        <v>10.478907385791706</v>
      </c>
      <c r="T93" s="9" t="s">
        <v>0</v>
      </c>
      <c r="U93" s="9" t="str">
        <f>IF(OR(T93="",T93="-"),"-",T93*$M93*SQRT(3)/1000)</f>
        <v>-</v>
      </c>
      <c r="V93" s="9" t="s">
        <v>0</v>
      </c>
      <c r="W93" s="9" t="str">
        <f>IF(OR(V93="",V93="-"),"-",V93*$M93*SQRT(3)/1000)</f>
        <v>-</v>
      </c>
      <c r="X93" s="9" t="s">
        <v>0</v>
      </c>
      <c r="Y93" s="9" t="str">
        <f>IF(OR(X93="",X93="-"),"-",X93*$M93*SQRT(3)/1000)</f>
        <v>-</v>
      </c>
      <c r="Z93" s="9" t="s">
        <v>0</v>
      </c>
      <c r="AA93" s="9" t="str">
        <f>IF(OR(Z93="",Z93="-"),"-",Z93*$M93*SQRT(3)/1000)</f>
        <v>-</v>
      </c>
      <c r="AB93" s="9" t="s">
        <v>0</v>
      </c>
      <c r="AC93" s="9" t="str">
        <f>IF(OR(AB93="",AB93="-"),"-",AB93*$M93*SQRT(3)/1000)</f>
        <v>-</v>
      </c>
      <c r="AD93" s="9" t="s">
        <v>0</v>
      </c>
      <c r="AE93" s="12" t="str">
        <f>IF(OR(AD93="",AD93="-"),"-",AD93*$M93*SQRT(3)/1000)</f>
        <v>-</v>
      </c>
      <c r="AF93" s="9" t="s">
        <v>713</v>
      </c>
      <c r="AG93" s="9" t="s">
        <v>0</v>
      </c>
      <c r="AH93" s="9">
        <v>1782.5</v>
      </c>
      <c r="AI93" s="9">
        <v>1.4</v>
      </c>
      <c r="AJ93" s="32">
        <v>0.94</v>
      </c>
      <c r="AK93" s="9">
        <v>18.5</v>
      </c>
      <c r="AL93" s="32">
        <v>0.95</v>
      </c>
      <c r="AM93" s="9">
        <v>1.2</v>
      </c>
      <c r="AN93" s="32">
        <v>1</v>
      </c>
      <c r="AO93" s="9">
        <v>3</v>
      </c>
      <c r="AP93" s="9">
        <v>0.45</v>
      </c>
      <c r="AQ93" s="32">
        <v>0.84</v>
      </c>
      <c r="AR93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412.56599999999992</v>
      </c>
      <c r="AS93" s="9">
        <f>IF(OR(AR93="",AR93="-"),"-",AR93*$M93*SQRT(3)/1000)</f>
        <v>7.8604380082300729</v>
      </c>
      <c r="AT93" s="9">
        <f>IF(RIGHT(TIM[[#This Row],[Device type]],7)="Winding","-",TIM[[#This Row],[Cont Winter MVA]])</f>
        <v>10.478907385791706</v>
      </c>
      <c r="AU93" s="9">
        <f>IF(RIGHT(TIM[[#This Row],[Device type]],7)="Winding","-",TIM[[#This Row],[Cont Shoulder MVA]])</f>
        <v>10.478907385791706</v>
      </c>
      <c r="AV93" s="9">
        <f>IF(RIGHT(TIM[[#This Row],[Device type]],7)="Winding","-",TIM[[#This Row],[Cont Summer MVA]])</f>
        <v>10.478907385791706</v>
      </c>
      <c r="AW93" s="9" t="str">
        <f>TIM[[#This Row],[24 Hr Winter MVA]]</f>
        <v>-</v>
      </c>
      <c r="AX93" s="9" t="str">
        <f>TIM[[#This Row],[24 Hr Summer MVA]]</f>
        <v>-</v>
      </c>
      <c r="AY93" s="9" t="str">
        <f>TIM[[#This Row],[Forwards MVA]]</f>
        <v>-</v>
      </c>
      <c r="AZ93" s="9" t="str">
        <f>TIM[[#This Row],[Relay MVA]]</f>
        <v>-</v>
      </c>
      <c r="BA93" s="9" t="str">
        <f>TIM[[#This Row],[CT MVA]]</f>
        <v>-</v>
      </c>
      <c r="BB93" s="9">
        <f>TIM[[#This Row],[Derating MVA]]</f>
        <v>7.8604380082300729</v>
      </c>
      <c r="BC93" s="9" t="str">
        <f>TIM[[#This Row],[Station/Feeder]]&amp;TIM[[#This Row],[Lowest MVA]]</f>
        <v>TIM_GRMC_SUBTRANS7.86043800823007</v>
      </c>
      <c r="BD93" s="9" t="str">
        <f>CONCATENATE(TIM[[#This Row],[Supply Level]],TIM[[#This Row],[Station/Feeder]],TIM[[#This Row],[Voltage]],TIM[[#This Row],[Lowest A-No PTX]])</f>
        <v>SubTransmissionTIM_GRMC_SUBTRANS11412.566</v>
      </c>
      <c r="BE93" s="9" t="str">
        <f>CONCATENATE(TIM[[#This Row],[Supply Level]],TIM[[#This Row],[Station/Feeder]],TIM[[#This Row],[Voltage]],TIM[[#This Row],[Lowest A-PTX]])</f>
        <v>SubTransmissionTIM_GRMC_SUBTRANS11412.566</v>
      </c>
      <c r="BF93" s="9">
        <f>IFERROR(IF(MIN(TIM[[#This Row],[Summ Cont Winter A]:[Cable Derating]])=0,"",MIN(TIM[[#This Row],[Summ Cont Winter A]:[Cable Derating]])),"")</f>
        <v>7.8604380082300729</v>
      </c>
      <c r="BG93" s="9">
        <f>IFERROR(TIM[[#This Row],[Lowest MVA]]*1000/(TIM[[#This Row],[Voltage]]*SQRT(3)),"")</f>
        <v>412.56599999999986</v>
      </c>
      <c r="BH93" s="9">
        <f t="shared" si="168"/>
        <v>412.56599999999992</v>
      </c>
      <c r="BI93" s="9" t="str">
        <f>TIM[[#This Row],[From]]</f>
        <v>Joint</v>
      </c>
      <c r="BJ93" s="9" t="str">
        <f>TIM[[#This Row],[To]]</f>
        <v>Joint</v>
      </c>
      <c r="BK9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400mm² Cu PILC SWA</v>
      </c>
      <c r="BL93" s="9">
        <f>TIM[[#This Row],[Voltage]]</f>
        <v>11</v>
      </c>
    </row>
    <row r="94" spans="1:64" ht="15" hidden="1" customHeight="1" x14ac:dyDescent="0.25">
      <c r="A94" s="6" t="str">
        <f>CONCATENATE(TIM[[#This Row],[Supply Level]],TIM[[#This Row],[Station/Feeder]],TIM[[#This Row],[Voltage]])</f>
        <v>SubTransmissionTIM_GRMC_SUBTRANS11</v>
      </c>
      <c r="B94" s="6" t="str">
        <f>CONCATENATE(TIM[[#This Row],[Supply Level]],TIM[[#This Row],[Station/Feeder]],TIM[[#This Row],[Equipment ID]],TIM[[#This Row],[Voltage]],TIM[[#This Row],[Device type]])</f>
        <v>SubTransmissionTIM_GRMC_SUBTRANS3/1c 630mm² XLPE Cu CWS PVC HDPE11-</v>
      </c>
      <c r="C94" s="6" t="s">
        <v>1245</v>
      </c>
      <c r="D94" s="11" t="s">
        <v>1320</v>
      </c>
      <c r="E94" s="6" t="s">
        <v>750</v>
      </c>
      <c r="F94" s="6" t="s">
        <v>840</v>
      </c>
      <c r="G94" s="27">
        <v>4</v>
      </c>
      <c r="H94" s="7" t="s">
        <v>811</v>
      </c>
      <c r="I94" s="7" t="s">
        <v>1279</v>
      </c>
      <c r="J94" s="7" t="s">
        <v>250</v>
      </c>
      <c r="K94" s="7" t="s">
        <v>0</v>
      </c>
      <c r="L94" s="7" t="s">
        <v>0</v>
      </c>
      <c r="M94" s="8">
        <v>11</v>
      </c>
      <c r="N94" s="9">
        <v>810</v>
      </c>
      <c r="O94" s="9">
        <f>IF(OR(N94="",N94="-"),"-",N94*$M94*SQRT(3)/1000)</f>
        <v>15.432572695438695</v>
      </c>
      <c r="P94" s="9">
        <v>810</v>
      </c>
      <c r="Q94" s="9">
        <f>IF(OR(P94="",P94="-"),"-",P94*$M94*SQRT(3)/1000)</f>
        <v>15.432572695438695</v>
      </c>
      <c r="R94" s="9">
        <v>810</v>
      </c>
      <c r="S94" s="9">
        <f>IF(OR(R94="",R94="-"),"-",R94*$M94*SQRT(3)/1000)</f>
        <v>15.432572695438695</v>
      </c>
      <c r="T94" s="9" t="s">
        <v>0</v>
      </c>
      <c r="U94" s="9" t="str">
        <f>IF(OR(T94="",T94="-"),"-",T94*$M94*SQRT(3)/1000)</f>
        <v>-</v>
      </c>
      <c r="V94" s="9" t="s">
        <v>0</v>
      </c>
      <c r="W94" s="9" t="str">
        <f>IF(OR(V94="",V94="-"),"-",V94*$M94*SQRT(3)/1000)</f>
        <v>-</v>
      </c>
      <c r="X94" s="9" t="s">
        <v>0</v>
      </c>
      <c r="Y94" s="9" t="str">
        <f>IF(OR(X94="",X94="-"),"-",X94*$M94*SQRT(3)/1000)</f>
        <v>-</v>
      </c>
      <c r="Z94" s="9" t="s">
        <v>0</v>
      </c>
      <c r="AA94" s="9" t="str">
        <f>IF(OR(Z94="",Z94="-"),"-",Z94*$M94*SQRT(3)/1000)</f>
        <v>-</v>
      </c>
      <c r="AB94" s="9" t="s">
        <v>0</v>
      </c>
      <c r="AC94" s="9" t="str">
        <f>IF(OR(AB94="",AB94="-"),"-",AB94*$M94*SQRT(3)/1000)</f>
        <v>-</v>
      </c>
      <c r="AD94" s="9" t="s">
        <v>0</v>
      </c>
      <c r="AE94" s="12" t="str">
        <f>IF(OR(AD94="",AD94="-"),"-",AD94*$M94*SQRT(3)/1000)</f>
        <v>-</v>
      </c>
      <c r="AF94" s="160" t="s">
        <v>713</v>
      </c>
      <c r="AG94" s="9" t="s">
        <v>0</v>
      </c>
      <c r="AH94" s="9">
        <v>8.1999999999999993</v>
      </c>
      <c r="AI94" s="9">
        <v>1.4</v>
      </c>
      <c r="AJ94" s="32">
        <v>0.94</v>
      </c>
      <c r="AK94" s="9">
        <v>18.5</v>
      </c>
      <c r="AL94" s="32">
        <v>0.95</v>
      </c>
      <c r="AM94" s="9">
        <v>1.2</v>
      </c>
      <c r="AN94" s="32">
        <v>1</v>
      </c>
      <c r="AO94" s="9">
        <v>3</v>
      </c>
      <c r="AP94" s="9">
        <v>0.45</v>
      </c>
      <c r="AQ94" s="32">
        <v>0.84</v>
      </c>
      <c r="AR94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607.59719999999993</v>
      </c>
      <c r="AS94" s="9">
        <f>IF(OR(AR94="",AR94="-"),"-",AR94*$M94*SQRT(3)/1000)</f>
        <v>11.576281430302473</v>
      </c>
      <c r="AT94" s="9">
        <f>IF(RIGHT(TIM[[#This Row],[Device type]],7)="Winding","-",TIM[[#This Row],[Cont Winter MVA]])</f>
        <v>15.432572695438695</v>
      </c>
      <c r="AU94" s="9">
        <f>IF(RIGHT(TIM[[#This Row],[Device type]],7)="Winding","-",TIM[[#This Row],[Cont Shoulder MVA]])</f>
        <v>15.432572695438695</v>
      </c>
      <c r="AV94" s="9">
        <f>IF(RIGHT(TIM[[#This Row],[Device type]],7)="Winding","-",TIM[[#This Row],[Cont Summer MVA]])</f>
        <v>15.432572695438695</v>
      </c>
      <c r="AW94" s="9" t="str">
        <f>TIM[[#This Row],[24 Hr Winter MVA]]</f>
        <v>-</v>
      </c>
      <c r="AX94" s="9" t="str">
        <f>TIM[[#This Row],[24 Hr Summer MVA]]</f>
        <v>-</v>
      </c>
      <c r="AY94" s="9" t="str">
        <f>TIM[[#This Row],[Forwards MVA]]</f>
        <v>-</v>
      </c>
      <c r="AZ94" s="9" t="str">
        <f>TIM[[#This Row],[Relay MVA]]</f>
        <v>-</v>
      </c>
      <c r="BA94" s="9" t="str">
        <f>TIM[[#This Row],[CT MVA]]</f>
        <v>-</v>
      </c>
      <c r="BB94" s="9">
        <f>TIM[[#This Row],[Derating MVA]]</f>
        <v>11.576281430302473</v>
      </c>
      <c r="BC94" s="9" t="str">
        <f>TIM[[#This Row],[Station/Feeder]]&amp;TIM[[#This Row],[Lowest MVA]]</f>
        <v>TIM_GRMC_SUBTRANS11.5762814303025</v>
      </c>
      <c r="BD94" s="9" t="str">
        <f>CONCATENATE(TIM[[#This Row],[Supply Level]],TIM[[#This Row],[Station/Feeder]],TIM[[#This Row],[Voltage]],TIM[[#This Row],[Lowest A-No PTX]])</f>
        <v>SubTransmissionTIM_GRMC_SUBTRANS11607.5972</v>
      </c>
      <c r="BE94" s="9" t="str">
        <f>CONCATENATE(TIM[[#This Row],[Supply Level]],TIM[[#This Row],[Station/Feeder]],TIM[[#This Row],[Voltage]],TIM[[#This Row],[Lowest A-PTX]])</f>
        <v>SubTransmissionTIM_GRMC_SUBTRANS11607.5972</v>
      </c>
      <c r="BF94" s="9">
        <f>IFERROR(IF(MIN(TIM[[#This Row],[Summ Cont Winter A]:[Cable Derating]])=0,"",MIN(TIM[[#This Row],[Summ Cont Winter A]:[Cable Derating]])),"")</f>
        <v>11.576281430302473</v>
      </c>
      <c r="BG94" s="9">
        <f>IFERROR(TIM[[#This Row],[Lowest MVA]]*1000/(TIM[[#This Row],[Voltage]]*SQRT(3)),"")</f>
        <v>607.59719999999993</v>
      </c>
      <c r="BH94" s="9">
        <f t="shared" si="168"/>
        <v>607.59719999999993</v>
      </c>
      <c r="BI94" s="9" t="str">
        <f>TIM[[#This Row],[From]]</f>
        <v>Joint</v>
      </c>
      <c r="BJ94" s="9" t="str">
        <f>TIM[[#This Row],[To]]</f>
        <v>TEGRASMERE14</v>
      </c>
      <c r="BK9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630mm² XLPE Cu CWS PVC HDPE</v>
      </c>
      <c r="BL94" s="9">
        <f>TIM[[#This Row],[Voltage]]</f>
        <v>11</v>
      </c>
    </row>
    <row r="95" spans="1:64" ht="15" hidden="1" customHeight="1" x14ac:dyDescent="0.25">
      <c r="A95" s="6" t="str">
        <f>CONCATENATE(TIM[[#This Row],[Supply Level]],TIM[[#This Row],[Station/Feeder]],TIM[[#This Row],[Voltage]])</f>
        <v>SubTransmissionTIM_GRMB_SUBTRANS11</v>
      </c>
      <c r="B95" s="6" t="str">
        <f>CONCATENATE(TIM[[#This Row],[Supply Level]],TIM[[#This Row],[Station/Feeder]],TIM[[#This Row],[Equipment ID]],TIM[[#This Row],[Voltage]],TIM[[#This Row],[Device type]])</f>
        <v>SubTransmissionTIM_GRMB_SUBTRANSTIM-CB282211Protection</v>
      </c>
      <c r="C95" s="6" t="s">
        <v>1245</v>
      </c>
      <c r="D95" s="11" t="s">
        <v>1319</v>
      </c>
      <c r="E95" s="6" t="s">
        <v>243</v>
      </c>
      <c r="F95" s="6" t="s">
        <v>841</v>
      </c>
      <c r="G95" s="27">
        <v>1</v>
      </c>
      <c r="H95" s="7" t="s">
        <v>2363</v>
      </c>
      <c r="I95" s="7" t="s">
        <v>2232</v>
      </c>
      <c r="J95" s="7" t="s">
        <v>15</v>
      </c>
      <c r="K95" s="7" t="s">
        <v>1121</v>
      </c>
      <c r="L95" s="7" t="s">
        <v>1423</v>
      </c>
      <c r="M95" s="8">
        <v>11</v>
      </c>
      <c r="N95" s="9">
        <v>550</v>
      </c>
      <c r="O95" s="9">
        <f t="shared" ref="O95" si="179">IF(OR(N95="",N95="-"),"-",N95*$M95*SQRT(3)/1000)</f>
        <v>10.478907385791706</v>
      </c>
      <c r="P95" s="9">
        <v>550</v>
      </c>
      <c r="Q95" s="9">
        <f t="shared" ref="Q95" si="180">IF(OR(P95="",P95="-"),"-",P95*$M95*SQRT(3)/1000)</f>
        <v>10.478907385791706</v>
      </c>
      <c r="R95" s="9">
        <v>550</v>
      </c>
      <c r="S95" s="9">
        <f t="shared" ref="S95" si="181">IF(OR(R95="",R95="-"),"-",R95*$M95*SQRT(3)/1000)</f>
        <v>10.478907385791706</v>
      </c>
      <c r="T95" s="9" t="s">
        <v>0</v>
      </c>
      <c r="U95" s="9" t="str">
        <f t="shared" ref="U95" si="182">IF(OR(T95="",T95="-"),"-",T95*$M95*SQRT(3)/1000)</f>
        <v>-</v>
      </c>
      <c r="V95" s="9" t="s">
        <v>0</v>
      </c>
      <c r="W95" s="9" t="str">
        <f t="shared" ref="W95" si="183">IF(OR(V95="",V95="-"),"-",V95*$M95*SQRT(3)/1000)</f>
        <v>-</v>
      </c>
      <c r="X95" s="9">
        <f>VLOOKUP(TIM[[#This Row],[Equipment ID]],AEL_Protection_Data[#All],12,0)</f>
        <v>600</v>
      </c>
      <c r="Y95" s="9">
        <f t="shared" ref="Y95" si="184">IF(OR(X95="",X95="-"),"-",X95*$M95*SQRT(3)/1000)</f>
        <v>11.43153532995459</v>
      </c>
      <c r="Z95" s="9">
        <v>549</v>
      </c>
      <c r="AA95" s="9">
        <f t="shared" ref="AA95" si="185">IF(OR(Z95="",Z95="-"),"-",Z95*$M95*SQRT(3)/1000)</f>
        <v>10.459854826908449</v>
      </c>
      <c r="AB95" s="9">
        <v>2400</v>
      </c>
      <c r="AC95" s="9">
        <f t="shared" ref="AC95" si="186">IF(OR(AB95="",AB95="-"),"-",AB95*$M95*SQRT(3)/1000)</f>
        <v>45.72614131981836</v>
      </c>
      <c r="AD95" s="9">
        <v>1600</v>
      </c>
      <c r="AE95" s="12">
        <f t="shared" ref="AE95" si="187">IF(OR(AD95="",AD95="-"),"-",AD95*$M95*SQRT(3)/1000)</f>
        <v>30.484094213212241</v>
      </c>
      <c r="AF95" s="29" t="s">
        <v>0</v>
      </c>
      <c r="AG95" s="29" t="s">
        <v>0</v>
      </c>
      <c r="AH95" s="8" t="s">
        <v>0</v>
      </c>
      <c r="AI95" s="29" t="s">
        <v>0</v>
      </c>
      <c r="AJ95" s="32" t="s">
        <v>0</v>
      </c>
      <c r="AK95" s="29" t="s">
        <v>0</v>
      </c>
      <c r="AL95" s="32" t="s">
        <v>0</v>
      </c>
      <c r="AM95" s="29" t="s">
        <v>0</v>
      </c>
      <c r="AN95" s="32" t="s">
        <v>0</v>
      </c>
      <c r="AO95" s="29" t="s">
        <v>0</v>
      </c>
      <c r="AP95" s="29" t="s">
        <v>0</v>
      </c>
      <c r="AQ95" s="32" t="s">
        <v>0</v>
      </c>
      <c r="AR95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95" s="9" t="str">
        <f t="shared" ref="AS95" si="188">IF(OR(AR95="",AR95="-"),"-",AR95*$M95*SQRT(3)/1000)</f>
        <v>-</v>
      </c>
      <c r="AT95" s="9">
        <f>IF(RIGHT(TIM[[#This Row],[Device type]],7)="Winding","-",TIM[[#This Row],[Cont Winter MVA]])</f>
        <v>10.478907385791706</v>
      </c>
      <c r="AU95" s="9">
        <f>IF(RIGHT(TIM[[#This Row],[Device type]],7)="Winding","-",TIM[[#This Row],[Cont Shoulder MVA]])</f>
        <v>10.478907385791706</v>
      </c>
      <c r="AV95" s="9">
        <f>IF(RIGHT(TIM[[#This Row],[Device type]],7)="Winding","-",TIM[[#This Row],[Cont Summer MVA]])</f>
        <v>10.478907385791706</v>
      </c>
      <c r="AW95" s="9" t="str">
        <f>TIM[[#This Row],[24 Hr Winter MVA]]</f>
        <v>-</v>
      </c>
      <c r="AX95" s="9" t="str">
        <f>TIM[[#This Row],[24 Hr Summer MVA]]</f>
        <v>-</v>
      </c>
      <c r="AY95" s="9">
        <f>TIM[[#This Row],[Forwards MVA]]</f>
        <v>11.43153532995459</v>
      </c>
      <c r="AZ95" s="9">
        <f>TIM[[#This Row],[Relay MVA]]</f>
        <v>45.72614131981836</v>
      </c>
      <c r="BA95" s="9">
        <f>TIM[[#This Row],[CT MVA]]</f>
        <v>30.484094213212241</v>
      </c>
      <c r="BB95" s="9" t="str">
        <f>TIM[[#This Row],[Derating MVA]]</f>
        <v>-</v>
      </c>
      <c r="BC95" s="9" t="str">
        <f>TIM[[#This Row],[Station/Feeder]]&amp;TIM[[#This Row],[Lowest MVA]]</f>
        <v>TIM_GRMB_SUBTRANS10.4789073857917</v>
      </c>
      <c r="BD95" s="9" t="str">
        <f>CONCATENATE(TIM[[#This Row],[Supply Level]],TIM[[#This Row],[Station/Feeder]],TIM[[#This Row],[Voltage]],TIM[[#This Row],[Lowest A-No PTX]])</f>
        <v>SubTransmissionTIM_GRMB_SUBTRANS11550</v>
      </c>
      <c r="BE95" s="9" t="str">
        <f>CONCATENATE(TIM[[#This Row],[Supply Level]],TIM[[#This Row],[Station/Feeder]],TIM[[#This Row],[Voltage]],TIM[[#This Row],[Lowest A-PTX]])</f>
        <v>SubTransmissionTIM_GRMB_SUBTRANS11549</v>
      </c>
      <c r="BF95" s="9">
        <f>IFERROR(IF(MIN(TIM[[#This Row],[Summ Cont Winter A]:[Cable Derating]])=0,"",MIN(TIM[[#This Row],[Summ Cont Winter A]:[Cable Derating]])),"")</f>
        <v>10.478907385791706</v>
      </c>
      <c r="BG95" s="9">
        <f>IFERROR(TIM[[#This Row],[Lowest MVA]]*1000/(TIM[[#This Row],[Voltage]]*SQRT(3)),"")</f>
        <v>550</v>
      </c>
      <c r="BH95" s="9">
        <f t="shared" si="168"/>
        <v>549</v>
      </c>
      <c r="BI95" s="9" t="str">
        <f>TIM[[#This Row],[From]]</f>
        <v>11 kV Bus</v>
      </c>
      <c r="BJ95" s="9" t="str">
        <f>TIM[[#This Row],[To]]</f>
        <v>CB2822</v>
      </c>
      <c r="BK9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Breaker-TIM-CB2822-Protection</v>
      </c>
      <c r="BL95" s="9">
        <f>TIM[[#This Row],[Voltage]]</f>
        <v>11</v>
      </c>
    </row>
    <row r="96" spans="1:64" ht="15" hidden="1" customHeight="1" x14ac:dyDescent="0.25">
      <c r="A96" s="6" t="str">
        <f>CONCATENATE(TIM[[#This Row],[Supply Level]],TIM[[#This Row],[Station/Feeder]],TIM[[#This Row],[Voltage]])</f>
        <v>SubTransmissionTIM_GRMB_SUBTRANS11</v>
      </c>
      <c r="B96" s="6" t="str">
        <f>CONCATENATE(TIM[[#This Row],[Supply Level]],TIM[[#This Row],[Station/Feeder]],TIM[[#This Row],[Equipment ID]],TIM[[#This Row],[Voltage]],TIM[[#This Row],[Device type]])</f>
        <v>SubTransmissionTIM_GRMB_SUBTRANS3/1c 630mm² XLPE Cu CWS PVC HDPE11-</v>
      </c>
      <c r="C96" s="6" t="s">
        <v>1245</v>
      </c>
      <c r="D96" s="11" t="s">
        <v>1319</v>
      </c>
      <c r="E96" s="6" t="s">
        <v>841</v>
      </c>
      <c r="F96" s="6" t="s">
        <v>750</v>
      </c>
      <c r="G96" s="27">
        <v>2</v>
      </c>
      <c r="H96" s="7" t="s">
        <v>811</v>
      </c>
      <c r="I96" s="7" t="s">
        <v>1279</v>
      </c>
      <c r="J96" s="7" t="s">
        <v>250</v>
      </c>
      <c r="K96" s="7" t="s">
        <v>0</v>
      </c>
      <c r="L96" s="7" t="s">
        <v>0</v>
      </c>
      <c r="M96" s="8">
        <v>11</v>
      </c>
      <c r="N96" s="9">
        <v>810</v>
      </c>
      <c r="O96" s="9">
        <f>IF(OR(N96="",N96="-"),"-",N96*$M96*SQRT(3)/1000)</f>
        <v>15.432572695438695</v>
      </c>
      <c r="P96" s="9">
        <v>810</v>
      </c>
      <c r="Q96" s="9">
        <f>IF(OR(P96="",P96="-"),"-",P96*$M96*SQRT(3)/1000)</f>
        <v>15.432572695438695</v>
      </c>
      <c r="R96" s="9">
        <v>810</v>
      </c>
      <c r="S96" s="9">
        <f>IF(OR(R96="",R96="-"),"-",R96*$M96*SQRT(3)/1000)</f>
        <v>15.432572695438695</v>
      </c>
      <c r="T96" s="9" t="s">
        <v>0</v>
      </c>
      <c r="U96" s="9" t="str">
        <f>IF(OR(T96="",T96="-"),"-",T96*$M96*SQRT(3)/1000)</f>
        <v>-</v>
      </c>
      <c r="V96" s="9" t="s">
        <v>0</v>
      </c>
      <c r="W96" s="9" t="str">
        <f>IF(OR(V96="",V96="-"),"-",V96*$M96*SQRT(3)/1000)</f>
        <v>-</v>
      </c>
      <c r="X96" s="9" t="s">
        <v>0</v>
      </c>
      <c r="Y96" s="9" t="str">
        <f>IF(OR(X96="",X96="-"),"-",X96*$M96*SQRT(3)/1000)</f>
        <v>-</v>
      </c>
      <c r="Z96" s="9" t="s">
        <v>0</v>
      </c>
      <c r="AA96" s="9" t="str">
        <f>IF(OR(Z96="",Z96="-"),"-",Z96*$M96*SQRT(3)/1000)</f>
        <v>-</v>
      </c>
      <c r="AB96" s="9" t="s">
        <v>0</v>
      </c>
      <c r="AC96" s="9" t="str">
        <f>IF(OR(AB96="",AB96="-"),"-",AB96*$M96*SQRT(3)/1000)</f>
        <v>-</v>
      </c>
      <c r="AD96" s="9" t="s">
        <v>0</v>
      </c>
      <c r="AE96" s="12" t="str">
        <f>IF(OR(AD96="",AD96="-"),"-",AD96*$M96*SQRT(3)/1000)</f>
        <v>-</v>
      </c>
      <c r="AF96" s="160" t="s">
        <v>713</v>
      </c>
      <c r="AG96" s="9" t="s">
        <v>0</v>
      </c>
      <c r="AH96" s="9">
        <v>81.099999999999994</v>
      </c>
      <c r="AI96" s="9">
        <v>1.4</v>
      </c>
      <c r="AJ96" s="32">
        <v>0.94</v>
      </c>
      <c r="AK96" s="9">
        <v>18.5</v>
      </c>
      <c r="AL96" s="32">
        <v>0.95</v>
      </c>
      <c r="AM96" s="9">
        <v>1.2</v>
      </c>
      <c r="AN96" s="32">
        <v>1</v>
      </c>
      <c r="AO96" s="9">
        <v>3</v>
      </c>
      <c r="AP96" s="9">
        <v>0.45</v>
      </c>
      <c r="AQ96" s="32">
        <v>0.84</v>
      </c>
      <c r="AR96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607.59719999999993</v>
      </c>
      <c r="AS96" s="9">
        <f>IF(OR(AR96="",AR96="-"),"-",AR96*$M96*SQRT(3)/1000)</f>
        <v>11.576281430302473</v>
      </c>
      <c r="AT96" s="9">
        <f>IF(RIGHT(TIM[[#This Row],[Device type]],7)="Winding","-",TIM[[#This Row],[Cont Winter MVA]])</f>
        <v>15.432572695438695</v>
      </c>
      <c r="AU96" s="9">
        <f>IF(RIGHT(TIM[[#This Row],[Device type]],7)="Winding","-",TIM[[#This Row],[Cont Shoulder MVA]])</f>
        <v>15.432572695438695</v>
      </c>
      <c r="AV96" s="9">
        <f>IF(RIGHT(TIM[[#This Row],[Device type]],7)="Winding","-",TIM[[#This Row],[Cont Summer MVA]])</f>
        <v>15.432572695438695</v>
      </c>
      <c r="AW96" s="9" t="str">
        <f>TIM[[#This Row],[24 Hr Winter MVA]]</f>
        <v>-</v>
      </c>
      <c r="AX96" s="9" t="str">
        <f>TIM[[#This Row],[24 Hr Summer MVA]]</f>
        <v>-</v>
      </c>
      <c r="AY96" s="9" t="str">
        <f>TIM[[#This Row],[Forwards MVA]]</f>
        <v>-</v>
      </c>
      <c r="AZ96" s="9" t="str">
        <f>TIM[[#This Row],[Relay MVA]]</f>
        <v>-</v>
      </c>
      <c r="BA96" s="9" t="str">
        <f>TIM[[#This Row],[CT MVA]]</f>
        <v>-</v>
      </c>
      <c r="BB96" s="9">
        <f>TIM[[#This Row],[Derating MVA]]</f>
        <v>11.576281430302473</v>
      </c>
      <c r="BC96" s="9" t="str">
        <f>TIM[[#This Row],[Station/Feeder]]&amp;TIM[[#This Row],[Lowest MVA]]</f>
        <v>TIM_GRMB_SUBTRANS11.5762814303025</v>
      </c>
      <c r="BD96" s="9" t="str">
        <f>CONCATENATE(TIM[[#This Row],[Supply Level]],TIM[[#This Row],[Station/Feeder]],TIM[[#This Row],[Voltage]],TIM[[#This Row],[Lowest A-No PTX]])</f>
        <v>SubTransmissionTIM_GRMB_SUBTRANS11607.5972</v>
      </c>
      <c r="BE96" s="9" t="str">
        <f>CONCATENATE(TIM[[#This Row],[Supply Level]],TIM[[#This Row],[Station/Feeder]],TIM[[#This Row],[Voltage]],TIM[[#This Row],[Lowest A-PTX]])</f>
        <v>SubTransmissionTIM_GRMB_SUBTRANS11607.5972</v>
      </c>
      <c r="BF96" s="9">
        <f>IFERROR(IF(MIN(TIM[[#This Row],[Summ Cont Winter A]:[Cable Derating]])=0,"",MIN(TIM[[#This Row],[Summ Cont Winter A]:[Cable Derating]])),"")</f>
        <v>11.576281430302473</v>
      </c>
      <c r="BG96" s="9">
        <f>IFERROR(TIM[[#This Row],[Lowest MVA]]*1000/(TIM[[#This Row],[Voltage]]*SQRT(3)),"")</f>
        <v>607.59719999999993</v>
      </c>
      <c r="BH96" s="9">
        <f t="shared" si="168"/>
        <v>607.59719999999993</v>
      </c>
      <c r="BI96" s="9" t="str">
        <f>TIM[[#This Row],[From]]</f>
        <v>CB2822</v>
      </c>
      <c r="BJ96" s="9" t="str">
        <f>TIM[[#This Row],[To]]</f>
        <v>Joint</v>
      </c>
      <c r="BK9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630mm² XLPE Cu CWS PVC HDPE</v>
      </c>
      <c r="BL96" s="9">
        <f>TIM[[#This Row],[Voltage]]</f>
        <v>11</v>
      </c>
    </row>
    <row r="97" spans="1:64" ht="15" hidden="1" customHeight="1" x14ac:dyDescent="0.25">
      <c r="A97" s="6" t="str">
        <f>CONCATENATE(TIM[[#This Row],[Supply Level]],TIM[[#This Row],[Station/Feeder]],TIM[[#This Row],[Voltage]])</f>
        <v>SubTransmissionTIM_GRMB_SUBTRANS11</v>
      </c>
      <c r="B97" s="6" t="str">
        <f>CONCATENATE(TIM[[#This Row],[Supply Level]],TIM[[#This Row],[Station/Feeder]],TIM[[#This Row],[Equipment ID]],TIM[[#This Row],[Voltage]],TIM[[#This Row],[Device type]])</f>
        <v>SubTransmissionTIM_GRMB_SUBTRANS3c 400mm² Cu PILC SWA11-</v>
      </c>
      <c r="C97" s="6" t="s">
        <v>1245</v>
      </c>
      <c r="D97" s="11" t="s">
        <v>1319</v>
      </c>
      <c r="E97" s="6" t="s">
        <v>750</v>
      </c>
      <c r="F97" s="6" t="s">
        <v>750</v>
      </c>
      <c r="G97" s="27">
        <v>3</v>
      </c>
      <c r="H97" s="7" t="s">
        <v>811</v>
      </c>
      <c r="I97" s="7" t="s">
        <v>837</v>
      </c>
      <c r="J97" s="7" t="s">
        <v>250</v>
      </c>
      <c r="K97" s="7" t="s">
        <v>0</v>
      </c>
      <c r="L97" s="7" t="s">
        <v>0</v>
      </c>
      <c r="M97" s="8">
        <v>11</v>
      </c>
      <c r="N97" s="9">
        <v>550</v>
      </c>
      <c r="O97" s="9">
        <f>IF(OR(N97="",N97="-"),"-",N97*$M97*SQRT(3)/1000)</f>
        <v>10.478907385791706</v>
      </c>
      <c r="P97" s="9">
        <v>550</v>
      </c>
      <c r="Q97" s="9">
        <f>IF(OR(P97="",P97="-"),"-",P97*$M97*SQRT(3)/1000)</f>
        <v>10.478907385791706</v>
      </c>
      <c r="R97" s="9">
        <v>550</v>
      </c>
      <c r="S97" s="9">
        <f>IF(OR(R97="",R97="-"),"-",R97*$M97*SQRT(3)/1000)</f>
        <v>10.478907385791706</v>
      </c>
      <c r="T97" s="9" t="s">
        <v>0</v>
      </c>
      <c r="U97" s="9" t="str">
        <f>IF(OR(T97="",T97="-"),"-",T97*$M97*SQRT(3)/1000)</f>
        <v>-</v>
      </c>
      <c r="V97" s="9" t="s">
        <v>0</v>
      </c>
      <c r="W97" s="9" t="str">
        <f>IF(OR(V97="",V97="-"),"-",V97*$M97*SQRT(3)/1000)</f>
        <v>-</v>
      </c>
      <c r="X97" s="9" t="s">
        <v>0</v>
      </c>
      <c r="Y97" s="9" t="str">
        <f>IF(OR(X97="",X97="-"),"-",X97*$M97*SQRT(3)/1000)</f>
        <v>-</v>
      </c>
      <c r="Z97" s="9" t="s">
        <v>0</v>
      </c>
      <c r="AA97" s="9" t="str">
        <f>IF(OR(Z97="",Z97="-"),"-",Z97*$M97*SQRT(3)/1000)</f>
        <v>-</v>
      </c>
      <c r="AB97" s="9" t="s">
        <v>0</v>
      </c>
      <c r="AC97" s="9" t="str">
        <f>IF(OR(AB97="",AB97="-"),"-",AB97*$M97*SQRT(3)/1000)</f>
        <v>-</v>
      </c>
      <c r="AD97" s="9" t="s">
        <v>0</v>
      </c>
      <c r="AE97" s="12" t="str">
        <f>IF(OR(AD97="",AD97="-"),"-",AD97*$M97*SQRT(3)/1000)</f>
        <v>-</v>
      </c>
      <c r="AF97" s="9" t="s">
        <v>716</v>
      </c>
      <c r="AG97" s="9" t="s">
        <v>0</v>
      </c>
      <c r="AH97" s="9">
        <v>1906.4</v>
      </c>
      <c r="AI97" s="9">
        <v>1.4</v>
      </c>
      <c r="AJ97" s="32">
        <v>0.94</v>
      </c>
      <c r="AK97" s="9">
        <v>18.5</v>
      </c>
      <c r="AL97" s="32">
        <v>0.95</v>
      </c>
      <c r="AM97" s="9">
        <v>1.2</v>
      </c>
      <c r="AN97" s="32">
        <v>1</v>
      </c>
      <c r="AO97" s="9">
        <v>3</v>
      </c>
      <c r="AP97" s="9">
        <v>0.45</v>
      </c>
      <c r="AQ97" s="32">
        <v>0.84</v>
      </c>
      <c r="AR97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412.56599999999992</v>
      </c>
      <c r="AS97" s="9">
        <f>IF(OR(AR97="",AR97="-"),"-",AR97*$M97*SQRT(3)/1000)</f>
        <v>7.8604380082300729</v>
      </c>
      <c r="AT97" s="9">
        <f>IF(RIGHT(TIM[[#This Row],[Device type]],7)="Winding","-",TIM[[#This Row],[Cont Winter MVA]])</f>
        <v>10.478907385791706</v>
      </c>
      <c r="AU97" s="9">
        <f>IF(RIGHT(TIM[[#This Row],[Device type]],7)="Winding","-",TIM[[#This Row],[Cont Shoulder MVA]])</f>
        <v>10.478907385791706</v>
      </c>
      <c r="AV97" s="9">
        <f>IF(RIGHT(TIM[[#This Row],[Device type]],7)="Winding","-",TIM[[#This Row],[Cont Summer MVA]])</f>
        <v>10.478907385791706</v>
      </c>
      <c r="AW97" s="9" t="str">
        <f>TIM[[#This Row],[24 Hr Winter MVA]]</f>
        <v>-</v>
      </c>
      <c r="AX97" s="9" t="str">
        <f>TIM[[#This Row],[24 Hr Summer MVA]]</f>
        <v>-</v>
      </c>
      <c r="AY97" s="9" t="str">
        <f>TIM[[#This Row],[Forwards MVA]]</f>
        <v>-</v>
      </c>
      <c r="AZ97" s="9" t="str">
        <f>TIM[[#This Row],[Relay MVA]]</f>
        <v>-</v>
      </c>
      <c r="BA97" s="9" t="str">
        <f>TIM[[#This Row],[CT MVA]]</f>
        <v>-</v>
      </c>
      <c r="BB97" s="9">
        <f>TIM[[#This Row],[Derating MVA]]</f>
        <v>7.8604380082300729</v>
      </c>
      <c r="BC97" s="9" t="str">
        <f>TIM[[#This Row],[Station/Feeder]]&amp;TIM[[#This Row],[Lowest MVA]]</f>
        <v>TIM_GRMB_SUBTRANS7.86043800823007</v>
      </c>
      <c r="BD97" s="9" t="str">
        <f>CONCATENATE(TIM[[#This Row],[Supply Level]],TIM[[#This Row],[Station/Feeder]],TIM[[#This Row],[Voltage]],TIM[[#This Row],[Lowest A-No PTX]])</f>
        <v>SubTransmissionTIM_GRMB_SUBTRANS11412.566</v>
      </c>
      <c r="BE97" s="9" t="str">
        <f>CONCATENATE(TIM[[#This Row],[Supply Level]],TIM[[#This Row],[Station/Feeder]],TIM[[#This Row],[Voltage]],TIM[[#This Row],[Lowest A-PTX]])</f>
        <v>SubTransmissionTIM_GRMB_SUBTRANS11412.566</v>
      </c>
      <c r="BF97" s="9">
        <f>IFERROR(IF(MIN(TIM[[#This Row],[Summ Cont Winter A]:[Cable Derating]])=0,"",MIN(TIM[[#This Row],[Summ Cont Winter A]:[Cable Derating]])),"")</f>
        <v>7.8604380082300729</v>
      </c>
      <c r="BG97" s="9">
        <f>IFERROR(TIM[[#This Row],[Lowest MVA]]*1000/(TIM[[#This Row],[Voltage]]*SQRT(3)),"")</f>
        <v>412.56599999999986</v>
      </c>
      <c r="BH97" s="9">
        <f t="shared" si="168"/>
        <v>412.56599999999992</v>
      </c>
      <c r="BI97" s="9" t="str">
        <f>TIM[[#This Row],[From]]</f>
        <v>Joint</v>
      </c>
      <c r="BJ97" s="9" t="str">
        <f>TIM[[#This Row],[To]]</f>
        <v>Joint</v>
      </c>
      <c r="BK9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400mm² Cu PILC SWA</v>
      </c>
      <c r="BL97" s="9">
        <f>TIM[[#This Row],[Voltage]]</f>
        <v>11</v>
      </c>
    </row>
    <row r="98" spans="1:64" ht="15" hidden="1" customHeight="1" x14ac:dyDescent="0.25">
      <c r="A98" s="6" t="str">
        <f>CONCATENATE(TIM[[#This Row],[Supply Level]],TIM[[#This Row],[Station/Feeder]],TIM[[#This Row],[Voltage]])</f>
        <v>SubTransmissionTIM_GRMB_SUBTRANS11</v>
      </c>
      <c r="B98" s="6" t="str">
        <f>CONCATENATE(TIM[[#This Row],[Supply Level]],TIM[[#This Row],[Station/Feeder]],TIM[[#This Row],[Equipment ID]],TIM[[#This Row],[Voltage]],TIM[[#This Row],[Device type]])</f>
        <v>SubTransmissionTIM_GRMB_SUBTRANS3/1c 630mm² XLPE Cu CWS PVC HDPE11-</v>
      </c>
      <c r="C98" s="6" t="s">
        <v>1245</v>
      </c>
      <c r="D98" s="11" t="s">
        <v>1319</v>
      </c>
      <c r="E98" s="6" t="s">
        <v>750</v>
      </c>
      <c r="F98" s="6" t="s">
        <v>843</v>
      </c>
      <c r="G98" s="27">
        <v>4</v>
      </c>
      <c r="H98" s="7" t="s">
        <v>811</v>
      </c>
      <c r="I98" s="7" t="s">
        <v>1279</v>
      </c>
      <c r="J98" s="7" t="s">
        <v>250</v>
      </c>
      <c r="K98" s="7" t="s">
        <v>0</v>
      </c>
      <c r="L98" s="7" t="s">
        <v>0</v>
      </c>
      <c r="M98" s="8">
        <v>11</v>
      </c>
      <c r="N98" s="9">
        <v>810</v>
      </c>
      <c r="O98" s="9">
        <f>IF(OR(N98="",N98="-"),"-",N98*$M98*SQRT(3)/1000)</f>
        <v>15.432572695438695</v>
      </c>
      <c r="P98" s="9">
        <v>810</v>
      </c>
      <c r="Q98" s="9">
        <f>IF(OR(P98="",P98="-"),"-",P98*$M98*SQRT(3)/1000)</f>
        <v>15.432572695438695</v>
      </c>
      <c r="R98" s="9">
        <v>810</v>
      </c>
      <c r="S98" s="9">
        <f>IF(OR(R98="",R98="-"),"-",R98*$M98*SQRT(3)/1000)</f>
        <v>15.432572695438695</v>
      </c>
      <c r="T98" s="9" t="s">
        <v>0</v>
      </c>
      <c r="U98" s="9" t="str">
        <f>IF(OR(T98="",T98="-"),"-",T98*$M98*SQRT(3)/1000)</f>
        <v>-</v>
      </c>
      <c r="V98" s="9" t="s">
        <v>0</v>
      </c>
      <c r="W98" s="9" t="str">
        <f>IF(OR(V98="",V98="-"),"-",V98*$M98*SQRT(3)/1000)</f>
        <v>-</v>
      </c>
      <c r="X98" s="9" t="s">
        <v>0</v>
      </c>
      <c r="Y98" s="9" t="str">
        <f>IF(OR(X98="",X98="-"),"-",X98*$M98*SQRT(3)/1000)</f>
        <v>-</v>
      </c>
      <c r="Z98" s="9" t="s">
        <v>0</v>
      </c>
      <c r="AA98" s="9" t="str">
        <f>IF(OR(Z98="",Z98="-"),"-",Z98*$M98*SQRT(3)/1000)</f>
        <v>-</v>
      </c>
      <c r="AB98" s="9" t="s">
        <v>0</v>
      </c>
      <c r="AC98" s="9" t="str">
        <f>IF(OR(AB98="",AB98="-"),"-",AB98*$M98*SQRT(3)/1000)</f>
        <v>-</v>
      </c>
      <c r="AD98" s="9" t="s">
        <v>0</v>
      </c>
      <c r="AE98" s="12" t="str">
        <f>IF(OR(AD98="",AD98="-"),"-",AD98*$M98*SQRT(3)/1000)</f>
        <v>-</v>
      </c>
      <c r="AF98" s="9" t="s">
        <v>713</v>
      </c>
      <c r="AG98" s="9" t="s">
        <v>0</v>
      </c>
      <c r="AH98" s="9">
        <v>19.600000000000001</v>
      </c>
      <c r="AI98" s="9">
        <v>1.4</v>
      </c>
      <c r="AJ98" s="32">
        <v>0.94</v>
      </c>
      <c r="AK98" s="9">
        <v>18.5</v>
      </c>
      <c r="AL98" s="32">
        <v>0.95</v>
      </c>
      <c r="AM98" s="9">
        <v>1.2</v>
      </c>
      <c r="AN98" s="32">
        <v>1</v>
      </c>
      <c r="AO98" s="9">
        <v>3</v>
      </c>
      <c r="AP98" s="9">
        <v>0.45</v>
      </c>
      <c r="AQ98" s="32">
        <v>0.84</v>
      </c>
      <c r="AR98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607.59719999999993</v>
      </c>
      <c r="AS98" s="9">
        <f>IF(OR(AR98="",AR98="-"),"-",AR98*$M98*SQRT(3)/1000)</f>
        <v>11.576281430302473</v>
      </c>
      <c r="AT98" s="9">
        <f>IF(RIGHT(TIM[[#This Row],[Device type]],7)="Winding","-",TIM[[#This Row],[Cont Winter MVA]])</f>
        <v>15.432572695438695</v>
      </c>
      <c r="AU98" s="9">
        <f>IF(RIGHT(TIM[[#This Row],[Device type]],7)="Winding","-",TIM[[#This Row],[Cont Shoulder MVA]])</f>
        <v>15.432572695438695</v>
      </c>
      <c r="AV98" s="9">
        <f>IF(RIGHT(TIM[[#This Row],[Device type]],7)="Winding","-",TIM[[#This Row],[Cont Summer MVA]])</f>
        <v>15.432572695438695</v>
      </c>
      <c r="AW98" s="9" t="str">
        <f>TIM[[#This Row],[24 Hr Winter MVA]]</f>
        <v>-</v>
      </c>
      <c r="AX98" s="9" t="str">
        <f>TIM[[#This Row],[24 Hr Summer MVA]]</f>
        <v>-</v>
      </c>
      <c r="AY98" s="9" t="str">
        <f>TIM[[#This Row],[Forwards MVA]]</f>
        <v>-</v>
      </c>
      <c r="AZ98" s="9" t="str">
        <f>TIM[[#This Row],[Relay MVA]]</f>
        <v>-</v>
      </c>
      <c r="BA98" s="9" t="str">
        <f>TIM[[#This Row],[CT MVA]]</f>
        <v>-</v>
      </c>
      <c r="BB98" s="9">
        <f>TIM[[#This Row],[Derating MVA]]</f>
        <v>11.576281430302473</v>
      </c>
      <c r="BC98" s="9" t="str">
        <f>TIM[[#This Row],[Station/Feeder]]&amp;TIM[[#This Row],[Lowest MVA]]</f>
        <v>TIM_GRMB_SUBTRANS11.5762814303025</v>
      </c>
      <c r="BD98" s="9" t="str">
        <f>CONCATENATE(TIM[[#This Row],[Supply Level]],TIM[[#This Row],[Station/Feeder]],TIM[[#This Row],[Voltage]],TIM[[#This Row],[Lowest A-No PTX]])</f>
        <v>SubTransmissionTIM_GRMB_SUBTRANS11607.5972</v>
      </c>
      <c r="BE98" s="9" t="str">
        <f>CONCATENATE(TIM[[#This Row],[Supply Level]],TIM[[#This Row],[Station/Feeder]],TIM[[#This Row],[Voltage]],TIM[[#This Row],[Lowest A-PTX]])</f>
        <v>SubTransmissionTIM_GRMB_SUBTRANS11607.5972</v>
      </c>
      <c r="BF98" s="9">
        <f>IFERROR(IF(MIN(TIM[[#This Row],[Summ Cont Winter A]:[Cable Derating]])=0,"",MIN(TIM[[#This Row],[Summ Cont Winter A]:[Cable Derating]])),"")</f>
        <v>11.576281430302473</v>
      </c>
      <c r="BG98" s="9">
        <f>IFERROR(TIM[[#This Row],[Lowest MVA]]*1000/(TIM[[#This Row],[Voltage]]*SQRT(3)),"")</f>
        <v>607.59719999999993</v>
      </c>
      <c r="BH98" s="9">
        <f t="shared" si="168"/>
        <v>607.59719999999993</v>
      </c>
      <c r="BI98" s="9" t="str">
        <f>TIM[[#This Row],[From]]</f>
        <v>Joint</v>
      </c>
      <c r="BJ98" s="9" t="str">
        <f>TIM[[#This Row],[To]]</f>
        <v>TEGRASMERE8</v>
      </c>
      <c r="BK9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630mm² XLPE Cu CWS PVC HDPE</v>
      </c>
      <c r="BL98" s="9">
        <f>TIM[[#This Row],[Voltage]]</f>
        <v>11</v>
      </c>
    </row>
    <row r="99" spans="1:64" ht="15" customHeight="1" x14ac:dyDescent="0.25">
      <c r="A99" s="6" t="str">
        <f>CONCATENATE(TIM[[#This Row],[Supply Level]],TIM[[#This Row],[Station/Feeder]],TIM[[#This Row],[Voltage]])</f>
        <v>DistributionFeederCB2832_Grants Rd11</v>
      </c>
      <c r="B99" s="6" t="str">
        <f>CONCATENATE(TIM[[#This Row],[Supply Level]],TIM[[#This Row],[Station/Feeder]],TIM[[#This Row],[Equipment ID]],TIM[[#This Row],[Voltage]],TIM[[#This Row],[Device type]])</f>
        <v>DistributionFeederCB2832_Grants RdTIM-CB283211Protection</v>
      </c>
      <c r="C99" s="6" t="s">
        <v>1276</v>
      </c>
      <c r="D99" s="11" t="s">
        <v>146</v>
      </c>
      <c r="E99" s="6" t="s">
        <v>243</v>
      </c>
      <c r="F99" s="6" t="s">
        <v>844</v>
      </c>
      <c r="G99" s="27">
        <v>1</v>
      </c>
      <c r="H99" s="7" t="s">
        <v>2364</v>
      </c>
      <c r="I99" s="7" t="s">
        <v>2233</v>
      </c>
      <c r="J99" s="7" t="s">
        <v>15</v>
      </c>
      <c r="K99" s="7" t="s">
        <v>1121</v>
      </c>
      <c r="L99" s="7" t="s">
        <v>1423</v>
      </c>
      <c r="M99" s="8">
        <v>11</v>
      </c>
      <c r="N99" s="9">
        <v>550</v>
      </c>
      <c r="O99" s="9">
        <f t="shared" si="0"/>
        <v>10.478907385791706</v>
      </c>
      <c r="P99" s="9">
        <v>550</v>
      </c>
      <c r="Q99" s="9">
        <f t="shared" si="1"/>
        <v>10.478907385791706</v>
      </c>
      <c r="R99" s="9">
        <v>550</v>
      </c>
      <c r="S99" s="9">
        <f t="shared" si="2"/>
        <v>10.478907385791706</v>
      </c>
      <c r="T99" s="9" t="s">
        <v>0</v>
      </c>
      <c r="U99" s="9" t="str">
        <f t="shared" si="3"/>
        <v>-</v>
      </c>
      <c r="V99" s="9" t="s">
        <v>0</v>
      </c>
      <c r="W99" s="9" t="str">
        <f t="shared" si="4"/>
        <v>-</v>
      </c>
      <c r="X99" s="9">
        <f>VLOOKUP(TIM[[#This Row],[Equipment ID]],AEL_Protection_Data[#All],12,0)</f>
        <v>400</v>
      </c>
      <c r="Y99" s="9">
        <f t="shared" si="154"/>
        <v>7.6210235533030604</v>
      </c>
      <c r="Z99" s="9">
        <v>366</v>
      </c>
      <c r="AA99" s="9">
        <f t="shared" si="155"/>
        <v>6.9732365512722998</v>
      </c>
      <c r="AB99" s="9">
        <v>2400</v>
      </c>
      <c r="AC99" s="9">
        <f t="shared" si="156"/>
        <v>45.72614131981836</v>
      </c>
      <c r="AD99" s="9">
        <v>1600</v>
      </c>
      <c r="AE99" s="12">
        <f t="shared" si="157"/>
        <v>30.484094213212241</v>
      </c>
      <c r="AF99" s="29" t="s">
        <v>0</v>
      </c>
      <c r="AG99" s="29" t="s">
        <v>0</v>
      </c>
      <c r="AH99" s="8" t="s">
        <v>0</v>
      </c>
      <c r="AI99" s="29" t="s">
        <v>0</v>
      </c>
      <c r="AJ99" s="32" t="s">
        <v>0</v>
      </c>
      <c r="AK99" s="29" t="s">
        <v>0</v>
      </c>
      <c r="AL99" s="32" t="s">
        <v>0</v>
      </c>
      <c r="AM99" s="29" t="s">
        <v>0</v>
      </c>
      <c r="AN99" s="32" t="s">
        <v>0</v>
      </c>
      <c r="AO99" s="29" t="s">
        <v>0</v>
      </c>
      <c r="AP99" s="29" t="s">
        <v>0</v>
      </c>
      <c r="AQ99" s="32" t="s">
        <v>0</v>
      </c>
      <c r="AR99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99" s="9" t="str">
        <f t="shared" si="9"/>
        <v>-</v>
      </c>
      <c r="AT99" s="9">
        <f>IF(RIGHT(TIM[[#This Row],[Device type]],7)="Winding","-",TIM[[#This Row],[Cont Winter MVA]])</f>
        <v>10.478907385791706</v>
      </c>
      <c r="AU99" s="9">
        <f>IF(RIGHT(TIM[[#This Row],[Device type]],7)="Winding","-",TIM[[#This Row],[Cont Shoulder MVA]])</f>
        <v>10.478907385791706</v>
      </c>
      <c r="AV99" s="9">
        <f>IF(RIGHT(TIM[[#This Row],[Device type]],7)="Winding","-",TIM[[#This Row],[Cont Summer MVA]])</f>
        <v>10.478907385791706</v>
      </c>
      <c r="AW99" s="9" t="str">
        <f>TIM[[#This Row],[24 Hr Winter MVA]]</f>
        <v>-</v>
      </c>
      <c r="AX99" s="9" t="str">
        <f>TIM[[#This Row],[24 Hr Summer MVA]]</f>
        <v>-</v>
      </c>
      <c r="AY99" s="9">
        <f>TIM[[#This Row],[Forwards MVA]]</f>
        <v>7.6210235533030604</v>
      </c>
      <c r="AZ99" s="9">
        <f>TIM[[#This Row],[Relay MVA]]</f>
        <v>45.72614131981836</v>
      </c>
      <c r="BA99" s="9">
        <f>TIM[[#This Row],[CT MVA]]</f>
        <v>30.484094213212241</v>
      </c>
      <c r="BB99" s="9" t="str">
        <f>TIM[[#This Row],[Derating MVA]]</f>
        <v>-</v>
      </c>
      <c r="BC99" s="9" t="str">
        <f>TIM[[#This Row],[Station/Feeder]]&amp;TIM[[#This Row],[Lowest MVA]]</f>
        <v>CB2832_Grants Rd7.62102355330306</v>
      </c>
      <c r="BD99" s="9" t="str">
        <f>CONCATENATE(TIM[[#This Row],[Supply Level]],TIM[[#This Row],[Station/Feeder]],TIM[[#This Row],[Voltage]],TIM[[#This Row],[Lowest A-No PTX]])</f>
        <v>DistributionFeederCB2832_Grants Rd11400</v>
      </c>
      <c r="BE99" s="9" t="str">
        <f>CONCATENATE(TIM[[#This Row],[Supply Level]],TIM[[#This Row],[Station/Feeder]],TIM[[#This Row],[Voltage]],TIM[[#This Row],[Lowest A-PTX]])</f>
        <v>DistributionFeederCB2832_Grants Rd11366</v>
      </c>
      <c r="BF99" s="9">
        <f>IFERROR(IF(MIN(TIM[[#This Row],[Summ Cont Winter A]:[Cable Derating]])=0,"",MIN(TIM[[#This Row],[Summ Cont Winter A]:[Cable Derating]])),"")</f>
        <v>7.6210235533030604</v>
      </c>
      <c r="BG99" s="9">
        <f>IFERROR(TIM[[#This Row],[Lowest MVA]]*1000/(TIM[[#This Row],[Voltage]]*SQRT(3)),"")</f>
        <v>400</v>
      </c>
      <c r="BH99" s="9">
        <f t="shared" si="153"/>
        <v>366</v>
      </c>
      <c r="BI99" s="9" t="str">
        <f>TIM[[#This Row],[From]]</f>
        <v>11 kV Bus</v>
      </c>
      <c r="BJ99" s="9" t="str">
        <f>TIM[[#This Row],[To]]</f>
        <v>CB2832</v>
      </c>
      <c r="BK9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Breaker-TIM-CB2832-Protection</v>
      </c>
      <c r="BL99" s="9">
        <f>TIM[[#This Row],[Voltage]]</f>
        <v>11</v>
      </c>
    </row>
    <row r="100" spans="1:64" ht="15" customHeight="1" x14ac:dyDescent="0.25">
      <c r="A100" s="6" t="str">
        <f>CONCATENATE(TIM[[#This Row],[Supply Level]],TIM[[#This Row],[Station/Feeder]],TIM[[#This Row],[Voltage]])</f>
        <v>DistributionFeederCB2832_Grants Rd11</v>
      </c>
      <c r="B100" s="6" t="str">
        <f>CONCATENATE(TIM[[#This Row],[Supply Level]],TIM[[#This Row],[Station/Feeder]],TIM[[#This Row],[Equipment ID]],TIM[[#This Row],[Voltage]],TIM[[#This Row],[Device type]])</f>
        <v>DistributionFeederCB2832_Grants Rd3/1c 400mm² AL XLPE HDPE Screened11-</v>
      </c>
      <c r="C100" s="6" t="s">
        <v>1276</v>
      </c>
      <c r="D100" s="11" t="s">
        <v>146</v>
      </c>
      <c r="E100" s="6" t="s">
        <v>844</v>
      </c>
      <c r="F100" s="6" t="s">
        <v>750</v>
      </c>
      <c r="G100" s="27">
        <v>2</v>
      </c>
      <c r="H100" s="7" t="s">
        <v>811</v>
      </c>
      <c r="I100" s="7" t="s">
        <v>819</v>
      </c>
      <c r="J100" s="7" t="s">
        <v>250</v>
      </c>
      <c r="K100" s="7" t="s">
        <v>0</v>
      </c>
      <c r="L100" s="7" t="s">
        <v>0</v>
      </c>
      <c r="M100" s="8">
        <v>11</v>
      </c>
      <c r="N100" s="9">
        <v>550</v>
      </c>
      <c r="O100" s="9">
        <f t="shared" si="0"/>
        <v>10.478907385791706</v>
      </c>
      <c r="P100" s="9">
        <v>550</v>
      </c>
      <c r="Q100" s="9">
        <f t="shared" si="1"/>
        <v>10.478907385791706</v>
      </c>
      <c r="R100" s="9">
        <v>550</v>
      </c>
      <c r="S100" s="9">
        <f t="shared" si="2"/>
        <v>10.478907385791706</v>
      </c>
      <c r="T100" s="9" t="s">
        <v>0</v>
      </c>
      <c r="U100" s="9" t="str">
        <f t="shared" si="3"/>
        <v>-</v>
      </c>
      <c r="V100" s="9" t="s">
        <v>0</v>
      </c>
      <c r="W100" s="9" t="str">
        <f t="shared" si="4"/>
        <v>-</v>
      </c>
      <c r="X100" s="9" t="s">
        <v>0</v>
      </c>
      <c r="Y100" s="9" t="str">
        <f>IF(OR(X100="",X100="-"),"-",X100*$M100*SQRT(3)/1000)</f>
        <v>-</v>
      </c>
      <c r="Z100" s="9" t="s">
        <v>0</v>
      </c>
      <c r="AA100" s="9" t="str">
        <f>IF(OR(Z100="",Z100="-"),"-",Z100*$M100*SQRT(3)/1000)</f>
        <v>-</v>
      </c>
      <c r="AB100" s="9" t="s">
        <v>0</v>
      </c>
      <c r="AC100" s="9" t="str">
        <f>IF(OR(AB100="",AB100="-"),"-",AB100*$M100*SQRT(3)/1000)</f>
        <v>-</v>
      </c>
      <c r="AD100" s="9" t="s">
        <v>0</v>
      </c>
      <c r="AE100" s="12" t="str">
        <f>IF(OR(AD100="",AD100="-"),"-",AD100*$M100*SQRT(3)/1000)</f>
        <v>-</v>
      </c>
      <c r="AF100" s="160" t="s">
        <v>713</v>
      </c>
      <c r="AG100" s="9" t="s">
        <v>0</v>
      </c>
      <c r="AH100" s="9">
        <v>49</v>
      </c>
      <c r="AI100" s="9">
        <v>1.18</v>
      </c>
      <c r="AJ100" s="32">
        <v>0.96</v>
      </c>
      <c r="AK100" s="9">
        <v>18.5</v>
      </c>
      <c r="AL100" s="32">
        <v>0.95</v>
      </c>
      <c r="AM100" s="9">
        <v>1.2</v>
      </c>
      <c r="AN100" s="32">
        <v>1</v>
      </c>
      <c r="AO100" s="9">
        <v>3</v>
      </c>
      <c r="AP100" s="9">
        <v>0.45</v>
      </c>
      <c r="AQ100" s="32">
        <v>0.81</v>
      </c>
      <c r="AR100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406.29599999999994</v>
      </c>
      <c r="AS100" s="9">
        <f t="shared" si="9"/>
        <v>7.7409784640320485</v>
      </c>
      <c r="AT100" s="9">
        <f>IF(RIGHT(TIM[[#This Row],[Device type]],7)="Winding","-",TIM[[#This Row],[Cont Winter MVA]])</f>
        <v>10.478907385791706</v>
      </c>
      <c r="AU100" s="9">
        <f>IF(RIGHT(TIM[[#This Row],[Device type]],7)="Winding","-",TIM[[#This Row],[Cont Shoulder MVA]])</f>
        <v>10.478907385791706</v>
      </c>
      <c r="AV100" s="9">
        <f>IF(RIGHT(TIM[[#This Row],[Device type]],7)="Winding","-",TIM[[#This Row],[Cont Summer MVA]])</f>
        <v>10.478907385791706</v>
      </c>
      <c r="AW100" s="9" t="str">
        <f>TIM[[#This Row],[24 Hr Winter MVA]]</f>
        <v>-</v>
      </c>
      <c r="AX100" s="9" t="str">
        <f>TIM[[#This Row],[24 Hr Summer MVA]]</f>
        <v>-</v>
      </c>
      <c r="AY100" s="9" t="str">
        <f>TIM[[#This Row],[Forwards MVA]]</f>
        <v>-</v>
      </c>
      <c r="AZ100" s="9" t="str">
        <f>TIM[[#This Row],[Relay MVA]]</f>
        <v>-</v>
      </c>
      <c r="BA100" s="9" t="str">
        <f>TIM[[#This Row],[CT MVA]]</f>
        <v>-</v>
      </c>
      <c r="BB100" s="9">
        <f>TIM[[#This Row],[Derating MVA]]</f>
        <v>7.7409784640320485</v>
      </c>
      <c r="BC100" s="9" t="str">
        <f>TIM[[#This Row],[Station/Feeder]]&amp;TIM[[#This Row],[Lowest MVA]]</f>
        <v>CB2832_Grants Rd7.74097846403205</v>
      </c>
      <c r="BD100" s="9" t="str">
        <f>CONCATENATE(TIM[[#This Row],[Supply Level]],TIM[[#This Row],[Station/Feeder]],TIM[[#This Row],[Voltage]],TIM[[#This Row],[Lowest A-No PTX]])</f>
        <v>DistributionFeederCB2832_Grants Rd11406.296</v>
      </c>
      <c r="BE100" s="9" t="str">
        <f>CONCATENATE(TIM[[#This Row],[Supply Level]],TIM[[#This Row],[Station/Feeder]],TIM[[#This Row],[Voltage]],TIM[[#This Row],[Lowest A-PTX]])</f>
        <v>DistributionFeederCB2832_Grants Rd11406.296</v>
      </c>
      <c r="BF100" s="9">
        <f>IFERROR(IF(MIN(TIM[[#This Row],[Summ Cont Winter A]:[Cable Derating]])=0,"",MIN(TIM[[#This Row],[Summ Cont Winter A]:[Cable Derating]])),"")</f>
        <v>7.7409784640320485</v>
      </c>
      <c r="BG100" s="9">
        <f>IFERROR(TIM[[#This Row],[Lowest MVA]]*1000/(TIM[[#This Row],[Voltage]]*SQRT(3)),"")</f>
        <v>406.29599999999994</v>
      </c>
      <c r="BH100" s="9">
        <f t="shared" si="153"/>
        <v>406.29599999999994</v>
      </c>
      <c r="BI100" s="9" t="str">
        <f>TIM[[#This Row],[From]]</f>
        <v>CB2832</v>
      </c>
      <c r="BJ100" s="9" t="str">
        <f>TIM[[#This Row],[To]]</f>
        <v>Joint</v>
      </c>
      <c r="BK10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100" s="9">
        <f>TIM[[#This Row],[Voltage]]</f>
        <v>11</v>
      </c>
    </row>
    <row r="101" spans="1:64" ht="15" customHeight="1" x14ac:dyDescent="0.25">
      <c r="A101" s="6" t="str">
        <f>CONCATENATE(TIM[[#This Row],[Supply Level]],TIM[[#This Row],[Station/Feeder]],TIM[[#This Row],[Voltage]])</f>
        <v>DistributionFeederCB2832_Grants Rd11</v>
      </c>
      <c r="B101" s="6" t="str">
        <f>CONCATENATE(TIM[[#This Row],[Supply Level]],TIM[[#This Row],[Station/Feeder]],TIM[[#This Row],[Equipment ID]],TIM[[#This Row],[Voltage]],TIM[[#This Row],[Device type]])</f>
        <v>DistributionFeederCB2832_Grants Rd3c 240mm²  AL PILC STA11-</v>
      </c>
      <c r="C101" s="6" t="s">
        <v>1276</v>
      </c>
      <c r="D101" s="11" t="s">
        <v>146</v>
      </c>
      <c r="E101" s="6" t="s">
        <v>750</v>
      </c>
      <c r="F101" s="6" t="s">
        <v>846</v>
      </c>
      <c r="G101" s="27">
        <v>3</v>
      </c>
      <c r="H101" s="7" t="s">
        <v>811</v>
      </c>
      <c r="I101" s="7" t="s">
        <v>833</v>
      </c>
      <c r="J101" s="7" t="s">
        <v>250</v>
      </c>
      <c r="K101" s="7" t="s">
        <v>0</v>
      </c>
      <c r="L101" s="7" t="s">
        <v>0</v>
      </c>
      <c r="M101" s="8">
        <v>11</v>
      </c>
      <c r="N101" s="9">
        <v>345</v>
      </c>
      <c r="O101" s="9">
        <f t="shared" si="0"/>
        <v>6.5731328147238894</v>
      </c>
      <c r="P101" s="9">
        <v>345</v>
      </c>
      <c r="Q101" s="9">
        <f t="shared" si="1"/>
        <v>6.5731328147238894</v>
      </c>
      <c r="R101" s="9">
        <v>345</v>
      </c>
      <c r="S101" s="9">
        <f t="shared" si="2"/>
        <v>6.5731328147238894</v>
      </c>
      <c r="T101" s="9" t="s">
        <v>0</v>
      </c>
      <c r="U101" s="9" t="str">
        <f t="shared" si="3"/>
        <v>-</v>
      </c>
      <c r="V101" s="9" t="s">
        <v>0</v>
      </c>
      <c r="W101" s="9" t="str">
        <f t="shared" si="4"/>
        <v>-</v>
      </c>
      <c r="X101" s="9" t="s">
        <v>0</v>
      </c>
      <c r="Y101" s="9" t="str">
        <f>IF(OR(X101="",X101="-"),"-",X101*$M101*SQRT(3)/1000)</f>
        <v>-</v>
      </c>
      <c r="Z101" s="9" t="s">
        <v>0</v>
      </c>
      <c r="AA101" s="9" t="str">
        <f>IF(OR(Z101="",Z101="-"),"-",Z101*$M101*SQRT(3)/1000)</f>
        <v>-</v>
      </c>
      <c r="AB101" s="9" t="s">
        <v>0</v>
      </c>
      <c r="AC101" s="9" t="str">
        <f>IF(OR(AB101="",AB101="-"),"-",AB101*$M101*SQRT(3)/1000)</f>
        <v>-</v>
      </c>
      <c r="AD101" s="9" t="s">
        <v>0</v>
      </c>
      <c r="AE101" s="12" t="str">
        <f>IF(OR(AD101="",AD101="-"),"-",AD101*$M101*SQRT(3)/1000)</f>
        <v>-</v>
      </c>
      <c r="AF101" s="9" t="s">
        <v>716</v>
      </c>
      <c r="AG101" s="9" t="s">
        <v>0</v>
      </c>
      <c r="AH101" s="9">
        <v>367.9</v>
      </c>
      <c r="AI101" s="9">
        <v>1.18</v>
      </c>
      <c r="AJ101" s="32">
        <v>0.96</v>
      </c>
      <c r="AK101" s="9">
        <v>18.5</v>
      </c>
      <c r="AL101" s="32">
        <v>0.95</v>
      </c>
      <c r="AM101" s="9">
        <v>1.2</v>
      </c>
      <c r="AN101" s="32">
        <v>1</v>
      </c>
      <c r="AO101" s="9">
        <v>3</v>
      </c>
      <c r="AP101" s="9">
        <v>0.6</v>
      </c>
      <c r="AQ101" s="32">
        <v>0.89</v>
      </c>
      <c r="AR101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280.02959999999996</v>
      </c>
      <c r="AS101" s="9">
        <f t="shared" si="9"/>
        <v>5.335280443055086</v>
      </c>
      <c r="AT101" s="9">
        <f>IF(RIGHT(TIM[[#This Row],[Device type]],7)="Winding","-",TIM[[#This Row],[Cont Winter MVA]])</f>
        <v>6.5731328147238894</v>
      </c>
      <c r="AU101" s="9">
        <f>IF(RIGHT(TIM[[#This Row],[Device type]],7)="Winding","-",TIM[[#This Row],[Cont Shoulder MVA]])</f>
        <v>6.5731328147238894</v>
      </c>
      <c r="AV101" s="9">
        <f>IF(RIGHT(TIM[[#This Row],[Device type]],7)="Winding","-",TIM[[#This Row],[Cont Summer MVA]])</f>
        <v>6.5731328147238894</v>
      </c>
      <c r="AW101" s="9" t="str">
        <f>TIM[[#This Row],[24 Hr Winter MVA]]</f>
        <v>-</v>
      </c>
      <c r="AX101" s="9" t="str">
        <f>TIM[[#This Row],[24 Hr Summer MVA]]</f>
        <v>-</v>
      </c>
      <c r="AY101" s="9" t="str">
        <f>TIM[[#This Row],[Forwards MVA]]</f>
        <v>-</v>
      </c>
      <c r="AZ101" s="9" t="str">
        <f>TIM[[#This Row],[Relay MVA]]</f>
        <v>-</v>
      </c>
      <c r="BA101" s="9" t="str">
        <f>TIM[[#This Row],[CT MVA]]</f>
        <v>-</v>
      </c>
      <c r="BB101" s="9">
        <f>TIM[[#This Row],[Derating MVA]]</f>
        <v>5.335280443055086</v>
      </c>
      <c r="BC101" s="9" t="str">
        <f>TIM[[#This Row],[Station/Feeder]]&amp;TIM[[#This Row],[Lowest MVA]]</f>
        <v>CB2832_Grants Rd5.33528044305509</v>
      </c>
      <c r="BD101" s="9" t="str">
        <f>CONCATENATE(TIM[[#This Row],[Supply Level]],TIM[[#This Row],[Station/Feeder]],TIM[[#This Row],[Voltage]],TIM[[#This Row],[Lowest A-No PTX]])</f>
        <v>DistributionFeederCB2832_Grants Rd11280.0296</v>
      </c>
      <c r="BE101" s="9" t="str">
        <f>CONCATENATE(TIM[[#This Row],[Supply Level]],TIM[[#This Row],[Station/Feeder]],TIM[[#This Row],[Voltage]],TIM[[#This Row],[Lowest A-PTX]])</f>
        <v>DistributionFeederCB2832_Grants Rd11280.0296</v>
      </c>
      <c r="BF101" s="9">
        <f>IFERROR(IF(MIN(TIM[[#This Row],[Summ Cont Winter A]:[Cable Derating]])=0,"",MIN(TIM[[#This Row],[Summ Cont Winter A]:[Cable Derating]])),"")</f>
        <v>5.335280443055086</v>
      </c>
      <c r="BG101" s="9">
        <f>IFERROR(TIM[[#This Row],[Lowest MVA]]*1000/(TIM[[#This Row],[Voltage]]*SQRT(3)),"")</f>
        <v>280.02959999999996</v>
      </c>
      <c r="BH101" s="9">
        <f t="shared" si="153"/>
        <v>280.02959999999996</v>
      </c>
      <c r="BI101" s="9" t="str">
        <f>TIM[[#This Row],[From]]</f>
        <v>Joint</v>
      </c>
      <c r="BJ101" s="9" t="str">
        <f>TIM[[#This Row],[To]]</f>
        <v>L773</v>
      </c>
      <c r="BK10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240mm²  AL PILC STA</v>
      </c>
      <c r="BL101" s="9">
        <f>TIM[[#This Row],[Voltage]]</f>
        <v>11</v>
      </c>
    </row>
    <row r="102" spans="1:64" ht="15" customHeight="1" x14ac:dyDescent="0.25">
      <c r="A102" s="6" t="str">
        <f>CONCATENATE(TIM[[#This Row],[Supply Level]],TIM[[#This Row],[Station/Feeder]],TIM[[#This Row],[Voltage]])</f>
        <v>DistributionFeederCB2852_Hadlow11</v>
      </c>
      <c r="B102" s="6" t="str">
        <f>CONCATENATE(TIM[[#This Row],[Supply Level]],TIM[[#This Row],[Station/Feeder]],TIM[[#This Row],[Equipment ID]],TIM[[#This Row],[Voltage]],TIM[[#This Row],[Device type]])</f>
        <v>DistributionFeederCB2852_HadlowTIM-CB285211Protection</v>
      </c>
      <c r="C102" s="6" t="s">
        <v>1276</v>
      </c>
      <c r="D102" s="11" t="s">
        <v>1310</v>
      </c>
      <c r="E102" s="6" t="s">
        <v>243</v>
      </c>
      <c r="F102" s="6" t="s">
        <v>847</v>
      </c>
      <c r="G102" s="27">
        <v>1</v>
      </c>
      <c r="H102" s="7" t="s">
        <v>2365</v>
      </c>
      <c r="I102" s="7" t="s">
        <v>2234</v>
      </c>
      <c r="J102" s="7" t="s">
        <v>15</v>
      </c>
      <c r="K102" s="7" t="s">
        <v>1121</v>
      </c>
      <c r="L102" s="7" t="s">
        <v>1423</v>
      </c>
      <c r="M102" s="8">
        <v>11</v>
      </c>
      <c r="N102" s="9">
        <v>550</v>
      </c>
      <c r="O102" s="9">
        <f t="shared" si="0"/>
        <v>10.478907385791706</v>
      </c>
      <c r="P102" s="9">
        <v>550</v>
      </c>
      <c r="Q102" s="9">
        <f t="shared" si="1"/>
        <v>10.478907385791706</v>
      </c>
      <c r="R102" s="9">
        <v>550</v>
      </c>
      <c r="S102" s="9">
        <f t="shared" si="2"/>
        <v>10.478907385791706</v>
      </c>
      <c r="T102" s="9" t="s">
        <v>0</v>
      </c>
      <c r="U102" s="9" t="str">
        <f t="shared" si="3"/>
        <v>-</v>
      </c>
      <c r="V102" s="9" t="s">
        <v>0</v>
      </c>
      <c r="W102" s="9" t="str">
        <f t="shared" si="4"/>
        <v>-</v>
      </c>
      <c r="X102" s="9">
        <f>VLOOKUP(TIM[[#This Row],[Equipment ID]],AEL_Protection_Data[#All],12,0)</f>
        <v>400</v>
      </c>
      <c r="Y102" s="9">
        <f t="shared" si="154"/>
        <v>7.6210235533030604</v>
      </c>
      <c r="Z102" s="9">
        <v>366</v>
      </c>
      <c r="AA102" s="9">
        <f t="shared" si="155"/>
        <v>6.9732365512722998</v>
      </c>
      <c r="AB102" s="9">
        <v>2400</v>
      </c>
      <c r="AC102" s="9">
        <f t="shared" si="156"/>
        <v>45.72614131981836</v>
      </c>
      <c r="AD102" s="9">
        <v>1600</v>
      </c>
      <c r="AE102" s="12">
        <f t="shared" si="157"/>
        <v>30.484094213212241</v>
      </c>
      <c r="AF102" s="9" t="s">
        <v>0</v>
      </c>
      <c r="AG102" s="9" t="s">
        <v>0</v>
      </c>
      <c r="AH102" s="9" t="s">
        <v>0</v>
      </c>
      <c r="AI102" s="9" t="s">
        <v>0</v>
      </c>
      <c r="AJ102" s="32" t="s">
        <v>0</v>
      </c>
      <c r="AK102" s="9" t="s">
        <v>0</v>
      </c>
      <c r="AL102" s="32" t="s">
        <v>0</v>
      </c>
      <c r="AM102" s="9" t="s">
        <v>0</v>
      </c>
      <c r="AN102" s="32" t="s">
        <v>0</v>
      </c>
      <c r="AO102" s="9" t="s">
        <v>0</v>
      </c>
      <c r="AP102" s="9" t="s">
        <v>0</v>
      </c>
      <c r="AQ102" s="32" t="s">
        <v>0</v>
      </c>
      <c r="AR102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02" s="9" t="str">
        <f t="shared" si="9"/>
        <v>-</v>
      </c>
      <c r="AT102" s="9">
        <f>IF(RIGHT(TIM[[#This Row],[Device type]],7)="Winding","-",TIM[[#This Row],[Cont Winter MVA]])</f>
        <v>10.478907385791706</v>
      </c>
      <c r="AU102" s="9">
        <f>IF(RIGHT(TIM[[#This Row],[Device type]],7)="Winding","-",TIM[[#This Row],[Cont Shoulder MVA]])</f>
        <v>10.478907385791706</v>
      </c>
      <c r="AV102" s="9">
        <f>IF(RIGHT(TIM[[#This Row],[Device type]],7)="Winding","-",TIM[[#This Row],[Cont Summer MVA]])</f>
        <v>10.478907385791706</v>
      </c>
      <c r="AW102" s="9" t="str">
        <f>TIM[[#This Row],[24 Hr Winter MVA]]</f>
        <v>-</v>
      </c>
      <c r="AX102" s="9" t="str">
        <f>TIM[[#This Row],[24 Hr Summer MVA]]</f>
        <v>-</v>
      </c>
      <c r="AY102" s="9">
        <f>TIM[[#This Row],[Forwards MVA]]</f>
        <v>7.6210235533030604</v>
      </c>
      <c r="AZ102" s="9">
        <f>TIM[[#This Row],[Relay MVA]]</f>
        <v>45.72614131981836</v>
      </c>
      <c r="BA102" s="9">
        <f>TIM[[#This Row],[CT MVA]]</f>
        <v>30.484094213212241</v>
      </c>
      <c r="BB102" s="9" t="str">
        <f>TIM[[#This Row],[Derating MVA]]</f>
        <v>-</v>
      </c>
      <c r="BC102" s="9" t="str">
        <f>TIM[[#This Row],[Station/Feeder]]&amp;TIM[[#This Row],[Lowest MVA]]</f>
        <v>CB2852_Hadlow7.62102355330306</v>
      </c>
      <c r="BD102" s="9" t="str">
        <f>CONCATENATE(TIM[[#This Row],[Supply Level]],TIM[[#This Row],[Station/Feeder]],TIM[[#This Row],[Voltage]],TIM[[#This Row],[Lowest A-No PTX]])</f>
        <v>DistributionFeederCB2852_Hadlow11400</v>
      </c>
      <c r="BE102" s="9" t="str">
        <f>CONCATENATE(TIM[[#This Row],[Supply Level]],TIM[[#This Row],[Station/Feeder]],TIM[[#This Row],[Voltage]],TIM[[#This Row],[Lowest A-PTX]])</f>
        <v>DistributionFeederCB2852_Hadlow11366</v>
      </c>
      <c r="BF102" s="9">
        <f>IFERROR(IF(MIN(TIM[[#This Row],[Summ Cont Winter A]:[Cable Derating]])=0,"",MIN(TIM[[#This Row],[Summ Cont Winter A]:[Cable Derating]])),"")</f>
        <v>7.6210235533030604</v>
      </c>
      <c r="BG102" s="9">
        <f>IFERROR(TIM[[#This Row],[Lowest MVA]]*1000/(TIM[[#This Row],[Voltage]]*SQRT(3)),"")</f>
        <v>400</v>
      </c>
      <c r="BH102" s="9">
        <f t="shared" si="153"/>
        <v>366</v>
      </c>
      <c r="BI102" s="9" t="str">
        <f>TIM[[#This Row],[From]]</f>
        <v>11 kV Bus</v>
      </c>
      <c r="BJ102" s="9" t="str">
        <f>TIM[[#This Row],[To]]</f>
        <v>CB2852</v>
      </c>
      <c r="BK10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Breaker-TIM-CB2852-Protection</v>
      </c>
      <c r="BL102" s="9">
        <f>TIM[[#This Row],[Voltage]]</f>
        <v>11</v>
      </c>
    </row>
    <row r="103" spans="1:64" ht="15" customHeight="1" x14ac:dyDescent="0.25">
      <c r="A103" s="6" t="str">
        <f>CONCATENATE(TIM[[#This Row],[Supply Level]],TIM[[#This Row],[Station/Feeder]],TIM[[#This Row],[Voltage]])</f>
        <v>DistributionFeederCB2852_Hadlow11</v>
      </c>
      <c r="B103" s="6" t="str">
        <f>CONCATENATE(TIM[[#This Row],[Supply Level]],TIM[[#This Row],[Station/Feeder]],TIM[[#This Row],[Equipment ID]],TIM[[#This Row],[Voltage]],TIM[[#This Row],[Device type]])</f>
        <v>DistributionFeederCB2852_Hadlow3/1c 400mm² AL XLPE HDPE Screened11-</v>
      </c>
      <c r="C103" s="6" t="s">
        <v>1276</v>
      </c>
      <c r="D103" s="11" t="s">
        <v>1310</v>
      </c>
      <c r="E103" s="6" t="s">
        <v>847</v>
      </c>
      <c r="F103" s="6" t="s">
        <v>849</v>
      </c>
      <c r="G103" s="27">
        <v>2</v>
      </c>
      <c r="H103" s="7" t="s">
        <v>811</v>
      </c>
      <c r="I103" s="7" t="s">
        <v>819</v>
      </c>
      <c r="J103" s="7" t="s">
        <v>250</v>
      </c>
      <c r="K103" s="7" t="s">
        <v>0</v>
      </c>
      <c r="L103" s="7" t="s">
        <v>0</v>
      </c>
      <c r="M103" s="8">
        <v>11</v>
      </c>
      <c r="N103" s="9">
        <v>550</v>
      </c>
      <c r="O103" s="9">
        <f t="shared" si="0"/>
        <v>10.478907385791706</v>
      </c>
      <c r="P103" s="9">
        <v>550</v>
      </c>
      <c r="Q103" s="9">
        <f t="shared" si="1"/>
        <v>10.478907385791706</v>
      </c>
      <c r="R103" s="9">
        <v>550</v>
      </c>
      <c r="S103" s="9">
        <f t="shared" si="2"/>
        <v>10.478907385791706</v>
      </c>
      <c r="T103" s="9" t="s">
        <v>0</v>
      </c>
      <c r="U103" s="9" t="str">
        <f t="shared" si="3"/>
        <v>-</v>
      </c>
      <c r="V103" s="9" t="s">
        <v>0</v>
      </c>
      <c r="W103" s="9" t="str">
        <f t="shared" si="4"/>
        <v>-</v>
      </c>
      <c r="X103" s="9" t="s">
        <v>0</v>
      </c>
      <c r="Y103" s="9" t="str">
        <f>IF(OR(X103="",X103="-"),"-",X103*$M103*SQRT(3)/1000)</f>
        <v>-</v>
      </c>
      <c r="Z103" s="9" t="s">
        <v>0</v>
      </c>
      <c r="AA103" s="9" t="str">
        <f>IF(OR(Z103="",Z103="-"),"-",Z103*$M103*SQRT(3)/1000)</f>
        <v>-</v>
      </c>
      <c r="AB103" s="9" t="s">
        <v>0</v>
      </c>
      <c r="AC103" s="9" t="str">
        <f>IF(OR(AB103="",AB103="-"),"-",AB103*$M103*SQRT(3)/1000)</f>
        <v>-</v>
      </c>
      <c r="AD103" s="9" t="s">
        <v>0</v>
      </c>
      <c r="AE103" s="12" t="str">
        <f>IF(OR(AD103="",AD103="-"),"-",AD103*$M103*SQRT(3)/1000)</f>
        <v>-</v>
      </c>
      <c r="AF103" s="159" t="s">
        <v>713</v>
      </c>
      <c r="AG103" s="9" t="s">
        <v>0</v>
      </c>
      <c r="AH103" s="9">
        <v>110.3</v>
      </c>
      <c r="AI103" s="9">
        <v>1.1000000000000001</v>
      </c>
      <c r="AJ103" s="32">
        <v>0.97</v>
      </c>
      <c r="AK103" s="9">
        <v>18.5</v>
      </c>
      <c r="AL103" s="32">
        <v>0.95</v>
      </c>
      <c r="AM103" s="9">
        <v>1.2</v>
      </c>
      <c r="AN103" s="32">
        <v>1</v>
      </c>
      <c r="AO103" s="9">
        <v>4</v>
      </c>
      <c r="AP103" s="9">
        <v>0.45</v>
      </c>
      <c r="AQ103" s="32">
        <v>0.76</v>
      </c>
      <c r="AR103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385.18699999999995</v>
      </c>
      <c r="AS103" s="9">
        <f t="shared" si="9"/>
        <v>7.3387979985653633</v>
      </c>
      <c r="AT103" s="9">
        <f>IF(RIGHT(TIM[[#This Row],[Device type]],7)="Winding","-",TIM[[#This Row],[Cont Winter MVA]])</f>
        <v>10.478907385791706</v>
      </c>
      <c r="AU103" s="9">
        <f>IF(RIGHT(TIM[[#This Row],[Device type]],7)="Winding","-",TIM[[#This Row],[Cont Shoulder MVA]])</f>
        <v>10.478907385791706</v>
      </c>
      <c r="AV103" s="9">
        <f>IF(RIGHT(TIM[[#This Row],[Device type]],7)="Winding","-",TIM[[#This Row],[Cont Summer MVA]])</f>
        <v>10.478907385791706</v>
      </c>
      <c r="AW103" s="9" t="str">
        <f>TIM[[#This Row],[24 Hr Winter MVA]]</f>
        <v>-</v>
      </c>
      <c r="AX103" s="9" t="str">
        <f>TIM[[#This Row],[24 Hr Summer MVA]]</f>
        <v>-</v>
      </c>
      <c r="AY103" s="9" t="str">
        <f>TIM[[#This Row],[Forwards MVA]]</f>
        <v>-</v>
      </c>
      <c r="AZ103" s="9" t="str">
        <f>TIM[[#This Row],[Relay MVA]]</f>
        <v>-</v>
      </c>
      <c r="BA103" s="9" t="str">
        <f>TIM[[#This Row],[CT MVA]]</f>
        <v>-</v>
      </c>
      <c r="BB103" s="9">
        <f>TIM[[#This Row],[Derating MVA]]</f>
        <v>7.3387979985653633</v>
      </c>
      <c r="BC103" s="9" t="str">
        <f>TIM[[#This Row],[Station/Feeder]]&amp;TIM[[#This Row],[Lowest MVA]]</f>
        <v>CB2852_Hadlow7.33879799856536</v>
      </c>
      <c r="BD103" s="9" t="str">
        <f>CONCATENATE(TIM[[#This Row],[Supply Level]],TIM[[#This Row],[Station/Feeder]],TIM[[#This Row],[Voltage]],TIM[[#This Row],[Lowest A-No PTX]])</f>
        <v>DistributionFeederCB2852_Hadlow11385.187</v>
      </c>
      <c r="BE103" s="9" t="str">
        <f>CONCATENATE(TIM[[#This Row],[Supply Level]],TIM[[#This Row],[Station/Feeder]],TIM[[#This Row],[Voltage]],TIM[[#This Row],[Lowest A-PTX]])</f>
        <v>DistributionFeederCB2852_Hadlow11385.187</v>
      </c>
      <c r="BF103" s="9">
        <f>IFERROR(IF(MIN(TIM[[#This Row],[Summ Cont Winter A]:[Cable Derating]])=0,"",MIN(TIM[[#This Row],[Summ Cont Winter A]:[Cable Derating]])),"")</f>
        <v>7.3387979985653633</v>
      </c>
      <c r="BG103" s="9">
        <f>IFERROR(TIM[[#This Row],[Lowest MVA]]*1000/(TIM[[#This Row],[Voltage]]*SQRT(3)),"")</f>
        <v>385.18699999999995</v>
      </c>
      <c r="BH103" s="9">
        <f t="shared" si="153"/>
        <v>385.18699999999995</v>
      </c>
      <c r="BI103" s="9" t="str">
        <f>TIM[[#This Row],[From]]</f>
        <v>CB2852</v>
      </c>
      <c r="BJ103" s="9" t="str">
        <f>TIM[[#This Row],[To]]</f>
        <v>L800</v>
      </c>
      <c r="BK10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103" s="9">
        <f>TIM[[#This Row],[Voltage]]</f>
        <v>11</v>
      </c>
    </row>
    <row r="104" spans="1:64" ht="15" customHeight="1" x14ac:dyDescent="0.25">
      <c r="A104" s="6" t="str">
        <f>CONCATENATE(TIM[[#This Row],[Supply Level]],TIM[[#This Row],[Station/Feeder]],TIM[[#This Row],[Voltage]])</f>
        <v>DistributionFeederCB2852_Hadlow11</v>
      </c>
      <c r="B104" s="6" t="str">
        <f>CONCATENATE(TIM[[#This Row],[Supply Level]],TIM[[#This Row],[Station/Feeder]],TIM[[#This Row],[Equipment ID]],TIM[[#This Row],[Voltage]],TIM[[#This Row],[Device type]])</f>
        <v>DistributionFeederCB2852_HadlowJAGUAR11-</v>
      </c>
      <c r="C104" s="6" t="s">
        <v>1276</v>
      </c>
      <c r="D104" s="11" t="s">
        <v>1310</v>
      </c>
      <c r="E104" s="6" t="s">
        <v>850</v>
      </c>
      <c r="F104" s="6" t="s">
        <v>851</v>
      </c>
      <c r="G104" s="27">
        <v>3</v>
      </c>
      <c r="H104" s="7" t="s">
        <v>1289</v>
      </c>
      <c r="I104" s="7" t="s">
        <v>345</v>
      </c>
      <c r="J104" s="7" t="s">
        <v>69</v>
      </c>
      <c r="K104" s="7" t="s">
        <v>0</v>
      </c>
      <c r="L104" s="7" t="s">
        <v>0</v>
      </c>
      <c r="M104" s="8">
        <v>11</v>
      </c>
      <c r="N104" s="9">
        <v>523.13480389780273</v>
      </c>
      <c r="O104" s="9">
        <f t="shared" si="0"/>
        <v>9.9670566551443294</v>
      </c>
      <c r="P104" s="9">
        <v>550</v>
      </c>
      <c r="Q104" s="9">
        <f t="shared" si="1"/>
        <v>10.478907385791706</v>
      </c>
      <c r="R104" s="9">
        <v>386.92827157177999</v>
      </c>
      <c r="S104" s="9">
        <f t="shared" si="2"/>
        <v>7.3719736777184455</v>
      </c>
      <c r="T104" s="9" t="s">
        <v>0</v>
      </c>
      <c r="U104" s="9" t="str">
        <f t="shared" si="3"/>
        <v>-</v>
      </c>
      <c r="V104" s="9" t="s">
        <v>0</v>
      </c>
      <c r="W104" s="9" t="str">
        <f t="shared" si="4"/>
        <v>-</v>
      </c>
      <c r="X104" s="9" t="s">
        <v>0</v>
      </c>
      <c r="Y104" s="9" t="str">
        <f>IF(OR(X104="",X104="-"),"-",X104*$M104*SQRT(3)/1000)</f>
        <v>-</v>
      </c>
      <c r="Z104" s="9" t="s">
        <v>0</v>
      </c>
      <c r="AA104" s="9" t="str">
        <f>IF(OR(Z104="",Z104="-"),"-",Z104*$M104*SQRT(3)/1000)</f>
        <v>-</v>
      </c>
      <c r="AB104" s="9" t="s">
        <v>0</v>
      </c>
      <c r="AC104" s="9" t="str">
        <f>IF(OR(AB104="",AB104="-"),"-",AB104*$M104*SQRT(3)/1000)</f>
        <v>-</v>
      </c>
      <c r="AD104" s="9" t="s">
        <v>0</v>
      </c>
      <c r="AE104" s="12" t="str">
        <f>IF(OR(AD104="",AD104="-"),"-",AD104*$M104*SQRT(3)/1000)</f>
        <v>-</v>
      </c>
      <c r="AF104" s="9" t="s">
        <v>0</v>
      </c>
      <c r="AG104" s="9" t="s">
        <v>0</v>
      </c>
      <c r="AH104" s="9">
        <v>1762.1</v>
      </c>
      <c r="AI104" s="9" t="s">
        <v>0</v>
      </c>
      <c r="AJ104" s="32" t="s">
        <v>0</v>
      </c>
      <c r="AK104" s="9" t="s">
        <v>0</v>
      </c>
      <c r="AL104" s="32" t="s">
        <v>0</v>
      </c>
      <c r="AM104" s="9" t="s">
        <v>0</v>
      </c>
      <c r="AN104" s="32" t="s">
        <v>0</v>
      </c>
      <c r="AO104" s="9" t="s">
        <v>0</v>
      </c>
      <c r="AP104" s="9" t="s">
        <v>0</v>
      </c>
      <c r="AQ104" s="32" t="s">
        <v>0</v>
      </c>
      <c r="AR10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04" s="9" t="str">
        <f t="shared" si="9"/>
        <v>-</v>
      </c>
      <c r="AT104" s="9">
        <f>IF(RIGHT(TIM[[#This Row],[Device type]],7)="Winding","-",TIM[[#This Row],[Cont Winter MVA]])</f>
        <v>9.9670566551443294</v>
      </c>
      <c r="AU104" s="9">
        <f>IF(RIGHT(TIM[[#This Row],[Device type]],7)="Winding","-",TIM[[#This Row],[Cont Shoulder MVA]])</f>
        <v>10.478907385791706</v>
      </c>
      <c r="AV104" s="9">
        <f>IF(RIGHT(TIM[[#This Row],[Device type]],7)="Winding","-",TIM[[#This Row],[Cont Summer MVA]])</f>
        <v>7.3719736777184455</v>
      </c>
      <c r="AW104" s="9" t="str">
        <f>TIM[[#This Row],[24 Hr Winter MVA]]</f>
        <v>-</v>
      </c>
      <c r="AX104" s="9" t="str">
        <f>TIM[[#This Row],[24 Hr Summer MVA]]</f>
        <v>-</v>
      </c>
      <c r="AY104" s="9" t="str">
        <f>TIM[[#This Row],[Forwards MVA]]</f>
        <v>-</v>
      </c>
      <c r="AZ104" s="9" t="str">
        <f>TIM[[#This Row],[Relay MVA]]</f>
        <v>-</v>
      </c>
      <c r="BA104" s="9" t="str">
        <f>TIM[[#This Row],[CT MVA]]</f>
        <v>-</v>
      </c>
      <c r="BB104" s="9" t="str">
        <f>TIM[[#This Row],[Derating MVA]]</f>
        <v>-</v>
      </c>
      <c r="BC104" s="9" t="str">
        <f>TIM[[#This Row],[Station/Feeder]]&amp;TIM[[#This Row],[Lowest MVA]]</f>
        <v>CB2852_Hadlow7.37197367771845</v>
      </c>
      <c r="BD104" s="9" t="str">
        <f>CONCATENATE(TIM[[#This Row],[Supply Level]],TIM[[#This Row],[Station/Feeder]],TIM[[#This Row],[Voltage]],TIM[[#This Row],[Lowest A-No PTX]])</f>
        <v>DistributionFeederCB2852_Hadlow11386.92827157178</v>
      </c>
      <c r="BE104" s="9" t="str">
        <f>CONCATENATE(TIM[[#This Row],[Supply Level]],TIM[[#This Row],[Station/Feeder]],TIM[[#This Row],[Voltage]],TIM[[#This Row],[Lowest A-PTX]])</f>
        <v>DistributionFeederCB2852_Hadlow11386.92827157178</v>
      </c>
      <c r="BF104" s="9">
        <f>IFERROR(IF(MIN(TIM[[#This Row],[Summ Cont Winter A]:[Cable Derating]])=0,"",MIN(TIM[[#This Row],[Summ Cont Winter A]:[Cable Derating]])),"")</f>
        <v>7.3719736777184455</v>
      </c>
      <c r="BG104" s="9">
        <f>IFERROR(TIM[[#This Row],[Lowest MVA]]*1000/(TIM[[#This Row],[Voltage]]*SQRT(3)),"")</f>
        <v>386.92827157177999</v>
      </c>
      <c r="BH104" s="9">
        <f t="shared" si="153"/>
        <v>386.92827157177999</v>
      </c>
      <c r="BI104" s="9" t="str">
        <f>TIM[[#This Row],[From]]</f>
        <v xml:space="preserve">L800 </v>
      </c>
      <c r="BJ104" s="9" t="str">
        <f>TIM[[#This Row],[To]]</f>
        <v>L801</v>
      </c>
      <c r="BK10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Line-JAGUAR</v>
      </c>
      <c r="BL104" s="9">
        <f>TIM[[#This Row],[Voltage]]</f>
        <v>11</v>
      </c>
    </row>
    <row r="105" spans="1:64" ht="15" customHeight="1" x14ac:dyDescent="0.25">
      <c r="A105" s="6" t="str">
        <f>CONCATENATE(TIM[[#This Row],[Supply Level]],TIM[[#This Row],[Station/Feeder]],TIM[[#This Row],[Voltage]])</f>
        <v>DistributionFeederCB2852_Hadlow11</v>
      </c>
      <c r="B105" s="6" t="str">
        <f>CONCATENATE(TIM[[#This Row],[Supply Level]],TIM[[#This Row],[Station/Feeder]],TIM[[#This Row],[Equipment ID]],TIM[[#This Row],[Voltage]],TIM[[#This Row],[Device type]])</f>
        <v>DistributionFeederCB2852_HadlowJAGUAR11-</v>
      </c>
      <c r="C105" s="6" t="s">
        <v>1276</v>
      </c>
      <c r="D105" s="11" t="s">
        <v>1310</v>
      </c>
      <c r="E105" s="6" t="s">
        <v>851</v>
      </c>
      <c r="F105" s="6" t="s">
        <v>852</v>
      </c>
      <c r="G105" s="27">
        <v>4</v>
      </c>
      <c r="H105" s="7" t="s">
        <v>1289</v>
      </c>
      <c r="I105" s="7" t="s">
        <v>345</v>
      </c>
      <c r="J105" s="7" t="s">
        <v>69</v>
      </c>
      <c r="K105" s="7" t="s">
        <v>0</v>
      </c>
      <c r="L105" s="7" t="s">
        <v>0</v>
      </c>
      <c r="M105" s="8">
        <v>11</v>
      </c>
      <c r="N105" s="9">
        <v>523.13480389780273</v>
      </c>
      <c r="O105" s="9">
        <f t="shared" si="0"/>
        <v>9.9670566551443294</v>
      </c>
      <c r="P105" s="9">
        <v>550</v>
      </c>
      <c r="Q105" s="9">
        <f t="shared" si="1"/>
        <v>10.478907385791706</v>
      </c>
      <c r="R105" s="9">
        <v>386.92827157177999</v>
      </c>
      <c r="S105" s="9">
        <f t="shared" si="2"/>
        <v>7.3719736777184455</v>
      </c>
      <c r="T105" s="9" t="s">
        <v>0</v>
      </c>
      <c r="U105" s="9" t="str">
        <f t="shared" si="3"/>
        <v>-</v>
      </c>
      <c r="V105" s="9" t="s">
        <v>0</v>
      </c>
      <c r="W105" s="9" t="str">
        <f t="shared" si="4"/>
        <v>-</v>
      </c>
      <c r="X105" s="9" t="s">
        <v>0</v>
      </c>
      <c r="Y105" s="9" t="str">
        <f>IF(OR(X105="",X105="-"),"-",X105*$M105*SQRT(3)/1000)</f>
        <v>-</v>
      </c>
      <c r="Z105" s="9" t="s">
        <v>0</v>
      </c>
      <c r="AA105" s="9" t="str">
        <f>IF(OR(Z105="",Z105="-"),"-",Z105*$M105*SQRT(3)/1000)</f>
        <v>-</v>
      </c>
      <c r="AB105" s="9" t="s">
        <v>0</v>
      </c>
      <c r="AC105" s="9" t="str">
        <f>IF(OR(AB105="",AB105="-"),"-",AB105*$M105*SQRT(3)/1000)</f>
        <v>-</v>
      </c>
      <c r="AD105" s="9" t="s">
        <v>0</v>
      </c>
      <c r="AE105" s="12" t="str">
        <f>IF(OR(AD105="",AD105="-"),"-",AD105*$M105*SQRT(3)/1000)</f>
        <v>-</v>
      </c>
      <c r="AF105" s="9" t="s">
        <v>0</v>
      </c>
      <c r="AG105" s="9" t="s">
        <v>0</v>
      </c>
      <c r="AH105" s="9">
        <v>16.5</v>
      </c>
      <c r="AI105" s="9" t="s">
        <v>0</v>
      </c>
      <c r="AJ105" s="32" t="s">
        <v>0</v>
      </c>
      <c r="AK105" s="9" t="s">
        <v>0</v>
      </c>
      <c r="AL105" s="32" t="s">
        <v>0</v>
      </c>
      <c r="AM105" s="9" t="s">
        <v>0</v>
      </c>
      <c r="AN105" s="32" t="s">
        <v>0</v>
      </c>
      <c r="AO105" s="9" t="s">
        <v>0</v>
      </c>
      <c r="AP105" s="9" t="s">
        <v>0</v>
      </c>
      <c r="AQ105" s="32" t="s">
        <v>0</v>
      </c>
      <c r="AR105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05" s="9" t="str">
        <f t="shared" si="9"/>
        <v>-</v>
      </c>
      <c r="AT105" s="9">
        <f>IF(RIGHT(TIM[[#This Row],[Device type]],7)="Winding","-",TIM[[#This Row],[Cont Winter MVA]])</f>
        <v>9.9670566551443294</v>
      </c>
      <c r="AU105" s="9">
        <f>IF(RIGHT(TIM[[#This Row],[Device type]],7)="Winding","-",TIM[[#This Row],[Cont Shoulder MVA]])</f>
        <v>10.478907385791706</v>
      </c>
      <c r="AV105" s="9">
        <f>IF(RIGHT(TIM[[#This Row],[Device type]],7)="Winding","-",TIM[[#This Row],[Cont Summer MVA]])</f>
        <v>7.3719736777184455</v>
      </c>
      <c r="AW105" s="9" t="str">
        <f>TIM[[#This Row],[24 Hr Winter MVA]]</f>
        <v>-</v>
      </c>
      <c r="AX105" s="9" t="str">
        <f>TIM[[#This Row],[24 Hr Summer MVA]]</f>
        <v>-</v>
      </c>
      <c r="AY105" s="9" t="str">
        <f>TIM[[#This Row],[Forwards MVA]]</f>
        <v>-</v>
      </c>
      <c r="AZ105" s="9" t="str">
        <f>TIM[[#This Row],[Relay MVA]]</f>
        <v>-</v>
      </c>
      <c r="BA105" s="9" t="str">
        <f>TIM[[#This Row],[CT MVA]]</f>
        <v>-</v>
      </c>
      <c r="BB105" s="9" t="str">
        <f>TIM[[#This Row],[Derating MVA]]</f>
        <v>-</v>
      </c>
      <c r="BC105" s="9" t="str">
        <f>TIM[[#This Row],[Station/Feeder]]&amp;TIM[[#This Row],[Lowest MVA]]</f>
        <v>CB2852_Hadlow7.37197367771845</v>
      </c>
      <c r="BD105" s="9" t="str">
        <f>CONCATENATE(TIM[[#This Row],[Supply Level]],TIM[[#This Row],[Station/Feeder]],TIM[[#This Row],[Voltage]],TIM[[#This Row],[Lowest A-No PTX]])</f>
        <v>DistributionFeederCB2852_Hadlow11386.92827157178</v>
      </c>
      <c r="BE105" s="9" t="str">
        <f>CONCATENATE(TIM[[#This Row],[Supply Level]],TIM[[#This Row],[Station/Feeder]],TIM[[#This Row],[Voltage]],TIM[[#This Row],[Lowest A-PTX]])</f>
        <v>DistributionFeederCB2852_Hadlow11386.92827157178</v>
      </c>
      <c r="BF105" s="9">
        <f>IFERROR(IF(MIN(TIM[[#This Row],[Summ Cont Winter A]:[Cable Derating]])=0,"",MIN(TIM[[#This Row],[Summ Cont Winter A]:[Cable Derating]])),"")</f>
        <v>7.3719736777184455</v>
      </c>
      <c r="BG105" s="9">
        <f>IFERROR(TIM[[#This Row],[Lowest MVA]]*1000/(TIM[[#This Row],[Voltage]]*SQRT(3)),"")</f>
        <v>386.92827157177999</v>
      </c>
      <c r="BH105" s="9">
        <f t="shared" si="153"/>
        <v>386.92827157177999</v>
      </c>
      <c r="BI105" s="9" t="str">
        <f>TIM[[#This Row],[From]]</f>
        <v>L801</v>
      </c>
      <c r="BJ105" s="9" t="str">
        <f>TIM[[#This Row],[To]]</f>
        <v>Pole 25185</v>
      </c>
      <c r="BK10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Line-JAGUAR</v>
      </c>
      <c r="BL105" s="9">
        <f>TIM[[#This Row],[Voltage]]</f>
        <v>11</v>
      </c>
    </row>
    <row r="106" spans="1:64" ht="15" customHeight="1" x14ac:dyDescent="0.25">
      <c r="A106" s="6" t="str">
        <f>CONCATENATE(TIM[[#This Row],[Supply Level]],TIM[[#This Row],[Station/Feeder]],TIM[[#This Row],[Voltage]])</f>
        <v>DistributionFeederCB2852_Hadlow11</v>
      </c>
      <c r="B106" s="6" t="str">
        <f>CONCATENATE(TIM[[#This Row],[Supply Level]],TIM[[#This Row],[Station/Feeder]],TIM[[#This Row],[Equipment ID]],TIM[[#This Row],[Voltage]],TIM[[#This Row],[Device type]])</f>
        <v>DistributionFeederCB2852_Hadlow3c 185mm² Al XLPE HDPE11-</v>
      </c>
      <c r="C106" s="6" t="s">
        <v>1276</v>
      </c>
      <c r="D106" s="11" t="s">
        <v>1310</v>
      </c>
      <c r="E106" s="6" t="s">
        <v>852</v>
      </c>
      <c r="F106" s="6" t="s">
        <v>853</v>
      </c>
      <c r="G106" s="27">
        <v>5</v>
      </c>
      <c r="H106" s="7" t="s">
        <v>811</v>
      </c>
      <c r="I106" s="7" t="s">
        <v>854</v>
      </c>
      <c r="J106" s="7" t="s">
        <v>250</v>
      </c>
      <c r="K106" s="7" t="s">
        <v>0</v>
      </c>
      <c r="L106" s="7" t="s">
        <v>0</v>
      </c>
      <c r="M106" s="8">
        <v>11</v>
      </c>
      <c r="N106" s="9">
        <v>367</v>
      </c>
      <c r="O106" s="9">
        <f t="shared" si="0"/>
        <v>6.9922891101555571</v>
      </c>
      <c r="P106" s="9">
        <v>367</v>
      </c>
      <c r="Q106" s="9">
        <f t="shared" si="1"/>
        <v>6.9922891101555571</v>
      </c>
      <c r="R106" s="9">
        <v>367</v>
      </c>
      <c r="S106" s="9">
        <f t="shared" si="2"/>
        <v>6.9922891101555571</v>
      </c>
      <c r="T106" s="9" t="s">
        <v>0</v>
      </c>
      <c r="U106" s="9" t="str">
        <f t="shared" si="3"/>
        <v>-</v>
      </c>
      <c r="V106" s="9" t="s">
        <v>0</v>
      </c>
      <c r="W106" s="9" t="str">
        <f t="shared" si="4"/>
        <v>-</v>
      </c>
      <c r="X106" s="9" t="s">
        <v>0</v>
      </c>
      <c r="Y106" s="9" t="str">
        <f>IF(OR(X106="",X106="-"),"-",X106*$M106*SQRT(3)/1000)</f>
        <v>-</v>
      </c>
      <c r="Z106" s="9" t="s">
        <v>0</v>
      </c>
      <c r="AA106" s="9" t="str">
        <f>IF(OR(Z106="",Z106="-"),"-",Z106*$M106*SQRT(3)/1000)</f>
        <v>-</v>
      </c>
      <c r="AB106" s="9" t="s">
        <v>0</v>
      </c>
      <c r="AC106" s="9" t="str">
        <f>IF(OR(AB106="",AB106="-"),"-",AB106*$M106*SQRT(3)/1000)</f>
        <v>-</v>
      </c>
      <c r="AD106" s="9" t="s">
        <v>0</v>
      </c>
      <c r="AE106" s="12" t="str">
        <f>IF(OR(AD106="",AD106="-"),"-",AD106*$M106*SQRT(3)/1000)</f>
        <v>-</v>
      </c>
      <c r="AF106" s="9" t="s">
        <v>716</v>
      </c>
      <c r="AG106" s="9" t="s">
        <v>0</v>
      </c>
      <c r="AH106" s="9">
        <v>104.1</v>
      </c>
      <c r="AI106" s="9">
        <v>1.1000000000000001</v>
      </c>
      <c r="AJ106" s="32">
        <v>0.97</v>
      </c>
      <c r="AK106" s="9">
        <v>18.5</v>
      </c>
      <c r="AL106" s="32">
        <v>0.95</v>
      </c>
      <c r="AM106" s="9">
        <v>1.2</v>
      </c>
      <c r="AN106" s="32">
        <v>1</v>
      </c>
      <c r="AO106" s="9">
        <v>4</v>
      </c>
      <c r="AP106" s="9">
        <v>0.3</v>
      </c>
      <c r="AQ106" s="32">
        <v>0.77</v>
      </c>
      <c r="AR106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260.40668500000004</v>
      </c>
      <c r="AS106" s="9">
        <f t="shared" si="9"/>
        <v>4.9614136995564273</v>
      </c>
      <c r="AT106" s="9">
        <f>IF(RIGHT(TIM[[#This Row],[Device type]],7)="Winding","-",TIM[[#This Row],[Cont Winter MVA]])</f>
        <v>6.9922891101555571</v>
      </c>
      <c r="AU106" s="9">
        <f>IF(RIGHT(TIM[[#This Row],[Device type]],7)="Winding","-",TIM[[#This Row],[Cont Shoulder MVA]])</f>
        <v>6.9922891101555571</v>
      </c>
      <c r="AV106" s="9">
        <f>IF(RIGHT(TIM[[#This Row],[Device type]],7)="Winding","-",TIM[[#This Row],[Cont Summer MVA]])</f>
        <v>6.9922891101555571</v>
      </c>
      <c r="AW106" s="9" t="str">
        <f>TIM[[#This Row],[24 Hr Winter MVA]]</f>
        <v>-</v>
      </c>
      <c r="AX106" s="9" t="str">
        <f>TIM[[#This Row],[24 Hr Summer MVA]]</f>
        <v>-</v>
      </c>
      <c r="AY106" s="9" t="str">
        <f>TIM[[#This Row],[Forwards MVA]]</f>
        <v>-</v>
      </c>
      <c r="AZ106" s="9" t="str">
        <f>TIM[[#This Row],[Relay MVA]]</f>
        <v>-</v>
      </c>
      <c r="BA106" s="9" t="str">
        <f>TIM[[#This Row],[CT MVA]]</f>
        <v>-</v>
      </c>
      <c r="BB106" s="9">
        <f>TIM[[#This Row],[Derating MVA]]</f>
        <v>4.9614136995564273</v>
      </c>
      <c r="BC106" s="9" t="str">
        <f>TIM[[#This Row],[Station/Feeder]]&amp;TIM[[#This Row],[Lowest MVA]]</f>
        <v>CB2852_Hadlow4.96141369955643</v>
      </c>
      <c r="BD106" s="9" t="str">
        <f>CONCATENATE(TIM[[#This Row],[Supply Level]],TIM[[#This Row],[Station/Feeder]],TIM[[#This Row],[Voltage]],TIM[[#This Row],[Lowest A-No PTX]])</f>
        <v>DistributionFeederCB2852_Hadlow11260.406685</v>
      </c>
      <c r="BE106" s="9" t="str">
        <f>CONCATENATE(TIM[[#This Row],[Supply Level]],TIM[[#This Row],[Station/Feeder]],TIM[[#This Row],[Voltage]],TIM[[#This Row],[Lowest A-PTX]])</f>
        <v>DistributionFeederCB2852_Hadlow11260.406685</v>
      </c>
      <c r="BF106" s="9">
        <f>IFERROR(IF(MIN(TIM[[#This Row],[Summ Cont Winter A]:[Cable Derating]])=0,"",MIN(TIM[[#This Row],[Summ Cont Winter A]:[Cable Derating]])),"")</f>
        <v>4.9614136995564273</v>
      </c>
      <c r="BG106" s="9">
        <f>IFERROR(TIM[[#This Row],[Lowest MVA]]*1000/(TIM[[#This Row],[Voltage]]*SQRT(3)),"")</f>
        <v>260.40668500000004</v>
      </c>
      <c r="BH106" s="9">
        <f t="shared" si="153"/>
        <v>260.40668500000004</v>
      </c>
      <c r="BI106" s="9" t="str">
        <f>TIM[[#This Row],[From]]</f>
        <v>Pole 25185</v>
      </c>
      <c r="BJ106" s="9" t="str">
        <f>TIM[[#This Row],[To]]</f>
        <v>Pole 35228</v>
      </c>
      <c r="BK10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XLPE HDPE</v>
      </c>
      <c r="BL106" s="9">
        <f>TIM[[#This Row],[Voltage]]</f>
        <v>11</v>
      </c>
    </row>
    <row r="107" spans="1:64" ht="15" customHeight="1" x14ac:dyDescent="0.25">
      <c r="A107" s="6" t="str">
        <f>CONCATENATE(TIM[[#This Row],[Supply Level]],TIM[[#This Row],[Station/Feeder]],TIM[[#This Row],[Voltage]])</f>
        <v>DistributionFeederCB2862_Meadows Rd11</v>
      </c>
      <c r="B107" s="6" t="str">
        <f>CONCATENATE(TIM[[#This Row],[Supply Level]],TIM[[#This Row],[Station/Feeder]],TIM[[#This Row],[Equipment ID]],TIM[[#This Row],[Voltage]],TIM[[#This Row],[Device type]])</f>
        <v>DistributionFeederCB2862_Meadows RdTIM-CB286211Protection</v>
      </c>
      <c r="C107" s="6" t="s">
        <v>1276</v>
      </c>
      <c r="D107" s="11" t="s">
        <v>151</v>
      </c>
      <c r="E107" s="6" t="s">
        <v>243</v>
      </c>
      <c r="F107" s="6" t="s">
        <v>855</v>
      </c>
      <c r="G107" s="27">
        <v>1</v>
      </c>
      <c r="H107" s="7" t="s">
        <v>2366</v>
      </c>
      <c r="I107" s="7" t="s">
        <v>2235</v>
      </c>
      <c r="J107" s="7" t="s">
        <v>15</v>
      </c>
      <c r="K107" s="7" t="s">
        <v>1121</v>
      </c>
      <c r="L107" s="7" t="s">
        <v>1423</v>
      </c>
      <c r="M107" s="8">
        <v>11</v>
      </c>
      <c r="N107" s="9">
        <v>550</v>
      </c>
      <c r="O107" s="9">
        <f t="shared" si="0"/>
        <v>10.478907385791706</v>
      </c>
      <c r="P107" s="9">
        <v>550</v>
      </c>
      <c r="Q107" s="9">
        <f t="shared" si="1"/>
        <v>10.478907385791706</v>
      </c>
      <c r="R107" s="9">
        <v>550</v>
      </c>
      <c r="S107" s="9">
        <f t="shared" si="2"/>
        <v>10.478907385791706</v>
      </c>
      <c r="T107" s="9" t="s">
        <v>0</v>
      </c>
      <c r="U107" s="9" t="str">
        <f t="shared" si="3"/>
        <v>-</v>
      </c>
      <c r="V107" s="9" t="s">
        <v>0</v>
      </c>
      <c r="W107" s="9" t="str">
        <f t="shared" si="4"/>
        <v>-</v>
      </c>
      <c r="X107" s="9">
        <f>VLOOKUP(TIM[[#This Row],[Equipment ID]],AEL_Protection_Data[#All],12,0)</f>
        <v>400</v>
      </c>
      <c r="Y107" s="9">
        <f t="shared" ref="Y107" si="189">IF(OR(X107="",X107="-"),"-",X107*$M107*SQRT(3)/1000)</f>
        <v>7.6210235533030604</v>
      </c>
      <c r="Z107" s="9">
        <v>366</v>
      </c>
      <c r="AA107" s="9">
        <f t="shared" ref="AA107" si="190">IF(OR(Z107="",Z107="-"),"-",Z107*$M107*SQRT(3)/1000)</f>
        <v>6.9732365512722998</v>
      </c>
      <c r="AB107" s="9">
        <v>2400</v>
      </c>
      <c r="AC107" s="9">
        <f t="shared" ref="AC107" si="191">IF(OR(AB107="",AB107="-"),"-",AB107*$M107*SQRT(3)/1000)</f>
        <v>45.72614131981836</v>
      </c>
      <c r="AD107" s="9">
        <v>1600</v>
      </c>
      <c r="AE107" s="12">
        <f t="shared" ref="AE107" si="192">IF(OR(AD107="",AD107="-"),"-",AD107*$M107*SQRT(3)/1000)</f>
        <v>30.484094213212241</v>
      </c>
      <c r="AF107" s="9" t="s">
        <v>0</v>
      </c>
      <c r="AG107" s="9" t="s">
        <v>0</v>
      </c>
      <c r="AH107" s="9" t="s">
        <v>0</v>
      </c>
      <c r="AI107" s="9" t="s">
        <v>0</v>
      </c>
      <c r="AJ107" s="32" t="s">
        <v>0</v>
      </c>
      <c r="AK107" s="9" t="s">
        <v>0</v>
      </c>
      <c r="AL107" s="32" t="s">
        <v>0</v>
      </c>
      <c r="AM107" s="9" t="s">
        <v>0</v>
      </c>
      <c r="AN107" s="32" t="s">
        <v>0</v>
      </c>
      <c r="AO107" s="9" t="s">
        <v>0</v>
      </c>
      <c r="AP107" s="9" t="s">
        <v>0</v>
      </c>
      <c r="AQ107" s="32" t="s">
        <v>0</v>
      </c>
      <c r="AR107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07" s="9" t="str">
        <f t="shared" si="9"/>
        <v>-</v>
      </c>
      <c r="AT107" s="9">
        <f>IF(RIGHT(TIM[[#This Row],[Device type]],7)="Winding","-",TIM[[#This Row],[Cont Winter MVA]])</f>
        <v>10.478907385791706</v>
      </c>
      <c r="AU107" s="9">
        <f>IF(RIGHT(TIM[[#This Row],[Device type]],7)="Winding","-",TIM[[#This Row],[Cont Shoulder MVA]])</f>
        <v>10.478907385791706</v>
      </c>
      <c r="AV107" s="9">
        <f>IF(RIGHT(TIM[[#This Row],[Device type]],7)="Winding","-",TIM[[#This Row],[Cont Summer MVA]])</f>
        <v>10.478907385791706</v>
      </c>
      <c r="AW107" s="9" t="str">
        <f>TIM[[#This Row],[24 Hr Winter MVA]]</f>
        <v>-</v>
      </c>
      <c r="AX107" s="9" t="str">
        <f>TIM[[#This Row],[24 Hr Summer MVA]]</f>
        <v>-</v>
      </c>
      <c r="AY107" s="9">
        <f>TIM[[#This Row],[Forwards MVA]]</f>
        <v>7.6210235533030604</v>
      </c>
      <c r="AZ107" s="9">
        <f>TIM[[#This Row],[Relay MVA]]</f>
        <v>45.72614131981836</v>
      </c>
      <c r="BA107" s="9">
        <f>TIM[[#This Row],[CT MVA]]</f>
        <v>30.484094213212241</v>
      </c>
      <c r="BB107" s="9" t="str">
        <f>TIM[[#This Row],[Derating MVA]]</f>
        <v>-</v>
      </c>
      <c r="BC107" s="9" t="str">
        <f>TIM[[#This Row],[Station/Feeder]]&amp;TIM[[#This Row],[Lowest MVA]]</f>
        <v>CB2862_Meadows Rd7.62102355330306</v>
      </c>
      <c r="BD107" s="9" t="str">
        <f>CONCATENATE(TIM[[#This Row],[Supply Level]],TIM[[#This Row],[Station/Feeder]],TIM[[#This Row],[Voltage]],TIM[[#This Row],[Lowest A-No PTX]])</f>
        <v>DistributionFeederCB2862_Meadows Rd11400</v>
      </c>
      <c r="BE107" s="9" t="str">
        <f>CONCATENATE(TIM[[#This Row],[Supply Level]],TIM[[#This Row],[Station/Feeder]],TIM[[#This Row],[Voltage]],TIM[[#This Row],[Lowest A-PTX]])</f>
        <v>DistributionFeederCB2862_Meadows Rd11366</v>
      </c>
      <c r="BF107" s="9">
        <f>IFERROR(IF(MIN(TIM[[#This Row],[Summ Cont Winter A]:[Cable Derating]])=0,"",MIN(TIM[[#This Row],[Summ Cont Winter A]:[Cable Derating]])),"")</f>
        <v>7.6210235533030604</v>
      </c>
      <c r="BG107" s="9">
        <f>IFERROR(TIM[[#This Row],[Lowest MVA]]*1000/(TIM[[#This Row],[Voltage]]*SQRT(3)),"")</f>
        <v>400</v>
      </c>
      <c r="BH107" s="9">
        <f t="shared" si="153"/>
        <v>366</v>
      </c>
      <c r="BI107" s="9" t="str">
        <f>TIM[[#This Row],[From]]</f>
        <v>11 kV Bus</v>
      </c>
      <c r="BJ107" s="9" t="str">
        <f>TIM[[#This Row],[To]]</f>
        <v>CB2862</v>
      </c>
      <c r="BK10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Breaker-TIM-CB2862-Protection</v>
      </c>
      <c r="BL107" s="9">
        <f>TIM[[#This Row],[Voltage]]</f>
        <v>11</v>
      </c>
    </row>
    <row r="108" spans="1:64" ht="15" customHeight="1" x14ac:dyDescent="0.25">
      <c r="A108" s="6" t="str">
        <f>CONCATENATE(TIM[[#This Row],[Supply Level]],TIM[[#This Row],[Station/Feeder]],TIM[[#This Row],[Voltage]])</f>
        <v>DistributionFeederCB2862_Meadows Rd11</v>
      </c>
      <c r="B108" s="6" t="str">
        <f>CONCATENATE(TIM[[#This Row],[Supply Level]],TIM[[#This Row],[Station/Feeder]],TIM[[#This Row],[Equipment ID]],TIM[[#This Row],[Voltage]],TIM[[#This Row],[Device type]])</f>
        <v>DistributionFeederCB2862_Meadows Rd3/1c 400mm² AL XLPE HDPE Screened11-</v>
      </c>
      <c r="C108" s="6" t="s">
        <v>1276</v>
      </c>
      <c r="D108" s="11" t="s">
        <v>151</v>
      </c>
      <c r="E108" s="6" t="s">
        <v>855</v>
      </c>
      <c r="F108" s="6" t="s">
        <v>750</v>
      </c>
      <c r="G108" s="27">
        <v>2</v>
      </c>
      <c r="H108" s="7" t="s">
        <v>811</v>
      </c>
      <c r="I108" s="7" t="s">
        <v>819</v>
      </c>
      <c r="J108" s="7" t="s">
        <v>250</v>
      </c>
      <c r="K108" s="7" t="s">
        <v>0</v>
      </c>
      <c r="L108" s="7" t="s">
        <v>0</v>
      </c>
      <c r="M108" s="8">
        <v>11</v>
      </c>
      <c r="N108" s="9">
        <v>645</v>
      </c>
      <c r="O108" s="9">
        <f t="shared" si="0"/>
        <v>12.288900479701184</v>
      </c>
      <c r="P108" s="9">
        <v>645</v>
      </c>
      <c r="Q108" s="9">
        <f t="shared" si="1"/>
        <v>12.288900479701184</v>
      </c>
      <c r="R108" s="9">
        <v>645</v>
      </c>
      <c r="S108" s="9">
        <f t="shared" si="2"/>
        <v>12.288900479701184</v>
      </c>
      <c r="T108" s="9" t="s">
        <v>0</v>
      </c>
      <c r="U108" s="9" t="str">
        <f t="shared" si="3"/>
        <v>-</v>
      </c>
      <c r="V108" s="9" t="s">
        <v>0</v>
      </c>
      <c r="W108" s="9" t="str">
        <f t="shared" si="4"/>
        <v>-</v>
      </c>
      <c r="X108" s="9" t="s">
        <v>0</v>
      </c>
      <c r="Y108" s="9" t="str">
        <f>IF(OR(X108="",X108="-"),"-",X108*$M108*SQRT(3)/1000)</f>
        <v>-</v>
      </c>
      <c r="Z108" s="9" t="s">
        <v>0</v>
      </c>
      <c r="AA108" s="9" t="str">
        <f>IF(OR(Z108="",Z108="-"),"-",Z108*$M108*SQRT(3)/1000)</f>
        <v>-</v>
      </c>
      <c r="AB108" s="9" t="s">
        <v>0</v>
      </c>
      <c r="AC108" s="9" t="str">
        <f>IF(OR(AB108="",AB108="-"),"-",AB108*$M108*SQRT(3)/1000)</f>
        <v>-</v>
      </c>
      <c r="AD108" s="9" t="s">
        <v>0</v>
      </c>
      <c r="AE108" s="12" t="str">
        <f>IF(OR(AD108="",AD108="-"),"-",AD108*$M108*SQRT(3)/1000)</f>
        <v>-</v>
      </c>
      <c r="AF108" s="160" t="s">
        <v>713</v>
      </c>
      <c r="AG108" s="9" t="s">
        <v>0</v>
      </c>
      <c r="AH108" s="9">
        <v>72.099999999999994</v>
      </c>
      <c r="AI108" s="9">
        <v>1.18</v>
      </c>
      <c r="AJ108" s="32">
        <v>0.96</v>
      </c>
      <c r="AK108" s="9">
        <v>18.5</v>
      </c>
      <c r="AL108" s="32">
        <v>0.95</v>
      </c>
      <c r="AM108" s="9">
        <v>1.2</v>
      </c>
      <c r="AN108" s="32">
        <v>1</v>
      </c>
      <c r="AO108" s="9">
        <v>3</v>
      </c>
      <c r="AP108" s="9">
        <v>0.45</v>
      </c>
      <c r="AQ108" s="32">
        <v>0.81</v>
      </c>
      <c r="AR108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476.47439999999995</v>
      </c>
      <c r="AS108" s="9">
        <f t="shared" si="9"/>
        <v>9.0780565623648588</v>
      </c>
      <c r="AT108" s="9">
        <f>IF(RIGHT(TIM[[#This Row],[Device type]],7)="Winding","-",TIM[[#This Row],[Cont Winter MVA]])</f>
        <v>12.288900479701184</v>
      </c>
      <c r="AU108" s="9">
        <f>IF(RIGHT(TIM[[#This Row],[Device type]],7)="Winding","-",TIM[[#This Row],[Cont Shoulder MVA]])</f>
        <v>12.288900479701184</v>
      </c>
      <c r="AV108" s="9">
        <f>IF(RIGHT(TIM[[#This Row],[Device type]],7)="Winding","-",TIM[[#This Row],[Cont Summer MVA]])</f>
        <v>12.288900479701184</v>
      </c>
      <c r="AW108" s="9" t="str">
        <f>TIM[[#This Row],[24 Hr Winter MVA]]</f>
        <v>-</v>
      </c>
      <c r="AX108" s="9" t="str">
        <f>TIM[[#This Row],[24 Hr Summer MVA]]</f>
        <v>-</v>
      </c>
      <c r="AY108" s="9" t="str">
        <f>TIM[[#This Row],[Forwards MVA]]</f>
        <v>-</v>
      </c>
      <c r="AZ108" s="9" t="str">
        <f>TIM[[#This Row],[Relay MVA]]</f>
        <v>-</v>
      </c>
      <c r="BA108" s="9" t="str">
        <f>TIM[[#This Row],[CT MVA]]</f>
        <v>-</v>
      </c>
      <c r="BB108" s="9">
        <f>TIM[[#This Row],[Derating MVA]]</f>
        <v>9.0780565623648588</v>
      </c>
      <c r="BC108" s="9" t="str">
        <f>TIM[[#This Row],[Station/Feeder]]&amp;TIM[[#This Row],[Lowest MVA]]</f>
        <v>CB2862_Meadows Rd9.07805656236486</v>
      </c>
      <c r="BD108" s="9" t="str">
        <f>CONCATENATE(TIM[[#This Row],[Supply Level]],TIM[[#This Row],[Station/Feeder]],TIM[[#This Row],[Voltage]],TIM[[#This Row],[Lowest A-No PTX]])</f>
        <v>DistributionFeederCB2862_Meadows Rd11476.4744</v>
      </c>
      <c r="BE108" s="9" t="str">
        <f>CONCATENATE(TIM[[#This Row],[Supply Level]],TIM[[#This Row],[Station/Feeder]],TIM[[#This Row],[Voltage]],TIM[[#This Row],[Lowest A-PTX]])</f>
        <v>DistributionFeederCB2862_Meadows Rd11476.4744</v>
      </c>
      <c r="BF108" s="9">
        <f>IFERROR(IF(MIN(TIM[[#This Row],[Summ Cont Winter A]:[Cable Derating]])=0,"",MIN(TIM[[#This Row],[Summ Cont Winter A]:[Cable Derating]])),"")</f>
        <v>9.0780565623648588</v>
      </c>
      <c r="BG108" s="9">
        <f>IFERROR(TIM[[#This Row],[Lowest MVA]]*1000/(TIM[[#This Row],[Voltage]]*SQRT(3)),"")</f>
        <v>476.47439999999995</v>
      </c>
      <c r="BH108" s="9">
        <f t="shared" si="153"/>
        <v>476.47439999999995</v>
      </c>
      <c r="BI108" s="9" t="str">
        <f>TIM[[#This Row],[From]]</f>
        <v>CB2862</v>
      </c>
      <c r="BJ108" s="9" t="str">
        <f>TIM[[#This Row],[To]]</f>
        <v>Joint</v>
      </c>
      <c r="BK10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108" s="9">
        <f>TIM[[#This Row],[Voltage]]</f>
        <v>11</v>
      </c>
    </row>
    <row r="109" spans="1:64" ht="15" customHeight="1" x14ac:dyDescent="0.25">
      <c r="A109" s="6" t="str">
        <f>CONCATENATE(TIM[[#This Row],[Supply Level]],TIM[[#This Row],[Station/Feeder]],TIM[[#This Row],[Voltage]])</f>
        <v>DistributionFeederCB2862_Meadows Rd11</v>
      </c>
      <c r="B109" s="6" t="str">
        <f>CONCATENATE(TIM[[#This Row],[Supply Level]],TIM[[#This Row],[Station/Feeder]],TIM[[#This Row],[Equipment ID]],TIM[[#This Row],[Voltage]],TIM[[#This Row],[Device type]])</f>
        <v>DistributionFeederCB2862_Meadows Rd3c 300mm² Al XLPE HDPE11-</v>
      </c>
      <c r="C109" s="6" t="s">
        <v>1276</v>
      </c>
      <c r="D109" s="11" t="s">
        <v>151</v>
      </c>
      <c r="E109" s="6" t="s">
        <v>750</v>
      </c>
      <c r="F109" s="6" t="s">
        <v>857</v>
      </c>
      <c r="G109" s="27">
        <v>3</v>
      </c>
      <c r="H109" s="7" t="s">
        <v>811</v>
      </c>
      <c r="I109" s="7" t="s">
        <v>858</v>
      </c>
      <c r="J109" s="7" t="s">
        <v>250</v>
      </c>
      <c r="K109" s="7" t="s">
        <v>0</v>
      </c>
      <c r="L109" s="7" t="s">
        <v>0</v>
      </c>
      <c r="M109" s="8">
        <v>11</v>
      </c>
      <c r="N109" s="9">
        <v>476</v>
      </c>
      <c r="O109" s="9">
        <f t="shared" si="0"/>
        <v>9.0690180284306408</v>
      </c>
      <c r="P109" s="9">
        <v>476</v>
      </c>
      <c r="Q109" s="9">
        <f t="shared" si="1"/>
        <v>9.0690180284306408</v>
      </c>
      <c r="R109" s="9">
        <v>476</v>
      </c>
      <c r="S109" s="9">
        <f t="shared" si="2"/>
        <v>9.0690180284306408</v>
      </c>
      <c r="T109" s="9" t="s">
        <v>0</v>
      </c>
      <c r="U109" s="9" t="str">
        <f t="shared" si="3"/>
        <v>-</v>
      </c>
      <c r="V109" s="9" t="s">
        <v>0</v>
      </c>
      <c r="W109" s="9" t="str">
        <f t="shared" si="4"/>
        <v>-</v>
      </c>
      <c r="X109" s="9" t="s">
        <v>0</v>
      </c>
      <c r="Y109" s="9" t="str">
        <f>IF(OR(X109="",X109="-"),"-",X109*$M109*SQRT(3)/1000)</f>
        <v>-</v>
      </c>
      <c r="Z109" s="9" t="s">
        <v>0</v>
      </c>
      <c r="AA109" s="9" t="str">
        <f>IF(OR(Z109="",Z109="-"),"-",Z109*$M109*SQRT(3)/1000)</f>
        <v>-</v>
      </c>
      <c r="AB109" s="9" t="s">
        <v>0</v>
      </c>
      <c r="AC109" s="9" t="str">
        <f>IF(OR(AB109="",AB109="-"),"-",AB109*$M109*SQRT(3)/1000)</f>
        <v>-</v>
      </c>
      <c r="AD109" s="9" t="s">
        <v>0</v>
      </c>
      <c r="AE109" s="12" t="str">
        <f>IF(OR(AD109="",AD109="-"),"-",AD109*$M109*SQRT(3)/1000)</f>
        <v>-</v>
      </c>
      <c r="AF109" s="9" t="s">
        <v>716</v>
      </c>
      <c r="AG109" s="9" t="s">
        <v>0</v>
      </c>
      <c r="AH109" s="9">
        <v>2221.4</v>
      </c>
      <c r="AI109" s="9">
        <v>1.18</v>
      </c>
      <c r="AJ109" s="32">
        <v>0.96</v>
      </c>
      <c r="AK109" s="9">
        <v>18.5</v>
      </c>
      <c r="AL109" s="32">
        <v>0.97</v>
      </c>
      <c r="AM109" s="9">
        <v>1.2</v>
      </c>
      <c r="AN109" s="32">
        <v>1</v>
      </c>
      <c r="AO109" s="9">
        <v>3</v>
      </c>
      <c r="AP109" s="9">
        <v>0.45</v>
      </c>
      <c r="AQ109" s="32">
        <v>0.89</v>
      </c>
      <c r="AR109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394.49356799999998</v>
      </c>
      <c r="AS109" s="9">
        <f t="shared" si="9"/>
        <v>7.5161119333864042</v>
      </c>
      <c r="AT109" s="9">
        <f>IF(RIGHT(TIM[[#This Row],[Device type]],7)="Winding","-",TIM[[#This Row],[Cont Winter MVA]])</f>
        <v>9.0690180284306408</v>
      </c>
      <c r="AU109" s="9">
        <f>IF(RIGHT(TIM[[#This Row],[Device type]],7)="Winding","-",TIM[[#This Row],[Cont Shoulder MVA]])</f>
        <v>9.0690180284306408</v>
      </c>
      <c r="AV109" s="9">
        <f>IF(RIGHT(TIM[[#This Row],[Device type]],7)="Winding","-",TIM[[#This Row],[Cont Summer MVA]])</f>
        <v>9.0690180284306408</v>
      </c>
      <c r="AW109" s="9" t="str">
        <f>TIM[[#This Row],[24 Hr Winter MVA]]</f>
        <v>-</v>
      </c>
      <c r="AX109" s="9" t="str">
        <f>TIM[[#This Row],[24 Hr Summer MVA]]</f>
        <v>-</v>
      </c>
      <c r="AY109" s="9" t="str">
        <f>TIM[[#This Row],[Forwards MVA]]</f>
        <v>-</v>
      </c>
      <c r="AZ109" s="9" t="str">
        <f>TIM[[#This Row],[Relay MVA]]</f>
        <v>-</v>
      </c>
      <c r="BA109" s="9" t="str">
        <f>TIM[[#This Row],[CT MVA]]</f>
        <v>-</v>
      </c>
      <c r="BB109" s="9">
        <f>TIM[[#This Row],[Derating MVA]]</f>
        <v>7.5161119333864042</v>
      </c>
      <c r="BC109" s="9" t="str">
        <f>TIM[[#This Row],[Station/Feeder]]&amp;TIM[[#This Row],[Lowest MVA]]</f>
        <v>CB2862_Meadows Rd7.5161119333864</v>
      </c>
      <c r="BD109" s="9" t="str">
        <f>CONCATENATE(TIM[[#This Row],[Supply Level]],TIM[[#This Row],[Station/Feeder]],TIM[[#This Row],[Voltage]],TIM[[#This Row],[Lowest A-No PTX]])</f>
        <v>DistributionFeederCB2862_Meadows Rd11394.493568</v>
      </c>
      <c r="BE109" s="9" t="str">
        <f>CONCATENATE(TIM[[#This Row],[Supply Level]],TIM[[#This Row],[Station/Feeder]],TIM[[#This Row],[Voltage]],TIM[[#This Row],[Lowest A-PTX]])</f>
        <v>DistributionFeederCB2862_Meadows Rd11394.493568</v>
      </c>
      <c r="BF109" s="9">
        <f>IFERROR(IF(MIN(TIM[[#This Row],[Summ Cont Winter A]:[Cable Derating]])=0,"",MIN(TIM[[#This Row],[Summ Cont Winter A]:[Cable Derating]])),"")</f>
        <v>7.5161119333864042</v>
      </c>
      <c r="BG109" s="9">
        <f>IFERROR(TIM[[#This Row],[Lowest MVA]]*1000/(TIM[[#This Row],[Voltage]]*SQRT(3)),"")</f>
        <v>394.49356799999993</v>
      </c>
      <c r="BH109" s="9">
        <f t="shared" si="153"/>
        <v>394.49356799999998</v>
      </c>
      <c r="BI109" s="9" t="str">
        <f>TIM[[#This Row],[From]]</f>
        <v>Joint</v>
      </c>
      <c r="BJ109" s="9" t="str">
        <f>TIM[[#This Row],[To]]</f>
        <v>RMU L420</v>
      </c>
      <c r="BK10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300mm² Al XLPE HDPE</v>
      </c>
      <c r="BL109" s="9">
        <f>TIM[[#This Row],[Voltage]]</f>
        <v>11</v>
      </c>
    </row>
    <row r="110" spans="1:64" ht="15" hidden="1" customHeight="1" x14ac:dyDescent="0.25">
      <c r="A110" s="6" t="str">
        <f>CONCATENATE(TIM[[#This Row],[Supply Level]],TIM[[#This Row],[Station/Feeder]],TIM[[#This Row],[Voltage]])</f>
        <v>SubTransmissionTIM_GRM_SUBTRANS11</v>
      </c>
      <c r="B110" s="6" t="str">
        <f>CONCATENATE(TIM[[#This Row],[Supply Level]],TIM[[#This Row],[Station/Feeder]],TIM[[#This Row],[Equipment ID]],TIM[[#This Row],[Voltage]],TIM[[#This Row],[Device type]])</f>
        <v>SubTransmissionTIM_GRM_SUBTRANSTIM-CB291211Protection</v>
      </c>
      <c r="C110" s="6" t="s">
        <v>1245</v>
      </c>
      <c r="D110" s="11" t="s">
        <v>106</v>
      </c>
      <c r="E110" s="6" t="s">
        <v>243</v>
      </c>
      <c r="F110" s="6" t="s">
        <v>859</v>
      </c>
      <c r="G110" s="27">
        <v>1</v>
      </c>
      <c r="H110" s="7" t="s">
        <v>2367</v>
      </c>
      <c r="I110" s="7" t="s">
        <v>2236</v>
      </c>
      <c r="J110" s="7" t="s">
        <v>15</v>
      </c>
      <c r="K110" s="7" t="s">
        <v>1121</v>
      </c>
      <c r="L110" s="7" t="s">
        <v>1423</v>
      </c>
      <c r="M110" s="8">
        <v>11</v>
      </c>
      <c r="N110" s="9">
        <v>550</v>
      </c>
      <c r="O110" s="9">
        <f t="shared" si="0"/>
        <v>10.478907385791706</v>
      </c>
      <c r="P110" s="9">
        <v>550</v>
      </c>
      <c r="Q110" s="9">
        <f t="shared" si="1"/>
        <v>10.478907385791706</v>
      </c>
      <c r="R110" s="9">
        <v>550</v>
      </c>
      <c r="S110" s="9">
        <f t="shared" si="2"/>
        <v>10.478907385791706</v>
      </c>
      <c r="T110" s="9" t="s">
        <v>0</v>
      </c>
      <c r="U110" s="9" t="str">
        <f t="shared" si="3"/>
        <v>-</v>
      </c>
      <c r="V110" s="9" t="s">
        <v>0</v>
      </c>
      <c r="W110" s="9" t="str">
        <f t="shared" si="4"/>
        <v>-</v>
      </c>
      <c r="X110" s="9">
        <f>VLOOKUP(TIM[[#This Row],[Equipment ID]],AEL_Protection_Data[#All],12,0)</f>
        <v>600</v>
      </c>
      <c r="Y110" s="9">
        <f t="shared" si="5"/>
        <v>11.43153532995459</v>
      </c>
      <c r="Z110" s="9">
        <v>549</v>
      </c>
      <c r="AA110" s="9">
        <f t="shared" si="6"/>
        <v>10.459854826908449</v>
      </c>
      <c r="AB110" s="9">
        <v>2400</v>
      </c>
      <c r="AC110" s="9">
        <f t="shared" si="7"/>
        <v>45.72614131981836</v>
      </c>
      <c r="AD110" s="9">
        <v>1600</v>
      </c>
      <c r="AE110" s="12">
        <f t="shared" si="8"/>
        <v>30.484094213212241</v>
      </c>
      <c r="AF110" s="29" t="s">
        <v>0</v>
      </c>
      <c r="AG110" s="29" t="s">
        <v>0</v>
      </c>
      <c r="AH110" s="8" t="s">
        <v>0</v>
      </c>
      <c r="AI110" s="29" t="s">
        <v>0</v>
      </c>
      <c r="AJ110" s="32" t="s">
        <v>0</v>
      </c>
      <c r="AK110" s="29" t="s">
        <v>0</v>
      </c>
      <c r="AL110" s="32" t="s">
        <v>0</v>
      </c>
      <c r="AM110" s="29" t="s">
        <v>0</v>
      </c>
      <c r="AN110" s="32" t="s">
        <v>0</v>
      </c>
      <c r="AO110" s="29" t="s">
        <v>0</v>
      </c>
      <c r="AP110" s="29" t="s">
        <v>0</v>
      </c>
      <c r="AQ110" s="32" t="s">
        <v>0</v>
      </c>
      <c r="AR11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10" s="9" t="str">
        <f t="shared" si="9"/>
        <v>-</v>
      </c>
      <c r="AT110" s="9">
        <f>IF(RIGHT(TIM[[#This Row],[Device type]],7)="Winding","-",TIM[[#This Row],[Cont Winter MVA]])</f>
        <v>10.478907385791706</v>
      </c>
      <c r="AU110" s="9">
        <f>IF(RIGHT(TIM[[#This Row],[Device type]],7)="Winding","-",TIM[[#This Row],[Cont Shoulder MVA]])</f>
        <v>10.478907385791706</v>
      </c>
      <c r="AV110" s="9">
        <f>IF(RIGHT(TIM[[#This Row],[Device type]],7)="Winding","-",TIM[[#This Row],[Cont Summer MVA]])</f>
        <v>10.478907385791706</v>
      </c>
      <c r="AW110" s="9" t="str">
        <f>TIM[[#This Row],[24 Hr Winter MVA]]</f>
        <v>-</v>
      </c>
      <c r="AX110" s="9" t="str">
        <f>TIM[[#This Row],[24 Hr Summer MVA]]</f>
        <v>-</v>
      </c>
      <c r="AY110" s="9">
        <f>TIM[[#This Row],[Forwards MVA]]</f>
        <v>11.43153532995459</v>
      </c>
      <c r="AZ110" s="9">
        <f>TIM[[#This Row],[Relay MVA]]</f>
        <v>45.72614131981836</v>
      </c>
      <c r="BA110" s="9">
        <f>TIM[[#This Row],[CT MVA]]</f>
        <v>30.484094213212241</v>
      </c>
      <c r="BB110" s="9" t="str">
        <f>TIM[[#This Row],[Derating MVA]]</f>
        <v>-</v>
      </c>
      <c r="BC110" s="9" t="str">
        <f>TIM[[#This Row],[Station/Feeder]]&amp;TIM[[#This Row],[Lowest MVA]]</f>
        <v>TIM_GRM_SUBTRANS10.4789073857917</v>
      </c>
      <c r="BD110" s="9" t="str">
        <f>CONCATENATE(TIM[[#This Row],[Supply Level]],TIM[[#This Row],[Station/Feeder]],TIM[[#This Row],[Voltage]],TIM[[#This Row],[Lowest A-No PTX]])</f>
        <v>SubTransmissionTIM_GRM_SUBTRANS11550</v>
      </c>
      <c r="BE110" s="9" t="str">
        <f>CONCATENATE(TIM[[#This Row],[Supply Level]],TIM[[#This Row],[Station/Feeder]],TIM[[#This Row],[Voltage]],TIM[[#This Row],[Lowest A-PTX]])</f>
        <v>SubTransmissionTIM_GRM_SUBTRANS11549</v>
      </c>
      <c r="BF110" s="9">
        <f>IFERROR(IF(MIN(TIM[[#This Row],[Summ Cont Winter A]:[Cable Derating]])=0,"",MIN(TIM[[#This Row],[Summ Cont Winter A]:[Cable Derating]])),"")</f>
        <v>10.478907385791706</v>
      </c>
      <c r="BG110" s="9">
        <f>IFERROR(TIM[[#This Row],[Lowest MVA]]*1000/(TIM[[#This Row],[Voltage]]*SQRT(3)),"")</f>
        <v>550</v>
      </c>
      <c r="BH110" s="9">
        <f t="shared" si="153"/>
        <v>549</v>
      </c>
      <c r="BI110" s="9" t="str">
        <f>TIM[[#This Row],[From]]</f>
        <v>11 kV Bus</v>
      </c>
      <c r="BJ110" s="9" t="str">
        <f>TIM[[#This Row],[To]]</f>
        <v>CB2912</v>
      </c>
      <c r="BK11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Breaker-TIM-CB2912-Protection</v>
      </c>
      <c r="BL110" s="9">
        <f>TIM[[#This Row],[Voltage]]</f>
        <v>11</v>
      </c>
    </row>
    <row r="111" spans="1:64" ht="15" hidden="1" customHeight="1" x14ac:dyDescent="0.25">
      <c r="A111" s="6" t="str">
        <f>CONCATENATE(TIM[[#This Row],[Supply Level]],TIM[[#This Row],[Station/Feeder]],TIM[[#This Row],[Voltage]])</f>
        <v>SubTransmissionTIM_GRM_SUBTRANS11</v>
      </c>
      <c r="B111" s="6" t="str">
        <f>CONCATENATE(TIM[[#This Row],[Supply Level]],TIM[[#This Row],[Station/Feeder]],TIM[[#This Row],[Equipment ID]],TIM[[#This Row],[Voltage]],TIM[[#This Row],[Device type]])</f>
        <v>SubTransmissionTIM_GRM_SUBTRANS3/1c 630mm² XLPE Cu CWS PVC HDPE11-</v>
      </c>
      <c r="C111" s="6" t="s">
        <v>1245</v>
      </c>
      <c r="D111" s="11" t="s">
        <v>106</v>
      </c>
      <c r="E111" s="6" t="s">
        <v>859</v>
      </c>
      <c r="F111" s="6" t="s">
        <v>750</v>
      </c>
      <c r="G111" s="27">
        <v>2</v>
      </c>
      <c r="H111" s="7" t="s">
        <v>811</v>
      </c>
      <c r="I111" s="7" t="s">
        <v>1279</v>
      </c>
      <c r="J111" s="7" t="s">
        <v>250</v>
      </c>
      <c r="K111" s="7" t="s">
        <v>0</v>
      </c>
      <c r="L111" s="7" t="s">
        <v>0</v>
      </c>
      <c r="M111" s="8">
        <v>11</v>
      </c>
      <c r="N111" s="9">
        <v>810</v>
      </c>
      <c r="O111" s="9">
        <f>IF(OR(N111="",N111="-"),"-",N111*$M111*SQRT(3)/1000)</f>
        <v>15.432572695438695</v>
      </c>
      <c r="P111" s="9">
        <v>810</v>
      </c>
      <c r="Q111" s="9">
        <f>IF(OR(P111="",P111="-"),"-",P111*$M111*SQRT(3)/1000)</f>
        <v>15.432572695438695</v>
      </c>
      <c r="R111" s="9">
        <v>810</v>
      </c>
      <c r="S111" s="9">
        <f>IF(OR(R111="",R111="-"),"-",R111*$M111*SQRT(3)/1000)</f>
        <v>15.432572695438695</v>
      </c>
      <c r="T111" s="9" t="s">
        <v>0</v>
      </c>
      <c r="U111" s="9" t="str">
        <f>IF(OR(T111="",T111="-"),"-",T111*$M111*SQRT(3)/1000)</f>
        <v>-</v>
      </c>
      <c r="V111" s="9" t="s">
        <v>0</v>
      </c>
      <c r="W111" s="9" t="str">
        <f>IF(OR(V111="",V111="-"),"-",V111*$M111*SQRT(3)/1000)</f>
        <v>-</v>
      </c>
      <c r="X111" s="9" t="s">
        <v>0</v>
      </c>
      <c r="Y111" s="9" t="str">
        <f>IF(OR(X111="",X111="-"),"-",X111*$M111*SQRT(3)/1000)</f>
        <v>-</v>
      </c>
      <c r="Z111" s="9" t="s">
        <v>0</v>
      </c>
      <c r="AA111" s="9" t="str">
        <f>IF(OR(Z111="",Z111="-"),"-",Z111*$M111*SQRT(3)/1000)</f>
        <v>-</v>
      </c>
      <c r="AB111" s="9" t="s">
        <v>0</v>
      </c>
      <c r="AC111" s="9" t="str">
        <f>IF(OR(AB111="",AB111="-"),"-",AB111*$M111*SQRT(3)/1000)</f>
        <v>-</v>
      </c>
      <c r="AD111" s="9" t="s">
        <v>0</v>
      </c>
      <c r="AE111" s="12" t="str">
        <f>IF(OR(AD111="",AD111="-"),"-",AD111*$M111*SQRT(3)/1000)</f>
        <v>-</v>
      </c>
      <c r="AF111" s="9" t="s">
        <v>713</v>
      </c>
      <c r="AG111" s="9" t="s">
        <v>0</v>
      </c>
      <c r="AH111" s="9">
        <v>86.5</v>
      </c>
      <c r="AI111" s="9">
        <v>1.4</v>
      </c>
      <c r="AJ111" s="32">
        <v>0.94</v>
      </c>
      <c r="AK111" s="9">
        <v>18.5</v>
      </c>
      <c r="AL111" s="32">
        <v>0.95</v>
      </c>
      <c r="AM111" s="9">
        <v>1.2</v>
      </c>
      <c r="AN111" s="32">
        <v>1</v>
      </c>
      <c r="AO111" s="9">
        <v>3</v>
      </c>
      <c r="AP111" s="9">
        <v>0.45</v>
      </c>
      <c r="AQ111" s="32">
        <v>0.84</v>
      </c>
      <c r="AR111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607.59719999999993</v>
      </c>
      <c r="AS111" s="9">
        <f>IF(OR(AR111="",AR111="-"),"-",AR111*$M111*SQRT(3)/1000)</f>
        <v>11.576281430302473</v>
      </c>
      <c r="AT111" s="9">
        <f>IF(RIGHT(TIM[[#This Row],[Device type]],7)="Winding","-",TIM[[#This Row],[Cont Winter MVA]])</f>
        <v>15.432572695438695</v>
      </c>
      <c r="AU111" s="9">
        <f>IF(RIGHT(TIM[[#This Row],[Device type]],7)="Winding","-",TIM[[#This Row],[Cont Shoulder MVA]])</f>
        <v>15.432572695438695</v>
      </c>
      <c r="AV111" s="9">
        <f>IF(RIGHT(TIM[[#This Row],[Device type]],7)="Winding","-",TIM[[#This Row],[Cont Summer MVA]])</f>
        <v>15.432572695438695</v>
      </c>
      <c r="AW111" s="9" t="str">
        <f>TIM[[#This Row],[24 Hr Winter MVA]]</f>
        <v>-</v>
      </c>
      <c r="AX111" s="9" t="str">
        <f>TIM[[#This Row],[24 Hr Summer MVA]]</f>
        <v>-</v>
      </c>
      <c r="AY111" s="9" t="str">
        <f>TIM[[#This Row],[Forwards MVA]]</f>
        <v>-</v>
      </c>
      <c r="AZ111" s="9" t="str">
        <f>TIM[[#This Row],[Relay MVA]]</f>
        <v>-</v>
      </c>
      <c r="BA111" s="9" t="str">
        <f>TIM[[#This Row],[CT MVA]]</f>
        <v>-</v>
      </c>
      <c r="BB111" s="9">
        <f>TIM[[#This Row],[Derating MVA]]</f>
        <v>11.576281430302473</v>
      </c>
      <c r="BC111" s="9" t="str">
        <f>TIM[[#This Row],[Station/Feeder]]&amp;TIM[[#This Row],[Lowest MVA]]</f>
        <v>TIM_GRM_SUBTRANS11.5762814303025</v>
      </c>
      <c r="BD111" s="9" t="str">
        <f>CONCATENATE(TIM[[#This Row],[Supply Level]],TIM[[#This Row],[Station/Feeder]],TIM[[#This Row],[Voltage]],TIM[[#This Row],[Lowest A-No PTX]])</f>
        <v>SubTransmissionTIM_GRM_SUBTRANS11607.5972</v>
      </c>
      <c r="BE111" s="9" t="str">
        <f>CONCATENATE(TIM[[#This Row],[Supply Level]],TIM[[#This Row],[Station/Feeder]],TIM[[#This Row],[Voltage]],TIM[[#This Row],[Lowest A-PTX]])</f>
        <v>SubTransmissionTIM_GRM_SUBTRANS11607.5972</v>
      </c>
      <c r="BF111" s="9">
        <f>IFERROR(IF(MIN(TIM[[#This Row],[Summ Cont Winter A]:[Cable Derating]])=0,"",MIN(TIM[[#This Row],[Summ Cont Winter A]:[Cable Derating]])),"")</f>
        <v>11.576281430302473</v>
      </c>
      <c r="BG111" s="9">
        <f>IFERROR(TIM[[#This Row],[Lowest MVA]]*1000/(TIM[[#This Row],[Voltage]]*SQRT(3)),"")</f>
        <v>607.59719999999993</v>
      </c>
      <c r="BH111" s="9">
        <f t="shared" si="153"/>
        <v>607.59719999999993</v>
      </c>
      <c r="BI111" s="9" t="str">
        <f>TIM[[#This Row],[From]]</f>
        <v>CB2912</v>
      </c>
      <c r="BJ111" s="9" t="str">
        <f>TIM[[#This Row],[To]]</f>
        <v>Joint</v>
      </c>
      <c r="BK11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630mm² XLPE Cu CWS PVC HDPE</v>
      </c>
      <c r="BL111" s="9">
        <f>TIM[[#This Row],[Voltage]]</f>
        <v>11</v>
      </c>
    </row>
    <row r="112" spans="1:64" ht="15" hidden="1" customHeight="1" x14ac:dyDescent="0.25">
      <c r="A112" s="6" t="str">
        <f>CONCATENATE(TIM[[#This Row],[Supply Level]],TIM[[#This Row],[Station/Feeder]],TIM[[#This Row],[Voltage]])</f>
        <v>SubTransmissionTIM_GRM_SUBTRANS11</v>
      </c>
      <c r="B112" s="6" t="str">
        <f>CONCATENATE(TIM[[#This Row],[Supply Level]],TIM[[#This Row],[Station/Feeder]],TIM[[#This Row],[Equipment ID]],TIM[[#This Row],[Voltage]],TIM[[#This Row],[Device type]])</f>
        <v>SubTransmissionTIM_GRM_SUBTRANS3c 400mm² Cu PILC SWA11-</v>
      </c>
      <c r="C112" s="6" t="s">
        <v>1245</v>
      </c>
      <c r="D112" s="11" t="s">
        <v>106</v>
      </c>
      <c r="E112" s="6" t="s">
        <v>750</v>
      </c>
      <c r="F112" s="6" t="s">
        <v>750</v>
      </c>
      <c r="G112" s="27">
        <v>3</v>
      </c>
      <c r="H112" s="7" t="s">
        <v>811</v>
      </c>
      <c r="I112" s="7" t="s">
        <v>837</v>
      </c>
      <c r="J112" s="7" t="s">
        <v>250</v>
      </c>
      <c r="K112" s="7" t="s">
        <v>0</v>
      </c>
      <c r="L112" s="7" t="s">
        <v>0</v>
      </c>
      <c r="M112" s="8">
        <v>11</v>
      </c>
      <c r="N112" s="9">
        <v>550</v>
      </c>
      <c r="O112" s="9">
        <f>IF(OR(N112="",N112="-"),"-",N112*$M112*SQRT(3)/1000)</f>
        <v>10.478907385791706</v>
      </c>
      <c r="P112" s="9">
        <v>550</v>
      </c>
      <c r="Q112" s="9">
        <f>IF(OR(P112="",P112="-"),"-",P112*$M112*SQRT(3)/1000)</f>
        <v>10.478907385791706</v>
      </c>
      <c r="R112" s="9">
        <v>550</v>
      </c>
      <c r="S112" s="9">
        <f>IF(OR(R112="",R112="-"),"-",R112*$M112*SQRT(3)/1000)</f>
        <v>10.478907385791706</v>
      </c>
      <c r="T112" s="9" t="s">
        <v>0</v>
      </c>
      <c r="U112" s="9" t="str">
        <f>IF(OR(T112="",T112="-"),"-",T112*$M112*SQRT(3)/1000)</f>
        <v>-</v>
      </c>
      <c r="V112" s="9" t="s">
        <v>0</v>
      </c>
      <c r="W112" s="9" t="str">
        <f>IF(OR(V112="",V112="-"),"-",V112*$M112*SQRT(3)/1000)</f>
        <v>-</v>
      </c>
      <c r="X112" s="9" t="s">
        <v>0</v>
      </c>
      <c r="Y112" s="9" t="str">
        <f>IF(OR(X112="",X112="-"),"-",X112*$M112*SQRT(3)/1000)</f>
        <v>-</v>
      </c>
      <c r="Z112" s="9" t="s">
        <v>0</v>
      </c>
      <c r="AA112" s="9" t="str">
        <f>IF(OR(Z112="",Z112="-"),"-",Z112*$M112*SQRT(3)/1000)</f>
        <v>-</v>
      </c>
      <c r="AB112" s="9" t="s">
        <v>0</v>
      </c>
      <c r="AC112" s="9" t="str">
        <f>IF(OR(AB112="",AB112="-"),"-",AB112*$M112*SQRT(3)/1000)</f>
        <v>-</v>
      </c>
      <c r="AD112" s="9" t="s">
        <v>0</v>
      </c>
      <c r="AE112" s="12" t="str">
        <f>IF(OR(AD112="",AD112="-"),"-",AD112*$M112*SQRT(3)/1000)</f>
        <v>-</v>
      </c>
      <c r="AF112" s="9" t="s">
        <v>716</v>
      </c>
      <c r="AG112" s="9" t="s">
        <v>0</v>
      </c>
      <c r="AH112" s="9">
        <v>1755.45</v>
      </c>
      <c r="AI112" s="9">
        <v>1.4</v>
      </c>
      <c r="AJ112" s="32">
        <v>0.94</v>
      </c>
      <c r="AK112" s="9">
        <v>18.5</v>
      </c>
      <c r="AL112" s="32">
        <v>0.95</v>
      </c>
      <c r="AM112" s="9">
        <v>1.2</v>
      </c>
      <c r="AN112" s="32">
        <v>1</v>
      </c>
      <c r="AO112" s="9">
        <v>3</v>
      </c>
      <c r="AP112" s="9">
        <v>0.45</v>
      </c>
      <c r="AQ112" s="32">
        <v>0.84</v>
      </c>
      <c r="AR112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412.56599999999992</v>
      </c>
      <c r="AS112" s="9">
        <f>IF(OR(AR112="",AR112="-"),"-",AR112*$M112*SQRT(3)/1000)</f>
        <v>7.8604380082300729</v>
      </c>
      <c r="AT112" s="9">
        <f>IF(RIGHT(TIM[[#This Row],[Device type]],7)="Winding","-",TIM[[#This Row],[Cont Winter MVA]])</f>
        <v>10.478907385791706</v>
      </c>
      <c r="AU112" s="9">
        <f>IF(RIGHT(TIM[[#This Row],[Device type]],7)="Winding","-",TIM[[#This Row],[Cont Shoulder MVA]])</f>
        <v>10.478907385791706</v>
      </c>
      <c r="AV112" s="9">
        <f>IF(RIGHT(TIM[[#This Row],[Device type]],7)="Winding","-",TIM[[#This Row],[Cont Summer MVA]])</f>
        <v>10.478907385791706</v>
      </c>
      <c r="AW112" s="9" t="str">
        <f>TIM[[#This Row],[24 Hr Winter MVA]]</f>
        <v>-</v>
      </c>
      <c r="AX112" s="9" t="str">
        <f>TIM[[#This Row],[24 Hr Summer MVA]]</f>
        <v>-</v>
      </c>
      <c r="AY112" s="9" t="str">
        <f>TIM[[#This Row],[Forwards MVA]]</f>
        <v>-</v>
      </c>
      <c r="AZ112" s="9" t="str">
        <f>TIM[[#This Row],[Relay MVA]]</f>
        <v>-</v>
      </c>
      <c r="BA112" s="9" t="str">
        <f>TIM[[#This Row],[CT MVA]]</f>
        <v>-</v>
      </c>
      <c r="BB112" s="9">
        <f>TIM[[#This Row],[Derating MVA]]</f>
        <v>7.8604380082300729</v>
      </c>
      <c r="BC112" s="9" t="str">
        <f>TIM[[#This Row],[Station/Feeder]]&amp;TIM[[#This Row],[Lowest MVA]]</f>
        <v>TIM_GRM_SUBTRANS7.86043800823007</v>
      </c>
      <c r="BD112" s="9" t="str">
        <f>CONCATENATE(TIM[[#This Row],[Supply Level]],TIM[[#This Row],[Station/Feeder]],TIM[[#This Row],[Voltage]],TIM[[#This Row],[Lowest A-No PTX]])</f>
        <v>SubTransmissionTIM_GRM_SUBTRANS11412.566</v>
      </c>
      <c r="BE112" s="9" t="str">
        <f>CONCATENATE(TIM[[#This Row],[Supply Level]],TIM[[#This Row],[Station/Feeder]],TIM[[#This Row],[Voltage]],TIM[[#This Row],[Lowest A-PTX]])</f>
        <v>SubTransmissionTIM_GRM_SUBTRANS11412.566</v>
      </c>
      <c r="BF112" s="9">
        <f>IFERROR(IF(MIN(TIM[[#This Row],[Summ Cont Winter A]:[Cable Derating]])=0,"",MIN(TIM[[#This Row],[Summ Cont Winter A]:[Cable Derating]])),"")</f>
        <v>7.8604380082300729</v>
      </c>
      <c r="BG112" s="9">
        <f>IFERROR(TIM[[#This Row],[Lowest MVA]]*1000/(TIM[[#This Row],[Voltage]]*SQRT(3)),"")</f>
        <v>412.56599999999986</v>
      </c>
      <c r="BH112" s="9">
        <f t="shared" si="153"/>
        <v>412.56599999999992</v>
      </c>
      <c r="BI112" s="9" t="str">
        <f>TIM[[#This Row],[From]]</f>
        <v>Joint</v>
      </c>
      <c r="BJ112" s="9" t="str">
        <f>TIM[[#This Row],[To]]</f>
        <v>Joint</v>
      </c>
      <c r="BK11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400mm² Cu PILC SWA</v>
      </c>
      <c r="BL112" s="9">
        <f>TIM[[#This Row],[Voltage]]</f>
        <v>11</v>
      </c>
    </row>
    <row r="113" spans="1:64" ht="15" hidden="1" customHeight="1" x14ac:dyDescent="0.25">
      <c r="A113" s="6" t="str">
        <f>CONCATENATE(TIM[[#This Row],[Supply Level]],TIM[[#This Row],[Station/Feeder]],TIM[[#This Row],[Voltage]])</f>
        <v>SubTransmissionTIM_GRM_SUBTRANS11</v>
      </c>
      <c r="B113" s="6" t="str">
        <f>CONCATENATE(TIM[[#This Row],[Supply Level]],TIM[[#This Row],[Station/Feeder]],TIM[[#This Row],[Equipment ID]],TIM[[#This Row],[Voltage]],TIM[[#This Row],[Device type]])</f>
        <v>SubTransmissionTIM_GRM_SUBTRANS3/1c 630mm² XLPE Cu CWS PVC HDPE11-</v>
      </c>
      <c r="C113" s="6" t="s">
        <v>1245</v>
      </c>
      <c r="D113" s="11" t="s">
        <v>106</v>
      </c>
      <c r="E113" s="6" t="s">
        <v>750</v>
      </c>
      <c r="F113" s="6" t="s">
        <v>861</v>
      </c>
      <c r="G113" s="27">
        <v>4</v>
      </c>
      <c r="H113" s="7" t="s">
        <v>811</v>
      </c>
      <c r="I113" s="7" t="s">
        <v>1279</v>
      </c>
      <c r="J113" s="7" t="s">
        <v>250</v>
      </c>
      <c r="K113" s="7" t="s">
        <v>0</v>
      </c>
      <c r="L113" s="7" t="s">
        <v>0</v>
      </c>
      <c r="M113" s="8">
        <v>11</v>
      </c>
      <c r="N113" s="9">
        <v>810</v>
      </c>
      <c r="O113" s="9">
        <f>IF(OR(N113="",N113="-"),"-",N113*$M113*SQRT(3)/1000)</f>
        <v>15.432572695438695</v>
      </c>
      <c r="P113" s="9">
        <v>810</v>
      </c>
      <c r="Q113" s="9">
        <f>IF(OR(P113="",P113="-"),"-",P113*$M113*SQRT(3)/1000)</f>
        <v>15.432572695438695</v>
      </c>
      <c r="R113" s="9">
        <v>810</v>
      </c>
      <c r="S113" s="9">
        <f>IF(OR(R113="",R113="-"),"-",R113*$M113*SQRT(3)/1000)</f>
        <v>15.432572695438695</v>
      </c>
      <c r="T113" s="9" t="s">
        <v>0</v>
      </c>
      <c r="U113" s="9" t="str">
        <f>IF(OR(T113="",T113="-"),"-",T113*$M113*SQRT(3)/1000)</f>
        <v>-</v>
      </c>
      <c r="V113" s="9" t="s">
        <v>0</v>
      </c>
      <c r="W113" s="9" t="str">
        <f>IF(OR(V113="",V113="-"),"-",V113*$M113*SQRT(3)/1000)</f>
        <v>-</v>
      </c>
      <c r="X113" s="9" t="s">
        <v>0</v>
      </c>
      <c r="Y113" s="9" t="str">
        <f>IF(OR(X113="",X113="-"),"-",X113*$M113*SQRT(3)/1000)</f>
        <v>-</v>
      </c>
      <c r="Z113" s="9" t="s">
        <v>0</v>
      </c>
      <c r="AA113" s="9" t="str">
        <f>IF(OR(Z113="",Z113="-"),"-",Z113*$M113*SQRT(3)/1000)</f>
        <v>-</v>
      </c>
      <c r="AB113" s="9" t="s">
        <v>0</v>
      </c>
      <c r="AC113" s="9" t="str">
        <f>IF(OR(AB113="",AB113="-"),"-",AB113*$M113*SQRT(3)/1000)</f>
        <v>-</v>
      </c>
      <c r="AD113" s="9" t="s">
        <v>0</v>
      </c>
      <c r="AE113" s="12" t="str">
        <f>IF(OR(AD113="",AD113="-"),"-",AD113*$M113*SQRT(3)/1000)</f>
        <v>-</v>
      </c>
      <c r="AF113" s="9" t="s">
        <v>713</v>
      </c>
      <c r="AG113" s="9" t="s">
        <v>0</v>
      </c>
      <c r="AH113" s="9">
        <v>20.5</v>
      </c>
      <c r="AI113" s="9">
        <v>1.4</v>
      </c>
      <c r="AJ113" s="32">
        <v>0.94</v>
      </c>
      <c r="AK113" s="9">
        <v>18.5</v>
      </c>
      <c r="AL113" s="32">
        <v>0.95</v>
      </c>
      <c r="AM113" s="9">
        <v>1.2</v>
      </c>
      <c r="AN113" s="32">
        <v>1</v>
      </c>
      <c r="AO113" s="9">
        <v>3</v>
      </c>
      <c r="AP113" s="9">
        <v>0.45</v>
      </c>
      <c r="AQ113" s="32">
        <v>0.84</v>
      </c>
      <c r="AR113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607.59719999999993</v>
      </c>
      <c r="AS113" s="9">
        <f>IF(OR(AR113="",AR113="-"),"-",AR113*$M113*SQRT(3)/1000)</f>
        <v>11.576281430302473</v>
      </c>
      <c r="AT113" s="9">
        <f>IF(RIGHT(TIM[[#This Row],[Device type]],7)="Winding","-",TIM[[#This Row],[Cont Winter MVA]])</f>
        <v>15.432572695438695</v>
      </c>
      <c r="AU113" s="9">
        <f>IF(RIGHT(TIM[[#This Row],[Device type]],7)="Winding","-",TIM[[#This Row],[Cont Shoulder MVA]])</f>
        <v>15.432572695438695</v>
      </c>
      <c r="AV113" s="9">
        <f>IF(RIGHT(TIM[[#This Row],[Device type]],7)="Winding","-",TIM[[#This Row],[Cont Summer MVA]])</f>
        <v>15.432572695438695</v>
      </c>
      <c r="AW113" s="9" t="str">
        <f>TIM[[#This Row],[24 Hr Winter MVA]]</f>
        <v>-</v>
      </c>
      <c r="AX113" s="9" t="str">
        <f>TIM[[#This Row],[24 Hr Summer MVA]]</f>
        <v>-</v>
      </c>
      <c r="AY113" s="9" t="str">
        <f>TIM[[#This Row],[Forwards MVA]]</f>
        <v>-</v>
      </c>
      <c r="AZ113" s="9" t="str">
        <f>TIM[[#This Row],[Relay MVA]]</f>
        <v>-</v>
      </c>
      <c r="BA113" s="9" t="str">
        <f>TIM[[#This Row],[CT MVA]]</f>
        <v>-</v>
      </c>
      <c r="BB113" s="9">
        <f>TIM[[#This Row],[Derating MVA]]</f>
        <v>11.576281430302473</v>
      </c>
      <c r="BC113" s="9" t="str">
        <f>TIM[[#This Row],[Station/Feeder]]&amp;TIM[[#This Row],[Lowest MVA]]</f>
        <v>TIM_GRM_SUBTRANS11.5762814303025</v>
      </c>
      <c r="BD113" s="9" t="str">
        <f>CONCATENATE(TIM[[#This Row],[Supply Level]],TIM[[#This Row],[Station/Feeder]],TIM[[#This Row],[Voltage]],TIM[[#This Row],[Lowest A-No PTX]])</f>
        <v>SubTransmissionTIM_GRM_SUBTRANS11607.5972</v>
      </c>
      <c r="BE113" s="9" t="str">
        <f>CONCATENATE(TIM[[#This Row],[Supply Level]],TIM[[#This Row],[Station/Feeder]],TIM[[#This Row],[Voltage]],TIM[[#This Row],[Lowest A-PTX]])</f>
        <v>SubTransmissionTIM_GRM_SUBTRANS11607.5972</v>
      </c>
      <c r="BF113" s="9">
        <f>IFERROR(IF(MIN(TIM[[#This Row],[Summ Cont Winter A]:[Cable Derating]])=0,"",MIN(TIM[[#This Row],[Summ Cont Winter A]:[Cable Derating]])),"")</f>
        <v>11.576281430302473</v>
      </c>
      <c r="BG113" s="9">
        <f>IFERROR(TIM[[#This Row],[Lowest MVA]]*1000/(TIM[[#This Row],[Voltage]]*SQRT(3)),"")</f>
        <v>607.59719999999993</v>
      </c>
      <c r="BH113" s="9">
        <f t="shared" si="153"/>
        <v>607.59719999999993</v>
      </c>
      <c r="BI113" s="9" t="str">
        <f>TIM[[#This Row],[From]]</f>
        <v>Joint</v>
      </c>
      <c r="BJ113" s="9" t="str">
        <f>TIM[[#This Row],[To]]</f>
        <v>TEGRASMERE3</v>
      </c>
      <c r="BK11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630mm² XLPE Cu CWS PVC HDPE</v>
      </c>
      <c r="BL113" s="9">
        <f>TIM[[#This Row],[Voltage]]</f>
        <v>11</v>
      </c>
    </row>
    <row r="114" spans="1:64" ht="15" hidden="1" customHeight="1" x14ac:dyDescent="0.25">
      <c r="A114" s="6" t="str">
        <f>CONCATENATE(TIM[[#This Row],[Supply Level]],TIM[[#This Row],[Station/Feeder]],TIM[[#This Row],[Voltage]])</f>
        <v>SubTransmissionTIM_GRMA_SUBTRANS11</v>
      </c>
      <c r="B114" s="6" t="str">
        <f>CONCATENATE(TIM[[#This Row],[Supply Level]],TIM[[#This Row],[Station/Feeder]],TIM[[#This Row],[Equipment ID]],TIM[[#This Row],[Voltage]],TIM[[#This Row],[Device type]])</f>
        <v>SubTransmissionTIM_GRMA_SUBTRANSTIM-CB291211Protection</v>
      </c>
      <c r="C114" s="6" t="s">
        <v>1245</v>
      </c>
      <c r="D114" s="11" t="s">
        <v>1318</v>
      </c>
      <c r="E114" s="6" t="s">
        <v>243</v>
      </c>
      <c r="F114" s="6" t="s">
        <v>859</v>
      </c>
      <c r="G114" s="27">
        <v>1</v>
      </c>
      <c r="H114" s="7" t="s">
        <v>2367</v>
      </c>
      <c r="I114" s="7" t="s">
        <v>2236</v>
      </c>
      <c r="J114" s="7" t="s">
        <v>15</v>
      </c>
      <c r="K114" s="7" t="s">
        <v>1121</v>
      </c>
      <c r="L114" s="7" t="s">
        <v>1423</v>
      </c>
      <c r="M114" s="8">
        <v>11</v>
      </c>
      <c r="N114" s="9">
        <v>550</v>
      </c>
      <c r="O114" s="9">
        <f t="shared" ref="O114" si="193">IF(OR(N114="",N114="-"),"-",N114*$M114*SQRT(3)/1000)</f>
        <v>10.478907385791706</v>
      </c>
      <c r="P114" s="9">
        <v>550</v>
      </c>
      <c r="Q114" s="9">
        <f t="shared" ref="Q114" si="194">IF(OR(P114="",P114="-"),"-",P114*$M114*SQRT(3)/1000)</f>
        <v>10.478907385791706</v>
      </c>
      <c r="R114" s="9">
        <v>550</v>
      </c>
      <c r="S114" s="9">
        <f t="shared" ref="S114" si="195">IF(OR(R114="",R114="-"),"-",R114*$M114*SQRT(3)/1000)</f>
        <v>10.478907385791706</v>
      </c>
      <c r="T114" s="9" t="s">
        <v>0</v>
      </c>
      <c r="U114" s="9" t="str">
        <f t="shared" ref="U114" si="196">IF(OR(T114="",T114="-"),"-",T114*$M114*SQRT(3)/1000)</f>
        <v>-</v>
      </c>
      <c r="V114" s="9" t="s">
        <v>0</v>
      </c>
      <c r="W114" s="9" t="str">
        <f t="shared" ref="W114" si="197">IF(OR(V114="",V114="-"),"-",V114*$M114*SQRT(3)/1000)</f>
        <v>-</v>
      </c>
      <c r="X114" s="9">
        <f>VLOOKUP(TIM[[#This Row],[Equipment ID]],AEL_Protection_Data[#All],12,0)</f>
        <v>600</v>
      </c>
      <c r="Y114" s="9">
        <f t="shared" ref="Y114" si="198">IF(OR(X114="",X114="-"),"-",X114*$M114*SQRT(3)/1000)</f>
        <v>11.43153532995459</v>
      </c>
      <c r="Z114" s="9">
        <v>549</v>
      </c>
      <c r="AA114" s="9">
        <f t="shared" ref="AA114" si="199">IF(OR(Z114="",Z114="-"),"-",Z114*$M114*SQRT(3)/1000)</f>
        <v>10.459854826908449</v>
      </c>
      <c r="AB114" s="9">
        <v>2400</v>
      </c>
      <c r="AC114" s="9">
        <f t="shared" ref="AC114" si="200">IF(OR(AB114="",AB114="-"),"-",AB114*$M114*SQRT(3)/1000)</f>
        <v>45.72614131981836</v>
      </c>
      <c r="AD114" s="9">
        <v>1600</v>
      </c>
      <c r="AE114" s="12">
        <f t="shared" ref="AE114" si="201">IF(OR(AD114="",AD114="-"),"-",AD114*$M114*SQRT(3)/1000)</f>
        <v>30.484094213212241</v>
      </c>
      <c r="AF114" s="29" t="s">
        <v>0</v>
      </c>
      <c r="AG114" s="29" t="s">
        <v>0</v>
      </c>
      <c r="AH114" s="8" t="s">
        <v>0</v>
      </c>
      <c r="AI114" s="29" t="s">
        <v>0</v>
      </c>
      <c r="AJ114" s="32" t="s">
        <v>0</v>
      </c>
      <c r="AK114" s="29" t="s">
        <v>0</v>
      </c>
      <c r="AL114" s="32" t="s">
        <v>0</v>
      </c>
      <c r="AM114" s="29" t="s">
        <v>0</v>
      </c>
      <c r="AN114" s="32" t="s">
        <v>0</v>
      </c>
      <c r="AO114" s="29" t="s">
        <v>0</v>
      </c>
      <c r="AP114" s="29" t="s">
        <v>0</v>
      </c>
      <c r="AQ114" s="32" t="s">
        <v>0</v>
      </c>
      <c r="AR11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14" s="9" t="str">
        <f t="shared" ref="AS114" si="202">IF(OR(AR114="",AR114="-"),"-",AR114*$M114*SQRT(3)/1000)</f>
        <v>-</v>
      </c>
      <c r="AT114" s="9">
        <f>IF(RIGHT(TIM[[#This Row],[Device type]],7)="Winding","-",TIM[[#This Row],[Cont Winter MVA]])</f>
        <v>10.478907385791706</v>
      </c>
      <c r="AU114" s="9">
        <f>IF(RIGHT(TIM[[#This Row],[Device type]],7)="Winding","-",TIM[[#This Row],[Cont Shoulder MVA]])</f>
        <v>10.478907385791706</v>
      </c>
      <c r="AV114" s="9">
        <f>IF(RIGHT(TIM[[#This Row],[Device type]],7)="Winding","-",TIM[[#This Row],[Cont Summer MVA]])</f>
        <v>10.478907385791706</v>
      </c>
      <c r="AW114" s="9" t="str">
        <f>TIM[[#This Row],[24 Hr Winter MVA]]</f>
        <v>-</v>
      </c>
      <c r="AX114" s="9" t="str">
        <f>TIM[[#This Row],[24 Hr Summer MVA]]</f>
        <v>-</v>
      </c>
      <c r="AY114" s="9">
        <f>TIM[[#This Row],[Forwards MVA]]</f>
        <v>11.43153532995459</v>
      </c>
      <c r="AZ114" s="9">
        <f>TIM[[#This Row],[Relay MVA]]</f>
        <v>45.72614131981836</v>
      </c>
      <c r="BA114" s="9">
        <f>TIM[[#This Row],[CT MVA]]</f>
        <v>30.484094213212241</v>
      </c>
      <c r="BB114" s="9" t="str">
        <f>TIM[[#This Row],[Derating MVA]]</f>
        <v>-</v>
      </c>
      <c r="BC114" s="9" t="str">
        <f>TIM[[#This Row],[Station/Feeder]]&amp;TIM[[#This Row],[Lowest MVA]]</f>
        <v>TIM_GRMA_SUBTRANS10.4789073857917</v>
      </c>
      <c r="BD114" s="9" t="str">
        <f>CONCATENATE(TIM[[#This Row],[Supply Level]],TIM[[#This Row],[Station/Feeder]],TIM[[#This Row],[Voltage]],TIM[[#This Row],[Lowest A-No PTX]])</f>
        <v>SubTransmissionTIM_GRMA_SUBTRANS11550</v>
      </c>
      <c r="BE114" s="9" t="str">
        <f>CONCATENATE(TIM[[#This Row],[Supply Level]],TIM[[#This Row],[Station/Feeder]],TIM[[#This Row],[Voltage]],TIM[[#This Row],[Lowest A-PTX]])</f>
        <v>SubTransmissionTIM_GRMA_SUBTRANS11549</v>
      </c>
      <c r="BF114" s="9">
        <f>IFERROR(IF(MIN(TIM[[#This Row],[Summ Cont Winter A]:[Cable Derating]])=0,"",MIN(TIM[[#This Row],[Summ Cont Winter A]:[Cable Derating]])),"")</f>
        <v>10.478907385791706</v>
      </c>
      <c r="BG114" s="9">
        <f>IFERROR(TIM[[#This Row],[Lowest MVA]]*1000/(TIM[[#This Row],[Voltage]]*SQRT(3)),"")</f>
        <v>550</v>
      </c>
      <c r="BH114" s="9">
        <f t="shared" ref="BH114:BH117" si="203">IF(MIN(N114,P114,R114,T114,V114,X114,Z114,AB114,AD114,AR114)=0,"",MIN(N114,P114,R114,T114,V114,X114,Z114,AB114,AD114,AR114))</f>
        <v>549</v>
      </c>
      <c r="BI114" s="9" t="str">
        <f>TIM[[#This Row],[From]]</f>
        <v>11 kV Bus</v>
      </c>
      <c r="BJ114" s="9" t="str">
        <f>TIM[[#This Row],[To]]</f>
        <v>CB2912</v>
      </c>
      <c r="BK11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Breaker-TIM-CB2912-Protection</v>
      </c>
      <c r="BL114" s="9">
        <f>TIM[[#This Row],[Voltage]]</f>
        <v>11</v>
      </c>
    </row>
    <row r="115" spans="1:64" ht="15" hidden="1" customHeight="1" x14ac:dyDescent="0.25">
      <c r="A115" s="6" t="str">
        <f>CONCATENATE(TIM[[#This Row],[Supply Level]],TIM[[#This Row],[Station/Feeder]],TIM[[#This Row],[Voltage]])</f>
        <v>SubTransmissionTIM_GRMA_SUBTRANS11</v>
      </c>
      <c r="B115" s="6" t="str">
        <f>CONCATENATE(TIM[[#This Row],[Supply Level]],TIM[[#This Row],[Station/Feeder]],TIM[[#This Row],[Equipment ID]],TIM[[#This Row],[Voltage]],TIM[[#This Row],[Device type]])</f>
        <v>SubTransmissionTIM_GRMA_SUBTRANS3/1c 630mm² XLPE Cu CWS PVC HDPE11-</v>
      </c>
      <c r="C115" s="6" t="s">
        <v>1245</v>
      </c>
      <c r="D115" s="11" t="s">
        <v>1318</v>
      </c>
      <c r="E115" s="6" t="s">
        <v>859</v>
      </c>
      <c r="F115" s="6" t="s">
        <v>750</v>
      </c>
      <c r="G115" s="27">
        <v>2</v>
      </c>
      <c r="H115" s="7" t="s">
        <v>811</v>
      </c>
      <c r="I115" s="7" t="s">
        <v>1279</v>
      </c>
      <c r="J115" s="7" t="s">
        <v>250</v>
      </c>
      <c r="K115" s="7" t="s">
        <v>0</v>
      </c>
      <c r="L115" s="7" t="s">
        <v>0</v>
      </c>
      <c r="M115" s="8">
        <v>11</v>
      </c>
      <c r="N115" s="9">
        <v>810</v>
      </c>
      <c r="O115" s="9">
        <f>IF(OR(N115="",N115="-"),"-",N115*$M115*SQRT(3)/1000)</f>
        <v>15.432572695438695</v>
      </c>
      <c r="P115" s="9">
        <v>810</v>
      </c>
      <c r="Q115" s="9">
        <f>IF(OR(P115="",P115="-"),"-",P115*$M115*SQRT(3)/1000)</f>
        <v>15.432572695438695</v>
      </c>
      <c r="R115" s="9">
        <v>810</v>
      </c>
      <c r="S115" s="9">
        <f>IF(OR(R115="",R115="-"),"-",R115*$M115*SQRT(3)/1000)</f>
        <v>15.432572695438695</v>
      </c>
      <c r="T115" s="9" t="s">
        <v>0</v>
      </c>
      <c r="U115" s="9" t="str">
        <f>IF(OR(T115="",T115="-"),"-",T115*$M115*SQRT(3)/1000)</f>
        <v>-</v>
      </c>
      <c r="V115" s="9" t="s">
        <v>0</v>
      </c>
      <c r="W115" s="9" t="str">
        <f>IF(OR(V115="",V115="-"),"-",V115*$M115*SQRT(3)/1000)</f>
        <v>-</v>
      </c>
      <c r="X115" s="9" t="s">
        <v>0</v>
      </c>
      <c r="Y115" s="9" t="str">
        <f>IF(OR(X115="",X115="-"),"-",X115*$M115*SQRT(3)/1000)</f>
        <v>-</v>
      </c>
      <c r="Z115" s="9" t="s">
        <v>0</v>
      </c>
      <c r="AA115" s="9" t="str">
        <f>IF(OR(Z115="",Z115="-"),"-",Z115*$M115*SQRT(3)/1000)</f>
        <v>-</v>
      </c>
      <c r="AB115" s="9" t="s">
        <v>0</v>
      </c>
      <c r="AC115" s="9" t="str">
        <f>IF(OR(AB115="",AB115="-"),"-",AB115*$M115*SQRT(3)/1000)</f>
        <v>-</v>
      </c>
      <c r="AD115" s="9" t="s">
        <v>0</v>
      </c>
      <c r="AE115" s="12" t="str">
        <f>IF(OR(AD115="",AD115="-"),"-",AD115*$M115*SQRT(3)/1000)</f>
        <v>-</v>
      </c>
      <c r="AF115" s="9" t="s">
        <v>713</v>
      </c>
      <c r="AG115" s="9" t="s">
        <v>0</v>
      </c>
      <c r="AH115" s="9">
        <v>86.5</v>
      </c>
      <c r="AI115" s="9">
        <v>1.4</v>
      </c>
      <c r="AJ115" s="32">
        <v>0.94</v>
      </c>
      <c r="AK115" s="9">
        <v>18.5</v>
      </c>
      <c r="AL115" s="32">
        <v>0.95</v>
      </c>
      <c r="AM115" s="9">
        <v>1.2</v>
      </c>
      <c r="AN115" s="32">
        <v>1</v>
      </c>
      <c r="AO115" s="9">
        <v>3</v>
      </c>
      <c r="AP115" s="9">
        <v>0.45</v>
      </c>
      <c r="AQ115" s="32">
        <v>0.84</v>
      </c>
      <c r="AR115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607.59719999999993</v>
      </c>
      <c r="AS115" s="9">
        <f>IF(OR(AR115="",AR115="-"),"-",AR115*$M115*SQRT(3)/1000)</f>
        <v>11.576281430302473</v>
      </c>
      <c r="AT115" s="9">
        <f>IF(RIGHT(TIM[[#This Row],[Device type]],7)="Winding","-",TIM[[#This Row],[Cont Winter MVA]])</f>
        <v>15.432572695438695</v>
      </c>
      <c r="AU115" s="9">
        <f>IF(RIGHT(TIM[[#This Row],[Device type]],7)="Winding","-",TIM[[#This Row],[Cont Shoulder MVA]])</f>
        <v>15.432572695438695</v>
      </c>
      <c r="AV115" s="9">
        <f>IF(RIGHT(TIM[[#This Row],[Device type]],7)="Winding","-",TIM[[#This Row],[Cont Summer MVA]])</f>
        <v>15.432572695438695</v>
      </c>
      <c r="AW115" s="9" t="str">
        <f>TIM[[#This Row],[24 Hr Winter MVA]]</f>
        <v>-</v>
      </c>
      <c r="AX115" s="9" t="str">
        <f>TIM[[#This Row],[24 Hr Summer MVA]]</f>
        <v>-</v>
      </c>
      <c r="AY115" s="9" t="str">
        <f>TIM[[#This Row],[Forwards MVA]]</f>
        <v>-</v>
      </c>
      <c r="AZ115" s="9" t="str">
        <f>TIM[[#This Row],[Relay MVA]]</f>
        <v>-</v>
      </c>
      <c r="BA115" s="9" t="str">
        <f>TIM[[#This Row],[CT MVA]]</f>
        <v>-</v>
      </c>
      <c r="BB115" s="9">
        <f>TIM[[#This Row],[Derating MVA]]</f>
        <v>11.576281430302473</v>
      </c>
      <c r="BC115" s="9" t="str">
        <f>TIM[[#This Row],[Station/Feeder]]&amp;TIM[[#This Row],[Lowest MVA]]</f>
        <v>TIM_GRMA_SUBTRANS11.5762814303025</v>
      </c>
      <c r="BD115" s="9" t="str">
        <f>CONCATENATE(TIM[[#This Row],[Supply Level]],TIM[[#This Row],[Station/Feeder]],TIM[[#This Row],[Voltage]],TIM[[#This Row],[Lowest A-No PTX]])</f>
        <v>SubTransmissionTIM_GRMA_SUBTRANS11607.5972</v>
      </c>
      <c r="BE115" s="9" t="str">
        <f>CONCATENATE(TIM[[#This Row],[Supply Level]],TIM[[#This Row],[Station/Feeder]],TIM[[#This Row],[Voltage]],TIM[[#This Row],[Lowest A-PTX]])</f>
        <v>SubTransmissionTIM_GRMA_SUBTRANS11607.5972</v>
      </c>
      <c r="BF115" s="9">
        <f>IFERROR(IF(MIN(TIM[[#This Row],[Summ Cont Winter A]:[Cable Derating]])=0,"",MIN(TIM[[#This Row],[Summ Cont Winter A]:[Cable Derating]])),"")</f>
        <v>11.576281430302473</v>
      </c>
      <c r="BG115" s="9">
        <f>IFERROR(TIM[[#This Row],[Lowest MVA]]*1000/(TIM[[#This Row],[Voltage]]*SQRT(3)),"")</f>
        <v>607.59719999999993</v>
      </c>
      <c r="BH115" s="9">
        <f t="shared" si="203"/>
        <v>607.59719999999993</v>
      </c>
      <c r="BI115" s="9" t="str">
        <f>TIM[[#This Row],[From]]</f>
        <v>CB2912</v>
      </c>
      <c r="BJ115" s="9" t="str">
        <f>TIM[[#This Row],[To]]</f>
        <v>Joint</v>
      </c>
      <c r="BK11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630mm² XLPE Cu CWS PVC HDPE</v>
      </c>
      <c r="BL115" s="9">
        <f>TIM[[#This Row],[Voltage]]</f>
        <v>11</v>
      </c>
    </row>
    <row r="116" spans="1:64" ht="15" hidden="1" customHeight="1" x14ac:dyDescent="0.25">
      <c r="A116" s="6" t="str">
        <f>CONCATENATE(TIM[[#This Row],[Supply Level]],TIM[[#This Row],[Station/Feeder]],TIM[[#This Row],[Voltage]])</f>
        <v>SubTransmissionTIM_GRMA_SUBTRANS11</v>
      </c>
      <c r="B116" s="6" t="str">
        <f>CONCATENATE(TIM[[#This Row],[Supply Level]],TIM[[#This Row],[Station/Feeder]],TIM[[#This Row],[Equipment ID]],TIM[[#This Row],[Voltage]],TIM[[#This Row],[Device type]])</f>
        <v>SubTransmissionTIM_GRMA_SUBTRANS3c 400mm² Cu PILC SWA11-</v>
      </c>
      <c r="C116" s="6" t="s">
        <v>1245</v>
      </c>
      <c r="D116" s="11" t="s">
        <v>1318</v>
      </c>
      <c r="E116" s="6" t="s">
        <v>750</v>
      </c>
      <c r="F116" s="6" t="s">
        <v>750</v>
      </c>
      <c r="G116" s="27">
        <v>3</v>
      </c>
      <c r="H116" s="7" t="s">
        <v>811</v>
      </c>
      <c r="I116" s="7" t="s">
        <v>837</v>
      </c>
      <c r="J116" s="7" t="s">
        <v>250</v>
      </c>
      <c r="K116" s="7" t="s">
        <v>0</v>
      </c>
      <c r="L116" s="7" t="s">
        <v>0</v>
      </c>
      <c r="M116" s="8">
        <v>11</v>
      </c>
      <c r="N116" s="9">
        <v>550</v>
      </c>
      <c r="O116" s="9">
        <f>IF(OR(N116="",N116="-"),"-",N116*$M116*SQRT(3)/1000)</f>
        <v>10.478907385791706</v>
      </c>
      <c r="P116" s="9">
        <v>550</v>
      </c>
      <c r="Q116" s="9">
        <f>IF(OR(P116="",P116="-"),"-",P116*$M116*SQRT(3)/1000)</f>
        <v>10.478907385791706</v>
      </c>
      <c r="R116" s="9">
        <v>550</v>
      </c>
      <c r="S116" s="9">
        <f>IF(OR(R116="",R116="-"),"-",R116*$M116*SQRT(3)/1000)</f>
        <v>10.478907385791706</v>
      </c>
      <c r="T116" s="9" t="s">
        <v>0</v>
      </c>
      <c r="U116" s="9" t="str">
        <f>IF(OR(T116="",T116="-"),"-",T116*$M116*SQRT(3)/1000)</f>
        <v>-</v>
      </c>
      <c r="V116" s="9" t="s">
        <v>0</v>
      </c>
      <c r="W116" s="9" t="str">
        <f>IF(OR(V116="",V116="-"),"-",V116*$M116*SQRT(3)/1000)</f>
        <v>-</v>
      </c>
      <c r="X116" s="9" t="s">
        <v>0</v>
      </c>
      <c r="Y116" s="9" t="str">
        <f>IF(OR(X116="",X116="-"),"-",X116*$M116*SQRT(3)/1000)</f>
        <v>-</v>
      </c>
      <c r="Z116" s="9" t="s">
        <v>0</v>
      </c>
      <c r="AA116" s="9" t="str">
        <f>IF(OR(Z116="",Z116="-"),"-",Z116*$M116*SQRT(3)/1000)</f>
        <v>-</v>
      </c>
      <c r="AB116" s="9" t="s">
        <v>0</v>
      </c>
      <c r="AC116" s="9" t="str">
        <f>IF(OR(AB116="",AB116="-"),"-",AB116*$M116*SQRT(3)/1000)</f>
        <v>-</v>
      </c>
      <c r="AD116" s="9" t="s">
        <v>0</v>
      </c>
      <c r="AE116" s="12" t="str">
        <f>IF(OR(AD116="",AD116="-"),"-",AD116*$M116*SQRT(3)/1000)</f>
        <v>-</v>
      </c>
      <c r="AF116" s="9" t="s">
        <v>716</v>
      </c>
      <c r="AG116" s="9" t="s">
        <v>0</v>
      </c>
      <c r="AH116" s="9">
        <v>1755.45</v>
      </c>
      <c r="AI116" s="9">
        <v>1.4</v>
      </c>
      <c r="AJ116" s="32">
        <v>0.94</v>
      </c>
      <c r="AK116" s="9">
        <v>18.5</v>
      </c>
      <c r="AL116" s="32">
        <v>0.95</v>
      </c>
      <c r="AM116" s="9">
        <v>1.2</v>
      </c>
      <c r="AN116" s="32">
        <v>1</v>
      </c>
      <c r="AO116" s="9">
        <v>3</v>
      </c>
      <c r="AP116" s="9">
        <v>0.45</v>
      </c>
      <c r="AQ116" s="32">
        <v>0.84</v>
      </c>
      <c r="AR116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412.56599999999992</v>
      </c>
      <c r="AS116" s="9">
        <f>IF(OR(AR116="",AR116="-"),"-",AR116*$M116*SQRT(3)/1000)</f>
        <v>7.8604380082300729</v>
      </c>
      <c r="AT116" s="9">
        <f>IF(RIGHT(TIM[[#This Row],[Device type]],7)="Winding","-",TIM[[#This Row],[Cont Winter MVA]])</f>
        <v>10.478907385791706</v>
      </c>
      <c r="AU116" s="9">
        <f>IF(RIGHT(TIM[[#This Row],[Device type]],7)="Winding","-",TIM[[#This Row],[Cont Shoulder MVA]])</f>
        <v>10.478907385791706</v>
      </c>
      <c r="AV116" s="9">
        <f>IF(RIGHT(TIM[[#This Row],[Device type]],7)="Winding","-",TIM[[#This Row],[Cont Summer MVA]])</f>
        <v>10.478907385791706</v>
      </c>
      <c r="AW116" s="9" t="str">
        <f>TIM[[#This Row],[24 Hr Winter MVA]]</f>
        <v>-</v>
      </c>
      <c r="AX116" s="9" t="str">
        <f>TIM[[#This Row],[24 Hr Summer MVA]]</f>
        <v>-</v>
      </c>
      <c r="AY116" s="9" t="str">
        <f>TIM[[#This Row],[Forwards MVA]]</f>
        <v>-</v>
      </c>
      <c r="AZ116" s="9" t="str">
        <f>TIM[[#This Row],[Relay MVA]]</f>
        <v>-</v>
      </c>
      <c r="BA116" s="9" t="str">
        <f>TIM[[#This Row],[CT MVA]]</f>
        <v>-</v>
      </c>
      <c r="BB116" s="9">
        <f>TIM[[#This Row],[Derating MVA]]</f>
        <v>7.8604380082300729</v>
      </c>
      <c r="BC116" s="9" t="str">
        <f>TIM[[#This Row],[Station/Feeder]]&amp;TIM[[#This Row],[Lowest MVA]]</f>
        <v>TIM_GRMA_SUBTRANS7.86043800823007</v>
      </c>
      <c r="BD116" s="9" t="str">
        <f>CONCATENATE(TIM[[#This Row],[Supply Level]],TIM[[#This Row],[Station/Feeder]],TIM[[#This Row],[Voltage]],TIM[[#This Row],[Lowest A-No PTX]])</f>
        <v>SubTransmissionTIM_GRMA_SUBTRANS11412.566</v>
      </c>
      <c r="BE116" s="9" t="str">
        <f>CONCATENATE(TIM[[#This Row],[Supply Level]],TIM[[#This Row],[Station/Feeder]],TIM[[#This Row],[Voltage]],TIM[[#This Row],[Lowest A-PTX]])</f>
        <v>SubTransmissionTIM_GRMA_SUBTRANS11412.566</v>
      </c>
      <c r="BF116" s="9">
        <f>IFERROR(IF(MIN(TIM[[#This Row],[Summ Cont Winter A]:[Cable Derating]])=0,"",MIN(TIM[[#This Row],[Summ Cont Winter A]:[Cable Derating]])),"")</f>
        <v>7.8604380082300729</v>
      </c>
      <c r="BG116" s="9">
        <f>IFERROR(TIM[[#This Row],[Lowest MVA]]*1000/(TIM[[#This Row],[Voltage]]*SQRT(3)),"")</f>
        <v>412.56599999999986</v>
      </c>
      <c r="BH116" s="9">
        <f t="shared" si="203"/>
        <v>412.56599999999992</v>
      </c>
      <c r="BI116" s="9" t="str">
        <f>TIM[[#This Row],[From]]</f>
        <v>Joint</v>
      </c>
      <c r="BJ116" s="9" t="str">
        <f>TIM[[#This Row],[To]]</f>
        <v>Joint</v>
      </c>
      <c r="BK11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400mm² Cu PILC SWA</v>
      </c>
      <c r="BL116" s="9">
        <f>TIM[[#This Row],[Voltage]]</f>
        <v>11</v>
      </c>
    </row>
    <row r="117" spans="1:64" ht="15" hidden="1" customHeight="1" x14ac:dyDescent="0.25">
      <c r="A117" s="6" t="str">
        <f>CONCATENATE(TIM[[#This Row],[Supply Level]],TIM[[#This Row],[Station/Feeder]],TIM[[#This Row],[Voltage]])</f>
        <v>SubTransmissionTIM_GRMA_SUBTRANS11</v>
      </c>
      <c r="B117" s="6" t="str">
        <f>CONCATENATE(TIM[[#This Row],[Supply Level]],TIM[[#This Row],[Station/Feeder]],TIM[[#This Row],[Equipment ID]],TIM[[#This Row],[Voltage]],TIM[[#This Row],[Device type]])</f>
        <v>SubTransmissionTIM_GRMA_SUBTRANS3/1c 630mm² XLPE Cu CWS PVC HDPE11-</v>
      </c>
      <c r="C117" s="6" t="s">
        <v>1245</v>
      </c>
      <c r="D117" s="11" t="s">
        <v>1318</v>
      </c>
      <c r="E117" s="6" t="s">
        <v>750</v>
      </c>
      <c r="F117" s="6" t="s">
        <v>861</v>
      </c>
      <c r="G117" s="27">
        <v>4</v>
      </c>
      <c r="H117" s="7" t="s">
        <v>811</v>
      </c>
      <c r="I117" s="7" t="s">
        <v>1279</v>
      </c>
      <c r="J117" s="7" t="s">
        <v>250</v>
      </c>
      <c r="K117" s="7" t="s">
        <v>0</v>
      </c>
      <c r="L117" s="7" t="s">
        <v>0</v>
      </c>
      <c r="M117" s="8">
        <v>11</v>
      </c>
      <c r="N117" s="9">
        <v>810</v>
      </c>
      <c r="O117" s="9">
        <f>IF(OR(N117="",N117="-"),"-",N117*$M117*SQRT(3)/1000)</f>
        <v>15.432572695438695</v>
      </c>
      <c r="P117" s="9">
        <v>810</v>
      </c>
      <c r="Q117" s="9">
        <f>IF(OR(P117="",P117="-"),"-",P117*$M117*SQRT(3)/1000)</f>
        <v>15.432572695438695</v>
      </c>
      <c r="R117" s="9">
        <v>810</v>
      </c>
      <c r="S117" s="9">
        <f>IF(OR(R117="",R117="-"),"-",R117*$M117*SQRT(3)/1000)</f>
        <v>15.432572695438695</v>
      </c>
      <c r="T117" s="9" t="s">
        <v>0</v>
      </c>
      <c r="U117" s="9" t="str">
        <f>IF(OR(T117="",T117="-"),"-",T117*$M117*SQRT(3)/1000)</f>
        <v>-</v>
      </c>
      <c r="V117" s="9" t="s">
        <v>0</v>
      </c>
      <c r="W117" s="9" t="str">
        <f>IF(OR(V117="",V117="-"),"-",V117*$M117*SQRT(3)/1000)</f>
        <v>-</v>
      </c>
      <c r="X117" s="9" t="s">
        <v>0</v>
      </c>
      <c r="Y117" s="9" t="str">
        <f>IF(OR(X117="",X117="-"),"-",X117*$M117*SQRT(3)/1000)</f>
        <v>-</v>
      </c>
      <c r="Z117" s="9" t="s">
        <v>0</v>
      </c>
      <c r="AA117" s="9" t="str">
        <f>IF(OR(Z117="",Z117="-"),"-",Z117*$M117*SQRT(3)/1000)</f>
        <v>-</v>
      </c>
      <c r="AB117" s="9" t="s">
        <v>0</v>
      </c>
      <c r="AC117" s="9" t="str">
        <f>IF(OR(AB117="",AB117="-"),"-",AB117*$M117*SQRT(3)/1000)</f>
        <v>-</v>
      </c>
      <c r="AD117" s="9" t="s">
        <v>0</v>
      </c>
      <c r="AE117" s="12" t="str">
        <f>IF(OR(AD117="",AD117="-"),"-",AD117*$M117*SQRT(3)/1000)</f>
        <v>-</v>
      </c>
      <c r="AF117" s="9" t="s">
        <v>713</v>
      </c>
      <c r="AG117" s="9" t="s">
        <v>0</v>
      </c>
      <c r="AH117" s="9">
        <v>20.5</v>
      </c>
      <c r="AI117" s="9">
        <v>1.4</v>
      </c>
      <c r="AJ117" s="32">
        <v>0.94</v>
      </c>
      <c r="AK117" s="9">
        <v>18.5</v>
      </c>
      <c r="AL117" s="32">
        <v>0.95</v>
      </c>
      <c r="AM117" s="9">
        <v>1.2</v>
      </c>
      <c r="AN117" s="32">
        <v>1</v>
      </c>
      <c r="AO117" s="9">
        <v>3</v>
      </c>
      <c r="AP117" s="9">
        <v>0.45</v>
      </c>
      <c r="AQ117" s="32">
        <v>0.84</v>
      </c>
      <c r="AR117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607.59719999999993</v>
      </c>
      <c r="AS117" s="9">
        <f>IF(OR(AR117="",AR117="-"),"-",AR117*$M117*SQRT(3)/1000)</f>
        <v>11.576281430302473</v>
      </c>
      <c r="AT117" s="9">
        <f>IF(RIGHT(TIM[[#This Row],[Device type]],7)="Winding","-",TIM[[#This Row],[Cont Winter MVA]])</f>
        <v>15.432572695438695</v>
      </c>
      <c r="AU117" s="9">
        <f>IF(RIGHT(TIM[[#This Row],[Device type]],7)="Winding","-",TIM[[#This Row],[Cont Shoulder MVA]])</f>
        <v>15.432572695438695</v>
      </c>
      <c r="AV117" s="9">
        <f>IF(RIGHT(TIM[[#This Row],[Device type]],7)="Winding","-",TIM[[#This Row],[Cont Summer MVA]])</f>
        <v>15.432572695438695</v>
      </c>
      <c r="AW117" s="9" t="str">
        <f>TIM[[#This Row],[24 Hr Winter MVA]]</f>
        <v>-</v>
      </c>
      <c r="AX117" s="9" t="str">
        <f>TIM[[#This Row],[24 Hr Summer MVA]]</f>
        <v>-</v>
      </c>
      <c r="AY117" s="9" t="str">
        <f>TIM[[#This Row],[Forwards MVA]]</f>
        <v>-</v>
      </c>
      <c r="AZ117" s="9" t="str">
        <f>TIM[[#This Row],[Relay MVA]]</f>
        <v>-</v>
      </c>
      <c r="BA117" s="9" t="str">
        <f>TIM[[#This Row],[CT MVA]]</f>
        <v>-</v>
      </c>
      <c r="BB117" s="9">
        <f>TIM[[#This Row],[Derating MVA]]</f>
        <v>11.576281430302473</v>
      </c>
      <c r="BC117" s="9" t="str">
        <f>TIM[[#This Row],[Station/Feeder]]&amp;TIM[[#This Row],[Lowest MVA]]</f>
        <v>TIM_GRMA_SUBTRANS11.5762814303025</v>
      </c>
      <c r="BD117" s="9" t="str">
        <f>CONCATENATE(TIM[[#This Row],[Supply Level]],TIM[[#This Row],[Station/Feeder]],TIM[[#This Row],[Voltage]],TIM[[#This Row],[Lowest A-No PTX]])</f>
        <v>SubTransmissionTIM_GRMA_SUBTRANS11607.5972</v>
      </c>
      <c r="BE117" s="9" t="str">
        <f>CONCATENATE(TIM[[#This Row],[Supply Level]],TIM[[#This Row],[Station/Feeder]],TIM[[#This Row],[Voltage]],TIM[[#This Row],[Lowest A-PTX]])</f>
        <v>SubTransmissionTIM_GRMA_SUBTRANS11607.5972</v>
      </c>
      <c r="BF117" s="9">
        <f>IFERROR(IF(MIN(TIM[[#This Row],[Summ Cont Winter A]:[Cable Derating]])=0,"",MIN(TIM[[#This Row],[Summ Cont Winter A]:[Cable Derating]])),"")</f>
        <v>11.576281430302473</v>
      </c>
      <c r="BG117" s="9">
        <f>IFERROR(TIM[[#This Row],[Lowest MVA]]*1000/(TIM[[#This Row],[Voltage]]*SQRT(3)),"")</f>
        <v>607.59719999999993</v>
      </c>
      <c r="BH117" s="9">
        <f t="shared" si="203"/>
        <v>607.59719999999993</v>
      </c>
      <c r="BI117" s="9" t="str">
        <f>TIM[[#This Row],[From]]</f>
        <v>Joint</v>
      </c>
      <c r="BJ117" s="9" t="str">
        <f>TIM[[#This Row],[To]]</f>
        <v>TEGRASMERE3</v>
      </c>
      <c r="BK11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630mm² XLPE Cu CWS PVC HDPE</v>
      </c>
      <c r="BL117" s="9">
        <f>TIM[[#This Row],[Voltage]]</f>
        <v>11</v>
      </c>
    </row>
    <row r="118" spans="1:64" ht="15" hidden="1" customHeight="1" x14ac:dyDescent="0.25">
      <c r="A118" s="6" t="str">
        <f>CONCATENATE(TIM[[#This Row],[Supply Level]],TIM[[#This Row],[Station/Feeder]],TIM[[#This Row],[Voltage]])</f>
        <v>SubTransmissionCB2922_ATM_T211</v>
      </c>
      <c r="B118" s="6" t="str">
        <f>CONCATENATE(TIM[[#This Row],[Supply Level]],TIM[[#This Row],[Station/Feeder]],TIM[[#This Row],[Equipment ID]],TIM[[#This Row],[Voltage]],TIM[[#This Row],[Device type]])</f>
        <v>SubTransmissionCB2922_ATM_T2TIM-CB292211Protection</v>
      </c>
      <c r="C118" s="6" t="s">
        <v>1245</v>
      </c>
      <c r="D118" s="11" t="s">
        <v>153</v>
      </c>
      <c r="E118" s="6" t="s">
        <v>243</v>
      </c>
      <c r="F118" s="6" t="s">
        <v>862</v>
      </c>
      <c r="G118" s="27">
        <v>1</v>
      </c>
      <c r="H118" s="7" t="s">
        <v>2368</v>
      </c>
      <c r="I118" s="7" t="s">
        <v>2237</v>
      </c>
      <c r="J118" s="7" t="s">
        <v>15</v>
      </c>
      <c r="K118" s="7" t="s">
        <v>1121</v>
      </c>
      <c r="L118" s="7" t="s">
        <v>1423</v>
      </c>
      <c r="M118" s="8">
        <v>11</v>
      </c>
      <c r="N118" s="9">
        <v>1250</v>
      </c>
      <c r="O118" s="9">
        <f t="shared" si="0"/>
        <v>23.815698604072061</v>
      </c>
      <c r="P118" s="9">
        <v>1250</v>
      </c>
      <c r="Q118" s="9">
        <f t="shared" si="1"/>
        <v>23.815698604072061</v>
      </c>
      <c r="R118" s="9">
        <v>1250</v>
      </c>
      <c r="S118" s="9">
        <f t="shared" si="2"/>
        <v>23.815698604072061</v>
      </c>
      <c r="T118" s="9" t="s">
        <v>0</v>
      </c>
      <c r="U118" s="9" t="str">
        <f t="shared" si="3"/>
        <v>-</v>
      </c>
      <c r="V118" s="9" t="s">
        <v>0</v>
      </c>
      <c r="W118" s="9" t="str">
        <f t="shared" si="4"/>
        <v>-</v>
      </c>
      <c r="X118" s="9">
        <f>VLOOKUP(TIM[[#This Row],[Equipment ID]],AEL_Protection_Data[#All],12,0)</f>
        <v>1068</v>
      </c>
      <c r="Y118" s="9">
        <f t="shared" ref="Y118:Y126" si="204">IF(OR(X118="",X118="-"),"-",X118*$M118*SQRT(3)/1000)</f>
        <v>20.348132887319171</v>
      </c>
      <c r="Z118" s="9">
        <v>976</v>
      </c>
      <c r="AA118" s="9">
        <f t="shared" ref="AA118:AA126" si="205">IF(OR(Z118="",Z118="-"),"-",Z118*$M118*SQRT(3)/1000)</f>
        <v>18.595297470059464</v>
      </c>
      <c r="AB118" s="9">
        <v>3600</v>
      </c>
      <c r="AC118" s="9">
        <f t="shared" ref="AC118:AC126" si="206">IF(OR(AB118="",AB118="-"),"-",AB118*$M118*SQRT(3)/1000)</f>
        <v>68.589211979727537</v>
      </c>
      <c r="AD118" s="9">
        <v>2400</v>
      </c>
      <c r="AE118" s="12">
        <f t="shared" ref="AE118:AE123" si="207">IF(OR(AD118="",AD118="-"),"-",AD118*$M118*SQRT(3)/1000)</f>
        <v>45.72614131981836</v>
      </c>
      <c r="AF118" s="29" t="s">
        <v>0</v>
      </c>
      <c r="AG118" s="29" t="s">
        <v>0</v>
      </c>
      <c r="AH118" s="8" t="s">
        <v>0</v>
      </c>
      <c r="AI118" s="29" t="s">
        <v>0</v>
      </c>
      <c r="AJ118" s="32" t="s">
        <v>0</v>
      </c>
      <c r="AK118" s="29" t="s">
        <v>0</v>
      </c>
      <c r="AL118" s="32" t="s">
        <v>0</v>
      </c>
      <c r="AM118" s="29" t="s">
        <v>0</v>
      </c>
      <c r="AN118" s="32" t="s">
        <v>0</v>
      </c>
      <c r="AO118" s="29" t="s">
        <v>0</v>
      </c>
      <c r="AP118" s="29" t="s">
        <v>0</v>
      </c>
      <c r="AQ118" s="32" t="s">
        <v>0</v>
      </c>
      <c r="AR118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18" s="9" t="str">
        <f t="shared" si="9"/>
        <v>-</v>
      </c>
      <c r="AT118" s="9">
        <f>IF(RIGHT(TIM[[#This Row],[Device type]],7)="Winding","-",TIM[[#This Row],[Cont Winter MVA]])</f>
        <v>23.815698604072061</v>
      </c>
      <c r="AU118" s="9">
        <f>IF(RIGHT(TIM[[#This Row],[Device type]],7)="Winding","-",TIM[[#This Row],[Cont Shoulder MVA]])</f>
        <v>23.815698604072061</v>
      </c>
      <c r="AV118" s="9">
        <f>IF(RIGHT(TIM[[#This Row],[Device type]],7)="Winding","-",TIM[[#This Row],[Cont Summer MVA]])</f>
        <v>23.815698604072061</v>
      </c>
      <c r="AW118" s="9" t="str">
        <f>TIM[[#This Row],[24 Hr Winter MVA]]</f>
        <v>-</v>
      </c>
      <c r="AX118" s="9" t="str">
        <f>TIM[[#This Row],[24 Hr Summer MVA]]</f>
        <v>-</v>
      </c>
      <c r="AY118" s="9">
        <f>TIM[[#This Row],[Forwards MVA]]</f>
        <v>20.348132887319171</v>
      </c>
      <c r="AZ118" s="9">
        <f>TIM[[#This Row],[Relay MVA]]</f>
        <v>68.589211979727537</v>
      </c>
      <c r="BA118" s="9">
        <f>TIM[[#This Row],[CT MVA]]</f>
        <v>45.72614131981836</v>
      </c>
      <c r="BB118" s="9" t="str">
        <f>TIM[[#This Row],[Derating MVA]]</f>
        <v>-</v>
      </c>
      <c r="BC118" s="9" t="str">
        <f>TIM[[#This Row],[Station/Feeder]]&amp;TIM[[#This Row],[Lowest MVA]]</f>
        <v>CB2922_ATM_T220.3481328873192</v>
      </c>
      <c r="BD118" s="9" t="str">
        <f>CONCATENATE(TIM[[#This Row],[Supply Level]],TIM[[#This Row],[Station/Feeder]],TIM[[#This Row],[Voltage]],TIM[[#This Row],[Lowest A-No PTX]])</f>
        <v>SubTransmissionCB2922_ATM_T2111068</v>
      </c>
      <c r="BE118" s="9" t="str">
        <f>CONCATENATE(TIM[[#This Row],[Supply Level]],TIM[[#This Row],[Station/Feeder]],TIM[[#This Row],[Voltage]],TIM[[#This Row],[Lowest A-PTX]])</f>
        <v>SubTransmissionCB2922_ATM_T211976</v>
      </c>
      <c r="BF118" s="9">
        <f>IFERROR(IF(MIN(TIM[[#This Row],[Summ Cont Winter A]:[Cable Derating]])=0,"",MIN(TIM[[#This Row],[Summ Cont Winter A]:[Cable Derating]])),"")</f>
        <v>20.348132887319171</v>
      </c>
      <c r="BG118" s="9">
        <f>IFERROR(TIM[[#This Row],[Lowest MVA]]*1000/(TIM[[#This Row],[Voltage]]*SQRT(3)),"")</f>
        <v>1068</v>
      </c>
      <c r="BH118" s="9">
        <f t="shared" si="153"/>
        <v>976</v>
      </c>
      <c r="BI118" s="9" t="str">
        <f>TIM[[#This Row],[From]]</f>
        <v>11 kV Bus</v>
      </c>
      <c r="BJ118" s="9" t="str">
        <f>TIM[[#This Row],[To]]</f>
        <v>CB2922</v>
      </c>
      <c r="BK11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Breaker-TIM-CB2922-Protection</v>
      </c>
      <c r="BL118" s="9">
        <f>TIM[[#This Row],[Voltage]]</f>
        <v>11</v>
      </c>
    </row>
    <row r="119" spans="1:64" ht="15" hidden="1" customHeight="1" x14ac:dyDescent="0.25">
      <c r="A119" s="6" t="str">
        <f>CONCATENATE(TIM[[#This Row],[Supply Level]],TIM[[#This Row],[Station/Feeder]],TIM[[#This Row],[Voltage]])</f>
        <v>SubTransmissionCB2922_ATM_T211</v>
      </c>
      <c r="B119" s="6" t="str">
        <f>CONCATENATE(TIM[[#This Row],[Supply Level]],TIM[[#This Row],[Station/Feeder]],TIM[[#This Row],[Equipment ID]],TIM[[#This Row],[Voltage]],TIM[[#This Row],[Device type]])</f>
        <v>SubTransmissionCB2922_ATM_T22 x 3/1c 630mm² Cu 11-</v>
      </c>
      <c r="C119" s="6" t="s">
        <v>1245</v>
      </c>
      <c r="D119" s="11" t="s">
        <v>153</v>
      </c>
      <c r="E119" s="6" t="s">
        <v>862</v>
      </c>
      <c r="F119" s="6" t="s">
        <v>864</v>
      </c>
      <c r="G119" s="27">
        <v>2</v>
      </c>
      <c r="H119" s="7" t="s">
        <v>824</v>
      </c>
      <c r="I119" s="7" t="s">
        <v>825</v>
      </c>
      <c r="J119" s="7" t="s">
        <v>250</v>
      </c>
      <c r="K119" s="7" t="s">
        <v>0</v>
      </c>
      <c r="L119" s="7" t="s">
        <v>0</v>
      </c>
      <c r="M119" s="8">
        <v>11</v>
      </c>
      <c r="N119" s="9">
        <v>1600</v>
      </c>
      <c r="O119" s="9">
        <f t="shared" si="0"/>
        <v>30.484094213212241</v>
      </c>
      <c r="P119" s="9">
        <v>1600</v>
      </c>
      <c r="Q119" s="9">
        <f t="shared" si="1"/>
        <v>30.484094213212241</v>
      </c>
      <c r="R119" s="9">
        <v>1600</v>
      </c>
      <c r="S119" s="9">
        <f t="shared" si="2"/>
        <v>30.484094213212241</v>
      </c>
      <c r="T119" s="9" t="s">
        <v>0</v>
      </c>
      <c r="U119" s="9" t="str">
        <f t="shared" si="3"/>
        <v>-</v>
      </c>
      <c r="V119" s="9" t="s">
        <v>0</v>
      </c>
      <c r="W119" s="9" t="str">
        <f t="shared" si="4"/>
        <v>-</v>
      </c>
      <c r="X119" s="9" t="s">
        <v>0</v>
      </c>
      <c r="Y119" s="9" t="str">
        <f>IF(OR(X119="",X119="-"),"-",X119*$M119*SQRT(3)/1000)</f>
        <v>-</v>
      </c>
      <c r="Z119" s="9" t="s">
        <v>0</v>
      </c>
      <c r="AA119" s="9" t="str">
        <f>IF(OR(Z119="",Z119="-"),"-",Z119*$M119*SQRT(3)/1000)</f>
        <v>-</v>
      </c>
      <c r="AB119" s="9" t="s">
        <v>0</v>
      </c>
      <c r="AC119" s="9" t="str">
        <f>IF(OR(AB119="",AB119="-"),"-",AB119*$M119*SQRT(3)/1000)</f>
        <v>-</v>
      </c>
      <c r="AD119" s="9" t="s">
        <v>0</v>
      </c>
      <c r="AE119" s="12" t="str">
        <f>IF(OR(AD119="",AD119="-"),"-",AD119*$M119*SQRT(3)/1000)</f>
        <v>-</v>
      </c>
      <c r="AF119" s="159" t="s">
        <v>826</v>
      </c>
      <c r="AG119" s="9" t="s">
        <v>0</v>
      </c>
      <c r="AH119" s="9">
        <v>96.9</v>
      </c>
      <c r="AI119" s="9">
        <v>1</v>
      </c>
      <c r="AJ119" s="32">
        <v>0.97</v>
      </c>
      <c r="AK119" s="9">
        <v>18.5</v>
      </c>
      <c r="AL119" s="32">
        <v>0.95</v>
      </c>
      <c r="AM119" s="9">
        <v>1.2</v>
      </c>
      <c r="AN119" s="32">
        <v>1</v>
      </c>
      <c r="AO119" s="9">
        <v>4</v>
      </c>
      <c r="AP119" s="9">
        <v>0.45</v>
      </c>
      <c r="AQ119" s="32">
        <v>0.76</v>
      </c>
      <c r="AR119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1120.5439999999999</v>
      </c>
      <c r="AS119" s="9">
        <f>IF(OR(AR119="",AR119="-"),"-",AR119*$M119*SQRT(3)/1000)</f>
        <v>21.349230541281056</v>
      </c>
      <c r="AT119" s="9">
        <f>IF(RIGHT(TIM[[#This Row],[Device type]],7)="Winding","-",TIM[[#This Row],[Cont Winter MVA]])</f>
        <v>30.484094213212241</v>
      </c>
      <c r="AU119" s="9">
        <f>IF(RIGHT(TIM[[#This Row],[Device type]],7)="Winding","-",TIM[[#This Row],[Cont Shoulder MVA]])</f>
        <v>30.484094213212241</v>
      </c>
      <c r="AV119" s="9">
        <f>IF(RIGHT(TIM[[#This Row],[Device type]],7)="Winding","-",TIM[[#This Row],[Cont Summer MVA]])</f>
        <v>30.484094213212241</v>
      </c>
      <c r="AW119" s="9" t="str">
        <f>TIM[[#This Row],[24 Hr Winter MVA]]</f>
        <v>-</v>
      </c>
      <c r="AX119" s="9" t="str">
        <f>TIM[[#This Row],[24 Hr Summer MVA]]</f>
        <v>-</v>
      </c>
      <c r="AY119" s="9" t="str">
        <f>TIM[[#This Row],[Forwards MVA]]</f>
        <v>-</v>
      </c>
      <c r="AZ119" s="9" t="str">
        <f>TIM[[#This Row],[Relay MVA]]</f>
        <v>-</v>
      </c>
      <c r="BA119" s="9" t="str">
        <f>TIM[[#This Row],[CT MVA]]</f>
        <v>-</v>
      </c>
      <c r="BB119" s="9">
        <f>TIM[[#This Row],[Derating MVA]]</f>
        <v>21.349230541281056</v>
      </c>
      <c r="BC119" s="9" t="str">
        <f>TIM[[#This Row],[Station/Feeder]]&amp;TIM[[#This Row],[Lowest MVA]]</f>
        <v>CB2922_ATM_T221.3492305412811</v>
      </c>
      <c r="BD119" s="9" t="str">
        <f>CONCATENATE(TIM[[#This Row],[Supply Level]],TIM[[#This Row],[Station/Feeder]],TIM[[#This Row],[Voltage]],TIM[[#This Row],[Lowest A-No PTX]])</f>
        <v>SubTransmissionCB2922_ATM_T2111120.544</v>
      </c>
      <c r="BE119" s="9" t="str">
        <f>CONCATENATE(TIM[[#This Row],[Supply Level]],TIM[[#This Row],[Station/Feeder]],TIM[[#This Row],[Voltage]],TIM[[#This Row],[Lowest A-PTX]])</f>
        <v>SubTransmissionCB2922_ATM_T2111120.544</v>
      </c>
      <c r="BF119" s="9">
        <f>IFERROR(IF(MIN(TIM[[#This Row],[Summ Cont Winter A]:[Cable Derating]])=0,"",MIN(TIM[[#This Row],[Summ Cont Winter A]:[Cable Derating]])),"")</f>
        <v>21.349230541281056</v>
      </c>
      <c r="BG119" s="9">
        <f>IFERROR(TIM[[#This Row],[Lowest MVA]]*1000/(TIM[[#This Row],[Voltage]]*SQRT(3)),"")</f>
        <v>1120.5439999999999</v>
      </c>
      <c r="BH119" s="9">
        <f t="shared" si="153"/>
        <v>1120.5439999999999</v>
      </c>
      <c r="BI119" s="9" t="str">
        <f>TIM[[#This Row],[From]]</f>
        <v>CB2922</v>
      </c>
      <c r="BJ119" s="9" t="str">
        <f>TIM[[#This Row],[To]]</f>
        <v>B774/T2</v>
      </c>
      <c r="BK11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 xml:space="preserve">Cable-2 x 3/1c 630mm² Cu </v>
      </c>
      <c r="BL119" s="9">
        <f>TIM[[#This Row],[Voltage]]</f>
        <v>11</v>
      </c>
    </row>
    <row r="120" spans="1:64" ht="15" customHeight="1" x14ac:dyDescent="0.25">
      <c r="A120" s="6" t="str">
        <f>CONCATENATE(TIM[[#This Row],[Supply Level]],TIM[[#This Row],[Station/Feeder]],TIM[[#This Row],[Voltage]])</f>
        <v>DistributionFeederCB2942_Old North Rd11</v>
      </c>
      <c r="B120" s="6" t="str">
        <f>CONCATENATE(TIM[[#This Row],[Supply Level]],TIM[[#This Row],[Station/Feeder]],TIM[[#This Row],[Equipment ID]],TIM[[#This Row],[Voltage]],TIM[[#This Row],[Device type]])</f>
        <v>DistributionFeederCB2942_Old North RdTIM-CB294211Protection</v>
      </c>
      <c r="C120" s="6" t="s">
        <v>1276</v>
      </c>
      <c r="D120" s="11" t="s">
        <v>155</v>
      </c>
      <c r="E120" s="6" t="s">
        <v>243</v>
      </c>
      <c r="F120" s="6" t="s">
        <v>865</v>
      </c>
      <c r="G120" s="27">
        <v>1</v>
      </c>
      <c r="H120" s="7" t="s">
        <v>2369</v>
      </c>
      <c r="I120" s="7" t="s">
        <v>2238</v>
      </c>
      <c r="J120" s="7" t="s">
        <v>15</v>
      </c>
      <c r="K120" s="7" t="s">
        <v>1121</v>
      </c>
      <c r="L120" s="7" t="s">
        <v>1423</v>
      </c>
      <c r="M120" s="8">
        <v>11</v>
      </c>
      <c r="N120" s="9">
        <v>1250</v>
      </c>
      <c r="O120" s="9">
        <f t="shared" si="0"/>
        <v>23.815698604072061</v>
      </c>
      <c r="P120" s="9">
        <v>1250</v>
      </c>
      <c r="Q120" s="9">
        <f t="shared" si="1"/>
        <v>23.815698604072061</v>
      </c>
      <c r="R120" s="9">
        <v>1250</v>
      </c>
      <c r="S120" s="9">
        <f t="shared" si="2"/>
        <v>23.815698604072061</v>
      </c>
      <c r="T120" s="9" t="s">
        <v>0</v>
      </c>
      <c r="U120" s="9" t="str">
        <f t="shared" si="3"/>
        <v>-</v>
      </c>
      <c r="V120" s="9" t="s">
        <v>0</v>
      </c>
      <c r="W120" s="9" t="str">
        <f t="shared" si="4"/>
        <v>-</v>
      </c>
      <c r="X120" s="9">
        <f>VLOOKUP(TIM[[#This Row],[Equipment ID]],AEL_Protection_Data[#All],12,0)</f>
        <v>400</v>
      </c>
      <c r="Y120" s="9">
        <f t="shared" si="204"/>
        <v>7.6210235533030604</v>
      </c>
      <c r="Z120" s="9">
        <v>366</v>
      </c>
      <c r="AA120" s="9">
        <f t="shared" si="205"/>
        <v>6.9732365512722998</v>
      </c>
      <c r="AB120" s="9">
        <v>2400</v>
      </c>
      <c r="AC120" s="9">
        <f t="shared" si="206"/>
        <v>45.72614131981836</v>
      </c>
      <c r="AD120" s="9">
        <v>1600</v>
      </c>
      <c r="AE120" s="12">
        <f t="shared" si="207"/>
        <v>30.484094213212241</v>
      </c>
      <c r="AF120" s="29" t="s">
        <v>0</v>
      </c>
      <c r="AG120" s="29" t="s">
        <v>0</v>
      </c>
      <c r="AH120" s="8" t="s">
        <v>0</v>
      </c>
      <c r="AI120" s="29" t="s">
        <v>0</v>
      </c>
      <c r="AJ120" s="32" t="s">
        <v>0</v>
      </c>
      <c r="AK120" s="29" t="s">
        <v>0</v>
      </c>
      <c r="AL120" s="32" t="s">
        <v>0</v>
      </c>
      <c r="AM120" s="29" t="s">
        <v>0</v>
      </c>
      <c r="AN120" s="32" t="s">
        <v>0</v>
      </c>
      <c r="AO120" s="29" t="s">
        <v>0</v>
      </c>
      <c r="AP120" s="29" t="s">
        <v>0</v>
      </c>
      <c r="AQ120" s="32" t="s">
        <v>0</v>
      </c>
      <c r="AR12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20" s="9" t="str">
        <f t="shared" si="9"/>
        <v>-</v>
      </c>
      <c r="AT120" s="9">
        <f>IF(RIGHT(TIM[[#This Row],[Device type]],7)="Winding","-",TIM[[#This Row],[Cont Winter MVA]])</f>
        <v>23.815698604072061</v>
      </c>
      <c r="AU120" s="9">
        <f>IF(RIGHT(TIM[[#This Row],[Device type]],7)="Winding","-",TIM[[#This Row],[Cont Shoulder MVA]])</f>
        <v>23.815698604072061</v>
      </c>
      <c r="AV120" s="9">
        <f>IF(RIGHT(TIM[[#This Row],[Device type]],7)="Winding","-",TIM[[#This Row],[Cont Summer MVA]])</f>
        <v>23.815698604072061</v>
      </c>
      <c r="AW120" s="9" t="str">
        <f>TIM[[#This Row],[24 Hr Winter MVA]]</f>
        <v>-</v>
      </c>
      <c r="AX120" s="9" t="str">
        <f>TIM[[#This Row],[24 Hr Summer MVA]]</f>
        <v>-</v>
      </c>
      <c r="AY120" s="9">
        <f>TIM[[#This Row],[Forwards MVA]]</f>
        <v>7.6210235533030604</v>
      </c>
      <c r="AZ120" s="9">
        <f>TIM[[#This Row],[Relay MVA]]</f>
        <v>45.72614131981836</v>
      </c>
      <c r="BA120" s="9">
        <f>TIM[[#This Row],[CT MVA]]</f>
        <v>30.484094213212241</v>
      </c>
      <c r="BB120" s="9" t="str">
        <f>TIM[[#This Row],[Derating MVA]]</f>
        <v>-</v>
      </c>
      <c r="BC120" s="9" t="str">
        <f>TIM[[#This Row],[Station/Feeder]]&amp;TIM[[#This Row],[Lowest MVA]]</f>
        <v>CB2942_Old North Rd7.62102355330306</v>
      </c>
      <c r="BD120" s="9" t="str">
        <f>CONCATENATE(TIM[[#This Row],[Supply Level]],TIM[[#This Row],[Station/Feeder]],TIM[[#This Row],[Voltage]],TIM[[#This Row],[Lowest A-No PTX]])</f>
        <v>DistributionFeederCB2942_Old North Rd11400</v>
      </c>
      <c r="BE120" s="9" t="str">
        <f>CONCATENATE(TIM[[#This Row],[Supply Level]],TIM[[#This Row],[Station/Feeder]],TIM[[#This Row],[Voltage]],TIM[[#This Row],[Lowest A-PTX]])</f>
        <v>DistributionFeederCB2942_Old North Rd11366</v>
      </c>
      <c r="BF120" s="9">
        <f>IFERROR(IF(MIN(TIM[[#This Row],[Summ Cont Winter A]:[Cable Derating]])=0,"",MIN(TIM[[#This Row],[Summ Cont Winter A]:[Cable Derating]])),"")</f>
        <v>7.6210235533030604</v>
      </c>
      <c r="BG120" s="9">
        <f>IFERROR(TIM[[#This Row],[Lowest MVA]]*1000/(TIM[[#This Row],[Voltage]]*SQRT(3)),"")</f>
        <v>400</v>
      </c>
      <c r="BH120" s="9">
        <f t="shared" si="153"/>
        <v>366</v>
      </c>
      <c r="BI120" s="9" t="str">
        <f>TIM[[#This Row],[From]]</f>
        <v>11 kV Bus</v>
      </c>
      <c r="BJ120" s="9" t="str">
        <f>TIM[[#This Row],[To]]</f>
        <v>CB2942</v>
      </c>
      <c r="BK12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Breaker-TIM-CB2942-Protection</v>
      </c>
      <c r="BL120" s="9">
        <f>TIM[[#This Row],[Voltage]]</f>
        <v>11</v>
      </c>
    </row>
    <row r="121" spans="1:64" ht="15" customHeight="1" x14ac:dyDescent="0.25">
      <c r="A121" s="6" t="str">
        <f>CONCATENATE(TIM[[#This Row],[Supply Level]],TIM[[#This Row],[Station/Feeder]],TIM[[#This Row],[Voltage]])</f>
        <v>DistributionFeederCB2942_Old North Rd11</v>
      </c>
      <c r="B121" s="6" t="str">
        <f>CONCATENATE(TIM[[#This Row],[Supply Level]],TIM[[#This Row],[Station/Feeder]],TIM[[#This Row],[Equipment ID]],TIM[[#This Row],[Voltage]],TIM[[#This Row],[Device type]])</f>
        <v>DistributionFeederCB2942_Old North Rd3/1c 400mm² AL XLPE HDPE Screened11-</v>
      </c>
      <c r="C121" s="6" t="s">
        <v>1276</v>
      </c>
      <c r="D121" s="11" t="s">
        <v>155</v>
      </c>
      <c r="E121" s="6" t="s">
        <v>865</v>
      </c>
      <c r="F121" s="6" t="s">
        <v>750</v>
      </c>
      <c r="G121" s="27">
        <v>2</v>
      </c>
      <c r="H121" s="7" t="s">
        <v>811</v>
      </c>
      <c r="I121" s="7" t="s">
        <v>819</v>
      </c>
      <c r="J121" s="7" t="s">
        <v>250</v>
      </c>
      <c r="K121" s="7" t="s">
        <v>0</v>
      </c>
      <c r="L121" s="7" t="s">
        <v>0</v>
      </c>
      <c r="M121" s="8">
        <v>11</v>
      </c>
      <c r="N121" s="9">
        <v>537</v>
      </c>
      <c r="O121" s="9">
        <f t="shared" si="0"/>
        <v>10.231224120309358</v>
      </c>
      <c r="P121" s="9">
        <v>537</v>
      </c>
      <c r="Q121" s="9">
        <f t="shared" si="1"/>
        <v>10.231224120309358</v>
      </c>
      <c r="R121" s="9">
        <v>537</v>
      </c>
      <c r="S121" s="9">
        <f t="shared" si="2"/>
        <v>10.231224120309358</v>
      </c>
      <c r="T121" s="9" t="s">
        <v>0</v>
      </c>
      <c r="U121" s="9" t="str">
        <f t="shared" si="3"/>
        <v>-</v>
      </c>
      <c r="V121" s="9" t="s">
        <v>0</v>
      </c>
      <c r="W121" s="9" t="str">
        <f t="shared" si="4"/>
        <v>-</v>
      </c>
      <c r="X121" s="9" t="s">
        <v>0</v>
      </c>
      <c r="Y121" s="9" t="str">
        <f>IF(OR(X121="",X121="-"),"-",X121*$M121*SQRT(3)/1000)</f>
        <v>-</v>
      </c>
      <c r="Z121" s="9" t="s">
        <v>0</v>
      </c>
      <c r="AA121" s="9" t="str">
        <f>IF(OR(Z121="",Z121="-"),"-",Z121*$M121*SQRT(3)/1000)</f>
        <v>-</v>
      </c>
      <c r="AB121" s="9" t="s">
        <v>0</v>
      </c>
      <c r="AC121" s="9" t="str">
        <f>IF(OR(AB121="",AB121="-"),"-",AB121*$M121*SQRT(3)/1000)</f>
        <v>-</v>
      </c>
      <c r="AD121" s="9" t="s">
        <v>0</v>
      </c>
      <c r="AE121" s="12" t="str">
        <f>IF(OR(AD121="",AD121="-"),"-",AD121*$M121*SQRT(3)/1000)</f>
        <v>-</v>
      </c>
      <c r="AF121" s="159" t="s">
        <v>713</v>
      </c>
      <c r="AG121" s="9" t="s">
        <v>0</v>
      </c>
      <c r="AH121" s="9">
        <v>44.1</v>
      </c>
      <c r="AI121" s="9">
        <v>1.8</v>
      </c>
      <c r="AJ121" s="32">
        <v>0.92</v>
      </c>
      <c r="AK121" s="9">
        <v>18.5</v>
      </c>
      <c r="AL121" s="32">
        <v>0.95</v>
      </c>
      <c r="AM121" s="9">
        <v>1.2</v>
      </c>
      <c r="AN121" s="32">
        <v>1</v>
      </c>
      <c r="AO121" s="9">
        <v>2</v>
      </c>
      <c r="AP121" s="9">
        <v>0.45</v>
      </c>
      <c r="AQ121" s="32">
        <v>0.89</v>
      </c>
      <c r="AR121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417.71082000000001</v>
      </c>
      <c r="AS121" s="9">
        <f t="shared" si="9"/>
        <v>7.9584599942238361</v>
      </c>
      <c r="AT121" s="9">
        <f>IF(RIGHT(TIM[[#This Row],[Device type]],7)="Winding","-",TIM[[#This Row],[Cont Winter MVA]])</f>
        <v>10.231224120309358</v>
      </c>
      <c r="AU121" s="9">
        <f>IF(RIGHT(TIM[[#This Row],[Device type]],7)="Winding","-",TIM[[#This Row],[Cont Shoulder MVA]])</f>
        <v>10.231224120309358</v>
      </c>
      <c r="AV121" s="9">
        <f>IF(RIGHT(TIM[[#This Row],[Device type]],7)="Winding","-",TIM[[#This Row],[Cont Summer MVA]])</f>
        <v>10.231224120309358</v>
      </c>
      <c r="AW121" s="9" t="str">
        <f>TIM[[#This Row],[24 Hr Winter MVA]]</f>
        <v>-</v>
      </c>
      <c r="AX121" s="9" t="str">
        <f>TIM[[#This Row],[24 Hr Summer MVA]]</f>
        <v>-</v>
      </c>
      <c r="AY121" s="9" t="str">
        <f>TIM[[#This Row],[Forwards MVA]]</f>
        <v>-</v>
      </c>
      <c r="AZ121" s="9" t="str">
        <f>TIM[[#This Row],[Relay MVA]]</f>
        <v>-</v>
      </c>
      <c r="BA121" s="9" t="str">
        <f>TIM[[#This Row],[CT MVA]]</f>
        <v>-</v>
      </c>
      <c r="BB121" s="9">
        <f>TIM[[#This Row],[Derating MVA]]</f>
        <v>7.9584599942238361</v>
      </c>
      <c r="BC121" s="9" t="str">
        <f>TIM[[#This Row],[Station/Feeder]]&amp;TIM[[#This Row],[Lowest MVA]]</f>
        <v>CB2942_Old North Rd7.95845999422384</v>
      </c>
      <c r="BD121" s="9" t="str">
        <f>CONCATENATE(TIM[[#This Row],[Supply Level]],TIM[[#This Row],[Station/Feeder]],TIM[[#This Row],[Voltage]],TIM[[#This Row],[Lowest A-No PTX]])</f>
        <v>DistributionFeederCB2942_Old North Rd11417.71082</v>
      </c>
      <c r="BE121" s="9" t="str">
        <f>CONCATENATE(TIM[[#This Row],[Supply Level]],TIM[[#This Row],[Station/Feeder]],TIM[[#This Row],[Voltage]],TIM[[#This Row],[Lowest A-PTX]])</f>
        <v>DistributionFeederCB2942_Old North Rd11417.71082</v>
      </c>
      <c r="BF121" s="9">
        <f>IFERROR(IF(MIN(TIM[[#This Row],[Summ Cont Winter A]:[Cable Derating]])=0,"",MIN(TIM[[#This Row],[Summ Cont Winter A]:[Cable Derating]])),"")</f>
        <v>7.9584599942238361</v>
      </c>
      <c r="BG121" s="9">
        <f>IFERROR(TIM[[#This Row],[Lowest MVA]]*1000/(TIM[[#This Row],[Voltage]]*SQRT(3)),"")</f>
        <v>417.71081999999996</v>
      </c>
      <c r="BH121" s="9">
        <f t="shared" si="153"/>
        <v>417.71082000000001</v>
      </c>
      <c r="BI121" s="9" t="str">
        <f>TIM[[#This Row],[From]]</f>
        <v>CB2942</v>
      </c>
      <c r="BJ121" s="9" t="str">
        <f>TIM[[#This Row],[To]]</f>
        <v>Joint</v>
      </c>
      <c r="BK12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121" s="9">
        <f>TIM[[#This Row],[Voltage]]</f>
        <v>11</v>
      </c>
    </row>
    <row r="122" spans="1:64" ht="15" customHeight="1" x14ac:dyDescent="0.25">
      <c r="A122" s="6" t="str">
        <f>CONCATENATE(TIM[[#This Row],[Supply Level]],TIM[[#This Row],[Station/Feeder]],TIM[[#This Row],[Voltage]])</f>
        <v>DistributionFeederCB2942_Old North Rd11</v>
      </c>
      <c r="B122" s="6" t="str">
        <f>CONCATENATE(TIM[[#This Row],[Supply Level]],TIM[[#This Row],[Station/Feeder]],TIM[[#This Row],[Equipment ID]],TIM[[#This Row],[Voltage]],TIM[[#This Row],[Device type]])</f>
        <v>DistributionFeederCB2942_Old North Rd3c 0.4in² Al PILC SWA11-</v>
      </c>
      <c r="C122" s="6" t="s">
        <v>1276</v>
      </c>
      <c r="D122" s="11" t="s">
        <v>155</v>
      </c>
      <c r="E122" s="6" t="s">
        <v>750</v>
      </c>
      <c r="F122" s="6" t="s">
        <v>867</v>
      </c>
      <c r="G122" s="27">
        <v>3</v>
      </c>
      <c r="H122" s="7" t="s">
        <v>811</v>
      </c>
      <c r="I122" s="7" t="s">
        <v>868</v>
      </c>
      <c r="J122" s="7" t="s">
        <v>250</v>
      </c>
      <c r="K122" s="7" t="s">
        <v>0</v>
      </c>
      <c r="L122" s="7" t="s">
        <v>0</v>
      </c>
      <c r="M122" s="8">
        <v>11</v>
      </c>
      <c r="N122" s="9">
        <v>361</v>
      </c>
      <c r="O122" s="9">
        <f t="shared" si="0"/>
        <v>6.8779737568560115</v>
      </c>
      <c r="P122" s="9">
        <v>361</v>
      </c>
      <c r="Q122" s="9">
        <f t="shared" si="1"/>
        <v>6.8779737568560115</v>
      </c>
      <c r="R122" s="9">
        <v>361</v>
      </c>
      <c r="S122" s="9">
        <f t="shared" si="2"/>
        <v>6.8779737568560115</v>
      </c>
      <c r="T122" s="9" t="s">
        <v>0</v>
      </c>
      <c r="U122" s="9" t="str">
        <f t="shared" si="3"/>
        <v>-</v>
      </c>
      <c r="V122" s="9" t="s">
        <v>0</v>
      </c>
      <c r="W122" s="9" t="str">
        <f t="shared" si="4"/>
        <v>-</v>
      </c>
      <c r="X122" s="9" t="s">
        <v>0</v>
      </c>
      <c r="Y122" s="9" t="str">
        <f>IF(OR(X122="",X122="-"),"-",X122*$M122*SQRT(3)/1000)</f>
        <v>-</v>
      </c>
      <c r="Z122" s="9" t="s">
        <v>0</v>
      </c>
      <c r="AA122" s="9" t="str">
        <f>IF(OR(Z122="",Z122="-"),"-",Z122*$M122*SQRT(3)/1000)</f>
        <v>-</v>
      </c>
      <c r="AB122" s="9" t="s">
        <v>0</v>
      </c>
      <c r="AC122" s="9" t="str">
        <f>IF(OR(AB122="",AB122="-"),"-",AB122*$M122*SQRT(3)/1000)</f>
        <v>-</v>
      </c>
      <c r="AD122" s="9" t="s">
        <v>0</v>
      </c>
      <c r="AE122" s="12" t="str">
        <f>IF(OR(AD122="",AD122="-"),"-",AD122*$M122*SQRT(3)/1000)</f>
        <v>-</v>
      </c>
      <c r="AF122" s="9" t="s">
        <v>716</v>
      </c>
      <c r="AG122" s="9" t="s">
        <v>0</v>
      </c>
      <c r="AH122" s="9">
        <v>753.9</v>
      </c>
      <c r="AI122" s="9">
        <v>1.8</v>
      </c>
      <c r="AJ122" s="32">
        <v>0.92</v>
      </c>
      <c r="AK122" s="9">
        <v>18.5</v>
      </c>
      <c r="AL122" s="32">
        <v>0.95</v>
      </c>
      <c r="AM122" s="9">
        <v>1.2</v>
      </c>
      <c r="AN122" s="32">
        <v>1</v>
      </c>
      <c r="AO122" s="9">
        <v>2</v>
      </c>
      <c r="AP122" s="9">
        <v>0.45</v>
      </c>
      <c r="AQ122" s="32">
        <v>0.89</v>
      </c>
      <c r="AR122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280.80745999999999</v>
      </c>
      <c r="AS122" s="9">
        <f t="shared" si="9"/>
        <v>5.3501006665080171</v>
      </c>
      <c r="AT122" s="9">
        <f>IF(RIGHT(TIM[[#This Row],[Device type]],7)="Winding","-",TIM[[#This Row],[Cont Winter MVA]])</f>
        <v>6.8779737568560115</v>
      </c>
      <c r="AU122" s="9">
        <f>IF(RIGHT(TIM[[#This Row],[Device type]],7)="Winding","-",TIM[[#This Row],[Cont Shoulder MVA]])</f>
        <v>6.8779737568560115</v>
      </c>
      <c r="AV122" s="9">
        <f>IF(RIGHT(TIM[[#This Row],[Device type]],7)="Winding","-",TIM[[#This Row],[Cont Summer MVA]])</f>
        <v>6.8779737568560115</v>
      </c>
      <c r="AW122" s="9" t="str">
        <f>TIM[[#This Row],[24 Hr Winter MVA]]</f>
        <v>-</v>
      </c>
      <c r="AX122" s="9" t="str">
        <f>TIM[[#This Row],[24 Hr Summer MVA]]</f>
        <v>-</v>
      </c>
      <c r="AY122" s="9" t="str">
        <f>TIM[[#This Row],[Forwards MVA]]</f>
        <v>-</v>
      </c>
      <c r="AZ122" s="9" t="str">
        <f>TIM[[#This Row],[Relay MVA]]</f>
        <v>-</v>
      </c>
      <c r="BA122" s="9" t="str">
        <f>TIM[[#This Row],[CT MVA]]</f>
        <v>-</v>
      </c>
      <c r="BB122" s="9">
        <f>TIM[[#This Row],[Derating MVA]]</f>
        <v>5.3501006665080171</v>
      </c>
      <c r="BC122" s="9" t="str">
        <f>TIM[[#This Row],[Station/Feeder]]&amp;TIM[[#This Row],[Lowest MVA]]</f>
        <v>CB2942_Old North Rd5.35010066650802</v>
      </c>
      <c r="BD122" s="9" t="str">
        <f>CONCATENATE(TIM[[#This Row],[Supply Level]],TIM[[#This Row],[Station/Feeder]],TIM[[#This Row],[Voltage]],TIM[[#This Row],[Lowest A-No PTX]])</f>
        <v>DistributionFeederCB2942_Old North Rd11280.80746</v>
      </c>
      <c r="BE122" s="9" t="str">
        <f>CONCATENATE(TIM[[#This Row],[Supply Level]],TIM[[#This Row],[Station/Feeder]],TIM[[#This Row],[Voltage]],TIM[[#This Row],[Lowest A-PTX]])</f>
        <v>DistributionFeederCB2942_Old North Rd11280.80746</v>
      </c>
      <c r="BF122" s="9">
        <f>IFERROR(IF(MIN(TIM[[#This Row],[Summ Cont Winter A]:[Cable Derating]])=0,"",MIN(TIM[[#This Row],[Summ Cont Winter A]:[Cable Derating]])),"")</f>
        <v>5.3501006665080171</v>
      </c>
      <c r="BG122" s="9">
        <f>IFERROR(TIM[[#This Row],[Lowest MVA]]*1000/(TIM[[#This Row],[Voltage]]*SQRT(3)),"")</f>
        <v>280.80745999999999</v>
      </c>
      <c r="BH122" s="9">
        <f t="shared" si="153"/>
        <v>280.80745999999999</v>
      </c>
      <c r="BI122" s="9" t="str">
        <f>TIM[[#This Row],[From]]</f>
        <v>Joint</v>
      </c>
      <c r="BJ122" s="9" t="str">
        <f>TIM[[#This Row],[To]]</f>
        <v>L462</v>
      </c>
      <c r="BK12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0.4in² Al PILC SWA</v>
      </c>
      <c r="BL122" s="9">
        <f>TIM[[#This Row],[Voltage]]</f>
        <v>11</v>
      </c>
    </row>
    <row r="123" spans="1:64" ht="15" customHeight="1" x14ac:dyDescent="0.25">
      <c r="A123" s="6" t="str">
        <f>CONCATENATE(TIM[[#This Row],[Supply Level]],TIM[[#This Row],[Station/Feeder]],TIM[[#This Row],[Voltage]])</f>
        <v>DistributionFeederCB2952_Highfield11</v>
      </c>
      <c r="B123" s="6" t="str">
        <f>CONCATENATE(TIM[[#This Row],[Supply Level]],TIM[[#This Row],[Station/Feeder]],TIM[[#This Row],[Equipment ID]],TIM[[#This Row],[Voltage]],TIM[[#This Row],[Device type]])</f>
        <v>DistributionFeederCB2952_HighfieldTIM-CB295211Protection</v>
      </c>
      <c r="C123" s="6" t="s">
        <v>1276</v>
      </c>
      <c r="D123" s="11" t="s">
        <v>156</v>
      </c>
      <c r="E123" s="6" t="s">
        <v>243</v>
      </c>
      <c r="F123" s="6" t="s">
        <v>869</v>
      </c>
      <c r="G123" s="27">
        <v>1</v>
      </c>
      <c r="H123" s="7" t="s">
        <v>2370</v>
      </c>
      <c r="I123" s="7" t="s">
        <v>2239</v>
      </c>
      <c r="J123" s="7" t="s">
        <v>15</v>
      </c>
      <c r="K123" s="7" t="s">
        <v>1121</v>
      </c>
      <c r="L123" s="7" t="s">
        <v>1423</v>
      </c>
      <c r="M123" s="8">
        <v>11</v>
      </c>
      <c r="N123" s="9">
        <v>1250</v>
      </c>
      <c r="O123" s="9">
        <f t="shared" si="0"/>
        <v>23.815698604072061</v>
      </c>
      <c r="P123" s="9">
        <v>1250</v>
      </c>
      <c r="Q123" s="9">
        <f t="shared" si="1"/>
        <v>23.815698604072061</v>
      </c>
      <c r="R123" s="9">
        <v>1250</v>
      </c>
      <c r="S123" s="9">
        <f t="shared" si="2"/>
        <v>23.815698604072061</v>
      </c>
      <c r="T123" s="9" t="s">
        <v>0</v>
      </c>
      <c r="U123" s="9" t="str">
        <f t="shared" si="3"/>
        <v>-</v>
      </c>
      <c r="V123" s="9" t="s">
        <v>0</v>
      </c>
      <c r="W123" s="9" t="str">
        <f t="shared" si="4"/>
        <v>-</v>
      </c>
      <c r="X123" s="9">
        <f>VLOOKUP(TIM[[#This Row],[Equipment ID]],AEL_Protection_Data[#All],12,0)</f>
        <v>400</v>
      </c>
      <c r="Y123" s="9">
        <f t="shared" si="204"/>
        <v>7.6210235533030604</v>
      </c>
      <c r="Z123" s="9">
        <v>366</v>
      </c>
      <c r="AA123" s="9">
        <f t="shared" si="205"/>
        <v>6.9732365512722998</v>
      </c>
      <c r="AB123" s="9">
        <v>2400</v>
      </c>
      <c r="AC123" s="9">
        <f t="shared" si="206"/>
        <v>45.72614131981836</v>
      </c>
      <c r="AD123" s="9">
        <v>1600</v>
      </c>
      <c r="AE123" s="12">
        <f t="shared" si="207"/>
        <v>30.484094213212241</v>
      </c>
      <c r="AF123" s="9" t="s">
        <v>0</v>
      </c>
      <c r="AG123" s="9" t="s">
        <v>0</v>
      </c>
      <c r="AH123" s="9" t="s">
        <v>0</v>
      </c>
      <c r="AI123" s="9" t="s">
        <v>0</v>
      </c>
      <c r="AJ123" s="32" t="s">
        <v>0</v>
      </c>
      <c r="AK123" s="9" t="s">
        <v>0</v>
      </c>
      <c r="AL123" s="32" t="s">
        <v>0</v>
      </c>
      <c r="AM123" s="9" t="s">
        <v>0</v>
      </c>
      <c r="AN123" s="32" t="s">
        <v>0</v>
      </c>
      <c r="AO123" s="9" t="s">
        <v>0</v>
      </c>
      <c r="AP123" s="9" t="s">
        <v>0</v>
      </c>
      <c r="AQ123" s="32" t="s">
        <v>0</v>
      </c>
      <c r="AR123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23" s="9" t="str">
        <f t="shared" si="9"/>
        <v>-</v>
      </c>
      <c r="AT123" s="9">
        <f>IF(RIGHT(TIM[[#This Row],[Device type]],7)="Winding","-",TIM[[#This Row],[Cont Winter MVA]])</f>
        <v>23.815698604072061</v>
      </c>
      <c r="AU123" s="9">
        <f>IF(RIGHT(TIM[[#This Row],[Device type]],7)="Winding","-",TIM[[#This Row],[Cont Shoulder MVA]])</f>
        <v>23.815698604072061</v>
      </c>
      <c r="AV123" s="9">
        <f>IF(RIGHT(TIM[[#This Row],[Device type]],7)="Winding","-",TIM[[#This Row],[Cont Summer MVA]])</f>
        <v>23.815698604072061</v>
      </c>
      <c r="AW123" s="9" t="str">
        <f>TIM[[#This Row],[24 Hr Winter MVA]]</f>
        <v>-</v>
      </c>
      <c r="AX123" s="9" t="str">
        <f>TIM[[#This Row],[24 Hr Summer MVA]]</f>
        <v>-</v>
      </c>
      <c r="AY123" s="9">
        <f>TIM[[#This Row],[Forwards MVA]]</f>
        <v>7.6210235533030604</v>
      </c>
      <c r="AZ123" s="9">
        <f>TIM[[#This Row],[Relay MVA]]</f>
        <v>45.72614131981836</v>
      </c>
      <c r="BA123" s="9">
        <f>TIM[[#This Row],[CT MVA]]</f>
        <v>30.484094213212241</v>
      </c>
      <c r="BB123" s="9" t="str">
        <f>TIM[[#This Row],[Derating MVA]]</f>
        <v>-</v>
      </c>
      <c r="BC123" s="9" t="str">
        <f>TIM[[#This Row],[Station/Feeder]]&amp;TIM[[#This Row],[Lowest MVA]]</f>
        <v>CB2952_Highfield7.62102355330306</v>
      </c>
      <c r="BD123" s="9" t="str">
        <f>CONCATENATE(TIM[[#This Row],[Supply Level]],TIM[[#This Row],[Station/Feeder]],TIM[[#This Row],[Voltage]],TIM[[#This Row],[Lowest A-No PTX]])</f>
        <v>DistributionFeederCB2952_Highfield11400</v>
      </c>
      <c r="BE123" s="9" t="str">
        <f>CONCATENATE(TIM[[#This Row],[Supply Level]],TIM[[#This Row],[Station/Feeder]],TIM[[#This Row],[Voltage]],TIM[[#This Row],[Lowest A-PTX]])</f>
        <v>DistributionFeederCB2952_Highfield11366</v>
      </c>
      <c r="BF123" s="9">
        <f>IFERROR(IF(MIN(TIM[[#This Row],[Summ Cont Winter A]:[Cable Derating]])=0,"",MIN(TIM[[#This Row],[Summ Cont Winter A]:[Cable Derating]])),"")</f>
        <v>7.6210235533030604</v>
      </c>
      <c r="BG123" s="9">
        <f>IFERROR(TIM[[#This Row],[Lowest MVA]]*1000/(TIM[[#This Row],[Voltage]]*SQRT(3)),"")</f>
        <v>400</v>
      </c>
      <c r="BH123" s="9">
        <f t="shared" si="153"/>
        <v>366</v>
      </c>
      <c r="BI123" s="9" t="str">
        <f>TIM[[#This Row],[From]]</f>
        <v>11 kV Bus</v>
      </c>
      <c r="BJ123" s="9" t="str">
        <f>TIM[[#This Row],[To]]</f>
        <v>CB2952</v>
      </c>
      <c r="BK12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Breaker-TIM-CB2952-Protection</v>
      </c>
      <c r="BL123" s="9">
        <f>TIM[[#This Row],[Voltage]]</f>
        <v>11</v>
      </c>
    </row>
    <row r="124" spans="1:64" ht="15" customHeight="1" x14ac:dyDescent="0.25">
      <c r="A124" s="6" t="str">
        <f>CONCATENATE(TIM[[#This Row],[Supply Level]],TIM[[#This Row],[Station/Feeder]],TIM[[#This Row],[Voltage]])</f>
        <v>DistributionFeederCB2952_Highfield11</v>
      </c>
      <c r="B124" s="6" t="str">
        <f>CONCATENATE(TIM[[#This Row],[Supply Level]],TIM[[#This Row],[Station/Feeder]],TIM[[#This Row],[Equipment ID]],TIM[[#This Row],[Voltage]],TIM[[#This Row],[Device type]])</f>
        <v>DistributionFeederCB2952_Highfield3/1c 400mm² AL XLPE HDPE Screened11-</v>
      </c>
      <c r="C124" s="6" t="s">
        <v>1276</v>
      </c>
      <c r="D124" s="11" t="s">
        <v>156</v>
      </c>
      <c r="E124" s="6" t="s">
        <v>869</v>
      </c>
      <c r="F124" s="6" t="s">
        <v>750</v>
      </c>
      <c r="G124" s="27">
        <v>2</v>
      </c>
      <c r="H124" s="7" t="s">
        <v>811</v>
      </c>
      <c r="I124" s="7" t="s">
        <v>819</v>
      </c>
      <c r="J124" s="7" t="s">
        <v>250</v>
      </c>
      <c r="K124" s="7" t="s">
        <v>0</v>
      </c>
      <c r="L124" s="7" t="s">
        <v>0</v>
      </c>
      <c r="M124" s="8">
        <v>11</v>
      </c>
      <c r="N124" s="9">
        <v>537</v>
      </c>
      <c r="O124" s="9">
        <f t="shared" si="0"/>
        <v>10.231224120309358</v>
      </c>
      <c r="P124" s="9">
        <v>537</v>
      </c>
      <c r="Q124" s="9">
        <f t="shared" si="1"/>
        <v>10.231224120309358</v>
      </c>
      <c r="R124" s="9">
        <v>537</v>
      </c>
      <c r="S124" s="9">
        <f t="shared" si="2"/>
        <v>10.231224120309358</v>
      </c>
      <c r="T124" s="9" t="s">
        <v>0</v>
      </c>
      <c r="U124" s="9" t="str">
        <f t="shared" si="3"/>
        <v>-</v>
      </c>
      <c r="V124" s="9" t="s">
        <v>0</v>
      </c>
      <c r="W124" s="9" t="str">
        <f t="shared" si="4"/>
        <v>-</v>
      </c>
      <c r="X124" s="9" t="s">
        <v>0</v>
      </c>
      <c r="Y124" s="9" t="str">
        <f>IF(OR(X124="",X124="-"),"-",X124*$M124*SQRT(3)/1000)</f>
        <v>-</v>
      </c>
      <c r="Z124" s="9" t="s">
        <v>0</v>
      </c>
      <c r="AA124" s="9" t="str">
        <f>IF(OR(Z124="",Z124="-"),"-",Z124*$M124*SQRT(3)/1000)</f>
        <v>-</v>
      </c>
      <c r="AB124" s="9" t="s">
        <v>0</v>
      </c>
      <c r="AC124" s="9" t="str">
        <f>IF(OR(AB124="",AB124="-"),"-",AB124*$M124*SQRT(3)/1000)</f>
        <v>-</v>
      </c>
      <c r="AD124" s="9" t="s">
        <v>0</v>
      </c>
      <c r="AE124" s="12" t="str">
        <f>IF(OR(AD124="",AD124="-"),"-",AD124*$M124*SQRT(3)/1000)</f>
        <v>-</v>
      </c>
      <c r="AF124" s="160" t="s">
        <v>713</v>
      </c>
      <c r="AG124" s="9" t="s">
        <v>0</v>
      </c>
      <c r="AH124" s="9">
        <v>42</v>
      </c>
      <c r="AI124" s="9">
        <v>1.2</v>
      </c>
      <c r="AJ124" s="32">
        <v>0.96</v>
      </c>
      <c r="AK124" s="9">
        <v>18.5</v>
      </c>
      <c r="AL124" s="32">
        <v>0.95</v>
      </c>
      <c r="AM124" s="9">
        <v>1.2</v>
      </c>
      <c r="AN124" s="32">
        <v>1</v>
      </c>
      <c r="AO124" s="9">
        <v>2</v>
      </c>
      <c r="AP124" s="9">
        <v>0.3</v>
      </c>
      <c r="AQ124" s="32">
        <v>0.85</v>
      </c>
      <c r="AR124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416.28239999999994</v>
      </c>
      <c r="AS124" s="9">
        <f t="shared" si="9"/>
        <v>7.9312449380638137</v>
      </c>
      <c r="AT124" s="9">
        <f>IF(RIGHT(TIM[[#This Row],[Device type]],7)="Winding","-",TIM[[#This Row],[Cont Winter MVA]])</f>
        <v>10.231224120309358</v>
      </c>
      <c r="AU124" s="9">
        <f>IF(RIGHT(TIM[[#This Row],[Device type]],7)="Winding","-",TIM[[#This Row],[Cont Shoulder MVA]])</f>
        <v>10.231224120309358</v>
      </c>
      <c r="AV124" s="9">
        <f>IF(RIGHT(TIM[[#This Row],[Device type]],7)="Winding","-",TIM[[#This Row],[Cont Summer MVA]])</f>
        <v>10.231224120309358</v>
      </c>
      <c r="AW124" s="9" t="str">
        <f>TIM[[#This Row],[24 Hr Winter MVA]]</f>
        <v>-</v>
      </c>
      <c r="AX124" s="9" t="str">
        <f>TIM[[#This Row],[24 Hr Summer MVA]]</f>
        <v>-</v>
      </c>
      <c r="AY124" s="9" t="str">
        <f>TIM[[#This Row],[Forwards MVA]]</f>
        <v>-</v>
      </c>
      <c r="AZ124" s="9" t="str">
        <f>TIM[[#This Row],[Relay MVA]]</f>
        <v>-</v>
      </c>
      <c r="BA124" s="9" t="str">
        <f>TIM[[#This Row],[CT MVA]]</f>
        <v>-</v>
      </c>
      <c r="BB124" s="9">
        <f>TIM[[#This Row],[Derating MVA]]</f>
        <v>7.9312449380638137</v>
      </c>
      <c r="BC124" s="9" t="str">
        <f>TIM[[#This Row],[Station/Feeder]]&amp;TIM[[#This Row],[Lowest MVA]]</f>
        <v>CB2952_Highfield7.93124493806381</v>
      </c>
      <c r="BD124" s="9" t="str">
        <f>CONCATENATE(TIM[[#This Row],[Supply Level]],TIM[[#This Row],[Station/Feeder]],TIM[[#This Row],[Voltage]],TIM[[#This Row],[Lowest A-No PTX]])</f>
        <v>DistributionFeederCB2952_Highfield11416.2824</v>
      </c>
      <c r="BE124" s="9" t="str">
        <f>CONCATENATE(TIM[[#This Row],[Supply Level]],TIM[[#This Row],[Station/Feeder]],TIM[[#This Row],[Voltage]],TIM[[#This Row],[Lowest A-PTX]])</f>
        <v>DistributionFeederCB2952_Highfield11416.2824</v>
      </c>
      <c r="BF124" s="9">
        <f>IFERROR(IF(MIN(TIM[[#This Row],[Summ Cont Winter A]:[Cable Derating]])=0,"",MIN(TIM[[#This Row],[Summ Cont Winter A]:[Cable Derating]])),"")</f>
        <v>7.9312449380638137</v>
      </c>
      <c r="BG124" s="9">
        <f>IFERROR(TIM[[#This Row],[Lowest MVA]]*1000/(TIM[[#This Row],[Voltage]]*SQRT(3)),"")</f>
        <v>416.2824</v>
      </c>
      <c r="BH124" s="9">
        <f t="shared" si="153"/>
        <v>416.28239999999994</v>
      </c>
      <c r="BI124" s="9" t="str">
        <f>TIM[[#This Row],[From]]</f>
        <v>CB2952</v>
      </c>
      <c r="BJ124" s="9" t="str">
        <f>TIM[[#This Row],[To]]</f>
        <v>Joint</v>
      </c>
      <c r="BK12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124" s="9">
        <f>TIM[[#This Row],[Voltage]]</f>
        <v>11</v>
      </c>
    </row>
    <row r="125" spans="1:64" ht="15" customHeight="1" x14ac:dyDescent="0.25">
      <c r="A125" s="6" t="str">
        <f>CONCATENATE(TIM[[#This Row],[Supply Level]],TIM[[#This Row],[Station/Feeder]],TIM[[#This Row],[Voltage]])</f>
        <v>DistributionFeederCB2952_Highfield11</v>
      </c>
      <c r="B125" s="6" t="str">
        <f>CONCATENATE(TIM[[#This Row],[Supply Level]],TIM[[#This Row],[Station/Feeder]],TIM[[#This Row],[Equipment ID]],TIM[[#This Row],[Voltage]],TIM[[#This Row],[Device type]])</f>
        <v>DistributionFeederCB2952_Highfield3c 240mm² Al PILC STA11-</v>
      </c>
      <c r="C125" s="6" t="s">
        <v>1276</v>
      </c>
      <c r="D125" s="11" t="s">
        <v>156</v>
      </c>
      <c r="E125" s="6" t="s">
        <v>750</v>
      </c>
      <c r="F125" s="6" t="s">
        <v>871</v>
      </c>
      <c r="G125" s="27">
        <v>3</v>
      </c>
      <c r="H125" s="7" t="s">
        <v>811</v>
      </c>
      <c r="I125" s="7" t="s">
        <v>872</v>
      </c>
      <c r="J125" s="7" t="s">
        <v>250</v>
      </c>
      <c r="K125" s="7" t="s">
        <v>0</v>
      </c>
      <c r="L125" s="7" t="s">
        <v>0</v>
      </c>
      <c r="M125" s="8">
        <v>11</v>
      </c>
      <c r="N125" s="9">
        <v>345</v>
      </c>
      <c r="O125" s="9">
        <f t="shared" si="0"/>
        <v>6.5731328147238894</v>
      </c>
      <c r="P125" s="9">
        <v>345</v>
      </c>
      <c r="Q125" s="9">
        <f t="shared" si="1"/>
        <v>6.5731328147238894</v>
      </c>
      <c r="R125" s="9">
        <v>345</v>
      </c>
      <c r="S125" s="9">
        <f t="shared" si="2"/>
        <v>6.5731328147238894</v>
      </c>
      <c r="T125" s="9" t="s">
        <v>0</v>
      </c>
      <c r="U125" s="9" t="str">
        <f t="shared" si="3"/>
        <v>-</v>
      </c>
      <c r="V125" s="9" t="s">
        <v>0</v>
      </c>
      <c r="W125" s="9" t="str">
        <f t="shared" si="4"/>
        <v>-</v>
      </c>
      <c r="X125" s="9" t="s">
        <v>0</v>
      </c>
      <c r="Y125" s="9" t="str">
        <f>IF(OR(X125="",X125="-"),"-",X125*$M125*SQRT(3)/1000)</f>
        <v>-</v>
      </c>
      <c r="Z125" s="9" t="s">
        <v>0</v>
      </c>
      <c r="AA125" s="9" t="str">
        <f>IF(OR(Z125="",Z125="-"),"-",Z125*$M125*SQRT(3)/1000)</f>
        <v>-</v>
      </c>
      <c r="AB125" s="9" t="s">
        <v>0</v>
      </c>
      <c r="AC125" s="9" t="str">
        <f>IF(OR(AB125="",AB125="-"),"-",AB125*$M125*SQRT(3)/1000)</f>
        <v>-</v>
      </c>
      <c r="AD125" s="9" t="s">
        <v>0</v>
      </c>
      <c r="AE125" s="12" t="str">
        <f>IF(OR(AD125="",AD125="-"),"-",AD125*$M125*SQRT(3)/1000)</f>
        <v>-</v>
      </c>
      <c r="AF125" s="9" t="s">
        <v>716</v>
      </c>
      <c r="AG125" s="9" t="s">
        <v>0</v>
      </c>
      <c r="AH125" s="9">
        <v>155.30000000000001</v>
      </c>
      <c r="AI125" s="9">
        <v>1.2</v>
      </c>
      <c r="AJ125" s="32">
        <v>0.96</v>
      </c>
      <c r="AK125" s="9">
        <v>18.5</v>
      </c>
      <c r="AL125" s="32">
        <v>0.95</v>
      </c>
      <c r="AM125" s="9">
        <v>1.2</v>
      </c>
      <c r="AN125" s="32">
        <v>1</v>
      </c>
      <c r="AO125" s="9">
        <v>2</v>
      </c>
      <c r="AP125" s="9">
        <v>0.3</v>
      </c>
      <c r="AQ125" s="32">
        <v>0.89</v>
      </c>
      <c r="AR125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280.02959999999996</v>
      </c>
      <c r="AS125" s="9">
        <f t="shared" si="9"/>
        <v>5.335280443055086</v>
      </c>
      <c r="AT125" s="9">
        <f>IF(RIGHT(TIM[[#This Row],[Device type]],7)="Winding","-",TIM[[#This Row],[Cont Winter MVA]])</f>
        <v>6.5731328147238894</v>
      </c>
      <c r="AU125" s="9">
        <f>IF(RIGHT(TIM[[#This Row],[Device type]],7)="Winding","-",TIM[[#This Row],[Cont Shoulder MVA]])</f>
        <v>6.5731328147238894</v>
      </c>
      <c r="AV125" s="9">
        <f>IF(RIGHT(TIM[[#This Row],[Device type]],7)="Winding","-",TIM[[#This Row],[Cont Summer MVA]])</f>
        <v>6.5731328147238894</v>
      </c>
      <c r="AW125" s="9" t="str">
        <f>TIM[[#This Row],[24 Hr Winter MVA]]</f>
        <v>-</v>
      </c>
      <c r="AX125" s="9" t="str">
        <f>TIM[[#This Row],[24 Hr Summer MVA]]</f>
        <v>-</v>
      </c>
      <c r="AY125" s="9" t="str">
        <f>TIM[[#This Row],[Forwards MVA]]</f>
        <v>-</v>
      </c>
      <c r="AZ125" s="9" t="str">
        <f>TIM[[#This Row],[Relay MVA]]</f>
        <v>-</v>
      </c>
      <c r="BA125" s="9" t="str">
        <f>TIM[[#This Row],[CT MVA]]</f>
        <v>-</v>
      </c>
      <c r="BB125" s="9">
        <f>TIM[[#This Row],[Derating MVA]]</f>
        <v>5.335280443055086</v>
      </c>
      <c r="BC125" s="9" t="str">
        <f>TIM[[#This Row],[Station/Feeder]]&amp;TIM[[#This Row],[Lowest MVA]]</f>
        <v>CB2952_Highfield5.33528044305509</v>
      </c>
      <c r="BD125" s="9" t="str">
        <f>CONCATENATE(TIM[[#This Row],[Supply Level]],TIM[[#This Row],[Station/Feeder]],TIM[[#This Row],[Voltage]],TIM[[#This Row],[Lowest A-No PTX]])</f>
        <v>DistributionFeederCB2952_Highfield11280.0296</v>
      </c>
      <c r="BE125" s="9" t="str">
        <f>CONCATENATE(TIM[[#This Row],[Supply Level]],TIM[[#This Row],[Station/Feeder]],TIM[[#This Row],[Voltage]],TIM[[#This Row],[Lowest A-PTX]])</f>
        <v>DistributionFeederCB2952_Highfield11280.0296</v>
      </c>
      <c r="BF125" s="9">
        <f>IFERROR(IF(MIN(TIM[[#This Row],[Summ Cont Winter A]:[Cable Derating]])=0,"",MIN(TIM[[#This Row],[Summ Cont Winter A]:[Cable Derating]])),"")</f>
        <v>5.335280443055086</v>
      </c>
      <c r="BG125" s="9">
        <f>IFERROR(TIM[[#This Row],[Lowest MVA]]*1000/(TIM[[#This Row],[Voltage]]*SQRT(3)),"")</f>
        <v>280.02959999999996</v>
      </c>
      <c r="BH125" s="9">
        <f t="shared" si="153"/>
        <v>280.02959999999996</v>
      </c>
      <c r="BI125" s="9" t="str">
        <f>TIM[[#This Row],[From]]</f>
        <v>Joint</v>
      </c>
      <c r="BJ125" s="9" t="str">
        <f>TIM[[#This Row],[To]]</f>
        <v>RMU L549</v>
      </c>
      <c r="BK12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240mm² Al PILC STA</v>
      </c>
      <c r="BL125" s="9">
        <f>TIM[[#This Row],[Voltage]]</f>
        <v>11</v>
      </c>
    </row>
    <row r="126" spans="1:64" ht="15" customHeight="1" x14ac:dyDescent="0.25">
      <c r="A126" s="6" t="str">
        <f>CONCATENATE(TIM[[#This Row],[Supply Level]],TIM[[#This Row],[Station/Feeder]],TIM[[#This Row],[Voltage]])</f>
        <v>DistributionFeederCB2972_Smithfield11</v>
      </c>
      <c r="B126" s="6" t="str">
        <f>CONCATENATE(TIM[[#This Row],[Supply Level]],TIM[[#This Row],[Station/Feeder]],TIM[[#This Row],[Equipment ID]],TIM[[#This Row],[Voltage]],TIM[[#This Row],[Device type]])</f>
        <v>DistributionFeederCB2972_SmithfieldTIM-CB297211Protection</v>
      </c>
      <c r="C126" s="6" t="s">
        <v>1276</v>
      </c>
      <c r="D126" s="11" t="s">
        <v>157</v>
      </c>
      <c r="E126" s="6" t="s">
        <v>243</v>
      </c>
      <c r="F126" s="6" t="s">
        <v>873</v>
      </c>
      <c r="G126" s="27">
        <v>1</v>
      </c>
      <c r="H126" s="7" t="s">
        <v>2371</v>
      </c>
      <c r="I126" s="7" t="s">
        <v>2240</v>
      </c>
      <c r="J126" s="7" t="s">
        <v>15</v>
      </c>
      <c r="K126" s="7" t="s">
        <v>1121</v>
      </c>
      <c r="L126" s="7" t="s">
        <v>1423</v>
      </c>
      <c r="M126" s="8">
        <v>11</v>
      </c>
      <c r="N126" s="9">
        <v>1250</v>
      </c>
      <c r="O126" s="9">
        <f t="shared" si="0"/>
        <v>23.815698604072061</v>
      </c>
      <c r="P126" s="9">
        <v>1250</v>
      </c>
      <c r="Q126" s="9">
        <f t="shared" si="1"/>
        <v>23.815698604072061</v>
      </c>
      <c r="R126" s="9">
        <v>1250</v>
      </c>
      <c r="S126" s="9">
        <f t="shared" si="2"/>
        <v>23.815698604072061</v>
      </c>
      <c r="T126" s="9" t="s">
        <v>0</v>
      </c>
      <c r="U126" s="9" t="str">
        <f t="shared" si="3"/>
        <v>-</v>
      </c>
      <c r="V126" s="9" t="s">
        <v>0</v>
      </c>
      <c r="W126" s="9" t="str">
        <f t="shared" si="4"/>
        <v>-</v>
      </c>
      <c r="X126" s="9">
        <f>VLOOKUP(TIM[[#This Row],[Equipment ID]],AEL_Protection_Data[#All],12,0)</f>
        <v>400</v>
      </c>
      <c r="Y126" s="9">
        <f t="shared" si="204"/>
        <v>7.6210235533030604</v>
      </c>
      <c r="Z126" s="9">
        <v>366</v>
      </c>
      <c r="AA126" s="9">
        <f t="shared" si="205"/>
        <v>6.9732365512722998</v>
      </c>
      <c r="AB126" s="9">
        <v>2400</v>
      </c>
      <c r="AC126" s="9">
        <f t="shared" si="206"/>
        <v>45.72614131981836</v>
      </c>
      <c r="AD126" s="9">
        <v>1600</v>
      </c>
      <c r="AE126" s="12">
        <f t="shared" ref="AE126" si="208">IF(OR(AD126="",AD126="-"),"-",AD126*$M126*SQRT(3)/1000)</f>
        <v>30.484094213212241</v>
      </c>
      <c r="AF126" s="9" t="s">
        <v>0</v>
      </c>
      <c r="AG126" s="9" t="s">
        <v>0</v>
      </c>
      <c r="AH126" s="9" t="s">
        <v>0</v>
      </c>
      <c r="AI126" s="9" t="s">
        <v>0</v>
      </c>
      <c r="AJ126" s="32" t="s">
        <v>0</v>
      </c>
      <c r="AK126" s="9" t="s">
        <v>0</v>
      </c>
      <c r="AL126" s="32" t="s">
        <v>0</v>
      </c>
      <c r="AM126" s="9" t="s">
        <v>0</v>
      </c>
      <c r="AN126" s="32" t="s">
        <v>0</v>
      </c>
      <c r="AO126" s="9" t="s">
        <v>0</v>
      </c>
      <c r="AP126" s="9" t="s">
        <v>0</v>
      </c>
      <c r="AQ126" s="32" t="s">
        <v>0</v>
      </c>
      <c r="AR126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26" s="9" t="str">
        <f t="shared" si="9"/>
        <v>-</v>
      </c>
      <c r="AT126" s="9">
        <f>IF(RIGHT(TIM[[#This Row],[Device type]],7)="Winding","-",TIM[[#This Row],[Cont Winter MVA]])</f>
        <v>23.815698604072061</v>
      </c>
      <c r="AU126" s="9">
        <f>IF(RIGHT(TIM[[#This Row],[Device type]],7)="Winding","-",TIM[[#This Row],[Cont Shoulder MVA]])</f>
        <v>23.815698604072061</v>
      </c>
      <c r="AV126" s="9">
        <f>IF(RIGHT(TIM[[#This Row],[Device type]],7)="Winding","-",TIM[[#This Row],[Cont Summer MVA]])</f>
        <v>23.815698604072061</v>
      </c>
      <c r="AW126" s="9" t="str">
        <f>TIM[[#This Row],[24 Hr Winter MVA]]</f>
        <v>-</v>
      </c>
      <c r="AX126" s="9" t="str">
        <f>TIM[[#This Row],[24 Hr Summer MVA]]</f>
        <v>-</v>
      </c>
      <c r="AY126" s="9">
        <f>TIM[[#This Row],[Forwards MVA]]</f>
        <v>7.6210235533030604</v>
      </c>
      <c r="AZ126" s="9">
        <f>TIM[[#This Row],[Relay MVA]]</f>
        <v>45.72614131981836</v>
      </c>
      <c r="BA126" s="9">
        <f>TIM[[#This Row],[CT MVA]]</f>
        <v>30.484094213212241</v>
      </c>
      <c r="BB126" s="9" t="str">
        <f>TIM[[#This Row],[Derating MVA]]</f>
        <v>-</v>
      </c>
      <c r="BC126" s="9" t="str">
        <f>TIM[[#This Row],[Station/Feeder]]&amp;TIM[[#This Row],[Lowest MVA]]</f>
        <v>CB2972_Smithfield7.62102355330306</v>
      </c>
      <c r="BD126" s="9" t="str">
        <f>CONCATENATE(TIM[[#This Row],[Supply Level]],TIM[[#This Row],[Station/Feeder]],TIM[[#This Row],[Voltage]],TIM[[#This Row],[Lowest A-No PTX]])</f>
        <v>DistributionFeederCB2972_Smithfield11400</v>
      </c>
      <c r="BE126" s="9" t="str">
        <f>CONCATENATE(TIM[[#This Row],[Supply Level]],TIM[[#This Row],[Station/Feeder]],TIM[[#This Row],[Voltage]],TIM[[#This Row],[Lowest A-PTX]])</f>
        <v>DistributionFeederCB2972_Smithfield11366</v>
      </c>
      <c r="BF126" s="9">
        <f>IFERROR(IF(MIN(TIM[[#This Row],[Summ Cont Winter A]:[Cable Derating]])=0,"",MIN(TIM[[#This Row],[Summ Cont Winter A]:[Cable Derating]])),"")</f>
        <v>7.6210235533030604</v>
      </c>
      <c r="BG126" s="9">
        <f>IFERROR(TIM[[#This Row],[Lowest MVA]]*1000/(TIM[[#This Row],[Voltage]]*SQRT(3)),"")</f>
        <v>400</v>
      </c>
      <c r="BH126" s="9">
        <f t="shared" si="153"/>
        <v>366</v>
      </c>
      <c r="BI126" s="9" t="str">
        <f>TIM[[#This Row],[From]]</f>
        <v>11 kV Bus</v>
      </c>
      <c r="BJ126" s="9" t="str">
        <f>TIM[[#This Row],[To]]</f>
        <v>CB2972</v>
      </c>
      <c r="BK12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Breaker-TIM-CB2972-Protection</v>
      </c>
      <c r="BL126" s="9">
        <f>TIM[[#This Row],[Voltage]]</f>
        <v>11</v>
      </c>
    </row>
    <row r="127" spans="1:64" ht="15" customHeight="1" x14ac:dyDescent="0.25">
      <c r="A127" s="6" t="str">
        <f>CONCATENATE(TIM[[#This Row],[Supply Level]],TIM[[#This Row],[Station/Feeder]],TIM[[#This Row],[Voltage]])</f>
        <v>DistributionFeederCB2972_Smithfield11</v>
      </c>
      <c r="B127" s="6" t="str">
        <f>CONCATENATE(TIM[[#This Row],[Supply Level]],TIM[[#This Row],[Station/Feeder]],TIM[[#This Row],[Equipment ID]],TIM[[#This Row],[Voltage]],TIM[[#This Row],[Device type]])</f>
        <v>DistributionFeederCB2972_Smithfield3/1c 400mm² AL XLPE HDPE Screened11-</v>
      </c>
      <c r="C127" s="6" t="s">
        <v>1276</v>
      </c>
      <c r="D127" s="11" t="s">
        <v>157</v>
      </c>
      <c r="E127" s="6" t="s">
        <v>873</v>
      </c>
      <c r="F127" s="6" t="s">
        <v>750</v>
      </c>
      <c r="G127" s="27">
        <v>2</v>
      </c>
      <c r="H127" s="7" t="s">
        <v>811</v>
      </c>
      <c r="I127" s="7" t="s">
        <v>819</v>
      </c>
      <c r="J127" s="7" t="s">
        <v>250</v>
      </c>
      <c r="K127" s="7" t="s">
        <v>0</v>
      </c>
      <c r="L127" s="7" t="s">
        <v>0</v>
      </c>
      <c r="M127" s="8">
        <v>11</v>
      </c>
      <c r="N127" s="9">
        <v>537</v>
      </c>
      <c r="O127" s="9">
        <f t="shared" si="0"/>
        <v>10.231224120309358</v>
      </c>
      <c r="P127" s="9">
        <v>537</v>
      </c>
      <c r="Q127" s="9">
        <f t="shared" si="1"/>
        <v>10.231224120309358</v>
      </c>
      <c r="R127" s="9">
        <v>537</v>
      </c>
      <c r="S127" s="9">
        <f t="shared" si="2"/>
        <v>10.231224120309358</v>
      </c>
      <c r="T127" s="9" t="s">
        <v>0</v>
      </c>
      <c r="U127" s="9" t="str">
        <f t="shared" si="3"/>
        <v>-</v>
      </c>
      <c r="V127" s="9" t="s">
        <v>0</v>
      </c>
      <c r="W127" s="9" t="str">
        <f t="shared" si="4"/>
        <v>-</v>
      </c>
      <c r="X127" s="9" t="s">
        <v>0</v>
      </c>
      <c r="Y127" s="9" t="str">
        <f>IF(OR(X127="",X127="-"),"-",X127*$M127*SQRT(3)/1000)</f>
        <v>-</v>
      </c>
      <c r="Z127" s="9" t="s">
        <v>0</v>
      </c>
      <c r="AA127" s="9" t="str">
        <f>IF(OR(Z127="",Z127="-"),"-",Z127*$M127*SQRT(3)/1000)</f>
        <v>-</v>
      </c>
      <c r="AB127" s="9" t="s">
        <v>0</v>
      </c>
      <c r="AC127" s="9" t="str">
        <f>IF(OR(AB127="",AB127="-"),"-",AB127*$M127*SQRT(3)/1000)</f>
        <v>-</v>
      </c>
      <c r="AD127" s="9" t="s">
        <v>0</v>
      </c>
      <c r="AE127" s="12" t="str">
        <f>IF(OR(AD127="",AD127="-"),"-",AD127*$M127*SQRT(3)/1000)</f>
        <v>-</v>
      </c>
      <c r="AF127" s="159" t="s">
        <v>713</v>
      </c>
      <c r="AG127" s="9" t="s">
        <v>0</v>
      </c>
      <c r="AH127" s="9">
        <v>40.6</v>
      </c>
      <c r="AI127" s="9">
        <v>1.8</v>
      </c>
      <c r="AJ127" s="32">
        <v>0.92</v>
      </c>
      <c r="AK127" s="9">
        <v>18.5</v>
      </c>
      <c r="AL127" s="32">
        <v>0.95</v>
      </c>
      <c r="AM127" s="9">
        <v>1.2</v>
      </c>
      <c r="AN127" s="32">
        <v>1</v>
      </c>
      <c r="AO127" s="9">
        <v>2</v>
      </c>
      <c r="AP127" s="9">
        <v>0.45</v>
      </c>
      <c r="AQ127" s="32">
        <v>0.88</v>
      </c>
      <c r="AR127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413.01744000000002</v>
      </c>
      <c r="AS127" s="9">
        <f t="shared" si="9"/>
        <v>7.8690390954123339</v>
      </c>
      <c r="AT127" s="9">
        <f>IF(RIGHT(TIM[[#This Row],[Device type]],7)="Winding","-",TIM[[#This Row],[Cont Winter MVA]])</f>
        <v>10.231224120309358</v>
      </c>
      <c r="AU127" s="9">
        <f>IF(RIGHT(TIM[[#This Row],[Device type]],7)="Winding","-",TIM[[#This Row],[Cont Shoulder MVA]])</f>
        <v>10.231224120309358</v>
      </c>
      <c r="AV127" s="9">
        <f>IF(RIGHT(TIM[[#This Row],[Device type]],7)="Winding","-",TIM[[#This Row],[Cont Summer MVA]])</f>
        <v>10.231224120309358</v>
      </c>
      <c r="AW127" s="9" t="str">
        <f>TIM[[#This Row],[24 Hr Winter MVA]]</f>
        <v>-</v>
      </c>
      <c r="AX127" s="9" t="str">
        <f>TIM[[#This Row],[24 Hr Summer MVA]]</f>
        <v>-</v>
      </c>
      <c r="AY127" s="9" t="str">
        <f>TIM[[#This Row],[Forwards MVA]]</f>
        <v>-</v>
      </c>
      <c r="AZ127" s="9" t="str">
        <f>TIM[[#This Row],[Relay MVA]]</f>
        <v>-</v>
      </c>
      <c r="BA127" s="9" t="str">
        <f>TIM[[#This Row],[CT MVA]]</f>
        <v>-</v>
      </c>
      <c r="BB127" s="9">
        <f>TIM[[#This Row],[Derating MVA]]</f>
        <v>7.8690390954123339</v>
      </c>
      <c r="BC127" s="9" t="str">
        <f>TIM[[#This Row],[Station/Feeder]]&amp;TIM[[#This Row],[Lowest MVA]]</f>
        <v>CB2972_Smithfield7.86903909541233</v>
      </c>
      <c r="BD127" s="9" t="str">
        <f>CONCATENATE(TIM[[#This Row],[Supply Level]],TIM[[#This Row],[Station/Feeder]],TIM[[#This Row],[Voltage]],TIM[[#This Row],[Lowest A-No PTX]])</f>
        <v>DistributionFeederCB2972_Smithfield11413.01744</v>
      </c>
      <c r="BE127" s="9" t="str">
        <f>CONCATENATE(TIM[[#This Row],[Supply Level]],TIM[[#This Row],[Station/Feeder]],TIM[[#This Row],[Voltage]],TIM[[#This Row],[Lowest A-PTX]])</f>
        <v>DistributionFeederCB2972_Smithfield11413.01744</v>
      </c>
      <c r="BF127" s="9">
        <f>IFERROR(IF(MIN(TIM[[#This Row],[Summ Cont Winter A]:[Cable Derating]])=0,"",MIN(TIM[[#This Row],[Summ Cont Winter A]:[Cable Derating]])),"")</f>
        <v>7.8690390954123339</v>
      </c>
      <c r="BG127" s="9">
        <f>IFERROR(TIM[[#This Row],[Lowest MVA]]*1000/(TIM[[#This Row],[Voltage]]*SQRT(3)),"")</f>
        <v>413.01744000000002</v>
      </c>
      <c r="BH127" s="9">
        <f t="shared" si="153"/>
        <v>413.01744000000002</v>
      </c>
      <c r="BI127" s="9" t="str">
        <f>TIM[[#This Row],[From]]</f>
        <v>CB2972</v>
      </c>
      <c r="BJ127" s="9" t="str">
        <f>TIM[[#This Row],[To]]</f>
        <v>Joint</v>
      </c>
      <c r="BK12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127" s="9">
        <f>TIM[[#This Row],[Voltage]]</f>
        <v>11</v>
      </c>
    </row>
    <row r="128" spans="1:64" ht="15" customHeight="1" x14ac:dyDescent="0.25">
      <c r="A128" s="6" t="str">
        <f>CONCATENATE(TIM[[#This Row],[Supply Level]],TIM[[#This Row],[Station/Feeder]],TIM[[#This Row],[Voltage]])</f>
        <v>DistributionFeederCB2972_Smithfield11</v>
      </c>
      <c r="B128" s="6" t="str">
        <f>CONCATENATE(TIM[[#This Row],[Supply Level]],TIM[[#This Row],[Station/Feeder]],TIM[[#This Row],[Equipment ID]],TIM[[#This Row],[Voltage]],TIM[[#This Row],[Device type]])</f>
        <v>DistributionFeederCB2972_Smithfield3c 0.4in² Al PILC SWA11-</v>
      </c>
      <c r="C128" s="6" t="s">
        <v>1276</v>
      </c>
      <c r="D128" s="11" t="s">
        <v>157</v>
      </c>
      <c r="E128" s="6" t="s">
        <v>750</v>
      </c>
      <c r="F128" s="6" t="s">
        <v>875</v>
      </c>
      <c r="G128" s="27">
        <v>3</v>
      </c>
      <c r="H128" s="7" t="s">
        <v>811</v>
      </c>
      <c r="I128" s="7" t="s">
        <v>868</v>
      </c>
      <c r="J128" s="7" t="s">
        <v>250</v>
      </c>
      <c r="K128" s="7" t="s">
        <v>0</v>
      </c>
      <c r="L128" s="7" t="s">
        <v>0</v>
      </c>
      <c r="M128" s="8">
        <v>11</v>
      </c>
      <c r="N128" s="9">
        <v>361</v>
      </c>
      <c r="O128" s="9">
        <f t="shared" si="0"/>
        <v>6.8779737568560115</v>
      </c>
      <c r="P128" s="9">
        <v>361</v>
      </c>
      <c r="Q128" s="9">
        <f t="shared" si="1"/>
        <v>6.8779737568560115</v>
      </c>
      <c r="R128" s="9">
        <v>361</v>
      </c>
      <c r="S128" s="9">
        <f t="shared" si="2"/>
        <v>6.8779737568560115</v>
      </c>
      <c r="T128" s="9" t="s">
        <v>0</v>
      </c>
      <c r="U128" s="9" t="str">
        <f t="shared" si="3"/>
        <v>-</v>
      </c>
      <c r="V128" s="9" t="s">
        <v>0</v>
      </c>
      <c r="W128" s="9" t="str">
        <f t="shared" si="4"/>
        <v>-</v>
      </c>
      <c r="X128" s="9" t="s">
        <v>0</v>
      </c>
      <c r="Y128" s="9" t="str">
        <f>IF(OR(X128="",X128="-"),"-",X128*$M128*SQRT(3)/1000)</f>
        <v>-</v>
      </c>
      <c r="Z128" s="9" t="s">
        <v>0</v>
      </c>
      <c r="AA128" s="9" t="str">
        <f>IF(OR(Z128="",Z128="-"),"-",Z128*$M128*SQRT(3)/1000)</f>
        <v>-</v>
      </c>
      <c r="AB128" s="9" t="s">
        <v>0</v>
      </c>
      <c r="AC128" s="9" t="str">
        <f>IF(OR(AB128="",AB128="-"),"-",AB128*$M128*SQRT(3)/1000)</f>
        <v>-</v>
      </c>
      <c r="AD128" s="9" t="s">
        <v>0</v>
      </c>
      <c r="AE128" s="12" t="str">
        <f>IF(OR(AD128="",AD128="-"),"-",AD128*$M128*SQRT(3)/1000)</f>
        <v>-</v>
      </c>
      <c r="AF128" s="9" t="s">
        <v>716</v>
      </c>
      <c r="AG128" s="9" t="s">
        <v>0</v>
      </c>
      <c r="AH128" s="9">
        <v>394.5</v>
      </c>
      <c r="AI128" s="9">
        <v>1.8</v>
      </c>
      <c r="AJ128" s="32">
        <v>0.92</v>
      </c>
      <c r="AK128" s="9">
        <v>18.5</v>
      </c>
      <c r="AL128" s="32">
        <v>0.95</v>
      </c>
      <c r="AM128" s="9">
        <v>1.2</v>
      </c>
      <c r="AN128" s="32">
        <v>1</v>
      </c>
      <c r="AO128" s="9">
        <v>2</v>
      </c>
      <c r="AP128" s="9">
        <v>0.45</v>
      </c>
      <c r="AQ128" s="32">
        <v>0.89</v>
      </c>
      <c r="AR128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280.80745999999999</v>
      </c>
      <c r="AS128" s="9">
        <f t="shared" si="9"/>
        <v>5.3501006665080171</v>
      </c>
      <c r="AT128" s="9">
        <f>IF(RIGHT(TIM[[#This Row],[Device type]],7)="Winding","-",TIM[[#This Row],[Cont Winter MVA]])</f>
        <v>6.8779737568560115</v>
      </c>
      <c r="AU128" s="9">
        <f>IF(RIGHT(TIM[[#This Row],[Device type]],7)="Winding","-",TIM[[#This Row],[Cont Shoulder MVA]])</f>
        <v>6.8779737568560115</v>
      </c>
      <c r="AV128" s="9">
        <f>IF(RIGHT(TIM[[#This Row],[Device type]],7)="Winding","-",TIM[[#This Row],[Cont Summer MVA]])</f>
        <v>6.8779737568560115</v>
      </c>
      <c r="AW128" s="9" t="str">
        <f>TIM[[#This Row],[24 Hr Winter MVA]]</f>
        <v>-</v>
      </c>
      <c r="AX128" s="9" t="str">
        <f>TIM[[#This Row],[24 Hr Summer MVA]]</f>
        <v>-</v>
      </c>
      <c r="AY128" s="9" t="str">
        <f>TIM[[#This Row],[Forwards MVA]]</f>
        <v>-</v>
      </c>
      <c r="AZ128" s="9" t="str">
        <f>TIM[[#This Row],[Relay MVA]]</f>
        <v>-</v>
      </c>
      <c r="BA128" s="9" t="str">
        <f>TIM[[#This Row],[CT MVA]]</f>
        <v>-</v>
      </c>
      <c r="BB128" s="9">
        <f>TIM[[#This Row],[Derating MVA]]</f>
        <v>5.3501006665080171</v>
      </c>
      <c r="BC128" s="9" t="str">
        <f>TIM[[#This Row],[Station/Feeder]]&amp;TIM[[#This Row],[Lowest MVA]]</f>
        <v>CB2972_Smithfield5.35010066650802</v>
      </c>
      <c r="BD128" s="9" t="str">
        <f>CONCATENATE(TIM[[#This Row],[Supply Level]],TIM[[#This Row],[Station/Feeder]],TIM[[#This Row],[Voltage]],TIM[[#This Row],[Lowest A-No PTX]])</f>
        <v>DistributionFeederCB2972_Smithfield11280.80746</v>
      </c>
      <c r="BE128" s="9" t="str">
        <f>CONCATENATE(TIM[[#This Row],[Supply Level]],TIM[[#This Row],[Station/Feeder]],TIM[[#This Row],[Voltage]],TIM[[#This Row],[Lowest A-PTX]])</f>
        <v>DistributionFeederCB2972_Smithfield11280.80746</v>
      </c>
      <c r="BF128" s="9">
        <f>IFERROR(IF(MIN(TIM[[#This Row],[Summ Cont Winter A]:[Cable Derating]])=0,"",MIN(TIM[[#This Row],[Summ Cont Winter A]:[Cable Derating]])),"")</f>
        <v>5.3501006665080171</v>
      </c>
      <c r="BG128" s="9">
        <f>IFERROR(TIM[[#This Row],[Lowest MVA]]*1000/(TIM[[#This Row],[Voltage]]*SQRT(3)),"")</f>
        <v>280.80745999999999</v>
      </c>
      <c r="BH128" s="9">
        <f t="shared" si="153"/>
        <v>280.80745999999999</v>
      </c>
      <c r="BI128" s="9" t="str">
        <f>TIM[[#This Row],[From]]</f>
        <v>Joint</v>
      </c>
      <c r="BJ128" s="9" t="str">
        <f>TIM[[#This Row],[To]]</f>
        <v>L461</v>
      </c>
      <c r="BK12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0.4in² Al PILC SWA</v>
      </c>
      <c r="BL128" s="9">
        <f>TIM[[#This Row],[Voltage]]</f>
        <v>11</v>
      </c>
    </row>
    <row r="129" spans="1:64" ht="15" hidden="1" customHeight="1" x14ac:dyDescent="0.25">
      <c r="A129" s="6" t="str">
        <f>CONCATENATE(TIM[[#This Row],[Supply Level]],TIM[[#This Row],[Station/Feeder]],TIM[[#This Row],[Voltage]])</f>
        <v>SubTransmissionTIM_NST_SUBTRANS11</v>
      </c>
      <c r="B129" s="6" t="str">
        <f>CONCATENATE(TIM[[#This Row],[Supply Level]],TIM[[#This Row],[Station/Feeder]],TIM[[#This Row],[Equipment ID]],TIM[[#This Row],[Voltage]],TIM[[#This Row],[Device type]])</f>
        <v>SubTransmissionTIM_NST_SUBTRANSTIM-CB298211Protection</v>
      </c>
      <c r="C129" s="6" t="s">
        <v>1245</v>
      </c>
      <c r="D129" s="6" t="s">
        <v>93</v>
      </c>
      <c r="E129" s="6" t="s">
        <v>243</v>
      </c>
      <c r="F129" s="6" t="s">
        <v>876</v>
      </c>
      <c r="G129" s="8">
        <v>1</v>
      </c>
      <c r="H129" s="7" t="s">
        <v>2372</v>
      </c>
      <c r="I129" s="6" t="s">
        <v>2241</v>
      </c>
      <c r="J129" s="6" t="s">
        <v>15</v>
      </c>
      <c r="K129" s="6" t="s">
        <v>1121</v>
      </c>
      <c r="L129" s="6" t="s">
        <v>1423</v>
      </c>
      <c r="M129" s="8">
        <v>11</v>
      </c>
      <c r="N129" s="9">
        <v>1250</v>
      </c>
      <c r="O129" s="9">
        <f t="shared" ref="O129:O130" si="209">IF(OR(N129="",N129="-"),"-",N129*$M129*SQRT(3)/1000)</f>
        <v>23.815698604072061</v>
      </c>
      <c r="P129" s="9">
        <v>1250</v>
      </c>
      <c r="Q129" s="9">
        <f t="shared" ref="Q129:Q130" si="210">IF(OR(P129="",P129="-"),"-",P129*$M129*SQRT(3)/1000)</f>
        <v>23.815698604072061</v>
      </c>
      <c r="R129" s="9">
        <v>1250</v>
      </c>
      <c r="S129" s="9">
        <f t="shared" ref="S129" si="211">IF(OR(R129="",R129="-"),"-",R129*$M129*SQRT(3)/1000)</f>
        <v>23.815698604072061</v>
      </c>
      <c r="T129" s="9" t="s">
        <v>0</v>
      </c>
      <c r="U129" s="9" t="str">
        <f t="shared" ref="U129" si="212">IF(OR(T129="",T129="-"),"-",T129*$M129*SQRT(3)/1000)</f>
        <v>-</v>
      </c>
      <c r="V129" s="9" t="s">
        <v>0</v>
      </c>
      <c r="W129" s="9" t="str">
        <f t="shared" ref="W129" si="213">IF(OR(V129="",V129="-"),"-",V129*$M129*SQRT(3)/1000)</f>
        <v>-</v>
      </c>
      <c r="X129" s="9">
        <f>VLOOKUP(TIM[[#This Row],[Equipment ID]],AEL_Protection_Data[#All],12,0)</f>
        <v>1184</v>
      </c>
      <c r="Y129" s="9">
        <f t="shared" ref="Y129" si="214">IF(OR(X129="",X129="-"),"-",X129*$M129*SQRT(3)/1000)</f>
        <v>22.558229717777056</v>
      </c>
      <c r="Z129" s="9">
        <v>1083</v>
      </c>
      <c r="AA129" s="9">
        <f t="shared" ref="AA129" si="215">IF(OR(Z129="",Z129="-"),"-",Z129*$M129*SQRT(3)/1000)</f>
        <v>20.633921270568035</v>
      </c>
      <c r="AB129" s="9">
        <v>2400</v>
      </c>
      <c r="AC129" s="9">
        <f t="shared" ref="AC129" si="216">IF(OR(AB129="",AB129="-"),"-",AB129*$M129*SQRT(3)/1000)</f>
        <v>45.72614131981836</v>
      </c>
      <c r="AD129" s="9">
        <v>1600</v>
      </c>
      <c r="AE129" s="9">
        <f t="shared" ref="AE129" si="217">IF(OR(AD129="",AD129="-"),"-",AD129*$M129*SQRT(3)/1000)</f>
        <v>30.484094213212241</v>
      </c>
      <c r="AF129" s="9" t="s">
        <v>0</v>
      </c>
      <c r="AG129" s="9" t="s">
        <v>0</v>
      </c>
      <c r="AH129" s="9" t="s">
        <v>0</v>
      </c>
      <c r="AI129" s="9" t="s">
        <v>0</v>
      </c>
      <c r="AJ129" s="43" t="s">
        <v>0</v>
      </c>
      <c r="AK129" s="9" t="s">
        <v>0</v>
      </c>
      <c r="AL129" s="43" t="s">
        <v>0</v>
      </c>
      <c r="AM129" s="9" t="s">
        <v>0</v>
      </c>
      <c r="AN129" s="43" t="s">
        <v>0</v>
      </c>
      <c r="AO129" s="9" t="s">
        <v>0</v>
      </c>
      <c r="AP129" s="9" t="s">
        <v>0</v>
      </c>
      <c r="AQ129" s="43" t="s">
        <v>0</v>
      </c>
      <c r="AR129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29" s="9" t="str">
        <f t="shared" ref="AS129" si="218">IF(OR(AR129="",AR129="-"),"-",AR129*$M129*SQRT(3)/1000)</f>
        <v>-</v>
      </c>
      <c r="AT129" s="9">
        <f>IF(RIGHT(TIM[[#This Row],[Device type]],7)="Winding","-",TIM[[#This Row],[Cont Winter MVA]])</f>
        <v>23.815698604072061</v>
      </c>
      <c r="AU129" s="9">
        <f>IF(RIGHT(TIM[[#This Row],[Device type]],7)="Winding","-",TIM[[#This Row],[Cont Shoulder MVA]])</f>
        <v>23.815698604072061</v>
      </c>
      <c r="AV129" s="9">
        <f>IF(RIGHT(TIM[[#This Row],[Device type]],7)="Winding","-",TIM[[#This Row],[Cont Summer MVA]])</f>
        <v>23.815698604072061</v>
      </c>
      <c r="AW129" s="9" t="str">
        <f>TIM[[#This Row],[24 Hr Winter MVA]]</f>
        <v>-</v>
      </c>
      <c r="AX129" s="9" t="str">
        <f>TIM[[#This Row],[24 Hr Summer MVA]]</f>
        <v>-</v>
      </c>
      <c r="AY129" s="9">
        <f>TIM[[#This Row],[Forwards MVA]]</f>
        <v>22.558229717777056</v>
      </c>
      <c r="AZ129" s="9">
        <f>TIM[[#This Row],[Relay MVA]]</f>
        <v>45.72614131981836</v>
      </c>
      <c r="BA129" s="9">
        <f>TIM[[#This Row],[CT MVA]]</f>
        <v>30.484094213212241</v>
      </c>
      <c r="BB129" s="9" t="str">
        <f>TIM[[#This Row],[Derating MVA]]</f>
        <v>-</v>
      </c>
      <c r="BC129" s="9" t="str">
        <f>TIM[[#This Row],[Station/Feeder]]&amp;TIM[[#This Row],[Lowest MVA]]</f>
        <v>TIM_NST_SUBTRANS22.5582297177771</v>
      </c>
      <c r="BD129" s="9" t="str">
        <f>CONCATENATE(TIM[[#This Row],[Supply Level]],TIM[[#This Row],[Station/Feeder]],TIM[[#This Row],[Voltage]],TIM[[#This Row],[Lowest A-No PTX]])</f>
        <v>SubTransmissionTIM_NST_SUBTRANS111184</v>
      </c>
      <c r="BE129" s="9" t="str">
        <f>CONCATENATE(TIM[[#This Row],[Supply Level]],TIM[[#This Row],[Station/Feeder]],TIM[[#This Row],[Voltage]],TIM[[#This Row],[Lowest A-PTX]])</f>
        <v>SubTransmissionTIM_NST_SUBTRANS111083</v>
      </c>
      <c r="BF129" s="9">
        <f>IFERROR(IF(MIN(TIM[[#This Row],[Summ Cont Winter A]:[Cable Derating]])=0,"",MIN(TIM[[#This Row],[Summ Cont Winter A]:[Cable Derating]])),"")</f>
        <v>22.558229717777056</v>
      </c>
      <c r="BG129" s="9">
        <f>IFERROR(TIM[[#This Row],[Lowest MVA]]*1000/(TIM[[#This Row],[Voltage]]*SQRT(3)),"")</f>
        <v>1184</v>
      </c>
      <c r="BH129" s="9">
        <f t="shared" si="153"/>
        <v>1083</v>
      </c>
      <c r="BI129" s="9" t="str">
        <f>TIM[[#This Row],[From]]</f>
        <v>11 kV Bus</v>
      </c>
      <c r="BJ129" s="9" t="str">
        <f>TIM[[#This Row],[To]]</f>
        <v>CB2982</v>
      </c>
      <c r="BK12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Breaker-TIM-CB2982-Protection</v>
      </c>
      <c r="BL129" s="9">
        <f>TIM[[#This Row],[Voltage]]</f>
        <v>11</v>
      </c>
    </row>
    <row r="130" spans="1:64" ht="15" hidden="1" customHeight="1" x14ac:dyDescent="0.25">
      <c r="A130" s="6" t="str">
        <f>CONCATENATE(TIM[[#This Row],[Supply Level]],TIM[[#This Row],[Station/Feeder]],TIM[[#This Row],[Voltage]])</f>
        <v>SubTransmissionTIM_NST_SUBTRANS11</v>
      </c>
      <c r="B130" s="6" t="str">
        <f>CONCATENATE(TIM[[#This Row],[Supply Level]],TIM[[#This Row],[Station/Feeder]],TIM[[#This Row],[Equipment ID]],TIM[[#This Row],[Voltage]],TIM[[#This Row],[Device type]])</f>
        <v>SubTransmissionTIM_NST_SUBTRANS3/1c 1200mm² Al XLPE CWS MDPE11-</v>
      </c>
      <c r="C130" s="6" t="s">
        <v>1245</v>
      </c>
      <c r="D130" s="6" t="s">
        <v>93</v>
      </c>
      <c r="E130" s="6" t="s">
        <v>876</v>
      </c>
      <c r="F130" s="6" t="s">
        <v>878</v>
      </c>
      <c r="G130" s="8">
        <v>2</v>
      </c>
      <c r="H130" s="7" t="s">
        <v>811</v>
      </c>
      <c r="I130" s="6" t="s">
        <v>879</v>
      </c>
      <c r="J130" s="6" t="s">
        <v>250</v>
      </c>
      <c r="K130" s="6" t="s">
        <v>0</v>
      </c>
      <c r="L130" s="6" t="s">
        <v>0</v>
      </c>
      <c r="M130" s="8">
        <v>11</v>
      </c>
      <c r="N130" s="9">
        <v>1025</v>
      </c>
      <c r="O130" s="9">
        <f t="shared" si="209"/>
        <v>19.528872855339092</v>
      </c>
      <c r="P130" s="9">
        <v>1025</v>
      </c>
      <c r="Q130" s="9">
        <f t="shared" si="210"/>
        <v>19.528872855339092</v>
      </c>
      <c r="R130" s="9">
        <v>1025</v>
      </c>
      <c r="S130" s="9">
        <f>IF(OR(R130="",R130="-"),"-",R130*$M130*SQRT(3)/1000)</f>
        <v>19.528872855339092</v>
      </c>
      <c r="T130" s="9" t="s">
        <v>0</v>
      </c>
      <c r="U130" s="9" t="str">
        <f>IF(OR(T130="",T130="-"),"-",T130*$M130*SQRT(3)/1000)</f>
        <v>-</v>
      </c>
      <c r="V130" s="9" t="s">
        <v>0</v>
      </c>
      <c r="W130" s="9" t="str">
        <f>IF(OR(V130="",V130="-"),"-",V130*$M130*SQRT(3)/1000)</f>
        <v>-</v>
      </c>
      <c r="X130" s="9" t="s">
        <v>0</v>
      </c>
      <c r="Y130" s="9" t="str">
        <f>IF(OR(X130="",X130="-"),"-",X130*$M130*SQRT(3)/1000)</f>
        <v>-</v>
      </c>
      <c r="Z130" s="9" t="s">
        <v>0</v>
      </c>
      <c r="AA130" s="9" t="str">
        <f>IF(OR(Z130="",Z130="-"),"-",Z130*$M130*SQRT(3)/1000)</f>
        <v>-</v>
      </c>
      <c r="AB130" s="9" t="s">
        <v>0</v>
      </c>
      <c r="AC130" s="9" t="str">
        <f>IF(OR(AB130="",AB130="-"),"-",AB130*$M130*SQRT(3)/1000)</f>
        <v>-</v>
      </c>
      <c r="AD130" s="9" t="s">
        <v>0</v>
      </c>
      <c r="AE130" s="9" t="str">
        <f>IF(OR(AD130="",AD130="-"),"-",AD130*$M130*SQRT(3)/1000)</f>
        <v>-</v>
      </c>
      <c r="AF130" s="9" t="s">
        <v>713</v>
      </c>
      <c r="AG130" s="9" t="s">
        <v>0</v>
      </c>
      <c r="AH130" s="9">
        <v>5903.8</v>
      </c>
      <c r="AI130" s="9">
        <v>1.8</v>
      </c>
      <c r="AJ130" s="43">
        <v>0.92</v>
      </c>
      <c r="AK130" s="9">
        <v>18.5</v>
      </c>
      <c r="AL130" s="43">
        <v>0.95</v>
      </c>
      <c r="AM130" s="9">
        <v>1.2</v>
      </c>
      <c r="AN130" s="43">
        <v>1</v>
      </c>
      <c r="AO130" s="9">
        <v>2</v>
      </c>
      <c r="AP130" s="9">
        <v>0.6</v>
      </c>
      <c r="AQ130" s="43">
        <v>0.9</v>
      </c>
      <c r="AR130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806.26499999999999</v>
      </c>
      <c r="AS130" s="9">
        <f>IF(OR(AR130="",AR130="-"),"-",AR130*$M130*SQRT(3)/1000)</f>
        <v>15.361411388009726</v>
      </c>
      <c r="AT130" s="9">
        <f>IF(RIGHT(TIM[[#This Row],[Device type]],7)="Winding","-",TIM[[#This Row],[Cont Winter MVA]])</f>
        <v>19.528872855339092</v>
      </c>
      <c r="AU130" s="9">
        <f>IF(RIGHT(TIM[[#This Row],[Device type]],7)="Winding","-",TIM[[#This Row],[Cont Shoulder MVA]])</f>
        <v>19.528872855339092</v>
      </c>
      <c r="AV130" s="9">
        <f>IF(RIGHT(TIM[[#This Row],[Device type]],7)="Winding","-",TIM[[#This Row],[Cont Summer MVA]])</f>
        <v>19.528872855339092</v>
      </c>
      <c r="AW130" s="9" t="str">
        <f>TIM[[#This Row],[24 Hr Winter MVA]]</f>
        <v>-</v>
      </c>
      <c r="AX130" s="9" t="str">
        <f>TIM[[#This Row],[24 Hr Summer MVA]]</f>
        <v>-</v>
      </c>
      <c r="AY130" s="9" t="str">
        <f>TIM[[#This Row],[Forwards MVA]]</f>
        <v>-</v>
      </c>
      <c r="AZ130" s="9" t="str">
        <f>TIM[[#This Row],[Relay MVA]]</f>
        <v>-</v>
      </c>
      <c r="BA130" s="9" t="str">
        <f>TIM[[#This Row],[CT MVA]]</f>
        <v>-</v>
      </c>
      <c r="BB130" s="9">
        <f>TIM[[#This Row],[Derating MVA]]</f>
        <v>15.361411388009726</v>
      </c>
      <c r="BC130" s="9" t="str">
        <f>TIM[[#This Row],[Station/Feeder]]&amp;TIM[[#This Row],[Lowest MVA]]</f>
        <v>TIM_NST_SUBTRANS15.3614113880097</v>
      </c>
      <c r="BD130" s="9" t="str">
        <f>CONCATENATE(TIM[[#This Row],[Supply Level]],TIM[[#This Row],[Station/Feeder]],TIM[[#This Row],[Voltage]],TIM[[#This Row],[Lowest A-No PTX]])</f>
        <v>SubTransmissionTIM_NST_SUBTRANS11806.265</v>
      </c>
      <c r="BE130" s="9" t="str">
        <f>CONCATENATE(TIM[[#This Row],[Supply Level]],TIM[[#This Row],[Station/Feeder]],TIM[[#This Row],[Voltage]],TIM[[#This Row],[Lowest A-PTX]])</f>
        <v>SubTransmissionTIM_NST_SUBTRANS11806.265</v>
      </c>
      <c r="BF130" s="9">
        <f>IFERROR(IF(MIN(TIM[[#This Row],[Summ Cont Winter A]:[Cable Derating]])=0,"",MIN(TIM[[#This Row],[Summ Cont Winter A]:[Cable Derating]])),"")</f>
        <v>15.361411388009726</v>
      </c>
      <c r="BG130" s="9">
        <f>IFERROR(TIM[[#This Row],[Lowest MVA]]*1000/(TIM[[#This Row],[Voltage]]*SQRT(3)),"")</f>
        <v>806.26499999999987</v>
      </c>
      <c r="BH130" s="9">
        <f t="shared" si="153"/>
        <v>806.26499999999999</v>
      </c>
      <c r="BI130" s="9" t="str">
        <f>TIM[[#This Row],[From]]</f>
        <v>CB2982</v>
      </c>
      <c r="BJ130" s="9" t="str">
        <f>TIM[[#This Row],[To]]</f>
        <v>NST36</v>
      </c>
      <c r="BK13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1200mm² Al XLPE CWS MDPE</v>
      </c>
      <c r="BL130" s="9">
        <f>TIM[[#This Row],[Voltage]]</f>
        <v>11</v>
      </c>
    </row>
    <row r="131" spans="1:64" ht="15" hidden="1" customHeight="1" x14ac:dyDescent="0.25">
      <c r="A131" s="6" t="str">
        <f>CONCATENATE(TIM[[#This Row],[Supply Level]],TIM[[#This Row],[Station/Feeder]],TIM[[#This Row],[Voltage]])</f>
        <v>SubTransmissionCB2982_North ST.211</v>
      </c>
      <c r="B131" s="6" t="str">
        <f>CONCATENATE(TIM[[#This Row],[Supply Level]],TIM[[#This Row],[Station/Feeder]],TIM[[#This Row],[Equipment ID]],TIM[[#This Row],[Voltage]],TIM[[#This Row],[Device type]])</f>
        <v>SubTransmissionCB2982_North ST.2TIM-CB298211Protection</v>
      </c>
      <c r="C131" s="6" t="s">
        <v>1245</v>
      </c>
      <c r="D131" s="11" t="s">
        <v>1324</v>
      </c>
      <c r="E131" s="6" t="s">
        <v>243</v>
      </c>
      <c r="F131" s="6" t="s">
        <v>876</v>
      </c>
      <c r="G131" s="27">
        <v>1</v>
      </c>
      <c r="H131" s="7" t="s">
        <v>2372</v>
      </c>
      <c r="I131" s="7" t="s">
        <v>2241</v>
      </c>
      <c r="J131" s="7" t="s">
        <v>15</v>
      </c>
      <c r="K131" s="7" t="s">
        <v>1121</v>
      </c>
      <c r="L131" s="7" t="s">
        <v>1423</v>
      </c>
      <c r="M131" s="8">
        <v>11</v>
      </c>
      <c r="N131" s="9">
        <v>1250</v>
      </c>
      <c r="O131" s="9">
        <f t="shared" si="0"/>
        <v>23.815698604072061</v>
      </c>
      <c r="P131" s="9">
        <v>1250</v>
      </c>
      <c r="Q131" s="9">
        <f t="shared" si="1"/>
        <v>23.815698604072061</v>
      </c>
      <c r="R131" s="9">
        <v>1250</v>
      </c>
      <c r="S131" s="9">
        <f t="shared" si="2"/>
        <v>23.815698604072061</v>
      </c>
      <c r="T131" s="9" t="s">
        <v>0</v>
      </c>
      <c r="U131" s="9" t="str">
        <f t="shared" si="3"/>
        <v>-</v>
      </c>
      <c r="V131" s="9" t="s">
        <v>0</v>
      </c>
      <c r="W131" s="9" t="str">
        <f t="shared" si="4"/>
        <v>-</v>
      </c>
      <c r="X131" s="9">
        <f>VLOOKUP(TIM[[#This Row],[Equipment ID]],AEL_Protection_Data[#All],12,0)</f>
        <v>1184</v>
      </c>
      <c r="Y131" s="9">
        <f t="shared" si="5"/>
        <v>22.558229717777056</v>
      </c>
      <c r="Z131" s="9">
        <v>1184</v>
      </c>
      <c r="AA131" s="9">
        <f t="shared" si="6"/>
        <v>22.558229717777056</v>
      </c>
      <c r="AB131" s="9">
        <v>2400</v>
      </c>
      <c r="AC131" s="9">
        <f t="shared" si="7"/>
        <v>45.72614131981836</v>
      </c>
      <c r="AD131" s="9">
        <v>1600</v>
      </c>
      <c r="AE131" s="12">
        <f t="shared" si="8"/>
        <v>30.484094213212241</v>
      </c>
      <c r="AF131" s="29" t="s">
        <v>0</v>
      </c>
      <c r="AG131" s="29" t="s">
        <v>0</v>
      </c>
      <c r="AH131" s="8" t="s">
        <v>0</v>
      </c>
      <c r="AI131" s="29" t="s">
        <v>0</v>
      </c>
      <c r="AJ131" s="32" t="s">
        <v>0</v>
      </c>
      <c r="AK131" s="29" t="s">
        <v>0</v>
      </c>
      <c r="AL131" s="32" t="s">
        <v>0</v>
      </c>
      <c r="AM131" s="29" t="s">
        <v>0</v>
      </c>
      <c r="AN131" s="32" t="s">
        <v>0</v>
      </c>
      <c r="AO131" s="29" t="s">
        <v>0</v>
      </c>
      <c r="AP131" s="29" t="s">
        <v>0</v>
      </c>
      <c r="AQ131" s="32" t="s">
        <v>0</v>
      </c>
      <c r="AR13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31" s="9" t="str">
        <f t="shared" si="9"/>
        <v>-</v>
      </c>
      <c r="AT131" s="9">
        <f>IF(RIGHT(TIM[[#This Row],[Device type]],7)="Winding","-",TIM[[#This Row],[Cont Winter MVA]])</f>
        <v>23.815698604072061</v>
      </c>
      <c r="AU131" s="9">
        <f>IF(RIGHT(TIM[[#This Row],[Device type]],7)="Winding","-",TIM[[#This Row],[Cont Shoulder MVA]])</f>
        <v>23.815698604072061</v>
      </c>
      <c r="AV131" s="9">
        <f>IF(RIGHT(TIM[[#This Row],[Device type]],7)="Winding","-",TIM[[#This Row],[Cont Summer MVA]])</f>
        <v>23.815698604072061</v>
      </c>
      <c r="AW131" s="9" t="str">
        <f>TIM[[#This Row],[24 Hr Winter MVA]]</f>
        <v>-</v>
      </c>
      <c r="AX131" s="9" t="str">
        <f>TIM[[#This Row],[24 Hr Summer MVA]]</f>
        <v>-</v>
      </c>
      <c r="AY131" s="9">
        <f>TIM[[#This Row],[Forwards MVA]]</f>
        <v>22.558229717777056</v>
      </c>
      <c r="AZ131" s="9">
        <f>TIM[[#This Row],[Relay MVA]]</f>
        <v>45.72614131981836</v>
      </c>
      <c r="BA131" s="9">
        <f>TIM[[#This Row],[CT MVA]]</f>
        <v>30.484094213212241</v>
      </c>
      <c r="BB131" s="9" t="str">
        <f>TIM[[#This Row],[Derating MVA]]</f>
        <v>-</v>
      </c>
      <c r="BC131" s="9" t="str">
        <f>TIM[[#This Row],[Station/Feeder]]&amp;TIM[[#This Row],[Lowest MVA]]</f>
        <v>CB2982_North ST.222.5582297177771</v>
      </c>
      <c r="BD131" s="9" t="str">
        <f>CONCATENATE(TIM[[#This Row],[Supply Level]],TIM[[#This Row],[Station/Feeder]],TIM[[#This Row],[Voltage]],TIM[[#This Row],[Lowest A-No PTX]])</f>
        <v>SubTransmissionCB2982_North ST.2111184</v>
      </c>
      <c r="BE131" s="9" t="str">
        <f>CONCATENATE(TIM[[#This Row],[Supply Level]],TIM[[#This Row],[Station/Feeder]],TIM[[#This Row],[Voltage]],TIM[[#This Row],[Lowest A-PTX]])</f>
        <v>SubTransmissionCB2982_North ST.2111184</v>
      </c>
      <c r="BF131" s="9">
        <f>IFERROR(IF(MIN(TIM[[#This Row],[Summ Cont Winter A]:[Cable Derating]])=0,"",MIN(TIM[[#This Row],[Summ Cont Winter A]:[Cable Derating]])),"")</f>
        <v>22.558229717777056</v>
      </c>
      <c r="BG131" s="9">
        <f>IFERROR(TIM[[#This Row],[Lowest MVA]]*1000/(TIM[[#This Row],[Voltage]]*SQRT(3)),"")</f>
        <v>1184</v>
      </c>
      <c r="BH131" s="9">
        <f t="shared" si="153"/>
        <v>1184</v>
      </c>
      <c r="BI131" s="9" t="str">
        <f>TIM[[#This Row],[From]]</f>
        <v>11 kV Bus</v>
      </c>
      <c r="BJ131" s="9" t="str">
        <f>TIM[[#This Row],[To]]</f>
        <v>CB2982</v>
      </c>
      <c r="BK13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Breaker-TIM-CB2982-Protection</v>
      </c>
      <c r="BL131" s="9">
        <f>TIM[[#This Row],[Voltage]]</f>
        <v>11</v>
      </c>
    </row>
    <row r="132" spans="1:64" ht="15" hidden="1" customHeight="1" x14ac:dyDescent="0.25">
      <c r="A132" s="6" t="str">
        <f>CONCATENATE(TIM[[#This Row],[Supply Level]],TIM[[#This Row],[Station/Feeder]],TIM[[#This Row],[Voltage]])</f>
        <v>SubTransmissionCB2982_North ST.211</v>
      </c>
      <c r="B132" s="6" t="str">
        <f>CONCATENATE(TIM[[#This Row],[Supply Level]],TIM[[#This Row],[Station/Feeder]],TIM[[#This Row],[Equipment ID]],TIM[[#This Row],[Voltage]],TIM[[#This Row],[Device type]])</f>
        <v>SubTransmissionCB2982_North ST.23/1c 1200mm² Al XLPE CWS MDPE11-</v>
      </c>
      <c r="C132" s="6" t="s">
        <v>1245</v>
      </c>
      <c r="D132" s="11" t="s">
        <v>1324</v>
      </c>
      <c r="E132" s="6" t="s">
        <v>876</v>
      </c>
      <c r="F132" s="6" t="s">
        <v>878</v>
      </c>
      <c r="G132" s="27">
        <v>2</v>
      </c>
      <c r="H132" s="7" t="s">
        <v>811</v>
      </c>
      <c r="I132" s="7" t="s">
        <v>879</v>
      </c>
      <c r="J132" s="7" t="s">
        <v>250</v>
      </c>
      <c r="K132" s="7" t="s">
        <v>0</v>
      </c>
      <c r="L132" s="7" t="s">
        <v>0</v>
      </c>
      <c r="M132" s="8">
        <v>11</v>
      </c>
      <c r="N132" s="9">
        <v>1025</v>
      </c>
      <c r="O132" s="9">
        <f t="shared" si="0"/>
        <v>19.528872855339092</v>
      </c>
      <c r="P132" s="9">
        <v>1025</v>
      </c>
      <c r="Q132" s="9">
        <f t="shared" si="1"/>
        <v>19.528872855339092</v>
      </c>
      <c r="R132" s="9">
        <v>1025</v>
      </c>
      <c r="S132" s="9">
        <f>IF(OR(R132="",R132="-"),"-",R132*$M132*SQRT(3)/1000)</f>
        <v>19.528872855339092</v>
      </c>
      <c r="T132" s="9" t="s">
        <v>0</v>
      </c>
      <c r="U132" s="9" t="str">
        <f>IF(OR(T132="",T132="-"),"-",T132*$M132*SQRT(3)/1000)</f>
        <v>-</v>
      </c>
      <c r="V132" s="9" t="s">
        <v>0</v>
      </c>
      <c r="W132" s="9" t="str">
        <f>IF(OR(V132="",V132="-"),"-",V132*$M132*SQRT(3)/1000)</f>
        <v>-</v>
      </c>
      <c r="X132" s="9" t="s">
        <v>0</v>
      </c>
      <c r="Y132" s="9" t="str">
        <f>IF(OR(X132="",X132="-"),"-",X132*$M132*SQRT(3)/1000)</f>
        <v>-</v>
      </c>
      <c r="Z132" s="9" t="s">
        <v>0</v>
      </c>
      <c r="AA132" s="9" t="str">
        <f>IF(OR(Z132="",Z132="-"),"-",Z132*$M132*SQRT(3)/1000)</f>
        <v>-</v>
      </c>
      <c r="AB132" s="9" t="s">
        <v>0</v>
      </c>
      <c r="AC132" s="9" t="str">
        <f>IF(OR(AB132="",AB132="-"),"-",AB132*$M132*SQRT(3)/1000)</f>
        <v>-</v>
      </c>
      <c r="AD132" s="9" t="s">
        <v>0</v>
      </c>
      <c r="AE132" s="12" t="str">
        <f>IF(OR(AD132="",AD132="-"),"-",AD132*$M132*SQRT(3)/1000)</f>
        <v>-</v>
      </c>
      <c r="AF132" s="160" t="s">
        <v>713</v>
      </c>
      <c r="AG132" s="9" t="s">
        <v>0</v>
      </c>
      <c r="AH132" s="9">
        <v>5903.8</v>
      </c>
      <c r="AI132" s="9">
        <v>1.8</v>
      </c>
      <c r="AJ132" s="32">
        <v>0.92</v>
      </c>
      <c r="AK132" s="9">
        <v>18.5</v>
      </c>
      <c r="AL132" s="32">
        <v>0.95</v>
      </c>
      <c r="AM132" s="9">
        <v>1.2</v>
      </c>
      <c r="AN132" s="32">
        <v>1</v>
      </c>
      <c r="AO132" s="9">
        <v>2</v>
      </c>
      <c r="AP132" s="9">
        <v>0.6</v>
      </c>
      <c r="AQ132" s="32">
        <v>0.9</v>
      </c>
      <c r="AR132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806.26499999999999</v>
      </c>
      <c r="AS132" s="9">
        <f>IF(OR(AR132="",AR132="-"),"-",AR132*$M132*SQRT(3)/1000)</f>
        <v>15.361411388009726</v>
      </c>
      <c r="AT132" s="9">
        <f>IF(RIGHT(TIM[[#This Row],[Device type]],7)="Winding","-",TIM[[#This Row],[Cont Winter MVA]])</f>
        <v>19.528872855339092</v>
      </c>
      <c r="AU132" s="9">
        <f>IF(RIGHT(TIM[[#This Row],[Device type]],7)="Winding","-",TIM[[#This Row],[Cont Shoulder MVA]])</f>
        <v>19.528872855339092</v>
      </c>
      <c r="AV132" s="9">
        <f>IF(RIGHT(TIM[[#This Row],[Device type]],7)="Winding","-",TIM[[#This Row],[Cont Summer MVA]])</f>
        <v>19.528872855339092</v>
      </c>
      <c r="AW132" s="9" t="str">
        <f>TIM[[#This Row],[24 Hr Winter MVA]]</f>
        <v>-</v>
      </c>
      <c r="AX132" s="9" t="str">
        <f>TIM[[#This Row],[24 Hr Summer MVA]]</f>
        <v>-</v>
      </c>
      <c r="AY132" s="9" t="str">
        <f>TIM[[#This Row],[Forwards MVA]]</f>
        <v>-</v>
      </c>
      <c r="AZ132" s="9" t="str">
        <f>TIM[[#This Row],[Relay MVA]]</f>
        <v>-</v>
      </c>
      <c r="BA132" s="9" t="str">
        <f>TIM[[#This Row],[CT MVA]]</f>
        <v>-</v>
      </c>
      <c r="BB132" s="9">
        <f>TIM[[#This Row],[Derating MVA]]</f>
        <v>15.361411388009726</v>
      </c>
      <c r="BC132" s="9" t="str">
        <f>TIM[[#This Row],[Station/Feeder]]&amp;TIM[[#This Row],[Lowest MVA]]</f>
        <v>CB2982_North ST.215.3614113880097</v>
      </c>
      <c r="BD132" s="9" t="str">
        <f>CONCATENATE(TIM[[#This Row],[Supply Level]],TIM[[#This Row],[Station/Feeder]],TIM[[#This Row],[Voltage]],TIM[[#This Row],[Lowest A-No PTX]])</f>
        <v>SubTransmissionCB2982_North ST.211806.265</v>
      </c>
      <c r="BE132" s="9" t="str">
        <f>CONCATENATE(TIM[[#This Row],[Supply Level]],TIM[[#This Row],[Station/Feeder]],TIM[[#This Row],[Voltage]],TIM[[#This Row],[Lowest A-PTX]])</f>
        <v>SubTransmissionCB2982_North ST.211806.265</v>
      </c>
      <c r="BF132" s="9">
        <f>IFERROR(IF(MIN(TIM[[#This Row],[Summ Cont Winter A]:[Cable Derating]])=0,"",MIN(TIM[[#This Row],[Summ Cont Winter A]:[Cable Derating]])),"")</f>
        <v>15.361411388009726</v>
      </c>
      <c r="BG132" s="9">
        <f>IFERROR(TIM[[#This Row],[Lowest MVA]]*1000/(TIM[[#This Row],[Voltage]]*SQRT(3)),"")</f>
        <v>806.26499999999987</v>
      </c>
      <c r="BH132" s="9">
        <f t="shared" si="153"/>
        <v>806.26499999999999</v>
      </c>
      <c r="BI132" s="9" t="str">
        <f>TIM[[#This Row],[From]]</f>
        <v>CB2982</v>
      </c>
      <c r="BJ132" s="9" t="str">
        <f>TIM[[#This Row],[To]]</f>
        <v>NST36</v>
      </c>
      <c r="BK13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1200mm² Al XLPE CWS MDPE</v>
      </c>
      <c r="BL132" s="9">
        <f>TIM[[#This Row],[Voltage]]</f>
        <v>11</v>
      </c>
    </row>
    <row r="133" spans="1:64" ht="15" customHeight="1" x14ac:dyDescent="0.25">
      <c r="A133" s="6" t="str">
        <f>CONCATENATE(TIM[[#This Row],[Supply Level]],TIM[[#This Row],[Station/Feeder]],TIM[[#This Row],[Voltage]])</f>
        <v>DistributionFeederCB2992_Goulds Road11</v>
      </c>
      <c r="B133" s="6" t="str">
        <f>CONCATENATE(TIM[[#This Row],[Supply Level]],TIM[[#This Row],[Station/Feeder]],TIM[[#This Row],[Equipment ID]],TIM[[#This Row],[Voltage]],TIM[[#This Row],[Device type]])</f>
        <v>DistributionFeederCB2992_Goulds RoadTIM-CB299211Protection</v>
      </c>
      <c r="C133" s="6" t="s">
        <v>1276</v>
      </c>
      <c r="D133" s="11" t="s">
        <v>1311</v>
      </c>
      <c r="E133" s="6" t="s">
        <v>243</v>
      </c>
      <c r="F133" s="6" t="s">
        <v>880</v>
      </c>
      <c r="G133" s="27">
        <v>1</v>
      </c>
      <c r="H133" s="7" t="s">
        <v>2373</v>
      </c>
      <c r="I133" s="7" t="s">
        <v>2242</v>
      </c>
      <c r="J133" s="7" t="s">
        <v>15</v>
      </c>
      <c r="K133" s="7" t="s">
        <v>1121</v>
      </c>
      <c r="L133" s="7" t="s">
        <v>1423</v>
      </c>
      <c r="M133" s="8">
        <v>11</v>
      </c>
      <c r="N133" s="9">
        <v>1250</v>
      </c>
      <c r="O133" s="9">
        <f t="shared" si="0"/>
        <v>23.815698604072061</v>
      </c>
      <c r="P133" s="9">
        <v>1250</v>
      </c>
      <c r="Q133" s="9">
        <f t="shared" si="1"/>
        <v>23.815698604072061</v>
      </c>
      <c r="R133" s="9">
        <v>1250</v>
      </c>
      <c r="S133" s="9">
        <f t="shared" si="2"/>
        <v>23.815698604072061</v>
      </c>
      <c r="T133" s="9" t="s">
        <v>0</v>
      </c>
      <c r="U133" s="9" t="str">
        <f t="shared" si="3"/>
        <v>-</v>
      </c>
      <c r="V133" s="9" t="s">
        <v>0</v>
      </c>
      <c r="W133" s="9" t="str">
        <f t="shared" si="4"/>
        <v>-</v>
      </c>
      <c r="X133" s="9">
        <f>VLOOKUP(TIM[[#This Row],[Equipment ID]],AEL_Protection_Data[#All],12,0)</f>
        <v>400</v>
      </c>
      <c r="Y133" s="9">
        <f t="shared" si="5"/>
        <v>7.6210235533030604</v>
      </c>
      <c r="Z133" s="9">
        <v>366</v>
      </c>
      <c r="AA133" s="9">
        <f t="shared" si="6"/>
        <v>6.9732365512722998</v>
      </c>
      <c r="AB133" s="9">
        <v>2400</v>
      </c>
      <c r="AC133" s="9">
        <f t="shared" si="7"/>
        <v>45.72614131981836</v>
      </c>
      <c r="AD133" s="9">
        <v>1600</v>
      </c>
      <c r="AE133" s="12">
        <f t="shared" si="8"/>
        <v>30.484094213212241</v>
      </c>
      <c r="AF133" s="29" t="s">
        <v>0</v>
      </c>
      <c r="AG133" s="29" t="s">
        <v>0</v>
      </c>
      <c r="AH133" s="8" t="s">
        <v>0</v>
      </c>
      <c r="AI133" s="29" t="s">
        <v>0</v>
      </c>
      <c r="AJ133" s="32" t="s">
        <v>0</v>
      </c>
      <c r="AK133" s="29" t="s">
        <v>0</v>
      </c>
      <c r="AL133" s="32" t="s">
        <v>0</v>
      </c>
      <c r="AM133" s="29" t="s">
        <v>0</v>
      </c>
      <c r="AN133" s="32" t="s">
        <v>0</v>
      </c>
      <c r="AO133" s="29" t="s">
        <v>0</v>
      </c>
      <c r="AP133" s="29" t="s">
        <v>0</v>
      </c>
      <c r="AQ133" s="32" t="s">
        <v>0</v>
      </c>
      <c r="AR133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33" s="9" t="str">
        <f t="shared" si="9"/>
        <v>-</v>
      </c>
      <c r="AT133" s="9">
        <f>IF(RIGHT(TIM[[#This Row],[Device type]],7)="Winding","-",TIM[[#This Row],[Cont Winter MVA]])</f>
        <v>23.815698604072061</v>
      </c>
      <c r="AU133" s="9">
        <f>IF(RIGHT(TIM[[#This Row],[Device type]],7)="Winding","-",TIM[[#This Row],[Cont Shoulder MVA]])</f>
        <v>23.815698604072061</v>
      </c>
      <c r="AV133" s="9">
        <f>IF(RIGHT(TIM[[#This Row],[Device type]],7)="Winding","-",TIM[[#This Row],[Cont Summer MVA]])</f>
        <v>23.815698604072061</v>
      </c>
      <c r="AW133" s="9" t="str">
        <f>TIM[[#This Row],[24 Hr Winter MVA]]</f>
        <v>-</v>
      </c>
      <c r="AX133" s="9" t="str">
        <f>TIM[[#This Row],[24 Hr Summer MVA]]</f>
        <v>-</v>
      </c>
      <c r="AY133" s="9">
        <f>TIM[[#This Row],[Forwards MVA]]</f>
        <v>7.6210235533030604</v>
      </c>
      <c r="AZ133" s="9">
        <f>TIM[[#This Row],[Relay MVA]]</f>
        <v>45.72614131981836</v>
      </c>
      <c r="BA133" s="9">
        <f>TIM[[#This Row],[CT MVA]]</f>
        <v>30.484094213212241</v>
      </c>
      <c r="BB133" s="9" t="str">
        <f>TIM[[#This Row],[Derating MVA]]</f>
        <v>-</v>
      </c>
      <c r="BC133" s="9" t="str">
        <f>TIM[[#This Row],[Station/Feeder]]&amp;TIM[[#This Row],[Lowest MVA]]</f>
        <v>CB2992_Goulds Road7.62102355330306</v>
      </c>
      <c r="BD133" s="9" t="str">
        <f>CONCATENATE(TIM[[#This Row],[Supply Level]],TIM[[#This Row],[Station/Feeder]],TIM[[#This Row],[Voltage]],TIM[[#This Row],[Lowest A-No PTX]])</f>
        <v>DistributionFeederCB2992_Goulds Road11400</v>
      </c>
      <c r="BE133" s="9" t="str">
        <f>CONCATENATE(TIM[[#This Row],[Supply Level]],TIM[[#This Row],[Station/Feeder]],TIM[[#This Row],[Voltage]],TIM[[#This Row],[Lowest A-PTX]])</f>
        <v>DistributionFeederCB2992_Goulds Road11366</v>
      </c>
      <c r="BF133" s="9">
        <f>IFERROR(IF(MIN(TIM[[#This Row],[Summ Cont Winter A]:[Cable Derating]])=0,"",MIN(TIM[[#This Row],[Summ Cont Winter A]:[Cable Derating]])),"")</f>
        <v>7.6210235533030604</v>
      </c>
      <c r="BG133" s="9">
        <f>IFERROR(TIM[[#This Row],[Lowest MVA]]*1000/(TIM[[#This Row],[Voltage]]*SQRT(3)),"")</f>
        <v>400</v>
      </c>
      <c r="BH133" s="9">
        <f t="shared" si="153"/>
        <v>366</v>
      </c>
      <c r="BI133" s="9" t="str">
        <f>TIM[[#This Row],[From]]</f>
        <v>11 kV Bus</v>
      </c>
      <c r="BJ133" s="9" t="str">
        <f>TIM[[#This Row],[To]]</f>
        <v>CB2992</v>
      </c>
      <c r="BK13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Breaker-TIM-CB2992-Protection</v>
      </c>
      <c r="BL133" s="9">
        <f>TIM[[#This Row],[Voltage]]</f>
        <v>11</v>
      </c>
    </row>
    <row r="134" spans="1:64" ht="15" customHeight="1" x14ac:dyDescent="0.25">
      <c r="A134" s="6" t="str">
        <f>CONCATENATE(TIM[[#This Row],[Supply Level]],TIM[[#This Row],[Station/Feeder]],TIM[[#This Row],[Voltage]])</f>
        <v>DistributionFeederCB2992_Goulds Road11</v>
      </c>
      <c r="B134" s="6" t="str">
        <f>CONCATENATE(TIM[[#This Row],[Supply Level]],TIM[[#This Row],[Station/Feeder]],TIM[[#This Row],[Equipment ID]],TIM[[#This Row],[Voltage]],TIM[[#This Row],[Device type]])</f>
        <v>DistributionFeederCB2992_Goulds RoadTIM-CB299211-</v>
      </c>
      <c r="C134" s="6" t="s">
        <v>1276</v>
      </c>
      <c r="D134" s="11" t="s">
        <v>1311</v>
      </c>
      <c r="E134" s="6" t="s">
        <v>880</v>
      </c>
      <c r="F134" s="6" t="s">
        <v>1315</v>
      </c>
      <c r="G134" s="27">
        <v>1</v>
      </c>
      <c r="H134" s="7" t="s">
        <v>881</v>
      </c>
      <c r="I134" s="7" t="s">
        <v>2242</v>
      </c>
      <c r="J134" s="7" t="s">
        <v>250</v>
      </c>
      <c r="K134" s="7" t="s">
        <v>0</v>
      </c>
      <c r="L134" s="7" t="s">
        <v>0</v>
      </c>
      <c r="M134" s="8">
        <v>11</v>
      </c>
      <c r="N134" s="9">
        <v>345</v>
      </c>
      <c r="O134" s="9">
        <f t="shared" ref="O134" si="219">IF(OR(N134="",N134="-"),"-",N134*$M134*SQRT(3)/1000)</f>
        <v>6.5731328147238894</v>
      </c>
      <c r="P134" s="9">
        <v>345</v>
      </c>
      <c r="Q134" s="9">
        <f t="shared" ref="Q134" si="220">IF(OR(P134="",P134="-"),"-",P134*$M134*SQRT(3)/1000)</f>
        <v>6.5731328147238894</v>
      </c>
      <c r="R134" s="9">
        <v>345</v>
      </c>
      <c r="S134" s="9">
        <f t="shared" ref="S134" si="221">IF(OR(R134="",R134="-"),"-",R134*$M134*SQRT(3)/1000)</f>
        <v>6.5731328147238894</v>
      </c>
      <c r="T134" s="9" t="s">
        <v>0</v>
      </c>
      <c r="U134" s="9" t="str">
        <f t="shared" ref="U134" si="222">IF(OR(T134="",T134="-"),"-",T134*$M134*SQRT(3)/1000)</f>
        <v>-</v>
      </c>
      <c r="V134" s="9" t="s">
        <v>0</v>
      </c>
      <c r="W134" s="9" t="str">
        <f t="shared" ref="W134" si="223">IF(OR(V134="",V134="-"),"-",V134*$M134*SQRT(3)/1000)</f>
        <v>-</v>
      </c>
      <c r="X134" s="9" t="s">
        <v>0</v>
      </c>
      <c r="Y134" s="9" t="str">
        <f t="shared" ref="Y134" si="224">IF(OR(X134="",X134="-"),"-",X134*$M134*SQRT(3)/1000)</f>
        <v>-</v>
      </c>
      <c r="Z134" s="9" t="s">
        <v>0</v>
      </c>
      <c r="AA134" s="9" t="str">
        <f t="shared" ref="AA134" si="225">IF(OR(Z134="",Z134="-"),"-",Z134*$M134*SQRT(3)/1000)</f>
        <v>-</v>
      </c>
      <c r="AB134" s="9" t="s">
        <v>0</v>
      </c>
      <c r="AC134" s="9" t="str">
        <f t="shared" ref="AC134" si="226">IF(OR(AB134="",AB134="-"),"-",AB134*$M134*SQRT(3)/1000)</f>
        <v>-</v>
      </c>
      <c r="AD134" s="9" t="s">
        <v>0</v>
      </c>
      <c r="AE134" s="12" t="str">
        <f t="shared" ref="AE134" si="227">IF(OR(AD134="",AD134="-"),"-",AD134*$M134*SQRT(3)/1000)</f>
        <v>-</v>
      </c>
      <c r="AF134" s="29" t="s">
        <v>0</v>
      </c>
      <c r="AG134" s="29" t="s">
        <v>0</v>
      </c>
      <c r="AH134" s="8" t="s">
        <v>0</v>
      </c>
      <c r="AI134" s="29" t="s">
        <v>0</v>
      </c>
      <c r="AJ134" s="32" t="s">
        <v>0</v>
      </c>
      <c r="AK134" s="29" t="s">
        <v>0</v>
      </c>
      <c r="AL134" s="32" t="s">
        <v>0</v>
      </c>
      <c r="AM134" s="29" t="s">
        <v>0</v>
      </c>
      <c r="AN134" s="32" t="s">
        <v>0</v>
      </c>
      <c r="AO134" s="29" t="s">
        <v>0</v>
      </c>
      <c r="AP134" s="29" t="s">
        <v>0</v>
      </c>
      <c r="AQ134" s="32" t="s">
        <v>0</v>
      </c>
      <c r="AR13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34" s="9" t="str">
        <f t="shared" ref="AS134" si="228">IF(OR(AR134="",AR134="-"),"-",AR134*$M134*SQRT(3)/1000)</f>
        <v>-</v>
      </c>
      <c r="AT134" s="9">
        <f>IF(RIGHT(TIM[[#This Row],[Device type]],7)="Winding","-",TIM[[#This Row],[Cont Winter MVA]])</f>
        <v>6.5731328147238894</v>
      </c>
      <c r="AU134" s="9">
        <f>IF(RIGHT(TIM[[#This Row],[Device type]],7)="Winding","-",TIM[[#This Row],[Cont Shoulder MVA]])</f>
        <v>6.5731328147238894</v>
      </c>
      <c r="AV134" s="9">
        <f>IF(RIGHT(TIM[[#This Row],[Device type]],7)="Winding","-",TIM[[#This Row],[Cont Summer MVA]])</f>
        <v>6.5731328147238894</v>
      </c>
      <c r="AW134" s="9" t="str">
        <f>TIM[[#This Row],[24 Hr Winter MVA]]</f>
        <v>-</v>
      </c>
      <c r="AX134" s="9" t="str">
        <f>TIM[[#This Row],[24 Hr Summer MVA]]</f>
        <v>-</v>
      </c>
      <c r="AY134" s="9" t="str">
        <f>TIM[[#This Row],[Forwards MVA]]</f>
        <v>-</v>
      </c>
      <c r="AZ134" s="9" t="str">
        <f>TIM[[#This Row],[Relay MVA]]</f>
        <v>-</v>
      </c>
      <c r="BA134" s="9" t="str">
        <f>TIM[[#This Row],[CT MVA]]</f>
        <v>-</v>
      </c>
      <c r="BB134" s="9" t="str">
        <f>TIM[[#This Row],[Derating MVA]]</f>
        <v>-</v>
      </c>
      <c r="BC134" s="9" t="str">
        <f>TIM[[#This Row],[Station/Feeder]]&amp;TIM[[#This Row],[Lowest MVA]]</f>
        <v>CB2992_Goulds Road6.57313281472389</v>
      </c>
      <c r="BD134" s="9" t="str">
        <f>CONCATENATE(TIM[[#This Row],[Supply Level]],TIM[[#This Row],[Station/Feeder]],TIM[[#This Row],[Voltage]],TIM[[#This Row],[Lowest A-No PTX]])</f>
        <v>DistributionFeederCB2992_Goulds Road11345</v>
      </c>
      <c r="BE134" s="9" t="str">
        <f>CONCATENATE(TIM[[#This Row],[Supply Level]],TIM[[#This Row],[Station/Feeder]],TIM[[#This Row],[Voltage]],TIM[[#This Row],[Lowest A-PTX]])</f>
        <v>DistributionFeederCB2992_Goulds Road11345</v>
      </c>
      <c r="BF134" s="9">
        <f>IFERROR(IF(MIN(TIM[[#This Row],[Summ Cont Winter A]:[Cable Derating]])=0,"",MIN(TIM[[#This Row],[Summ Cont Winter A]:[Cable Derating]])),"")</f>
        <v>6.5731328147238894</v>
      </c>
      <c r="BG134" s="9">
        <f>IFERROR(TIM[[#This Row],[Lowest MVA]]*1000/(TIM[[#This Row],[Voltage]]*SQRT(3)),"")</f>
        <v>345</v>
      </c>
      <c r="BH134" s="9">
        <f t="shared" si="153"/>
        <v>345</v>
      </c>
      <c r="BI134" s="9" t="str">
        <f>TIM[[#This Row],[From]]</f>
        <v>CB2992</v>
      </c>
      <c r="BJ134" s="9" t="str">
        <f>TIM[[#This Row],[To]]</f>
        <v>L1075</v>
      </c>
      <c r="BK13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Cable-TIM-CB2992</v>
      </c>
      <c r="BL134" s="9">
        <f>TIM[[#This Row],[Voltage]]</f>
        <v>11</v>
      </c>
    </row>
    <row r="135" spans="1:64" ht="15" customHeight="1" x14ac:dyDescent="0.25">
      <c r="A135" s="6" t="str">
        <f>CONCATENATE(TIM[[#This Row],[Supply Level]],TIM[[#This Row],[Station/Feeder]],TIM[[#This Row],[Voltage]])</f>
        <v>DistributionFeederCB3002_Elginshire11</v>
      </c>
      <c r="B135" s="6" t="str">
        <f>CONCATENATE(TIM[[#This Row],[Supply Level]],TIM[[#This Row],[Station/Feeder]],TIM[[#This Row],[Equipment ID]],TIM[[#This Row],[Voltage]],TIM[[#This Row],[Device type]])</f>
        <v>DistributionFeederCB3002_ElginshireTIM-CB301211Protection</v>
      </c>
      <c r="C135" s="6" t="s">
        <v>1276</v>
      </c>
      <c r="D135" s="11" t="s">
        <v>1307</v>
      </c>
      <c r="E135" s="6" t="s">
        <v>243</v>
      </c>
      <c r="F135" s="6" t="s">
        <v>882</v>
      </c>
      <c r="G135" s="8">
        <v>1</v>
      </c>
      <c r="H135" s="7" t="s">
        <v>2374</v>
      </c>
      <c r="I135" s="6" t="s">
        <v>2243</v>
      </c>
      <c r="J135" s="6" t="s">
        <v>15</v>
      </c>
      <c r="K135" s="6" t="s">
        <v>1121</v>
      </c>
      <c r="L135" s="6" t="s">
        <v>1423</v>
      </c>
      <c r="M135" s="8">
        <v>11</v>
      </c>
      <c r="N135" s="9">
        <v>1250</v>
      </c>
      <c r="O135" s="9">
        <f t="shared" ref="O135:O136" si="229">IF(OR(N135="",N135="-"),"-",N135*$M135*SQRT(3)/1000)</f>
        <v>23.815698604072061</v>
      </c>
      <c r="P135" s="9">
        <v>1250</v>
      </c>
      <c r="Q135" s="9">
        <f t="shared" ref="Q135:Q136" si="230">IF(OR(P135="",P135="-"),"-",P135*$M135*SQRT(3)/1000)</f>
        <v>23.815698604072061</v>
      </c>
      <c r="R135" s="9">
        <v>1250</v>
      </c>
      <c r="S135" s="9">
        <f t="shared" ref="S135:S136" si="231">IF(OR(R135="",R135="-"),"-",R135*$M135*SQRT(3)/1000)</f>
        <v>23.815698604072061</v>
      </c>
      <c r="T135" s="9" t="s">
        <v>0</v>
      </c>
      <c r="U135" s="9" t="str">
        <f t="shared" ref="U135" si="232">IF(OR(T135="",T135="-"),"-",T135*$M135*SQRT(3)/1000)</f>
        <v>-</v>
      </c>
      <c r="V135" s="9" t="s">
        <v>0</v>
      </c>
      <c r="W135" s="9" t="str">
        <f t="shared" ref="W135" si="233">IF(OR(V135="",V135="-"),"-",V135*$M135*SQRT(3)/1000)</f>
        <v>-</v>
      </c>
      <c r="X135" s="9">
        <f>VLOOKUP(TIM[[#This Row],[Equipment ID]],AEL_Protection_Data[#All],12,0)</f>
        <v>400</v>
      </c>
      <c r="Y135" s="9">
        <f t="shared" ref="Y135" si="234">IF(OR(X135="",X135="-"),"-",X135*$M135*SQRT(3)/1000)</f>
        <v>7.6210235533030604</v>
      </c>
      <c r="Z135" s="9">
        <v>366</v>
      </c>
      <c r="AA135" s="9">
        <f t="shared" ref="AA135" si="235">IF(OR(Z135="",Z135="-"),"-",Z135*$M135*SQRT(3)/1000)</f>
        <v>6.9732365512722998</v>
      </c>
      <c r="AB135" s="9">
        <v>2400</v>
      </c>
      <c r="AC135" s="9">
        <f t="shared" ref="AC135" si="236">IF(OR(AB135="",AB135="-"),"-",AB135*$M135*SQRT(3)/1000)</f>
        <v>45.72614131981836</v>
      </c>
      <c r="AD135" s="9">
        <v>1600</v>
      </c>
      <c r="AE135" s="9">
        <f t="shared" ref="AE135" si="237">IF(OR(AD135="",AD135="-"),"-",AD135*$M135*SQRT(3)/1000)</f>
        <v>30.484094213212241</v>
      </c>
      <c r="AF135" s="9" t="s">
        <v>0</v>
      </c>
      <c r="AG135" s="9" t="s">
        <v>0</v>
      </c>
      <c r="AH135" s="9" t="s">
        <v>0</v>
      </c>
      <c r="AI135" s="9" t="s">
        <v>0</v>
      </c>
      <c r="AJ135" s="43" t="s">
        <v>0</v>
      </c>
      <c r="AK135" s="9" t="s">
        <v>0</v>
      </c>
      <c r="AL135" s="43" t="s">
        <v>0</v>
      </c>
      <c r="AM135" s="9" t="s">
        <v>0</v>
      </c>
      <c r="AN135" s="43" t="s">
        <v>0</v>
      </c>
      <c r="AO135" s="9" t="s">
        <v>0</v>
      </c>
      <c r="AP135" s="9" t="s">
        <v>0</v>
      </c>
      <c r="AQ135" s="43" t="s">
        <v>0</v>
      </c>
      <c r="AR135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35" s="9" t="str">
        <f t="shared" ref="AS135" si="238">IF(OR(AR135="",AR135="-"),"-",AR135*$M135*SQRT(3)/1000)</f>
        <v>-</v>
      </c>
      <c r="AT135" s="9">
        <f>IF(RIGHT(TIM[[#This Row],[Device type]],7)="Winding","-",TIM[[#This Row],[Cont Winter MVA]])</f>
        <v>23.815698604072061</v>
      </c>
      <c r="AU135" s="9">
        <f>IF(RIGHT(TIM[[#This Row],[Device type]],7)="Winding","-",TIM[[#This Row],[Cont Shoulder MVA]])</f>
        <v>23.815698604072061</v>
      </c>
      <c r="AV135" s="9">
        <f>IF(RIGHT(TIM[[#This Row],[Device type]],7)="Winding","-",TIM[[#This Row],[Cont Summer MVA]])</f>
        <v>23.815698604072061</v>
      </c>
      <c r="AW135" s="9" t="str">
        <f>TIM[[#This Row],[24 Hr Winter MVA]]</f>
        <v>-</v>
      </c>
      <c r="AX135" s="9" t="str">
        <f>TIM[[#This Row],[24 Hr Summer MVA]]</f>
        <v>-</v>
      </c>
      <c r="AY135" s="9">
        <f>TIM[[#This Row],[Forwards MVA]]</f>
        <v>7.6210235533030604</v>
      </c>
      <c r="AZ135" s="9">
        <f>TIM[[#This Row],[Relay MVA]]</f>
        <v>45.72614131981836</v>
      </c>
      <c r="BA135" s="9">
        <f>TIM[[#This Row],[CT MVA]]</f>
        <v>30.484094213212241</v>
      </c>
      <c r="BB135" s="9" t="str">
        <f>TIM[[#This Row],[Derating MVA]]</f>
        <v>-</v>
      </c>
      <c r="BC135" s="9" t="str">
        <f>TIM[[#This Row],[Station/Feeder]]&amp;TIM[[#This Row],[Lowest MVA]]</f>
        <v>CB3002_Elginshire7.62102355330306</v>
      </c>
      <c r="BD135" s="9" t="str">
        <f>CONCATENATE(TIM[[#This Row],[Supply Level]],TIM[[#This Row],[Station/Feeder]],TIM[[#This Row],[Voltage]],TIM[[#This Row],[Lowest A-No PTX]])</f>
        <v>DistributionFeederCB3002_Elginshire11400</v>
      </c>
      <c r="BE135" s="9" t="str">
        <f>CONCATENATE(TIM[[#This Row],[Supply Level]],TIM[[#This Row],[Station/Feeder]],TIM[[#This Row],[Voltage]],TIM[[#This Row],[Lowest A-PTX]])</f>
        <v>DistributionFeederCB3002_Elginshire11366</v>
      </c>
      <c r="BF135" s="9">
        <f>IFERROR(IF(MIN(TIM[[#This Row],[Summ Cont Winter A]:[Cable Derating]])=0,"",MIN(TIM[[#This Row],[Summ Cont Winter A]:[Cable Derating]])),"")</f>
        <v>7.6210235533030604</v>
      </c>
      <c r="BG135" s="9">
        <f>IFERROR(TIM[[#This Row],[Lowest MVA]]*1000/(TIM[[#This Row],[Voltage]]*SQRT(3)),"")</f>
        <v>400</v>
      </c>
      <c r="BH135" s="9">
        <f t="shared" si="153"/>
        <v>366</v>
      </c>
      <c r="BI135" s="9" t="str">
        <f>TIM[[#This Row],[From]]</f>
        <v>11 kV Bus</v>
      </c>
      <c r="BJ135" s="9" t="str">
        <f>TIM[[#This Row],[To]]</f>
        <v>CB3002</v>
      </c>
      <c r="BK13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Breaker-TIM-CB3012-Protection</v>
      </c>
      <c r="BL135" s="9">
        <f>TIM[[#This Row],[Voltage]]</f>
        <v>11</v>
      </c>
    </row>
    <row r="136" spans="1:64" ht="15" customHeight="1" x14ac:dyDescent="0.25">
      <c r="A136" s="6" t="str">
        <f>CONCATENATE(TIM[[#This Row],[Supply Level]],TIM[[#This Row],[Station/Feeder]],TIM[[#This Row],[Voltage]])</f>
        <v>DistributionFeederCB3002_Elginshire11</v>
      </c>
      <c r="B136" s="6" t="str">
        <f>CONCATENATE(TIM[[#This Row],[Supply Level]],TIM[[#This Row],[Station/Feeder]],TIM[[#This Row],[Equipment ID]],TIM[[#This Row],[Voltage]],TIM[[#This Row],[Device type]])</f>
        <v>DistributionFeederCB3002_Elginshire3/1c 1000mm² Al XLPE CWS MDPE11-</v>
      </c>
      <c r="C136" s="6" t="s">
        <v>1276</v>
      </c>
      <c r="D136" s="11" t="s">
        <v>1307</v>
      </c>
      <c r="E136" s="6" t="s">
        <v>882</v>
      </c>
      <c r="F136" s="6" t="s">
        <v>750</v>
      </c>
      <c r="G136" s="8">
        <v>2</v>
      </c>
      <c r="H136" s="7" t="s">
        <v>273</v>
      </c>
      <c r="I136" s="6" t="s">
        <v>1448</v>
      </c>
      <c r="J136" s="6" t="s">
        <v>250</v>
      </c>
      <c r="K136" s="6" t="s">
        <v>0</v>
      </c>
      <c r="L136" s="6" t="s">
        <v>0</v>
      </c>
      <c r="M136" s="8">
        <v>11</v>
      </c>
      <c r="N136" s="9">
        <v>728</v>
      </c>
      <c r="O136" s="9">
        <f t="shared" si="229"/>
        <v>13.870262867011569</v>
      </c>
      <c r="P136" s="9">
        <v>728</v>
      </c>
      <c r="Q136" s="9">
        <f t="shared" si="230"/>
        <v>13.870262867011569</v>
      </c>
      <c r="R136" s="9">
        <v>728</v>
      </c>
      <c r="S136" s="9">
        <f t="shared" si="231"/>
        <v>13.870262867011569</v>
      </c>
      <c r="T136" s="9" t="s">
        <v>0</v>
      </c>
      <c r="U136" s="9" t="str">
        <f t="shared" ref="U136:U143" si="239">IF(OR(T136="",T136="-"),"-",T136*$M136*SQRT(3)/1000)</f>
        <v>-</v>
      </c>
      <c r="V136" s="9" t="s">
        <v>0</v>
      </c>
      <c r="W136" s="9" t="str">
        <f t="shared" ref="W136:W143" si="240">IF(OR(V136="",V136="-"),"-",V136*$M136*SQRT(3)/1000)</f>
        <v>-</v>
      </c>
      <c r="X136" s="9" t="s">
        <v>0</v>
      </c>
      <c r="Y136" s="9" t="str">
        <f t="shared" ref="Y136:Y143" si="241">IF(OR(X136="",X136="-"),"-",X136*$M136*SQRT(3)/1000)</f>
        <v>-</v>
      </c>
      <c r="Z136" s="9" t="s">
        <v>0</v>
      </c>
      <c r="AA136" s="9" t="str">
        <f t="shared" ref="AA136:AA143" si="242">IF(OR(Z136="",Z136="-"),"-",Z136*$M136*SQRT(3)/1000)</f>
        <v>-</v>
      </c>
      <c r="AB136" s="9" t="s">
        <v>0</v>
      </c>
      <c r="AC136" s="9" t="str">
        <f t="shared" ref="AC136:AC143" si="243">IF(OR(AB136="",AB136="-"),"-",AB136*$M136*SQRT(3)/1000)</f>
        <v>-</v>
      </c>
      <c r="AD136" s="9" t="s">
        <v>0</v>
      </c>
      <c r="AE136" s="9" t="str">
        <f t="shared" ref="AE136:AE143" si="244">IF(OR(AD136="",AD136="-"),"-",AD136*$M136*SQRT(3)/1000)</f>
        <v>-</v>
      </c>
      <c r="AF136" s="9" t="s">
        <v>713</v>
      </c>
      <c r="AG136" s="9" t="s">
        <v>1452</v>
      </c>
      <c r="AH136" s="9">
        <v>3575</v>
      </c>
      <c r="AI136" s="9">
        <v>1</v>
      </c>
      <c r="AJ136" s="43">
        <v>1</v>
      </c>
      <c r="AK136" s="9">
        <v>15</v>
      </c>
      <c r="AL136" s="43">
        <v>1</v>
      </c>
      <c r="AM136" s="9">
        <v>1.2</v>
      </c>
      <c r="AN136" s="43">
        <v>1</v>
      </c>
      <c r="AO136" s="9">
        <v>4</v>
      </c>
      <c r="AP136" s="9">
        <v>0.5</v>
      </c>
      <c r="AQ136" s="43">
        <v>0.81200000000000006</v>
      </c>
      <c r="AR136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591.13600000000008</v>
      </c>
      <c r="AS136" s="9">
        <f t="shared" ref="AS136:AS143" si="245">IF(OR(AR136="",AR136="-"),"-",AR136*$M136*SQRT(3)/1000)</f>
        <v>11.262653448013396</v>
      </c>
      <c r="AT136" s="9">
        <f>IF(RIGHT(TIM[[#This Row],[Device type]],7)="Winding","-",TIM[[#This Row],[Cont Winter MVA]])</f>
        <v>13.870262867011569</v>
      </c>
      <c r="AU136" s="9">
        <f>IF(RIGHT(TIM[[#This Row],[Device type]],7)="Winding","-",TIM[[#This Row],[Cont Shoulder MVA]])</f>
        <v>13.870262867011569</v>
      </c>
      <c r="AV136" s="9">
        <f>IF(RIGHT(TIM[[#This Row],[Device type]],7)="Winding","-",TIM[[#This Row],[Cont Summer MVA]])</f>
        <v>13.870262867011569</v>
      </c>
      <c r="AW136" s="9" t="str">
        <f>TIM[[#This Row],[24 Hr Winter MVA]]</f>
        <v>-</v>
      </c>
      <c r="AX136" s="9" t="str">
        <f>TIM[[#This Row],[24 Hr Summer MVA]]</f>
        <v>-</v>
      </c>
      <c r="AY136" s="9" t="str">
        <f>TIM[[#This Row],[Forwards MVA]]</f>
        <v>-</v>
      </c>
      <c r="AZ136" s="9" t="str">
        <f>TIM[[#This Row],[Relay MVA]]</f>
        <v>-</v>
      </c>
      <c r="BA136" s="9" t="str">
        <f>TIM[[#This Row],[CT MVA]]</f>
        <v>-</v>
      </c>
      <c r="BB136" s="9">
        <f>TIM[[#This Row],[Derating MVA]]</f>
        <v>11.262653448013396</v>
      </c>
      <c r="BC136" s="9" t="str">
        <f>TIM[[#This Row],[Station/Feeder]]&amp;TIM[[#This Row],[Lowest MVA]]</f>
        <v>CB3002_Elginshire11.2626534480134</v>
      </c>
      <c r="BD136" s="9" t="str">
        <f>CONCATENATE(TIM[[#This Row],[Supply Level]],TIM[[#This Row],[Station/Feeder]],TIM[[#This Row],[Voltage]],TIM[[#This Row],[Lowest A-No PTX]])</f>
        <v>DistributionFeederCB3002_Elginshire11591.136</v>
      </c>
      <c r="BE136" s="9" t="str">
        <f>CONCATENATE(TIM[[#This Row],[Supply Level]],TIM[[#This Row],[Station/Feeder]],TIM[[#This Row],[Voltage]],TIM[[#This Row],[Lowest A-PTX]])</f>
        <v>DistributionFeederCB3002_Elginshire11591.136</v>
      </c>
      <c r="BF136" s="9">
        <f>IFERROR(IF(MIN(TIM[[#This Row],[Summ Cont Winter A]:[Cable Derating]])=0,"",MIN(TIM[[#This Row],[Summ Cont Winter A]:[Cable Derating]])),"")</f>
        <v>11.262653448013396</v>
      </c>
      <c r="BG136" s="9">
        <f>IFERROR(TIM[[#This Row],[Lowest MVA]]*1000/(TIM[[#This Row],[Voltage]]*SQRT(3)),"")</f>
        <v>591.13600000000008</v>
      </c>
      <c r="BH136" s="9">
        <f t="shared" si="153"/>
        <v>591.13600000000008</v>
      </c>
      <c r="BI136" s="9" t="str">
        <f>TIM[[#This Row],[From]]</f>
        <v>CB3002</v>
      </c>
      <c r="BJ136" s="9" t="str">
        <f>TIM[[#This Row],[To]]</f>
        <v>Joint</v>
      </c>
      <c r="BK136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- 3/1c 1000mm² Al XLPE CWS MDPE</v>
      </c>
      <c r="BL136" s="9">
        <f>TIM[[#This Row],[Voltage]]</f>
        <v>11</v>
      </c>
    </row>
    <row r="137" spans="1:64" ht="15" customHeight="1" x14ac:dyDescent="0.25">
      <c r="A137" s="6" t="str">
        <f>CONCATENATE(TIM[[#This Row],[Supply Level]],TIM[[#This Row],[Station/Feeder]],TIM[[#This Row],[Voltage]])</f>
        <v>DistributionFeederCB3002_Elginshire11</v>
      </c>
      <c r="B137" s="6" t="str">
        <f>CONCATENATE(TIM[[#This Row],[Supply Level]],TIM[[#This Row],[Station/Feeder]],TIM[[#This Row],[Equipment ID]],TIM[[#This Row],[Voltage]],TIM[[#This Row],[Device type]])</f>
        <v>DistributionFeederCB3002_Elginshire3/1c 400mm² AL XLPE HDPE Screened11-</v>
      </c>
      <c r="C137" s="6" t="s">
        <v>1276</v>
      </c>
      <c r="D137" s="11" t="s">
        <v>1307</v>
      </c>
      <c r="E137" s="6" t="s">
        <v>750</v>
      </c>
      <c r="F137" s="6" t="s">
        <v>1115</v>
      </c>
      <c r="G137" s="8">
        <v>3</v>
      </c>
      <c r="H137" s="7" t="s">
        <v>273</v>
      </c>
      <c r="I137" s="6" t="s">
        <v>819</v>
      </c>
      <c r="J137" s="6" t="s">
        <v>250</v>
      </c>
      <c r="K137" s="6" t="s">
        <v>0</v>
      </c>
      <c r="L137" s="6" t="s">
        <v>0</v>
      </c>
      <c r="M137" s="8">
        <v>11</v>
      </c>
      <c r="N137" s="9">
        <v>537</v>
      </c>
      <c r="O137" s="9">
        <f t="shared" ref="O137:O143" si="246">IF(OR(N137="",N137="-"),"-",N137*$M137*SQRT(3)/1000)</f>
        <v>10.231224120309358</v>
      </c>
      <c r="P137" s="9">
        <v>537</v>
      </c>
      <c r="Q137" s="9">
        <f t="shared" ref="Q137:Q143" si="247">IF(OR(P137="",P137="-"),"-",P137*$M137*SQRT(3)/1000)</f>
        <v>10.231224120309358</v>
      </c>
      <c r="R137" s="9">
        <v>537</v>
      </c>
      <c r="S137" s="9">
        <f t="shared" ref="S137:S143" si="248">IF(OR(R137="",R137="-"),"-",R137*$M137*SQRT(3)/1000)</f>
        <v>10.231224120309358</v>
      </c>
      <c r="T137" s="9" t="s">
        <v>0</v>
      </c>
      <c r="U137" s="9" t="str">
        <f t="shared" si="239"/>
        <v>-</v>
      </c>
      <c r="V137" s="9" t="s">
        <v>0</v>
      </c>
      <c r="W137" s="9" t="str">
        <f t="shared" si="240"/>
        <v>-</v>
      </c>
      <c r="X137" s="9" t="s">
        <v>0</v>
      </c>
      <c r="Y137" s="9" t="str">
        <f t="shared" si="241"/>
        <v>-</v>
      </c>
      <c r="Z137" s="9" t="s">
        <v>0</v>
      </c>
      <c r="AA137" s="9" t="str">
        <f t="shared" si="242"/>
        <v>-</v>
      </c>
      <c r="AB137" s="9" t="s">
        <v>0</v>
      </c>
      <c r="AC137" s="9" t="str">
        <f t="shared" si="243"/>
        <v>-</v>
      </c>
      <c r="AD137" s="9" t="s">
        <v>0</v>
      </c>
      <c r="AE137" s="9" t="str">
        <f t="shared" si="244"/>
        <v>-</v>
      </c>
      <c r="AF137" s="9" t="s">
        <v>713</v>
      </c>
      <c r="AG137" s="9" t="s">
        <v>0</v>
      </c>
      <c r="AH137" s="9" t="s">
        <v>0</v>
      </c>
      <c r="AI137" s="9">
        <v>0.9</v>
      </c>
      <c r="AJ137" s="43">
        <v>0.98</v>
      </c>
      <c r="AK137" s="9">
        <v>18.5</v>
      </c>
      <c r="AL137" s="43">
        <v>0.97</v>
      </c>
      <c r="AM137" s="9">
        <v>1.2</v>
      </c>
      <c r="AN137" s="43">
        <v>1</v>
      </c>
      <c r="AO137" s="9">
        <v>4</v>
      </c>
      <c r="AP137" s="9">
        <v>0.3</v>
      </c>
      <c r="AQ137" s="43">
        <v>0.82</v>
      </c>
      <c r="AR137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418.58720399999999</v>
      </c>
      <c r="AS137" s="9">
        <f t="shared" si="245"/>
        <v>7.9751573519881811</v>
      </c>
      <c r="AT137" s="9">
        <f>IF(RIGHT(TIM[[#This Row],[Device type]],7)="Winding","-",TIM[[#This Row],[Cont Winter MVA]])</f>
        <v>10.231224120309358</v>
      </c>
      <c r="AU137" s="9">
        <f>IF(RIGHT(TIM[[#This Row],[Device type]],7)="Winding","-",TIM[[#This Row],[Cont Shoulder MVA]])</f>
        <v>10.231224120309358</v>
      </c>
      <c r="AV137" s="9">
        <f>IF(RIGHT(TIM[[#This Row],[Device type]],7)="Winding","-",TIM[[#This Row],[Cont Summer MVA]])</f>
        <v>10.231224120309358</v>
      </c>
      <c r="AW137" s="9" t="str">
        <f>TIM[[#This Row],[24 Hr Winter MVA]]</f>
        <v>-</v>
      </c>
      <c r="AX137" s="9" t="str">
        <f>TIM[[#This Row],[24 Hr Summer MVA]]</f>
        <v>-</v>
      </c>
      <c r="AY137" s="9" t="str">
        <f>TIM[[#This Row],[Forwards MVA]]</f>
        <v>-</v>
      </c>
      <c r="AZ137" s="9" t="str">
        <f>TIM[[#This Row],[Relay MVA]]</f>
        <v>-</v>
      </c>
      <c r="BA137" s="9" t="str">
        <f>TIM[[#This Row],[CT MVA]]</f>
        <v>-</v>
      </c>
      <c r="BB137" s="9">
        <f>TIM[[#This Row],[Derating MVA]]</f>
        <v>7.9751573519881811</v>
      </c>
      <c r="BC137" s="9" t="str">
        <f>TIM[[#This Row],[Station/Feeder]]&amp;TIM[[#This Row],[Lowest MVA]]</f>
        <v>CB3002_Elginshire7.97515735198818</v>
      </c>
      <c r="BD137" s="9" t="str">
        <f>CONCATENATE(TIM[[#This Row],[Supply Level]],TIM[[#This Row],[Station/Feeder]],TIM[[#This Row],[Voltage]],TIM[[#This Row],[Lowest A-No PTX]])</f>
        <v>DistributionFeederCB3002_Elginshire11418.587204</v>
      </c>
      <c r="BE137" s="9" t="str">
        <f>CONCATENATE(TIM[[#This Row],[Supply Level]],TIM[[#This Row],[Station/Feeder]],TIM[[#This Row],[Voltage]],TIM[[#This Row],[Lowest A-PTX]])</f>
        <v>DistributionFeederCB3002_Elginshire11418.587204</v>
      </c>
      <c r="BF137" s="9">
        <f>IFERROR(IF(MIN(TIM[[#This Row],[Summ Cont Winter A]:[Cable Derating]])=0,"",MIN(TIM[[#This Row],[Summ Cont Winter A]:[Cable Derating]])),"")</f>
        <v>7.9751573519881811</v>
      </c>
      <c r="BG137" s="9">
        <f>IFERROR(TIM[[#This Row],[Lowest MVA]]*1000/(TIM[[#This Row],[Voltage]]*SQRT(3)),"")</f>
        <v>418.58720399999999</v>
      </c>
      <c r="BH137" s="9">
        <f t="shared" si="153"/>
        <v>418.58720399999999</v>
      </c>
      <c r="BI137" s="9" t="str">
        <f>TIM[[#This Row],[From]]</f>
        <v>Joint</v>
      </c>
      <c r="BJ137" s="9" t="str">
        <f>TIM[[#This Row],[To]]</f>
        <v>L969</v>
      </c>
      <c r="BK137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- 3/1c 400mm² AL XLPE HDPE Screened</v>
      </c>
      <c r="BL137" s="9">
        <f>TIM[[#This Row],[Voltage]]</f>
        <v>11</v>
      </c>
    </row>
    <row r="138" spans="1:64" ht="15" customHeight="1" x14ac:dyDescent="0.25">
      <c r="A138" s="6" t="str">
        <f>CONCATENATE(TIM[[#This Row],[Supply Level]],TIM[[#This Row],[Station/Feeder]],TIM[[#This Row],[Voltage]])</f>
        <v>DistributionFeederCB3002_Elginshire11</v>
      </c>
      <c r="B138" s="6" t="str">
        <f>CONCATENATE(TIM[[#This Row],[Supply Level]],TIM[[#This Row],[Station/Feeder]],TIM[[#This Row],[Equipment ID]],TIM[[#This Row],[Voltage]],TIM[[#This Row],[Device type]])</f>
        <v>DistributionFeederCB3002_ElginshireRingmain unit11-</v>
      </c>
      <c r="C138" s="6" t="s">
        <v>1276</v>
      </c>
      <c r="D138" s="11" t="s">
        <v>1307</v>
      </c>
      <c r="E138" s="6" t="s">
        <v>1115</v>
      </c>
      <c r="F138" s="6" t="s">
        <v>1459</v>
      </c>
      <c r="G138" s="8">
        <v>4</v>
      </c>
      <c r="H138" s="7" t="s">
        <v>273</v>
      </c>
      <c r="I138" s="6" t="s">
        <v>1457</v>
      </c>
      <c r="J138" s="6" t="s">
        <v>1458</v>
      </c>
      <c r="K138" s="6" t="s">
        <v>0</v>
      </c>
      <c r="L138" s="6" t="s">
        <v>0</v>
      </c>
      <c r="M138" s="8">
        <v>11</v>
      </c>
      <c r="N138" s="9">
        <v>630</v>
      </c>
      <c r="O138" s="9">
        <f t="shared" si="246"/>
        <v>12.00311209645232</v>
      </c>
      <c r="P138" s="9">
        <v>630</v>
      </c>
      <c r="Q138" s="9">
        <f t="shared" si="247"/>
        <v>12.00311209645232</v>
      </c>
      <c r="R138" s="9">
        <v>630</v>
      </c>
      <c r="S138" s="9">
        <f t="shared" si="248"/>
        <v>12.00311209645232</v>
      </c>
      <c r="T138" s="9" t="s">
        <v>0</v>
      </c>
      <c r="U138" s="9" t="str">
        <f t="shared" si="239"/>
        <v>-</v>
      </c>
      <c r="V138" s="9" t="s">
        <v>0</v>
      </c>
      <c r="W138" s="9" t="str">
        <f t="shared" si="240"/>
        <v>-</v>
      </c>
      <c r="X138" s="9" t="s">
        <v>0</v>
      </c>
      <c r="Y138" s="9" t="str">
        <f t="shared" si="241"/>
        <v>-</v>
      </c>
      <c r="Z138" s="9" t="s">
        <v>0</v>
      </c>
      <c r="AA138" s="9" t="str">
        <f t="shared" si="242"/>
        <v>-</v>
      </c>
      <c r="AB138" s="9" t="s">
        <v>0</v>
      </c>
      <c r="AC138" s="9" t="str">
        <f t="shared" si="243"/>
        <v>-</v>
      </c>
      <c r="AD138" s="9" t="s">
        <v>0</v>
      </c>
      <c r="AE138" s="9" t="str">
        <f t="shared" si="244"/>
        <v>-</v>
      </c>
      <c r="AF138" s="9" t="s">
        <v>0</v>
      </c>
      <c r="AG138" s="9" t="s">
        <v>0</v>
      </c>
      <c r="AH138" s="9" t="s">
        <v>0</v>
      </c>
      <c r="AI138" s="9" t="s">
        <v>0</v>
      </c>
      <c r="AJ138" s="43" t="s">
        <v>0</v>
      </c>
      <c r="AK138" s="9" t="s">
        <v>0</v>
      </c>
      <c r="AL138" s="43" t="s">
        <v>0</v>
      </c>
      <c r="AM138" s="9" t="s">
        <v>0</v>
      </c>
      <c r="AN138" s="43" t="s">
        <v>0</v>
      </c>
      <c r="AO138" s="9" t="s">
        <v>0</v>
      </c>
      <c r="AP138" s="9" t="s">
        <v>0</v>
      </c>
      <c r="AQ138" s="43" t="s">
        <v>0</v>
      </c>
      <c r="AR138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38" s="9" t="str">
        <f t="shared" si="245"/>
        <v>-</v>
      </c>
      <c r="AT138" s="9">
        <f>IF(RIGHT(TIM[[#This Row],[Device type]],7)="Winding","-",TIM[[#This Row],[Cont Winter MVA]])</f>
        <v>12.00311209645232</v>
      </c>
      <c r="AU138" s="9">
        <f>IF(RIGHT(TIM[[#This Row],[Device type]],7)="Winding","-",TIM[[#This Row],[Cont Shoulder MVA]])</f>
        <v>12.00311209645232</v>
      </c>
      <c r="AV138" s="9">
        <f>IF(RIGHT(TIM[[#This Row],[Device type]],7)="Winding","-",TIM[[#This Row],[Cont Summer MVA]])</f>
        <v>12.00311209645232</v>
      </c>
      <c r="AW138" s="9" t="str">
        <f>TIM[[#This Row],[24 Hr Winter MVA]]</f>
        <v>-</v>
      </c>
      <c r="AX138" s="9" t="str">
        <f>TIM[[#This Row],[24 Hr Summer MVA]]</f>
        <v>-</v>
      </c>
      <c r="AY138" s="9" t="str">
        <f>TIM[[#This Row],[Forwards MVA]]</f>
        <v>-</v>
      </c>
      <c r="AZ138" s="9" t="str">
        <f>TIM[[#This Row],[Relay MVA]]</f>
        <v>-</v>
      </c>
      <c r="BA138" s="9" t="str">
        <f>TIM[[#This Row],[CT MVA]]</f>
        <v>-</v>
      </c>
      <c r="BB138" s="9" t="str">
        <f>TIM[[#This Row],[Derating MVA]]</f>
        <v>-</v>
      </c>
      <c r="BC138" s="9" t="str">
        <f>TIM[[#This Row],[Station/Feeder]]&amp;TIM[[#This Row],[Lowest MVA]]</f>
        <v>CB3002_Elginshire12.0031120964523</v>
      </c>
      <c r="BD138" s="9" t="str">
        <f>CONCATENATE(TIM[[#This Row],[Supply Level]],TIM[[#This Row],[Station/Feeder]],TIM[[#This Row],[Voltage]],TIM[[#This Row],[Lowest A-No PTX]])</f>
        <v>DistributionFeederCB3002_Elginshire11630</v>
      </c>
      <c r="BE138" s="9" t="str">
        <f>CONCATENATE(TIM[[#This Row],[Supply Level]],TIM[[#This Row],[Station/Feeder]],TIM[[#This Row],[Voltage]],TIM[[#This Row],[Lowest A-PTX]])</f>
        <v>DistributionFeederCB3002_Elginshire11630</v>
      </c>
      <c r="BF138" s="9">
        <f>IFERROR(IF(MIN(TIM[[#This Row],[Summ Cont Winter A]:[Cable Derating]])=0,"",MIN(TIM[[#This Row],[Summ Cont Winter A]:[Cable Derating]])),"")</f>
        <v>12.00311209645232</v>
      </c>
      <c r="BG138" s="9">
        <f>IFERROR(TIM[[#This Row],[Lowest MVA]]*1000/(TIM[[#This Row],[Voltage]]*SQRT(3)),"")</f>
        <v>630</v>
      </c>
      <c r="BH138" s="9">
        <f t="shared" si="153"/>
        <v>630</v>
      </c>
      <c r="BI138" s="9" t="str">
        <f>TIM[[#This Row],[From]]</f>
        <v>L969</v>
      </c>
      <c r="BJ138" s="9" t="str">
        <f>TIM[[#This Row],[To]]</f>
        <v>L967</v>
      </c>
      <c r="BK138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RMU - Ringmain unit</v>
      </c>
      <c r="BL138" s="9">
        <f>TIM[[#This Row],[Voltage]]</f>
        <v>11</v>
      </c>
    </row>
    <row r="139" spans="1:64" ht="15" customHeight="1" x14ac:dyDescent="0.25">
      <c r="A139" s="6" t="str">
        <f>CONCATENATE(TIM[[#This Row],[Supply Level]],TIM[[#This Row],[Station/Feeder]],TIM[[#This Row],[Voltage]])</f>
        <v>DistributionFeederCB3002_Elginshire11</v>
      </c>
      <c r="B139" s="6" t="str">
        <f>CONCATENATE(TIM[[#This Row],[Supply Level]],TIM[[#This Row],[Station/Feeder]],TIM[[#This Row],[Equipment ID]],TIM[[#This Row],[Voltage]],TIM[[#This Row],[Device type]])</f>
        <v>DistributionFeederCB3002_Elginshire3/1c 400mm² AL XLPE HDPE Screened11-</v>
      </c>
      <c r="C139" s="6" t="s">
        <v>1276</v>
      </c>
      <c r="D139" s="11" t="s">
        <v>1307</v>
      </c>
      <c r="E139" s="6" t="s">
        <v>1459</v>
      </c>
      <c r="F139" s="6" t="s">
        <v>750</v>
      </c>
      <c r="G139" s="8">
        <v>5</v>
      </c>
      <c r="H139" s="7" t="s">
        <v>273</v>
      </c>
      <c r="I139" s="6" t="s">
        <v>819</v>
      </c>
      <c r="J139" s="6" t="s">
        <v>250</v>
      </c>
      <c r="K139" s="6" t="s">
        <v>0</v>
      </c>
      <c r="L139" s="6" t="s">
        <v>0</v>
      </c>
      <c r="M139" s="8">
        <v>11</v>
      </c>
      <c r="N139" s="9">
        <v>537</v>
      </c>
      <c r="O139" s="9">
        <f t="shared" si="246"/>
        <v>10.231224120309358</v>
      </c>
      <c r="P139" s="9">
        <v>537</v>
      </c>
      <c r="Q139" s="9">
        <f t="shared" si="247"/>
        <v>10.231224120309358</v>
      </c>
      <c r="R139" s="9">
        <v>537</v>
      </c>
      <c r="S139" s="9">
        <f t="shared" si="248"/>
        <v>10.231224120309358</v>
      </c>
      <c r="T139" s="9" t="s">
        <v>0</v>
      </c>
      <c r="U139" s="9" t="str">
        <f t="shared" si="239"/>
        <v>-</v>
      </c>
      <c r="V139" s="9" t="s">
        <v>0</v>
      </c>
      <c r="W139" s="9" t="str">
        <f t="shared" si="240"/>
        <v>-</v>
      </c>
      <c r="X139" s="9" t="s">
        <v>0</v>
      </c>
      <c r="Y139" s="9" t="str">
        <f t="shared" si="241"/>
        <v>-</v>
      </c>
      <c r="Z139" s="9" t="s">
        <v>0</v>
      </c>
      <c r="AA139" s="9" t="str">
        <f t="shared" si="242"/>
        <v>-</v>
      </c>
      <c r="AB139" s="9" t="s">
        <v>0</v>
      </c>
      <c r="AC139" s="9" t="str">
        <f t="shared" si="243"/>
        <v>-</v>
      </c>
      <c r="AD139" s="9" t="s">
        <v>0</v>
      </c>
      <c r="AE139" s="9" t="str">
        <f t="shared" si="244"/>
        <v>-</v>
      </c>
      <c r="AF139" s="9" t="s">
        <v>713</v>
      </c>
      <c r="AG139" s="9" t="s">
        <v>0</v>
      </c>
      <c r="AH139" s="9" t="s">
        <v>0</v>
      </c>
      <c r="AI139" s="9">
        <v>0.9</v>
      </c>
      <c r="AJ139" s="43">
        <v>0.98</v>
      </c>
      <c r="AK139" s="9">
        <v>18.5</v>
      </c>
      <c r="AL139" s="43">
        <v>0.97</v>
      </c>
      <c r="AM139" s="9">
        <v>1.2</v>
      </c>
      <c r="AN139" s="43">
        <v>1</v>
      </c>
      <c r="AO139" s="9">
        <v>4</v>
      </c>
      <c r="AP139" s="9">
        <v>0.3</v>
      </c>
      <c r="AQ139" s="43">
        <v>0.82</v>
      </c>
      <c r="AR139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418.58720399999999</v>
      </c>
      <c r="AS139" s="9">
        <f t="shared" si="245"/>
        <v>7.9751573519881811</v>
      </c>
      <c r="AT139" s="9">
        <f>IF(RIGHT(TIM[[#This Row],[Device type]],7)="Winding","-",TIM[[#This Row],[Cont Winter MVA]])</f>
        <v>10.231224120309358</v>
      </c>
      <c r="AU139" s="9">
        <f>IF(RIGHT(TIM[[#This Row],[Device type]],7)="Winding","-",TIM[[#This Row],[Cont Shoulder MVA]])</f>
        <v>10.231224120309358</v>
      </c>
      <c r="AV139" s="9">
        <f>IF(RIGHT(TIM[[#This Row],[Device type]],7)="Winding","-",TIM[[#This Row],[Cont Summer MVA]])</f>
        <v>10.231224120309358</v>
      </c>
      <c r="AW139" s="9" t="str">
        <f>TIM[[#This Row],[24 Hr Winter MVA]]</f>
        <v>-</v>
      </c>
      <c r="AX139" s="9" t="str">
        <f>TIM[[#This Row],[24 Hr Summer MVA]]</f>
        <v>-</v>
      </c>
      <c r="AY139" s="9" t="str">
        <f>TIM[[#This Row],[Forwards MVA]]</f>
        <v>-</v>
      </c>
      <c r="AZ139" s="9" t="str">
        <f>TIM[[#This Row],[Relay MVA]]</f>
        <v>-</v>
      </c>
      <c r="BA139" s="9" t="str">
        <f>TIM[[#This Row],[CT MVA]]</f>
        <v>-</v>
      </c>
      <c r="BB139" s="9">
        <f>TIM[[#This Row],[Derating MVA]]</f>
        <v>7.9751573519881811</v>
      </c>
      <c r="BC139" s="9" t="str">
        <f>TIM[[#This Row],[Station/Feeder]]&amp;TIM[[#This Row],[Lowest MVA]]</f>
        <v>CB3002_Elginshire7.97515735198818</v>
      </c>
      <c r="BD139" s="9" t="str">
        <f>CONCATENATE(TIM[[#This Row],[Supply Level]],TIM[[#This Row],[Station/Feeder]],TIM[[#This Row],[Voltage]],TIM[[#This Row],[Lowest A-No PTX]])</f>
        <v>DistributionFeederCB3002_Elginshire11418.587204</v>
      </c>
      <c r="BE139" s="9" t="str">
        <f>CONCATENATE(TIM[[#This Row],[Supply Level]],TIM[[#This Row],[Station/Feeder]],TIM[[#This Row],[Voltage]],TIM[[#This Row],[Lowest A-PTX]])</f>
        <v>DistributionFeederCB3002_Elginshire11418.587204</v>
      </c>
      <c r="BF139" s="9">
        <f>IFERROR(IF(MIN(TIM[[#This Row],[Summ Cont Winter A]:[Cable Derating]])=0,"",MIN(TIM[[#This Row],[Summ Cont Winter A]:[Cable Derating]])),"")</f>
        <v>7.9751573519881811</v>
      </c>
      <c r="BG139" s="9">
        <f>IFERROR(TIM[[#This Row],[Lowest MVA]]*1000/(TIM[[#This Row],[Voltage]]*SQRT(3)),"")</f>
        <v>418.58720399999999</v>
      </c>
      <c r="BH139" s="9">
        <f t="shared" si="153"/>
        <v>418.58720399999999</v>
      </c>
      <c r="BI139" s="9" t="str">
        <f>TIM[[#This Row],[From]]</f>
        <v>L967</v>
      </c>
      <c r="BJ139" s="9" t="str">
        <f>TIM[[#This Row],[To]]</f>
        <v>Joint</v>
      </c>
      <c r="BK139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- 3/1c 400mm² AL XLPE HDPE Screened</v>
      </c>
      <c r="BL139" s="9">
        <f>TIM[[#This Row],[Voltage]]</f>
        <v>11</v>
      </c>
    </row>
    <row r="140" spans="1:64" ht="15" customHeight="1" x14ac:dyDescent="0.25">
      <c r="A140" s="6" t="str">
        <f>CONCATENATE(TIM[[#This Row],[Supply Level]],TIM[[#This Row],[Station/Feeder]],TIM[[#This Row],[Voltage]])</f>
        <v>DistributionFeederCB3002_Elginshire11</v>
      </c>
      <c r="B140" s="6" t="str">
        <f>CONCATENATE(TIM[[#This Row],[Supply Level]],TIM[[#This Row],[Station/Feeder]],TIM[[#This Row],[Equipment ID]],TIM[[#This Row],[Voltage]],TIM[[#This Row],[Device type]])</f>
        <v>DistributionFeederCB3002_Elginshire3c 300mm² AL XLPE HDPE Screened11-</v>
      </c>
      <c r="C140" s="6" t="s">
        <v>1276</v>
      </c>
      <c r="D140" s="11" t="s">
        <v>1307</v>
      </c>
      <c r="E140" s="6" t="s">
        <v>750</v>
      </c>
      <c r="F140" s="6" t="s">
        <v>1460</v>
      </c>
      <c r="G140" s="8">
        <v>6</v>
      </c>
      <c r="H140" s="7" t="s">
        <v>273</v>
      </c>
      <c r="I140" s="6" t="s">
        <v>1451</v>
      </c>
      <c r="J140" s="6" t="s">
        <v>250</v>
      </c>
      <c r="K140" s="6" t="s">
        <v>0</v>
      </c>
      <c r="L140" s="6" t="s">
        <v>0</v>
      </c>
      <c r="M140" s="8">
        <v>11</v>
      </c>
      <c r="N140" s="9">
        <v>476</v>
      </c>
      <c r="O140" s="9">
        <f t="shared" si="246"/>
        <v>9.0690180284306408</v>
      </c>
      <c r="P140" s="9">
        <v>476</v>
      </c>
      <c r="Q140" s="9">
        <f t="shared" si="247"/>
        <v>9.0690180284306408</v>
      </c>
      <c r="R140" s="9">
        <v>476</v>
      </c>
      <c r="S140" s="9">
        <f t="shared" si="248"/>
        <v>9.0690180284306408</v>
      </c>
      <c r="T140" s="9" t="s">
        <v>0</v>
      </c>
      <c r="U140" s="9" t="str">
        <f t="shared" si="239"/>
        <v>-</v>
      </c>
      <c r="V140" s="9" t="s">
        <v>0</v>
      </c>
      <c r="W140" s="9" t="str">
        <f t="shared" si="240"/>
        <v>-</v>
      </c>
      <c r="X140" s="9" t="s">
        <v>0</v>
      </c>
      <c r="Y140" s="9" t="str">
        <f t="shared" si="241"/>
        <v>-</v>
      </c>
      <c r="Z140" s="9" t="s">
        <v>0</v>
      </c>
      <c r="AA140" s="9" t="str">
        <f t="shared" si="242"/>
        <v>-</v>
      </c>
      <c r="AB140" s="9" t="s">
        <v>0</v>
      </c>
      <c r="AC140" s="9" t="str">
        <f t="shared" si="243"/>
        <v>-</v>
      </c>
      <c r="AD140" s="9" t="s">
        <v>0</v>
      </c>
      <c r="AE140" s="9" t="str">
        <f t="shared" si="244"/>
        <v>-</v>
      </c>
      <c r="AF140" s="9" t="s">
        <v>716</v>
      </c>
      <c r="AG140" s="9" t="s">
        <v>1452</v>
      </c>
      <c r="AH140" s="9">
        <v>9</v>
      </c>
      <c r="AI140" s="9">
        <v>0.9</v>
      </c>
      <c r="AJ140" s="43">
        <v>0.96</v>
      </c>
      <c r="AK140" s="9">
        <v>18.5</v>
      </c>
      <c r="AL140" s="43">
        <v>0.97</v>
      </c>
      <c r="AM140" s="9">
        <v>1.2</v>
      </c>
      <c r="AN140" s="43">
        <v>1</v>
      </c>
      <c r="AO140" s="9">
        <v>2</v>
      </c>
      <c r="AP140" s="9">
        <v>0.3</v>
      </c>
      <c r="AQ140" s="43">
        <v>0.86</v>
      </c>
      <c r="AR140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381.19603199999995</v>
      </c>
      <c r="AS140" s="9">
        <f t="shared" si="245"/>
        <v>7.2627598457441653</v>
      </c>
      <c r="AT140" s="9">
        <f>IF(RIGHT(TIM[[#This Row],[Device type]],7)="Winding","-",TIM[[#This Row],[Cont Winter MVA]])</f>
        <v>9.0690180284306408</v>
      </c>
      <c r="AU140" s="9">
        <f>IF(RIGHT(TIM[[#This Row],[Device type]],7)="Winding","-",TIM[[#This Row],[Cont Shoulder MVA]])</f>
        <v>9.0690180284306408</v>
      </c>
      <c r="AV140" s="9">
        <f>IF(RIGHT(TIM[[#This Row],[Device type]],7)="Winding","-",TIM[[#This Row],[Cont Summer MVA]])</f>
        <v>9.0690180284306408</v>
      </c>
      <c r="AW140" s="9" t="str">
        <f>TIM[[#This Row],[24 Hr Winter MVA]]</f>
        <v>-</v>
      </c>
      <c r="AX140" s="9" t="str">
        <f>TIM[[#This Row],[24 Hr Summer MVA]]</f>
        <v>-</v>
      </c>
      <c r="AY140" s="9" t="str">
        <f>TIM[[#This Row],[Forwards MVA]]</f>
        <v>-</v>
      </c>
      <c r="AZ140" s="9" t="str">
        <f>TIM[[#This Row],[Relay MVA]]</f>
        <v>-</v>
      </c>
      <c r="BA140" s="9" t="str">
        <f>TIM[[#This Row],[CT MVA]]</f>
        <v>-</v>
      </c>
      <c r="BB140" s="9">
        <f>TIM[[#This Row],[Derating MVA]]</f>
        <v>7.2627598457441653</v>
      </c>
      <c r="BC140" s="9" t="str">
        <f>TIM[[#This Row],[Station/Feeder]]&amp;TIM[[#This Row],[Lowest MVA]]</f>
        <v>CB3002_Elginshire7.26275984574417</v>
      </c>
      <c r="BD140" s="9" t="str">
        <f>CONCATENATE(TIM[[#This Row],[Supply Level]],TIM[[#This Row],[Station/Feeder]],TIM[[#This Row],[Voltage]],TIM[[#This Row],[Lowest A-No PTX]])</f>
        <v>DistributionFeederCB3002_Elginshire11381.196032</v>
      </c>
      <c r="BE140" s="9" t="str">
        <f>CONCATENATE(TIM[[#This Row],[Supply Level]],TIM[[#This Row],[Station/Feeder]],TIM[[#This Row],[Voltage]],TIM[[#This Row],[Lowest A-PTX]])</f>
        <v>DistributionFeederCB3002_Elginshire11381.196032</v>
      </c>
      <c r="BF140" s="9">
        <f>IFERROR(IF(MIN(TIM[[#This Row],[Summ Cont Winter A]:[Cable Derating]])=0,"",MIN(TIM[[#This Row],[Summ Cont Winter A]:[Cable Derating]])),"")</f>
        <v>7.2627598457441653</v>
      </c>
      <c r="BG140" s="9">
        <f>IFERROR(TIM[[#This Row],[Lowest MVA]]*1000/(TIM[[#This Row],[Voltage]]*SQRT(3)),"")</f>
        <v>381.19603199999989</v>
      </c>
      <c r="BH140" s="9">
        <f t="shared" si="153"/>
        <v>381.19603199999995</v>
      </c>
      <c r="BI140" s="9" t="str">
        <f>TIM[[#This Row],[From]]</f>
        <v>Joint</v>
      </c>
      <c r="BJ140" s="9" t="str">
        <f>TIM[[#This Row],[To]]</f>
        <v>L868</v>
      </c>
      <c r="BK140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- 3c 300mm² AL XLPE HDPE Screened</v>
      </c>
      <c r="BL140" s="9">
        <f>TIM[[#This Row],[Voltage]]</f>
        <v>11</v>
      </c>
    </row>
    <row r="141" spans="1:64" ht="15" customHeight="1" x14ac:dyDescent="0.25">
      <c r="A141" s="6" t="str">
        <f>CONCATENATE(TIM[[#This Row],[Supply Level]],TIM[[#This Row],[Station/Feeder]],TIM[[#This Row],[Voltage]])</f>
        <v>DistributionFeederCB3002_Elginshire11</v>
      </c>
      <c r="B141" s="6" t="str">
        <f>CONCATENATE(TIM[[#This Row],[Supply Level]],TIM[[#This Row],[Station/Feeder]],TIM[[#This Row],[Equipment ID]],TIM[[#This Row],[Voltage]],TIM[[#This Row],[Device type]])</f>
        <v>DistributionFeederCB3002_ElginshireRingmain unit11</v>
      </c>
      <c r="C141" s="6" t="s">
        <v>1276</v>
      </c>
      <c r="D141" s="11" t="s">
        <v>1307</v>
      </c>
      <c r="E141" s="6" t="s">
        <v>1460</v>
      </c>
      <c r="F141" s="6" t="s">
        <v>1461</v>
      </c>
      <c r="G141" s="8">
        <v>7</v>
      </c>
      <c r="H141" s="7" t="s">
        <v>1464</v>
      </c>
      <c r="I141" s="6" t="s">
        <v>1457</v>
      </c>
      <c r="J141" s="6" t="s">
        <v>1458</v>
      </c>
      <c r="K141" s="6"/>
      <c r="L141" s="6"/>
      <c r="M141" s="8">
        <v>11</v>
      </c>
      <c r="N141" s="9">
        <v>630</v>
      </c>
      <c r="O141" s="9">
        <f t="shared" si="246"/>
        <v>12.00311209645232</v>
      </c>
      <c r="P141" s="9">
        <v>630</v>
      </c>
      <c r="Q141" s="9">
        <f t="shared" si="247"/>
        <v>12.00311209645232</v>
      </c>
      <c r="R141" s="9">
        <v>630</v>
      </c>
      <c r="S141" s="9">
        <f t="shared" si="248"/>
        <v>12.00311209645232</v>
      </c>
      <c r="T141" s="9" t="s">
        <v>0</v>
      </c>
      <c r="U141" s="9" t="str">
        <f t="shared" si="239"/>
        <v>-</v>
      </c>
      <c r="V141" s="9" t="s">
        <v>0</v>
      </c>
      <c r="W141" s="9" t="str">
        <f t="shared" si="240"/>
        <v>-</v>
      </c>
      <c r="X141" s="9" t="s">
        <v>0</v>
      </c>
      <c r="Y141" s="9" t="str">
        <f t="shared" si="241"/>
        <v>-</v>
      </c>
      <c r="Z141" s="9" t="s">
        <v>0</v>
      </c>
      <c r="AA141" s="9" t="str">
        <f t="shared" si="242"/>
        <v>-</v>
      </c>
      <c r="AB141" s="9" t="s">
        <v>0</v>
      </c>
      <c r="AC141" s="9" t="str">
        <f t="shared" si="243"/>
        <v>-</v>
      </c>
      <c r="AD141" s="9" t="s">
        <v>0</v>
      </c>
      <c r="AE141" s="9" t="str">
        <f t="shared" si="244"/>
        <v>-</v>
      </c>
      <c r="AF141" s="9" t="s">
        <v>0</v>
      </c>
      <c r="AG141" s="9" t="s">
        <v>0</v>
      </c>
      <c r="AH141" s="9" t="s">
        <v>0</v>
      </c>
      <c r="AI141" s="9" t="s">
        <v>0</v>
      </c>
      <c r="AJ141" s="43" t="s">
        <v>0</v>
      </c>
      <c r="AK141" s="9" t="s">
        <v>0</v>
      </c>
      <c r="AL141" s="43" t="s">
        <v>0</v>
      </c>
      <c r="AM141" s="9" t="s">
        <v>0</v>
      </c>
      <c r="AN141" s="43" t="s">
        <v>0</v>
      </c>
      <c r="AO141" s="9" t="s">
        <v>0</v>
      </c>
      <c r="AP141" s="9" t="s">
        <v>0</v>
      </c>
      <c r="AQ141" s="43" t="s">
        <v>0</v>
      </c>
      <c r="AR14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41" s="9" t="str">
        <f t="shared" si="245"/>
        <v>-</v>
      </c>
      <c r="AT141" s="9">
        <f>IF(RIGHT(TIM[[#This Row],[Device type]],7)="Winding","-",TIM[[#This Row],[Cont Winter MVA]])</f>
        <v>12.00311209645232</v>
      </c>
      <c r="AU141" s="9">
        <f>IF(RIGHT(TIM[[#This Row],[Device type]],7)="Winding","-",TIM[[#This Row],[Cont Shoulder MVA]])</f>
        <v>12.00311209645232</v>
      </c>
      <c r="AV141" s="9">
        <f>IF(RIGHT(TIM[[#This Row],[Device type]],7)="Winding","-",TIM[[#This Row],[Cont Summer MVA]])</f>
        <v>12.00311209645232</v>
      </c>
      <c r="AW141" s="9" t="str">
        <f>TIM[[#This Row],[24 Hr Winter MVA]]</f>
        <v>-</v>
      </c>
      <c r="AX141" s="9" t="str">
        <f>TIM[[#This Row],[24 Hr Summer MVA]]</f>
        <v>-</v>
      </c>
      <c r="AY141" s="9" t="str">
        <f>TIM[[#This Row],[Forwards MVA]]</f>
        <v>-</v>
      </c>
      <c r="AZ141" s="9" t="str">
        <f>TIM[[#This Row],[Relay MVA]]</f>
        <v>-</v>
      </c>
      <c r="BA141" s="9" t="str">
        <f>TIM[[#This Row],[CT MVA]]</f>
        <v>-</v>
      </c>
      <c r="BB141" s="9" t="str">
        <f>TIM[[#This Row],[Derating MVA]]</f>
        <v>-</v>
      </c>
      <c r="BC141" s="9" t="str">
        <f>TIM[[#This Row],[Station/Feeder]]&amp;TIM[[#This Row],[Lowest MVA]]</f>
        <v>CB3002_Elginshire12.0031120964523</v>
      </c>
      <c r="BD141" s="9" t="str">
        <f>CONCATENATE(TIM[[#This Row],[Supply Level]],TIM[[#This Row],[Station/Feeder]],TIM[[#This Row],[Voltage]],TIM[[#This Row],[Lowest A-No PTX]])</f>
        <v>DistributionFeederCB3002_Elginshire11630</v>
      </c>
      <c r="BE141" s="9" t="str">
        <f>CONCATENATE(TIM[[#This Row],[Supply Level]],TIM[[#This Row],[Station/Feeder]],TIM[[#This Row],[Voltage]],TIM[[#This Row],[Lowest A-PTX]])</f>
        <v>DistributionFeederCB3002_Elginshire11630</v>
      </c>
      <c r="BF141" s="9">
        <f>IFERROR(IF(MIN(TIM[[#This Row],[Summ Cont Winter A]:[Cable Derating]])=0,"",MIN(TIM[[#This Row],[Summ Cont Winter A]:[Cable Derating]])),"")</f>
        <v>12.00311209645232</v>
      </c>
      <c r="BG141" s="9">
        <f>IFERROR(TIM[[#This Row],[Lowest MVA]]*1000/(TIM[[#This Row],[Voltage]]*SQRT(3)),"")</f>
        <v>630</v>
      </c>
      <c r="BH141" s="9">
        <f t="shared" si="153"/>
        <v>630</v>
      </c>
      <c r="BI141" s="9" t="str">
        <f>TIM[[#This Row],[From]]</f>
        <v>L868</v>
      </c>
      <c r="BJ141" s="9" t="str">
        <f>TIM[[#This Row],[To]]</f>
        <v>L867</v>
      </c>
      <c r="BK141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 xml:space="preserve">RMU - Ringmain unit - </v>
      </c>
      <c r="BL141" s="9">
        <f>TIM[[#This Row],[Voltage]]</f>
        <v>11</v>
      </c>
    </row>
    <row r="142" spans="1:64" ht="15" customHeight="1" x14ac:dyDescent="0.25">
      <c r="A142" s="6" t="str">
        <f>CONCATENATE(TIM[[#This Row],[Supply Level]],TIM[[#This Row],[Station/Feeder]],TIM[[#This Row],[Voltage]])</f>
        <v>DistributionFeederCB3002_Elginshire11</v>
      </c>
      <c r="B142" s="6" t="str">
        <f>CONCATENATE(TIM[[#This Row],[Supply Level]],TIM[[#This Row],[Station/Feeder]],TIM[[#This Row],[Equipment ID]],TIM[[#This Row],[Voltage]],TIM[[#This Row],[Device type]])</f>
        <v>DistributionFeederCB3002_Elginshire3c 300mm² AL XLPE HDPE Screened11-</v>
      </c>
      <c r="C142" s="6" t="s">
        <v>1276</v>
      </c>
      <c r="D142" s="11" t="s">
        <v>1307</v>
      </c>
      <c r="E142" s="6" t="s">
        <v>1462</v>
      </c>
      <c r="F142" s="6" t="s">
        <v>750</v>
      </c>
      <c r="G142" s="8">
        <v>8</v>
      </c>
      <c r="H142" s="7" t="s">
        <v>273</v>
      </c>
      <c r="I142" s="6" t="s">
        <v>1451</v>
      </c>
      <c r="J142" s="6" t="s">
        <v>250</v>
      </c>
      <c r="K142" s="6" t="s">
        <v>0</v>
      </c>
      <c r="L142" s="6" t="s">
        <v>0</v>
      </c>
      <c r="M142" s="8">
        <v>11</v>
      </c>
      <c r="N142" s="9">
        <v>476</v>
      </c>
      <c r="O142" s="9">
        <f t="shared" si="246"/>
        <v>9.0690180284306408</v>
      </c>
      <c r="P142" s="9">
        <v>476</v>
      </c>
      <c r="Q142" s="9">
        <f t="shared" si="247"/>
        <v>9.0690180284306408</v>
      </c>
      <c r="R142" s="9">
        <v>476</v>
      </c>
      <c r="S142" s="9">
        <f t="shared" si="248"/>
        <v>9.0690180284306408</v>
      </c>
      <c r="T142" s="9" t="s">
        <v>0</v>
      </c>
      <c r="U142" s="9" t="str">
        <f t="shared" si="239"/>
        <v>-</v>
      </c>
      <c r="V142" s="9" t="s">
        <v>0</v>
      </c>
      <c r="W142" s="9" t="str">
        <f t="shared" si="240"/>
        <v>-</v>
      </c>
      <c r="X142" s="9" t="s">
        <v>0</v>
      </c>
      <c r="Y142" s="9" t="str">
        <f t="shared" si="241"/>
        <v>-</v>
      </c>
      <c r="Z142" s="9" t="s">
        <v>0</v>
      </c>
      <c r="AA142" s="9" t="str">
        <f t="shared" si="242"/>
        <v>-</v>
      </c>
      <c r="AB142" s="9" t="s">
        <v>0</v>
      </c>
      <c r="AC142" s="9" t="str">
        <f t="shared" si="243"/>
        <v>-</v>
      </c>
      <c r="AD142" s="9" t="s">
        <v>0</v>
      </c>
      <c r="AE142" s="9" t="str">
        <f t="shared" si="244"/>
        <v>-</v>
      </c>
      <c r="AF142" s="9" t="s">
        <v>716</v>
      </c>
      <c r="AG142" s="9" t="s">
        <v>0</v>
      </c>
      <c r="AH142" s="9">
        <v>9</v>
      </c>
      <c r="AI142" s="9">
        <v>0.9</v>
      </c>
      <c r="AJ142" s="43">
        <v>0.96</v>
      </c>
      <c r="AK142" s="9">
        <v>18.5</v>
      </c>
      <c r="AL142" s="43">
        <v>0.97</v>
      </c>
      <c r="AM142" s="9">
        <v>1.2</v>
      </c>
      <c r="AN142" s="43">
        <v>1</v>
      </c>
      <c r="AO142" s="9">
        <v>2</v>
      </c>
      <c r="AP142" s="9">
        <v>0.3</v>
      </c>
      <c r="AQ142" s="43">
        <v>0.86</v>
      </c>
      <c r="AR142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381.19603199999995</v>
      </c>
      <c r="AS142" s="9">
        <f t="shared" si="245"/>
        <v>7.2627598457441653</v>
      </c>
      <c r="AT142" s="9">
        <f>IF(RIGHT(TIM[[#This Row],[Device type]],7)="Winding","-",TIM[[#This Row],[Cont Winter MVA]])</f>
        <v>9.0690180284306408</v>
      </c>
      <c r="AU142" s="9">
        <f>IF(RIGHT(TIM[[#This Row],[Device type]],7)="Winding","-",TIM[[#This Row],[Cont Shoulder MVA]])</f>
        <v>9.0690180284306408</v>
      </c>
      <c r="AV142" s="9">
        <f>IF(RIGHT(TIM[[#This Row],[Device type]],7)="Winding","-",TIM[[#This Row],[Cont Summer MVA]])</f>
        <v>9.0690180284306408</v>
      </c>
      <c r="AW142" s="9" t="str">
        <f>TIM[[#This Row],[24 Hr Winter MVA]]</f>
        <v>-</v>
      </c>
      <c r="AX142" s="9" t="str">
        <f>TIM[[#This Row],[24 Hr Summer MVA]]</f>
        <v>-</v>
      </c>
      <c r="AY142" s="9" t="str">
        <f>TIM[[#This Row],[Forwards MVA]]</f>
        <v>-</v>
      </c>
      <c r="AZ142" s="9" t="str">
        <f>TIM[[#This Row],[Relay MVA]]</f>
        <v>-</v>
      </c>
      <c r="BA142" s="9" t="str">
        <f>TIM[[#This Row],[CT MVA]]</f>
        <v>-</v>
      </c>
      <c r="BB142" s="9">
        <f>TIM[[#This Row],[Derating MVA]]</f>
        <v>7.2627598457441653</v>
      </c>
      <c r="BC142" s="9" t="str">
        <f>TIM[[#This Row],[Station/Feeder]]&amp;TIM[[#This Row],[Lowest MVA]]</f>
        <v>CB3002_Elginshire7.26275984574417</v>
      </c>
      <c r="BD142" s="9" t="str">
        <f>CONCATENATE(TIM[[#This Row],[Supply Level]],TIM[[#This Row],[Station/Feeder]],TIM[[#This Row],[Voltage]],TIM[[#This Row],[Lowest A-No PTX]])</f>
        <v>DistributionFeederCB3002_Elginshire11381.196032</v>
      </c>
      <c r="BE142" s="9" t="str">
        <f>CONCATENATE(TIM[[#This Row],[Supply Level]],TIM[[#This Row],[Station/Feeder]],TIM[[#This Row],[Voltage]],TIM[[#This Row],[Lowest A-PTX]])</f>
        <v>DistributionFeederCB3002_Elginshire11381.196032</v>
      </c>
      <c r="BF142" s="9">
        <f>IFERROR(IF(MIN(TIM[[#This Row],[Summ Cont Winter A]:[Cable Derating]])=0,"",MIN(TIM[[#This Row],[Summ Cont Winter A]:[Cable Derating]])),"")</f>
        <v>7.2627598457441653</v>
      </c>
      <c r="BG142" s="9">
        <f>IFERROR(TIM[[#This Row],[Lowest MVA]]*1000/(TIM[[#This Row],[Voltage]]*SQRT(3)),"")</f>
        <v>381.19603199999989</v>
      </c>
      <c r="BH142" s="9">
        <f t="shared" si="153"/>
        <v>381.19603199999995</v>
      </c>
      <c r="BI142" s="9" t="str">
        <f>TIM[[#This Row],[From]]</f>
        <v>L876</v>
      </c>
      <c r="BJ142" s="9" t="str">
        <f>TIM[[#This Row],[To]]</f>
        <v>Joint</v>
      </c>
      <c r="BK142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- 3c 300mm² AL XLPE HDPE Screened</v>
      </c>
      <c r="BL142" s="9">
        <f>TIM[[#This Row],[Voltage]]</f>
        <v>11</v>
      </c>
    </row>
    <row r="143" spans="1:64" ht="15" customHeight="1" x14ac:dyDescent="0.25">
      <c r="A143" s="6" t="str">
        <f>CONCATENATE(TIM[[#This Row],[Supply Level]],TIM[[#This Row],[Station/Feeder]],TIM[[#This Row],[Voltage]])</f>
        <v>DistributionFeederCB3002_Elginshire11</v>
      </c>
      <c r="B143" s="6" t="str">
        <f>CONCATENATE(TIM[[#This Row],[Supply Level]],TIM[[#This Row],[Station/Feeder]],TIM[[#This Row],[Equipment ID]],TIM[[#This Row],[Voltage]],TIM[[#This Row],[Device type]])</f>
        <v>DistributionFeederCB3002_Elginshire3c 240mm² AL PILC11-</v>
      </c>
      <c r="C143" s="6" t="s">
        <v>1276</v>
      </c>
      <c r="D143" s="11" t="s">
        <v>1307</v>
      </c>
      <c r="E143" s="6" t="s">
        <v>750</v>
      </c>
      <c r="F143" s="6" t="s">
        <v>1463</v>
      </c>
      <c r="G143" s="8">
        <v>9</v>
      </c>
      <c r="H143" s="7" t="s">
        <v>273</v>
      </c>
      <c r="I143" s="6" t="s">
        <v>1453</v>
      </c>
      <c r="J143" s="6" t="s">
        <v>250</v>
      </c>
      <c r="K143" s="6" t="s">
        <v>0</v>
      </c>
      <c r="L143" s="6" t="s">
        <v>0</v>
      </c>
      <c r="M143" s="8">
        <v>11</v>
      </c>
      <c r="N143" s="9">
        <v>288</v>
      </c>
      <c r="O143" s="9">
        <f t="shared" si="246"/>
        <v>5.4871369583782021</v>
      </c>
      <c r="P143" s="9">
        <v>288</v>
      </c>
      <c r="Q143" s="9">
        <f t="shared" si="247"/>
        <v>5.4871369583782021</v>
      </c>
      <c r="R143" s="9">
        <v>288</v>
      </c>
      <c r="S143" s="9">
        <f t="shared" si="248"/>
        <v>5.4871369583782021</v>
      </c>
      <c r="T143" s="9" t="s">
        <v>0</v>
      </c>
      <c r="U143" s="9" t="str">
        <f t="shared" si="239"/>
        <v>-</v>
      </c>
      <c r="V143" s="9" t="s">
        <v>0</v>
      </c>
      <c r="W143" s="9" t="str">
        <f t="shared" si="240"/>
        <v>-</v>
      </c>
      <c r="X143" s="9" t="s">
        <v>0</v>
      </c>
      <c r="Y143" s="9" t="str">
        <f t="shared" si="241"/>
        <v>-</v>
      </c>
      <c r="Z143" s="9" t="s">
        <v>0</v>
      </c>
      <c r="AA143" s="9" t="str">
        <f t="shared" si="242"/>
        <v>-</v>
      </c>
      <c r="AB143" s="9" t="s">
        <v>0</v>
      </c>
      <c r="AC143" s="9" t="str">
        <f t="shared" si="243"/>
        <v>-</v>
      </c>
      <c r="AD143" s="9" t="s">
        <v>0</v>
      </c>
      <c r="AE143" s="9" t="str">
        <f t="shared" si="244"/>
        <v>-</v>
      </c>
      <c r="AF143" s="9" t="s">
        <v>716</v>
      </c>
      <c r="AG143" s="9" t="s">
        <v>344</v>
      </c>
      <c r="AH143" s="9">
        <v>64</v>
      </c>
      <c r="AI143" s="9">
        <v>0.9</v>
      </c>
      <c r="AJ143" s="43">
        <v>0.96</v>
      </c>
      <c r="AK143" s="9">
        <v>18.5</v>
      </c>
      <c r="AL143" s="43">
        <v>0.97</v>
      </c>
      <c r="AM143" s="9">
        <v>1.2</v>
      </c>
      <c r="AN143" s="43">
        <v>1</v>
      </c>
      <c r="AO143" s="9">
        <v>2</v>
      </c>
      <c r="AP143" s="9">
        <v>0</v>
      </c>
      <c r="AQ143" s="43">
        <v>0.88</v>
      </c>
      <c r="AR143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236.00332799999998</v>
      </c>
      <c r="AS143" s="9">
        <f t="shared" si="245"/>
        <v>4.4964673033647689</v>
      </c>
      <c r="AT143" s="9">
        <f>IF(RIGHT(TIM[[#This Row],[Device type]],7)="Winding","-",TIM[[#This Row],[Cont Winter MVA]])</f>
        <v>5.4871369583782021</v>
      </c>
      <c r="AU143" s="9">
        <f>IF(RIGHT(TIM[[#This Row],[Device type]],7)="Winding","-",TIM[[#This Row],[Cont Shoulder MVA]])</f>
        <v>5.4871369583782021</v>
      </c>
      <c r="AV143" s="9">
        <f>IF(RIGHT(TIM[[#This Row],[Device type]],7)="Winding","-",TIM[[#This Row],[Cont Summer MVA]])</f>
        <v>5.4871369583782021</v>
      </c>
      <c r="AW143" s="9" t="str">
        <f>TIM[[#This Row],[24 Hr Winter MVA]]</f>
        <v>-</v>
      </c>
      <c r="AX143" s="9" t="str">
        <f>TIM[[#This Row],[24 Hr Summer MVA]]</f>
        <v>-</v>
      </c>
      <c r="AY143" s="9" t="str">
        <f>TIM[[#This Row],[Forwards MVA]]</f>
        <v>-</v>
      </c>
      <c r="AZ143" s="9" t="str">
        <f>TIM[[#This Row],[Relay MVA]]</f>
        <v>-</v>
      </c>
      <c r="BA143" s="9" t="str">
        <f>TIM[[#This Row],[CT MVA]]</f>
        <v>-</v>
      </c>
      <c r="BB143" s="9">
        <f>TIM[[#This Row],[Derating MVA]]</f>
        <v>4.4964673033647689</v>
      </c>
      <c r="BC143" s="9" t="str">
        <f>TIM[[#This Row],[Station/Feeder]]&amp;TIM[[#This Row],[Lowest MVA]]</f>
        <v>CB3002_Elginshire4.49646730336477</v>
      </c>
      <c r="BD143" s="9" t="str">
        <f>CONCATENATE(TIM[[#This Row],[Supply Level]],TIM[[#This Row],[Station/Feeder]],TIM[[#This Row],[Voltage]],TIM[[#This Row],[Lowest A-No PTX]])</f>
        <v>DistributionFeederCB3002_Elginshire11236.003328</v>
      </c>
      <c r="BE143" s="9" t="str">
        <f>CONCATENATE(TIM[[#This Row],[Supply Level]],TIM[[#This Row],[Station/Feeder]],TIM[[#This Row],[Voltage]],TIM[[#This Row],[Lowest A-PTX]])</f>
        <v>DistributionFeederCB3002_Elginshire11236.003328</v>
      </c>
      <c r="BF143" s="9">
        <f>IFERROR(IF(MIN(TIM[[#This Row],[Summ Cont Winter A]:[Cable Derating]])=0,"",MIN(TIM[[#This Row],[Summ Cont Winter A]:[Cable Derating]])),"")</f>
        <v>4.4964673033647689</v>
      </c>
      <c r="BG143" s="9">
        <f>IFERROR(TIM[[#This Row],[Lowest MVA]]*1000/(TIM[[#This Row],[Voltage]]*SQRT(3)),"")</f>
        <v>236.00332799999998</v>
      </c>
      <c r="BH143" s="9">
        <f t="shared" si="153"/>
        <v>236.00332799999998</v>
      </c>
      <c r="BI143" s="9" t="str">
        <f>TIM[[#This Row],[From]]</f>
        <v>Joint</v>
      </c>
      <c r="BJ143" s="9" t="str">
        <f>TIM[[#This Row],[To]]</f>
        <v>B1541</v>
      </c>
      <c r="BK143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- 3c 240mm² AL PILC</v>
      </c>
      <c r="BL143" s="9">
        <f>TIM[[#This Row],[Voltage]]</f>
        <v>11</v>
      </c>
    </row>
    <row r="144" spans="1:64" ht="15" hidden="1" customHeight="1" x14ac:dyDescent="0.25">
      <c r="A144" s="6" t="str">
        <f>CONCATENATE(TIM[[#This Row],[Supply Level]],TIM[[#This Row],[Station/Feeder]],TIM[[#This Row],[Voltage]])</f>
        <v>SubTransmissionTIM_WSS_SUBTRANS11</v>
      </c>
      <c r="B144" s="6" t="str">
        <f>CONCATENATE(TIM[[#This Row],[Supply Level]],TIM[[#This Row],[Station/Feeder]],TIM[[#This Row],[Equipment ID]],TIM[[#This Row],[Voltage]],TIM[[#This Row],[Device type]])</f>
        <v>SubTransmissionTIM_WSS_SUBTRANSTIM-CB300211Protection</v>
      </c>
      <c r="C144" s="6" t="s">
        <v>1245</v>
      </c>
      <c r="D144" s="11" t="s">
        <v>1313</v>
      </c>
      <c r="E144" s="6" t="s">
        <v>243</v>
      </c>
      <c r="F144" s="6" t="s">
        <v>882</v>
      </c>
      <c r="G144" s="27">
        <v>1</v>
      </c>
      <c r="H144" s="7" t="s">
        <v>2375</v>
      </c>
      <c r="I144" s="7" t="s">
        <v>2244</v>
      </c>
      <c r="J144" s="7" t="s">
        <v>15</v>
      </c>
      <c r="K144" s="7" t="s">
        <v>1121</v>
      </c>
      <c r="L144" s="7" t="s">
        <v>1423</v>
      </c>
      <c r="M144" s="8">
        <v>11</v>
      </c>
      <c r="N144" s="9">
        <v>1250</v>
      </c>
      <c r="O144" s="9">
        <f t="shared" si="0"/>
        <v>23.815698604072061</v>
      </c>
      <c r="P144" s="9">
        <v>1250</v>
      </c>
      <c r="Q144" s="9">
        <f t="shared" si="1"/>
        <v>23.815698604072061</v>
      </c>
      <c r="R144" s="9">
        <v>1250</v>
      </c>
      <c r="S144" s="9">
        <f t="shared" si="2"/>
        <v>23.815698604072061</v>
      </c>
      <c r="T144" s="9" t="s">
        <v>0</v>
      </c>
      <c r="U144" s="9" t="str">
        <f t="shared" si="3"/>
        <v>-</v>
      </c>
      <c r="V144" s="9" t="s">
        <v>0</v>
      </c>
      <c r="W144" s="9" t="str">
        <f t="shared" si="4"/>
        <v>-</v>
      </c>
      <c r="X144" s="9">
        <f>VLOOKUP(TIM[[#This Row],[Equipment ID]],AEL_Protection_Data[#All],12,0)</f>
        <v>400</v>
      </c>
      <c r="Y144" s="9">
        <f t="shared" si="5"/>
        <v>7.6210235533030604</v>
      </c>
      <c r="Z144" s="9">
        <v>366</v>
      </c>
      <c r="AA144" s="9">
        <f t="shared" si="6"/>
        <v>6.9732365512722998</v>
      </c>
      <c r="AB144" s="9">
        <v>2400</v>
      </c>
      <c r="AC144" s="9">
        <f t="shared" si="7"/>
        <v>45.72614131981836</v>
      </c>
      <c r="AD144" s="9">
        <v>1600</v>
      </c>
      <c r="AE144" s="12">
        <f t="shared" si="8"/>
        <v>30.484094213212241</v>
      </c>
      <c r="AF144" s="29" t="s">
        <v>0</v>
      </c>
      <c r="AG144" s="29" t="s">
        <v>0</v>
      </c>
      <c r="AH144" s="8" t="s">
        <v>0</v>
      </c>
      <c r="AI144" s="29" t="s">
        <v>0</v>
      </c>
      <c r="AJ144" s="32" t="s">
        <v>0</v>
      </c>
      <c r="AK144" s="29" t="s">
        <v>0</v>
      </c>
      <c r="AL144" s="32" t="s">
        <v>0</v>
      </c>
      <c r="AM144" s="29" t="s">
        <v>0</v>
      </c>
      <c r="AN144" s="32" t="s">
        <v>0</v>
      </c>
      <c r="AO144" s="29" t="s">
        <v>0</v>
      </c>
      <c r="AP144" s="29" t="s">
        <v>0</v>
      </c>
      <c r="AQ144" s="32" t="s">
        <v>0</v>
      </c>
      <c r="AR14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44" s="9" t="str">
        <f t="shared" si="9"/>
        <v>-</v>
      </c>
      <c r="AT144" s="9">
        <f>IF(RIGHT(TIM[[#This Row],[Device type]],7)="Winding","-",TIM[[#This Row],[Cont Winter MVA]])</f>
        <v>23.815698604072061</v>
      </c>
      <c r="AU144" s="9">
        <f>IF(RIGHT(TIM[[#This Row],[Device type]],7)="Winding","-",TIM[[#This Row],[Cont Shoulder MVA]])</f>
        <v>23.815698604072061</v>
      </c>
      <c r="AV144" s="9">
        <f>IF(RIGHT(TIM[[#This Row],[Device type]],7)="Winding","-",TIM[[#This Row],[Cont Summer MVA]])</f>
        <v>23.815698604072061</v>
      </c>
      <c r="AW144" s="9" t="str">
        <f>TIM[[#This Row],[24 Hr Winter MVA]]</f>
        <v>-</v>
      </c>
      <c r="AX144" s="9" t="str">
        <f>TIM[[#This Row],[24 Hr Summer MVA]]</f>
        <v>-</v>
      </c>
      <c r="AY144" s="9">
        <f>TIM[[#This Row],[Forwards MVA]]</f>
        <v>7.6210235533030604</v>
      </c>
      <c r="AZ144" s="9">
        <f>TIM[[#This Row],[Relay MVA]]</f>
        <v>45.72614131981836</v>
      </c>
      <c r="BA144" s="9">
        <f>TIM[[#This Row],[CT MVA]]</f>
        <v>30.484094213212241</v>
      </c>
      <c r="BB144" s="9" t="str">
        <f>TIM[[#This Row],[Derating MVA]]</f>
        <v>-</v>
      </c>
      <c r="BC144" s="9" t="str">
        <f>TIM[[#This Row],[Station/Feeder]]&amp;TIM[[#This Row],[Lowest MVA]]</f>
        <v>TIM_WSS_SUBTRANS7.62102355330306</v>
      </c>
      <c r="BD144" s="9" t="str">
        <f>CONCATENATE(TIM[[#This Row],[Supply Level]],TIM[[#This Row],[Station/Feeder]],TIM[[#This Row],[Voltage]],TIM[[#This Row],[Lowest A-No PTX]])</f>
        <v>SubTransmissionTIM_WSS_SUBTRANS11400</v>
      </c>
      <c r="BE144" s="9" t="str">
        <f>CONCATENATE(TIM[[#This Row],[Supply Level]],TIM[[#This Row],[Station/Feeder]],TIM[[#This Row],[Voltage]],TIM[[#This Row],[Lowest A-PTX]])</f>
        <v>SubTransmissionTIM_WSS_SUBTRANS11366</v>
      </c>
      <c r="BF144" s="9">
        <f>IFERROR(IF(MIN(TIM[[#This Row],[Summ Cont Winter A]:[Cable Derating]])=0,"",MIN(TIM[[#This Row],[Summ Cont Winter A]:[Cable Derating]])),"")</f>
        <v>7.6210235533030604</v>
      </c>
      <c r="BG144" s="9">
        <f>IFERROR(TIM[[#This Row],[Lowest MVA]]*1000/(TIM[[#This Row],[Voltage]]*SQRT(3)),"")</f>
        <v>400</v>
      </c>
      <c r="BH144" s="9">
        <f t="shared" si="153"/>
        <v>366</v>
      </c>
      <c r="BI144" s="9" t="str">
        <f>TIM[[#This Row],[From]]</f>
        <v>11 kV Bus</v>
      </c>
      <c r="BJ144" s="9" t="str">
        <f>TIM[[#This Row],[To]]</f>
        <v>CB3002</v>
      </c>
      <c r="BK14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Breaker-TIM-CB3002-Protection</v>
      </c>
      <c r="BL144" s="9">
        <f>TIM[[#This Row],[Voltage]]</f>
        <v>11</v>
      </c>
    </row>
    <row r="145" spans="1:64" ht="15" customHeight="1" x14ac:dyDescent="0.25">
      <c r="A145" s="6" t="str">
        <f>CONCATENATE(TIM[[#This Row],[Supply Level]],TIM[[#This Row],[Station/Feeder]],TIM[[#This Row],[Voltage]])</f>
        <v>DistributionFeederCB3012_Arowhenua11</v>
      </c>
      <c r="B145" s="6" t="str">
        <f>CONCATENATE(TIM[[#This Row],[Supply Level]],TIM[[#This Row],[Station/Feeder]],TIM[[#This Row],[Equipment ID]],TIM[[#This Row],[Voltage]],TIM[[#This Row],[Device type]])</f>
        <v>DistributionFeederCB3012_ArowhenuaTIM-CB301211Protection</v>
      </c>
      <c r="C145" s="6" t="s">
        <v>1276</v>
      </c>
      <c r="D145" s="6" t="s">
        <v>1312</v>
      </c>
      <c r="E145" s="6" t="s">
        <v>243</v>
      </c>
      <c r="F145" s="6" t="s">
        <v>884</v>
      </c>
      <c r="G145" s="8">
        <v>1</v>
      </c>
      <c r="H145" s="7" t="s">
        <v>2374</v>
      </c>
      <c r="I145" s="6" t="s">
        <v>2243</v>
      </c>
      <c r="J145" s="6" t="s">
        <v>15</v>
      </c>
      <c r="K145" s="6" t="s">
        <v>1121</v>
      </c>
      <c r="L145" s="6" t="s">
        <v>1423</v>
      </c>
      <c r="M145" s="8">
        <v>11</v>
      </c>
      <c r="N145" s="9">
        <v>1250</v>
      </c>
      <c r="O145" s="9">
        <f t="shared" ref="O145:O146" si="249">IF(OR(N145="",N145="-"),"-",N145*$M145*SQRT(3)/1000)</f>
        <v>23.815698604072061</v>
      </c>
      <c r="P145" s="9">
        <v>1250</v>
      </c>
      <c r="Q145" s="9">
        <f t="shared" ref="Q145:Q146" si="250">IF(OR(P145="",P145="-"),"-",P145*$M145*SQRT(3)/1000)</f>
        <v>23.815698604072061</v>
      </c>
      <c r="R145" s="9">
        <v>1250</v>
      </c>
      <c r="S145" s="9">
        <f t="shared" ref="S145:S146" si="251">IF(OR(R145="",R145="-"),"-",R145*$M145*SQRT(3)/1000)</f>
        <v>23.815698604072061</v>
      </c>
      <c r="T145" s="9" t="s">
        <v>0</v>
      </c>
      <c r="U145" s="9" t="str">
        <f t="shared" ref="U145" si="252">IF(OR(T145="",T145="-"),"-",T145*$M145*SQRT(3)/1000)</f>
        <v>-</v>
      </c>
      <c r="V145" s="9" t="s">
        <v>0</v>
      </c>
      <c r="W145" s="9" t="str">
        <f t="shared" ref="W145" si="253">IF(OR(V145="",V145="-"),"-",V145*$M145*SQRT(3)/1000)</f>
        <v>-</v>
      </c>
      <c r="X145" s="9">
        <f>VLOOKUP(TIM[[#This Row],[Equipment ID]],AEL_Protection_Data[#All],12,0)</f>
        <v>400</v>
      </c>
      <c r="Y145" s="9">
        <f t="shared" ref="Y145" si="254">IF(OR(X145="",X145="-"),"-",X145*$M145*SQRT(3)/1000)</f>
        <v>7.6210235533030604</v>
      </c>
      <c r="Z145" s="9">
        <v>366</v>
      </c>
      <c r="AA145" s="9">
        <f t="shared" ref="AA145" si="255">IF(OR(Z145="",Z145="-"),"-",Z145*$M145*SQRT(3)/1000)</f>
        <v>6.9732365512722998</v>
      </c>
      <c r="AB145" s="9">
        <v>2400</v>
      </c>
      <c r="AC145" s="9">
        <f t="shared" ref="AC145" si="256">IF(OR(AB145="",AB145="-"),"-",AB145*$M145*SQRT(3)/1000)</f>
        <v>45.72614131981836</v>
      </c>
      <c r="AD145" s="9">
        <v>1600</v>
      </c>
      <c r="AE145" s="9">
        <f t="shared" ref="AE145" si="257">IF(OR(AD145="",AD145="-"),"-",AD145*$M145*SQRT(3)/1000)</f>
        <v>30.484094213212241</v>
      </c>
      <c r="AF145" s="9" t="s">
        <v>0</v>
      </c>
      <c r="AG145" s="9" t="s">
        <v>0</v>
      </c>
      <c r="AH145" s="9" t="s">
        <v>0</v>
      </c>
      <c r="AI145" s="9" t="s">
        <v>0</v>
      </c>
      <c r="AJ145" s="43" t="s">
        <v>0</v>
      </c>
      <c r="AK145" s="9" t="s">
        <v>0</v>
      </c>
      <c r="AL145" s="43" t="s">
        <v>0</v>
      </c>
      <c r="AM145" s="9" t="s">
        <v>0</v>
      </c>
      <c r="AN145" s="43" t="s">
        <v>0</v>
      </c>
      <c r="AO145" s="9" t="s">
        <v>0</v>
      </c>
      <c r="AP145" s="9" t="s">
        <v>0</v>
      </c>
      <c r="AQ145" s="43" t="s">
        <v>0</v>
      </c>
      <c r="AR145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45" s="9" t="str">
        <f t="shared" ref="AS145" si="258">IF(OR(AR145="",AR145="-"),"-",AR145*$M145*SQRT(3)/1000)</f>
        <v>-</v>
      </c>
      <c r="AT145" s="9">
        <f>IF(RIGHT(TIM[[#This Row],[Device type]],7)="Winding","-",TIM[[#This Row],[Cont Winter MVA]])</f>
        <v>23.815698604072061</v>
      </c>
      <c r="AU145" s="9">
        <f>IF(RIGHT(TIM[[#This Row],[Device type]],7)="Winding","-",TIM[[#This Row],[Cont Shoulder MVA]])</f>
        <v>23.815698604072061</v>
      </c>
      <c r="AV145" s="9">
        <f>IF(RIGHT(TIM[[#This Row],[Device type]],7)="Winding","-",TIM[[#This Row],[Cont Summer MVA]])</f>
        <v>23.815698604072061</v>
      </c>
      <c r="AW145" s="9" t="str">
        <f>TIM[[#This Row],[24 Hr Winter MVA]]</f>
        <v>-</v>
      </c>
      <c r="AX145" s="9" t="str">
        <f>TIM[[#This Row],[24 Hr Summer MVA]]</f>
        <v>-</v>
      </c>
      <c r="AY145" s="9">
        <f>TIM[[#This Row],[Forwards MVA]]</f>
        <v>7.6210235533030604</v>
      </c>
      <c r="AZ145" s="9">
        <f>TIM[[#This Row],[Relay MVA]]</f>
        <v>45.72614131981836</v>
      </c>
      <c r="BA145" s="9">
        <f>TIM[[#This Row],[CT MVA]]</f>
        <v>30.484094213212241</v>
      </c>
      <c r="BB145" s="9" t="str">
        <f>TIM[[#This Row],[Derating MVA]]</f>
        <v>-</v>
      </c>
      <c r="BC145" s="9" t="str">
        <f>TIM[[#This Row],[Station/Feeder]]&amp;TIM[[#This Row],[Lowest MVA]]</f>
        <v>CB3012_Arowhenua7.62102355330306</v>
      </c>
      <c r="BD145" s="9" t="str">
        <f>CONCATENATE(TIM[[#This Row],[Supply Level]],TIM[[#This Row],[Station/Feeder]],TIM[[#This Row],[Voltage]],TIM[[#This Row],[Lowest A-No PTX]])</f>
        <v>DistributionFeederCB3012_Arowhenua11400</v>
      </c>
      <c r="BE145" s="9" t="str">
        <f>CONCATENATE(TIM[[#This Row],[Supply Level]],TIM[[#This Row],[Station/Feeder]],TIM[[#This Row],[Voltage]],TIM[[#This Row],[Lowest A-PTX]])</f>
        <v>DistributionFeederCB3012_Arowhenua11366</v>
      </c>
      <c r="BF145" s="9">
        <f>IFERROR(IF(MIN(TIM[[#This Row],[Summ Cont Winter A]:[Cable Derating]])=0,"",MIN(TIM[[#This Row],[Summ Cont Winter A]:[Cable Derating]])),"")</f>
        <v>7.6210235533030604</v>
      </c>
      <c r="BG145" s="9">
        <f>IFERROR(TIM[[#This Row],[Lowest MVA]]*1000/(TIM[[#This Row],[Voltage]]*SQRT(3)),"")</f>
        <v>400</v>
      </c>
      <c r="BH145" s="9">
        <f t="shared" si="153"/>
        <v>366</v>
      </c>
      <c r="BI145" s="9" t="str">
        <f>TIM[[#This Row],[From]]</f>
        <v>11 kV Bus</v>
      </c>
      <c r="BJ145" s="9" t="str">
        <f>TIM[[#This Row],[To]]</f>
        <v>CB3012</v>
      </c>
      <c r="BK14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Breaker-TIM-CB3012-Protection</v>
      </c>
      <c r="BL145" s="9">
        <f>TIM[[#This Row],[Voltage]]</f>
        <v>11</v>
      </c>
    </row>
    <row r="146" spans="1:64" ht="15" customHeight="1" x14ac:dyDescent="0.25">
      <c r="A146" s="6" t="str">
        <f>CONCATENATE(TIM[[#This Row],[Supply Level]],TIM[[#This Row],[Station/Feeder]],TIM[[#This Row],[Voltage]])</f>
        <v>DistributionFeederCB3012_Arowhenua11</v>
      </c>
      <c r="B146" s="6" t="str">
        <f>CONCATENATE(TIM[[#This Row],[Supply Level]],TIM[[#This Row],[Station/Feeder]],TIM[[#This Row],[Equipment ID]],TIM[[#This Row],[Voltage]],TIM[[#This Row],[Device type]])</f>
        <v>DistributionFeederCB3012_Arowhenua3/1c 1000mm² Al XLPE CWS MDPE11-</v>
      </c>
      <c r="C146" s="6" t="s">
        <v>1276</v>
      </c>
      <c r="D146" s="6" t="s">
        <v>1312</v>
      </c>
      <c r="E146" s="6" t="s">
        <v>884</v>
      </c>
      <c r="F146" s="6" t="s">
        <v>750</v>
      </c>
      <c r="G146" s="8">
        <v>2</v>
      </c>
      <c r="H146" s="7" t="s">
        <v>273</v>
      </c>
      <c r="I146" s="6" t="s">
        <v>1448</v>
      </c>
      <c r="J146" s="6" t="s">
        <v>250</v>
      </c>
      <c r="K146" s="6" t="s">
        <v>0</v>
      </c>
      <c r="L146" s="6" t="s">
        <v>0</v>
      </c>
      <c r="M146" s="8">
        <v>11</v>
      </c>
      <c r="N146" s="9">
        <v>728</v>
      </c>
      <c r="O146" s="9">
        <f t="shared" si="249"/>
        <v>13.870262867011569</v>
      </c>
      <c r="P146" s="9">
        <v>728</v>
      </c>
      <c r="Q146" s="9">
        <f t="shared" si="250"/>
        <v>13.870262867011569</v>
      </c>
      <c r="R146" s="9">
        <v>728</v>
      </c>
      <c r="S146" s="9">
        <f t="shared" si="251"/>
        <v>13.870262867011569</v>
      </c>
      <c r="T146" s="9" t="s">
        <v>0</v>
      </c>
      <c r="U146" s="9" t="str">
        <f t="shared" ref="U146:U152" si="259">IF(OR(T146="",T146="-"),"-",T146*$M146*SQRT(3)/1000)</f>
        <v>-</v>
      </c>
      <c r="V146" s="9" t="s">
        <v>0</v>
      </c>
      <c r="W146" s="9" t="str">
        <f t="shared" ref="W146:W152" si="260">IF(OR(V146="",V146="-"),"-",V146*$M146*SQRT(3)/1000)</f>
        <v>-</v>
      </c>
      <c r="X146" s="9" t="s">
        <v>0</v>
      </c>
      <c r="Y146" s="9" t="str">
        <f t="shared" ref="Y146:Y152" si="261">IF(OR(X146="",X146="-"),"-",X146*$M146*SQRT(3)/1000)</f>
        <v>-</v>
      </c>
      <c r="Z146" s="9" t="s">
        <v>0</v>
      </c>
      <c r="AA146" s="9" t="str">
        <f t="shared" ref="AA146:AA152" si="262">IF(OR(Z146="",Z146="-"),"-",Z146*$M146*SQRT(3)/1000)</f>
        <v>-</v>
      </c>
      <c r="AB146" s="9" t="s">
        <v>0</v>
      </c>
      <c r="AC146" s="9" t="str">
        <f t="shared" ref="AC146:AC152" si="263">IF(OR(AB146="",AB146="-"),"-",AB146*$M146*SQRT(3)/1000)</f>
        <v>-</v>
      </c>
      <c r="AD146" s="9" t="s">
        <v>0</v>
      </c>
      <c r="AE146" s="9" t="str">
        <f t="shared" ref="AE146:AE152" si="264">IF(OR(AD146="",AD146="-"),"-",AD146*$M146*SQRT(3)/1000)</f>
        <v>-</v>
      </c>
      <c r="AF146" s="9" t="s">
        <v>713</v>
      </c>
      <c r="AG146" s="9" t="s">
        <v>1452</v>
      </c>
      <c r="AH146" s="9">
        <v>3575</v>
      </c>
      <c r="AI146" s="9">
        <v>1</v>
      </c>
      <c r="AJ146" s="43">
        <v>1</v>
      </c>
      <c r="AK146" s="9">
        <v>15</v>
      </c>
      <c r="AL146" s="43">
        <v>1</v>
      </c>
      <c r="AM146" s="9">
        <v>1.2</v>
      </c>
      <c r="AN146" s="43">
        <v>1</v>
      </c>
      <c r="AO146" s="9">
        <v>4</v>
      </c>
      <c r="AP146" s="9">
        <v>0.5</v>
      </c>
      <c r="AQ146" s="43">
        <v>0.81200000000000006</v>
      </c>
      <c r="AR146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591.13600000000008</v>
      </c>
      <c r="AS146" s="9">
        <f t="shared" ref="AS146:AS152" si="265">IF(OR(AR146="",AR146="-"),"-",AR146*$M146*SQRT(3)/1000)</f>
        <v>11.262653448013396</v>
      </c>
      <c r="AT146" s="9">
        <f>IF(RIGHT(TIM[[#This Row],[Device type]],7)="Winding","-",TIM[[#This Row],[Cont Winter MVA]])</f>
        <v>13.870262867011569</v>
      </c>
      <c r="AU146" s="9">
        <f>IF(RIGHT(TIM[[#This Row],[Device type]],7)="Winding","-",TIM[[#This Row],[Cont Shoulder MVA]])</f>
        <v>13.870262867011569</v>
      </c>
      <c r="AV146" s="9">
        <f>IF(RIGHT(TIM[[#This Row],[Device type]],7)="Winding","-",TIM[[#This Row],[Cont Summer MVA]])</f>
        <v>13.870262867011569</v>
      </c>
      <c r="AW146" s="9" t="str">
        <f>TIM[[#This Row],[24 Hr Winter MVA]]</f>
        <v>-</v>
      </c>
      <c r="AX146" s="9" t="str">
        <f>TIM[[#This Row],[24 Hr Summer MVA]]</f>
        <v>-</v>
      </c>
      <c r="AY146" s="9" t="str">
        <f>TIM[[#This Row],[Forwards MVA]]</f>
        <v>-</v>
      </c>
      <c r="AZ146" s="9" t="str">
        <f>TIM[[#This Row],[Relay MVA]]</f>
        <v>-</v>
      </c>
      <c r="BA146" s="9" t="str">
        <f>TIM[[#This Row],[CT MVA]]</f>
        <v>-</v>
      </c>
      <c r="BB146" s="9">
        <f>TIM[[#This Row],[Derating MVA]]</f>
        <v>11.262653448013396</v>
      </c>
      <c r="BC146" s="9" t="str">
        <f>TIM[[#This Row],[Station/Feeder]]&amp;TIM[[#This Row],[Lowest MVA]]</f>
        <v>CB3012_Arowhenua11.2626534480134</v>
      </c>
      <c r="BD146" s="9" t="str">
        <f>CONCATENATE(TIM[[#This Row],[Supply Level]],TIM[[#This Row],[Station/Feeder]],TIM[[#This Row],[Voltage]],TIM[[#This Row],[Lowest A-No PTX]])</f>
        <v>DistributionFeederCB3012_Arowhenua11591.136</v>
      </c>
      <c r="BE146" s="9" t="str">
        <f>CONCATENATE(TIM[[#This Row],[Supply Level]],TIM[[#This Row],[Station/Feeder]],TIM[[#This Row],[Voltage]],TIM[[#This Row],[Lowest A-PTX]])</f>
        <v>DistributionFeederCB3012_Arowhenua11591.136</v>
      </c>
      <c r="BF146" s="9">
        <f>IFERROR(IF(MIN(TIM[[#This Row],[Summ Cont Winter A]:[Cable Derating]])=0,"",MIN(TIM[[#This Row],[Summ Cont Winter A]:[Cable Derating]])),"")</f>
        <v>11.262653448013396</v>
      </c>
      <c r="BG146" s="9">
        <f>IFERROR(TIM[[#This Row],[Lowest MVA]]*1000/(TIM[[#This Row],[Voltage]]*SQRT(3)),"")</f>
        <v>591.13600000000008</v>
      </c>
      <c r="BH146" s="9">
        <f t="shared" si="153"/>
        <v>591.13600000000008</v>
      </c>
      <c r="BI146" s="9" t="str">
        <f>TIM[[#This Row],[From]]</f>
        <v>CB3012</v>
      </c>
      <c r="BJ146" s="9" t="str">
        <f>TIM[[#This Row],[To]]</f>
        <v>Joint</v>
      </c>
      <c r="BK146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- 3/1c 1000mm² Al XLPE CWS MDPE</v>
      </c>
      <c r="BL146" s="9">
        <f>TIM[[#This Row],[Voltage]]</f>
        <v>11</v>
      </c>
    </row>
    <row r="147" spans="1:64" ht="15" customHeight="1" x14ac:dyDescent="0.25">
      <c r="A147" s="6" t="str">
        <f>CONCATENATE(TIM[[#This Row],[Supply Level]],TIM[[#This Row],[Station/Feeder]],TIM[[#This Row],[Voltage]])</f>
        <v>DistributionFeederCB3012_Arowhenua11</v>
      </c>
      <c r="B147" s="6" t="str">
        <f>CONCATENATE(TIM[[#This Row],[Supply Level]],TIM[[#This Row],[Station/Feeder]],TIM[[#This Row],[Equipment ID]],TIM[[#This Row],[Voltage]],TIM[[#This Row],[Device type]])</f>
        <v>DistributionFeederCB3012_Arowhenua3/1c 400mm² AL XLPE HDPE Screened11-</v>
      </c>
      <c r="C147" s="6" t="s">
        <v>1276</v>
      </c>
      <c r="D147" s="6" t="s">
        <v>1312</v>
      </c>
      <c r="E147" s="6" t="s">
        <v>750</v>
      </c>
      <c r="F147" s="6" t="s">
        <v>1465</v>
      </c>
      <c r="G147" s="8">
        <v>3</v>
      </c>
      <c r="H147" s="7" t="s">
        <v>273</v>
      </c>
      <c r="I147" s="6" t="s">
        <v>819</v>
      </c>
      <c r="J147" s="6" t="s">
        <v>250</v>
      </c>
      <c r="K147" s="6" t="s">
        <v>0</v>
      </c>
      <c r="L147" s="6" t="s">
        <v>0</v>
      </c>
      <c r="M147" s="8">
        <v>11</v>
      </c>
      <c r="N147" s="9">
        <v>537</v>
      </c>
      <c r="O147" s="9">
        <f t="shared" ref="O147:O152" si="266">IF(OR(N147="",N147="-"),"-",N147*$M147*SQRT(3)/1000)</f>
        <v>10.231224120309358</v>
      </c>
      <c r="P147" s="9">
        <v>537</v>
      </c>
      <c r="Q147" s="9">
        <f t="shared" ref="Q147:Q152" si="267">IF(OR(P147="",P147="-"),"-",P147*$M147*SQRT(3)/1000)</f>
        <v>10.231224120309358</v>
      </c>
      <c r="R147" s="9">
        <v>537</v>
      </c>
      <c r="S147" s="9">
        <f t="shared" ref="S147:S152" si="268">IF(OR(R147="",R147="-"),"-",R147*$M147*SQRT(3)/1000)</f>
        <v>10.231224120309358</v>
      </c>
      <c r="T147" s="9" t="s">
        <v>0</v>
      </c>
      <c r="U147" s="9" t="str">
        <f t="shared" si="259"/>
        <v>-</v>
      </c>
      <c r="V147" s="9" t="s">
        <v>0</v>
      </c>
      <c r="W147" s="9" t="str">
        <f t="shared" si="260"/>
        <v>-</v>
      </c>
      <c r="X147" s="9" t="s">
        <v>0</v>
      </c>
      <c r="Y147" s="9" t="str">
        <f t="shared" si="261"/>
        <v>-</v>
      </c>
      <c r="Z147" s="9" t="s">
        <v>0</v>
      </c>
      <c r="AA147" s="9" t="str">
        <f t="shared" si="262"/>
        <v>-</v>
      </c>
      <c r="AB147" s="9" t="s">
        <v>0</v>
      </c>
      <c r="AC147" s="9" t="str">
        <f t="shared" si="263"/>
        <v>-</v>
      </c>
      <c r="AD147" s="9" t="s">
        <v>0</v>
      </c>
      <c r="AE147" s="9" t="str">
        <f t="shared" si="264"/>
        <v>-</v>
      </c>
      <c r="AF147" s="9" t="s">
        <v>713</v>
      </c>
      <c r="AG147" s="9" t="s">
        <v>0</v>
      </c>
      <c r="AH147" s="9" t="s">
        <v>0</v>
      </c>
      <c r="AI147" s="9">
        <v>0.9</v>
      </c>
      <c r="AJ147" s="43">
        <v>0.98</v>
      </c>
      <c r="AK147" s="9">
        <v>18.5</v>
      </c>
      <c r="AL147" s="43">
        <v>0.97</v>
      </c>
      <c r="AM147" s="9">
        <v>1.2</v>
      </c>
      <c r="AN147" s="43">
        <v>1</v>
      </c>
      <c r="AO147" s="9">
        <v>4</v>
      </c>
      <c r="AP147" s="9">
        <v>0.3</v>
      </c>
      <c r="AQ147" s="43">
        <v>0.82</v>
      </c>
      <c r="AR147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418.58720399999999</v>
      </c>
      <c r="AS147" s="9">
        <f t="shared" si="265"/>
        <v>7.9751573519881811</v>
      </c>
      <c r="AT147" s="9">
        <f>IF(RIGHT(TIM[[#This Row],[Device type]],7)="Winding","-",TIM[[#This Row],[Cont Winter MVA]])</f>
        <v>10.231224120309358</v>
      </c>
      <c r="AU147" s="9">
        <f>IF(RIGHT(TIM[[#This Row],[Device type]],7)="Winding","-",TIM[[#This Row],[Cont Shoulder MVA]])</f>
        <v>10.231224120309358</v>
      </c>
      <c r="AV147" s="9">
        <f>IF(RIGHT(TIM[[#This Row],[Device type]],7)="Winding","-",TIM[[#This Row],[Cont Summer MVA]])</f>
        <v>10.231224120309358</v>
      </c>
      <c r="AW147" s="9" t="str">
        <f>TIM[[#This Row],[24 Hr Winter MVA]]</f>
        <v>-</v>
      </c>
      <c r="AX147" s="9" t="str">
        <f>TIM[[#This Row],[24 Hr Summer MVA]]</f>
        <v>-</v>
      </c>
      <c r="AY147" s="9" t="str">
        <f>TIM[[#This Row],[Forwards MVA]]</f>
        <v>-</v>
      </c>
      <c r="AZ147" s="9" t="str">
        <f>TIM[[#This Row],[Relay MVA]]</f>
        <v>-</v>
      </c>
      <c r="BA147" s="9" t="str">
        <f>TIM[[#This Row],[CT MVA]]</f>
        <v>-</v>
      </c>
      <c r="BB147" s="9">
        <f>TIM[[#This Row],[Derating MVA]]</f>
        <v>7.9751573519881811</v>
      </c>
      <c r="BC147" s="9" t="str">
        <f>TIM[[#This Row],[Station/Feeder]]&amp;TIM[[#This Row],[Lowest MVA]]</f>
        <v>CB3012_Arowhenua7.97515735198818</v>
      </c>
      <c r="BD147" s="9" t="str">
        <f>CONCATENATE(TIM[[#This Row],[Supply Level]],TIM[[#This Row],[Station/Feeder]],TIM[[#This Row],[Voltage]],TIM[[#This Row],[Lowest A-No PTX]])</f>
        <v>DistributionFeederCB3012_Arowhenua11418.587204</v>
      </c>
      <c r="BE147" s="9" t="str">
        <f>CONCATENATE(TIM[[#This Row],[Supply Level]],TIM[[#This Row],[Station/Feeder]],TIM[[#This Row],[Voltage]],TIM[[#This Row],[Lowest A-PTX]])</f>
        <v>DistributionFeederCB3012_Arowhenua11418.587204</v>
      </c>
      <c r="BF147" s="9">
        <f>IFERROR(IF(MIN(TIM[[#This Row],[Summ Cont Winter A]:[Cable Derating]])=0,"",MIN(TIM[[#This Row],[Summ Cont Winter A]:[Cable Derating]])),"")</f>
        <v>7.9751573519881811</v>
      </c>
      <c r="BG147" s="9">
        <f>IFERROR(TIM[[#This Row],[Lowest MVA]]*1000/(TIM[[#This Row],[Voltage]]*SQRT(3)),"")</f>
        <v>418.58720399999999</v>
      </c>
      <c r="BH147" s="9">
        <f t="shared" si="153"/>
        <v>418.58720399999999</v>
      </c>
      <c r="BI147" s="9" t="str">
        <f>TIM[[#This Row],[From]]</f>
        <v>Joint</v>
      </c>
      <c r="BJ147" s="9" t="str">
        <f>TIM[[#This Row],[To]]</f>
        <v>L901</v>
      </c>
      <c r="BK147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- 3/1c 400mm² AL XLPE HDPE Screened</v>
      </c>
      <c r="BL147" s="9">
        <f>TIM[[#This Row],[Voltage]]</f>
        <v>11</v>
      </c>
    </row>
    <row r="148" spans="1:64" ht="15" customHeight="1" x14ac:dyDescent="0.25">
      <c r="A148" s="6" t="str">
        <f>CONCATENATE(TIM[[#This Row],[Supply Level]],TIM[[#This Row],[Station/Feeder]],TIM[[#This Row],[Voltage]])</f>
        <v>DistributionFeederCB3012_Arowhenua11</v>
      </c>
      <c r="B148" s="6" t="str">
        <f>CONCATENATE(TIM[[#This Row],[Supply Level]],TIM[[#This Row],[Station/Feeder]],TIM[[#This Row],[Equipment ID]],TIM[[#This Row],[Voltage]],TIM[[#This Row],[Device type]])</f>
        <v>DistributionFeederCB3012_ArowhenuaRingmain unit11-</v>
      </c>
      <c r="C148" s="6" t="s">
        <v>1276</v>
      </c>
      <c r="D148" s="6" t="s">
        <v>1312</v>
      </c>
      <c r="E148" s="6" t="s">
        <v>1465</v>
      </c>
      <c r="F148" s="6" t="s">
        <v>1466</v>
      </c>
      <c r="G148" s="8">
        <v>4</v>
      </c>
      <c r="H148" s="7" t="s">
        <v>273</v>
      </c>
      <c r="I148" s="6" t="s">
        <v>1457</v>
      </c>
      <c r="J148" s="6" t="s">
        <v>1458</v>
      </c>
      <c r="K148" s="6" t="s">
        <v>0</v>
      </c>
      <c r="L148" s="6" t="s">
        <v>0</v>
      </c>
      <c r="M148" s="8">
        <v>11</v>
      </c>
      <c r="N148" s="9">
        <v>630</v>
      </c>
      <c r="O148" s="9">
        <f t="shared" si="266"/>
        <v>12.00311209645232</v>
      </c>
      <c r="P148" s="9">
        <v>630</v>
      </c>
      <c r="Q148" s="9">
        <f t="shared" si="267"/>
        <v>12.00311209645232</v>
      </c>
      <c r="R148" s="9">
        <v>630</v>
      </c>
      <c r="S148" s="9">
        <f t="shared" si="268"/>
        <v>12.00311209645232</v>
      </c>
      <c r="T148" s="9" t="s">
        <v>0</v>
      </c>
      <c r="U148" s="9" t="str">
        <f t="shared" si="259"/>
        <v>-</v>
      </c>
      <c r="V148" s="9" t="s">
        <v>0</v>
      </c>
      <c r="W148" s="9" t="str">
        <f t="shared" si="260"/>
        <v>-</v>
      </c>
      <c r="X148" s="9" t="s">
        <v>0</v>
      </c>
      <c r="Y148" s="9" t="str">
        <f t="shared" si="261"/>
        <v>-</v>
      </c>
      <c r="Z148" s="9" t="s">
        <v>0</v>
      </c>
      <c r="AA148" s="9" t="str">
        <f t="shared" si="262"/>
        <v>-</v>
      </c>
      <c r="AB148" s="9" t="s">
        <v>0</v>
      </c>
      <c r="AC148" s="9" t="str">
        <f t="shared" si="263"/>
        <v>-</v>
      </c>
      <c r="AD148" s="9" t="s">
        <v>0</v>
      </c>
      <c r="AE148" s="9" t="str">
        <f t="shared" si="264"/>
        <v>-</v>
      </c>
      <c r="AF148" s="9" t="s">
        <v>0</v>
      </c>
      <c r="AG148" s="9" t="s">
        <v>0</v>
      </c>
      <c r="AH148" s="9" t="s">
        <v>0</v>
      </c>
      <c r="AI148" s="9" t="s">
        <v>0</v>
      </c>
      <c r="AJ148" s="43" t="s">
        <v>0</v>
      </c>
      <c r="AK148" s="9" t="s">
        <v>0</v>
      </c>
      <c r="AL148" s="43" t="s">
        <v>0</v>
      </c>
      <c r="AM148" s="9" t="s">
        <v>0</v>
      </c>
      <c r="AN148" s="43" t="s">
        <v>0</v>
      </c>
      <c r="AO148" s="9" t="s">
        <v>0</v>
      </c>
      <c r="AP148" s="9" t="s">
        <v>0</v>
      </c>
      <c r="AQ148" s="43" t="s">
        <v>0</v>
      </c>
      <c r="AR148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48" s="9" t="str">
        <f t="shared" si="265"/>
        <v>-</v>
      </c>
      <c r="AT148" s="9">
        <f>IF(RIGHT(TIM[[#This Row],[Device type]],7)="Winding","-",TIM[[#This Row],[Cont Winter MVA]])</f>
        <v>12.00311209645232</v>
      </c>
      <c r="AU148" s="9">
        <f>IF(RIGHT(TIM[[#This Row],[Device type]],7)="Winding","-",TIM[[#This Row],[Cont Shoulder MVA]])</f>
        <v>12.00311209645232</v>
      </c>
      <c r="AV148" s="9">
        <f>IF(RIGHT(TIM[[#This Row],[Device type]],7)="Winding","-",TIM[[#This Row],[Cont Summer MVA]])</f>
        <v>12.00311209645232</v>
      </c>
      <c r="AW148" s="9" t="str">
        <f>TIM[[#This Row],[24 Hr Winter MVA]]</f>
        <v>-</v>
      </c>
      <c r="AX148" s="9" t="str">
        <f>TIM[[#This Row],[24 Hr Summer MVA]]</f>
        <v>-</v>
      </c>
      <c r="AY148" s="9" t="str">
        <f>TIM[[#This Row],[Forwards MVA]]</f>
        <v>-</v>
      </c>
      <c r="AZ148" s="9" t="str">
        <f>TIM[[#This Row],[Relay MVA]]</f>
        <v>-</v>
      </c>
      <c r="BA148" s="9" t="str">
        <f>TIM[[#This Row],[CT MVA]]</f>
        <v>-</v>
      </c>
      <c r="BB148" s="9" t="str">
        <f>TIM[[#This Row],[Derating MVA]]</f>
        <v>-</v>
      </c>
      <c r="BC148" s="9" t="str">
        <f>TIM[[#This Row],[Station/Feeder]]&amp;TIM[[#This Row],[Lowest MVA]]</f>
        <v>CB3012_Arowhenua12.0031120964523</v>
      </c>
      <c r="BD148" s="9" t="str">
        <f>CONCATENATE(TIM[[#This Row],[Supply Level]],TIM[[#This Row],[Station/Feeder]],TIM[[#This Row],[Voltage]],TIM[[#This Row],[Lowest A-No PTX]])</f>
        <v>DistributionFeederCB3012_Arowhenua11630</v>
      </c>
      <c r="BE148" s="9" t="str">
        <f>CONCATENATE(TIM[[#This Row],[Supply Level]],TIM[[#This Row],[Station/Feeder]],TIM[[#This Row],[Voltage]],TIM[[#This Row],[Lowest A-PTX]])</f>
        <v>DistributionFeederCB3012_Arowhenua11630</v>
      </c>
      <c r="BF148" s="9">
        <f>IFERROR(IF(MIN(TIM[[#This Row],[Summ Cont Winter A]:[Cable Derating]])=0,"",MIN(TIM[[#This Row],[Summ Cont Winter A]:[Cable Derating]])),"")</f>
        <v>12.00311209645232</v>
      </c>
      <c r="BG148" s="9">
        <f>IFERROR(TIM[[#This Row],[Lowest MVA]]*1000/(TIM[[#This Row],[Voltage]]*SQRT(3)),"")</f>
        <v>630</v>
      </c>
      <c r="BH148" s="9">
        <f t="shared" si="153"/>
        <v>630</v>
      </c>
      <c r="BI148" s="9" t="str">
        <f>TIM[[#This Row],[From]]</f>
        <v>L901</v>
      </c>
      <c r="BJ148" s="9" t="str">
        <f>TIM[[#This Row],[To]]</f>
        <v>L900</v>
      </c>
      <c r="BK148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RMU - Ringmain unit</v>
      </c>
      <c r="BL148" s="9">
        <f>TIM[[#This Row],[Voltage]]</f>
        <v>11</v>
      </c>
    </row>
    <row r="149" spans="1:64" ht="15" customHeight="1" x14ac:dyDescent="0.25">
      <c r="A149" s="6" t="str">
        <f>CONCATENATE(TIM[[#This Row],[Supply Level]],TIM[[#This Row],[Station/Feeder]],TIM[[#This Row],[Voltage]])</f>
        <v>DistributionFeederCB3012_Arowhenua11</v>
      </c>
      <c r="B149" s="6" t="str">
        <f>CONCATENATE(TIM[[#This Row],[Supply Level]],TIM[[#This Row],[Station/Feeder]],TIM[[#This Row],[Equipment ID]],TIM[[#This Row],[Voltage]],TIM[[#This Row],[Device type]])</f>
        <v>DistributionFeederCB3012_Arowhenua3/1c 400mm² AL XLPE HDPE Screened11-</v>
      </c>
      <c r="C149" s="6" t="s">
        <v>1276</v>
      </c>
      <c r="D149" s="6" t="s">
        <v>1312</v>
      </c>
      <c r="E149" s="6" t="s">
        <v>1466</v>
      </c>
      <c r="F149" s="6" t="s">
        <v>750</v>
      </c>
      <c r="G149" s="8">
        <v>5</v>
      </c>
      <c r="H149" s="7" t="s">
        <v>273</v>
      </c>
      <c r="I149" s="6" t="s">
        <v>819</v>
      </c>
      <c r="J149" s="6" t="s">
        <v>250</v>
      </c>
      <c r="K149" s="6" t="s">
        <v>0</v>
      </c>
      <c r="L149" s="6" t="s">
        <v>0</v>
      </c>
      <c r="M149" s="8">
        <v>11</v>
      </c>
      <c r="N149" s="9">
        <v>537</v>
      </c>
      <c r="O149" s="9">
        <f t="shared" si="266"/>
        <v>10.231224120309358</v>
      </c>
      <c r="P149" s="9">
        <v>537</v>
      </c>
      <c r="Q149" s="9">
        <f t="shared" si="267"/>
        <v>10.231224120309358</v>
      </c>
      <c r="R149" s="9">
        <v>537</v>
      </c>
      <c r="S149" s="9">
        <f t="shared" si="268"/>
        <v>10.231224120309358</v>
      </c>
      <c r="T149" s="9" t="s">
        <v>0</v>
      </c>
      <c r="U149" s="9" t="str">
        <f t="shared" si="259"/>
        <v>-</v>
      </c>
      <c r="V149" s="9" t="s">
        <v>0</v>
      </c>
      <c r="W149" s="9" t="str">
        <f t="shared" si="260"/>
        <v>-</v>
      </c>
      <c r="X149" s="9" t="s">
        <v>0</v>
      </c>
      <c r="Y149" s="9" t="str">
        <f t="shared" si="261"/>
        <v>-</v>
      </c>
      <c r="Z149" s="9" t="s">
        <v>0</v>
      </c>
      <c r="AA149" s="9" t="str">
        <f t="shared" si="262"/>
        <v>-</v>
      </c>
      <c r="AB149" s="9" t="s">
        <v>0</v>
      </c>
      <c r="AC149" s="9" t="str">
        <f t="shared" si="263"/>
        <v>-</v>
      </c>
      <c r="AD149" s="9" t="s">
        <v>0</v>
      </c>
      <c r="AE149" s="9" t="str">
        <f t="shared" si="264"/>
        <v>-</v>
      </c>
      <c r="AF149" s="9" t="s">
        <v>713</v>
      </c>
      <c r="AG149" s="9" t="s">
        <v>0</v>
      </c>
      <c r="AH149" s="9" t="s">
        <v>0</v>
      </c>
      <c r="AI149" s="9">
        <v>0.9</v>
      </c>
      <c r="AJ149" s="43">
        <v>0.98</v>
      </c>
      <c r="AK149" s="9">
        <v>18.5</v>
      </c>
      <c r="AL149" s="43">
        <v>0.97</v>
      </c>
      <c r="AM149" s="9">
        <v>1.2</v>
      </c>
      <c r="AN149" s="43">
        <v>1</v>
      </c>
      <c r="AO149" s="9">
        <v>4</v>
      </c>
      <c r="AP149" s="9">
        <v>0.3</v>
      </c>
      <c r="AQ149" s="43">
        <v>0.92</v>
      </c>
      <c r="AR149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469.63442400000002</v>
      </c>
      <c r="AS149" s="9">
        <f t="shared" si="265"/>
        <v>8.947737516864791</v>
      </c>
      <c r="AT149" s="9">
        <f>IF(RIGHT(TIM[[#This Row],[Device type]],7)="Winding","-",TIM[[#This Row],[Cont Winter MVA]])</f>
        <v>10.231224120309358</v>
      </c>
      <c r="AU149" s="9">
        <f>IF(RIGHT(TIM[[#This Row],[Device type]],7)="Winding","-",TIM[[#This Row],[Cont Shoulder MVA]])</f>
        <v>10.231224120309358</v>
      </c>
      <c r="AV149" s="9">
        <f>IF(RIGHT(TIM[[#This Row],[Device type]],7)="Winding","-",TIM[[#This Row],[Cont Summer MVA]])</f>
        <v>10.231224120309358</v>
      </c>
      <c r="AW149" s="9" t="str">
        <f>TIM[[#This Row],[24 Hr Winter MVA]]</f>
        <v>-</v>
      </c>
      <c r="AX149" s="9" t="str">
        <f>TIM[[#This Row],[24 Hr Summer MVA]]</f>
        <v>-</v>
      </c>
      <c r="AY149" s="9" t="str">
        <f>TIM[[#This Row],[Forwards MVA]]</f>
        <v>-</v>
      </c>
      <c r="AZ149" s="9" t="str">
        <f>TIM[[#This Row],[Relay MVA]]</f>
        <v>-</v>
      </c>
      <c r="BA149" s="9" t="str">
        <f>TIM[[#This Row],[CT MVA]]</f>
        <v>-</v>
      </c>
      <c r="BB149" s="9">
        <f>TIM[[#This Row],[Derating MVA]]</f>
        <v>8.947737516864791</v>
      </c>
      <c r="BC149" s="9" t="str">
        <f>TIM[[#This Row],[Station/Feeder]]&amp;TIM[[#This Row],[Lowest MVA]]</f>
        <v>CB3012_Arowhenua8.94773751686479</v>
      </c>
      <c r="BD149" s="9" t="str">
        <f>CONCATENATE(TIM[[#This Row],[Supply Level]],TIM[[#This Row],[Station/Feeder]],TIM[[#This Row],[Voltage]],TIM[[#This Row],[Lowest A-No PTX]])</f>
        <v>DistributionFeederCB3012_Arowhenua11469.634424</v>
      </c>
      <c r="BE149" s="9" t="str">
        <f>CONCATENATE(TIM[[#This Row],[Supply Level]],TIM[[#This Row],[Station/Feeder]],TIM[[#This Row],[Voltage]],TIM[[#This Row],[Lowest A-PTX]])</f>
        <v>DistributionFeederCB3012_Arowhenua11469.634424</v>
      </c>
      <c r="BF149" s="9">
        <f>IFERROR(IF(MIN(TIM[[#This Row],[Summ Cont Winter A]:[Cable Derating]])=0,"",MIN(TIM[[#This Row],[Summ Cont Winter A]:[Cable Derating]])),"")</f>
        <v>8.947737516864791</v>
      </c>
      <c r="BG149" s="9">
        <f>IFERROR(TIM[[#This Row],[Lowest MVA]]*1000/(TIM[[#This Row],[Voltage]]*SQRT(3)),"")</f>
        <v>469.63442400000002</v>
      </c>
      <c r="BH149" s="9">
        <f t="shared" si="153"/>
        <v>469.63442400000002</v>
      </c>
      <c r="BI149" s="9" t="str">
        <f>TIM[[#This Row],[From]]</f>
        <v>L900</v>
      </c>
      <c r="BJ149" s="9" t="str">
        <f>TIM[[#This Row],[To]]</f>
        <v>Joint</v>
      </c>
      <c r="BK149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- 3/1c 400mm² AL XLPE HDPE Screened</v>
      </c>
      <c r="BL149" s="9">
        <f>TIM[[#This Row],[Voltage]]</f>
        <v>11</v>
      </c>
    </row>
    <row r="150" spans="1:64" ht="15" customHeight="1" x14ac:dyDescent="0.25">
      <c r="A150" s="6" t="str">
        <f>CONCATENATE(TIM[[#This Row],[Supply Level]],TIM[[#This Row],[Station/Feeder]],TIM[[#This Row],[Voltage]])</f>
        <v>DistributionFeederCB3012_Arowhenua11</v>
      </c>
      <c r="B150" s="6" t="str">
        <f>CONCATENATE(TIM[[#This Row],[Supply Level]],TIM[[#This Row],[Station/Feeder]],TIM[[#This Row],[Equipment ID]],TIM[[#This Row],[Voltage]],TIM[[#This Row],[Device type]])</f>
        <v>DistributionFeederCB3012_Arowhenua3c 300mm² AL XLPE HDPE Screened11-</v>
      </c>
      <c r="C150" s="6" t="s">
        <v>1276</v>
      </c>
      <c r="D150" s="6" t="s">
        <v>1312</v>
      </c>
      <c r="E150" s="6" t="s">
        <v>750</v>
      </c>
      <c r="F150" s="6" t="s">
        <v>2973</v>
      </c>
      <c r="G150" s="8">
        <v>6</v>
      </c>
      <c r="H150" s="7" t="s">
        <v>273</v>
      </c>
      <c r="I150" s="6" t="s">
        <v>1451</v>
      </c>
      <c r="J150" s="6" t="s">
        <v>250</v>
      </c>
      <c r="K150" s="6" t="s">
        <v>0</v>
      </c>
      <c r="L150" s="6" t="s">
        <v>0</v>
      </c>
      <c r="M150" s="8">
        <v>11</v>
      </c>
      <c r="N150" s="9">
        <v>476</v>
      </c>
      <c r="O150" s="9">
        <f t="shared" si="266"/>
        <v>9.0690180284306408</v>
      </c>
      <c r="P150" s="9">
        <v>476</v>
      </c>
      <c r="Q150" s="9">
        <f t="shared" si="267"/>
        <v>9.0690180284306408</v>
      </c>
      <c r="R150" s="9">
        <v>476</v>
      </c>
      <c r="S150" s="9">
        <f t="shared" si="268"/>
        <v>9.0690180284306408</v>
      </c>
      <c r="T150" s="9" t="s">
        <v>0</v>
      </c>
      <c r="U150" s="9" t="str">
        <f t="shared" si="259"/>
        <v>-</v>
      </c>
      <c r="V150" s="9" t="s">
        <v>0</v>
      </c>
      <c r="W150" s="9" t="str">
        <f t="shared" si="260"/>
        <v>-</v>
      </c>
      <c r="X150" s="9" t="s">
        <v>0</v>
      </c>
      <c r="Y150" s="9" t="str">
        <f t="shared" si="261"/>
        <v>-</v>
      </c>
      <c r="Z150" s="9" t="s">
        <v>0</v>
      </c>
      <c r="AA150" s="9" t="str">
        <f t="shared" si="262"/>
        <v>-</v>
      </c>
      <c r="AB150" s="9" t="s">
        <v>0</v>
      </c>
      <c r="AC150" s="9" t="str">
        <f t="shared" si="263"/>
        <v>-</v>
      </c>
      <c r="AD150" s="9" t="s">
        <v>0</v>
      </c>
      <c r="AE150" s="9" t="str">
        <f t="shared" si="264"/>
        <v>-</v>
      </c>
      <c r="AF150" s="9" t="s">
        <v>716</v>
      </c>
      <c r="AG150" s="9" t="s">
        <v>0</v>
      </c>
      <c r="AH150" s="9" t="s">
        <v>0</v>
      </c>
      <c r="AI150" s="9">
        <v>0.9</v>
      </c>
      <c r="AJ150" s="43">
        <v>0.96</v>
      </c>
      <c r="AK150" s="9">
        <v>18.5</v>
      </c>
      <c r="AL150" s="43">
        <v>0.97</v>
      </c>
      <c r="AM150" s="9">
        <v>1.2</v>
      </c>
      <c r="AN150" s="43">
        <v>1</v>
      </c>
      <c r="AO150" s="9">
        <v>2</v>
      </c>
      <c r="AP150" s="9">
        <v>0.3</v>
      </c>
      <c r="AQ150" s="43">
        <v>0.8</v>
      </c>
      <c r="AR150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354.60095999999999</v>
      </c>
      <c r="AS150" s="9">
        <f t="shared" si="265"/>
        <v>6.7560556704596904</v>
      </c>
      <c r="AT150" s="9">
        <f>IF(RIGHT(TIM[[#This Row],[Device type]],7)="Winding","-",TIM[[#This Row],[Cont Winter MVA]])</f>
        <v>9.0690180284306408</v>
      </c>
      <c r="AU150" s="9">
        <f>IF(RIGHT(TIM[[#This Row],[Device type]],7)="Winding","-",TIM[[#This Row],[Cont Shoulder MVA]])</f>
        <v>9.0690180284306408</v>
      </c>
      <c r="AV150" s="9">
        <f>IF(RIGHT(TIM[[#This Row],[Device type]],7)="Winding","-",TIM[[#This Row],[Cont Summer MVA]])</f>
        <v>9.0690180284306408</v>
      </c>
      <c r="AW150" s="9" t="str">
        <f>TIM[[#This Row],[24 Hr Winter MVA]]</f>
        <v>-</v>
      </c>
      <c r="AX150" s="9" t="str">
        <f>TIM[[#This Row],[24 Hr Summer MVA]]</f>
        <v>-</v>
      </c>
      <c r="AY150" s="9" t="str">
        <f>TIM[[#This Row],[Forwards MVA]]</f>
        <v>-</v>
      </c>
      <c r="AZ150" s="9" t="str">
        <f>TIM[[#This Row],[Relay MVA]]</f>
        <v>-</v>
      </c>
      <c r="BA150" s="9" t="str">
        <f>TIM[[#This Row],[CT MVA]]</f>
        <v>-</v>
      </c>
      <c r="BB150" s="9">
        <f>TIM[[#This Row],[Derating MVA]]</f>
        <v>6.7560556704596904</v>
      </c>
      <c r="BC150" s="9" t="str">
        <f>TIM[[#This Row],[Station/Feeder]]&amp;TIM[[#This Row],[Lowest MVA]]</f>
        <v>CB3012_Arowhenua6.75605567045969</v>
      </c>
      <c r="BD150" s="9" t="str">
        <f>CONCATENATE(TIM[[#This Row],[Supply Level]],TIM[[#This Row],[Station/Feeder]],TIM[[#This Row],[Voltage]],TIM[[#This Row],[Lowest A-No PTX]])</f>
        <v>DistributionFeederCB3012_Arowhenua11354.60096</v>
      </c>
      <c r="BE150" s="9" t="str">
        <f>CONCATENATE(TIM[[#This Row],[Supply Level]],TIM[[#This Row],[Station/Feeder]],TIM[[#This Row],[Voltage]],TIM[[#This Row],[Lowest A-PTX]])</f>
        <v>DistributionFeederCB3012_Arowhenua11354.60096</v>
      </c>
      <c r="BF150" s="9">
        <f>IFERROR(IF(MIN(TIM[[#This Row],[Summ Cont Winter A]:[Cable Derating]])=0,"",MIN(TIM[[#This Row],[Summ Cont Winter A]:[Cable Derating]])),"")</f>
        <v>6.7560556704596904</v>
      </c>
      <c r="BG150" s="9">
        <f>IFERROR(TIM[[#This Row],[Lowest MVA]]*1000/(TIM[[#This Row],[Voltage]]*SQRT(3)),"")</f>
        <v>354.60095999999999</v>
      </c>
      <c r="BH150" s="9">
        <f t="shared" si="153"/>
        <v>354.60095999999999</v>
      </c>
      <c r="BI150" s="9" t="str">
        <f>TIM[[#This Row],[From]]</f>
        <v>Joint</v>
      </c>
      <c r="BJ150" s="9" t="str">
        <f>TIM[[#This Row],[To]]</f>
        <v>L873</v>
      </c>
      <c r="BK150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- 3c 300mm² AL XLPE HDPE Screened</v>
      </c>
      <c r="BL150" s="9">
        <f>TIM[[#This Row],[Voltage]]</f>
        <v>11</v>
      </c>
    </row>
    <row r="151" spans="1:64" ht="15" customHeight="1" x14ac:dyDescent="0.25">
      <c r="A151" s="460" t="str">
        <f>CONCATENATE(TIM[[#This Row],[Supply Level]],TIM[[#This Row],[Station/Feeder]],TIM[[#This Row],[Voltage]])</f>
        <v>DistributionFeederCB3012_Arowhenua11</v>
      </c>
      <c r="B151" s="460" t="str">
        <f>CONCATENATE(TIM[[#This Row],[Supply Level]],TIM[[#This Row],[Station/Feeder]],TIM[[#This Row],[Equipment ID]],TIM[[#This Row],[Voltage]],TIM[[#This Row],[Device type]])</f>
        <v>DistributionFeederCB3012_Arowhenua3c 300mm² AL XLPE HDPE Screened11-</v>
      </c>
      <c r="C151" s="6" t="s">
        <v>1276</v>
      </c>
      <c r="D151" s="6" t="s">
        <v>1312</v>
      </c>
      <c r="E151" s="6" t="s">
        <v>2974</v>
      </c>
      <c r="F151" s="6" t="s">
        <v>750</v>
      </c>
      <c r="G151" s="8">
        <v>7</v>
      </c>
      <c r="H151" s="8" t="s">
        <v>273</v>
      </c>
      <c r="I151" s="6" t="s">
        <v>1451</v>
      </c>
      <c r="J151" s="6" t="s">
        <v>250</v>
      </c>
      <c r="K151" s="6" t="s">
        <v>0</v>
      </c>
      <c r="L151" s="6" t="s">
        <v>0</v>
      </c>
      <c r="M151" s="8">
        <v>11</v>
      </c>
      <c r="N151" s="9">
        <v>476</v>
      </c>
      <c r="O151" s="9">
        <f t="shared" si="266"/>
        <v>9.0690180284306408</v>
      </c>
      <c r="P151" s="9">
        <v>476</v>
      </c>
      <c r="Q151" s="9">
        <f t="shared" si="267"/>
        <v>9.0690180284306408</v>
      </c>
      <c r="R151" s="9">
        <v>476</v>
      </c>
      <c r="S151" s="9">
        <f t="shared" si="268"/>
        <v>9.0690180284306408</v>
      </c>
      <c r="T151" s="9" t="s">
        <v>0</v>
      </c>
      <c r="U151" s="9" t="str">
        <f t="shared" si="259"/>
        <v>-</v>
      </c>
      <c r="V151" s="9" t="s">
        <v>0</v>
      </c>
      <c r="W151" s="9" t="str">
        <f t="shared" si="260"/>
        <v>-</v>
      </c>
      <c r="X151" s="9" t="s">
        <v>0</v>
      </c>
      <c r="Y151" s="9" t="str">
        <f t="shared" si="261"/>
        <v>-</v>
      </c>
      <c r="Z151" s="9" t="s">
        <v>0</v>
      </c>
      <c r="AA151" s="9" t="str">
        <f t="shared" si="262"/>
        <v>-</v>
      </c>
      <c r="AB151" s="9" t="s">
        <v>0</v>
      </c>
      <c r="AC151" s="9" t="str">
        <f t="shared" si="263"/>
        <v>-</v>
      </c>
      <c r="AD151" s="9" t="s">
        <v>0</v>
      </c>
      <c r="AE151" s="9" t="str">
        <f t="shared" si="264"/>
        <v>-</v>
      </c>
      <c r="AF151" s="9" t="s">
        <v>716</v>
      </c>
      <c r="AG151" s="9" t="s">
        <v>0</v>
      </c>
      <c r="AH151" s="9" t="s">
        <v>0</v>
      </c>
      <c r="AI151" s="9">
        <v>0.9</v>
      </c>
      <c r="AJ151" s="43">
        <v>0.96</v>
      </c>
      <c r="AK151" s="9">
        <v>18.5</v>
      </c>
      <c r="AL151" s="43">
        <v>0.97</v>
      </c>
      <c r="AM151" s="9">
        <v>1.2</v>
      </c>
      <c r="AN151" s="43">
        <v>1</v>
      </c>
      <c r="AO151" s="9">
        <v>2</v>
      </c>
      <c r="AP151" s="9">
        <v>0.3</v>
      </c>
      <c r="AQ151" s="43">
        <v>0.8</v>
      </c>
      <c r="AR151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354.60095999999999</v>
      </c>
      <c r="AS151" s="9">
        <f t="shared" si="265"/>
        <v>6.7560556704596904</v>
      </c>
      <c r="AT151" s="9">
        <f>IF(RIGHT(TIM[[#This Row],[Device type]],7)="Winding","-",TIM[[#This Row],[Cont Winter MVA]])</f>
        <v>9.0690180284306408</v>
      </c>
      <c r="AU151" s="9">
        <f>IF(RIGHT(TIM[[#This Row],[Device type]],7)="Winding","-",TIM[[#This Row],[Cont Shoulder MVA]])</f>
        <v>9.0690180284306408</v>
      </c>
      <c r="AV151" s="9">
        <f>IF(RIGHT(TIM[[#This Row],[Device type]],7)="Winding","-",TIM[[#This Row],[Cont Summer MVA]])</f>
        <v>9.0690180284306408</v>
      </c>
      <c r="AW151" s="9" t="str">
        <f>TIM[[#This Row],[24 Hr Winter MVA]]</f>
        <v>-</v>
      </c>
      <c r="AX151" s="9" t="str">
        <f>TIM[[#This Row],[24 Hr Summer MVA]]</f>
        <v>-</v>
      </c>
      <c r="AY151" s="9" t="str">
        <f>TIM[[#This Row],[Forwards MVA]]</f>
        <v>-</v>
      </c>
      <c r="AZ151" s="9" t="str">
        <f>TIM[[#This Row],[Relay MVA]]</f>
        <v>-</v>
      </c>
      <c r="BA151" s="9" t="str">
        <f>TIM[[#This Row],[CT MVA]]</f>
        <v>-</v>
      </c>
      <c r="BB151" s="9">
        <f>TIM[[#This Row],[Derating MVA]]</f>
        <v>6.7560556704596904</v>
      </c>
      <c r="BC151" s="9" t="str">
        <f>TIM[[#This Row],[Station/Feeder]]&amp;TIM[[#This Row],[Lowest MVA]]</f>
        <v>CB3012_Arowhenua6.75605567045969</v>
      </c>
      <c r="BD151" s="9" t="str">
        <f>CONCATENATE(TIM[[#This Row],[Supply Level]],TIM[[#This Row],[Station/Feeder]],TIM[[#This Row],[Voltage]],TIM[[#This Row],[Lowest A-No PTX]])</f>
        <v>DistributionFeederCB3012_Arowhenua11354.60096</v>
      </c>
      <c r="BE151" s="9" t="str">
        <f>CONCATENATE(TIM[[#This Row],[Supply Level]],TIM[[#This Row],[Station/Feeder]],TIM[[#This Row],[Voltage]],TIM[[#This Row],[Lowest A-PTX]])</f>
        <v>DistributionFeederCB3012_Arowhenua11354.60096</v>
      </c>
      <c r="BF151" s="9">
        <f>IFERROR(IF(MIN(TIM[[#This Row],[Summ Cont Winter A]:[Cable Derating]])=0,"",MIN(TIM[[#This Row],[Summ Cont Winter A]:[Cable Derating]])),"")</f>
        <v>6.7560556704596904</v>
      </c>
      <c r="BG151" s="9">
        <f>IFERROR(TIM[[#This Row],[Lowest MVA]]*1000/(TIM[[#This Row],[Voltage]]*SQRT(3)),"")</f>
        <v>354.60095999999999</v>
      </c>
      <c r="BH151" s="9">
        <f t="shared" ref="BH151" si="269">IF(MIN(N151,P151,R151,T151,V151,X151,Z151,AB151,AD151,AR151)=0,"",MIN(N151,P151,R151,T151,V151,X151,Z151,AB151,AD151,AR151))</f>
        <v>354.60095999999999</v>
      </c>
      <c r="BI151" s="9" t="str">
        <f>TIM[[#This Row],[From]]</f>
        <v>L872</v>
      </c>
      <c r="BJ151" s="9" t="str">
        <f>TIM[[#This Row],[To]]</f>
        <v>Joint</v>
      </c>
      <c r="BK151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- 3c 300mm² AL XLPE HDPE Screened</v>
      </c>
      <c r="BL151" s="9">
        <f>TIM[[#This Row],[Voltage]]</f>
        <v>11</v>
      </c>
    </row>
    <row r="152" spans="1:64" ht="15" customHeight="1" x14ac:dyDescent="0.25">
      <c r="A152" s="460" t="str">
        <f>CONCATENATE(TIM[[#This Row],[Supply Level]],TIM[[#This Row],[Station/Feeder]],TIM[[#This Row],[Voltage]])</f>
        <v>DistributionFeederCB3012_Arowhenua11</v>
      </c>
      <c r="B152" s="460" t="str">
        <f>CONCATENATE(TIM[[#This Row],[Supply Level]],TIM[[#This Row],[Station/Feeder]],TIM[[#This Row],[Equipment ID]],TIM[[#This Row],[Voltage]],TIM[[#This Row],[Device type]])</f>
        <v>DistributionFeederCB3012_Arowhenua3c 150mm² Al PILC STA11-</v>
      </c>
      <c r="C152" s="6" t="s">
        <v>1276</v>
      </c>
      <c r="D152" s="6" t="s">
        <v>1312</v>
      </c>
      <c r="E152" s="6" t="s">
        <v>750</v>
      </c>
      <c r="F152" s="6" t="s">
        <v>2975</v>
      </c>
      <c r="G152" s="8">
        <v>7</v>
      </c>
      <c r="H152" s="8" t="s">
        <v>273</v>
      </c>
      <c r="I152" s="6" t="s">
        <v>1097</v>
      </c>
      <c r="J152" s="6" t="s">
        <v>250</v>
      </c>
      <c r="K152" s="6" t="s">
        <v>0</v>
      </c>
      <c r="L152" s="6" t="s">
        <v>0</v>
      </c>
      <c r="M152" s="8">
        <v>11</v>
      </c>
      <c r="N152" s="9">
        <v>265</v>
      </c>
      <c r="O152" s="9">
        <f t="shared" si="266"/>
        <v>5.0489281040632772</v>
      </c>
      <c r="P152" s="9">
        <v>265</v>
      </c>
      <c r="Q152" s="9">
        <f t="shared" si="267"/>
        <v>5.0489281040632772</v>
      </c>
      <c r="R152" s="9">
        <v>265</v>
      </c>
      <c r="S152" s="9">
        <f t="shared" si="268"/>
        <v>5.0489281040632772</v>
      </c>
      <c r="T152" s="9" t="s">
        <v>0</v>
      </c>
      <c r="U152" s="9" t="str">
        <f t="shared" si="259"/>
        <v>-</v>
      </c>
      <c r="V152" s="9" t="s">
        <v>0</v>
      </c>
      <c r="W152" s="9" t="str">
        <f t="shared" si="260"/>
        <v>-</v>
      </c>
      <c r="X152" s="9" t="s">
        <v>0</v>
      </c>
      <c r="Y152" s="9" t="str">
        <f t="shared" si="261"/>
        <v>-</v>
      </c>
      <c r="Z152" s="9" t="s">
        <v>0</v>
      </c>
      <c r="AA152" s="9" t="str">
        <f t="shared" si="262"/>
        <v>-</v>
      </c>
      <c r="AB152" s="9" t="s">
        <v>0</v>
      </c>
      <c r="AC152" s="9" t="str">
        <f t="shared" si="263"/>
        <v>-</v>
      </c>
      <c r="AD152" s="9" t="s">
        <v>0</v>
      </c>
      <c r="AE152" s="9" t="str">
        <f t="shared" si="264"/>
        <v>-</v>
      </c>
      <c r="AF152" s="9" t="s">
        <v>716</v>
      </c>
      <c r="AG152" s="9" t="s">
        <v>0</v>
      </c>
      <c r="AH152" s="9" t="s">
        <v>0</v>
      </c>
      <c r="AI152" s="9">
        <v>0.9</v>
      </c>
      <c r="AJ152" s="43">
        <v>0.96</v>
      </c>
      <c r="AK152" s="9">
        <v>18.5</v>
      </c>
      <c r="AL152" s="43">
        <v>0.97</v>
      </c>
      <c r="AM152" s="9">
        <v>1.2</v>
      </c>
      <c r="AN152" s="43">
        <v>1</v>
      </c>
      <c r="AO152" s="9">
        <v>2</v>
      </c>
      <c r="AP152" s="9">
        <v>0.3</v>
      </c>
      <c r="AQ152" s="43">
        <v>0.8</v>
      </c>
      <c r="AR152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197.4144</v>
      </c>
      <c r="AS152" s="9">
        <f t="shared" si="265"/>
        <v>3.761249480402979</v>
      </c>
      <c r="AT152" s="9">
        <f>IF(RIGHT(TIM[[#This Row],[Device type]],7)="Winding","-",TIM[[#This Row],[Cont Winter MVA]])</f>
        <v>5.0489281040632772</v>
      </c>
      <c r="AU152" s="9">
        <f>IF(RIGHT(TIM[[#This Row],[Device type]],7)="Winding","-",TIM[[#This Row],[Cont Shoulder MVA]])</f>
        <v>5.0489281040632772</v>
      </c>
      <c r="AV152" s="9">
        <f>IF(RIGHT(TIM[[#This Row],[Device type]],7)="Winding","-",TIM[[#This Row],[Cont Summer MVA]])</f>
        <v>5.0489281040632772</v>
      </c>
      <c r="AW152" s="9" t="str">
        <f>TIM[[#This Row],[24 Hr Winter MVA]]</f>
        <v>-</v>
      </c>
      <c r="AX152" s="9" t="str">
        <f>TIM[[#This Row],[24 Hr Summer MVA]]</f>
        <v>-</v>
      </c>
      <c r="AY152" s="9" t="str">
        <f>TIM[[#This Row],[Forwards MVA]]</f>
        <v>-</v>
      </c>
      <c r="AZ152" s="9" t="str">
        <f>TIM[[#This Row],[Relay MVA]]</f>
        <v>-</v>
      </c>
      <c r="BA152" s="9" t="str">
        <f>TIM[[#This Row],[CT MVA]]</f>
        <v>-</v>
      </c>
      <c r="BB152" s="9">
        <f>TIM[[#This Row],[Derating MVA]]</f>
        <v>3.761249480402979</v>
      </c>
      <c r="BC152" s="9" t="str">
        <f>TIM[[#This Row],[Station/Feeder]]&amp;TIM[[#This Row],[Lowest MVA]]</f>
        <v>CB3012_Arowhenua3.76124948040298</v>
      </c>
      <c r="BD152" s="9" t="str">
        <f>CONCATENATE(TIM[[#This Row],[Supply Level]],TIM[[#This Row],[Station/Feeder]],TIM[[#This Row],[Voltage]],TIM[[#This Row],[Lowest A-No PTX]])</f>
        <v>DistributionFeederCB3012_Arowhenua11197.4144</v>
      </c>
      <c r="BE152" s="9" t="str">
        <f>CONCATENATE(TIM[[#This Row],[Supply Level]],TIM[[#This Row],[Station/Feeder]],TIM[[#This Row],[Voltage]],TIM[[#This Row],[Lowest A-PTX]])</f>
        <v>DistributionFeederCB3012_Arowhenua11197.4144</v>
      </c>
      <c r="BF152" s="9">
        <f>IFERROR(IF(MIN(TIM[[#This Row],[Summ Cont Winter A]:[Cable Derating]])=0,"",MIN(TIM[[#This Row],[Summ Cont Winter A]:[Cable Derating]])),"")</f>
        <v>3.761249480402979</v>
      </c>
      <c r="BG152" s="9">
        <f>IFERROR(TIM[[#This Row],[Lowest MVA]]*1000/(TIM[[#This Row],[Voltage]]*SQRT(3)),"")</f>
        <v>197.4144</v>
      </c>
      <c r="BH152" s="9">
        <f t="shared" ref="BH152" si="270">IF(MIN(N152,P152,R152,T152,V152,X152,Z152,AB152,AD152,AR152)=0,"",MIN(N152,P152,R152,T152,V152,X152,Z152,AB152,AD152,AR152))</f>
        <v>197.4144</v>
      </c>
      <c r="BI152" s="9" t="str">
        <f>TIM[[#This Row],[From]]</f>
        <v>Joint</v>
      </c>
      <c r="BJ152" s="9" t="str">
        <f>TIM[[#This Row],[To]]</f>
        <v>L357</v>
      </c>
      <c r="BK152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- 3c 150mm² Al PILC STA</v>
      </c>
      <c r="BL152" s="9">
        <f>TIM[[#This Row],[Voltage]]</f>
        <v>11</v>
      </c>
    </row>
    <row r="153" spans="1:64" ht="15.75" hidden="1" customHeight="1" thickBot="1" x14ac:dyDescent="0.3">
      <c r="A153" s="14" t="str">
        <f>CONCATENATE(TIM[[#This Row],[Supply Level]],TIM[[#This Row],[Station/Feeder]],TIM[[#This Row],[Voltage]])</f>
        <v>SubTransmissionTIM_WSS_SUBTRANS11</v>
      </c>
      <c r="B153" s="14" t="str">
        <f>CONCATENATE(TIM[[#This Row],[Supply Level]],TIM[[#This Row],[Station/Feeder]],TIM[[#This Row],[Equipment ID]],TIM[[#This Row],[Voltage]],TIM[[#This Row],[Device type]])</f>
        <v>SubTransmissionTIM_WSS_SUBTRANSTIM-CB301211Protection</v>
      </c>
      <c r="C153" s="14" t="s">
        <v>1245</v>
      </c>
      <c r="D153" s="13" t="s">
        <v>1313</v>
      </c>
      <c r="E153" s="14" t="s">
        <v>243</v>
      </c>
      <c r="F153" s="14" t="s">
        <v>884</v>
      </c>
      <c r="G153" s="28">
        <v>1</v>
      </c>
      <c r="H153" s="39" t="s">
        <v>2374</v>
      </c>
      <c r="I153" s="39" t="s">
        <v>2243</v>
      </c>
      <c r="J153" s="39" t="s">
        <v>15</v>
      </c>
      <c r="K153" s="39" t="s">
        <v>1121</v>
      </c>
      <c r="L153" s="39" t="s">
        <v>1423</v>
      </c>
      <c r="M153" s="15">
        <v>11</v>
      </c>
      <c r="N153" s="16">
        <v>1250</v>
      </c>
      <c r="O153" s="16">
        <f t="shared" si="0"/>
        <v>23.815698604072061</v>
      </c>
      <c r="P153" s="16">
        <v>1250</v>
      </c>
      <c r="Q153" s="16">
        <f t="shared" si="1"/>
        <v>23.815698604072061</v>
      </c>
      <c r="R153" s="16">
        <v>1250</v>
      </c>
      <c r="S153" s="16">
        <f t="shared" si="2"/>
        <v>23.815698604072061</v>
      </c>
      <c r="T153" s="16" t="s">
        <v>0</v>
      </c>
      <c r="U153" s="16" t="str">
        <f t="shared" si="3"/>
        <v>-</v>
      </c>
      <c r="V153" s="16" t="s">
        <v>0</v>
      </c>
      <c r="W153" s="16" t="str">
        <f t="shared" si="4"/>
        <v>-</v>
      </c>
      <c r="X153" s="16">
        <f>VLOOKUP(TIM[[#This Row],[Equipment ID]],AEL_Protection_Data[#All],12,0)</f>
        <v>400</v>
      </c>
      <c r="Y153" s="16">
        <f t="shared" si="5"/>
        <v>7.6210235533030604</v>
      </c>
      <c r="Z153" s="16">
        <v>366</v>
      </c>
      <c r="AA153" s="16">
        <f t="shared" si="6"/>
        <v>6.9732365512722998</v>
      </c>
      <c r="AB153" s="16">
        <v>2400</v>
      </c>
      <c r="AC153" s="16">
        <f t="shared" si="7"/>
        <v>45.72614131981836</v>
      </c>
      <c r="AD153" s="16">
        <v>1600</v>
      </c>
      <c r="AE153" s="17">
        <f t="shared" si="8"/>
        <v>30.484094213212241</v>
      </c>
      <c r="AF153" s="126" t="s">
        <v>0</v>
      </c>
      <c r="AG153" s="126" t="s">
        <v>0</v>
      </c>
      <c r="AH153" s="15" t="s">
        <v>0</v>
      </c>
      <c r="AI153" s="126" t="s">
        <v>0</v>
      </c>
      <c r="AJ153" s="127" t="s">
        <v>0</v>
      </c>
      <c r="AK153" s="126" t="s">
        <v>0</v>
      </c>
      <c r="AL153" s="127" t="s">
        <v>0</v>
      </c>
      <c r="AM153" s="126" t="s">
        <v>0</v>
      </c>
      <c r="AN153" s="127" t="s">
        <v>0</v>
      </c>
      <c r="AO153" s="126" t="s">
        <v>0</v>
      </c>
      <c r="AP153" s="126" t="s">
        <v>0</v>
      </c>
      <c r="AQ153" s="127" t="s">
        <v>0</v>
      </c>
      <c r="AR153" s="16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53" s="16" t="str">
        <f t="shared" si="9"/>
        <v>-</v>
      </c>
      <c r="AT153" s="155">
        <f>IF(RIGHT(TIM[[#This Row],[Device type]],7)="Winding","-",TIM[[#This Row],[Cont Winter MVA]])</f>
        <v>23.815698604072061</v>
      </c>
      <c r="AU153" s="155">
        <f>IF(RIGHT(TIM[[#This Row],[Device type]],7)="Winding","-",TIM[[#This Row],[Cont Shoulder MVA]])</f>
        <v>23.815698604072061</v>
      </c>
      <c r="AV153" s="155">
        <f>IF(RIGHT(TIM[[#This Row],[Device type]],7)="Winding","-",TIM[[#This Row],[Cont Summer MVA]])</f>
        <v>23.815698604072061</v>
      </c>
      <c r="AW153" s="155" t="str">
        <f>TIM[[#This Row],[24 Hr Winter MVA]]</f>
        <v>-</v>
      </c>
      <c r="AX153" s="155" t="str">
        <f>TIM[[#This Row],[24 Hr Summer MVA]]</f>
        <v>-</v>
      </c>
      <c r="AY153" s="155">
        <f>TIM[[#This Row],[Forwards MVA]]</f>
        <v>7.6210235533030604</v>
      </c>
      <c r="AZ153" s="155">
        <f>TIM[[#This Row],[Relay MVA]]</f>
        <v>45.72614131981836</v>
      </c>
      <c r="BA153" s="155">
        <f>TIM[[#This Row],[CT MVA]]</f>
        <v>30.484094213212241</v>
      </c>
      <c r="BB153" s="155" t="str">
        <f>TIM[[#This Row],[Derating MVA]]</f>
        <v>-</v>
      </c>
      <c r="BC153" s="155" t="str">
        <f>TIM[[#This Row],[Station/Feeder]]&amp;TIM[[#This Row],[Lowest MVA]]</f>
        <v>TIM_WSS_SUBTRANS7.62102355330306</v>
      </c>
      <c r="BD153" s="155" t="str">
        <f>CONCATENATE(TIM[[#This Row],[Supply Level]],TIM[[#This Row],[Station/Feeder]],TIM[[#This Row],[Voltage]],TIM[[#This Row],[Lowest A-No PTX]])</f>
        <v>SubTransmissionTIM_WSS_SUBTRANS11400</v>
      </c>
      <c r="BE153" s="155" t="str">
        <f>CONCATENATE(TIM[[#This Row],[Supply Level]],TIM[[#This Row],[Station/Feeder]],TIM[[#This Row],[Voltage]],TIM[[#This Row],[Lowest A-PTX]])</f>
        <v>SubTransmissionTIM_WSS_SUBTRANS11366</v>
      </c>
      <c r="BF153" s="155">
        <f>IFERROR(IF(MIN(TIM[[#This Row],[Summ Cont Winter A]:[Cable Derating]])=0,"",MIN(TIM[[#This Row],[Summ Cont Winter A]:[Cable Derating]])),"")</f>
        <v>7.6210235533030604</v>
      </c>
      <c r="BG153" s="155">
        <f>IFERROR(TIM[[#This Row],[Lowest MVA]]*1000/(TIM[[#This Row],[Voltage]]*SQRT(3)),"")</f>
        <v>400</v>
      </c>
      <c r="BH153" s="155">
        <f t="shared" ref="BH153:BH217" si="271">IF(MIN(N153,P153,R153,T153,V153,X153,Z153,AB153,AD153,AR153)=0,"",MIN(N153,P153,R153,T153,V153,X153,Z153,AB153,AD153,AR153))</f>
        <v>366</v>
      </c>
      <c r="BI153" s="155" t="str">
        <f>TIM[[#This Row],[From]]</f>
        <v>11 kV Bus</v>
      </c>
      <c r="BJ153" s="155" t="str">
        <f>TIM[[#This Row],[To]]</f>
        <v>CB3012</v>
      </c>
      <c r="BK153" s="155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Breaker-TIM-CB3012-Protection</v>
      </c>
      <c r="BL153" s="155">
        <f>TIM[[#This Row],[Voltage]]</f>
        <v>11</v>
      </c>
    </row>
    <row r="154" spans="1:64" ht="15.75" hidden="1" customHeight="1" thickBot="1" x14ac:dyDescent="0.3">
      <c r="A154" s="202" t="str">
        <f>CONCATENATE(TIM[[#This Row],[Supply Level]],TIM[[#This Row],[Station/Feeder]],TIM[[#This Row],[Voltage]])</f>
        <v>---</v>
      </c>
      <c r="B154" s="202" t="str">
        <f>CONCATENATE(TIM[[#This Row],[Supply Level]],TIM[[#This Row],[Station/Feeder]],TIM[[#This Row],[Equipment ID]],TIM[[#This Row],[Voltage]],TIM[[#This Row],[Device type]])</f>
        <v>-----</v>
      </c>
      <c r="C154" s="202" t="s">
        <v>0</v>
      </c>
      <c r="D154" s="161" t="s">
        <v>0</v>
      </c>
      <c r="E154" s="162" t="s">
        <v>0</v>
      </c>
      <c r="F154" s="162" t="s">
        <v>0</v>
      </c>
      <c r="G154" s="163" t="s">
        <v>0</v>
      </c>
      <c r="H154" s="187" t="s">
        <v>0</v>
      </c>
      <c r="I154" s="187" t="s">
        <v>0</v>
      </c>
      <c r="J154" s="187" t="s">
        <v>0</v>
      </c>
      <c r="K154" s="187" t="s">
        <v>0</v>
      </c>
      <c r="L154" s="187" t="s">
        <v>0</v>
      </c>
      <c r="M154" s="165" t="s">
        <v>0</v>
      </c>
      <c r="N154" s="164" t="s">
        <v>0</v>
      </c>
      <c r="O154" s="164" t="str">
        <f t="shared" si="0"/>
        <v>-</v>
      </c>
      <c r="P154" s="164" t="s">
        <v>0</v>
      </c>
      <c r="Q154" s="164" t="str">
        <f t="shared" si="1"/>
        <v>-</v>
      </c>
      <c r="R154" s="164" t="s">
        <v>0</v>
      </c>
      <c r="S154" s="164" t="str">
        <f t="shared" si="2"/>
        <v>-</v>
      </c>
      <c r="T154" s="164" t="s">
        <v>0</v>
      </c>
      <c r="U154" s="164" t="str">
        <f t="shared" si="3"/>
        <v>-</v>
      </c>
      <c r="V154" s="164" t="s">
        <v>0</v>
      </c>
      <c r="W154" s="164" t="str">
        <f t="shared" si="4"/>
        <v>-</v>
      </c>
      <c r="X154" s="164" t="s">
        <v>0</v>
      </c>
      <c r="Y154" s="164" t="str">
        <f t="shared" si="5"/>
        <v>-</v>
      </c>
      <c r="Z154" s="164" t="s">
        <v>0</v>
      </c>
      <c r="AA154" s="164" t="str">
        <f t="shared" si="6"/>
        <v>-</v>
      </c>
      <c r="AB154" s="164" t="s">
        <v>0</v>
      </c>
      <c r="AC154" s="164" t="str">
        <f t="shared" si="7"/>
        <v>-</v>
      </c>
      <c r="AD154" s="164" t="s">
        <v>0</v>
      </c>
      <c r="AE154" s="166" t="str">
        <f t="shared" si="8"/>
        <v>-</v>
      </c>
      <c r="AF154" s="164" t="s">
        <v>0</v>
      </c>
      <c r="AG154" s="164" t="s">
        <v>0</v>
      </c>
      <c r="AH154" s="164" t="s">
        <v>0</v>
      </c>
      <c r="AI154" s="164" t="s">
        <v>0</v>
      </c>
      <c r="AJ154" s="167" t="s">
        <v>0</v>
      </c>
      <c r="AK154" s="164" t="s">
        <v>0</v>
      </c>
      <c r="AL154" s="167" t="s">
        <v>0</v>
      </c>
      <c r="AM154" s="164" t="s">
        <v>0</v>
      </c>
      <c r="AN154" s="167" t="s">
        <v>0</v>
      </c>
      <c r="AO154" s="164" t="s">
        <v>0</v>
      </c>
      <c r="AP154" s="164" t="s">
        <v>0</v>
      </c>
      <c r="AQ154" s="167" t="s">
        <v>0</v>
      </c>
      <c r="AR154" s="164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54" s="164" t="str">
        <f t="shared" si="9"/>
        <v>-</v>
      </c>
      <c r="AT154" s="185" t="str">
        <f>IF(RIGHT(TIM[[#This Row],[Device type]],7)="Winding","-",TIM[[#This Row],[Cont Winter MVA]])</f>
        <v>-</v>
      </c>
      <c r="AU154" s="185" t="str">
        <f>IF(RIGHT(TIM[[#This Row],[Device type]],7)="Winding","-",TIM[[#This Row],[Cont Shoulder MVA]])</f>
        <v>-</v>
      </c>
      <c r="AV154" s="185" t="str">
        <f>IF(RIGHT(TIM[[#This Row],[Device type]],7)="Winding","-",TIM[[#This Row],[Cont Summer MVA]])</f>
        <v>-</v>
      </c>
      <c r="AW154" s="185" t="str">
        <f>TIM[[#This Row],[24 Hr Winter MVA]]</f>
        <v>-</v>
      </c>
      <c r="AX154" s="185" t="str">
        <f>TIM[[#This Row],[24 Hr Summer MVA]]</f>
        <v>-</v>
      </c>
      <c r="AY154" s="185" t="str">
        <f>TIM[[#This Row],[Forwards MVA]]</f>
        <v>-</v>
      </c>
      <c r="AZ154" s="185" t="str">
        <f>TIM[[#This Row],[Relay MVA]]</f>
        <v>-</v>
      </c>
      <c r="BA154" s="185" t="str">
        <f>TIM[[#This Row],[CT MVA]]</f>
        <v>-</v>
      </c>
      <c r="BB154" s="185" t="str">
        <f>TIM[[#This Row],[Derating MVA]]</f>
        <v>-</v>
      </c>
      <c r="BC154" s="185" t="str">
        <f>TIM[[#This Row],[Station/Feeder]]&amp;TIM[[#This Row],[Lowest MVA]]</f>
        <v>-</v>
      </c>
      <c r="BD154" s="185" t="str">
        <f>CONCATENATE(TIM[[#This Row],[Supply Level]],TIM[[#This Row],[Station/Feeder]],TIM[[#This Row],[Voltage]],TIM[[#This Row],[Lowest A-No PTX]])</f>
        <v>---</v>
      </c>
      <c r="BE154" s="185" t="str">
        <f>CONCATENATE(TIM[[#This Row],[Supply Level]],TIM[[#This Row],[Station/Feeder]],TIM[[#This Row],[Voltage]],TIM[[#This Row],[Lowest A-PTX]])</f>
        <v>---</v>
      </c>
      <c r="BF154" s="185" t="str">
        <f>IFERROR(IF(MIN(TIM[[#This Row],[Summ Cont Winter A]:[Cable Derating]])=0,"",MIN(TIM[[#This Row],[Summ Cont Winter A]:[Cable Derating]])),"")</f>
        <v/>
      </c>
      <c r="BG154" s="185" t="str">
        <f>IFERROR(TIM[[#This Row],[Lowest MVA]]*1000/(TIM[[#This Row],[Voltage]]*SQRT(3)),"")</f>
        <v/>
      </c>
      <c r="BH154" s="185" t="str">
        <f t="shared" si="271"/>
        <v/>
      </c>
      <c r="BI154" s="185" t="str">
        <f>TIM[[#This Row],[From]]</f>
        <v>-</v>
      </c>
      <c r="BJ154" s="185" t="str">
        <f>TIM[[#This Row],[To]]</f>
        <v>-</v>
      </c>
      <c r="BK154" s="185" t="str">
        <f>IF(TIM[[#This Row],[Device type]]="-",TIM[[#This Row],[Equipment Type]]&amp;"-"&amp;TIM[[#This Row],[Equipment ID]],TIM[[#This Row],[Equipment Type]]&amp;"-"&amp;TIM[[#This Row],[Equipment ID]]&amp;"-"&amp;TIM[[#This Row],[Device type]])</f>
        <v>---</v>
      </c>
      <c r="BL154" s="185" t="str">
        <f>TIM[[#This Row],[Voltage]]</f>
        <v>-</v>
      </c>
    </row>
    <row r="155" spans="1:64" ht="15" customHeight="1" x14ac:dyDescent="0.25">
      <c r="A155" s="168" t="str">
        <f>CONCATENATE(TIM[[#This Row],[Supply Level]],TIM[[#This Row],[Station/Feeder]],TIM[[#This Row],[Voltage]])</f>
        <v>DistributionFeederCB2_White St11</v>
      </c>
      <c r="B155" s="168" t="str">
        <f>CONCATENATE(TIM[[#This Row],[Supply Level]],TIM[[#This Row],[Station/Feeder]],TIM[[#This Row],[Equipment ID]],TIM[[#This Row],[Voltage]],TIM[[#This Row],[Device type]])</f>
        <v>DistributionFeederCB2_White StGRM-CB211Protection</v>
      </c>
      <c r="C155" s="168" t="s">
        <v>1276</v>
      </c>
      <c r="D155" s="118" t="s">
        <v>176</v>
      </c>
      <c r="E155" s="149" t="s">
        <v>243</v>
      </c>
      <c r="F155" s="149" t="s">
        <v>886</v>
      </c>
      <c r="G155" s="150">
        <v>1</v>
      </c>
      <c r="H155" s="49" t="s">
        <v>887</v>
      </c>
      <c r="I155" s="49" t="s">
        <v>2245</v>
      </c>
      <c r="J155" s="49" t="s">
        <v>15</v>
      </c>
      <c r="K155" s="49" t="s">
        <v>791</v>
      </c>
      <c r="L155" s="49" t="s">
        <v>1423</v>
      </c>
      <c r="M155" s="146">
        <v>11</v>
      </c>
      <c r="N155" s="29">
        <v>1250</v>
      </c>
      <c r="O155" s="29">
        <f t="shared" si="0"/>
        <v>23.815698604072061</v>
      </c>
      <c r="P155" s="29">
        <v>1250</v>
      </c>
      <c r="Q155" s="29">
        <f t="shared" si="1"/>
        <v>23.815698604072061</v>
      </c>
      <c r="R155" s="29">
        <v>1250</v>
      </c>
      <c r="S155" s="29">
        <f t="shared" si="2"/>
        <v>23.815698604072061</v>
      </c>
      <c r="T155" s="29" t="s">
        <v>0</v>
      </c>
      <c r="U155" s="29" t="str">
        <f t="shared" si="3"/>
        <v>-</v>
      </c>
      <c r="V155" s="29" t="s">
        <v>0</v>
      </c>
      <c r="W155" s="29" t="str">
        <f t="shared" si="4"/>
        <v>-</v>
      </c>
      <c r="X155" s="29">
        <f>VLOOKUP(TIM[[#This Row],[Equipment ID]],AEL_Protection_Data[#All],12,0)</f>
        <v>304</v>
      </c>
      <c r="Y155" s="29">
        <f t="shared" si="5"/>
        <v>5.7919779005103251</v>
      </c>
      <c r="Z155" s="29" t="s">
        <v>0</v>
      </c>
      <c r="AA155" s="29" t="str">
        <f t="shared" si="6"/>
        <v>-</v>
      </c>
      <c r="AB155" s="29">
        <v>800</v>
      </c>
      <c r="AC155" s="29">
        <f t="shared" si="7"/>
        <v>15.242047106606121</v>
      </c>
      <c r="AD155" s="29">
        <v>800</v>
      </c>
      <c r="AE155" s="169">
        <f t="shared" si="8"/>
        <v>15.242047106606121</v>
      </c>
      <c r="AF155" s="29" t="s">
        <v>0</v>
      </c>
      <c r="AG155" s="29" t="s">
        <v>0</v>
      </c>
      <c r="AH155" s="126" t="s">
        <v>0</v>
      </c>
      <c r="AI155" s="29" t="s">
        <v>0</v>
      </c>
      <c r="AJ155" s="32" t="s">
        <v>0</v>
      </c>
      <c r="AK155" s="29" t="s">
        <v>0</v>
      </c>
      <c r="AL155" s="32" t="s">
        <v>0</v>
      </c>
      <c r="AM155" s="29" t="s">
        <v>0</v>
      </c>
      <c r="AN155" s="32" t="s">
        <v>0</v>
      </c>
      <c r="AO155" s="29" t="s">
        <v>0</v>
      </c>
      <c r="AP155" s="29" t="s">
        <v>0</v>
      </c>
      <c r="AQ155" s="32" t="s">
        <v>0</v>
      </c>
      <c r="AR155" s="2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55" s="29" t="str">
        <f t="shared" si="9"/>
        <v>-</v>
      </c>
      <c r="AT155" s="29">
        <f>IF(RIGHT(TIM[[#This Row],[Device type]],7)="Winding","-",TIM[[#This Row],[Cont Winter MVA]])</f>
        <v>23.815698604072061</v>
      </c>
      <c r="AU155" s="29">
        <f>IF(RIGHT(TIM[[#This Row],[Device type]],7)="Winding","-",TIM[[#This Row],[Cont Shoulder MVA]])</f>
        <v>23.815698604072061</v>
      </c>
      <c r="AV155" s="29">
        <f>IF(RIGHT(TIM[[#This Row],[Device type]],7)="Winding","-",TIM[[#This Row],[Cont Summer MVA]])</f>
        <v>23.815698604072061</v>
      </c>
      <c r="AW155" s="29" t="str">
        <f>TIM[[#This Row],[24 Hr Winter MVA]]</f>
        <v>-</v>
      </c>
      <c r="AX155" s="29" t="str">
        <f>TIM[[#This Row],[24 Hr Summer MVA]]</f>
        <v>-</v>
      </c>
      <c r="AY155" s="29">
        <f>TIM[[#This Row],[Forwards MVA]]</f>
        <v>5.7919779005103251</v>
      </c>
      <c r="AZ155" s="29">
        <f>TIM[[#This Row],[Relay MVA]]</f>
        <v>15.242047106606121</v>
      </c>
      <c r="BA155" s="29">
        <f>TIM[[#This Row],[CT MVA]]</f>
        <v>15.242047106606121</v>
      </c>
      <c r="BB155" s="29" t="str">
        <f>TIM[[#This Row],[Derating MVA]]</f>
        <v>-</v>
      </c>
      <c r="BC155" s="29" t="str">
        <f>TIM[[#This Row],[Station/Feeder]]&amp;TIM[[#This Row],[Lowest MVA]]</f>
        <v>CB2_White St5.79197790051033</v>
      </c>
      <c r="BD155" s="29" t="str">
        <f>CONCATENATE(TIM[[#This Row],[Supply Level]],TIM[[#This Row],[Station/Feeder]],TIM[[#This Row],[Voltage]],TIM[[#This Row],[Lowest A-No PTX]])</f>
        <v>DistributionFeederCB2_White St11304</v>
      </c>
      <c r="BE155" s="29" t="str">
        <f>CONCATENATE(TIM[[#This Row],[Supply Level]],TIM[[#This Row],[Station/Feeder]],TIM[[#This Row],[Voltage]],TIM[[#This Row],[Lowest A-PTX]])</f>
        <v>DistributionFeederCB2_White St11304</v>
      </c>
      <c r="BF155" s="29">
        <f>IFERROR(IF(MIN(TIM[[#This Row],[Summ Cont Winter A]:[Cable Derating]])=0,"",MIN(TIM[[#This Row],[Summ Cont Winter A]:[Cable Derating]])),"")</f>
        <v>5.7919779005103251</v>
      </c>
      <c r="BG155" s="29">
        <f>IFERROR(TIM[[#This Row],[Lowest MVA]]*1000/(TIM[[#This Row],[Voltage]]*SQRT(3)),"")</f>
        <v>304</v>
      </c>
      <c r="BH155" s="29">
        <f t="shared" si="271"/>
        <v>304</v>
      </c>
      <c r="BI155" s="29" t="str">
        <f>TIM[[#This Row],[From]]</f>
        <v>11 kV Bus</v>
      </c>
      <c r="BJ155" s="29" t="str">
        <f>TIM[[#This Row],[To]]</f>
        <v>TEGRASMERE2</v>
      </c>
      <c r="BK155" s="2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Breaker-GRM-CB2-Protection</v>
      </c>
      <c r="BL155" s="29">
        <f>TIM[[#This Row],[Voltage]]</f>
        <v>11</v>
      </c>
    </row>
    <row r="156" spans="1:64" ht="15" customHeight="1" x14ac:dyDescent="0.25">
      <c r="A156" s="6" t="str">
        <f>CONCATENATE(TIM[[#This Row],[Supply Level]],TIM[[#This Row],[Station/Feeder]],TIM[[#This Row],[Voltage]])</f>
        <v>DistributionFeederCB2_White St11</v>
      </c>
      <c r="B156" s="6" t="str">
        <f>CONCATENATE(TIM[[#This Row],[Supply Level]],TIM[[#This Row],[Station/Feeder]],TIM[[#This Row],[Equipment ID]],TIM[[#This Row],[Voltage]],TIM[[#This Row],[Device type]])</f>
        <v>DistributionFeederCB2_White St3c 300mm² AL XLPE11-</v>
      </c>
      <c r="C156" s="6" t="s">
        <v>1276</v>
      </c>
      <c r="D156" s="118" t="s">
        <v>176</v>
      </c>
      <c r="E156" s="170" t="s">
        <v>886</v>
      </c>
      <c r="F156" s="170" t="s">
        <v>750</v>
      </c>
      <c r="G156" s="8">
        <v>2</v>
      </c>
      <c r="H156" s="7" t="s">
        <v>888</v>
      </c>
      <c r="I156" s="7" t="s">
        <v>889</v>
      </c>
      <c r="J156" s="7" t="s">
        <v>250</v>
      </c>
      <c r="K156" s="49" t="s">
        <v>0</v>
      </c>
      <c r="L156" s="49" t="s">
        <v>0</v>
      </c>
      <c r="M156" s="8">
        <v>11</v>
      </c>
      <c r="N156" s="9">
        <v>476</v>
      </c>
      <c r="O156" s="9">
        <f t="shared" si="0"/>
        <v>9.0690180284306408</v>
      </c>
      <c r="P156" s="9">
        <v>476</v>
      </c>
      <c r="Q156" s="9">
        <f t="shared" si="1"/>
        <v>9.0690180284306408</v>
      </c>
      <c r="R156" s="9">
        <v>476</v>
      </c>
      <c r="S156" s="9">
        <f t="shared" si="2"/>
        <v>9.0690180284306408</v>
      </c>
      <c r="T156" s="9" t="s">
        <v>0</v>
      </c>
      <c r="U156" s="9" t="str">
        <f t="shared" si="3"/>
        <v>-</v>
      </c>
      <c r="V156" s="9" t="s">
        <v>0</v>
      </c>
      <c r="W156" s="9" t="str">
        <f t="shared" si="4"/>
        <v>-</v>
      </c>
      <c r="X156" s="9" t="s">
        <v>0</v>
      </c>
      <c r="Y156" s="9" t="str">
        <f t="shared" si="5"/>
        <v>-</v>
      </c>
      <c r="Z156" s="9" t="s">
        <v>0</v>
      </c>
      <c r="AA156" s="9" t="str">
        <f t="shared" si="6"/>
        <v>-</v>
      </c>
      <c r="AB156" s="9" t="s">
        <v>0</v>
      </c>
      <c r="AC156" s="9" t="str">
        <f t="shared" si="7"/>
        <v>-</v>
      </c>
      <c r="AD156" s="9" t="s">
        <v>0</v>
      </c>
      <c r="AE156" s="12" t="str">
        <f t="shared" si="8"/>
        <v>-</v>
      </c>
      <c r="AF156" s="9" t="s">
        <v>716</v>
      </c>
      <c r="AG156" s="9" t="s">
        <v>0</v>
      </c>
      <c r="AH156" s="171">
        <v>88</v>
      </c>
      <c r="AI156" s="9">
        <v>0.78</v>
      </c>
      <c r="AJ156" s="32">
        <v>1</v>
      </c>
      <c r="AK156" s="9">
        <v>18.5</v>
      </c>
      <c r="AL156" s="32">
        <v>0.97</v>
      </c>
      <c r="AM156" s="9">
        <v>1.2</v>
      </c>
      <c r="AN156" s="32">
        <v>1</v>
      </c>
      <c r="AO156" s="9">
        <v>3</v>
      </c>
      <c r="AP156" s="9">
        <v>0.26</v>
      </c>
      <c r="AQ156" s="32">
        <v>0.8</v>
      </c>
      <c r="AR156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369.37600000000003</v>
      </c>
      <c r="AS156" s="9">
        <f t="shared" si="9"/>
        <v>7.0375579900621776</v>
      </c>
      <c r="AT156" s="9">
        <f>IF(RIGHT(TIM[[#This Row],[Device type]],7)="Winding","-",TIM[[#This Row],[Cont Winter MVA]])</f>
        <v>9.0690180284306408</v>
      </c>
      <c r="AU156" s="9">
        <f>IF(RIGHT(TIM[[#This Row],[Device type]],7)="Winding","-",TIM[[#This Row],[Cont Shoulder MVA]])</f>
        <v>9.0690180284306408</v>
      </c>
      <c r="AV156" s="9">
        <f>IF(RIGHT(TIM[[#This Row],[Device type]],7)="Winding","-",TIM[[#This Row],[Cont Summer MVA]])</f>
        <v>9.0690180284306408</v>
      </c>
      <c r="AW156" s="9" t="str">
        <f>TIM[[#This Row],[24 Hr Winter MVA]]</f>
        <v>-</v>
      </c>
      <c r="AX156" s="9" t="str">
        <f>TIM[[#This Row],[24 Hr Summer MVA]]</f>
        <v>-</v>
      </c>
      <c r="AY156" s="9" t="str">
        <f>TIM[[#This Row],[Forwards MVA]]</f>
        <v>-</v>
      </c>
      <c r="AZ156" s="9" t="str">
        <f>TIM[[#This Row],[Relay MVA]]</f>
        <v>-</v>
      </c>
      <c r="BA156" s="9" t="str">
        <f>TIM[[#This Row],[CT MVA]]</f>
        <v>-</v>
      </c>
      <c r="BB156" s="9">
        <f>TIM[[#This Row],[Derating MVA]]</f>
        <v>7.0375579900621776</v>
      </c>
      <c r="BC156" s="9" t="str">
        <f>TIM[[#This Row],[Station/Feeder]]&amp;TIM[[#This Row],[Lowest MVA]]</f>
        <v>CB2_White St7.03755799006218</v>
      </c>
      <c r="BD156" s="9" t="str">
        <f>CONCATENATE(TIM[[#This Row],[Supply Level]],TIM[[#This Row],[Station/Feeder]],TIM[[#This Row],[Voltage]],TIM[[#This Row],[Lowest A-No PTX]])</f>
        <v>DistributionFeederCB2_White St11369.376</v>
      </c>
      <c r="BE156" s="9" t="str">
        <f>CONCATENATE(TIM[[#This Row],[Supply Level]],TIM[[#This Row],[Station/Feeder]],TIM[[#This Row],[Voltage]],TIM[[#This Row],[Lowest A-PTX]])</f>
        <v>DistributionFeederCB2_White St11369.376</v>
      </c>
      <c r="BF156" s="9">
        <f>IFERROR(IF(MIN(TIM[[#This Row],[Summ Cont Winter A]:[Cable Derating]])=0,"",MIN(TIM[[#This Row],[Summ Cont Winter A]:[Cable Derating]])),"")</f>
        <v>7.0375579900621776</v>
      </c>
      <c r="BG156" s="9">
        <f>IFERROR(TIM[[#This Row],[Lowest MVA]]*1000/(TIM[[#This Row],[Voltage]]*SQRT(3)),"")</f>
        <v>369.37600000000003</v>
      </c>
      <c r="BH156" s="9">
        <f t="shared" si="271"/>
        <v>369.37600000000003</v>
      </c>
      <c r="BI156" s="9" t="str">
        <f>TIM[[#This Row],[From]]</f>
        <v>TEGRASMERE2</v>
      </c>
      <c r="BJ156" s="9" t="str">
        <f>TIM[[#This Row],[To]]</f>
        <v>Joint</v>
      </c>
      <c r="BK15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300mm² AL XLPE</v>
      </c>
      <c r="BL156" s="9">
        <f>TIM[[#This Row],[Voltage]]</f>
        <v>11</v>
      </c>
    </row>
    <row r="157" spans="1:64" ht="15" customHeight="1" x14ac:dyDescent="0.25">
      <c r="A157" s="6" t="str">
        <f>CONCATENATE(TIM[[#This Row],[Supply Level]],TIM[[#This Row],[Station/Feeder]],TIM[[#This Row],[Voltage]])</f>
        <v>DistributionFeederCB2_White St11</v>
      </c>
      <c r="B157" s="6" t="str">
        <f>CONCATENATE(TIM[[#This Row],[Supply Level]],TIM[[#This Row],[Station/Feeder]],TIM[[#This Row],[Equipment ID]],TIM[[#This Row],[Voltage]],TIM[[#This Row],[Device type]])</f>
        <v>DistributionFeederCB2_White St3c 0.25in² Cu PILC STAS11-</v>
      </c>
      <c r="C157" s="6" t="s">
        <v>1276</v>
      </c>
      <c r="D157" s="118" t="s">
        <v>176</v>
      </c>
      <c r="E157" s="170" t="s">
        <v>750</v>
      </c>
      <c r="F157" s="170" t="s">
        <v>750</v>
      </c>
      <c r="G157" s="8">
        <v>3</v>
      </c>
      <c r="H157" s="7" t="s">
        <v>888</v>
      </c>
      <c r="I157" s="7" t="s">
        <v>890</v>
      </c>
      <c r="J157" s="7" t="s">
        <v>250</v>
      </c>
      <c r="K157" s="49" t="s">
        <v>0</v>
      </c>
      <c r="L157" s="49" t="s">
        <v>0</v>
      </c>
      <c r="M157" s="8">
        <v>11</v>
      </c>
      <c r="N157" s="9">
        <v>315</v>
      </c>
      <c r="O157" s="9">
        <f t="shared" si="0"/>
        <v>6.0015560482261598</v>
      </c>
      <c r="P157" s="9">
        <v>315</v>
      </c>
      <c r="Q157" s="9">
        <f t="shared" si="1"/>
        <v>6.0015560482261598</v>
      </c>
      <c r="R157" s="9">
        <v>315</v>
      </c>
      <c r="S157" s="9">
        <f t="shared" si="2"/>
        <v>6.0015560482261598</v>
      </c>
      <c r="T157" s="9" t="s">
        <v>0</v>
      </c>
      <c r="U157" s="9" t="str">
        <f t="shared" si="3"/>
        <v>-</v>
      </c>
      <c r="V157" s="9" t="s">
        <v>0</v>
      </c>
      <c r="W157" s="9" t="str">
        <f t="shared" si="4"/>
        <v>-</v>
      </c>
      <c r="X157" s="9" t="s">
        <v>0</v>
      </c>
      <c r="Y157" s="9" t="str">
        <f t="shared" si="5"/>
        <v>-</v>
      </c>
      <c r="Z157" s="9" t="s">
        <v>0</v>
      </c>
      <c r="AA157" s="9" t="str">
        <f t="shared" si="6"/>
        <v>-</v>
      </c>
      <c r="AB157" s="9" t="s">
        <v>0</v>
      </c>
      <c r="AC157" s="9" t="str">
        <f t="shared" si="7"/>
        <v>-</v>
      </c>
      <c r="AD157" s="9" t="s">
        <v>0</v>
      </c>
      <c r="AE157" s="12" t="str">
        <f t="shared" si="8"/>
        <v>-</v>
      </c>
      <c r="AF157" s="9" t="s">
        <v>716</v>
      </c>
      <c r="AG157" s="9" t="s">
        <v>0</v>
      </c>
      <c r="AH157" s="171">
        <v>204.6</v>
      </c>
      <c r="AI157" s="9">
        <v>0.78</v>
      </c>
      <c r="AJ157" s="32">
        <v>1</v>
      </c>
      <c r="AK157" s="9">
        <v>18.5</v>
      </c>
      <c r="AL157" s="32">
        <v>0.95</v>
      </c>
      <c r="AM157" s="9">
        <v>1.2</v>
      </c>
      <c r="AN157" s="32">
        <v>1</v>
      </c>
      <c r="AO157" s="9">
        <v>3</v>
      </c>
      <c r="AP157" s="9">
        <v>0</v>
      </c>
      <c r="AQ157" s="32">
        <v>0.69</v>
      </c>
      <c r="AR157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206.48249999999999</v>
      </c>
      <c r="AS157" s="9">
        <f t="shared" si="9"/>
        <v>3.934019989612247</v>
      </c>
      <c r="AT157" s="9">
        <f>IF(RIGHT(TIM[[#This Row],[Device type]],7)="Winding","-",TIM[[#This Row],[Cont Winter MVA]])</f>
        <v>6.0015560482261598</v>
      </c>
      <c r="AU157" s="9">
        <f>IF(RIGHT(TIM[[#This Row],[Device type]],7)="Winding","-",TIM[[#This Row],[Cont Shoulder MVA]])</f>
        <v>6.0015560482261598</v>
      </c>
      <c r="AV157" s="9">
        <f>IF(RIGHT(TIM[[#This Row],[Device type]],7)="Winding","-",TIM[[#This Row],[Cont Summer MVA]])</f>
        <v>6.0015560482261598</v>
      </c>
      <c r="AW157" s="9" t="str">
        <f>TIM[[#This Row],[24 Hr Winter MVA]]</f>
        <v>-</v>
      </c>
      <c r="AX157" s="9" t="str">
        <f>TIM[[#This Row],[24 Hr Summer MVA]]</f>
        <v>-</v>
      </c>
      <c r="AY157" s="9" t="str">
        <f>TIM[[#This Row],[Forwards MVA]]</f>
        <v>-</v>
      </c>
      <c r="AZ157" s="9" t="str">
        <f>TIM[[#This Row],[Relay MVA]]</f>
        <v>-</v>
      </c>
      <c r="BA157" s="9" t="str">
        <f>TIM[[#This Row],[CT MVA]]</f>
        <v>-</v>
      </c>
      <c r="BB157" s="9">
        <f>TIM[[#This Row],[Derating MVA]]</f>
        <v>3.934019989612247</v>
      </c>
      <c r="BC157" s="9" t="str">
        <f>TIM[[#This Row],[Station/Feeder]]&amp;TIM[[#This Row],[Lowest MVA]]</f>
        <v>CB2_White St3.93401998961225</v>
      </c>
      <c r="BD157" s="9" t="str">
        <f>CONCATENATE(TIM[[#This Row],[Supply Level]],TIM[[#This Row],[Station/Feeder]],TIM[[#This Row],[Voltage]],TIM[[#This Row],[Lowest A-No PTX]])</f>
        <v>DistributionFeederCB2_White St11206.4825</v>
      </c>
      <c r="BE157" s="9" t="str">
        <f>CONCATENATE(TIM[[#This Row],[Supply Level]],TIM[[#This Row],[Station/Feeder]],TIM[[#This Row],[Voltage]],TIM[[#This Row],[Lowest A-PTX]])</f>
        <v>DistributionFeederCB2_White St11206.4825</v>
      </c>
      <c r="BF157" s="9">
        <f>IFERROR(IF(MIN(TIM[[#This Row],[Summ Cont Winter A]:[Cable Derating]])=0,"",MIN(TIM[[#This Row],[Summ Cont Winter A]:[Cable Derating]])),"")</f>
        <v>3.934019989612247</v>
      </c>
      <c r="BG157" s="9">
        <f>IFERROR(TIM[[#This Row],[Lowest MVA]]*1000/(TIM[[#This Row],[Voltage]]*SQRT(3)),"")</f>
        <v>206.48249999999999</v>
      </c>
      <c r="BH157" s="9">
        <f t="shared" si="271"/>
        <v>206.48249999999999</v>
      </c>
      <c r="BI157" s="9" t="str">
        <f>TIM[[#This Row],[From]]</f>
        <v>Joint</v>
      </c>
      <c r="BJ157" s="9" t="str">
        <f>TIM[[#This Row],[To]]</f>
        <v>Joint</v>
      </c>
      <c r="BK15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0.25in² Cu PILC STAS</v>
      </c>
      <c r="BL157" s="9">
        <f>TIM[[#This Row],[Voltage]]</f>
        <v>11</v>
      </c>
    </row>
    <row r="158" spans="1:64" ht="15" customHeight="1" x14ac:dyDescent="0.25">
      <c r="A158" s="6" t="str">
        <f>CONCATENATE(TIM[[#This Row],[Supply Level]],TIM[[#This Row],[Station/Feeder]],TIM[[#This Row],[Voltage]])</f>
        <v>DistributionFeederCB2_White St11</v>
      </c>
      <c r="B158" s="6" t="str">
        <f>CONCATENATE(TIM[[#This Row],[Supply Level]],TIM[[#This Row],[Station/Feeder]],TIM[[#This Row],[Equipment ID]],TIM[[#This Row],[Voltage]],TIM[[#This Row],[Device type]])</f>
        <v>DistributionFeederCB2_White St3c 0.15in² Cu PILC STAS11-</v>
      </c>
      <c r="C158" s="6" t="s">
        <v>1276</v>
      </c>
      <c r="D158" s="118" t="s">
        <v>176</v>
      </c>
      <c r="E158" s="170" t="s">
        <v>750</v>
      </c>
      <c r="F158" s="170" t="s">
        <v>750</v>
      </c>
      <c r="G158" s="8">
        <v>4</v>
      </c>
      <c r="H158" s="7" t="s">
        <v>888</v>
      </c>
      <c r="I158" s="7" t="s">
        <v>929</v>
      </c>
      <c r="J158" s="7" t="s">
        <v>250</v>
      </c>
      <c r="K158" s="49" t="s">
        <v>0</v>
      </c>
      <c r="L158" s="49" t="s">
        <v>0</v>
      </c>
      <c r="M158" s="8">
        <v>11</v>
      </c>
      <c r="N158" s="9">
        <v>245</v>
      </c>
      <c r="O158" s="9">
        <f t="shared" si="0"/>
        <v>4.6678769263981241</v>
      </c>
      <c r="P158" s="9">
        <v>245</v>
      </c>
      <c r="Q158" s="9">
        <f t="shared" si="1"/>
        <v>4.6678769263981241</v>
      </c>
      <c r="R158" s="9">
        <v>245</v>
      </c>
      <c r="S158" s="9">
        <f t="shared" si="2"/>
        <v>4.6678769263981241</v>
      </c>
      <c r="T158" s="9" t="s">
        <v>0</v>
      </c>
      <c r="U158" s="9" t="str">
        <f t="shared" si="3"/>
        <v>-</v>
      </c>
      <c r="V158" s="9" t="s">
        <v>0</v>
      </c>
      <c r="W158" s="9" t="str">
        <f t="shared" si="4"/>
        <v>-</v>
      </c>
      <c r="X158" s="9" t="s">
        <v>0</v>
      </c>
      <c r="Y158" s="9" t="str">
        <f t="shared" si="5"/>
        <v>-</v>
      </c>
      <c r="Z158" s="9" t="s">
        <v>0</v>
      </c>
      <c r="AA158" s="9" t="str">
        <f t="shared" si="6"/>
        <v>-</v>
      </c>
      <c r="AB158" s="9" t="s">
        <v>0</v>
      </c>
      <c r="AC158" s="9" t="str">
        <f t="shared" si="7"/>
        <v>-</v>
      </c>
      <c r="AD158" s="9" t="s">
        <v>0</v>
      </c>
      <c r="AE158" s="12" t="str">
        <f t="shared" si="8"/>
        <v>-</v>
      </c>
      <c r="AF158" s="9" t="s">
        <v>716</v>
      </c>
      <c r="AG158" s="9" t="s">
        <v>0</v>
      </c>
      <c r="AH158" s="171">
        <v>174.4</v>
      </c>
      <c r="AI158" s="9">
        <v>0.78</v>
      </c>
      <c r="AJ158" s="32">
        <v>1</v>
      </c>
      <c r="AK158" s="9">
        <v>18.5</v>
      </c>
      <c r="AL158" s="32">
        <v>0.95</v>
      </c>
      <c r="AM158" s="9">
        <v>1.2</v>
      </c>
      <c r="AN158" s="32">
        <v>1</v>
      </c>
      <c r="AO158" s="9">
        <v>3</v>
      </c>
      <c r="AP158" s="9">
        <v>0</v>
      </c>
      <c r="AQ158" s="32">
        <v>0.69</v>
      </c>
      <c r="AR158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160.5975</v>
      </c>
      <c r="AS158" s="9">
        <f t="shared" si="9"/>
        <v>3.05979332525397</v>
      </c>
      <c r="AT158" s="9">
        <f>IF(RIGHT(TIM[[#This Row],[Device type]],7)="Winding","-",TIM[[#This Row],[Cont Winter MVA]])</f>
        <v>4.6678769263981241</v>
      </c>
      <c r="AU158" s="9">
        <f>IF(RIGHT(TIM[[#This Row],[Device type]],7)="Winding","-",TIM[[#This Row],[Cont Shoulder MVA]])</f>
        <v>4.6678769263981241</v>
      </c>
      <c r="AV158" s="9">
        <f>IF(RIGHT(TIM[[#This Row],[Device type]],7)="Winding","-",TIM[[#This Row],[Cont Summer MVA]])</f>
        <v>4.6678769263981241</v>
      </c>
      <c r="AW158" s="9" t="str">
        <f>TIM[[#This Row],[24 Hr Winter MVA]]</f>
        <v>-</v>
      </c>
      <c r="AX158" s="9" t="str">
        <f>TIM[[#This Row],[24 Hr Summer MVA]]</f>
        <v>-</v>
      </c>
      <c r="AY158" s="9" t="str">
        <f>TIM[[#This Row],[Forwards MVA]]</f>
        <v>-</v>
      </c>
      <c r="AZ158" s="9" t="str">
        <f>TIM[[#This Row],[Relay MVA]]</f>
        <v>-</v>
      </c>
      <c r="BA158" s="9" t="str">
        <f>TIM[[#This Row],[CT MVA]]</f>
        <v>-</v>
      </c>
      <c r="BB158" s="9">
        <f>TIM[[#This Row],[Derating MVA]]</f>
        <v>3.05979332525397</v>
      </c>
      <c r="BC158" s="9" t="str">
        <f>TIM[[#This Row],[Station/Feeder]]&amp;TIM[[#This Row],[Lowest MVA]]</f>
        <v>CB2_White St3.05979332525397</v>
      </c>
      <c r="BD158" s="9" t="str">
        <f>CONCATENATE(TIM[[#This Row],[Supply Level]],TIM[[#This Row],[Station/Feeder]],TIM[[#This Row],[Voltage]],TIM[[#This Row],[Lowest A-No PTX]])</f>
        <v>DistributionFeederCB2_White St11160.5975</v>
      </c>
      <c r="BE158" s="9" t="str">
        <f>CONCATENATE(TIM[[#This Row],[Supply Level]],TIM[[#This Row],[Station/Feeder]],TIM[[#This Row],[Voltage]],TIM[[#This Row],[Lowest A-PTX]])</f>
        <v>DistributionFeederCB2_White St11160.5975</v>
      </c>
      <c r="BF158" s="9">
        <f>IFERROR(IF(MIN(TIM[[#This Row],[Summ Cont Winter A]:[Cable Derating]])=0,"",MIN(TIM[[#This Row],[Summ Cont Winter A]:[Cable Derating]])),"")</f>
        <v>3.05979332525397</v>
      </c>
      <c r="BG158" s="9">
        <f>IFERROR(TIM[[#This Row],[Lowest MVA]]*1000/(TIM[[#This Row],[Voltage]]*SQRT(3)),"")</f>
        <v>160.5975</v>
      </c>
      <c r="BH158" s="9">
        <f t="shared" si="271"/>
        <v>160.5975</v>
      </c>
      <c r="BI158" s="9" t="str">
        <f>TIM[[#This Row],[From]]</f>
        <v>Joint</v>
      </c>
      <c r="BJ158" s="9" t="str">
        <f>TIM[[#This Row],[To]]</f>
        <v>Joint</v>
      </c>
      <c r="BK15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0.15in² Cu PILC STAS</v>
      </c>
      <c r="BL158" s="9">
        <f>TIM[[#This Row],[Voltage]]</f>
        <v>11</v>
      </c>
    </row>
    <row r="159" spans="1:64" ht="15" customHeight="1" x14ac:dyDescent="0.25">
      <c r="A159" s="6" t="str">
        <f>CONCATENATE(TIM[[#This Row],[Supply Level]],TIM[[#This Row],[Station/Feeder]],TIM[[#This Row],[Voltage]])</f>
        <v>DistributionFeederCB2_White St11</v>
      </c>
      <c r="B159" s="6" t="str">
        <f>CONCATENATE(TIM[[#This Row],[Supply Level]],TIM[[#This Row],[Station/Feeder]],TIM[[#This Row],[Equipment ID]],TIM[[#This Row],[Voltage]],TIM[[#This Row],[Device type]])</f>
        <v>DistributionFeederCB2_White St3c 185mm² Al PILC HDPE11-</v>
      </c>
      <c r="C159" s="6" t="s">
        <v>1276</v>
      </c>
      <c r="D159" s="118" t="s">
        <v>176</v>
      </c>
      <c r="E159" s="170" t="s">
        <v>750</v>
      </c>
      <c r="F159" s="170" t="s">
        <v>891</v>
      </c>
      <c r="G159" s="8">
        <v>5</v>
      </c>
      <c r="H159" s="6" t="s">
        <v>888</v>
      </c>
      <c r="I159" s="7" t="s">
        <v>892</v>
      </c>
      <c r="J159" s="7" t="s">
        <v>250</v>
      </c>
      <c r="K159" s="49" t="s">
        <v>0</v>
      </c>
      <c r="L159" s="49" t="s">
        <v>0</v>
      </c>
      <c r="M159" s="8">
        <v>11</v>
      </c>
      <c r="N159" s="9">
        <v>253</v>
      </c>
      <c r="O159" s="9">
        <f t="shared" si="0"/>
        <v>4.8202973974641852</v>
      </c>
      <c r="P159" s="9">
        <v>253</v>
      </c>
      <c r="Q159" s="9">
        <f t="shared" si="1"/>
        <v>4.8202973974641852</v>
      </c>
      <c r="R159" s="9">
        <v>253</v>
      </c>
      <c r="S159" s="9">
        <f t="shared" si="2"/>
        <v>4.8202973974641852</v>
      </c>
      <c r="T159" s="9" t="s">
        <v>0</v>
      </c>
      <c r="U159" s="9" t="str">
        <f t="shared" si="3"/>
        <v>-</v>
      </c>
      <c r="V159" s="9" t="s">
        <v>0</v>
      </c>
      <c r="W159" s="9" t="str">
        <f t="shared" si="4"/>
        <v>-</v>
      </c>
      <c r="X159" s="9" t="s">
        <v>0</v>
      </c>
      <c r="Y159" s="9" t="str">
        <f t="shared" si="5"/>
        <v>-</v>
      </c>
      <c r="Z159" s="9" t="s">
        <v>0</v>
      </c>
      <c r="AA159" s="9" t="str">
        <f t="shared" si="6"/>
        <v>-</v>
      </c>
      <c r="AB159" s="9" t="s">
        <v>0</v>
      </c>
      <c r="AC159" s="9" t="str">
        <f t="shared" si="7"/>
        <v>-</v>
      </c>
      <c r="AD159" s="9" t="s">
        <v>0</v>
      </c>
      <c r="AE159" s="12" t="str">
        <f t="shared" si="8"/>
        <v>-</v>
      </c>
      <c r="AF159" s="9" t="s">
        <v>716</v>
      </c>
      <c r="AG159" s="9" t="s">
        <v>0</v>
      </c>
      <c r="AH159" s="171">
        <v>7.2</v>
      </c>
      <c r="AI159" s="9">
        <v>0.78</v>
      </c>
      <c r="AJ159" s="32">
        <v>1</v>
      </c>
      <c r="AK159" s="9">
        <v>18.5</v>
      </c>
      <c r="AL159" s="32">
        <v>0.95</v>
      </c>
      <c r="AM159" s="9">
        <v>1.2</v>
      </c>
      <c r="AN159" s="32">
        <v>1</v>
      </c>
      <c r="AO159" s="9">
        <v>3</v>
      </c>
      <c r="AP159" s="9">
        <v>0.26</v>
      </c>
      <c r="AQ159" s="32">
        <v>0.8</v>
      </c>
      <c r="AR159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192.28</v>
      </c>
      <c r="AS159" s="9">
        <f t="shared" si="9"/>
        <v>3.6634260220727808</v>
      </c>
      <c r="AT159" s="9">
        <f>IF(RIGHT(TIM[[#This Row],[Device type]],7)="Winding","-",TIM[[#This Row],[Cont Winter MVA]])</f>
        <v>4.8202973974641852</v>
      </c>
      <c r="AU159" s="9">
        <f>IF(RIGHT(TIM[[#This Row],[Device type]],7)="Winding","-",TIM[[#This Row],[Cont Shoulder MVA]])</f>
        <v>4.8202973974641852</v>
      </c>
      <c r="AV159" s="9">
        <f>IF(RIGHT(TIM[[#This Row],[Device type]],7)="Winding","-",TIM[[#This Row],[Cont Summer MVA]])</f>
        <v>4.8202973974641852</v>
      </c>
      <c r="AW159" s="9" t="str">
        <f>TIM[[#This Row],[24 Hr Winter MVA]]</f>
        <v>-</v>
      </c>
      <c r="AX159" s="9" t="str">
        <f>TIM[[#This Row],[24 Hr Summer MVA]]</f>
        <v>-</v>
      </c>
      <c r="AY159" s="9" t="str">
        <f>TIM[[#This Row],[Forwards MVA]]</f>
        <v>-</v>
      </c>
      <c r="AZ159" s="9" t="str">
        <f>TIM[[#This Row],[Relay MVA]]</f>
        <v>-</v>
      </c>
      <c r="BA159" s="9" t="str">
        <f>TIM[[#This Row],[CT MVA]]</f>
        <v>-</v>
      </c>
      <c r="BB159" s="9">
        <f>TIM[[#This Row],[Derating MVA]]</f>
        <v>3.6634260220727808</v>
      </c>
      <c r="BC159" s="9" t="str">
        <f>TIM[[#This Row],[Station/Feeder]]&amp;TIM[[#This Row],[Lowest MVA]]</f>
        <v>CB2_White St3.66342602207278</v>
      </c>
      <c r="BD159" s="9" t="str">
        <f>CONCATENATE(TIM[[#This Row],[Supply Level]],TIM[[#This Row],[Station/Feeder]],TIM[[#This Row],[Voltage]],TIM[[#This Row],[Lowest A-No PTX]])</f>
        <v>DistributionFeederCB2_White St11192.28</v>
      </c>
      <c r="BE159" s="9" t="str">
        <f>CONCATENATE(TIM[[#This Row],[Supply Level]],TIM[[#This Row],[Station/Feeder]],TIM[[#This Row],[Voltage]],TIM[[#This Row],[Lowest A-PTX]])</f>
        <v>DistributionFeederCB2_White St11192.28</v>
      </c>
      <c r="BF159" s="9">
        <f>IFERROR(IF(MIN(TIM[[#This Row],[Summ Cont Winter A]:[Cable Derating]])=0,"",MIN(TIM[[#This Row],[Summ Cont Winter A]:[Cable Derating]])),"")</f>
        <v>3.6634260220727808</v>
      </c>
      <c r="BG159" s="9">
        <f>IFERROR(TIM[[#This Row],[Lowest MVA]]*1000/(TIM[[#This Row],[Voltage]]*SQRT(3)),"")</f>
        <v>192.27999999999997</v>
      </c>
      <c r="BH159" s="9">
        <f t="shared" si="271"/>
        <v>192.28</v>
      </c>
      <c r="BI159" s="9" t="str">
        <f>TIM[[#This Row],[From]]</f>
        <v>Joint</v>
      </c>
      <c r="BJ159" s="9" t="str">
        <f>TIM[[#This Row],[To]]</f>
        <v>TE64</v>
      </c>
      <c r="BK15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PILC HDPE</v>
      </c>
      <c r="BL159" s="9">
        <f>TIM[[#This Row],[Voltage]]</f>
        <v>11</v>
      </c>
    </row>
    <row r="160" spans="1:64" ht="15" hidden="1" customHeight="1" x14ac:dyDescent="0.25">
      <c r="A160" s="6" t="str">
        <f>CONCATENATE(TIM[[#This Row],[Supply Level]],TIM[[#This Row],[Station/Feeder]],TIM[[#This Row],[Voltage]])</f>
        <v>SubTransmissionCB4_GRM-HNT A11</v>
      </c>
      <c r="B160" s="6" t="str">
        <f>CONCATENATE(TIM[[#This Row],[Supply Level]],TIM[[#This Row],[Station/Feeder]],TIM[[#This Row],[Equipment ID]],TIM[[#This Row],[Voltage]],TIM[[#This Row],[Device type]])</f>
        <v>SubTransmissionCB4_GRM-HNT AGRM-CB411Protection</v>
      </c>
      <c r="C160" s="6" t="s">
        <v>1245</v>
      </c>
      <c r="D160" s="6" t="s">
        <v>1328</v>
      </c>
      <c r="E160" s="6" t="s">
        <v>243</v>
      </c>
      <c r="F160" s="6" t="s">
        <v>2331</v>
      </c>
      <c r="G160" s="8">
        <v>1</v>
      </c>
      <c r="H160" s="6" t="s">
        <v>887</v>
      </c>
      <c r="I160" s="6" t="s">
        <v>2333</v>
      </c>
      <c r="J160" s="6" t="s">
        <v>15</v>
      </c>
      <c r="K160" s="6" t="s">
        <v>1117</v>
      </c>
      <c r="L160" s="6" t="s">
        <v>1423</v>
      </c>
      <c r="M160" s="8">
        <v>11</v>
      </c>
      <c r="N160" s="9">
        <v>1250</v>
      </c>
      <c r="O160" s="9">
        <f t="shared" ref="O160:O161" si="272">IF(OR(N160="",N160="-"),"-",N160*$M160*SQRT(3)/1000)</f>
        <v>23.815698604072061</v>
      </c>
      <c r="P160" s="9">
        <v>1250</v>
      </c>
      <c r="Q160" s="9">
        <f t="shared" ref="Q160:Q161" si="273">IF(OR(P160="",P160="-"),"-",P160*$M160*SQRT(3)/1000)</f>
        <v>23.815698604072061</v>
      </c>
      <c r="R160" s="9">
        <v>1250</v>
      </c>
      <c r="S160" s="9">
        <f t="shared" ref="S160:S161" si="274">IF(OR(R160="",R160="-"),"-",R160*$M160*SQRT(3)/1000)</f>
        <v>23.815698604072061</v>
      </c>
      <c r="T160" s="9" t="s">
        <v>0</v>
      </c>
      <c r="U160" s="9" t="str">
        <f t="shared" ref="U160:U161" si="275">IF(OR(T160="",T160="-"),"-",T160*$M160*SQRT(3)/1000)</f>
        <v>-</v>
      </c>
      <c r="V160" s="9" t="s">
        <v>0</v>
      </c>
      <c r="W160" s="9" t="str">
        <f t="shared" ref="W160:W161" si="276">IF(OR(V160="",V160="-"),"-",V160*$M160*SQRT(3)/1000)</f>
        <v>-</v>
      </c>
      <c r="X160" s="9">
        <f>VLOOKUP(TIM[[#This Row],[Equipment ID]],AEL_Protection_Data[#All],12,0)</f>
        <v>400</v>
      </c>
      <c r="Y160" s="9">
        <f t="shared" ref="Y160:Y161" si="277">IF(OR(X160="",X160="-"),"-",X160*$M160*SQRT(3)/1000)</f>
        <v>7.6210235533030604</v>
      </c>
      <c r="Z160" s="9" t="s">
        <v>0</v>
      </c>
      <c r="AA160" s="9" t="str">
        <f t="shared" ref="AA160:AA161" si="278">IF(OR(Z160="",Z160="-"),"-",Z160*$M160*SQRT(3)/1000)</f>
        <v>-</v>
      </c>
      <c r="AB160" s="9">
        <v>800</v>
      </c>
      <c r="AC160" s="9">
        <f t="shared" ref="AC160:AC161" si="279">IF(OR(AB160="",AB160="-"),"-",AB160*$M160*SQRT(3)/1000)</f>
        <v>15.242047106606121</v>
      </c>
      <c r="AD160" s="9">
        <v>800</v>
      </c>
      <c r="AE160" s="9">
        <f t="shared" ref="AE160:AE161" si="280">IF(OR(AD160="",AD160="-"),"-",AD160*$M160*SQRT(3)/1000)</f>
        <v>15.242047106606121</v>
      </c>
      <c r="AF160" s="9" t="s">
        <v>0</v>
      </c>
      <c r="AG160" s="9" t="s">
        <v>0</v>
      </c>
      <c r="AH160" s="9" t="s">
        <v>0</v>
      </c>
      <c r="AI160" s="9" t="s">
        <v>0</v>
      </c>
      <c r="AJ160" s="43" t="s">
        <v>0</v>
      </c>
      <c r="AK160" s="9" t="s">
        <v>0</v>
      </c>
      <c r="AL160" s="43" t="s">
        <v>0</v>
      </c>
      <c r="AM160" s="9" t="s">
        <v>0</v>
      </c>
      <c r="AN160" s="43" t="s">
        <v>0</v>
      </c>
      <c r="AO160" s="9" t="s">
        <v>0</v>
      </c>
      <c r="AP160" s="9" t="s">
        <v>0</v>
      </c>
      <c r="AQ160" s="43" t="s">
        <v>0</v>
      </c>
      <c r="AR16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60" s="9" t="str">
        <f t="shared" ref="AS160:AS161" si="281">IF(OR(AR160="",AR160="-"),"-",AR160*$M160*SQRT(3)/1000)</f>
        <v>-</v>
      </c>
      <c r="AT160" s="9">
        <f>IF(RIGHT(TIM[[#This Row],[Device type]],7)="Winding","-",TIM[[#This Row],[Cont Winter MVA]])</f>
        <v>23.815698604072061</v>
      </c>
      <c r="AU160" s="9">
        <f>IF(RIGHT(TIM[[#This Row],[Device type]],7)="Winding","-",TIM[[#This Row],[Cont Shoulder MVA]])</f>
        <v>23.815698604072061</v>
      </c>
      <c r="AV160" s="9">
        <f>IF(RIGHT(TIM[[#This Row],[Device type]],7)="Winding","-",TIM[[#This Row],[Cont Summer MVA]])</f>
        <v>23.815698604072061</v>
      </c>
      <c r="AW160" s="9" t="str">
        <f>TIM[[#This Row],[24 Hr Winter MVA]]</f>
        <v>-</v>
      </c>
      <c r="AX160" s="9" t="str">
        <f>TIM[[#This Row],[24 Hr Summer MVA]]</f>
        <v>-</v>
      </c>
      <c r="AY160" s="9">
        <f>TIM[[#This Row],[Forwards MVA]]</f>
        <v>7.6210235533030604</v>
      </c>
      <c r="AZ160" s="9">
        <f>TIM[[#This Row],[Relay MVA]]</f>
        <v>15.242047106606121</v>
      </c>
      <c r="BA160" s="9">
        <f>TIM[[#This Row],[CT MVA]]</f>
        <v>15.242047106606121</v>
      </c>
      <c r="BB160" s="9" t="str">
        <f>TIM[[#This Row],[Derating MVA]]</f>
        <v>-</v>
      </c>
      <c r="BC160" s="9" t="str">
        <f>TIM[[#This Row],[Station/Feeder]]&amp;TIM[[#This Row],[Lowest MVA]]</f>
        <v>CB4_GRM-HNT A7.62102355330306</v>
      </c>
      <c r="BD160" s="9" t="str">
        <f>CONCATENATE(TIM[[#This Row],[Supply Level]],TIM[[#This Row],[Station/Feeder]],TIM[[#This Row],[Voltage]],TIM[[#This Row],[Lowest A-No PTX]])</f>
        <v>SubTransmissionCB4_GRM-HNT A11400</v>
      </c>
      <c r="BE160" s="9" t="str">
        <f>CONCATENATE(TIM[[#This Row],[Supply Level]],TIM[[#This Row],[Station/Feeder]],TIM[[#This Row],[Voltage]],TIM[[#This Row],[Lowest A-PTX]])</f>
        <v>SubTransmissionCB4_GRM-HNT A11400</v>
      </c>
      <c r="BF160" s="9">
        <f>IFERROR(IF(MIN(TIM[[#This Row],[Summ Cont Winter A]:[Cable Derating]])=0,"",MIN(TIM[[#This Row],[Summ Cont Winter A]:[Cable Derating]])),"")</f>
        <v>7.6210235533030604</v>
      </c>
      <c r="BG160" s="9">
        <f>IFERROR(TIM[[#This Row],[Lowest MVA]]*1000/(TIM[[#This Row],[Voltage]]*SQRT(3)),"")</f>
        <v>400</v>
      </c>
      <c r="BH160" s="9">
        <f t="shared" si="271"/>
        <v>400</v>
      </c>
      <c r="BI160" s="9" t="str">
        <f>TIM[[#This Row],[From]]</f>
        <v>11 kV Bus</v>
      </c>
      <c r="BJ160" s="9" t="str">
        <f>TIM[[#This Row],[To]]</f>
        <v xml:space="preserve">TEGRASMERE4 </v>
      </c>
      <c r="BK16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Breaker-GRM-CB4-Protection</v>
      </c>
      <c r="BL160" s="9">
        <f>TIM[[#This Row],[Voltage]]</f>
        <v>11</v>
      </c>
    </row>
    <row r="161" spans="1:64" ht="15" hidden="1" customHeight="1" x14ac:dyDescent="0.25">
      <c r="A161" s="6" t="str">
        <f>CONCATENATE(TIM[[#This Row],[Supply Level]],TIM[[#This Row],[Station/Feeder]],TIM[[#This Row],[Voltage]])</f>
        <v>SubTransmissionCB4_GRM-HNT A11</v>
      </c>
      <c r="B161" s="6" t="str">
        <f>CONCATENATE(TIM[[#This Row],[Supply Level]],TIM[[#This Row],[Station/Feeder]],TIM[[#This Row],[Equipment ID]],TIM[[#This Row],[Voltage]],TIM[[#This Row],[Device type]])</f>
        <v>SubTransmissionCB4_GRM-HNT A3c 0.3in² Cu PILC SWA 11-</v>
      </c>
      <c r="C161" s="6" t="s">
        <v>1245</v>
      </c>
      <c r="D161" s="6" t="s">
        <v>1328</v>
      </c>
      <c r="E161" s="6" t="s">
        <v>893</v>
      </c>
      <c r="F161" s="6" t="s">
        <v>894</v>
      </c>
      <c r="G161" s="8">
        <v>2</v>
      </c>
      <c r="H161" s="6" t="s">
        <v>888</v>
      </c>
      <c r="I161" s="6" t="s">
        <v>1325</v>
      </c>
      <c r="J161" s="6" t="s">
        <v>250</v>
      </c>
      <c r="K161" s="6" t="s">
        <v>0</v>
      </c>
      <c r="L161" s="6" t="s">
        <v>0</v>
      </c>
      <c r="M161" s="8">
        <v>11</v>
      </c>
      <c r="N161" s="9">
        <v>380</v>
      </c>
      <c r="O161" s="9">
        <f t="shared" si="272"/>
        <v>7.2399723756379064</v>
      </c>
      <c r="P161" s="9">
        <v>380</v>
      </c>
      <c r="Q161" s="9">
        <f t="shared" si="273"/>
        <v>7.2399723756379064</v>
      </c>
      <c r="R161" s="9">
        <v>380</v>
      </c>
      <c r="S161" s="9">
        <f t="shared" si="274"/>
        <v>7.2399723756379064</v>
      </c>
      <c r="T161" s="9" t="s">
        <v>0</v>
      </c>
      <c r="U161" s="9" t="str">
        <f t="shared" si="275"/>
        <v>-</v>
      </c>
      <c r="V161" s="9" t="s">
        <v>0</v>
      </c>
      <c r="W161" s="9" t="str">
        <f t="shared" si="276"/>
        <v>-</v>
      </c>
      <c r="X161" s="9" t="s">
        <v>0</v>
      </c>
      <c r="Y161" s="9" t="str">
        <f t="shared" si="277"/>
        <v>-</v>
      </c>
      <c r="Z161" s="9" t="s">
        <v>0</v>
      </c>
      <c r="AA161" s="9" t="str">
        <f t="shared" si="278"/>
        <v>-</v>
      </c>
      <c r="AB161" s="9" t="s">
        <v>0</v>
      </c>
      <c r="AC161" s="9" t="str">
        <f t="shared" si="279"/>
        <v>-</v>
      </c>
      <c r="AD161" s="9" t="s">
        <v>0</v>
      </c>
      <c r="AE161" s="9" t="str">
        <f t="shared" si="280"/>
        <v>-</v>
      </c>
      <c r="AF161" s="9" t="s">
        <v>716</v>
      </c>
      <c r="AG161" s="9" t="s">
        <v>0</v>
      </c>
      <c r="AH161" s="9">
        <v>1629.1999999999998</v>
      </c>
      <c r="AI161" s="9">
        <v>0.85</v>
      </c>
      <c r="AJ161" s="43">
        <v>1.03</v>
      </c>
      <c r="AK161" s="9">
        <v>18.5</v>
      </c>
      <c r="AL161" s="43">
        <v>0.95</v>
      </c>
      <c r="AM161" s="9">
        <v>1.2</v>
      </c>
      <c r="AN161" s="43">
        <v>1</v>
      </c>
      <c r="AO161" s="9">
        <v>3</v>
      </c>
      <c r="AP161" s="9">
        <v>0.34</v>
      </c>
      <c r="AQ161" s="43">
        <v>0.8</v>
      </c>
      <c r="AR161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297.464</v>
      </c>
      <c r="AS161" s="9">
        <f t="shared" si="281"/>
        <v>5.6674503756493531</v>
      </c>
      <c r="AT161" s="9">
        <f>IF(RIGHT(TIM[[#This Row],[Device type]],7)="Winding","-",TIM[[#This Row],[Cont Winter MVA]])</f>
        <v>7.2399723756379064</v>
      </c>
      <c r="AU161" s="9">
        <f>IF(RIGHT(TIM[[#This Row],[Device type]],7)="Winding","-",TIM[[#This Row],[Cont Shoulder MVA]])</f>
        <v>7.2399723756379064</v>
      </c>
      <c r="AV161" s="9">
        <f>IF(RIGHT(TIM[[#This Row],[Device type]],7)="Winding","-",TIM[[#This Row],[Cont Summer MVA]])</f>
        <v>7.2399723756379064</v>
      </c>
      <c r="AW161" s="9" t="str">
        <f>TIM[[#This Row],[24 Hr Winter MVA]]</f>
        <v>-</v>
      </c>
      <c r="AX161" s="9" t="str">
        <f>TIM[[#This Row],[24 Hr Summer MVA]]</f>
        <v>-</v>
      </c>
      <c r="AY161" s="9" t="str">
        <f>TIM[[#This Row],[Forwards MVA]]</f>
        <v>-</v>
      </c>
      <c r="AZ161" s="9" t="str">
        <f>TIM[[#This Row],[Relay MVA]]</f>
        <v>-</v>
      </c>
      <c r="BA161" s="9" t="str">
        <f>TIM[[#This Row],[CT MVA]]</f>
        <v>-</v>
      </c>
      <c r="BB161" s="9">
        <f>TIM[[#This Row],[Derating MVA]]</f>
        <v>5.6674503756493531</v>
      </c>
      <c r="BC161" s="9" t="str">
        <f>TIM[[#This Row],[Station/Feeder]]&amp;TIM[[#This Row],[Lowest MVA]]</f>
        <v>CB4_GRM-HNT A5.66745037564935</v>
      </c>
      <c r="BD161" s="9" t="str">
        <f>CONCATENATE(TIM[[#This Row],[Supply Level]],TIM[[#This Row],[Station/Feeder]],TIM[[#This Row],[Voltage]],TIM[[#This Row],[Lowest A-No PTX]])</f>
        <v>SubTransmissionCB4_GRM-HNT A11297.464</v>
      </c>
      <c r="BE161" s="9" t="str">
        <f>CONCATENATE(TIM[[#This Row],[Supply Level]],TIM[[#This Row],[Station/Feeder]],TIM[[#This Row],[Voltage]],TIM[[#This Row],[Lowest A-PTX]])</f>
        <v>SubTransmissionCB4_GRM-HNT A11297.464</v>
      </c>
      <c r="BF161" s="9">
        <f>IFERROR(IF(MIN(TIM[[#This Row],[Summ Cont Winter A]:[Cable Derating]])=0,"",MIN(TIM[[#This Row],[Summ Cont Winter A]:[Cable Derating]])),"")</f>
        <v>5.6674503756493531</v>
      </c>
      <c r="BG161" s="9">
        <f>IFERROR(TIM[[#This Row],[Lowest MVA]]*1000/(TIM[[#This Row],[Voltage]]*SQRT(3)),"")</f>
        <v>297.464</v>
      </c>
      <c r="BH161" s="9">
        <f t="shared" si="271"/>
        <v>297.464</v>
      </c>
      <c r="BI161" s="9" t="str">
        <f>TIM[[#This Row],[From]]</f>
        <v xml:space="preserve">TEGRASMERE 4 </v>
      </c>
      <c r="BJ161" s="9" t="str">
        <f>TIM[[#This Row],[To]]</f>
        <v>TEHUNT3</v>
      </c>
      <c r="BK16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 xml:space="preserve">Cable-3c 0.3in² Cu PILC SWA </v>
      </c>
      <c r="BL161" s="9">
        <f>TIM[[#This Row],[Voltage]]</f>
        <v>11</v>
      </c>
    </row>
    <row r="162" spans="1:64" ht="15" hidden="1" customHeight="1" x14ac:dyDescent="0.25">
      <c r="A162" s="6" t="str">
        <f>CONCATENATE(TIM[[#This Row],[Supply Level]],TIM[[#This Row],[Station/Feeder]],TIM[[#This Row],[Voltage]])</f>
        <v>SubTransmissionGRM_HNT_SUBTRANS11</v>
      </c>
      <c r="B162" s="6" t="str">
        <f>CONCATENATE(TIM[[#This Row],[Supply Level]],TIM[[#This Row],[Station/Feeder]],TIM[[#This Row],[Equipment ID]],TIM[[#This Row],[Voltage]],TIM[[#This Row],[Device type]])</f>
        <v>SubTransmissionGRM_HNT_SUBTRANSGRM-CB411Protection</v>
      </c>
      <c r="C162" s="6" t="s">
        <v>1245</v>
      </c>
      <c r="D162" s="11" t="s">
        <v>170</v>
      </c>
      <c r="E162" s="6" t="s">
        <v>243</v>
      </c>
      <c r="F162" s="6" t="s">
        <v>2331</v>
      </c>
      <c r="G162" s="27">
        <v>1</v>
      </c>
      <c r="H162" s="6" t="s">
        <v>887</v>
      </c>
      <c r="I162" s="7" t="s">
        <v>2333</v>
      </c>
      <c r="J162" s="7" t="s">
        <v>15</v>
      </c>
      <c r="K162" s="49" t="s">
        <v>1117</v>
      </c>
      <c r="L162" s="49" t="s">
        <v>1423</v>
      </c>
      <c r="M162" s="8">
        <v>11</v>
      </c>
      <c r="N162" s="9">
        <v>1250</v>
      </c>
      <c r="O162" s="9">
        <f t="shared" si="0"/>
        <v>23.815698604072061</v>
      </c>
      <c r="P162" s="9">
        <v>1250</v>
      </c>
      <c r="Q162" s="9">
        <f t="shared" si="1"/>
        <v>23.815698604072061</v>
      </c>
      <c r="R162" s="9">
        <v>1250</v>
      </c>
      <c r="S162" s="9">
        <f t="shared" si="2"/>
        <v>23.815698604072061</v>
      </c>
      <c r="T162" s="9" t="s">
        <v>0</v>
      </c>
      <c r="U162" s="9" t="str">
        <f t="shared" si="3"/>
        <v>-</v>
      </c>
      <c r="V162" s="9" t="s">
        <v>0</v>
      </c>
      <c r="W162" s="9" t="str">
        <f t="shared" si="4"/>
        <v>-</v>
      </c>
      <c r="X162" s="9">
        <f>VLOOKUP(TIM[[#This Row],[Equipment ID]],AEL_Protection_Data[#All],12,0)</f>
        <v>400</v>
      </c>
      <c r="Y162" s="9">
        <f t="shared" si="5"/>
        <v>7.6210235533030604</v>
      </c>
      <c r="Z162" s="9" t="s">
        <v>0</v>
      </c>
      <c r="AA162" s="9" t="str">
        <f t="shared" si="6"/>
        <v>-</v>
      </c>
      <c r="AB162" s="9">
        <v>800</v>
      </c>
      <c r="AC162" s="9">
        <f t="shared" si="7"/>
        <v>15.242047106606121</v>
      </c>
      <c r="AD162" s="9">
        <v>800</v>
      </c>
      <c r="AE162" s="12">
        <f t="shared" si="8"/>
        <v>15.242047106606121</v>
      </c>
      <c r="AF162" s="9" t="s">
        <v>0</v>
      </c>
      <c r="AG162" s="9" t="s">
        <v>0</v>
      </c>
      <c r="AH162" s="9" t="s">
        <v>0</v>
      </c>
      <c r="AI162" s="9" t="s">
        <v>0</v>
      </c>
      <c r="AJ162" s="32" t="s">
        <v>0</v>
      </c>
      <c r="AK162" s="9" t="s">
        <v>0</v>
      </c>
      <c r="AL162" s="32" t="s">
        <v>0</v>
      </c>
      <c r="AM162" s="9" t="s">
        <v>0</v>
      </c>
      <c r="AN162" s="32" t="s">
        <v>0</v>
      </c>
      <c r="AO162" s="9" t="s">
        <v>0</v>
      </c>
      <c r="AP162" s="9" t="s">
        <v>0</v>
      </c>
      <c r="AQ162" s="32" t="s">
        <v>0</v>
      </c>
      <c r="AR162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62" s="9" t="str">
        <f t="shared" si="9"/>
        <v>-</v>
      </c>
      <c r="AT162" s="9">
        <f>IF(RIGHT(TIM[[#This Row],[Device type]],7)="Winding","-",TIM[[#This Row],[Cont Winter MVA]])</f>
        <v>23.815698604072061</v>
      </c>
      <c r="AU162" s="9">
        <f>IF(RIGHT(TIM[[#This Row],[Device type]],7)="Winding","-",TIM[[#This Row],[Cont Shoulder MVA]])</f>
        <v>23.815698604072061</v>
      </c>
      <c r="AV162" s="9">
        <f>IF(RIGHT(TIM[[#This Row],[Device type]],7)="Winding","-",TIM[[#This Row],[Cont Summer MVA]])</f>
        <v>23.815698604072061</v>
      </c>
      <c r="AW162" s="9" t="str">
        <f>TIM[[#This Row],[24 Hr Winter MVA]]</f>
        <v>-</v>
      </c>
      <c r="AX162" s="9" t="str">
        <f>TIM[[#This Row],[24 Hr Summer MVA]]</f>
        <v>-</v>
      </c>
      <c r="AY162" s="9">
        <f>TIM[[#This Row],[Forwards MVA]]</f>
        <v>7.6210235533030604</v>
      </c>
      <c r="AZ162" s="9">
        <f>TIM[[#This Row],[Relay MVA]]</f>
        <v>15.242047106606121</v>
      </c>
      <c r="BA162" s="9">
        <f>TIM[[#This Row],[CT MVA]]</f>
        <v>15.242047106606121</v>
      </c>
      <c r="BB162" s="9" t="str">
        <f>TIM[[#This Row],[Derating MVA]]</f>
        <v>-</v>
      </c>
      <c r="BC162" s="9" t="str">
        <f>TIM[[#This Row],[Station/Feeder]]&amp;TIM[[#This Row],[Lowest MVA]]</f>
        <v>GRM_HNT_SUBTRANS7.62102355330306</v>
      </c>
      <c r="BD162" s="9" t="str">
        <f>CONCATENATE(TIM[[#This Row],[Supply Level]],TIM[[#This Row],[Station/Feeder]],TIM[[#This Row],[Voltage]],TIM[[#This Row],[Lowest A-No PTX]])</f>
        <v>SubTransmissionGRM_HNT_SUBTRANS11400</v>
      </c>
      <c r="BE162" s="9" t="str">
        <f>CONCATENATE(TIM[[#This Row],[Supply Level]],TIM[[#This Row],[Station/Feeder]],TIM[[#This Row],[Voltage]],TIM[[#This Row],[Lowest A-PTX]])</f>
        <v>SubTransmissionGRM_HNT_SUBTRANS11400</v>
      </c>
      <c r="BF162" s="9">
        <f>IFERROR(IF(MIN(TIM[[#This Row],[Summ Cont Winter A]:[Cable Derating]])=0,"",MIN(TIM[[#This Row],[Summ Cont Winter A]:[Cable Derating]])),"")</f>
        <v>7.6210235533030604</v>
      </c>
      <c r="BG162" s="9">
        <f>IFERROR(TIM[[#This Row],[Lowest MVA]]*1000/(TIM[[#This Row],[Voltage]]*SQRT(3)),"")</f>
        <v>400</v>
      </c>
      <c r="BH162" s="9">
        <f t="shared" si="271"/>
        <v>400</v>
      </c>
      <c r="BI162" s="9" t="str">
        <f>TIM[[#This Row],[From]]</f>
        <v>11 kV Bus</v>
      </c>
      <c r="BJ162" s="9" t="str">
        <f>TIM[[#This Row],[To]]</f>
        <v xml:space="preserve">TEGRASMERE4 </v>
      </c>
      <c r="BK16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Breaker-GRM-CB4-Protection</v>
      </c>
      <c r="BL162" s="9">
        <f>TIM[[#This Row],[Voltage]]</f>
        <v>11</v>
      </c>
    </row>
    <row r="163" spans="1:64" ht="15" hidden="1" customHeight="1" x14ac:dyDescent="0.25">
      <c r="A163" s="6" t="str">
        <f>CONCATENATE(TIM[[#This Row],[Supply Level]],TIM[[#This Row],[Station/Feeder]],TIM[[#This Row],[Voltage]])</f>
        <v>SubTransmissionGRM_HNT_SUBTRANS11</v>
      </c>
      <c r="B163" s="6" t="str">
        <f>CONCATENATE(TIM[[#This Row],[Supply Level]],TIM[[#This Row],[Station/Feeder]],TIM[[#This Row],[Equipment ID]],TIM[[#This Row],[Voltage]],TIM[[#This Row],[Device type]])</f>
        <v>SubTransmissionGRM_HNT_SUBTRANS3c 0.3in² Cu PILC SWA 11-</v>
      </c>
      <c r="C163" s="6" t="s">
        <v>1245</v>
      </c>
      <c r="D163" s="11" t="s">
        <v>170</v>
      </c>
      <c r="E163" s="6" t="s">
        <v>893</v>
      </c>
      <c r="F163" s="6" t="s">
        <v>894</v>
      </c>
      <c r="G163" s="27">
        <v>2</v>
      </c>
      <c r="H163" s="6" t="s">
        <v>888</v>
      </c>
      <c r="I163" s="7" t="s">
        <v>895</v>
      </c>
      <c r="J163" s="7" t="s">
        <v>250</v>
      </c>
      <c r="K163" s="49" t="s">
        <v>0</v>
      </c>
      <c r="L163" s="49" t="s">
        <v>0</v>
      </c>
      <c r="M163" s="8">
        <v>11</v>
      </c>
      <c r="N163" s="9">
        <v>380</v>
      </c>
      <c r="O163" s="9">
        <f t="shared" si="0"/>
        <v>7.2399723756379064</v>
      </c>
      <c r="P163" s="9">
        <v>380</v>
      </c>
      <c r="Q163" s="9">
        <f t="shared" si="1"/>
        <v>7.2399723756379064</v>
      </c>
      <c r="R163" s="9">
        <v>380</v>
      </c>
      <c r="S163" s="9">
        <f t="shared" si="2"/>
        <v>7.2399723756379064</v>
      </c>
      <c r="T163" s="9" t="s">
        <v>0</v>
      </c>
      <c r="U163" s="9" t="str">
        <f t="shared" si="3"/>
        <v>-</v>
      </c>
      <c r="V163" s="9" t="s">
        <v>0</v>
      </c>
      <c r="W163" s="9" t="str">
        <f t="shared" si="4"/>
        <v>-</v>
      </c>
      <c r="X163" s="9" t="s">
        <v>0</v>
      </c>
      <c r="Y163" s="9" t="str">
        <f t="shared" si="5"/>
        <v>-</v>
      </c>
      <c r="Z163" s="9" t="s">
        <v>0</v>
      </c>
      <c r="AA163" s="9" t="str">
        <f t="shared" si="6"/>
        <v>-</v>
      </c>
      <c r="AB163" s="9" t="s">
        <v>0</v>
      </c>
      <c r="AC163" s="9" t="str">
        <f t="shared" si="7"/>
        <v>-</v>
      </c>
      <c r="AD163" s="9" t="s">
        <v>0</v>
      </c>
      <c r="AE163" s="12" t="str">
        <f t="shared" si="8"/>
        <v>-</v>
      </c>
      <c r="AF163" s="9" t="s">
        <v>716</v>
      </c>
      <c r="AG163" s="9" t="s">
        <v>0</v>
      </c>
      <c r="AH163" s="9">
        <v>1629.1999999999998</v>
      </c>
      <c r="AI163" s="9">
        <v>0.85</v>
      </c>
      <c r="AJ163" s="32">
        <v>1.03</v>
      </c>
      <c r="AK163" s="9">
        <v>18.5</v>
      </c>
      <c r="AL163" s="32">
        <v>0.95</v>
      </c>
      <c r="AM163" s="9">
        <v>1.2</v>
      </c>
      <c r="AN163" s="32">
        <v>1</v>
      </c>
      <c r="AO163" s="9">
        <v>3</v>
      </c>
      <c r="AP163" s="9">
        <v>0.34</v>
      </c>
      <c r="AQ163" s="32">
        <v>0.8</v>
      </c>
      <c r="AR163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297.464</v>
      </c>
      <c r="AS163" s="9">
        <f t="shared" si="9"/>
        <v>5.6674503756493531</v>
      </c>
      <c r="AT163" s="9">
        <f>IF(RIGHT(TIM[[#This Row],[Device type]],7)="Winding","-",TIM[[#This Row],[Cont Winter MVA]])</f>
        <v>7.2399723756379064</v>
      </c>
      <c r="AU163" s="9">
        <f>IF(RIGHT(TIM[[#This Row],[Device type]],7)="Winding","-",TIM[[#This Row],[Cont Shoulder MVA]])</f>
        <v>7.2399723756379064</v>
      </c>
      <c r="AV163" s="9">
        <f>IF(RIGHT(TIM[[#This Row],[Device type]],7)="Winding","-",TIM[[#This Row],[Cont Summer MVA]])</f>
        <v>7.2399723756379064</v>
      </c>
      <c r="AW163" s="9" t="str">
        <f>TIM[[#This Row],[24 Hr Winter MVA]]</f>
        <v>-</v>
      </c>
      <c r="AX163" s="9" t="str">
        <f>TIM[[#This Row],[24 Hr Summer MVA]]</f>
        <v>-</v>
      </c>
      <c r="AY163" s="9" t="str">
        <f>TIM[[#This Row],[Forwards MVA]]</f>
        <v>-</v>
      </c>
      <c r="AZ163" s="9" t="str">
        <f>TIM[[#This Row],[Relay MVA]]</f>
        <v>-</v>
      </c>
      <c r="BA163" s="9" t="str">
        <f>TIM[[#This Row],[CT MVA]]</f>
        <v>-</v>
      </c>
      <c r="BB163" s="9">
        <f>TIM[[#This Row],[Derating MVA]]</f>
        <v>5.6674503756493531</v>
      </c>
      <c r="BC163" s="9" t="str">
        <f>TIM[[#This Row],[Station/Feeder]]&amp;TIM[[#This Row],[Lowest MVA]]</f>
        <v>GRM_HNT_SUBTRANS5.66745037564935</v>
      </c>
      <c r="BD163" s="9" t="str">
        <f>CONCATENATE(TIM[[#This Row],[Supply Level]],TIM[[#This Row],[Station/Feeder]],TIM[[#This Row],[Voltage]],TIM[[#This Row],[Lowest A-No PTX]])</f>
        <v>SubTransmissionGRM_HNT_SUBTRANS11297.464</v>
      </c>
      <c r="BE163" s="9" t="str">
        <f>CONCATENATE(TIM[[#This Row],[Supply Level]],TIM[[#This Row],[Station/Feeder]],TIM[[#This Row],[Voltage]],TIM[[#This Row],[Lowest A-PTX]])</f>
        <v>SubTransmissionGRM_HNT_SUBTRANS11297.464</v>
      </c>
      <c r="BF163" s="9">
        <f>IFERROR(IF(MIN(TIM[[#This Row],[Summ Cont Winter A]:[Cable Derating]])=0,"",MIN(TIM[[#This Row],[Summ Cont Winter A]:[Cable Derating]])),"")</f>
        <v>5.6674503756493531</v>
      </c>
      <c r="BG163" s="9">
        <f>IFERROR(TIM[[#This Row],[Lowest MVA]]*1000/(TIM[[#This Row],[Voltage]]*SQRT(3)),"")</f>
        <v>297.464</v>
      </c>
      <c r="BH163" s="9">
        <f t="shared" si="271"/>
        <v>297.464</v>
      </c>
      <c r="BI163" s="9" t="str">
        <f>TIM[[#This Row],[From]]</f>
        <v xml:space="preserve">TEGRASMERE 4 </v>
      </c>
      <c r="BJ163" s="9" t="str">
        <f>TIM[[#This Row],[To]]</f>
        <v>TEHUNT3</v>
      </c>
      <c r="BK16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 xml:space="preserve">Cable-3c 0.3in² Cu PILC SWA </v>
      </c>
      <c r="BL163" s="9">
        <f>TIM[[#This Row],[Voltage]]</f>
        <v>11</v>
      </c>
    </row>
    <row r="164" spans="1:64" ht="15" customHeight="1" x14ac:dyDescent="0.25">
      <c r="A164" s="6" t="str">
        <f>CONCATENATE(TIM[[#This Row],[Supply Level]],TIM[[#This Row],[Station/Feeder]],TIM[[#This Row],[Voltage]])</f>
        <v>DistributionFeederCB5_Nile St11</v>
      </c>
      <c r="B164" s="6" t="str">
        <f>CONCATENATE(TIM[[#This Row],[Supply Level]],TIM[[#This Row],[Station/Feeder]],TIM[[#This Row],[Equipment ID]],TIM[[#This Row],[Voltage]],TIM[[#This Row],[Device type]])</f>
        <v>DistributionFeederCB5_Nile StGRM-CB511Protection</v>
      </c>
      <c r="C164" s="6" t="s">
        <v>1276</v>
      </c>
      <c r="D164" s="11" t="s">
        <v>182</v>
      </c>
      <c r="E164" s="6" t="s">
        <v>243</v>
      </c>
      <c r="F164" s="6" t="s">
        <v>896</v>
      </c>
      <c r="G164" s="27">
        <v>1</v>
      </c>
      <c r="H164" s="6" t="s">
        <v>887</v>
      </c>
      <c r="I164" s="7" t="s">
        <v>2246</v>
      </c>
      <c r="J164" s="7" t="s">
        <v>15</v>
      </c>
      <c r="K164" s="49" t="s">
        <v>791</v>
      </c>
      <c r="L164" s="49" t="s">
        <v>1423</v>
      </c>
      <c r="M164" s="8">
        <v>11</v>
      </c>
      <c r="N164" s="9">
        <v>1250</v>
      </c>
      <c r="O164" s="9">
        <f t="shared" si="0"/>
        <v>23.815698604072061</v>
      </c>
      <c r="P164" s="9">
        <v>1250</v>
      </c>
      <c r="Q164" s="9">
        <f t="shared" si="1"/>
        <v>23.815698604072061</v>
      </c>
      <c r="R164" s="9">
        <v>1250</v>
      </c>
      <c r="S164" s="9">
        <f t="shared" si="2"/>
        <v>23.815698604072061</v>
      </c>
      <c r="T164" s="9" t="s">
        <v>0</v>
      </c>
      <c r="U164" s="9" t="str">
        <f t="shared" si="3"/>
        <v>-</v>
      </c>
      <c r="V164" s="9" t="s">
        <v>0</v>
      </c>
      <c r="W164" s="9" t="str">
        <f t="shared" si="4"/>
        <v>-</v>
      </c>
      <c r="X164" s="9">
        <f>VLOOKUP(TIM[[#This Row],[Equipment ID]],AEL_Protection_Data[#All],12,0)</f>
        <v>304</v>
      </c>
      <c r="Y164" s="9">
        <f t="shared" si="5"/>
        <v>5.7919779005103251</v>
      </c>
      <c r="Z164" s="9" t="s">
        <v>0</v>
      </c>
      <c r="AA164" s="9" t="str">
        <f t="shared" si="6"/>
        <v>-</v>
      </c>
      <c r="AB164" s="9">
        <v>800</v>
      </c>
      <c r="AC164" s="9">
        <f t="shared" si="7"/>
        <v>15.242047106606121</v>
      </c>
      <c r="AD164" s="9">
        <v>800</v>
      </c>
      <c r="AE164" s="12">
        <f t="shared" si="8"/>
        <v>15.242047106606121</v>
      </c>
      <c r="AF164" s="9" t="s">
        <v>0</v>
      </c>
      <c r="AG164" s="9" t="s">
        <v>0</v>
      </c>
      <c r="AH164" s="9" t="s">
        <v>0</v>
      </c>
      <c r="AI164" s="9" t="s">
        <v>0</v>
      </c>
      <c r="AJ164" s="32" t="s">
        <v>0</v>
      </c>
      <c r="AK164" s="9" t="s">
        <v>0</v>
      </c>
      <c r="AL164" s="32" t="s">
        <v>0</v>
      </c>
      <c r="AM164" s="9" t="s">
        <v>0</v>
      </c>
      <c r="AN164" s="32" t="s">
        <v>0</v>
      </c>
      <c r="AO164" s="9" t="s">
        <v>0</v>
      </c>
      <c r="AP164" s="9" t="s">
        <v>0</v>
      </c>
      <c r="AQ164" s="32" t="s">
        <v>0</v>
      </c>
      <c r="AR16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64" s="9" t="str">
        <f t="shared" si="9"/>
        <v>-</v>
      </c>
      <c r="AT164" s="9">
        <f>IF(RIGHT(TIM[[#This Row],[Device type]],7)="Winding","-",TIM[[#This Row],[Cont Winter MVA]])</f>
        <v>23.815698604072061</v>
      </c>
      <c r="AU164" s="9">
        <f>IF(RIGHT(TIM[[#This Row],[Device type]],7)="Winding","-",TIM[[#This Row],[Cont Shoulder MVA]])</f>
        <v>23.815698604072061</v>
      </c>
      <c r="AV164" s="9">
        <f>IF(RIGHT(TIM[[#This Row],[Device type]],7)="Winding","-",TIM[[#This Row],[Cont Summer MVA]])</f>
        <v>23.815698604072061</v>
      </c>
      <c r="AW164" s="9" t="str">
        <f>TIM[[#This Row],[24 Hr Winter MVA]]</f>
        <v>-</v>
      </c>
      <c r="AX164" s="9" t="str">
        <f>TIM[[#This Row],[24 Hr Summer MVA]]</f>
        <v>-</v>
      </c>
      <c r="AY164" s="9">
        <f>TIM[[#This Row],[Forwards MVA]]</f>
        <v>5.7919779005103251</v>
      </c>
      <c r="AZ164" s="9">
        <f>TIM[[#This Row],[Relay MVA]]</f>
        <v>15.242047106606121</v>
      </c>
      <c r="BA164" s="9">
        <f>TIM[[#This Row],[CT MVA]]</f>
        <v>15.242047106606121</v>
      </c>
      <c r="BB164" s="9" t="str">
        <f>TIM[[#This Row],[Derating MVA]]</f>
        <v>-</v>
      </c>
      <c r="BC164" s="9" t="str">
        <f>TIM[[#This Row],[Station/Feeder]]&amp;TIM[[#This Row],[Lowest MVA]]</f>
        <v>CB5_Nile St5.79197790051033</v>
      </c>
      <c r="BD164" s="9" t="str">
        <f>CONCATENATE(TIM[[#This Row],[Supply Level]],TIM[[#This Row],[Station/Feeder]],TIM[[#This Row],[Voltage]],TIM[[#This Row],[Lowest A-No PTX]])</f>
        <v>DistributionFeederCB5_Nile St11304</v>
      </c>
      <c r="BE164" s="9" t="str">
        <f>CONCATENATE(TIM[[#This Row],[Supply Level]],TIM[[#This Row],[Station/Feeder]],TIM[[#This Row],[Voltage]],TIM[[#This Row],[Lowest A-PTX]])</f>
        <v>DistributionFeederCB5_Nile St11304</v>
      </c>
      <c r="BF164" s="9">
        <f>IFERROR(IF(MIN(TIM[[#This Row],[Summ Cont Winter A]:[Cable Derating]])=0,"",MIN(TIM[[#This Row],[Summ Cont Winter A]:[Cable Derating]])),"")</f>
        <v>5.7919779005103251</v>
      </c>
      <c r="BG164" s="9">
        <f>IFERROR(TIM[[#This Row],[Lowest MVA]]*1000/(TIM[[#This Row],[Voltage]]*SQRT(3)),"")</f>
        <v>304</v>
      </c>
      <c r="BH164" s="9">
        <f t="shared" si="271"/>
        <v>304</v>
      </c>
      <c r="BI164" s="9" t="str">
        <f>TIM[[#This Row],[From]]</f>
        <v>11 kV Bus</v>
      </c>
      <c r="BJ164" s="9" t="str">
        <f>TIM[[#This Row],[To]]</f>
        <v>TEGRASMERE5</v>
      </c>
      <c r="BK16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Breaker-GRM-CB5-Protection</v>
      </c>
      <c r="BL164" s="9">
        <f>TIM[[#This Row],[Voltage]]</f>
        <v>11</v>
      </c>
    </row>
    <row r="165" spans="1:64" ht="15" customHeight="1" x14ac:dyDescent="0.25">
      <c r="A165" s="6" t="str">
        <f>CONCATENATE(TIM[[#This Row],[Supply Level]],TIM[[#This Row],[Station/Feeder]],TIM[[#This Row],[Voltage]])</f>
        <v>DistributionFeederCB5_Nile St11</v>
      </c>
      <c r="B165" s="6" t="str">
        <f>CONCATENATE(TIM[[#This Row],[Supply Level]],TIM[[#This Row],[Station/Feeder]],TIM[[#This Row],[Equipment ID]],TIM[[#This Row],[Voltage]],TIM[[#This Row],[Device type]])</f>
        <v>DistributionFeederCB5_Nile St3c 300mm² Al PILC SWAS11-</v>
      </c>
      <c r="C165" s="6" t="s">
        <v>1276</v>
      </c>
      <c r="D165" s="11" t="s">
        <v>182</v>
      </c>
      <c r="E165" s="6" t="s">
        <v>896</v>
      </c>
      <c r="F165" s="6" t="s">
        <v>897</v>
      </c>
      <c r="G165" s="27">
        <v>2</v>
      </c>
      <c r="H165" s="6" t="s">
        <v>888</v>
      </c>
      <c r="I165" s="7" t="s">
        <v>898</v>
      </c>
      <c r="J165" s="7" t="s">
        <v>250</v>
      </c>
      <c r="K165" s="49" t="s">
        <v>0</v>
      </c>
      <c r="L165" s="49" t="s">
        <v>0</v>
      </c>
      <c r="M165" s="8">
        <v>11</v>
      </c>
      <c r="N165" s="9">
        <v>390</v>
      </c>
      <c r="O165" s="9">
        <f t="shared" si="0"/>
        <v>7.4304979644704838</v>
      </c>
      <c r="P165" s="9">
        <v>390</v>
      </c>
      <c r="Q165" s="9">
        <f t="shared" si="1"/>
        <v>7.4304979644704838</v>
      </c>
      <c r="R165" s="9">
        <v>390</v>
      </c>
      <c r="S165" s="9">
        <f t="shared" si="2"/>
        <v>7.4304979644704838</v>
      </c>
      <c r="T165" s="9" t="s">
        <v>0</v>
      </c>
      <c r="U165" s="9" t="str">
        <f t="shared" si="3"/>
        <v>-</v>
      </c>
      <c r="V165" s="9" t="s">
        <v>0</v>
      </c>
      <c r="W165" s="9" t="str">
        <f t="shared" si="4"/>
        <v>-</v>
      </c>
      <c r="X165" s="9" t="s">
        <v>0</v>
      </c>
      <c r="Y165" s="9" t="str">
        <f t="shared" si="5"/>
        <v>-</v>
      </c>
      <c r="Z165" s="9" t="s">
        <v>0</v>
      </c>
      <c r="AA165" s="9" t="str">
        <f t="shared" si="6"/>
        <v>-</v>
      </c>
      <c r="AB165" s="9" t="s">
        <v>0</v>
      </c>
      <c r="AC165" s="9" t="str">
        <f t="shared" si="7"/>
        <v>-</v>
      </c>
      <c r="AD165" s="9" t="s">
        <v>0</v>
      </c>
      <c r="AE165" s="12" t="str">
        <f t="shared" si="8"/>
        <v>-</v>
      </c>
      <c r="AF165" s="9" t="s">
        <v>716</v>
      </c>
      <c r="AG165" s="9" t="s">
        <v>0</v>
      </c>
      <c r="AH165" s="9">
        <v>504.4</v>
      </c>
      <c r="AI165" s="9">
        <v>0.77</v>
      </c>
      <c r="AJ165" s="32">
        <v>1</v>
      </c>
      <c r="AK165" s="9">
        <v>18.5</v>
      </c>
      <c r="AL165" s="32">
        <v>0.95</v>
      </c>
      <c r="AM165" s="9">
        <v>1.2</v>
      </c>
      <c r="AN165" s="32">
        <v>1</v>
      </c>
      <c r="AO165" s="9">
        <v>6</v>
      </c>
      <c r="AP165" s="9">
        <v>0.11</v>
      </c>
      <c r="AQ165" s="32">
        <v>0.63</v>
      </c>
      <c r="AR165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233.41499999999996</v>
      </c>
      <c r="AS165" s="9">
        <f t="shared" si="9"/>
        <v>4.4471530317355841</v>
      </c>
      <c r="AT165" s="9">
        <f>IF(RIGHT(TIM[[#This Row],[Device type]],7)="Winding","-",TIM[[#This Row],[Cont Winter MVA]])</f>
        <v>7.4304979644704838</v>
      </c>
      <c r="AU165" s="9">
        <f>IF(RIGHT(TIM[[#This Row],[Device type]],7)="Winding","-",TIM[[#This Row],[Cont Shoulder MVA]])</f>
        <v>7.4304979644704838</v>
      </c>
      <c r="AV165" s="9">
        <f>IF(RIGHT(TIM[[#This Row],[Device type]],7)="Winding","-",TIM[[#This Row],[Cont Summer MVA]])</f>
        <v>7.4304979644704838</v>
      </c>
      <c r="AW165" s="9" t="str">
        <f>TIM[[#This Row],[24 Hr Winter MVA]]</f>
        <v>-</v>
      </c>
      <c r="AX165" s="9" t="str">
        <f>TIM[[#This Row],[24 Hr Summer MVA]]</f>
        <v>-</v>
      </c>
      <c r="AY165" s="9" t="str">
        <f>TIM[[#This Row],[Forwards MVA]]</f>
        <v>-</v>
      </c>
      <c r="AZ165" s="9" t="str">
        <f>TIM[[#This Row],[Relay MVA]]</f>
        <v>-</v>
      </c>
      <c r="BA165" s="9" t="str">
        <f>TIM[[#This Row],[CT MVA]]</f>
        <v>-</v>
      </c>
      <c r="BB165" s="9">
        <f>TIM[[#This Row],[Derating MVA]]</f>
        <v>4.4471530317355841</v>
      </c>
      <c r="BC165" s="9" t="str">
        <f>TIM[[#This Row],[Station/Feeder]]&amp;TIM[[#This Row],[Lowest MVA]]</f>
        <v>CB5_Nile St4.44715303173558</v>
      </c>
      <c r="BD165" s="9" t="str">
        <f>CONCATENATE(TIM[[#This Row],[Supply Level]],TIM[[#This Row],[Station/Feeder]],TIM[[#This Row],[Voltage]],TIM[[#This Row],[Lowest A-No PTX]])</f>
        <v>DistributionFeederCB5_Nile St11233.415</v>
      </c>
      <c r="BE165" s="9" t="str">
        <f>CONCATENATE(TIM[[#This Row],[Supply Level]],TIM[[#This Row],[Station/Feeder]],TIM[[#This Row],[Voltage]],TIM[[#This Row],[Lowest A-PTX]])</f>
        <v>DistributionFeederCB5_Nile St11233.415</v>
      </c>
      <c r="BF165" s="9">
        <f>IFERROR(IF(MIN(TIM[[#This Row],[Summ Cont Winter A]:[Cable Derating]])=0,"",MIN(TIM[[#This Row],[Summ Cont Winter A]:[Cable Derating]])),"")</f>
        <v>4.4471530317355841</v>
      </c>
      <c r="BG165" s="9">
        <f>IFERROR(TIM[[#This Row],[Lowest MVA]]*1000/(TIM[[#This Row],[Voltage]]*SQRT(3)),"")</f>
        <v>233.41499999999996</v>
      </c>
      <c r="BH165" s="9">
        <f t="shared" si="271"/>
        <v>233.41499999999996</v>
      </c>
      <c r="BI165" s="9" t="str">
        <f>TIM[[#This Row],[From]]</f>
        <v>TEGRASMERE5</v>
      </c>
      <c r="BJ165" s="9" t="str">
        <f>TIM[[#This Row],[To]]</f>
        <v>TEE1 RMU</v>
      </c>
      <c r="BK16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300mm² Al PILC SWAS</v>
      </c>
      <c r="BL165" s="9">
        <f>TIM[[#This Row],[Voltage]]</f>
        <v>11</v>
      </c>
    </row>
    <row r="166" spans="1:64" ht="15" customHeight="1" x14ac:dyDescent="0.25">
      <c r="A166" s="6" t="str">
        <f>CONCATENATE(TIM[[#This Row],[Supply Level]],TIM[[#This Row],[Station/Feeder]],TIM[[#This Row],[Voltage]])</f>
        <v>DistributionFeederCB6_Parkview Terrace11</v>
      </c>
      <c r="B166" s="6" t="str">
        <f>CONCATENATE(TIM[[#This Row],[Supply Level]],TIM[[#This Row],[Station/Feeder]],TIM[[#This Row],[Equipment ID]],TIM[[#This Row],[Voltage]],TIM[[#This Row],[Device type]])</f>
        <v>DistributionFeederCB6_Parkview TerraceGRM-CB611Protection</v>
      </c>
      <c r="C166" s="6" t="s">
        <v>1276</v>
      </c>
      <c r="D166" s="11" t="s">
        <v>185</v>
      </c>
      <c r="E166" s="6" t="s">
        <v>243</v>
      </c>
      <c r="F166" s="6" t="s">
        <v>899</v>
      </c>
      <c r="G166" s="27">
        <v>1</v>
      </c>
      <c r="H166" s="6" t="s">
        <v>887</v>
      </c>
      <c r="I166" s="7" t="s">
        <v>2247</v>
      </c>
      <c r="J166" s="7" t="s">
        <v>15</v>
      </c>
      <c r="K166" s="49" t="s">
        <v>791</v>
      </c>
      <c r="L166" s="49" t="s">
        <v>1423</v>
      </c>
      <c r="M166" s="8">
        <v>11</v>
      </c>
      <c r="N166" s="9">
        <v>1250</v>
      </c>
      <c r="O166" s="9">
        <f t="shared" si="0"/>
        <v>23.815698604072061</v>
      </c>
      <c r="P166" s="9">
        <v>1250</v>
      </c>
      <c r="Q166" s="9">
        <f t="shared" si="1"/>
        <v>23.815698604072061</v>
      </c>
      <c r="R166" s="9">
        <v>1250</v>
      </c>
      <c r="S166" s="9">
        <f t="shared" si="2"/>
        <v>23.815698604072061</v>
      </c>
      <c r="T166" s="9" t="s">
        <v>0</v>
      </c>
      <c r="U166" s="9" t="str">
        <f t="shared" si="3"/>
        <v>-</v>
      </c>
      <c r="V166" s="9" t="s">
        <v>0</v>
      </c>
      <c r="W166" s="9" t="str">
        <f t="shared" si="4"/>
        <v>-</v>
      </c>
      <c r="X166" s="9">
        <f>VLOOKUP(TIM[[#This Row],[Equipment ID]],AEL_Protection_Data[#All],12,0)</f>
        <v>304</v>
      </c>
      <c r="Y166" s="9">
        <f t="shared" si="5"/>
        <v>5.7919779005103251</v>
      </c>
      <c r="Z166" s="9" t="s">
        <v>0</v>
      </c>
      <c r="AA166" s="9" t="str">
        <f t="shared" si="6"/>
        <v>-</v>
      </c>
      <c r="AB166" s="9">
        <v>800</v>
      </c>
      <c r="AC166" s="9">
        <f t="shared" si="7"/>
        <v>15.242047106606121</v>
      </c>
      <c r="AD166" s="9">
        <v>800</v>
      </c>
      <c r="AE166" s="12">
        <f t="shared" si="8"/>
        <v>15.242047106606121</v>
      </c>
      <c r="AF166" s="9" t="s">
        <v>0</v>
      </c>
      <c r="AG166" s="9" t="s">
        <v>0</v>
      </c>
      <c r="AH166" s="9" t="s">
        <v>0</v>
      </c>
      <c r="AI166" s="9" t="s">
        <v>0</v>
      </c>
      <c r="AJ166" s="32" t="s">
        <v>0</v>
      </c>
      <c r="AK166" s="9" t="s">
        <v>0</v>
      </c>
      <c r="AL166" s="32" t="s">
        <v>0</v>
      </c>
      <c r="AM166" s="9" t="s">
        <v>0</v>
      </c>
      <c r="AN166" s="32" t="s">
        <v>0</v>
      </c>
      <c r="AO166" s="9" t="s">
        <v>0</v>
      </c>
      <c r="AP166" s="9" t="s">
        <v>0</v>
      </c>
      <c r="AQ166" s="32" t="s">
        <v>0</v>
      </c>
      <c r="AR166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66" s="9" t="str">
        <f t="shared" si="9"/>
        <v>-</v>
      </c>
      <c r="AT166" s="9">
        <f>IF(RIGHT(TIM[[#This Row],[Device type]],7)="Winding","-",TIM[[#This Row],[Cont Winter MVA]])</f>
        <v>23.815698604072061</v>
      </c>
      <c r="AU166" s="9">
        <f>IF(RIGHT(TIM[[#This Row],[Device type]],7)="Winding","-",TIM[[#This Row],[Cont Shoulder MVA]])</f>
        <v>23.815698604072061</v>
      </c>
      <c r="AV166" s="9">
        <f>IF(RIGHT(TIM[[#This Row],[Device type]],7)="Winding","-",TIM[[#This Row],[Cont Summer MVA]])</f>
        <v>23.815698604072061</v>
      </c>
      <c r="AW166" s="9" t="str">
        <f>TIM[[#This Row],[24 Hr Winter MVA]]</f>
        <v>-</v>
      </c>
      <c r="AX166" s="9" t="str">
        <f>TIM[[#This Row],[24 Hr Summer MVA]]</f>
        <v>-</v>
      </c>
      <c r="AY166" s="9">
        <f>TIM[[#This Row],[Forwards MVA]]</f>
        <v>5.7919779005103251</v>
      </c>
      <c r="AZ166" s="9">
        <f>TIM[[#This Row],[Relay MVA]]</f>
        <v>15.242047106606121</v>
      </c>
      <c r="BA166" s="9">
        <f>TIM[[#This Row],[CT MVA]]</f>
        <v>15.242047106606121</v>
      </c>
      <c r="BB166" s="9" t="str">
        <f>TIM[[#This Row],[Derating MVA]]</f>
        <v>-</v>
      </c>
      <c r="BC166" s="9" t="str">
        <f>TIM[[#This Row],[Station/Feeder]]&amp;TIM[[#This Row],[Lowest MVA]]</f>
        <v>CB6_Parkview Terrace5.79197790051033</v>
      </c>
      <c r="BD166" s="9" t="str">
        <f>CONCATENATE(TIM[[#This Row],[Supply Level]],TIM[[#This Row],[Station/Feeder]],TIM[[#This Row],[Voltage]],TIM[[#This Row],[Lowest A-No PTX]])</f>
        <v>DistributionFeederCB6_Parkview Terrace11304</v>
      </c>
      <c r="BE166" s="9" t="str">
        <f>CONCATENATE(TIM[[#This Row],[Supply Level]],TIM[[#This Row],[Station/Feeder]],TIM[[#This Row],[Voltage]],TIM[[#This Row],[Lowest A-PTX]])</f>
        <v>DistributionFeederCB6_Parkview Terrace11304</v>
      </c>
      <c r="BF166" s="9">
        <f>IFERROR(IF(MIN(TIM[[#This Row],[Summ Cont Winter A]:[Cable Derating]])=0,"",MIN(TIM[[#This Row],[Summ Cont Winter A]:[Cable Derating]])),"")</f>
        <v>5.7919779005103251</v>
      </c>
      <c r="BG166" s="9">
        <f>IFERROR(TIM[[#This Row],[Lowest MVA]]*1000/(TIM[[#This Row],[Voltage]]*SQRT(3)),"")</f>
        <v>304</v>
      </c>
      <c r="BH166" s="9">
        <f t="shared" si="271"/>
        <v>304</v>
      </c>
      <c r="BI166" s="9" t="str">
        <f>TIM[[#This Row],[From]]</f>
        <v>11 kV Bus</v>
      </c>
      <c r="BJ166" s="9" t="str">
        <f>TIM[[#This Row],[To]]</f>
        <v>TEGRASMERE6</v>
      </c>
      <c r="BK16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Breaker-GRM-CB6-Protection</v>
      </c>
      <c r="BL166" s="9">
        <f>TIM[[#This Row],[Voltage]]</f>
        <v>11</v>
      </c>
    </row>
    <row r="167" spans="1:64" ht="15" customHeight="1" x14ac:dyDescent="0.25">
      <c r="A167" s="6" t="str">
        <f>CONCATENATE(TIM[[#This Row],[Supply Level]],TIM[[#This Row],[Station/Feeder]],TIM[[#This Row],[Voltage]])</f>
        <v>DistributionFeederCB6_Parkview Terrace11</v>
      </c>
      <c r="B167" s="6" t="str">
        <f>CONCATENATE(TIM[[#This Row],[Supply Level]],TIM[[#This Row],[Station/Feeder]],TIM[[#This Row],[Equipment ID]],TIM[[#This Row],[Voltage]],TIM[[#This Row],[Device type]])</f>
        <v>DistributionFeederCB6_Parkview Terrace3c 185mm² Al PILC SWAS11-</v>
      </c>
      <c r="C167" s="6" t="s">
        <v>1276</v>
      </c>
      <c r="D167" s="11" t="s">
        <v>185</v>
      </c>
      <c r="E167" s="6" t="s">
        <v>899</v>
      </c>
      <c r="F167" s="6" t="s">
        <v>900</v>
      </c>
      <c r="G167" s="27">
        <v>2</v>
      </c>
      <c r="H167" s="6" t="s">
        <v>888</v>
      </c>
      <c r="I167" s="7" t="s">
        <v>901</v>
      </c>
      <c r="J167" s="7" t="s">
        <v>250</v>
      </c>
      <c r="K167" s="49" t="s">
        <v>0</v>
      </c>
      <c r="L167" s="49" t="s">
        <v>0</v>
      </c>
      <c r="M167" s="8">
        <v>11</v>
      </c>
      <c r="N167" s="9">
        <v>300</v>
      </c>
      <c r="O167" s="9">
        <f t="shared" si="0"/>
        <v>5.715767664977295</v>
      </c>
      <c r="P167" s="9">
        <v>300</v>
      </c>
      <c r="Q167" s="9">
        <f t="shared" si="1"/>
        <v>5.715767664977295</v>
      </c>
      <c r="R167" s="9">
        <v>300</v>
      </c>
      <c r="S167" s="9">
        <f t="shared" si="2"/>
        <v>5.715767664977295</v>
      </c>
      <c r="T167" s="9" t="s">
        <v>0</v>
      </c>
      <c r="U167" s="9" t="str">
        <f t="shared" si="3"/>
        <v>-</v>
      </c>
      <c r="V167" s="9" t="s">
        <v>0</v>
      </c>
      <c r="W167" s="9" t="str">
        <f t="shared" si="4"/>
        <v>-</v>
      </c>
      <c r="X167" s="9" t="s">
        <v>0</v>
      </c>
      <c r="Y167" s="9" t="str">
        <f t="shared" si="5"/>
        <v>-</v>
      </c>
      <c r="Z167" s="9" t="s">
        <v>0</v>
      </c>
      <c r="AA167" s="9" t="str">
        <f t="shared" si="6"/>
        <v>-</v>
      </c>
      <c r="AB167" s="9" t="s">
        <v>0</v>
      </c>
      <c r="AC167" s="9" t="str">
        <f t="shared" si="7"/>
        <v>-</v>
      </c>
      <c r="AD167" s="9" t="s">
        <v>0</v>
      </c>
      <c r="AE167" s="12" t="str">
        <f t="shared" si="8"/>
        <v>-</v>
      </c>
      <c r="AF167" s="9" t="s">
        <v>716</v>
      </c>
      <c r="AG167" s="9" t="s">
        <v>0</v>
      </c>
      <c r="AH167" s="9">
        <v>2342.1999999999998</v>
      </c>
      <c r="AI167" s="9">
        <v>0.8</v>
      </c>
      <c r="AJ167" s="32">
        <v>1</v>
      </c>
      <c r="AK167" s="9">
        <v>18.5</v>
      </c>
      <c r="AL167" s="32">
        <v>0.95</v>
      </c>
      <c r="AM167" s="9">
        <v>1.2</v>
      </c>
      <c r="AN167" s="32">
        <v>1</v>
      </c>
      <c r="AO167" s="9">
        <v>3</v>
      </c>
      <c r="AP167" s="9">
        <v>0.3</v>
      </c>
      <c r="AQ167" s="32">
        <v>0.8</v>
      </c>
      <c r="AR167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228</v>
      </c>
      <c r="AS167" s="9">
        <f t="shared" si="9"/>
        <v>4.3439834253827438</v>
      </c>
      <c r="AT167" s="9">
        <f>IF(RIGHT(TIM[[#This Row],[Device type]],7)="Winding","-",TIM[[#This Row],[Cont Winter MVA]])</f>
        <v>5.715767664977295</v>
      </c>
      <c r="AU167" s="9">
        <f>IF(RIGHT(TIM[[#This Row],[Device type]],7)="Winding","-",TIM[[#This Row],[Cont Shoulder MVA]])</f>
        <v>5.715767664977295</v>
      </c>
      <c r="AV167" s="9">
        <f>IF(RIGHT(TIM[[#This Row],[Device type]],7)="Winding","-",TIM[[#This Row],[Cont Summer MVA]])</f>
        <v>5.715767664977295</v>
      </c>
      <c r="AW167" s="9" t="str">
        <f>TIM[[#This Row],[24 Hr Winter MVA]]</f>
        <v>-</v>
      </c>
      <c r="AX167" s="9" t="str">
        <f>TIM[[#This Row],[24 Hr Summer MVA]]</f>
        <v>-</v>
      </c>
      <c r="AY167" s="9" t="str">
        <f>TIM[[#This Row],[Forwards MVA]]</f>
        <v>-</v>
      </c>
      <c r="AZ167" s="9" t="str">
        <f>TIM[[#This Row],[Relay MVA]]</f>
        <v>-</v>
      </c>
      <c r="BA167" s="9" t="str">
        <f>TIM[[#This Row],[CT MVA]]</f>
        <v>-</v>
      </c>
      <c r="BB167" s="9">
        <f>TIM[[#This Row],[Derating MVA]]</f>
        <v>4.3439834253827438</v>
      </c>
      <c r="BC167" s="9" t="str">
        <f>TIM[[#This Row],[Station/Feeder]]&amp;TIM[[#This Row],[Lowest MVA]]</f>
        <v>CB6_Parkview Terrace4.34398342538274</v>
      </c>
      <c r="BD167" s="9" t="str">
        <f>CONCATENATE(TIM[[#This Row],[Supply Level]],TIM[[#This Row],[Station/Feeder]],TIM[[#This Row],[Voltage]],TIM[[#This Row],[Lowest A-No PTX]])</f>
        <v>DistributionFeederCB6_Parkview Terrace11228</v>
      </c>
      <c r="BE167" s="9" t="str">
        <f>CONCATENATE(TIM[[#This Row],[Supply Level]],TIM[[#This Row],[Station/Feeder]],TIM[[#This Row],[Voltage]],TIM[[#This Row],[Lowest A-PTX]])</f>
        <v>DistributionFeederCB6_Parkview Terrace11228</v>
      </c>
      <c r="BF167" s="9">
        <f>IFERROR(IF(MIN(TIM[[#This Row],[Summ Cont Winter A]:[Cable Derating]])=0,"",MIN(TIM[[#This Row],[Summ Cont Winter A]:[Cable Derating]])),"")</f>
        <v>4.3439834253827438</v>
      </c>
      <c r="BG167" s="9">
        <f>IFERROR(TIM[[#This Row],[Lowest MVA]]*1000/(TIM[[#This Row],[Voltage]]*SQRT(3)),"")</f>
        <v>228</v>
      </c>
      <c r="BH167" s="9">
        <f t="shared" si="271"/>
        <v>228</v>
      </c>
      <c r="BI167" s="9" t="str">
        <f>TIM[[#This Row],[From]]</f>
        <v>TEGRASMERE6</v>
      </c>
      <c r="BJ167" s="9" t="str">
        <f>TIM[[#This Row],[To]]</f>
        <v>TER1RMU</v>
      </c>
      <c r="BK16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PILC SWAS</v>
      </c>
      <c r="BL167" s="9">
        <f>TIM[[#This Row],[Voltage]]</f>
        <v>11</v>
      </c>
    </row>
    <row r="168" spans="1:64" ht="15" customHeight="1" x14ac:dyDescent="0.25">
      <c r="A168" s="6" t="str">
        <f>CONCATENATE(TIM[[#This Row],[Supply Level]],TIM[[#This Row],[Station/Feeder]],TIM[[#This Row],[Voltage]])</f>
        <v>DistributionFeederCB7_Douglas St11</v>
      </c>
      <c r="B168" s="6" t="str">
        <f>CONCATENATE(TIM[[#This Row],[Supply Level]],TIM[[#This Row],[Station/Feeder]],TIM[[#This Row],[Equipment ID]],TIM[[#This Row],[Voltage]],TIM[[#This Row],[Device type]])</f>
        <v>DistributionFeederCB7_Douglas StGRM-CB711Protection</v>
      </c>
      <c r="C168" s="6" t="s">
        <v>1276</v>
      </c>
      <c r="D168" s="11" t="s">
        <v>187</v>
      </c>
      <c r="E168" s="6" t="s">
        <v>243</v>
      </c>
      <c r="F168" s="6" t="s">
        <v>902</v>
      </c>
      <c r="G168" s="27">
        <v>1</v>
      </c>
      <c r="H168" s="6" t="s">
        <v>887</v>
      </c>
      <c r="I168" s="7" t="s">
        <v>2248</v>
      </c>
      <c r="J168" s="7" t="s">
        <v>15</v>
      </c>
      <c r="K168" s="49" t="s">
        <v>791</v>
      </c>
      <c r="L168" s="49" t="s">
        <v>1423</v>
      </c>
      <c r="M168" s="8">
        <v>11</v>
      </c>
      <c r="N168" s="9">
        <v>1250</v>
      </c>
      <c r="O168" s="9">
        <f t="shared" si="0"/>
        <v>23.815698604072061</v>
      </c>
      <c r="P168" s="9">
        <v>1250</v>
      </c>
      <c r="Q168" s="9">
        <f t="shared" si="1"/>
        <v>23.815698604072061</v>
      </c>
      <c r="R168" s="9">
        <v>1250</v>
      </c>
      <c r="S168" s="9">
        <f t="shared" si="2"/>
        <v>23.815698604072061</v>
      </c>
      <c r="T168" s="9" t="s">
        <v>0</v>
      </c>
      <c r="U168" s="9" t="str">
        <f t="shared" si="3"/>
        <v>-</v>
      </c>
      <c r="V168" s="9" t="s">
        <v>0</v>
      </c>
      <c r="W168" s="9" t="str">
        <f t="shared" si="4"/>
        <v>-</v>
      </c>
      <c r="X168" s="9">
        <f>VLOOKUP(TIM[[#This Row],[Equipment ID]],AEL_Protection_Data[#All],12,0)</f>
        <v>304</v>
      </c>
      <c r="Y168" s="9">
        <f t="shared" si="5"/>
        <v>5.7919779005103251</v>
      </c>
      <c r="Z168" s="9" t="s">
        <v>0</v>
      </c>
      <c r="AA168" s="9" t="str">
        <f t="shared" si="6"/>
        <v>-</v>
      </c>
      <c r="AB168" s="9">
        <v>800</v>
      </c>
      <c r="AC168" s="9">
        <f t="shared" si="7"/>
        <v>15.242047106606121</v>
      </c>
      <c r="AD168" s="9">
        <v>800</v>
      </c>
      <c r="AE168" s="12">
        <f t="shared" si="8"/>
        <v>15.242047106606121</v>
      </c>
      <c r="AF168" s="9" t="s">
        <v>0</v>
      </c>
      <c r="AG168" s="9" t="s">
        <v>0</v>
      </c>
      <c r="AH168" s="9" t="s">
        <v>0</v>
      </c>
      <c r="AI168" s="9" t="s">
        <v>0</v>
      </c>
      <c r="AJ168" s="32" t="s">
        <v>0</v>
      </c>
      <c r="AK168" s="9" t="s">
        <v>0</v>
      </c>
      <c r="AL168" s="32" t="s">
        <v>0</v>
      </c>
      <c r="AM168" s="9" t="s">
        <v>0</v>
      </c>
      <c r="AN168" s="32" t="s">
        <v>0</v>
      </c>
      <c r="AO168" s="9" t="s">
        <v>0</v>
      </c>
      <c r="AP168" s="9" t="s">
        <v>0</v>
      </c>
      <c r="AQ168" s="32" t="s">
        <v>0</v>
      </c>
      <c r="AR168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68" s="9" t="str">
        <f t="shared" si="9"/>
        <v>-</v>
      </c>
      <c r="AT168" s="9">
        <f>IF(RIGHT(TIM[[#This Row],[Device type]],7)="Winding","-",TIM[[#This Row],[Cont Winter MVA]])</f>
        <v>23.815698604072061</v>
      </c>
      <c r="AU168" s="9">
        <f>IF(RIGHT(TIM[[#This Row],[Device type]],7)="Winding","-",TIM[[#This Row],[Cont Shoulder MVA]])</f>
        <v>23.815698604072061</v>
      </c>
      <c r="AV168" s="9">
        <f>IF(RIGHT(TIM[[#This Row],[Device type]],7)="Winding","-",TIM[[#This Row],[Cont Summer MVA]])</f>
        <v>23.815698604072061</v>
      </c>
      <c r="AW168" s="9" t="str">
        <f>TIM[[#This Row],[24 Hr Winter MVA]]</f>
        <v>-</v>
      </c>
      <c r="AX168" s="9" t="str">
        <f>TIM[[#This Row],[24 Hr Summer MVA]]</f>
        <v>-</v>
      </c>
      <c r="AY168" s="9">
        <f>TIM[[#This Row],[Forwards MVA]]</f>
        <v>5.7919779005103251</v>
      </c>
      <c r="AZ168" s="9">
        <f>TIM[[#This Row],[Relay MVA]]</f>
        <v>15.242047106606121</v>
      </c>
      <c r="BA168" s="9">
        <f>TIM[[#This Row],[CT MVA]]</f>
        <v>15.242047106606121</v>
      </c>
      <c r="BB168" s="9" t="str">
        <f>TIM[[#This Row],[Derating MVA]]</f>
        <v>-</v>
      </c>
      <c r="BC168" s="9" t="str">
        <f>TIM[[#This Row],[Station/Feeder]]&amp;TIM[[#This Row],[Lowest MVA]]</f>
        <v>CB7_Douglas St5.79197790051033</v>
      </c>
      <c r="BD168" s="9" t="str">
        <f>CONCATENATE(TIM[[#This Row],[Supply Level]],TIM[[#This Row],[Station/Feeder]],TIM[[#This Row],[Voltage]],TIM[[#This Row],[Lowest A-No PTX]])</f>
        <v>DistributionFeederCB7_Douglas St11304</v>
      </c>
      <c r="BE168" s="9" t="str">
        <f>CONCATENATE(TIM[[#This Row],[Supply Level]],TIM[[#This Row],[Station/Feeder]],TIM[[#This Row],[Voltage]],TIM[[#This Row],[Lowest A-PTX]])</f>
        <v>DistributionFeederCB7_Douglas St11304</v>
      </c>
      <c r="BF168" s="9">
        <f>IFERROR(IF(MIN(TIM[[#This Row],[Summ Cont Winter A]:[Cable Derating]])=0,"",MIN(TIM[[#This Row],[Summ Cont Winter A]:[Cable Derating]])),"")</f>
        <v>5.7919779005103251</v>
      </c>
      <c r="BG168" s="9">
        <f>IFERROR(TIM[[#This Row],[Lowest MVA]]*1000/(TIM[[#This Row],[Voltage]]*SQRT(3)),"")</f>
        <v>304</v>
      </c>
      <c r="BH168" s="9">
        <f t="shared" si="271"/>
        <v>304</v>
      </c>
      <c r="BI168" s="9" t="str">
        <f>TIM[[#This Row],[From]]</f>
        <v>11 kV Bus</v>
      </c>
      <c r="BJ168" s="9" t="str">
        <f>TIM[[#This Row],[To]]</f>
        <v>TEGRASMERE7</v>
      </c>
      <c r="BK16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Breaker-GRM-CB7-Protection</v>
      </c>
      <c r="BL168" s="9">
        <f>TIM[[#This Row],[Voltage]]</f>
        <v>11</v>
      </c>
    </row>
    <row r="169" spans="1:64" ht="15" customHeight="1" x14ac:dyDescent="0.25">
      <c r="A169" s="6" t="str">
        <f>CONCATENATE(TIM[[#This Row],[Supply Level]],TIM[[#This Row],[Station/Feeder]],TIM[[#This Row],[Voltage]])</f>
        <v>DistributionFeederCB7_Douglas St11</v>
      </c>
      <c r="B169" s="6" t="str">
        <f>CONCATENATE(TIM[[#This Row],[Supply Level]],TIM[[#This Row],[Station/Feeder]],TIM[[#This Row],[Equipment ID]],TIM[[#This Row],[Voltage]],TIM[[#This Row],[Device type]])</f>
        <v>DistributionFeederCB7_Douglas St3c 0.4in² Cu PILC STAS 11-</v>
      </c>
      <c r="C169" s="6" t="s">
        <v>1276</v>
      </c>
      <c r="D169" s="11" t="s">
        <v>187</v>
      </c>
      <c r="E169" s="6" t="s">
        <v>902</v>
      </c>
      <c r="F169" s="6" t="s">
        <v>750</v>
      </c>
      <c r="G169" s="27">
        <v>2</v>
      </c>
      <c r="H169" s="6" t="s">
        <v>888</v>
      </c>
      <c r="I169" s="7" t="s">
        <v>903</v>
      </c>
      <c r="J169" s="7" t="s">
        <v>250</v>
      </c>
      <c r="K169" s="49" t="s">
        <v>0</v>
      </c>
      <c r="L169" s="49" t="s">
        <v>0</v>
      </c>
      <c r="M169" s="8">
        <v>11</v>
      </c>
      <c r="N169" s="9">
        <v>435</v>
      </c>
      <c r="O169" s="9">
        <f t="shared" si="0"/>
        <v>8.2878631142170782</v>
      </c>
      <c r="P169" s="9">
        <v>435</v>
      </c>
      <c r="Q169" s="9">
        <f t="shared" si="1"/>
        <v>8.2878631142170782</v>
      </c>
      <c r="R169" s="9">
        <v>435</v>
      </c>
      <c r="S169" s="9">
        <f t="shared" si="2"/>
        <v>8.2878631142170782</v>
      </c>
      <c r="T169" s="9" t="s">
        <v>0</v>
      </c>
      <c r="U169" s="9" t="str">
        <f t="shared" si="3"/>
        <v>-</v>
      </c>
      <c r="V169" s="9" t="s">
        <v>0</v>
      </c>
      <c r="W169" s="9" t="str">
        <f t="shared" si="4"/>
        <v>-</v>
      </c>
      <c r="X169" s="9" t="s">
        <v>0</v>
      </c>
      <c r="Y169" s="9" t="str">
        <f t="shared" si="5"/>
        <v>-</v>
      </c>
      <c r="Z169" s="9" t="s">
        <v>0</v>
      </c>
      <c r="AA169" s="9" t="str">
        <f t="shared" si="6"/>
        <v>-</v>
      </c>
      <c r="AB169" s="9" t="s">
        <v>0</v>
      </c>
      <c r="AC169" s="9" t="str">
        <f t="shared" si="7"/>
        <v>-</v>
      </c>
      <c r="AD169" s="9" t="s">
        <v>0</v>
      </c>
      <c r="AE169" s="12" t="str">
        <f t="shared" si="8"/>
        <v>-</v>
      </c>
      <c r="AF169" s="9" t="s">
        <v>716</v>
      </c>
      <c r="AG169" s="9" t="s">
        <v>0</v>
      </c>
      <c r="AH169" s="9">
        <v>66</v>
      </c>
      <c r="AI169" s="9">
        <v>0.75</v>
      </c>
      <c r="AJ169" s="32">
        <v>1</v>
      </c>
      <c r="AK169" s="9">
        <v>18.5</v>
      </c>
      <c r="AL169" s="32">
        <v>0.95</v>
      </c>
      <c r="AM169" s="9">
        <v>1.2</v>
      </c>
      <c r="AN169" s="32">
        <v>1</v>
      </c>
      <c r="AO169" s="9">
        <v>3</v>
      </c>
      <c r="AP169" s="9">
        <v>0.3</v>
      </c>
      <c r="AQ169" s="32">
        <v>0.76</v>
      </c>
      <c r="AR169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314.07</v>
      </c>
      <c r="AS169" s="9">
        <f t="shared" si="9"/>
        <v>5.9838371684647296</v>
      </c>
      <c r="AT169" s="9">
        <f>IF(RIGHT(TIM[[#This Row],[Device type]],7)="Winding","-",TIM[[#This Row],[Cont Winter MVA]])</f>
        <v>8.2878631142170782</v>
      </c>
      <c r="AU169" s="9">
        <f>IF(RIGHT(TIM[[#This Row],[Device type]],7)="Winding","-",TIM[[#This Row],[Cont Shoulder MVA]])</f>
        <v>8.2878631142170782</v>
      </c>
      <c r="AV169" s="9">
        <f>IF(RIGHT(TIM[[#This Row],[Device type]],7)="Winding","-",TIM[[#This Row],[Cont Summer MVA]])</f>
        <v>8.2878631142170782</v>
      </c>
      <c r="AW169" s="9" t="str">
        <f>TIM[[#This Row],[24 Hr Winter MVA]]</f>
        <v>-</v>
      </c>
      <c r="AX169" s="9" t="str">
        <f>TIM[[#This Row],[24 Hr Summer MVA]]</f>
        <v>-</v>
      </c>
      <c r="AY169" s="9" t="str">
        <f>TIM[[#This Row],[Forwards MVA]]</f>
        <v>-</v>
      </c>
      <c r="AZ169" s="9" t="str">
        <f>TIM[[#This Row],[Relay MVA]]</f>
        <v>-</v>
      </c>
      <c r="BA169" s="9" t="str">
        <f>TIM[[#This Row],[CT MVA]]</f>
        <v>-</v>
      </c>
      <c r="BB169" s="9">
        <f>TIM[[#This Row],[Derating MVA]]</f>
        <v>5.9838371684647296</v>
      </c>
      <c r="BC169" s="9" t="str">
        <f>TIM[[#This Row],[Station/Feeder]]&amp;TIM[[#This Row],[Lowest MVA]]</f>
        <v>CB7_Douglas St5.98383716846473</v>
      </c>
      <c r="BD169" s="9" t="str">
        <f>CONCATENATE(TIM[[#This Row],[Supply Level]],TIM[[#This Row],[Station/Feeder]],TIM[[#This Row],[Voltage]],TIM[[#This Row],[Lowest A-No PTX]])</f>
        <v>DistributionFeederCB7_Douglas St11314.07</v>
      </c>
      <c r="BE169" s="9" t="str">
        <f>CONCATENATE(TIM[[#This Row],[Supply Level]],TIM[[#This Row],[Station/Feeder]],TIM[[#This Row],[Voltage]],TIM[[#This Row],[Lowest A-PTX]])</f>
        <v>DistributionFeederCB7_Douglas St11314.07</v>
      </c>
      <c r="BF169" s="9">
        <f>IFERROR(IF(MIN(TIM[[#This Row],[Summ Cont Winter A]:[Cable Derating]])=0,"",MIN(TIM[[#This Row],[Summ Cont Winter A]:[Cable Derating]])),"")</f>
        <v>5.9838371684647296</v>
      </c>
      <c r="BG169" s="9">
        <f>IFERROR(TIM[[#This Row],[Lowest MVA]]*1000/(TIM[[#This Row],[Voltage]]*SQRT(3)),"")</f>
        <v>314.07</v>
      </c>
      <c r="BH169" s="9">
        <f t="shared" si="271"/>
        <v>314.07</v>
      </c>
      <c r="BI169" s="9" t="str">
        <f>TIM[[#This Row],[From]]</f>
        <v>TEGRASMERE7</v>
      </c>
      <c r="BJ169" s="9" t="str">
        <f>TIM[[#This Row],[To]]</f>
        <v>Joint</v>
      </c>
      <c r="BK16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 xml:space="preserve">Cable-3c 0.4in² Cu PILC STAS </v>
      </c>
      <c r="BL169" s="9">
        <f>TIM[[#This Row],[Voltage]]</f>
        <v>11</v>
      </c>
    </row>
    <row r="170" spans="1:64" ht="15" customHeight="1" x14ac:dyDescent="0.25">
      <c r="A170" s="6" t="str">
        <f>CONCATENATE(TIM[[#This Row],[Supply Level]],TIM[[#This Row],[Station/Feeder]],TIM[[#This Row],[Voltage]])</f>
        <v>DistributionFeederCB7_Douglas St11</v>
      </c>
      <c r="B170" s="6" t="str">
        <f>CONCATENATE(TIM[[#This Row],[Supply Level]],TIM[[#This Row],[Station/Feeder]],TIM[[#This Row],[Equipment ID]],TIM[[#This Row],[Voltage]],TIM[[#This Row],[Device type]])</f>
        <v>DistributionFeederCB7_Douglas St3c 300mm² Al PILC SWAS11-</v>
      </c>
      <c r="C170" s="6" t="s">
        <v>1276</v>
      </c>
      <c r="D170" s="11" t="s">
        <v>187</v>
      </c>
      <c r="E170" s="6" t="s">
        <v>750</v>
      </c>
      <c r="F170" s="6" t="s">
        <v>750</v>
      </c>
      <c r="G170" s="27">
        <v>3</v>
      </c>
      <c r="H170" s="6" t="s">
        <v>888</v>
      </c>
      <c r="I170" s="7" t="s">
        <v>898</v>
      </c>
      <c r="J170" s="7" t="s">
        <v>250</v>
      </c>
      <c r="K170" s="49" t="s">
        <v>0</v>
      </c>
      <c r="L170" s="49" t="s">
        <v>0</v>
      </c>
      <c r="M170" s="8">
        <v>11</v>
      </c>
      <c r="N170" s="9">
        <v>390</v>
      </c>
      <c r="O170" s="9">
        <f t="shared" si="0"/>
        <v>7.4304979644704838</v>
      </c>
      <c r="P170" s="9">
        <v>390</v>
      </c>
      <c r="Q170" s="9">
        <f t="shared" si="1"/>
        <v>7.4304979644704838</v>
      </c>
      <c r="R170" s="9">
        <v>390</v>
      </c>
      <c r="S170" s="9">
        <f t="shared" si="2"/>
        <v>7.4304979644704838</v>
      </c>
      <c r="T170" s="9" t="s">
        <v>0</v>
      </c>
      <c r="U170" s="9" t="str">
        <f t="shared" si="3"/>
        <v>-</v>
      </c>
      <c r="V170" s="9" t="s">
        <v>0</v>
      </c>
      <c r="W170" s="9" t="str">
        <f t="shared" si="4"/>
        <v>-</v>
      </c>
      <c r="X170" s="9" t="s">
        <v>0</v>
      </c>
      <c r="Y170" s="9" t="str">
        <f t="shared" si="5"/>
        <v>-</v>
      </c>
      <c r="Z170" s="9" t="s">
        <v>0</v>
      </c>
      <c r="AA170" s="9" t="str">
        <f t="shared" si="6"/>
        <v>-</v>
      </c>
      <c r="AB170" s="9" t="s">
        <v>0</v>
      </c>
      <c r="AC170" s="9" t="str">
        <f t="shared" si="7"/>
        <v>-</v>
      </c>
      <c r="AD170" s="9" t="s">
        <v>0</v>
      </c>
      <c r="AE170" s="12" t="str">
        <f t="shared" si="8"/>
        <v>-</v>
      </c>
      <c r="AF170" s="9" t="s">
        <v>716</v>
      </c>
      <c r="AG170" s="9" t="s">
        <v>0</v>
      </c>
      <c r="AH170" s="9">
        <v>117.4</v>
      </c>
      <c r="AI170" s="9">
        <v>0.75</v>
      </c>
      <c r="AJ170" s="32">
        <v>1</v>
      </c>
      <c r="AK170" s="9">
        <v>18.5</v>
      </c>
      <c r="AL170" s="32">
        <v>0.95</v>
      </c>
      <c r="AM170" s="9">
        <v>1.2</v>
      </c>
      <c r="AN170" s="32">
        <v>1</v>
      </c>
      <c r="AO170" s="9">
        <v>3</v>
      </c>
      <c r="AP170" s="9">
        <v>0.3</v>
      </c>
      <c r="AQ170" s="32">
        <v>0.76</v>
      </c>
      <c r="AR170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281.58</v>
      </c>
      <c r="AS170" s="9">
        <f t="shared" si="9"/>
        <v>5.3648195303476891</v>
      </c>
      <c r="AT170" s="9">
        <f>IF(RIGHT(TIM[[#This Row],[Device type]],7)="Winding","-",TIM[[#This Row],[Cont Winter MVA]])</f>
        <v>7.4304979644704838</v>
      </c>
      <c r="AU170" s="9">
        <f>IF(RIGHT(TIM[[#This Row],[Device type]],7)="Winding","-",TIM[[#This Row],[Cont Shoulder MVA]])</f>
        <v>7.4304979644704838</v>
      </c>
      <c r="AV170" s="9">
        <f>IF(RIGHT(TIM[[#This Row],[Device type]],7)="Winding","-",TIM[[#This Row],[Cont Summer MVA]])</f>
        <v>7.4304979644704838</v>
      </c>
      <c r="AW170" s="9" t="str">
        <f>TIM[[#This Row],[24 Hr Winter MVA]]</f>
        <v>-</v>
      </c>
      <c r="AX170" s="9" t="str">
        <f>TIM[[#This Row],[24 Hr Summer MVA]]</f>
        <v>-</v>
      </c>
      <c r="AY170" s="9" t="str">
        <f>TIM[[#This Row],[Forwards MVA]]</f>
        <v>-</v>
      </c>
      <c r="AZ170" s="9" t="str">
        <f>TIM[[#This Row],[Relay MVA]]</f>
        <v>-</v>
      </c>
      <c r="BA170" s="9" t="str">
        <f>TIM[[#This Row],[CT MVA]]</f>
        <v>-</v>
      </c>
      <c r="BB170" s="9">
        <f>TIM[[#This Row],[Derating MVA]]</f>
        <v>5.3648195303476891</v>
      </c>
      <c r="BC170" s="9" t="str">
        <f>TIM[[#This Row],[Station/Feeder]]&amp;TIM[[#This Row],[Lowest MVA]]</f>
        <v>CB7_Douglas St5.36481953034769</v>
      </c>
      <c r="BD170" s="9" t="str">
        <f>CONCATENATE(TIM[[#This Row],[Supply Level]],TIM[[#This Row],[Station/Feeder]],TIM[[#This Row],[Voltage]],TIM[[#This Row],[Lowest A-No PTX]])</f>
        <v>DistributionFeederCB7_Douglas St11281.58</v>
      </c>
      <c r="BE170" s="9" t="str">
        <f>CONCATENATE(TIM[[#This Row],[Supply Level]],TIM[[#This Row],[Station/Feeder]],TIM[[#This Row],[Voltage]],TIM[[#This Row],[Lowest A-PTX]])</f>
        <v>DistributionFeederCB7_Douglas St11281.58</v>
      </c>
      <c r="BF170" s="9">
        <f>IFERROR(IF(MIN(TIM[[#This Row],[Summ Cont Winter A]:[Cable Derating]])=0,"",MIN(TIM[[#This Row],[Summ Cont Winter A]:[Cable Derating]])),"")</f>
        <v>5.3648195303476891</v>
      </c>
      <c r="BG170" s="9">
        <f>IFERROR(TIM[[#This Row],[Lowest MVA]]*1000/(TIM[[#This Row],[Voltage]]*SQRT(3)),"")</f>
        <v>281.58</v>
      </c>
      <c r="BH170" s="9">
        <f t="shared" si="271"/>
        <v>281.58</v>
      </c>
      <c r="BI170" s="9" t="str">
        <f>TIM[[#This Row],[From]]</f>
        <v>Joint</v>
      </c>
      <c r="BJ170" s="9" t="str">
        <f>TIM[[#This Row],[To]]</f>
        <v>Joint</v>
      </c>
      <c r="BK17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300mm² Al PILC SWAS</v>
      </c>
      <c r="BL170" s="9">
        <f>TIM[[#This Row],[Voltage]]</f>
        <v>11</v>
      </c>
    </row>
    <row r="171" spans="1:64" ht="15" customHeight="1" x14ac:dyDescent="0.25">
      <c r="A171" s="6" t="str">
        <f>CONCATENATE(TIM[[#This Row],[Supply Level]],TIM[[#This Row],[Station/Feeder]],TIM[[#This Row],[Voltage]])</f>
        <v>DistributionFeederCB7_Douglas St11</v>
      </c>
      <c r="B171" s="6" t="str">
        <f>CONCATENATE(TIM[[#This Row],[Supply Level]],TIM[[#This Row],[Station/Feeder]],TIM[[#This Row],[Equipment ID]],TIM[[#This Row],[Voltage]],TIM[[#This Row],[Device type]])</f>
        <v>DistributionFeederCB7_Douglas St3c 185mm² Al XLPE HDPE11-</v>
      </c>
      <c r="C171" s="6" t="s">
        <v>1276</v>
      </c>
      <c r="D171" s="11" t="s">
        <v>187</v>
      </c>
      <c r="E171" s="6" t="s">
        <v>750</v>
      </c>
      <c r="F171" s="6" t="s">
        <v>904</v>
      </c>
      <c r="G171" s="27">
        <v>4</v>
      </c>
      <c r="H171" s="6" t="s">
        <v>888</v>
      </c>
      <c r="I171" s="7" t="s">
        <v>854</v>
      </c>
      <c r="J171" s="7" t="s">
        <v>250</v>
      </c>
      <c r="K171" s="49" t="s">
        <v>0</v>
      </c>
      <c r="L171" s="49" t="s">
        <v>0</v>
      </c>
      <c r="M171" s="8">
        <v>11</v>
      </c>
      <c r="N171" s="9">
        <v>320</v>
      </c>
      <c r="O171" s="9">
        <f t="shared" si="0"/>
        <v>6.0968188426424472</v>
      </c>
      <c r="P171" s="9">
        <v>320</v>
      </c>
      <c r="Q171" s="9">
        <f t="shared" si="1"/>
        <v>6.0968188426424472</v>
      </c>
      <c r="R171" s="9">
        <v>320</v>
      </c>
      <c r="S171" s="9">
        <f t="shared" si="2"/>
        <v>6.0968188426424472</v>
      </c>
      <c r="T171" s="9" t="s">
        <v>0</v>
      </c>
      <c r="U171" s="9" t="str">
        <f t="shared" si="3"/>
        <v>-</v>
      </c>
      <c r="V171" s="9" t="s">
        <v>0</v>
      </c>
      <c r="W171" s="9" t="str">
        <f t="shared" si="4"/>
        <v>-</v>
      </c>
      <c r="X171" s="9" t="s">
        <v>0</v>
      </c>
      <c r="Y171" s="9" t="str">
        <f t="shared" si="5"/>
        <v>-</v>
      </c>
      <c r="Z171" s="9" t="s">
        <v>0</v>
      </c>
      <c r="AA171" s="9" t="str">
        <f t="shared" si="6"/>
        <v>-</v>
      </c>
      <c r="AB171" s="9" t="s">
        <v>0</v>
      </c>
      <c r="AC171" s="9" t="str">
        <f t="shared" si="7"/>
        <v>-</v>
      </c>
      <c r="AD171" s="9" t="s">
        <v>0</v>
      </c>
      <c r="AE171" s="12" t="str">
        <f t="shared" si="8"/>
        <v>-</v>
      </c>
      <c r="AF171" s="9" t="s">
        <v>716</v>
      </c>
      <c r="AG171" s="9" t="s">
        <v>0</v>
      </c>
      <c r="AH171" s="9">
        <v>281.2</v>
      </c>
      <c r="AI171" s="9">
        <v>0.75</v>
      </c>
      <c r="AJ171" s="32">
        <v>1</v>
      </c>
      <c r="AK171" s="9">
        <v>18.5</v>
      </c>
      <c r="AL171" s="32">
        <v>0.97</v>
      </c>
      <c r="AM171" s="9">
        <v>1.2</v>
      </c>
      <c r="AN171" s="32">
        <v>1</v>
      </c>
      <c r="AO171" s="9">
        <v>3</v>
      </c>
      <c r="AP171" s="9">
        <v>0.3</v>
      </c>
      <c r="AQ171" s="32">
        <v>0.76</v>
      </c>
      <c r="AR171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235.904</v>
      </c>
      <c r="AS171" s="9">
        <f t="shared" si="9"/>
        <v>4.4945748507960124</v>
      </c>
      <c r="AT171" s="9">
        <f>IF(RIGHT(TIM[[#This Row],[Device type]],7)="Winding","-",TIM[[#This Row],[Cont Winter MVA]])</f>
        <v>6.0968188426424472</v>
      </c>
      <c r="AU171" s="9">
        <f>IF(RIGHT(TIM[[#This Row],[Device type]],7)="Winding","-",TIM[[#This Row],[Cont Shoulder MVA]])</f>
        <v>6.0968188426424472</v>
      </c>
      <c r="AV171" s="9">
        <f>IF(RIGHT(TIM[[#This Row],[Device type]],7)="Winding","-",TIM[[#This Row],[Cont Summer MVA]])</f>
        <v>6.0968188426424472</v>
      </c>
      <c r="AW171" s="9" t="str">
        <f>TIM[[#This Row],[24 Hr Winter MVA]]</f>
        <v>-</v>
      </c>
      <c r="AX171" s="9" t="str">
        <f>TIM[[#This Row],[24 Hr Summer MVA]]</f>
        <v>-</v>
      </c>
      <c r="AY171" s="9" t="str">
        <f>TIM[[#This Row],[Forwards MVA]]</f>
        <v>-</v>
      </c>
      <c r="AZ171" s="9" t="str">
        <f>TIM[[#This Row],[Relay MVA]]</f>
        <v>-</v>
      </c>
      <c r="BA171" s="9" t="str">
        <f>TIM[[#This Row],[CT MVA]]</f>
        <v>-</v>
      </c>
      <c r="BB171" s="9">
        <f>TIM[[#This Row],[Derating MVA]]</f>
        <v>4.4945748507960124</v>
      </c>
      <c r="BC171" s="9" t="str">
        <f>TIM[[#This Row],[Station/Feeder]]&amp;TIM[[#This Row],[Lowest MVA]]</f>
        <v>CB7_Douglas St4.49457485079601</v>
      </c>
      <c r="BD171" s="9" t="str">
        <f>CONCATENATE(TIM[[#This Row],[Supply Level]],TIM[[#This Row],[Station/Feeder]],TIM[[#This Row],[Voltage]],TIM[[#This Row],[Lowest A-No PTX]])</f>
        <v>DistributionFeederCB7_Douglas St11235.904</v>
      </c>
      <c r="BE171" s="9" t="str">
        <f>CONCATENATE(TIM[[#This Row],[Supply Level]],TIM[[#This Row],[Station/Feeder]],TIM[[#This Row],[Voltage]],TIM[[#This Row],[Lowest A-PTX]])</f>
        <v>DistributionFeederCB7_Douglas St11235.904</v>
      </c>
      <c r="BF171" s="9">
        <f>IFERROR(IF(MIN(TIM[[#This Row],[Summ Cont Winter A]:[Cable Derating]])=0,"",MIN(TIM[[#This Row],[Summ Cont Winter A]:[Cable Derating]])),"")</f>
        <v>4.4945748507960124</v>
      </c>
      <c r="BG171" s="9">
        <f>IFERROR(TIM[[#This Row],[Lowest MVA]]*1000/(TIM[[#This Row],[Voltage]]*SQRT(3)),"")</f>
        <v>235.904</v>
      </c>
      <c r="BH171" s="9">
        <f t="shared" si="271"/>
        <v>235.904</v>
      </c>
      <c r="BI171" s="9" t="str">
        <f>TIM[[#This Row],[From]]</f>
        <v>Joint</v>
      </c>
      <c r="BJ171" s="9" t="str">
        <f>TIM[[#This Row],[To]]</f>
        <v>TEF13 RMU</v>
      </c>
      <c r="BK17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XLPE HDPE</v>
      </c>
      <c r="BL171" s="9">
        <f>TIM[[#This Row],[Voltage]]</f>
        <v>11</v>
      </c>
    </row>
    <row r="172" spans="1:64" ht="15" hidden="1" customHeight="1" x14ac:dyDescent="0.25">
      <c r="A172" s="6" t="str">
        <f>CONCATENATE(TIM[[#This Row],[Supply Level]],TIM[[#This Row],[Station/Feeder]],TIM[[#This Row],[Voltage]])</f>
        <v>SubTransmissionCB9_GRM-NST A11</v>
      </c>
      <c r="B172" s="6" t="str">
        <f>CONCATENATE(TIM[[#This Row],[Supply Level]],TIM[[#This Row],[Station/Feeder]],TIM[[#This Row],[Equipment ID]],TIM[[#This Row],[Voltage]],TIM[[#This Row],[Device type]])</f>
        <v>SubTransmissionCB9_GRM-NST AGRM-CB911Protection</v>
      </c>
      <c r="C172" s="6" t="s">
        <v>1245</v>
      </c>
      <c r="D172" s="6" t="s">
        <v>1330</v>
      </c>
      <c r="E172" s="6" t="s">
        <v>243</v>
      </c>
      <c r="F172" s="6" t="s">
        <v>905</v>
      </c>
      <c r="G172" s="8">
        <v>1</v>
      </c>
      <c r="H172" s="6" t="s">
        <v>887</v>
      </c>
      <c r="I172" s="6" t="s">
        <v>2332</v>
      </c>
      <c r="J172" s="6" t="s">
        <v>15</v>
      </c>
      <c r="K172" s="6" t="s">
        <v>791</v>
      </c>
      <c r="L172" s="6" t="s">
        <v>1423</v>
      </c>
      <c r="M172" s="8">
        <v>11</v>
      </c>
      <c r="N172" s="9">
        <v>2500</v>
      </c>
      <c r="O172" s="9">
        <f t="shared" ref="O172:O175" si="282">IF(OR(N172="",N172="-"),"-",N172*$M172*SQRT(3)/1000)</f>
        <v>47.631397208144122</v>
      </c>
      <c r="P172" s="9">
        <v>2500</v>
      </c>
      <c r="Q172" s="9">
        <f t="shared" ref="Q172:Q175" si="283">IF(OR(P172="",P172="-"),"-",P172*$M172*SQRT(3)/1000)</f>
        <v>47.631397208144122</v>
      </c>
      <c r="R172" s="9">
        <v>2500</v>
      </c>
      <c r="S172" s="9">
        <f t="shared" ref="S172:S175" si="284">IF(OR(R172="",R172="-"),"-",R172*$M172*SQRT(3)/1000)</f>
        <v>47.631397208144122</v>
      </c>
      <c r="T172" s="9" t="s">
        <v>0</v>
      </c>
      <c r="U172" s="9" t="str">
        <f t="shared" ref="U172:U175" si="285">IF(OR(T172="",T172="-"),"-",T172*$M172*SQRT(3)/1000)</f>
        <v>-</v>
      </c>
      <c r="V172" s="9" t="s">
        <v>0</v>
      </c>
      <c r="W172" s="9" t="str">
        <f t="shared" ref="W172:W175" si="286">IF(OR(V172="",V172="-"),"-",V172*$M172*SQRT(3)/1000)</f>
        <v>-</v>
      </c>
      <c r="X172" s="9">
        <f>VLOOKUP(TIM[[#This Row],[Equipment ID]],AEL_Protection_Data[#All],12,0)</f>
        <v>400</v>
      </c>
      <c r="Y172" s="9">
        <f t="shared" ref="Y172:Y175" si="287">IF(OR(X172="",X172="-"),"-",X172*$M172*SQRT(3)/1000)</f>
        <v>7.6210235533030604</v>
      </c>
      <c r="Z172" s="9" t="s">
        <v>0</v>
      </c>
      <c r="AA172" s="9" t="str">
        <f t="shared" ref="AA172:AA175" si="288">IF(OR(Z172="",Z172="-"),"-",Z172*$M172*SQRT(3)/1000)</f>
        <v>-</v>
      </c>
      <c r="AB172" s="9">
        <v>800</v>
      </c>
      <c r="AC172" s="9">
        <f t="shared" ref="AC172:AC175" si="289">IF(OR(AB172="",AB172="-"),"-",AB172*$M172*SQRT(3)/1000)</f>
        <v>15.242047106606121</v>
      </c>
      <c r="AD172" s="9">
        <v>800</v>
      </c>
      <c r="AE172" s="9">
        <f t="shared" ref="AE172:AE175" si="290">IF(OR(AD172="",AD172="-"),"-",AD172*$M172*SQRT(3)/1000)</f>
        <v>15.242047106606121</v>
      </c>
      <c r="AF172" s="9" t="s">
        <v>0</v>
      </c>
      <c r="AG172" s="9" t="s">
        <v>0</v>
      </c>
      <c r="AH172" s="9" t="s">
        <v>0</v>
      </c>
      <c r="AI172" s="9" t="s">
        <v>0</v>
      </c>
      <c r="AJ172" s="43" t="s">
        <v>0</v>
      </c>
      <c r="AK172" s="9" t="s">
        <v>0</v>
      </c>
      <c r="AL172" s="43" t="s">
        <v>0</v>
      </c>
      <c r="AM172" s="9" t="s">
        <v>0</v>
      </c>
      <c r="AN172" s="43" t="s">
        <v>0</v>
      </c>
      <c r="AO172" s="9" t="s">
        <v>0</v>
      </c>
      <c r="AP172" s="9" t="s">
        <v>0</v>
      </c>
      <c r="AQ172" s="43" t="s">
        <v>0</v>
      </c>
      <c r="AR172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72" s="9" t="str">
        <f t="shared" ref="AS172:AS175" si="291">IF(OR(AR172="",AR172="-"),"-",AR172*$M172*SQRT(3)/1000)</f>
        <v>-</v>
      </c>
      <c r="AT172" s="9">
        <f>IF(RIGHT(TIM[[#This Row],[Device type]],7)="Winding","-",TIM[[#This Row],[Cont Winter MVA]])</f>
        <v>47.631397208144122</v>
      </c>
      <c r="AU172" s="9">
        <f>IF(RIGHT(TIM[[#This Row],[Device type]],7)="Winding","-",TIM[[#This Row],[Cont Shoulder MVA]])</f>
        <v>47.631397208144122</v>
      </c>
      <c r="AV172" s="9">
        <f>IF(RIGHT(TIM[[#This Row],[Device type]],7)="Winding","-",TIM[[#This Row],[Cont Summer MVA]])</f>
        <v>47.631397208144122</v>
      </c>
      <c r="AW172" s="9" t="str">
        <f>TIM[[#This Row],[24 Hr Winter MVA]]</f>
        <v>-</v>
      </c>
      <c r="AX172" s="9" t="str">
        <f>TIM[[#This Row],[24 Hr Summer MVA]]</f>
        <v>-</v>
      </c>
      <c r="AY172" s="9">
        <f>TIM[[#This Row],[Forwards MVA]]</f>
        <v>7.6210235533030604</v>
      </c>
      <c r="AZ172" s="9">
        <f>TIM[[#This Row],[Relay MVA]]</f>
        <v>15.242047106606121</v>
      </c>
      <c r="BA172" s="9">
        <f>TIM[[#This Row],[CT MVA]]</f>
        <v>15.242047106606121</v>
      </c>
      <c r="BB172" s="9" t="str">
        <f>TIM[[#This Row],[Derating MVA]]</f>
        <v>-</v>
      </c>
      <c r="BC172" s="9" t="str">
        <f>TIM[[#This Row],[Station/Feeder]]&amp;TIM[[#This Row],[Lowest MVA]]</f>
        <v>CB9_GRM-NST A7.62102355330306</v>
      </c>
      <c r="BD172" s="9" t="str">
        <f>CONCATENATE(TIM[[#This Row],[Supply Level]],TIM[[#This Row],[Station/Feeder]],TIM[[#This Row],[Voltage]],TIM[[#This Row],[Lowest A-No PTX]])</f>
        <v>SubTransmissionCB9_GRM-NST A11400</v>
      </c>
      <c r="BE172" s="9" t="str">
        <f>CONCATENATE(TIM[[#This Row],[Supply Level]],TIM[[#This Row],[Station/Feeder]],TIM[[#This Row],[Voltage]],TIM[[#This Row],[Lowest A-PTX]])</f>
        <v>SubTransmissionCB9_GRM-NST A11400</v>
      </c>
      <c r="BF172" s="9">
        <f>IFERROR(IF(MIN(TIM[[#This Row],[Summ Cont Winter A]:[Cable Derating]])=0,"",MIN(TIM[[#This Row],[Summ Cont Winter A]:[Cable Derating]])),"")</f>
        <v>7.6210235533030604</v>
      </c>
      <c r="BG172" s="9">
        <f>IFERROR(TIM[[#This Row],[Lowest MVA]]*1000/(TIM[[#This Row],[Voltage]]*SQRT(3)),"")</f>
        <v>400</v>
      </c>
      <c r="BH172" s="9">
        <f t="shared" si="271"/>
        <v>400</v>
      </c>
      <c r="BI172" s="9" t="str">
        <f>TIM[[#This Row],[From]]</f>
        <v>11 kV Bus</v>
      </c>
      <c r="BJ172" s="9" t="str">
        <f>TIM[[#This Row],[To]]</f>
        <v xml:space="preserve">TEGRASMERE9 </v>
      </c>
      <c r="BK17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Breaker-GRM-CB9-Protection</v>
      </c>
      <c r="BL172" s="9">
        <f>TIM[[#This Row],[Voltage]]</f>
        <v>11</v>
      </c>
    </row>
    <row r="173" spans="1:64" ht="15" hidden="1" customHeight="1" x14ac:dyDescent="0.25">
      <c r="A173" s="6" t="str">
        <f>CONCATENATE(TIM[[#This Row],[Supply Level]],TIM[[#This Row],[Station/Feeder]],TIM[[#This Row],[Voltage]])</f>
        <v>SubTransmissionCB9_GRM-NST A11</v>
      </c>
      <c r="B173" s="6" t="str">
        <f>CONCATENATE(TIM[[#This Row],[Supply Level]],TIM[[#This Row],[Station/Feeder]],TIM[[#This Row],[Equipment ID]],TIM[[#This Row],[Voltage]],TIM[[#This Row],[Device type]])</f>
        <v>SubTransmissionCB9_GRM-NST A3c 400mm² AL11-</v>
      </c>
      <c r="C173" s="6" t="s">
        <v>1245</v>
      </c>
      <c r="D173" s="6" t="s">
        <v>1330</v>
      </c>
      <c r="E173" s="6" t="s">
        <v>905</v>
      </c>
      <c r="F173" s="6" t="s">
        <v>750</v>
      </c>
      <c r="G173" s="8">
        <v>2</v>
      </c>
      <c r="H173" s="6" t="s">
        <v>888</v>
      </c>
      <c r="I173" s="6" t="s">
        <v>921</v>
      </c>
      <c r="J173" s="6" t="s">
        <v>250</v>
      </c>
      <c r="K173" s="6" t="s">
        <v>0</v>
      </c>
      <c r="L173" s="6" t="s">
        <v>0</v>
      </c>
      <c r="M173" s="8">
        <v>11</v>
      </c>
      <c r="N173" s="9">
        <v>537</v>
      </c>
      <c r="O173" s="9">
        <f t="shared" si="282"/>
        <v>10.231224120309358</v>
      </c>
      <c r="P173" s="9">
        <v>537</v>
      </c>
      <c r="Q173" s="9">
        <f t="shared" si="283"/>
        <v>10.231224120309358</v>
      </c>
      <c r="R173" s="9">
        <v>537</v>
      </c>
      <c r="S173" s="9">
        <f t="shared" si="284"/>
        <v>10.231224120309358</v>
      </c>
      <c r="T173" s="9" t="s">
        <v>0</v>
      </c>
      <c r="U173" s="9" t="str">
        <f t="shared" si="285"/>
        <v>-</v>
      </c>
      <c r="V173" s="9" t="s">
        <v>0</v>
      </c>
      <c r="W173" s="9" t="str">
        <f t="shared" si="286"/>
        <v>-</v>
      </c>
      <c r="X173" s="9" t="s">
        <v>0</v>
      </c>
      <c r="Y173" s="9" t="str">
        <f t="shared" si="287"/>
        <v>-</v>
      </c>
      <c r="Z173" s="9" t="s">
        <v>0</v>
      </c>
      <c r="AA173" s="9" t="str">
        <f t="shared" si="288"/>
        <v>-</v>
      </c>
      <c r="AB173" s="9" t="s">
        <v>0</v>
      </c>
      <c r="AC173" s="9" t="str">
        <f t="shared" si="289"/>
        <v>-</v>
      </c>
      <c r="AD173" s="9" t="s">
        <v>0</v>
      </c>
      <c r="AE173" s="9" t="str">
        <f t="shared" si="290"/>
        <v>-</v>
      </c>
      <c r="AF173" s="9" t="s">
        <v>716</v>
      </c>
      <c r="AG173" s="9" t="s">
        <v>0</v>
      </c>
      <c r="AH173" s="9">
        <v>7.2</v>
      </c>
      <c r="AI173" s="9">
        <v>0.85</v>
      </c>
      <c r="AJ173" s="43">
        <v>1.03</v>
      </c>
      <c r="AK173" s="9">
        <v>18.5</v>
      </c>
      <c r="AL173" s="43">
        <v>0.95</v>
      </c>
      <c r="AM173" s="9">
        <v>1.2</v>
      </c>
      <c r="AN173" s="43">
        <v>1</v>
      </c>
      <c r="AO173" s="9">
        <v>3</v>
      </c>
      <c r="AP173" s="9">
        <v>0.34</v>
      </c>
      <c r="AQ173" s="43">
        <v>0.8</v>
      </c>
      <c r="AR173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420.36359999999996</v>
      </c>
      <c r="AS173" s="9">
        <f t="shared" si="291"/>
        <v>8.0090022413781643</v>
      </c>
      <c r="AT173" s="9">
        <f>IF(RIGHT(TIM[[#This Row],[Device type]],7)="Winding","-",TIM[[#This Row],[Cont Winter MVA]])</f>
        <v>10.231224120309358</v>
      </c>
      <c r="AU173" s="9">
        <f>IF(RIGHT(TIM[[#This Row],[Device type]],7)="Winding","-",TIM[[#This Row],[Cont Shoulder MVA]])</f>
        <v>10.231224120309358</v>
      </c>
      <c r="AV173" s="9">
        <f>IF(RIGHT(TIM[[#This Row],[Device type]],7)="Winding","-",TIM[[#This Row],[Cont Summer MVA]])</f>
        <v>10.231224120309358</v>
      </c>
      <c r="AW173" s="9" t="str">
        <f>TIM[[#This Row],[24 Hr Winter MVA]]</f>
        <v>-</v>
      </c>
      <c r="AX173" s="9" t="str">
        <f>TIM[[#This Row],[24 Hr Summer MVA]]</f>
        <v>-</v>
      </c>
      <c r="AY173" s="9" t="str">
        <f>TIM[[#This Row],[Forwards MVA]]</f>
        <v>-</v>
      </c>
      <c r="AZ173" s="9" t="str">
        <f>TIM[[#This Row],[Relay MVA]]</f>
        <v>-</v>
      </c>
      <c r="BA173" s="9" t="str">
        <f>TIM[[#This Row],[CT MVA]]</f>
        <v>-</v>
      </c>
      <c r="BB173" s="9">
        <f>TIM[[#This Row],[Derating MVA]]</f>
        <v>8.0090022413781643</v>
      </c>
      <c r="BC173" s="9" t="str">
        <f>TIM[[#This Row],[Station/Feeder]]&amp;TIM[[#This Row],[Lowest MVA]]</f>
        <v>CB9_GRM-NST A8.00900224137816</v>
      </c>
      <c r="BD173" s="9" t="str">
        <f>CONCATENATE(TIM[[#This Row],[Supply Level]],TIM[[#This Row],[Station/Feeder]],TIM[[#This Row],[Voltage]],TIM[[#This Row],[Lowest A-No PTX]])</f>
        <v>SubTransmissionCB9_GRM-NST A11420.3636</v>
      </c>
      <c r="BE173" s="9" t="str">
        <f>CONCATENATE(TIM[[#This Row],[Supply Level]],TIM[[#This Row],[Station/Feeder]],TIM[[#This Row],[Voltage]],TIM[[#This Row],[Lowest A-PTX]])</f>
        <v>SubTransmissionCB9_GRM-NST A11420.3636</v>
      </c>
      <c r="BF173" s="9">
        <f>IFERROR(IF(MIN(TIM[[#This Row],[Summ Cont Winter A]:[Cable Derating]])=0,"",MIN(TIM[[#This Row],[Summ Cont Winter A]:[Cable Derating]])),"")</f>
        <v>8.0090022413781643</v>
      </c>
      <c r="BG173" s="9">
        <f>IFERROR(TIM[[#This Row],[Lowest MVA]]*1000/(TIM[[#This Row],[Voltage]]*SQRT(3)),"")</f>
        <v>420.36359999999996</v>
      </c>
      <c r="BH173" s="9">
        <f t="shared" si="271"/>
        <v>420.36359999999996</v>
      </c>
      <c r="BI173" s="9" t="str">
        <f>TIM[[#This Row],[From]]</f>
        <v xml:space="preserve">TEGRASMERE9 </v>
      </c>
      <c r="BJ173" s="9" t="str">
        <f>TIM[[#This Row],[To]]</f>
        <v>Joint</v>
      </c>
      <c r="BK17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400mm² AL</v>
      </c>
      <c r="BL173" s="9">
        <f>TIM[[#This Row],[Voltage]]</f>
        <v>11</v>
      </c>
    </row>
    <row r="174" spans="1:64" ht="15" hidden="1" customHeight="1" x14ac:dyDescent="0.25">
      <c r="A174" s="6" t="str">
        <f>CONCATENATE(TIM[[#This Row],[Supply Level]],TIM[[#This Row],[Station/Feeder]],TIM[[#This Row],[Voltage]])</f>
        <v>SubTransmissionCB9_GRM-NST A11</v>
      </c>
      <c r="B174" s="6" t="str">
        <f>CONCATENATE(TIM[[#This Row],[Supply Level]],TIM[[#This Row],[Station/Feeder]],TIM[[#This Row],[Equipment ID]],TIM[[#This Row],[Voltage]],TIM[[#This Row],[Device type]])</f>
        <v>SubTransmissionCB9_GRM-NST A3c 0.3in² Cu PILC STAS11-</v>
      </c>
      <c r="C174" s="6" t="s">
        <v>1245</v>
      </c>
      <c r="D174" s="6" t="s">
        <v>1330</v>
      </c>
      <c r="E174" s="6" t="s">
        <v>750</v>
      </c>
      <c r="F174" s="6" t="s">
        <v>750</v>
      </c>
      <c r="G174" s="8">
        <v>3</v>
      </c>
      <c r="H174" s="6" t="s">
        <v>888</v>
      </c>
      <c r="I174" s="6" t="s">
        <v>907</v>
      </c>
      <c r="J174" s="6" t="s">
        <v>250</v>
      </c>
      <c r="K174" s="6" t="s">
        <v>0</v>
      </c>
      <c r="L174" s="6" t="s">
        <v>0</v>
      </c>
      <c r="M174" s="8">
        <v>11</v>
      </c>
      <c r="N174" s="9">
        <v>380</v>
      </c>
      <c r="O174" s="9">
        <f t="shared" si="282"/>
        <v>7.2399723756379064</v>
      </c>
      <c r="P174" s="9">
        <v>380</v>
      </c>
      <c r="Q174" s="9">
        <f t="shared" si="283"/>
        <v>7.2399723756379064</v>
      </c>
      <c r="R174" s="9">
        <v>380</v>
      </c>
      <c r="S174" s="9">
        <f t="shared" si="284"/>
        <v>7.2399723756379064</v>
      </c>
      <c r="T174" s="9" t="s">
        <v>0</v>
      </c>
      <c r="U174" s="9" t="str">
        <f t="shared" si="285"/>
        <v>-</v>
      </c>
      <c r="V174" s="9" t="s">
        <v>0</v>
      </c>
      <c r="W174" s="9" t="str">
        <f t="shared" si="286"/>
        <v>-</v>
      </c>
      <c r="X174" s="9" t="s">
        <v>0</v>
      </c>
      <c r="Y174" s="9" t="str">
        <f t="shared" si="287"/>
        <v>-</v>
      </c>
      <c r="Z174" s="9" t="s">
        <v>0</v>
      </c>
      <c r="AA174" s="9" t="str">
        <f t="shared" si="288"/>
        <v>-</v>
      </c>
      <c r="AB174" s="9" t="s">
        <v>0</v>
      </c>
      <c r="AC174" s="9" t="str">
        <f t="shared" si="289"/>
        <v>-</v>
      </c>
      <c r="AD174" s="9" t="s">
        <v>0</v>
      </c>
      <c r="AE174" s="9" t="str">
        <f t="shared" si="290"/>
        <v>-</v>
      </c>
      <c r="AF174" s="9" t="s">
        <v>716</v>
      </c>
      <c r="AG174" s="9" t="s">
        <v>0</v>
      </c>
      <c r="AH174" s="9">
        <v>3032.2000000000003</v>
      </c>
      <c r="AI174" s="9">
        <v>0.85</v>
      </c>
      <c r="AJ174" s="43">
        <v>1.03</v>
      </c>
      <c r="AK174" s="9">
        <v>18.5</v>
      </c>
      <c r="AL174" s="43">
        <v>0.95</v>
      </c>
      <c r="AM174" s="9">
        <v>1.2</v>
      </c>
      <c r="AN174" s="43">
        <v>1</v>
      </c>
      <c r="AO174" s="9">
        <v>3</v>
      </c>
      <c r="AP174" s="9">
        <v>0.34</v>
      </c>
      <c r="AQ174" s="43">
        <v>0.8</v>
      </c>
      <c r="AR174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297.464</v>
      </c>
      <c r="AS174" s="9">
        <f t="shared" si="291"/>
        <v>5.6674503756493531</v>
      </c>
      <c r="AT174" s="9">
        <f>IF(RIGHT(TIM[[#This Row],[Device type]],7)="Winding","-",TIM[[#This Row],[Cont Winter MVA]])</f>
        <v>7.2399723756379064</v>
      </c>
      <c r="AU174" s="9">
        <f>IF(RIGHT(TIM[[#This Row],[Device type]],7)="Winding","-",TIM[[#This Row],[Cont Shoulder MVA]])</f>
        <v>7.2399723756379064</v>
      </c>
      <c r="AV174" s="9">
        <f>IF(RIGHT(TIM[[#This Row],[Device type]],7)="Winding","-",TIM[[#This Row],[Cont Summer MVA]])</f>
        <v>7.2399723756379064</v>
      </c>
      <c r="AW174" s="9" t="str">
        <f>TIM[[#This Row],[24 Hr Winter MVA]]</f>
        <v>-</v>
      </c>
      <c r="AX174" s="9" t="str">
        <f>TIM[[#This Row],[24 Hr Summer MVA]]</f>
        <v>-</v>
      </c>
      <c r="AY174" s="9" t="str">
        <f>TIM[[#This Row],[Forwards MVA]]</f>
        <v>-</v>
      </c>
      <c r="AZ174" s="9" t="str">
        <f>TIM[[#This Row],[Relay MVA]]</f>
        <v>-</v>
      </c>
      <c r="BA174" s="9" t="str">
        <f>TIM[[#This Row],[CT MVA]]</f>
        <v>-</v>
      </c>
      <c r="BB174" s="9">
        <f>TIM[[#This Row],[Derating MVA]]</f>
        <v>5.6674503756493531</v>
      </c>
      <c r="BC174" s="9" t="str">
        <f>TIM[[#This Row],[Station/Feeder]]&amp;TIM[[#This Row],[Lowest MVA]]</f>
        <v>CB9_GRM-NST A5.66745037564935</v>
      </c>
      <c r="BD174" s="9" t="str">
        <f>CONCATENATE(TIM[[#This Row],[Supply Level]],TIM[[#This Row],[Station/Feeder]],TIM[[#This Row],[Voltage]],TIM[[#This Row],[Lowest A-No PTX]])</f>
        <v>SubTransmissionCB9_GRM-NST A11297.464</v>
      </c>
      <c r="BE174" s="9" t="str">
        <f>CONCATENATE(TIM[[#This Row],[Supply Level]],TIM[[#This Row],[Station/Feeder]],TIM[[#This Row],[Voltage]],TIM[[#This Row],[Lowest A-PTX]])</f>
        <v>SubTransmissionCB9_GRM-NST A11297.464</v>
      </c>
      <c r="BF174" s="9">
        <f>IFERROR(IF(MIN(TIM[[#This Row],[Summ Cont Winter A]:[Cable Derating]])=0,"",MIN(TIM[[#This Row],[Summ Cont Winter A]:[Cable Derating]])),"")</f>
        <v>5.6674503756493531</v>
      </c>
      <c r="BG174" s="9">
        <f>IFERROR(TIM[[#This Row],[Lowest MVA]]*1000/(TIM[[#This Row],[Voltage]]*SQRT(3)),"")</f>
        <v>297.464</v>
      </c>
      <c r="BH174" s="9">
        <f t="shared" si="271"/>
        <v>297.464</v>
      </c>
      <c r="BI174" s="9" t="str">
        <f>TIM[[#This Row],[From]]</f>
        <v>Joint</v>
      </c>
      <c r="BJ174" s="9" t="str">
        <f>TIM[[#This Row],[To]]</f>
        <v>Joint</v>
      </c>
      <c r="BK17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0.3in² Cu PILC STAS</v>
      </c>
      <c r="BL174" s="9">
        <f>TIM[[#This Row],[Voltage]]</f>
        <v>11</v>
      </c>
    </row>
    <row r="175" spans="1:64" ht="15" hidden="1" customHeight="1" x14ac:dyDescent="0.25">
      <c r="A175" s="6" t="str">
        <f>CONCATENATE(TIM[[#This Row],[Supply Level]],TIM[[#This Row],[Station/Feeder]],TIM[[#This Row],[Voltage]])</f>
        <v>SubTransmissionCB9_GRM-NST A11</v>
      </c>
      <c r="B175" s="6" t="str">
        <f>CONCATENATE(TIM[[#This Row],[Supply Level]],TIM[[#This Row],[Station/Feeder]],TIM[[#This Row],[Equipment ID]],TIM[[#This Row],[Voltage]],TIM[[#This Row],[Device type]])</f>
        <v>SubTransmissionCB9_GRM-NST A3/1c 400mm² AL XLPE HDPE Screened11-</v>
      </c>
      <c r="C175" s="6" t="s">
        <v>1245</v>
      </c>
      <c r="D175" s="6" t="s">
        <v>1330</v>
      </c>
      <c r="E175" s="6" t="s">
        <v>750</v>
      </c>
      <c r="F175" s="6" t="s">
        <v>908</v>
      </c>
      <c r="G175" s="8">
        <v>4</v>
      </c>
      <c r="H175" s="6" t="s">
        <v>888</v>
      </c>
      <c r="I175" s="6" t="s">
        <v>819</v>
      </c>
      <c r="J175" s="6" t="s">
        <v>250</v>
      </c>
      <c r="K175" s="6" t="s">
        <v>0</v>
      </c>
      <c r="L175" s="6" t="s">
        <v>0</v>
      </c>
      <c r="M175" s="8">
        <v>11</v>
      </c>
      <c r="N175" s="9">
        <v>537</v>
      </c>
      <c r="O175" s="9">
        <f t="shared" si="282"/>
        <v>10.231224120309358</v>
      </c>
      <c r="P175" s="9">
        <v>537</v>
      </c>
      <c r="Q175" s="9">
        <f t="shared" si="283"/>
        <v>10.231224120309358</v>
      </c>
      <c r="R175" s="9">
        <v>537</v>
      </c>
      <c r="S175" s="9">
        <f t="shared" si="284"/>
        <v>10.231224120309358</v>
      </c>
      <c r="T175" s="9" t="s">
        <v>0</v>
      </c>
      <c r="U175" s="9" t="str">
        <f t="shared" si="285"/>
        <v>-</v>
      </c>
      <c r="V175" s="9" t="s">
        <v>0</v>
      </c>
      <c r="W175" s="9" t="str">
        <f t="shared" si="286"/>
        <v>-</v>
      </c>
      <c r="X175" s="9" t="s">
        <v>0</v>
      </c>
      <c r="Y175" s="9" t="str">
        <f t="shared" si="287"/>
        <v>-</v>
      </c>
      <c r="Z175" s="9" t="s">
        <v>0</v>
      </c>
      <c r="AA175" s="9" t="str">
        <f t="shared" si="288"/>
        <v>-</v>
      </c>
      <c r="AB175" s="9" t="s">
        <v>0</v>
      </c>
      <c r="AC175" s="9" t="str">
        <f t="shared" si="289"/>
        <v>-</v>
      </c>
      <c r="AD175" s="9" t="s">
        <v>0</v>
      </c>
      <c r="AE175" s="9" t="str">
        <f t="shared" si="290"/>
        <v>-</v>
      </c>
      <c r="AF175" s="9" t="s">
        <v>713</v>
      </c>
      <c r="AG175" s="9" t="s">
        <v>0</v>
      </c>
      <c r="AH175" s="9">
        <v>66.8</v>
      </c>
      <c r="AI175" s="9">
        <v>0.85</v>
      </c>
      <c r="AJ175" s="43">
        <v>1.03</v>
      </c>
      <c r="AK175" s="9">
        <v>18.5</v>
      </c>
      <c r="AL175" s="43">
        <v>0.95</v>
      </c>
      <c r="AM175" s="9">
        <v>1.2</v>
      </c>
      <c r="AN175" s="43">
        <v>1</v>
      </c>
      <c r="AO175" s="9">
        <v>3</v>
      </c>
      <c r="AP175" s="9">
        <v>0.34</v>
      </c>
      <c r="AQ175" s="43">
        <v>0.8</v>
      </c>
      <c r="AR175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420.36359999999996</v>
      </c>
      <c r="AS175" s="9">
        <f t="shared" si="291"/>
        <v>8.0090022413781643</v>
      </c>
      <c r="AT175" s="9">
        <f>IF(RIGHT(TIM[[#This Row],[Device type]],7)="Winding","-",TIM[[#This Row],[Cont Winter MVA]])</f>
        <v>10.231224120309358</v>
      </c>
      <c r="AU175" s="9">
        <f>IF(RIGHT(TIM[[#This Row],[Device type]],7)="Winding","-",TIM[[#This Row],[Cont Shoulder MVA]])</f>
        <v>10.231224120309358</v>
      </c>
      <c r="AV175" s="9">
        <f>IF(RIGHT(TIM[[#This Row],[Device type]],7)="Winding","-",TIM[[#This Row],[Cont Summer MVA]])</f>
        <v>10.231224120309358</v>
      </c>
      <c r="AW175" s="9" t="str">
        <f>TIM[[#This Row],[24 Hr Winter MVA]]</f>
        <v>-</v>
      </c>
      <c r="AX175" s="9" t="str">
        <f>TIM[[#This Row],[24 Hr Summer MVA]]</f>
        <v>-</v>
      </c>
      <c r="AY175" s="9" t="str">
        <f>TIM[[#This Row],[Forwards MVA]]</f>
        <v>-</v>
      </c>
      <c r="AZ175" s="9" t="str">
        <f>TIM[[#This Row],[Relay MVA]]</f>
        <v>-</v>
      </c>
      <c r="BA175" s="9" t="str">
        <f>TIM[[#This Row],[CT MVA]]</f>
        <v>-</v>
      </c>
      <c r="BB175" s="9">
        <f>TIM[[#This Row],[Derating MVA]]</f>
        <v>8.0090022413781643</v>
      </c>
      <c r="BC175" s="9" t="str">
        <f>TIM[[#This Row],[Station/Feeder]]&amp;TIM[[#This Row],[Lowest MVA]]</f>
        <v>CB9_GRM-NST A8.00900224137816</v>
      </c>
      <c r="BD175" s="9" t="str">
        <f>CONCATENATE(TIM[[#This Row],[Supply Level]],TIM[[#This Row],[Station/Feeder]],TIM[[#This Row],[Voltage]],TIM[[#This Row],[Lowest A-No PTX]])</f>
        <v>SubTransmissionCB9_GRM-NST A11420.3636</v>
      </c>
      <c r="BE175" s="9" t="str">
        <f>CONCATENATE(TIM[[#This Row],[Supply Level]],TIM[[#This Row],[Station/Feeder]],TIM[[#This Row],[Voltage]],TIM[[#This Row],[Lowest A-PTX]])</f>
        <v>SubTransmissionCB9_GRM-NST A11420.3636</v>
      </c>
      <c r="BF175" s="9">
        <f>IFERROR(IF(MIN(TIM[[#This Row],[Summ Cont Winter A]:[Cable Derating]])=0,"",MIN(TIM[[#This Row],[Summ Cont Winter A]:[Cable Derating]])),"")</f>
        <v>8.0090022413781643</v>
      </c>
      <c r="BG175" s="9">
        <f>IFERROR(TIM[[#This Row],[Lowest MVA]]*1000/(TIM[[#This Row],[Voltage]]*SQRT(3)),"")</f>
        <v>420.36359999999996</v>
      </c>
      <c r="BH175" s="9">
        <f t="shared" si="271"/>
        <v>420.36359999999996</v>
      </c>
      <c r="BI175" s="9" t="str">
        <f>TIM[[#This Row],[From]]</f>
        <v>Joint</v>
      </c>
      <c r="BJ175" s="9" t="str">
        <f>TIM[[#This Row],[To]]</f>
        <v>NST06</v>
      </c>
      <c r="BK17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175" s="9">
        <f>TIM[[#This Row],[Voltage]]</f>
        <v>11</v>
      </c>
    </row>
    <row r="176" spans="1:64" ht="15" hidden="1" customHeight="1" x14ac:dyDescent="0.25">
      <c r="A176" s="6" t="str">
        <f>CONCATENATE(TIM[[#This Row],[Supply Level]],TIM[[#This Row],[Station/Feeder]],TIM[[#This Row],[Voltage]])</f>
        <v>SubTransmissionGRM_HNT_SUBTRANS11</v>
      </c>
      <c r="B176" s="6" t="str">
        <f>CONCATENATE(TIM[[#This Row],[Supply Level]],TIM[[#This Row],[Station/Feeder]],TIM[[#This Row],[Equipment ID]],TIM[[#This Row],[Voltage]],TIM[[#This Row],[Device type]])</f>
        <v>SubTransmissionGRM_HNT_SUBTRANSGRM-CB911Protection</v>
      </c>
      <c r="C176" s="6" t="s">
        <v>1245</v>
      </c>
      <c r="D176" s="11" t="s">
        <v>170</v>
      </c>
      <c r="E176" s="6" t="s">
        <v>243</v>
      </c>
      <c r="F176" s="6" t="s">
        <v>905</v>
      </c>
      <c r="G176" s="27">
        <v>1</v>
      </c>
      <c r="H176" s="6" t="s">
        <v>887</v>
      </c>
      <c r="I176" s="7" t="s">
        <v>2332</v>
      </c>
      <c r="J176" s="7" t="s">
        <v>15</v>
      </c>
      <c r="K176" s="49" t="s">
        <v>791</v>
      </c>
      <c r="L176" s="49" t="s">
        <v>1423</v>
      </c>
      <c r="M176" s="8">
        <v>11</v>
      </c>
      <c r="N176" s="9">
        <v>2500</v>
      </c>
      <c r="O176" s="9">
        <f t="shared" si="0"/>
        <v>47.631397208144122</v>
      </c>
      <c r="P176" s="9">
        <v>2500</v>
      </c>
      <c r="Q176" s="9">
        <f t="shared" si="1"/>
        <v>47.631397208144122</v>
      </c>
      <c r="R176" s="9">
        <v>2500</v>
      </c>
      <c r="S176" s="9">
        <f t="shared" si="2"/>
        <v>47.631397208144122</v>
      </c>
      <c r="T176" s="9" t="s">
        <v>0</v>
      </c>
      <c r="U176" s="9" t="str">
        <f t="shared" si="3"/>
        <v>-</v>
      </c>
      <c r="V176" s="9" t="s">
        <v>0</v>
      </c>
      <c r="W176" s="9" t="str">
        <f t="shared" si="4"/>
        <v>-</v>
      </c>
      <c r="X176" s="9">
        <f>VLOOKUP(TIM[[#This Row],[Equipment ID]],AEL_Protection_Data[#All],12,0)</f>
        <v>400</v>
      </c>
      <c r="Y176" s="9">
        <f t="shared" si="5"/>
        <v>7.6210235533030604</v>
      </c>
      <c r="Z176" s="9" t="s">
        <v>0</v>
      </c>
      <c r="AA176" s="9" t="str">
        <f t="shared" si="6"/>
        <v>-</v>
      </c>
      <c r="AB176" s="9">
        <v>800</v>
      </c>
      <c r="AC176" s="9">
        <f t="shared" si="7"/>
        <v>15.242047106606121</v>
      </c>
      <c r="AD176" s="9">
        <v>800</v>
      </c>
      <c r="AE176" s="12">
        <f t="shared" si="8"/>
        <v>15.242047106606121</v>
      </c>
      <c r="AF176" s="9" t="s">
        <v>0</v>
      </c>
      <c r="AG176" s="9" t="s">
        <v>0</v>
      </c>
      <c r="AH176" s="9" t="s">
        <v>0</v>
      </c>
      <c r="AI176" s="9" t="s">
        <v>0</v>
      </c>
      <c r="AJ176" s="32" t="s">
        <v>0</v>
      </c>
      <c r="AK176" s="9" t="s">
        <v>0</v>
      </c>
      <c r="AL176" s="32" t="s">
        <v>0</v>
      </c>
      <c r="AM176" s="9" t="s">
        <v>0</v>
      </c>
      <c r="AN176" s="32" t="s">
        <v>0</v>
      </c>
      <c r="AO176" s="9" t="s">
        <v>0</v>
      </c>
      <c r="AP176" s="9" t="s">
        <v>0</v>
      </c>
      <c r="AQ176" s="32" t="s">
        <v>0</v>
      </c>
      <c r="AR176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76" s="9" t="str">
        <f t="shared" si="9"/>
        <v>-</v>
      </c>
      <c r="AT176" s="9">
        <f>IF(RIGHT(TIM[[#This Row],[Device type]],7)="Winding","-",TIM[[#This Row],[Cont Winter MVA]])</f>
        <v>47.631397208144122</v>
      </c>
      <c r="AU176" s="9">
        <f>IF(RIGHT(TIM[[#This Row],[Device type]],7)="Winding","-",TIM[[#This Row],[Cont Shoulder MVA]])</f>
        <v>47.631397208144122</v>
      </c>
      <c r="AV176" s="9">
        <f>IF(RIGHT(TIM[[#This Row],[Device type]],7)="Winding","-",TIM[[#This Row],[Cont Summer MVA]])</f>
        <v>47.631397208144122</v>
      </c>
      <c r="AW176" s="9" t="str">
        <f>TIM[[#This Row],[24 Hr Winter MVA]]</f>
        <v>-</v>
      </c>
      <c r="AX176" s="9" t="str">
        <f>TIM[[#This Row],[24 Hr Summer MVA]]</f>
        <v>-</v>
      </c>
      <c r="AY176" s="9">
        <f>TIM[[#This Row],[Forwards MVA]]</f>
        <v>7.6210235533030604</v>
      </c>
      <c r="AZ176" s="9">
        <f>TIM[[#This Row],[Relay MVA]]</f>
        <v>15.242047106606121</v>
      </c>
      <c r="BA176" s="9">
        <f>TIM[[#This Row],[CT MVA]]</f>
        <v>15.242047106606121</v>
      </c>
      <c r="BB176" s="9" t="str">
        <f>TIM[[#This Row],[Derating MVA]]</f>
        <v>-</v>
      </c>
      <c r="BC176" s="9" t="str">
        <f>TIM[[#This Row],[Station/Feeder]]&amp;TIM[[#This Row],[Lowest MVA]]</f>
        <v>GRM_HNT_SUBTRANS7.62102355330306</v>
      </c>
      <c r="BD176" s="9" t="str">
        <f>CONCATENATE(TIM[[#This Row],[Supply Level]],TIM[[#This Row],[Station/Feeder]],TIM[[#This Row],[Voltage]],TIM[[#This Row],[Lowest A-No PTX]])</f>
        <v>SubTransmissionGRM_HNT_SUBTRANS11400</v>
      </c>
      <c r="BE176" s="9" t="str">
        <f>CONCATENATE(TIM[[#This Row],[Supply Level]],TIM[[#This Row],[Station/Feeder]],TIM[[#This Row],[Voltage]],TIM[[#This Row],[Lowest A-PTX]])</f>
        <v>SubTransmissionGRM_HNT_SUBTRANS11400</v>
      </c>
      <c r="BF176" s="9">
        <f>IFERROR(IF(MIN(TIM[[#This Row],[Summ Cont Winter A]:[Cable Derating]])=0,"",MIN(TIM[[#This Row],[Summ Cont Winter A]:[Cable Derating]])),"")</f>
        <v>7.6210235533030604</v>
      </c>
      <c r="BG176" s="9">
        <f>IFERROR(TIM[[#This Row],[Lowest MVA]]*1000/(TIM[[#This Row],[Voltage]]*SQRT(3)),"")</f>
        <v>400</v>
      </c>
      <c r="BH176" s="9">
        <f t="shared" si="271"/>
        <v>400</v>
      </c>
      <c r="BI176" s="9" t="str">
        <f>TIM[[#This Row],[From]]</f>
        <v>11 kV Bus</v>
      </c>
      <c r="BJ176" s="9" t="str">
        <f>TIM[[#This Row],[To]]</f>
        <v xml:space="preserve">TEGRASMERE9 </v>
      </c>
      <c r="BK17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Breaker-GRM-CB9-Protection</v>
      </c>
      <c r="BL176" s="9">
        <f>TIM[[#This Row],[Voltage]]</f>
        <v>11</v>
      </c>
    </row>
    <row r="177" spans="1:64" ht="15" hidden="1" customHeight="1" x14ac:dyDescent="0.25">
      <c r="A177" s="6" t="str">
        <f>CONCATENATE(TIM[[#This Row],[Supply Level]],TIM[[#This Row],[Station/Feeder]],TIM[[#This Row],[Voltage]])</f>
        <v>SubTransmissionGRM_NST_SUBTRANS11</v>
      </c>
      <c r="B177" s="6" t="str">
        <f>CONCATENATE(TIM[[#This Row],[Supply Level]],TIM[[#This Row],[Station/Feeder]],TIM[[#This Row],[Equipment ID]],TIM[[#This Row],[Voltage]],TIM[[#This Row],[Device type]])</f>
        <v>SubTransmissionGRM_NST_SUBTRANS3c 400mm² AL11-</v>
      </c>
      <c r="C177" s="6" t="s">
        <v>1245</v>
      </c>
      <c r="D177" s="11" t="s">
        <v>994</v>
      </c>
      <c r="E177" s="6" t="s">
        <v>905</v>
      </c>
      <c r="F177" s="6" t="s">
        <v>750</v>
      </c>
      <c r="G177" s="27">
        <v>2</v>
      </c>
      <c r="H177" s="7" t="s">
        <v>888</v>
      </c>
      <c r="I177" s="7" t="s">
        <v>906</v>
      </c>
      <c r="J177" s="7" t="s">
        <v>250</v>
      </c>
      <c r="K177" s="49" t="s">
        <v>0</v>
      </c>
      <c r="L177" s="49" t="s">
        <v>0</v>
      </c>
      <c r="M177" s="8">
        <v>11</v>
      </c>
      <c r="N177" s="9">
        <v>537</v>
      </c>
      <c r="O177" s="9">
        <f t="shared" si="0"/>
        <v>10.231224120309358</v>
      </c>
      <c r="P177" s="9">
        <v>537</v>
      </c>
      <c r="Q177" s="9">
        <f t="shared" si="1"/>
        <v>10.231224120309358</v>
      </c>
      <c r="R177" s="9">
        <v>537</v>
      </c>
      <c r="S177" s="9">
        <f t="shared" si="2"/>
        <v>10.231224120309358</v>
      </c>
      <c r="T177" s="9" t="s">
        <v>0</v>
      </c>
      <c r="U177" s="9" t="str">
        <f t="shared" si="3"/>
        <v>-</v>
      </c>
      <c r="V177" s="9" t="s">
        <v>0</v>
      </c>
      <c r="W177" s="9" t="str">
        <f t="shared" si="4"/>
        <v>-</v>
      </c>
      <c r="X177" s="9" t="s">
        <v>0</v>
      </c>
      <c r="Y177" s="9" t="str">
        <f t="shared" si="5"/>
        <v>-</v>
      </c>
      <c r="Z177" s="9" t="s">
        <v>0</v>
      </c>
      <c r="AA177" s="9" t="str">
        <f t="shared" si="6"/>
        <v>-</v>
      </c>
      <c r="AB177" s="9" t="s">
        <v>0</v>
      </c>
      <c r="AC177" s="9" t="str">
        <f t="shared" si="7"/>
        <v>-</v>
      </c>
      <c r="AD177" s="9" t="s">
        <v>0</v>
      </c>
      <c r="AE177" s="12" t="str">
        <f t="shared" si="8"/>
        <v>-</v>
      </c>
      <c r="AF177" s="9" t="s">
        <v>716</v>
      </c>
      <c r="AG177" s="9" t="s">
        <v>0</v>
      </c>
      <c r="AH177" s="9">
        <v>7.2</v>
      </c>
      <c r="AI177" s="9">
        <v>0.85</v>
      </c>
      <c r="AJ177" s="32">
        <v>1.03</v>
      </c>
      <c r="AK177" s="9">
        <v>18.5</v>
      </c>
      <c r="AL177" s="32">
        <v>0.95</v>
      </c>
      <c r="AM177" s="9">
        <v>1.2</v>
      </c>
      <c r="AN177" s="32">
        <v>1</v>
      </c>
      <c r="AO177" s="9">
        <v>3</v>
      </c>
      <c r="AP177" s="9">
        <v>0.34</v>
      </c>
      <c r="AQ177" s="32">
        <v>0.8</v>
      </c>
      <c r="AR177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420.36359999999996</v>
      </c>
      <c r="AS177" s="9">
        <f t="shared" si="9"/>
        <v>8.0090022413781643</v>
      </c>
      <c r="AT177" s="9">
        <f>IF(RIGHT(TIM[[#This Row],[Device type]],7)="Winding","-",TIM[[#This Row],[Cont Winter MVA]])</f>
        <v>10.231224120309358</v>
      </c>
      <c r="AU177" s="9">
        <f>IF(RIGHT(TIM[[#This Row],[Device type]],7)="Winding","-",TIM[[#This Row],[Cont Shoulder MVA]])</f>
        <v>10.231224120309358</v>
      </c>
      <c r="AV177" s="9">
        <f>IF(RIGHT(TIM[[#This Row],[Device type]],7)="Winding","-",TIM[[#This Row],[Cont Summer MVA]])</f>
        <v>10.231224120309358</v>
      </c>
      <c r="AW177" s="9" t="str">
        <f>TIM[[#This Row],[24 Hr Winter MVA]]</f>
        <v>-</v>
      </c>
      <c r="AX177" s="9" t="str">
        <f>TIM[[#This Row],[24 Hr Summer MVA]]</f>
        <v>-</v>
      </c>
      <c r="AY177" s="9" t="str">
        <f>TIM[[#This Row],[Forwards MVA]]</f>
        <v>-</v>
      </c>
      <c r="AZ177" s="9" t="str">
        <f>TIM[[#This Row],[Relay MVA]]</f>
        <v>-</v>
      </c>
      <c r="BA177" s="9" t="str">
        <f>TIM[[#This Row],[CT MVA]]</f>
        <v>-</v>
      </c>
      <c r="BB177" s="9">
        <f>TIM[[#This Row],[Derating MVA]]</f>
        <v>8.0090022413781643</v>
      </c>
      <c r="BC177" s="9" t="str">
        <f>TIM[[#This Row],[Station/Feeder]]&amp;TIM[[#This Row],[Lowest MVA]]</f>
        <v>GRM_NST_SUBTRANS8.00900224137816</v>
      </c>
      <c r="BD177" s="9" t="str">
        <f>CONCATENATE(TIM[[#This Row],[Supply Level]],TIM[[#This Row],[Station/Feeder]],TIM[[#This Row],[Voltage]],TIM[[#This Row],[Lowest A-No PTX]])</f>
        <v>SubTransmissionGRM_NST_SUBTRANS11420.3636</v>
      </c>
      <c r="BE177" s="9" t="str">
        <f>CONCATENATE(TIM[[#This Row],[Supply Level]],TIM[[#This Row],[Station/Feeder]],TIM[[#This Row],[Voltage]],TIM[[#This Row],[Lowest A-PTX]])</f>
        <v>SubTransmissionGRM_NST_SUBTRANS11420.3636</v>
      </c>
      <c r="BF177" s="9">
        <f>IFERROR(IF(MIN(TIM[[#This Row],[Summ Cont Winter A]:[Cable Derating]])=0,"",MIN(TIM[[#This Row],[Summ Cont Winter A]:[Cable Derating]])),"")</f>
        <v>8.0090022413781643</v>
      </c>
      <c r="BG177" s="9">
        <f>IFERROR(TIM[[#This Row],[Lowest MVA]]*1000/(TIM[[#This Row],[Voltage]]*SQRT(3)),"")</f>
        <v>420.36359999999996</v>
      </c>
      <c r="BH177" s="9">
        <f t="shared" si="271"/>
        <v>420.36359999999996</v>
      </c>
      <c r="BI177" s="9" t="str">
        <f>TIM[[#This Row],[From]]</f>
        <v xml:space="preserve">TEGRASMERE9 </v>
      </c>
      <c r="BJ177" s="9" t="str">
        <f>TIM[[#This Row],[To]]</f>
        <v>Joint</v>
      </c>
      <c r="BK17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400mm² AL</v>
      </c>
      <c r="BL177" s="9">
        <f>TIM[[#This Row],[Voltage]]</f>
        <v>11</v>
      </c>
    </row>
    <row r="178" spans="1:64" ht="15" hidden="1" customHeight="1" x14ac:dyDescent="0.25">
      <c r="A178" s="6" t="str">
        <f>CONCATENATE(TIM[[#This Row],[Supply Level]],TIM[[#This Row],[Station/Feeder]],TIM[[#This Row],[Voltage]])</f>
        <v>SubTransmissionGRM_NST_SUBTRANS11</v>
      </c>
      <c r="B178" s="6" t="str">
        <f>CONCATENATE(TIM[[#This Row],[Supply Level]],TIM[[#This Row],[Station/Feeder]],TIM[[#This Row],[Equipment ID]],TIM[[#This Row],[Voltage]],TIM[[#This Row],[Device type]])</f>
        <v>SubTransmissionGRM_NST_SUBTRANS3c 0.3in² Cu PILC STAS11-</v>
      </c>
      <c r="C178" s="6" t="s">
        <v>1245</v>
      </c>
      <c r="D178" s="11" t="s">
        <v>994</v>
      </c>
      <c r="E178" s="6" t="s">
        <v>750</v>
      </c>
      <c r="F178" s="6" t="s">
        <v>750</v>
      </c>
      <c r="G178" s="27">
        <v>3</v>
      </c>
      <c r="H178" s="7" t="s">
        <v>888</v>
      </c>
      <c r="I178" s="7" t="s">
        <v>907</v>
      </c>
      <c r="J178" s="7" t="s">
        <v>250</v>
      </c>
      <c r="K178" s="49" t="s">
        <v>0</v>
      </c>
      <c r="L178" s="49" t="s">
        <v>0</v>
      </c>
      <c r="M178" s="8">
        <v>11</v>
      </c>
      <c r="N178" s="9">
        <v>380</v>
      </c>
      <c r="O178" s="9">
        <f t="shared" si="0"/>
        <v>7.2399723756379064</v>
      </c>
      <c r="P178" s="9">
        <v>380</v>
      </c>
      <c r="Q178" s="9">
        <f t="shared" si="1"/>
        <v>7.2399723756379064</v>
      </c>
      <c r="R178" s="9">
        <v>380</v>
      </c>
      <c r="S178" s="9">
        <f t="shared" si="2"/>
        <v>7.2399723756379064</v>
      </c>
      <c r="T178" s="9" t="s">
        <v>0</v>
      </c>
      <c r="U178" s="9" t="str">
        <f t="shared" si="3"/>
        <v>-</v>
      </c>
      <c r="V178" s="9" t="s">
        <v>0</v>
      </c>
      <c r="W178" s="9" t="str">
        <f t="shared" si="4"/>
        <v>-</v>
      </c>
      <c r="X178" s="9" t="s">
        <v>0</v>
      </c>
      <c r="Y178" s="9" t="str">
        <f t="shared" si="5"/>
        <v>-</v>
      </c>
      <c r="Z178" s="9" t="s">
        <v>0</v>
      </c>
      <c r="AA178" s="9" t="str">
        <f t="shared" si="6"/>
        <v>-</v>
      </c>
      <c r="AB178" s="9" t="s">
        <v>0</v>
      </c>
      <c r="AC178" s="9" t="str">
        <f t="shared" si="7"/>
        <v>-</v>
      </c>
      <c r="AD178" s="9" t="s">
        <v>0</v>
      </c>
      <c r="AE178" s="12" t="str">
        <f t="shared" si="8"/>
        <v>-</v>
      </c>
      <c r="AF178" s="9" t="s">
        <v>716</v>
      </c>
      <c r="AG178" s="9" t="s">
        <v>0</v>
      </c>
      <c r="AH178" s="9">
        <v>3032.2000000000003</v>
      </c>
      <c r="AI178" s="9">
        <v>0.85</v>
      </c>
      <c r="AJ178" s="32">
        <v>1.03</v>
      </c>
      <c r="AK178" s="9">
        <v>18.5</v>
      </c>
      <c r="AL178" s="32">
        <v>0.95</v>
      </c>
      <c r="AM178" s="9">
        <v>1.2</v>
      </c>
      <c r="AN178" s="32">
        <v>1</v>
      </c>
      <c r="AO178" s="9">
        <v>3</v>
      </c>
      <c r="AP178" s="9">
        <v>0.34</v>
      </c>
      <c r="AQ178" s="32">
        <v>0.8</v>
      </c>
      <c r="AR178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297.464</v>
      </c>
      <c r="AS178" s="9">
        <f t="shared" si="9"/>
        <v>5.6674503756493531</v>
      </c>
      <c r="AT178" s="9">
        <f>IF(RIGHT(TIM[[#This Row],[Device type]],7)="Winding","-",TIM[[#This Row],[Cont Winter MVA]])</f>
        <v>7.2399723756379064</v>
      </c>
      <c r="AU178" s="9">
        <f>IF(RIGHT(TIM[[#This Row],[Device type]],7)="Winding","-",TIM[[#This Row],[Cont Shoulder MVA]])</f>
        <v>7.2399723756379064</v>
      </c>
      <c r="AV178" s="9">
        <f>IF(RIGHT(TIM[[#This Row],[Device type]],7)="Winding","-",TIM[[#This Row],[Cont Summer MVA]])</f>
        <v>7.2399723756379064</v>
      </c>
      <c r="AW178" s="9" t="str">
        <f>TIM[[#This Row],[24 Hr Winter MVA]]</f>
        <v>-</v>
      </c>
      <c r="AX178" s="9" t="str">
        <f>TIM[[#This Row],[24 Hr Summer MVA]]</f>
        <v>-</v>
      </c>
      <c r="AY178" s="9" t="str">
        <f>TIM[[#This Row],[Forwards MVA]]</f>
        <v>-</v>
      </c>
      <c r="AZ178" s="9" t="str">
        <f>TIM[[#This Row],[Relay MVA]]</f>
        <v>-</v>
      </c>
      <c r="BA178" s="9" t="str">
        <f>TIM[[#This Row],[CT MVA]]</f>
        <v>-</v>
      </c>
      <c r="BB178" s="9">
        <f>TIM[[#This Row],[Derating MVA]]</f>
        <v>5.6674503756493531</v>
      </c>
      <c r="BC178" s="9" t="str">
        <f>TIM[[#This Row],[Station/Feeder]]&amp;TIM[[#This Row],[Lowest MVA]]</f>
        <v>GRM_NST_SUBTRANS5.66745037564935</v>
      </c>
      <c r="BD178" s="9" t="str">
        <f>CONCATENATE(TIM[[#This Row],[Supply Level]],TIM[[#This Row],[Station/Feeder]],TIM[[#This Row],[Voltage]],TIM[[#This Row],[Lowest A-No PTX]])</f>
        <v>SubTransmissionGRM_NST_SUBTRANS11297.464</v>
      </c>
      <c r="BE178" s="9" t="str">
        <f>CONCATENATE(TIM[[#This Row],[Supply Level]],TIM[[#This Row],[Station/Feeder]],TIM[[#This Row],[Voltage]],TIM[[#This Row],[Lowest A-PTX]])</f>
        <v>SubTransmissionGRM_NST_SUBTRANS11297.464</v>
      </c>
      <c r="BF178" s="9">
        <f>IFERROR(IF(MIN(TIM[[#This Row],[Summ Cont Winter A]:[Cable Derating]])=0,"",MIN(TIM[[#This Row],[Summ Cont Winter A]:[Cable Derating]])),"")</f>
        <v>5.6674503756493531</v>
      </c>
      <c r="BG178" s="9">
        <f>IFERROR(TIM[[#This Row],[Lowest MVA]]*1000/(TIM[[#This Row],[Voltage]]*SQRT(3)),"")</f>
        <v>297.464</v>
      </c>
      <c r="BH178" s="9">
        <f t="shared" si="271"/>
        <v>297.464</v>
      </c>
      <c r="BI178" s="9" t="str">
        <f>TIM[[#This Row],[From]]</f>
        <v>Joint</v>
      </c>
      <c r="BJ178" s="9" t="str">
        <f>TIM[[#This Row],[To]]</f>
        <v>Joint</v>
      </c>
      <c r="BK17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0.3in² Cu PILC STAS</v>
      </c>
      <c r="BL178" s="9">
        <f>TIM[[#This Row],[Voltage]]</f>
        <v>11</v>
      </c>
    </row>
    <row r="179" spans="1:64" ht="15" hidden="1" customHeight="1" x14ac:dyDescent="0.25">
      <c r="A179" s="6" t="str">
        <f>CONCATENATE(TIM[[#This Row],[Supply Level]],TIM[[#This Row],[Station/Feeder]],TIM[[#This Row],[Voltage]])</f>
        <v>SubTransmissionGRM_NST_SUBTRANS11</v>
      </c>
      <c r="B179" s="6" t="str">
        <f>CONCATENATE(TIM[[#This Row],[Supply Level]],TIM[[#This Row],[Station/Feeder]],TIM[[#This Row],[Equipment ID]],TIM[[#This Row],[Voltage]],TIM[[#This Row],[Device type]])</f>
        <v>SubTransmissionGRM_NST_SUBTRANS3/1c 400mm² AL XLPE HDPE Screened11-</v>
      </c>
      <c r="C179" s="6" t="s">
        <v>1245</v>
      </c>
      <c r="D179" s="11" t="s">
        <v>994</v>
      </c>
      <c r="E179" s="6" t="s">
        <v>750</v>
      </c>
      <c r="F179" s="6" t="s">
        <v>908</v>
      </c>
      <c r="G179" s="27">
        <v>4</v>
      </c>
      <c r="H179" s="7" t="s">
        <v>888</v>
      </c>
      <c r="I179" s="7" t="s">
        <v>819</v>
      </c>
      <c r="J179" s="7" t="s">
        <v>250</v>
      </c>
      <c r="K179" s="49" t="s">
        <v>0</v>
      </c>
      <c r="L179" s="49" t="s">
        <v>0</v>
      </c>
      <c r="M179" s="8">
        <v>11</v>
      </c>
      <c r="N179" s="9">
        <v>537</v>
      </c>
      <c r="O179" s="9">
        <f t="shared" si="0"/>
        <v>10.231224120309358</v>
      </c>
      <c r="P179" s="9">
        <v>537</v>
      </c>
      <c r="Q179" s="9">
        <f t="shared" si="1"/>
        <v>10.231224120309358</v>
      </c>
      <c r="R179" s="9">
        <v>537</v>
      </c>
      <c r="S179" s="9">
        <f t="shared" si="2"/>
        <v>10.231224120309358</v>
      </c>
      <c r="T179" s="9" t="s">
        <v>0</v>
      </c>
      <c r="U179" s="9" t="str">
        <f t="shared" si="3"/>
        <v>-</v>
      </c>
      <c r="V179" s="9" t="s">
        <v>0</v>
      </c>
      <c r="W179" s="9" t="str">
        <f t="shared" si="4"/>
        <v>-</v>
      </c>
      <c r="X179" s="9" t="s">
        <v>0</v>
      </c>
      <c r="Y179" s="9" t="str">
        <f t="shared" si="5"/>
        <v>-</v>
      </c>
      <c r="Z179" s="9" t="s">
        <v>0</v>
      </c>
      <c r="AA179" s="9" t="str">
        <f t="shared" si="6"/>
        <v>-</v>
      </c>
      <c r="AB179" s="9" t="s">
        <v>0</v>
      </c>
      <c r="AC179" s="9" t="str">
        <f t="shared" si="7"/>
        <v>-</v>
      </c>
      <c r="AD179" s="9" t="s">
        <v>0</v>
      </c>
      <c r="AE179" s="12" t="str">
        <f t="shared" si="8"/>
        <v>-</v>
      </c>
      <c r="AF179" s="159" t="s">
        <v>713</v>
      </c>
      <c r="AG179" s="9" t="s">
        <v>0</v>
      </c>
      <c r="AH179" s="9">
        <v>66.8</v>
      </c>
      <c r="AI179" s="9">
        <v>0.85</v>
      </c>
      <c r="AJ179" s="32">
        <v>1.03</v>
      </c>
      <c r="AK179" s="9">
        <v>18.5</v>
      </c>
      <c r="AL179" s="32">
        <v>0.95</v>
      </c>
      <c r="AM179" s="9">
        <v>1.2</v>
      </c>
      <c r="AN179" s="32">
        <v>1</v>
      </c>
      <c r="AO179" s="9">
        <v>3</v>
      </c>
      <c r="AP179" s="9">
        <v>0.34</v>
      </c>
      <c r="AQ179" s="32">
        <v>0.8</v>
      </c>
      <c r="AR179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420.36359999999996</v>
      </c>
      <c r="AS179" s="9">
        <f t="shared" si="9"/>
        <v>8.0090022413781643</v>
      </c>
      <c r="AT179" s="9">
        <f>IF(RIGHT(TIM[[#This Row],[Device type]],7)="Winding","-",TIM[[#This Row],[Cont Winter MVA]])</f>
        <v>10.231224120309358</v>
      </c>
      <c r="AU179" s="9">
        <f>IF(RIGHT(TIM[[#This Row],[Device type]],7)="Winding","-",TIM[[#This Row],[Cont Shoulder MVA]])</f>
        <v>10.231224120309358</v>
      </c>
      <c r="AV179" s="9">
        <f>IF(RIGHT(TIM[[#This Row],[Device type]],7)="Winding","-",TIM[[#This Row],[Cont Summer MVA]])</f>
        <v>10.231224120309358</v>
      </c>
      <c r="AW179" s="9" t="str">
        <f>TIM[[#This Row],[24 Hr Winter MVA]]</f>
        <v>-</v>
      </c>
      <c r="AX179" s="9" t="str">
        <f>TIM[[#This Row],[24 Hr Summer MVA]]</f>
        <v>-</v>
      </c>
      <c r="AY179" s="9" t="str">
        <f>TIM[[#This Row],[Forwards MVA]]</f>
        <v>-</v>
      </c>
      <c r="AZ179" s="9" t="str">
        <f>TIM[[#This Row],[Relay MVA]]</f>
        <v>-</v>
      </c>
      <c r="BA179" s="9" t="str">
        <f>TIM[[#This Row],[CT MVA]]</f>
        <v>-</v>
      </c>
      <c r="BB179" s="9">
        <f>TIM[[#This Row],[Derating MVA]]</f>
        <v>8.0090022413781643</v>
      </c>
      <c r="BC179" s="9" t="str">
        <f>TIM[[#This Row],[Station/Feeder]]&amp;TIM[[#This Row],[Lowest MVA]]</f>
        <v>GRM_NST_SUBTRANS8.00900224137816</v>
      </c>
      <c r="BD179" s="9" t="str">
        <f>CONCATENATE(TIM[[#This Row],[Supply Level]],TIM[[#This Row],[Station/Feeder]],TIM[[#This Row],[Voltage]],TIM[[#This Row],[Lowest A-No PTX]])</f>
        <v>SubTransmissionGRM_NST_SUBTRANS11420.3636</v>
      </c>
      <c r="BE179" s="9" t="str">
        <f>CONCATENATE(TIM[[#This Row],[Supply Level]],TIM[[#This Row],[Station/Feeder]],TIM[[#This Row],[Voltage]],TIM[[#This Row],[Lowest A-PTX]])</f>
        <v>SubTransmissionGRM_NST_SUBTRANS11420.3636</v>
      </c>
      <c r="BF179" s="9">
        <f>IFERROR(IF(MIN(TIM[[#This Row],[Summ Cont Winter A]:[Cable Derating]])=0,"",MIN(TIM[[#This Row],[Summ Cont Winter A]:[Cable Derating]])),"")</f>
        <v>8.0090022413781643</v>
      </c>
      <c r="BG179" s="9">
        <f>IFERROR(TIM[[#This Row],[Lowest MVA]]*1000/(TIM[[#This Row],[Voltage]]*SQRT(3)),"")</f>
        <v>420.36359999999996</v>
      </c>
      <c r="BH179" s="9">
        <f t="shared" si="271"/>
        <v>420.36359999999996</v>
      </c>
      <c r="BI179" s="9" t="str">
        <f>TIM[[#This Row],[From]]</f>
        <v>Joint</v>
      </c>
      <c r="BJ179" s="9" t="str">
        <f>TIM[[#This Row],[To]]</f>
        <v>NST06</v>
      </c>
      <c r="BK17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179" s="9">
        <f>TIM[[#This Row],[Voltage]]</f>
        <v>11</v>
      </c>
    </row>
    <row r="180" spans="1:64" ht="15" customHeight="1" x14ac:dyDescent="0.25">
      <c r="A180" s="6" t="str">
        <f>CONCATENATE(TIM[[#This Row],[Supply Level]],TIM[[#This Row],[Station/Feeder]],TIM[[#This Row],[Voltage]])</f>
        <v>DistributionFeederCB10_Ashbury Park11</v>
      </c>
      <c r="B180" s="6" t="str">
        <f>CONCATENATE(TIM[[#This Row],[Supply Level]],TIM[[#This Row],[Station/Feeder]],TIM[[#This Row],[Equipment ID]],TIM[[#This Row],[Voltage]],TIM[[#This Row],[Device type]])</f>
        <v>DistributionFeederCB10_Ashbury ParkGRM-CB1011Protection</v>
      </c>
      <c r="C180" s="6" t="s">
        <v>1276</v>
      </c>
      <c r="D180" s="11" t="s">
        <v>189</v>
      </c>
      <c r="E180" s="6" t="s">
        <v>243</v>
      </c>
      <c r="F180" s="6" t="s">
        <v>909</v>
      </c>
      <c r="G180" s="27">
        <v>1</v>
      </c>
      <c r="H180" s="7" t="s">
        <v>887</v>
      </c>
      <c r="I180" s="7" t="s">
        <v>2334</v>
      </c>
      <c r="J180" s="7" t="s">
        <v>15</v>
      </c>
      <c r="K180" s="49" t="s">
        <v>791</v>
      </c>
      <c r="L180" s="49" t="s">
        <v>1423</v>
      </c>
      <c r="M180" s="8">
        <v>11</v>
      </c>
      <c r="N180" s="9">
        <v>1250</v>
      </c>
      <c r="O180" s="9">
        <f t="shared" si="0"/>
        <v>23.815698604072061</v>
      </c>
      <c r="P180" s="9">
        <v>1250</v>
      </c>
      <c r="Q180" s="9">
        <f t="shared" si="1"/>
        <v>23.815698604072061</v>
      </c>
      <c r="R180" s="9">
        <v>1250</v>
      </c>
      <c r="S180" s="9">
        <f t="shared" si="2"/>
        <v>23.815698604072061</v>
      </c>
      <c r="T180" s="9" t="s">
        <v>0</v>
      </c>
      <c r="U180" s="9" t="str">
        <f t="shared" si="3"/>
        <v>-</v>
      </c>
      <c r="V180" s="9" t="s">
        <v>0</v>
      </c>
      <c r="W180" s="9" t="str">
        <f t="shared" si="4"/>
        <v>-</v>
      </c>
      <c r="X180" s="9">
        <f>VLOOKUP(TIM[[#This Row],[Equipment ID]],AEL_Protection_Data[#All],12,0)</f>
        <v>304</v>
      </c>
      <c r="Y180" s="9">
        <f t="shared" si="5"/>
        <v>5.7919779005103251</v>
      </c>
      <c r="Z180" s="9" t="s">
        <v>0</v>
      </c>
      <c r="AA180" s="9" t="str">
        <f t="shared" si="6"/>
        <v>-</v>
      </c>
      <c r="AB180" s="9">
        <v>800</v>
      </c>
      <c r="AC180" s="9">
        <f t="shared" si="7"/>
        <v>15.242047106606121</v>
      </c>
      <c r="AD180" s="9">
        <v>800</v>
      </c>
      <c r="AE180" s="12">
        <f t="shared" si="8"/>
        <v>15.242047106606121</v>
      </c>
      <c r="AF180" s="9" t="s">
        <v>0</v>
      </c>
      <c r="AG180" s="9" t="s">
        <v>0</v>
      </c>
      <c r="AH180" s="9" t="s">
        <v>0</v>
      </c>
      <c r="AI180" s="9" t="s">
        <v>0</v>
      </c>
      <c r="AJ180" s="32" t="s">
        <v>0</v>
      </c>
      <c r="AK180" s="9" t="s">
        <v>0</v>
      </c>
      <c r="AL180" s="32" t="s">
        <v>0</v>
      </c>
      <c r="AM180" s="9" t="s">
        <v>0</v>
      </c>
      <c r="AN180" s="32" t="s">
        <v>0</v>
      </c>
      <c r="AO180" s="9" t="s">
        <v>0</v>
      </c>
      <c r="AP180" s="9" t="s">
        <v>0</v>
      </c>
      <c r="AQ180" s="32" t="s">
        <v>0</v>
      </c>
      <c r="AR18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80" s="9" t="str">
        <f t="shared" si="9"/>
        <v>-</v>
      </c>
      <c r="AT180" s="9">
        <f>IF(RIGHT(TIM[[#This Row],[Device type]],7)="Winding","-",TIM[[#This Row],[Cont Winter MVA]])</f>
        <v>23.815698604072061</v>
      </c>
      <c r="AU180" s="9">
        <f>IF(RIGHT(TIM[[#This Row],[Device type]],7)="Winding","-",TIM[[#This Row],[Cont Shoulder MVA]])</f>
        <v>23.815698604072061</v>
      </c>
      <c r="AV180" s="9">
        <f>IF(RIGHT(TIM[[#This Row],[Device type]],7)="Winding","-",TIM[[#This Row],[Cont Summer MVA]])</f>
        <v>23.815698604072061</v>
      </c>
      <c r="AW180" s="9" t="str">
        <f>TIM[[#This Row],[24 Hr Winter MVA]]</f>
        <v>-</v>
      </c>
      <c r="AX180" s="9" t="str">
        <f>TIM[[#This Row],[24 Hr Summer MVA]]</f>
        <v>-</v>
      </c>
      <c r="AY180" s="9">
        <f>TIM[[#This Row],[Forwards MVA]]</f>
        <v>5.7919779005103251</v>
      </c>
      <c r="AZ180" s="9">
        <f>TIM[[#This Row],[Relay MVA]]</f>
        <v>15.242047106606121</v>
      </c>
      <c r="BA180" s="9">
        <f>TIM[[#This Row],[CT MVA]]</f>
        <v>15.242047106606121</v>
      </c>
      <c r="BB180" s="9" t="str">
        <f>TIM[[#This Row],[Derating MVA]]</f>
        <v>-</v>
      </c>
      <c r="BC180" s="9" t="str">
        <f>TIM[[#This Row],[Station/Feeder]]&amp;TIM[[#This Row],[Lowest MVA]]</f>
        <v>CB10_Ashbury Park5.79197790051033</v>
      </c>
      <c r="BD180" s="9" t="str">
        <f>CONCATENATE(TIM[[#This Row],[Supply Level]],TIM[[#This Row],[Station/Feeder]],TIM[[#This Row],[Voltage]],TIM[[#This Row],[Lowest A-No PTX]])</f>
        <v>DistributionFeederCB10_Ashbury Park11304</v>
      </c>
      <c r="BE180" s="9" t="str">
        <f>CONCATENATE(TIM[[#This Row],[Supply Level]],TIM[[#This Row],[Station/Feeder]],TIM[[#This Row],[Voltage]],TIM[[#This Row],[Lowest A-PTX]])</f>
        <v>DistributionFeederCB10_Ashbury Park11304</v>
      </c>
      <c r="BF180" s="9">
        <f>IFERROR(IF(MIN(TIM[[#This Row],[Summ Cont Winter A]:[Cable Derating]])=0,"",MIN(TIM[[#This Row],[Summ Cont Winter A]:[Cable Derating]])),"")</f>
        <v>5.7919779005103251</v>
      </c>
      <c r="BG180" s="9">
        <f>IFERROR(TIM[[#This Row],[Lowest MVA]]*1000/(TIM[[#This Row],[Voltage]]*SQRT(3)),"")</f>
        <v>304</v>
      </c>
      <c r="BH180" s="9">
        <f t="shared" si="271"/>
        <v>304</v>
      </c>
      <c r="BI180" s="9" t="str">
        <f>TIM[[#This Row],[From]]</f>
        <v>11 kV Bus</v>
      </c>
      <c r="BJ180" s="9" t="str">
        <f>TIM[[#This Row],[To]]</f>
        <v xml:space="preserve">TEGRASMERE10 </v>
      </c>
      <c r="BK18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Breaker-GRM-CB10-Protection</v>
      </c>
      <c r="BL180" s="9">
        <f>TIM[[#This Row],[Voltage]]</f>
        <v>11</v>
      </c>
    </row>
    <row r="181" spans="1:64" ht="15" customHeight="1" x14ac:dyDescent="0.25">
      <c r="A181" s="6" t="str">
        <f>CONCATENATE(TIM[[#This Row],[Supply Level]],TIM[[#This Row],[Station/Feeder]],TIM[[#This Row],[Voltage]])</f>
        <v>DistributionFeederCB10_Ashbury Park11</v>
      </c>
      <c r="B181" s="6" t="str">
        <f>CONCATENATE(TIM[[#This Row],[Supply Level]],TIM[[#This Row],[Station/Feeder]],TIM[[#This Row],[Equipment ID]],TIM[[#This Row],[Voltage]],TIM[[#This Row],[Device type]])</f>
        <v>DistributionFeederCB10_Ashbury Park3c 0.4in² Al PILC STAS11-</v>
      </c>
      <c r="C181" s="6" t="s">
        <v>1276</v>
      </c>
      <c r="D181" s="11" t="s">
        <v>189</v>
      </c>
      <c r="E181" s="6" t="s">
        <v>909</v>
      </c>
      <c r="F181" s="6" t="s">
        <v>750</v>
      </c>
      <c r="G181" s="27">
        <v>2</v>
      </c>
      <c r="H181" s="7" t="s">
        <v>888</v>
      </c>
      <c r="I181" s="7" t="s">
        <v>910</v>
      </c>
      <c r="J181" s="7" t="s">
        <v>250</v>
      </c>
      <c r="K181" s="49" t="s">
        <v>0</v>
      </c>
      <c r="L181" s="49" t="s">
        <v>0</v>
      </c>
      <c r="M181" s="8">
        <v>11</v>
      </c>
      <c r="N181" s="9">
        <v>345</v>
      </c>
      <c r="O181" s="9">
        <f t="shared" si="0"/>
        <v>6.5731328147238894</v>
      </c>
      <c r="P181" s="9">
        <v>345</v>
      </c>
      <c r="Q181" s="9">
        <f t="shared" si="1"/>
        <v>6.5731328147238894</v>
      </c>
      <c r="R181" s="9">
        <v>345</v>
      </c>
      <c r="S181" s="9">
        <f t="shared" si="2"/>
        <v>6.5731328147238894</v>
      </c>
      <c r="T181" s="9" t="s">
        <v>0</v>
      </c>
      <c r="U181" s="9" t="str">
        <f t="shared" si="3"/>
        <v>-</v>
      </c>
      <c r="V181" s="9" t="s">
        <v>0</v>
      </c>
      <c r="W181" s="9" t="str">
        <f t="shared" si="4"/>
        <v>-</v>
      </c>
      <c r="X181" s="9" t="s">
        <v>0</v>
      </c>
      <c r="Y181" s="9" t="str">
        <f t="shared" si="5"/>
        <v>-</v>
      </c>
      <c r="Z181" s="9" t="s">
        <v>0</v>
      </c>
      <c r="AA181" s="9" t="str">
        <f t="shared" si="6"/>
        <v>-</v>
      </c>
      <c r="AB181" s="9" t="s">
        <v>0</v>
      </c>
      <c r="AC181" s="9" t="str">
        <f t="shared" si="7"/>
        <v>-</v>
      </c>
      <c r="AD181" s="9" t="s">
        <v>0</v>
      </c>
      <c r="AE181" s="12" t="str">
        <f t="shared" si="8"/>
        <v>-</v>
      </c>
      <c r="AF181" s="9" t="s">
        <v>716</v>
      </c>
      <c r="AG181" s="9" t="s">
        <v>0</v>
      </c>
      <c r="AH181" s="9">
        <v>547.79999999999995</v>
      </c>
      <c r="AI181" s="9">
        <v>0.8</v>
      </c>
      <c r="AJ181" s="32">
        <v>1</v>
      </c>
      <c r="AK181" s="9">
        <v>18.5</v>
      </c>
      <c r="AL181" s="32">
        <v>0.95</v>
      </c>
      <c r="AM181" s="9">
        <v>1.2</v>
      </c>
      <c r="AN181" s="32">
        <v>1</v>
      </c>
      <c r="AO181" s="9">
        <v>3</v>
      </c>
      <c r="AP181" s="9">
        <v>0.3</v>
      </c>
      <c r="AQ181" s="32">
        <v>0.8</v>
      </c>
      <c r="AR181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262.2</v>
      </c>
      <c r="AS181" s="9">
        <f t="shared" si="9"/>
        <v>4.9955809391901553</v>
      </c>
      <c r="AT181" s="9">
        <f>IF(RIGHT(TIM[[#This Row],[Device type]],7)="Winding","-",TIM[[#This Row],[Cont Winter MVA]])</f>
        <v>6.5731328147238894</v>
      </c>
      <c r="AU181" s="9">
        <f>IF(RIGHT(TIM[[#This Row],[Device type]],7)="Winding","-",TIM[[#This Row],[Cont Shoulder MVA]])</f>
        <v>6.5731328147238894</v>
      </c>
      <c r="AV181" s="9">
        <f>IF(RIGHT(TIM[[#This Row],[Device type]],7)="Winding","-",TIM[[#This Row],[Cont Summer MVA]])</f>
        <v>6.5731328147238894</v>
      </c>
      <c r="AW181" s="9" t="str">
        <f>TIM[[#This Row],[24 Hr Winter MVA]]</f>
        <v>-</v>
      </c>
      <c r="AX181" s="9" t="str">
        <f>TIM[[#This Row],[24 Hr Summer MVA]]</f>
        <v>-</v>
      </c>
      <c r="AY181" s="9" t="str">
        <f>TIM[[#This Row],[Forwards MVA]]</f>
        <v>-</v>
      </c>
      <c r="AZ181" s="9" t="str">
        <f>TIM[[#This Row],[Relay MVA]]</f>
        <v>-</v>
      </c>
      <c r="BA181" s="9" t="str">
        <f>TIM[[#This Row],[CT MVA]]</f>
        <v>-</v>
      </c>
      <c r="BB181" s="9">
        <f>TIM[[#This Row],[Derating MVA]]</f>
        <v>4.9955809391901553</v>
      </c>
      <c r="BC181" s="9" t="str">
        <f>TIM[[#This Row],[Station/Feeder]]&amp;TIM[[#This Row],[Lowest MVA]]</f>
        <v>CB10_Ashbury Park4.99558093919016</v>
      </c>
      <c r="BD181" s="9" t="str">
        <f>CONCATENATE(TIM[[#This Row],[Supply Level]],TIM[[#This Row],[Station/Feeder]],TIM[[#This Row],[Voltage]],TIM[[#This Row],[Lowest A-No PTX]])</f>
        <v>DistributionFeederCB10_Ashbury Park11262.2</v>
      </c>
      <c r="BE181" s="9" t="str">
        <f>CONCATENATE(TIM[[#This Row],[Supply Level]],TIM[[#This Row],[Station/Feeder]],TIM[[#This Row],[Voltage]],TIM[[#This Row],[Lowest A-PTX]])</f>
        <v>DistributionFeederCB10_Ashbury Park11262.2</v>
      </c>
      <c r="BF181" s="9">
        <f>IFERROR(IF(MIN(TIM[[#This Row],[Summ Cont Winter A]:[Cable Derating]])=0,"",MIN(TIM[[#This Row],[Summ Cont Winter A]:[Cable Derating]])),"")</f>
        <v>4.9955809391901553</v>
      </c>
      <c r="BG181" s="9">
        <f>IFERROR(TIM[[#This Row],[Lowest MVA]]*1000/(TIM[[#This Row],[Voltage]]*SQRT(3)),"")</f>
        <v>262.2</v>
      </c>
      <c r="BH181" s="9">
        <f t="shared" si="271"/>
        <v>262.2</v>
      </c>
      <c r="BI181" s="9" t="str">
        <f>TIM[[#This Row],[From]]</f>
        <v xml:space="preserve">TEGRASMERE10 </v>
      </c>
      <c r="BJ181" s="9" t="str">
        <f>TIM[[#This Row],[To]]</f>
        <v>Joint</v>
      </c>
      <c r="BK18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0.4in² Al PILC STAS</v>
      </c>
      <c r="BL181" s="9">
        <f>TIM[[#This Row],[Voltage]]</f>
        <v>11</v>
      </c>
    </row>
    <row r="182" spans="1:64" ht="15" customHeight="1" x14ac:dyDescent="0.25">
      <c r="A182" s="6" t="str">
        <f>CONCATENATE(TIM[[#This Row],[Supply Level]],TIM[[#This Row],[Station/Feeder]],TIM[[#This Row],[Voltage]])</f>
        <v>DistributionFeederCB10_Ashbury Park11</v>
      </c>
      <c r="B182" s="6" t="str">
        <f>CONCATENATE(TIM[[#This Row],[Supply Level]],TIM[[#This Row],[Station/Feeder]],TIM[[#This Row],[Equipment ID]],TIM[[#This Row],[Voltage]],TIM[[#This Row],[Device type]])</f>
        <v>DistributionFeederCB10_Ashbury Park3c 0.25in² Al PILC STAS11-</v>
      </c>
      <c r="C182" s="6" t="s">
        <v>1276</v>
      </c>
      <c r="D182" s="11" t="s">
        <v>189</v>
      </c>
      <c r="E182" s="6" t="s">
        <v>750</v>
      </c>
      <c r="F182" s="6" t="s">
        <v>750</v>
      </c>
      <c r="G182" s="27">
        <v>3</v>
      </c>
      <c r="H182" s="6" t="s">
        <v>888</v>
      </c>
      <c r="I182" s="7" t="s">
        <v>911</v>
      </c>
      <c r="J182" s="7" t="s">
        <v>250</v>
      </c>
      <c r="K182" s="49" t="s">
        <v>0</v>
      </c>
      <c r="L182" s="49" t="s">
        <v>0</v>
      </c>
      <c r="M182" s="8">
        <v>11</v>
      </c>
      <c r="N182" s="9">
        <v>265</v>
      </c>
      <c r="O182" s="9">
        <f t="shared" si="0"/>
        <v>5.0489281040632772</v>
      </c>
      <c r="P182" s="9">
        <v>265</v>
      </c>
      <c r="Q182" s="9">
        <f t="shared" si="1"/>
        <v>5.0489281040632772</v>
      </c>
      <c r="R182" s="9">
        <v>265</v>
      </c>
      <c r="S182" s="9">
        <f t="shared" si="2"/>
        <v>5.0489281040632772</v>
      </c>
      <c r="T182" s="9" t="s">
        <v>0</v>
      </c>
      <c r="U182" s="9" t="str">
        <f t="shared" si="3"/>
        <v>-</v>
      </c>
      <c r="V182" s="9" t="s">
        <v>0</v>
      </c>
      <c r="W182" s="9" t="str">
        <f t="shared" si="4"/>
        <v>-</v>
      </c>
      <c r="X182" s="9" t="s">
        <v>0</v>
      </c>
      <c r="Y182" s="9" t="str">
        <f t="shared" si="5"/>
        <v>-</v>
      </c>
      <c r="Z182" s="9" t="s">
        <v>0</v>
      </c>
      <c r="AA182" s="9" t="str">
        <f t="shared" si="6"/>
        <v>-</v>
      </c>
      <c r="AB182" s="9" t="s">
        <v>0</v>
      </c>
      <c r="AC182" s="9" t="str">
        <f t="shared" si="7"/>
        <v>-</v>
      </c>
      <c r="AD182" s="9" t="s">
        <v>0</v>
      </c>
      <c r="AE182" s="12" t="str">
        <f t="shared" si="8"/>
        <v>-</v>
      </c>
      <c r="AF182" s="9" t="s">
        <v>716</v>
      </c>
      <c r="AG182" s="9" t="s">
        <v>0</v>
      </c>
      <c r="AH182" s="9">
        <v>155.30000000000001</v>
      </c>
      <c r="AI182" s="9">
        <v>0.8</v>
      </c>
      <c r="AJ182" s="32">
        <v>1</v>
      </c>
      <c r="AK182" s="9">
        <v>18.5</v>
      </c>
      <c r="AL182" s="32">
        <v>0.95</v>
      </c>
      <c r="AM182" s="9">
        <v>1.2</v>
      </c>
      <c r="AN182" s="32">
        <v>1</v>
      </c>
      <c r="AO182" s="9">
        <v>3</v>
      </c>
      <c r="AP182" s="9">
        <v>0.3</v>
      </c>
      <c r="AQ182" s="32">
        <v>0.8</v>
      </c>
      <c r="AR182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201.4</v>
      </c>
      <c r="AS182" s="9">
        <f t="shared" si="9"/>
        <v>3.8371853590880907</v>
      </c>
      <c r="AT182" s="9">
        <f>IF(RIGHT(TIM[[#This Row],[Device type]],7)="Winding","-",TIM[[#This Row],[Cont Winter MVA]])</f>
        <v>5.0489281040632772</v>
      </c>
      <c r="AU182" s="9">
        <f>IF(RIGHT(TIM[[#This Row],[Device type]],7)="Winding","-",TIM[[#This Row],[Cont Shoulder MVA]])</f>
        <v>5.0489281040632772</v>
      </c>
      <c r="AV182" s="9">
        <f>IF(RIGHT(TIM[[#This Row],[Device type]],7)="Winding","-",TIM[[#This Row],[Cont Summer MVA]])</f>
        <v>5.0489281040632772</v>
      </c>
      <c r="AW182" s="9" t="str">
        <f>TIM[[#This Row],[24 Hr Winter MVA]]</f>
        <v>-</v>
      </c>
      <c r="AX182" s="9" t="str">
        <f>TIM[[#This Row],[24 Hr Summer MVA]]</f>
        <v>-</v>
      </c>
      <c r="AY182" s="9" t="str">
        <f>TIM[[#This Row],[Forwards MVA]]</f>
        <v>-</v>
      </c>
      <c r="AZ182" s="9" t="str">
        <f>TIM[[#This Row],[Relay MVA]]</f>
        <v>-</v>
      </c>
      <c r="BA182" s="9" t="str">
        <f>TIM[[#This Row],[CT MVA]]</f>
        <v>-</v>
      </c>
      <c r="BB182" s="9">
        <f>TIM[[#This Row],[Derating MVA]]</f>
        <v>3.8371853590880907</v>
      </c>
      <c r="BC182" s="9" t="str">
        <f>TIM[[#This Row],[Station/Feeder]]&amp;TIM[[#This Row],[Lowest MVA]]</f>
        <v>CB10_Ashbury Park3.83718535908809</v>
      </c>
      <c r="BD182" s="9" t="str">
        <f>CONCATENATE(TIM[[#This Row],[Supply Level]],TIM[[#This Row],[Station/Feeder]],TIM[[#This Row],[Voltage]],TIM[[#This Row],[Lowest A-No PTX]])</f>
        <v>DistributionFeederCB10_Ashbury Park11201.4</v>
      </c>
      <c r="BE182" s="9" t="str">
        <f>CONCATENATE(TIM[[#This Row],[Supply Level]],TIM[[#This Row],[Station/Feeder]],TIM[[#This Row],[Voltage]],TIM[[#This Row],[Lowest A-PTX]])</f>
        <v>DistributionFeederCB10_Ashbury Park11201.4</v>
      </c>
      <c r="BF182" s="9">
        <f>IFERROR(IF(MIN(TIM[[#This Row],[Summ Cont Winter A]:[Cable Derating]])=0,"",MIN(TIM[[#This Row],[Summ Cont Winter A]:[Cable Derating]])),"")</f>
        <v>3.8371853590880907</v>
      </c>
      <c r="BG182" s="9">
        <f>IFERROR(TIM[[#This Row],[Lowest MVA]]*1000/(TIM[[#This Row],[Voltage]]*SQRT(3)),"")</f>
        <v>201.4</v>
      </c>
      <c r="BH182" s="9">
        <f t="shared" si="271"/>
        <v>201.4</v>
      </c>
      <c r="BI182" s="9" t="str">
        <f>TIM[[#This Row],[From]]</f>
        <v>Joint</v>
      </c>
      <c r="BJ182" s="9" t="str">
        <f>TIM[[#This Row],[To]]</f>
        <v>Joint</v>
      </c>
      <c r="BK18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0.25in² Al PILC STAS</v>
      </c>
      <c r="BL182" s="9">
        <f>TIM[[#This Row],[Voltage]]</f>
        <v>11</v>
      </c>
    </row>
    <row r="183" spans="1:64" ht="15" customHeight="1" x14ac:dyDescent="0.25">
      <c r="A183" s="6" t="str">
        <f>CONCATENATE(TIM[[#This Row],[Supply Level]],TIM[[#This Row],[Station/Feeder]],TIM[[#This Row],[Voltage]])</f>
        <v>DistributionFeederCB10_Ashbury Park11</v>
      </c>
      <c r="B183" s="6" t="str">
        <f>CONCATENATE(TIM[[#This Row],[Supply Level]],TIM[[#This Row],[Station/Feeder]],TIM[[#This Row],[Equipment ID]],TIM[[#This Row],[Voltage]],TIM[[#This Row],[Device type]])</f>
        <v>DistributionFeederCB10_Ashbury Park3c 185mm² Al PILC SWAS11-</v>
      </c>
      <c r="C183" s="6" t="s">
        <v>1276</v>
      </c>
      <c r="D183" s="11" t="s">
        <v>189</v>
      </c>
      <c r="E183" s="6" t="s">
        <v>750</v>
      </c>
      <c r="F183" s="6" t="s">
        <v>912</v>
      </c>
      <c r="G183" s="27">
        <v>4</v>
      </c>
      <c r="H183" s="6" t="s">
        <v>888</v>
      </c>
      <c r="I183" s="7" t="s">
        <v>913</v>
      </c>
      <c r="J183" s="7" t="s">
        <v>250</v>
      </c>
      <c r="K183" s="49" t="s">
        <v>0</v>
      </c>
      <c r="L183" s="49" t="s">
        <v>0</v>
      </c>
      <c r="M183" s="8">
        <v>11</v>
      </c>
      <c r="N183" s="9">
        <v>300</v>
      </c>
      <c r="O183" s="9">
        <f t="shared" si="0"/>
        <v>5.715767664977295</v>
      </c>
      <c r="P183" s="9">
        <v>300</v>
      </c>
      <c r="Q183" s="9">
        <f t="shared" si="1"/>
        <v>5.715767664977295</v>
      </c>
      <c r="R183" s="9">
        <v>300</v>
      </c>
      <c r="S183" s="9">
        <f t="shared" si="2"/>
        <v>5.715767664977295</v>
      </c>
      <c r="T183" s="9" t="s">
        <v>0</v>
      </c>
      <c r="U183" s="9" t="str">
        <f t="shared" si="3"/>
        <v>-</v>
      </c>
      <c r="V183" s="9" t="s">
        <v>0</v>
      </c>
      <c r="W183" s="9" t="str">
        <f t="shared" si="4"/>
        <v>-</v>
      </c>
      <c r="X183" s="9" t="s">
        <v>0</v>
      </c>
      <c r="Y183" s="9" t="str">
        <f t="shared" si="5"/>
        <v>-</v>
      </c>
      <c r="Z183" s="9" t="s">
        <v>0</v>
      </c>
      <c r="AA183" s="9" t="str">
        <f t="shared" si="6"/>
        <v>-</v>
      </c>
      <c r="AB183" s="9" t="s">
        <v>0</v>
      </c>
      <c r="AC183" s="9" t="str">
        <f t="shared" si="7"/>
        <v>-</v>
      </c>
      <c r="AD183" s="9" t="s">
        <v>0</v>
      </c>
      <c r="AE183" s="12" t="str">
        <f t="shared" si="8"/>
        <v>-</v>
      </c>
      <c r="AF183" s="9" t="s">
        <v>716</v>
      </c>
      <c r="AG183" s="9" t="s">
        <v>0</v>
      </c>
      <c r="AH183" s="9">
        <v>47</v>
      </c>
      <c r="AI183" s="9">
        <v>0.8</v>
      </c>
      <c r="AJ183" s="32">
        <v>1</v>
      </c>
      <c r="AK183" s="9">
        <v>18.5</v>
      </c>
      <c r="AL183" s="32">
        <v>0.95</v>
      </c>
      <c r="AM183" s="9">
        <v>1.2</v>
      </c>
      <c r="AN183" s="32">
        <v>1</v>
      </c>
      <c r="AO183" s="9">
        <v>3</v>
      </c>
      <c r="AP183" s="9">
        <v>0.3</v>
      </c>
      <c r="AQ183" s="32">
        <v>0.8</v>
      </c>
      <c r="AR183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228</v>
      </c>
      <c r="AS183" s="9">
        <f t="shared" si="9"/>
        <v>4.3439834253827438</v>
      </c>
      <c r="AT183" s="9">
        <f>IF(RIGHT(TIM[[#This Row],[Device type]],7)="Winding","-",TIM[[#This Row],[Cont Winter MVA]])</f>
        <v>5.715767664977295</v>
      </c>
      <c r="AU183" s="9">
        <f>IF(RIGHT(TIM[[#This Row],[Device type]],7)="Winding","-",TIM[[#This Row],[Cont Shoulder MVA]])</f>
        <v>5.715767664977295</v>
      </c>
      <c r="AV183" s="9">
        <f>IF(RIGHT(TIM[[#This Row],[Device type]],7)="Winding","-",TIM[[#This Row],[Cont Summer MVA]])</f>
        <v>5.715767664977295</v>
      </c>
      <c r="AW183" s="9" t="str">
        <f>TIM[[#This Row],[24 Hr Winter MVA]]</f>
        <v>-</v>
      </c>
      <c r="AX183" s="9" t="str">
        <f>TIM[[#This Row],[24 Hr Summer MVA]]</f>
        <v>-</v>
      </c>
      <c r="AY183" s="9" t="str">
        <f>TIM[[#This Row],[Forwards MVA]]</f>
        <v>-</v>
      </c>
      <c r="AZ183" s="9" t="str">
        <f>TIM[[#This Row],[Relay MVA]]</f>
        <v>-</v>
      </c>
      <c r="BA183" s="9" t="str">
        <f>TIM[[#This Row],[CT MVA]]</f>
        <v>-</v>
      </c>
      <c r="BB183" s="9">
        <f>TIM[[#This Row],[Derating MVA]]</f>
        <v>4.3439834253827438</v>
      </c>
      <c r="BC183" s="9" t="str">
        <f>TIM[[#This Row],[Station/Feeder]]&amp;TIM[[#This Row],[Lowest MVA]]</f>
        <v>CB10_Ashbury Park4.34398342538274</v>
      </c>
      <c r="BD183" s="9" t="str">
        <f>CONCATENATE(TIM[[#This Row],[Supply Level]],TIM[[#This Row],[Station/Feeder]],TIM[[#This Row],[Voltage]],TIM[[#This Row],[Lowest A-No PTX]])</f>
        <v>DistributionFeederCB10_Ashbury Park11228</v>
      </c>
      <c r="BE183" s="9" t="str">
        <f>CONCATENATE(TIM[[#This Row],[Supply Level]],TIM[[#This Row],[Station/Feeder]],TIM[[#This Row],[Voltage]],TIM[[#This Row],[Lowest A-PTX]])</f>
        <v>DistributionFeederCB10_Ashbury Park11228</v>
      </c>
      <c r="BF183" s="9">
        <f>IFERROR(IF(MIN(TIM[[#This Row],[Summ Cont Winter A]:[Cable Derating]])=0,"",MIN(TIM[[#This Row],[Summ Cont Winter A]:[Cable Derating]])),"")</f>
        <v>4.3439834253827438</v>
      </c>
      <c r="BG183" s="9">
        <f>IFERROR(TIM[[#This Row],[Lowest MVA]]*1000/(TIM[[#This Row],[Voltage]]*SQRT(3)),"")</f>
        <v>228</v>
      </c>
      <c r="BH183" s="9">
        <f t="shared" si="271"/>
        <v>228</v>
      </c>
      <c r="BI183" s="9" t="str">
        <f>TIM[[#This Row],[From]]</f>
        <v>Joint</v>
      </c>
      <c r="BJ183" s="9" t="str">
        <f>TIM[[#This Row],[To]]</f>
        <v>TEM1 RMU</v>
      </c>
      <c r="BK18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PILC SWAS</v>
      </c>
      <c r="BL183" s="9">
        <f>TIM[[#This Row],[Voltage]]</f>
        <v>11</v>
      </c>
    </row>
    <row r="184" spans="1:64" ht="15" hidden="1" customHeight="1" x14ac:dyDescent="0.25">
      <c r="A184" s="6" t="str">
        <f>CONCATENATE(TIM[[#This Row],[Supply Level]],TIM[[#This Row],[Station/Feeder]],TIM[[#This Row],[Voltage]])</f>
        <v>ZoneSubstationGRM11</v>
      </c>
      <c r="B184" s="6" t="str">
        <f>CONCATENATE(TIM[[#This Row],[Supply Level]],TIM[[#This Row],[Station/Feeder]],TIM[[#This Row],[Equipment ID]],TIM[[#This Row],[Voltage]],TIM[[#This Row],[Device type]])</f>
        <v>ZoneSubstationGRM11 kV Switchboard11-</v>
      </c>
      <c r="C184" s="6" t="s">
        <v>1246</v>
      </c>
      <c r="D184" s="6" t="s">
        <v>161</v>
      </c>
      <c r="E184" s="6" t="s">
        <v>243</v>
      </c>
      <c r="F184" s="6" t="s">
        <v>243</v>
      </c>
      <c r="G184" s="8"/>
      <c r="H184" s="6" t="s">
        <v>1356</v>
      </c>
      <c r="I184" s="6" t="s">
        <v>1357</v>
      </c>
      <c r="J184" s="6" t="s">
        <v>1358</v>
      </c>
      <c r="K184" s="6" t="s">
        <v>0</v>
      </c>
      <c r="L184" s="6" t="s">
        <v>0</v>
      </c>
      <c r="M184" s="8">
        <v>11</v>
      </c>
      <c r="N184" s="9">
        <v>3000</v>
      </c>
      <c r="O184" s="9">
        <f>IF(OR(N184="",N184="-"),"-",N184*$M184*SQRT(3)/1000)</f>
        <v>57.157676649772945</v>
      </c>
      <c r="P184" s="9">
        <v>3000</v>
      </c>
      <c r="Q184" s="9">
        <f>IF(OR(P184="",P184="-"),"-",P184*$M184*SQRT(3)/1000)</f>
        <v>57.157676649772945</v>
      </c>
      <c r="R184" s="9">
        <v>3000</v>
      </c>
      <c r="S184" s="9">
        <f>IF(OR(R184="",R184="-"),"-",R184*$M184*SQRT(3)/1000)</f>
        <v>57.157676649772945</v>
      </c>
      <c r="T184" s="9" t="s">
        <v>0</v>
      </c>
      <c r="U184" s="9" t="str">
        <f>IF(OR(T184="",T184="-"),"-",T184*$M184*SQRT(3)/1000)</f>
        <v>-</v>
      </c>
      <c r="V184" s="9" t="s">
        <v>0</v>
      </c>
      <c r="W184" s="9" t="str">
        <f>IF(OR(V184="",V184="-"),"-",V184*$M184*SQRT(3)/1000)</f>
        <v>-</v>
      </c>
      <c r="X184" s="9">
        <v>3000</v>
      </c>
      <c r="Y184" s="9">
        <f>IF(OR(X184="",X184="-"),"-",X184*$M184*SQRT(3)/1000)</f>
        <v>57.157676649772945</v>
      </c>
      <c r="Z184" s="9" t="s">
        <v>0</v>
      </c>
      <c r="AA184" s="9" t="str">
        <f>IF(OR(Z184="",Z184="-"),"-",Z184*$M184*SQRT(3)/1000)</f>
        <v>-</v>
      </c>
      <c r="AB184" s="9" t="s">
        <v>0</v>
      </c>
      <c r="AC184" s="9" t="str">
        <f>IF(OR(AB184="",AB184="-"),"-",AB184*$M184*SQRT(3)/1000)</f>
        <v>-</v>
      </c>
      <c r="AD184" s="9" t="s">
        <v>0</v>
      </c>
      <c r="AE184" s="9" t="str">
        <f>IF(OR(AD184="",AD184="-"),"-",AD184*$M184*SQRT(3)/1000)</f>
        <v>-</v>
      </c>
      <c r="AF184" s="9" t="s">
        <v>0</v>
      </c>
      <c r="AG184" s="9" t="s">
        <v>0</v>
      </c>
      <c r="AH184" s="9" t="s">
        <v>0</v>
      </c>
      <c r="AI184" s="9" t="s">
        <v>0</v>
      </c>
      <c r="AJ184" s="43" t="s">
        <v>0</v>
      </c>
      <c r="AK184" s="9" t="s">
        <v>0</v>
      </c>
      <c r="AL184" s="43" t="s">
        <v>0</v>
      </c>
      <c r="AM184" s="9" t="s">
        <v>0</v>
      </c>
      <c r="AN184" s="43" t="s">
        <v>0</v>
      </c>
      <c r="AO184" s="9" t="s">
        <v>0</v>
      </c>
      <c r="AP184" s="9" t="s">
        <v>0</v>
      </c>
      <c r="AQ184" s="43" t="s">
        <v>0</v>
      </c>
      <c r="AR18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84" s="9" t="str">
        <f>IF(OR(AR184="",AR184="-"),"-",AR184*$M184*SQRT(3)/1000)</f>
        <v>-</v>
      </c>
      <c r="AT184" s="9">
        <f>IF(RIGHT(TIM[[#This Row],[Device type]],7)="Winding","-",TIM[[#This Row],[Cont Winter MVA]])</f>
        <v>57.157676649772945</v>
      </c>
      <c r="AU184" s="9">
        <f>IF(RIGHT(TIM[[#This Row],[Device type]],7)="Winding","-",TIM[[#This Row],[Cont Shoulder MVA]])</f>
        <v>57.157676649772945</v>
      </c>
      <c r="AV184" s="9">
        <f>IF(RIGHT(TIM[[#This Row],[Device type]],7)="Winding","-",TIM[[#This Row],[Cont Summer MVA]])</f>
        <v>57.157676649772945</v>
      </c>
      <c r="AW184" s="9" t="str">
        <f>TIM[[#This Row],[24 Hr Winter MVA]]</f>
        <v>-</v>
      </c>
      <c r="AX184" s="9" t="str">
        <f>TIM[[#This Row],[24 Hr Summer MVA]]</f>
        <v>-</v>
      </c>
      <c r="AY184" s="9">
        <f>TIM[[#This Row],[Forwards MVA]]</f>
        <v>57.157676649772945</v>
      </c>
      <c r="AZ184" s="9" t="str">
        <f>TIM[[#This Row],[Relay MVA]]</f>
        <v>-</v>
      </c>
      <c r="BA184" s="9" t="str">
        <f>TIM[[#This Row],[CT MVA]]</f>
        <v>-</v>
      </c>
      <c r="BB184" s="9" t="str">
        <f>TIM[[#This Row],[Derating MVA]]</f>
        <v>-</v>
      </c>
      <c r="BC184" s="9" t="str">
        <f>TIM[[#This Row],[Station/Feeder]]&amp;TIM[[#This Row],[Lowest MVA]]</f>
        <v>GRM57.1576766497729</v>
      </c>
      <c r="BD184" s="9" t="str">
        <f>CONCATENATE(TIM[[#This Row],[Supply Level]],TIM[[#This Row],[Station/Feeder]],TIM[[#This Row],[Voltage]],TIM[[#This Row],[Lowest A-No PTX]])</f>
        <v>ZoneSubstationGRM113000</v>
      </c>
      <c r="BE184" s="9" t="str">
        <f>CONCATENATE(TIM[[#This Row],[Supply Level]],TIM[[#This Row],[Station/Feeder]],TIM[[#This Row],[Voltage]],TIM[[#This Row],[Lowest A-PTX]])</f>
        <v>ZoneSubstationGRM113000</v>
      </c>
      <c r="BF184" s="9">
        <f>IFERROR(IF(MIN(TIM[[#This Row],[Summ Cont Winter A]:[Cable Derating]])=0,"",MIN(TIM[[#This Row],[Summ Cont Winter A]:[Cable Derating]])),"")</f>
        <v>57.157676649772945</v>
      </c>
      <c r="BG184" s="9">
        <f>IFERROR(TIM[[#This Row],[Lowest MVA]]*1000/(TIM[[#This Row],[Voltage]]*SQRT(3)),"")</f>
        <v>3000</v>
      </c>
      <c r="BH184" s="9">
        <f t="shared" si="271"/>
        <v>3000</v>
      </c>
      <c r="BI184" s="9" t="str">
        <f>TIM[[#This Row],[From]]</f>
        <v>11 kV Bus</v>
      </c>
      <c r="BJ184" s="9" t="str">
        <f>TIM[[#This Row],[To]]</f>
        <v>11 kV Bus</v>
      </c>
      <c r="BK184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Switchboard - 11 kV Switchboard</v>
      </c>
      <c r="BL184" s="9">
        <f>TIM[[#This Row],[Voltage]]</f>
        <v>11</v>
      </c>
    </row>
    <row r="185" spans="1:64" ht="15" hidden="1" customHeight="1" x14ac:dyDescent="0.25">
      <c r="A185" s="6" t="str">
        <f>CONCATENATE(TIM[[#This Row],[Supply Level]],TIM[[#This Row],[Station/Feeder]],TIM[[#This Row],[Voltage]])</f>
        <v>SubTransmissionGRM11</v>
      </c>
      <c r="B185" s="6" t="str">
        <f>CONCATENATE(TIM[[#This Row],[Supply Level]],TIM[[#This Row],[Station/Feeder]],TIM[[#This Row],[Equipment ID]],TIM[[#This Row],[Voltage]],TIM[[#This Row],[Device type]])</f>
        <v>SubTransmissionGRMGRM-CB3111Protection</v>
      </c>
      <c r="C185" s="6" t="s">
        <v>1245</v>
      </c>
      <c r="D185" s="6" t="s">
        <v>161</v>
      </c>
      <c r="E185" s="6" t="s">
        <v>914</v>
      </c>
      <c r="F185" s="6" t="s">
        <v>915</v>
      </c>
      <c r="G185" s="27">
        <v>1</v>
      </c>
      <c r="H185" s="6" t="s">
        <v>887</v>
      </c>
      <c r="I185" s="7" t="s">
        <v>2249</v>
      </c>
      <c r="J185" s="7" t="s">
        <v>15</v>
      </c>
      <c r="K185" s="49" t="s">
        <v>791</v>
      </c>
      <c r="L185" s="7" t="s">
        <v>1423</v>
      </c>
      <c r="M185" s="8">
        <v>11</v>
      </c>
      <c r="N185" s="9" t="s">
        <v>0</v>
      </c>
      <c r="O185" s="9" t="str">
        <f>IF(OR(N185="",N185="-"),"-",N185*$M185*SQRT(3)/1000)</f>
        <v>-</v>
      </c>
      <c r="P185" s="9" t="s">
        <v>0</v>
      </c>
      <c r="Q185" s="9" t="str">
        <f>IF(OR(P185="",P185="-"),"-",P185*$M185*SQRT(3)/1000)</f>
        <v>-</v>
      </c>
      <c r="R185" s="9" t="s">
        <v>0</v>
      </c>
      <c r="S185" s="9" t="str">
        <f>IF(OR(R185="",R185="-"),"-",R185*$M185*SQRT(3)/1000)</f>
        <v>-</v>
      </c>
      <c r="T185" s="9" t="s">
        <v>0</v>
      </c>
      <c r="U185" s="9" t="str">
        <f>IF(OR(T185="",T185="-"),"-",T185*$M185*SQRT(3)/1000)</f>
        <v>-</v>
      </c>
      <c r="V185" s="9" t="s">
        <v>0</v>
      </c>
      <c r="W185" s="9" t="str">
        <f>IF(OR(V185="",V185="-"),"-",V185*$M185*SQRT(3)/1000)</f>
        <v>-</v>
      </c>
      <c r="X185" s="9" t="s">
        <v>0</v>
      </c>
      <c r="Y185" s="9" t="str">
        <f>IF(OR(X185="",X185="-"),"-",X185*$M185*SQRT(3)/1000)</f>
        <v>-</v>
      </c>
      <c r="Z185" s="9" t="s">
        <v>0</v>
      </c>
      <c r="AA185" s="9" t="str">
        <f>IF(OR(Z185="",Z185="-"),"-",Z185*$M185*SQRT(3)/1000)</f>
        <v>-</v>
      </c>
      <c r="AB185" s="9" t="s">
        <v>0</v>
      </c>
      <c r="AC185" s="9" t="str">
        <f>IF(OR(AB185="",AB185="-"),"-",AB185*$M185*SQRT(3)/1000)</f>
        <v>-</v>
      </c>
      <c r="AD185" s="9" t="s">
        <v>0</v>
      </c>
      <c r="AE185" s="12" t="str">
        <f>IF(OR(AD185="",AD185="-"),"-",AD185*$M185*SQRT(3)/1000)</f>
        <v>-</v>
      </c>
      <c r="AF185" s="9" t="s">
        <v>0</v>
      </c>
      <c r="AG185" s="9" t="s">
        <v>0</v>
      </c>
      <c r="AH185" s="9" t="s">
        <v>0</v>
      </c>
      <c r="AI185" s="9" t="s">
        <v>0</v>
      </c>
      <c r="AJ185" s="32" t="s">
        <v>0</v>
      </c>
      <c r="AK185" s="9" t="s">
        <v>0</v>
      </c>
      <c r="AL185" s="32" t="s">
        <v>0</v>
      </c>
      <c r="AM185" s="9" t="s">
        <v>0</v>
      </c>
      <c r="AN185" s="32" t="s">
        <v>0</v>
      </c>
      <c r="AO185" s="9" t="s">
        <v>0</v>
      </c>
      <c r="AP185" s="9" t="s">
        <v>0</v>
      </c>
      <c r="AQ185" s="32" t="s">
        <v>0</v>
      </c>
      <c r="AR185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85" s="9" t="str">
        <f>IF(OR(AR185="",AR185="-"),"-",AR185*$M185*SQRT(3)/1000)</f>
        <v>-</v>
      </c>
      <c r="AT185" s="9" t="str">
        <f>IF(RIGHT(TIM[[#This Row],[Device type]],7)="Winding","-",TIM[[#This Row],[Cont Winter MVA]])</f>
        <v>-</v>
      </c>
      <c r="AU185" s="9" t="str">
        <f>IF(RIGHT(TIM[[#This Row],[Device type]],7)="Winding","-",TIM[[#This Row],[Cont Shoulder MVA]])</f>
        <v>-</v>
      </c>
      <c r="AV185" s="9" t="str">
        <f>IF(RIGHT(TIM[[#This Row],[Device type]],7)="Winding","-",TIM[[#This Row],[Cont Summer MVA]])</f>
        <v>-</v>
      </c>
      <c r="AW185" s="9" t="str">
        <f>TIM[[#This Row],[24 Hr Winter MVA]]</f>
        <v>-</v>
      </c>
      <c r="AX185" s="9" t="str">
        <f>TIM[[#This Row],[24 Hr Summer MVA]]</f>
        <v>-</v>
      </c>
      <c r="AY185" s="9" t="str">
        <f>TIM[[#This Row],[Forwards MVA]]</f>
        <v>-</v>
      </c>
      <c r="AZ185" s="9" t="str">
        <f>TIM[[#This Row],[Relay MVA]]</f>
        <v>-</v>
      </c>
      <c r="BA185" s="9" t="str">
        <f>TIM[[#This Row],[CT MVA]]</f>
        <v>-</v>
      </c>
      <c r="BB185" s="9" t="str">
        <f>TIM[[#This Row],[Derating MVA]]</f>
        <v>-</v>
      </c>
      <c r="BC185" s="9" t="str">
        <f>TIM[[#This Row],[Station/Feeder]]&amp;TIM[[#This Row],[Lowest MVA]]</f>
        <v>GRM</v>
      </c>
      <c r="BD185" s="9" t="str">
        <f>CONCATENATE(TIM[[#This Row],[Supply Level]],TIM[[#This Row],[Station/Feeder]],TIM[[#This Row],[Voltage]],TIM[[#This Row],[Lowest A-No PTX]])</f>
        <v>SubTransmissionGRM11</v>
      </c>
      <c r="BE185" s="9" t="str">
        <f>CONCATENATE(TIM[[#This Row],[Supply Level]],TIM[[#This Row],[Station/Feeder]],TIM[[#This Row],[Voltage]],TIM[[#This Row],[Lowest A-PTX]])</f>
        <v>SubTransmissionGRM11</v>
      </c>
      <c r="BF185" s="9" t="str">
        <f>IFERROR(IF(MIN(TIM[[#This Row],[Summ Cont Winter A]:[Cable Derating]])=0,"",MIN(TIM[[#This Row],[Summ Cont Winter A]:[Cable Derating]])),"")</f>
        <v/>
      </c>
      <c r="BG185" s="9" t="str">
        <f>IFERROR(TIM[[#This Row],[Lowest MVA]]*1000/(TIM[[#This Row],[Voltage]]*SQRT(3)),"")</f>
        <v/>
      </c>
      <c r="BH185" s="9" t="str">
        <f t="shared" si="271"/>
        <v/>
      </c>
      <c r="BI185" s="9" t="str">
        <f>TIM[[#This Row],[From]]</f>
        <v>TEGRASMERE31</v>
      </c>
      <c r="BJ185" s="9" t="str">
        <f>TIM[[#This Row],[To]]</f>
        <v>TEGRASMERE32</v>
      </c>
      <c r="BK18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Breaker-GRM-CB31-Protection</v>
      </c>
      <c r="BL185" s="9">
        <f>TIM[[#This Row],[Voltage]]</f>
        <v>11</v>
      </c>
    </row>
    <row r="186" spans="1:64" ht="15" customHeight="1" x14ac:dyDescent="0.25">
      <c r="A186" s="6" t="str">
        <f>CONCATENATE(TIM[[#This Row],[Supply Level]],TIM[[#This Row],[Station/Feeder]],TIM[[#This Row],[Voltage]])</f>
        <v>DistributionFeederCB12_Selwyn St11</v>
      </c>
      <c r="B186" s="6" t="str">
        <f>CONCATENATE(TIM[[#This Row],[Supply Level]],TIM[[#This Row],[Station/Feeder]],TIM[[#This Row],[Equipment ID]],TIM[[#This Row],[Voltage]],TIM[[#This Row],[Device type]])</f>
        <v>DistributionFeederCB12_Selwyn StGRM-CB1211Protection</v>
      </c>
      <c r="C186" s="6" t="s">
        <v>1276</v>
      </c>
      <c r="D186" s="11" t="s">
        <v>191</v>
      </c>
      <c r="E186" s="6" t="s">
        <v>243</v>
      </c>
      <c r="F186" s="6" t="s">
        <v>916</v>
      </c>
      <c r="G186" s="27">
        <v>1</v>
      </c>
      <c r="H186" s="6" t="s">
        <v>887</v>
      </c>
      <c r="I186" s="7" t="s">
        <v>2250</v>
      </c>
      <c r="J186" s="7" t="s">
        <v>15</v>
      </c>
      <c r="K186" s="49" t="s">
        <v>791</v>
      </c>
      <c r="L186" s="49" t="s">
        <v>1423</v>
      </c>
      <c r="M186" s="8">
        <v>11</v>
      </c>
      <c r="N186" s="9">
        <v>1250</v>
      </c>
      <c r="O186" s="9">
        <f t="shared" si="0"/>
        <v>23.815698604072061</v>
      </c>
      <c r="P186" s="9">
        <v>1250</v>
      </c>
      <c r="Q186" s="9">
        <f t="shared" si="1"/>
        <v>23.815698604072061</v>
      </c>
      <c r="R186" s="9">
        <v>1250</v>
      </c>
      <c r="S186" s="9">
        <f t="shared" si="2"/>
        <v>23.815698604072061</v>
      </c>
      <c r="T186" s="9" t="s">
        <v>0</v>
      </c>
      <c r="U186" s="9" t="str">
        <f t="shared" si="3"/>
        <v>-</v>
      </c>
      <c r="V186" s="9" t="s">
        <v>0</v>
      </c>
      <c r="W186" s="9" t="str">
        <f t="shared" si="4"/>
        <v>-</v>
      </c>
      <c r="X186" s="9">
        <f>VLOOKUP(TIM[[#This Row],[Equipment ID]],AEL_Protection_Data[#All],12,0)</f>
        <v>304</v>
      </c>
      <c r="Y186" s="9">
        <f t="shared" si="5"/>
        <v>5.7919779005103251</v>
      </c>
      <c r="Z186" s="9" t="s">
        <v>0</v>
      </c>
      <c r="AA186" s="9" t="str">
        <f t="shared" si="6"/>
        <v>-</v>
      </c>
      <c r="AB186" s="9">
        <v>800</v>
      </c>
      <c r="AC186" s="9">
        <f t="shared" si="7"/>
        <v>15.242047106606121</v>
      </c>
      <c r="AD186" s="9">
        <v>800</v>
      </c>
      <c r="AE186" s="12">
        <f t="shared" si="8"/>
        <v>15.242047106606121</v>
      </c>
      <c r="AF186" s="9" t="s">
        <v>0</v>
      </c>
      <c r="AG186" s="9" t="s">
        <v>0</v>
      </c>
      <c r="AH186" s="9" t="s">
        <v>0</v>
      </c>
      <c r="AI186" s="9" t="s">
        <v>0</v>
      </c>
      <c r="AJ186" s="32" t="s">
        <v>0</v>
      </c>
      <c r="AK186" s="9" t="s">
        <v>0</v>
      </c>
      <c r="AL186" s="32" t="s">
        <v>0</v>
      </c>
      <c r="AM186" s="9" t="s">
        <v>0</v>
      </c>
      <c r="AN186" s="32" t="s">
        <v>0</v>
      </c>
      <c r="AO186" s="9" t="s">
        <v>0</v>
      </c>
      <c r="AP186" s="9" t="s">
        <v>0</v>
      </c>
      <c r="AQ186" s="32" t="s">
        <v>0</v>
      </c>
      <c r="AR186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86" s="9" t="str">
        <f t="shared" si="9"/>
        <v>-</v>
      </c>
      <c r="AT186" s="9">
        <f>IF(RIGHT(TIM[[#This Row],[Device type]],7)="Winding","-",TIM[[#This Row],[Cont Winter MVA]])</f>
        <v>23.815698604072061</v>
      </c>
      <c r="AU186" s="9">
        <f>IF(RIGHT(TIM[[#This Row],[Device type]],7)="Winding","-",TIM[[#This Row],[Cont Shoulder MVA]])</f>
        <v>23.815698604072061</v>
      </c>
      <c r="AV186" s="9">
        <f>IF(RIGHT(TIM[[#This Row],[Device type]],7)="Winding","-",TIM[[#This Row],[Cont Summer MVA]])</f>
        <v>23.815698604072061</v>
      </c>
      <c r="AW186" s="9" t="str">
        <f>TIM[[#This Row],[24 Hr Winter MVA]]</f>
        <v>-</v>
      </c>
      <c r="AX186" s="9" t="str">
        <f>TIM[[#This Row],[24 Hr Summer MVA]]</f>
        <v>-</v>
      </c>
      <c r="AY186" s="9">
        <f>TIM[[#This Row],[Forwards MVA]]</f>
        <v>5.7919779005103251</v>
      </c>
      <c r="AZ186" s="9">
        <f>TIM[[#This Row],[Relay MVA]]</f>
        <v>15.242047106606121</v>
      </c>
      <c r="BA186" s="9">
        <f>TIM[[#This Row],[CT MVA]]</f>
        <v>15.242047106606121</v>
      </c>
      <c r="BB186" s="9" t="str">
        <f>TIM[[#This Row],[Derating MVA]]</f>
        <v>-</v>
      </c>
      <c r="BC186" s="9" t="str">
        <f>TIM[[#This Row],[Station/Feeder]]&amp;TIM[[#This Row],[Lowest MVA]]</f>
        <v>CB12_Selwyn St5.79197790051033</v>
      </c>
      <c r="BD186" s="9" t="str">
        <f>CONCATENATE(TIM[[#This Row],[Supply Level]],TIM[[#This Row],[Station/Feeder]],TIM[[#This Row],[Voltage]],TIM[[#This Row],[Lowest A-No PTX]])</f>
        <v>DistributionFeederCB12_Selwyn St11304</v>
      </c>
      <c r="BE186" s="9" t="str">
        <f>CONCATENATE(TIM[[#This Row],[Supply Level]],TIM[[#This Row],[Station/Feeder]],TIM[[#This Row],[Voltage]],TIM[[#This Row],[Lowest A-PTX]])</f>
        <v>DistributionFeederCB12_Selwyn St11304</v>
      </c>
      <c r="BF186" s="9">
        <f>IFERROR(IF(MIN(TIM[[#This Row],[Summ Cont Winter A]:[Cable Derating]])=0,"",MIN(TIM[[#This Row],[Summ Cont Winter A]:[Cable Derating]])),"")</f>
        <v>5.7919779005103251</v>
      </c>
      <c r="BG186" s="9">
        <f>IFERROR(TIM[[#This Row],[Lowest MVA]]*1000/(TIM[[#This Row],[Voltage]]*SQRT(3)),"")</f>
        <v>304</v>
      </c>
      <c r="BH186" s="9">
        <f t="shared" si="271"/>
        <v>304</v>
      </c>
      <c r="BI186" s="9" t="str">
        <f>TIM[[#This Row],[From]]</f>
        <v>11 kV Bus</v>
      </c>
      <c r="BJ186" s="9" t="str">
        <f>TIM[[#This Row],[To]]</f>
        <v>TEGRASMERE12</v>
      </c>
      <c r="BK18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Breaker-GRM-CB12-Protection</v>
      </c>
      <c r="BL186" s="9">
        <f>TIM[[#This Row],[Voltage]]</f>
        <v>11</v>
      </c>
    </row>
    <row r="187" spans="1:64" ht="15" customHeight="1" x14ac:dyDescent="0.25">
      <c r="A187" s="6" t="str">
        <f>CONCATENATE(TIM[[#This Row],[Supply Level]],TIM[[#This Row],[Station/Feeder]],TIM[[#This Row],[Voltage]])</f>
        <v>DistributionFeederCB12_Selwyn St11</v>
      </c>
      <c r="B187" s="6" t="str">
        <f>CONCATENATE(TIM[[#This Row],[Supply Level]],TIM[[#This Row],[Station/Feeder]],TIM[[#This Row],[Equipment ID]],TIM[[#This Row],[Voltage]],TIM[[#This Row],[Device type]])</f>
        <v>DistributionFeederCB12_Selwyn St3c 300mm² Al XLPE PVC11-</v>
      </c>
      <c r="C187" s="6" t="s">
        <v>1276</v>
      </c>
      <c r="D187" s="11" t="s">
        <v>191</v>
      </c>
      <c r="E187" s="6" t="s">
        <v>916</v>
      </c>
      <c r="F187" s="6" t="s">
        <v>750</v>
      </c>
      <c r="G187" s="27">
        <v>2</v>
      </c>
      <c r="H187" s="6" t="s">
        <v>888</v>
      </c>
      <c r="I187" s="7" t="s">
        <v>918</v>
      </c>
      <c r="J187" s="7" t="s">
        <v>250</v>
      </c>
      <c r="K187" s="49" t="s">
        <v>0</v>
      </c>
      <c r="L187" s="49" t="s">
        <v>0</v>
      </c>
      <c r="M187" s="8">
        <v>11</v>
      </c>
      <c r="N187" s="9">
        <v>370</v>
      </c>
      <c r="O187" s="9">
        <f t="shared" si="0"/>
        <v>7.0494467868053299</v>
      </c>
      <c r="P187" s="9">
        <v>370</v>
      </c>
      <c r="Q187" s="9">
        <f t="shared" si="1"/>
        <v>7.0494467868053299</v>
      </c>
      <c r="R187" s="9">
        <v>370</v>
      </c>
      <c r="S187" s="9">
        <f t="shared" si="2"/>
        <v>7.0494467868053299</v>
      </c>
      <c r="T187" s="9" t="s">
        <v>0</v>
      </c>
      <c r="U187" s="9" t="str">
        <f t="shared" si="3"/>
        <v>-</v>
      </c>
      <c r="V187" s="9" t="s">
        <v>0</v>
      </c>
      <c r="W187" s="9" t="str">
        <f t="shared" si="4"/>
        <v>-</v>
      </c>
      <c r="X187" s="9" t="s">
        <v>0</v>
      </c>
      <c r="Y187" s="9" t="str">
        <f t="shared" si="5"/>
        <v>-</v>
      </c>
      <c r="Z187" s="9" t="s">
        <v>0</v>
      </c>
      <c r="AA187" s="9" t="str">
        <f t="shared" si="6"/>
        <v>-</v>
      </c>
      <c r="AB187" s="9" t="s">
        <v>0</v>
      </c>
      <c r="AC187" s="9" t="str">
        <f t="shared" si="7"/>
        <v>-</v>
      </c>
      <c r="AD187" s="9" t="s">
        <v>0</v>
      </c>
      <c r="AE187" s="12" t="str">
        <f t="shared" si="8"/>
        <v>-</v>
      </c>
      <c r="AF187" s="9" t="s">
        <v>716</v>
      </c>
      <c r="AG187" s="9" t="s">
        <v>0</v>
      </c>
      <c r="AH187" s="9" t="s">
        <v>0</v>
      </c>
      <c r="AI187" s="9">
        <v>1.05</v>
      </c>
      <c r="AJ187" s="32">
        <v>0.99</v>
      </c>
      <c r="AK187" s="9">
        <v>18.5</v>
      </c>
      <c r="AL187" s="32">
        <v>0.97199999999999998</v>
      </c>
      <c r="AM187" s="9">
        <v>1.2</v>
      </c>
      <c r="AN187" s="32">
        <v>1</v>
      </c>
      <c r="AO187" s="9">
        <v>5</v>
      </c>
      <c r="AP187" s="9">
        <v>0</v>
      </c>
      <c r="AQ187" s="32">
        <v>0.63</v>
      </c>
      <c r="AR187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224.30746799999997</v>
      </c>
      <c r="AS187" s="9">
        <f t="shared" si="9"/>
        <v>4.2736312420244307</v>
      </c>
      <c r="AT187" s="9">
        <f>IF(RIGHT(TIM[[#This Row],[Device type]],7)="Winding","-",TIM[[#This Row],[Cont Winter MVA]])</f>
        <v>7.0494467868053299</v>
      </c>
      <c r="AU187" s="9">
        <f>IF(RIGHT(TIM[[#This Row],[Device type]],7)="Winding","-",TIM[[#This Row],[Cont Shoulder MVA]])</f>
        <v>7.0494467868053299</v>
      </c>
      <c r="AV187" s="9">
        <f>IF(RIGHT(TIM[[#This Row],[Device type]],7)="Winding","-",TIM[[#This Row],[Cont Summer MVA]])</f>
        <v>7.0494467868053299</v>
      </c>
      <c r="AW187" s="9" t="str">
        <f>TIM[[#This Row],[24 Hr Winter MVA]]</f>
        <v>-</v>
      </c>
      <c r="AX187" s="9" t="str">
        <f>TIM[[#This Row],[24 Hr Summer MVA]]</f>
        <v>-</v>
      </c>
      <c r="AY187" s="9" t="str">
        <f>TIM[[#This Row],[Forwards MVA]]</f>
        <v>-</v>
      </c>
      <c r="AZ187" s="9" t="str">
        <f>TIM[[#This Row],[Relay MVA]]</f>
        <v>-</v>
      </c>
      <c r="BA187" s="9" t="str">
        <f>TIM[[#This Row],[CT MVA]]</f>
        <v>-</v>
      </c>
      <c r="BB187" s="9">
        <f>TIM[[#This Row],[Derating MVA]]</f>
        <v>4.2736312420244307</v>
      </c>
      <c r="BC187" s="9" t="str">
        <f>TIM[[#This Row],[Station/Feeder]]&amp;TIM[[#This Row],[Lowest MVA]]</f>
        <v>CB12_Selwyn St4.27363124202443</v>
      </c>
      <c r="BD187" s="9" t="str">
        <f>CONCATENATE(TIM[[#This Row],[Supply Level]],TIM[[#This Row],[Station/Feeder]],TIM[[#This Row],[Voltage]],TIM[[#This Row],[Lowest A-No PTX]])</f>
        <v>DistributionFeederCB12_Selwyn St11224.307468</v>
      </c>
      <c r="BE187" s="9" t="str">
        <f>CONCATENATE(TIM[[#This Row],[Supply Level]],TIM[[#This Row],[Station/Feeder]],TIM[[#This Row],[Voltage]],TIM[[#This Row],[Lowest A-PTX]])</f>
        <v>DistributionFeederCB12_Selwyn St11224.307468</v>
      </c>
      <c r="BF187" s="9">
        <f>IFERROR(IF(MIN(TIM[[#This Row],[Summ Cont Winter A]:[Cable Derating]])=0,"",MIN(TIM[[#This Row],[Summ Cont Winter A]:[Cable Derating]])),"")</f>
        <v>4.2736312420244307</v>
      </c>
      <c r="BG187" s="9">
        <f>IFERROR(TIM[[#This Row],[Lowest MVA]]*1000/(TIM[[#This Row],[Voltage]]*SQRT(3)),"")</f>
        <v>224.30746799999997</v>
      </c>
      <c r="BH187" s="9">
        <f t="shared" si="271"/>
        <v>224.30746799999997</v>
      </c>
      <c r="BI187" s="9" t="str">
        <f>TIM[[#This Row],[From]]</f>
        <v>TEGRASMERE12</v>
      </c>
      <c r="BJ187" s="9" t="str">
        <f>TIM[[#This Row],[To]]</f>
        <v>Joint</v>
      </c>
      <c r="BK18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300mm² Al XLPE PVC</v>
      </c>
      <c r="BL187" s="9">
        <f>TIM[[#This Row],[Voltage]]</f>
        <v>11</v>
      </c>
    </row>
    <row r="188" spans="1:64" ht="15" customHeight="1" x14ac:dyDescent="0.25">
      <c r="A188" s="460" t="str">
        <f>CONCATENATE(TIM[[#This Row],[Supply Level]],TIM[[#This Row],[Station/Feeder]],TIM[[#This Row],[Voltage]])</f>
        <v>DistributionFeederCB12_Selwyn St11</v>
      </c>
      <c r="B188" s="460" t="str">
        <f>CONCATENATE(TIM[[#This Row],[Supply Level]],TIM[[#This Row],[Station/Feeder]],TIM[[#This Row],[Equipment ID]],TIM[[#This Row],[Voltage]],TIM[[#This Row],[Device type]])</f>
        <v>DistributionFeederCB12_Selwyn St3c 300mm² Al PILC11-</v>
      </c>
      <c r="C188" s="6" t="s">
        <v>1276</v>
      </c>
      <c r="D188" s="6" t="s">
        <v>191</v>
      </c>
      <c r="E188" s="6" t="s">
        <v>750</v>
      </c>
      <c r="F188" s="6" t="s">
        <v>917</v>
      </c>
      <c r="G188" s="8">
        <v>2</v>
      </c>
      <c r="H188" s="8" t="s">
        <v>888</v>
      </c>
      <c r="I188" s="6" t="s">
        <v>2988</v>
      </c>
      <c r="J188" s="6" t="s">
        <v>250</v>
      </c>
      <c r="K188" s="6" t="s">
        <v>0</v>
      </c>
      <c r="L188" s="6" t="s">
        <v>0</v>
      </c>
      <c r="M188" s="8">
        <v>11</v>
      </c>
      <c r="N188" s="9">
        <v>322</v>
      </c>
      <c r="O188" s="9">
        <f t="shared" ref="O188" si="292">IF(OR(N188="",N188="-"),"-",N188*$M188*SQRT(3)/1000)</f>
        <v>6.1349239604089636</v>
      </c>
      <c r="P188" s="9">
        <v>322</v>
      </c>
      <c r="Q188" s="9">
        <f t="shared" ref="Q188" si="293">IF(OR(P188="",P188="-"),"-",P188*$M188*SQRT(3)/1000)</f>
        <v>6.1349239604089636</v>
      </c>
      <c r="R188" s="9">
        <v>322</v>
      </c>
      <c r="S188" s="9">
        <f t="shared" ref="S188" si="294">IF(OR(R188="",R188="-"),"-",R188*$M188*SQRT(3)/1000)</f>
        <v>6.1349239604089636</v>
      </c>
      <c r="T188" s="9" t="s">
        <v>0</v>
      </c>
      <c r="U188" s="9" t="str">
        <f t="shared" ref="U188" si="295">IF(OR(T188="",T188="-"),"-",T188*$M188*SQRT(3)/1000)</f>
        <v>-</v>
      </c>
      <c r="V188" s="9" t="s">
        <v>0</v>
      </c>
      <c r="W188" s="9" t="str">
        <f t="shared" ref="W188" si="296">IF(OR(V188="",V188="-"),"-",V188*$M188*SQRT(3)/1000)</f>
        <v>-</v>
      </c>
      <c r="X188" s="9" t="s">
        <v>0</v>
      </c>
      <c r="Y188" s="9" t="str">
        <f t="shared" ref="Y188" si="297">IF(OR(X188="",X188="-"),"-",X188*$M188*SQRT(3)/1000)</f>
        <v>-</v>
      </c>
      <c r="Z188" s="9" t="s">
        <v>0</v>
      </c>
      <c r="AA188" s="9" t="str">
        <f t="shared" ref="AA188" si="298">IF(OR(Z188="",Z188="-"),"-",Z188*$M188*SQRT(3)/1000)</f>
        <v>-</v>
      </c>
      <c r="AB188" s="9" t="s">
        <v>0</v>
      </c>
      <c r="AC188" s="9" t="str">
        <f t="shared" ref="AC188" si="299">IF(OR(AB188="",AB188="-"),"-",AB188*$M188*SQRT(3)/1000)</f>
        <v>-</v>
      </c>
      <c r="AD188" s="9" t="s">
        <v>0</v>
      </c>
      <c r="AE188" s="9" t="str">
        <f t="shared" ref="AE188" si="300">IF(OR(AD188="",AD188="-"),"-",AD188*$M188*SQRT(3)/1000)</f>
        <v>-</v>
      </c>
      <c r="AF188" s="9" t="s">
        <v>716</v>
      </c>
      <c r="AG188" s="9" t="s">
        <v>0</v>
      </c>
      <c r="AH188" s="9" t="s">
        <v>0</v>
      </c>
      <c r="AI188" s="9">
        <v>0.9</v>
      </c>
      <c r="AJ188" s="43">
        <v>1.01</v>
      </c>
      <c r="AK188" s="9">
        <v>18.5</v>
      </c>
      <c r="AL188" s="43">
        <v>0.95</v>
      </c>
      <c r="AM188" s="9">
        <v>1.2</v>
      </c>
      <c r="AN188" s="43">
        <v>1</v>
      </c>
      <c r="AO188" s="9">
        <v>5</v>
      </c>
      <c r="AP188" s="9">
        <v>0</v>
      </c>
      <c r="AQ188" s="43">
        <v>0.56999999999999995</v>
      </c>
      <c r="AR188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176.10662999999997</v>
      </c>
      <c r="AS188" s="9">
        <f t="shared" ref="AS188" si="301">IF(OR(AR188="",AR188="-"),"-",AR188*$M188*SQRT(3)/1000)</f>
        <v>3.3552819378070677</v>
      </c>
      <c r="AT188" s="9">
        <f>IF(RIGHT(TIM[[#This Row],[Device type]],7)="Winding","-",TIM[[#This Row],[Cont Winter MVA]])</f>
        <v>6.1349239604089636</v>
      </c>
      <c r="AU188" s="9">
        <f>IF(RIGHT(TIM[[#This Row],[Device type]],7)="Winding","-",TIM[[#This Row],[Cont Shoulder MVA]])</f>
        <v>6.1349239604089636</v>
      </c>
      <c r="AV188" s="9">
        <f>IF(RIGHT(TIM[[#This Row],[Device type]],7)="Winding","-",TIM[[#This Row],[Cont Summer MVA]])</f>
        <v>6.1349239604089636</v>
      </c>
      <c r="AW188" s="9" t="str">
        <f>TIM[[#This Row],[24 Hr Winter MVA]]</f>
        <v>-</v>
      </c>
      <c r="AX188" s="9" t="str">
        <f>TIM[[#This Row],[24 Hr Summer MVA]]</f>
        <v>-</v>
      </c>
      <c r="AY188" s="9" t="str">
        <f>TIM[[#This Row],[Forwards MVA]]</f>
        <v>-</v>
      </c>
      <c r="AZ188" s="9" t="str">
        <f>TIM[[#This Row],[Relay MVA]]</f>
        <v>-</v>
      </c>
      <c r="BA188" s="9" t="str">
        <f>TIM[[#This Row],[CT MVA]]</f>
        <v>-</v>
      </c>
      <c r="BB188" s="9">
        <f>TIM[[#This Row],[Derating MVA]]</f>
        <v>3.3552819378070677</v>
      </c>
      <c r="BC188" s="9" t="str">
        <f>TIM[[#This Row],[Station/Feeder]]&amp;TIM[[#This Row],[Lowest MVA]]</f>
        <v>CB12_Selwyn St3.35528193780707</v>
      </c>
      <c r="BD188" s="9" t="str">
        <f>CONCATENATE(TIM[[#This Row],[Supply Level]],TIM[[#This Row],[Station/Feeder]],TIM[[#This Row],[Voltage]],TIM[[#This Row],[Lowest A-No PTX]])</f>
        <v>DistributionFeederCB12_Selwyn St11176.10663</v>
      </c>
      <c r="BE188" s="9" t="str">
        <f>CONCATENATE(TIM[[#This Row],[Supply Level]],TIM[[#This Row],[Station/Feeder]],TIM[[#This Row],[Voltage]],TIM[[#This Row],[Lowest A-PTX]])</f>
        <v>DistributionFeederCB12_Selwyn St11176.10663</v>
      </c>
      <c r="BF188" s="9">
        <f>IFERROR(IF(MIN(TIM[[#This Row],[Summ Cont Winter A]:[Cable Derating]])=0,"",MIN(TIM[[#This Row],[Summ Cont Winter A]:[Cable Derating]])),"")</f>
        <v>3.3552819378070677</v>
      </c>
      <c r="BG188" s="9">
        <f>IFERROR(TIM[[#This Row],[Lowest MVA]]*1000/(TIM[[#This Row],[Voltage]]*SQRT(3)),"")</f>
        <v>176.10662999999997</v>
      </c>
      <c r="BH188" s="9">
        <f t="shared" ref="BH188" si="302">IF(MIN(N188,P188,R188,T188,V188,X188,Z188,AB188,AD188,AR188)=0,"",MIN(N188,P188,R188,T188,V188,X188,Z188,AB188,AD188,AR188))</f>
        <v>176.10662999999997</v>
      </c>
      <c r="BI188" s="9" t="str">
        <f>TIM[[#This Row],[From]]</f>
        <v>Joint</v>
      </c>
      <c r="BJ188" s="9" t="str">
        <f>TIM[[#This Row],[To]]</f>
        <v xml:space="preserve">TEL6 RMU </v>
      </c>
      <c r="BK18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300mm² Al PILC</v>
      </c>
      <c r="BL188" s="9">
        <f>TIM[[#This Row],[Voltage]]</f>
        <v>11</v>
      </c>
    </row>
    <row r="189" spans="1:64" ht="15" hidden="1" customHeight="1" x14ac:dyDescent="0.25">
      <c r="A189" s="6" t="str">
        <f>CONCATENATE(TIM[[#This Row],[Supply Level]],TIM[[#This Row],[Station/Feeder]],TIM[[#This Row],[Voltage]])</f>
        <v>SubTransmissionCB13_GRM-HNT B11</v>
      </c>
      <c r="B189" s="6" t="str">
        <f>CONCATENATE(TIM[[#This Row],[Supply Level]],TIM[[#This Row],[Station/Feeder]],TIM[[#This Row],[Equipment ID]],TIM[[#This Row],[Voltage]],TIM[[#This Row],[Device type]])</f>
        <v>SubTransmissionCB13_GRM-HNT BGRM-CB1311Protection</v>
      </c>
      <c r="C189" s="6" t="s">
        <v>1245</v>
      </c>
      <c r="D189" s="6" t="s">
        <v>1329</v>
      </c>
      <c r="E189" s="6" t="s">
        <v>243</v>
      </c>
      <c r="F189" s="6" t="s">
        <v>919</v>
      </c>
      <c r="G189" s="8">
        <v>1</v>
      </c>
      <c r="H189" s="6" t="s">
        <v>887</v>
      </c>
      <c r="I189" s="6" t="s">
        <v>2251</v>
      </c>
      <c r="J189" s="6" t="s">
        <v>15</v>
      </c>
      <c r="K189" s="6" t="s">
        <v>791</v>
      </c>
      <c r="L189" s="6" t="s">
        <v>1423</v>
      </c>
      <c r="M189" s="8">
        <v>11</v>
      </c>
      <c r="N189" s="9">
        <v>1250</v>
      </c>
      <c r="O189" s="9">
        <f t="shared" ref="O189:O191" si="303">IF(OR(N189="",N189="-"),"-",N189*$M189*SQRT(3)/1000)</f>
        <v>23.815698604072061</v>
      </c>
      <c r="P189" s="9">
        <v>1250</v>
      </c>
      <c r="Q189" s="9">
        <f t="shared" ref="Q189:Q191" si="304">IF(OR(P189="",P189="-"),"-",P189*$M189*SQRT(3)/1000)</f>
        <v>23.815698604072061</v>
      </c>
      <c r="R189" s="9">
        <v>1250</v>
      </c>
      <c r="S189" s="9">
        <f t="shared" ref="S189:S191" si="305">IF(OR(R189="",R189="-"),"-",R189*$M189*SQRT(3)/1000)</f>
        <v>23.815698604072061</v>
      </c>
      <c r="T189" s="9" t="s">
        <v>0</v>
      </c>
      <c r="U189" s="9" t="str">
        <f t="shared" ref="U189:U191" si="306">IF(OR(T189="",T189="-"),"-",T189*$M189*SQRT(3)/1000)</f>
        <v>-</v>
      </c>
      <c r="V189" s="9" t="s">
        <v>0</v>
      </c>
      <c r="W189" s="9" t="str">
        <f t="shared" ref="W189:W191" si="307">IF(OR(V189="",V189="-"),"-",V189*$M189*SQRT(3)/1000)</f>
        <v>-</v>
      </c>
      <c r="X189" s="9">
        <f>VLOOKUP(TIM[[#This Row],[Equipment ID]],AEL_Protection_Data[#All],12,0)</f>
        <v>400</v>
      </c>
      <c r="Y189" s="9">
        <f t="shared" ref="Y189:Y191" si="308">IF(OR(X189="",X189="-"),"-",X189*$M189*SQRT(3)/1000)</f>
        <v>7.6210235533030604</v>
      </c>
      <c r="Z189" s="9" t="s">
        <v>0</v>
      </c>
      <c r="AA189" s="9" t="str">
        <f t="shared" ref="AA189:AA191" si="309">IF(OR(Z189="",Z189="-"),"-",Z189*$M189*SQRT(3)/1000)</f>
        <v>-</v>
      </c>
      <c r="AB189" s="9">
        <v>800</v>
      </c>
      <c r="AC189" s="9">
        <f t="shared" ref="AC189:AC191" si="310">IF(OR(AB189="",AB189="-"),"-",AB189*$M189*SQRT(3)/1000)</f>
        <v>15.242047106606121</v>
      </c>
      <c r="AD189" s="9">
        <v>800</v>
      </c>
      <c r="AE189" s="9">
        <f t="shared" ref="AE189:AE191" si="311">IF(OR(AD189="",AD189="-"),"-",AD189*$M189*SQRT(3)/1000)</f>
        <v>15.242047106606121</v>
      </c>
      <c r="AF189" s="9" t="s">
        <v>0</v>
      </c>
      <c r="AG189" s="9" t="s">
        <v>0</v>
      </c>
      <c r="AH189" s="9" t="s">
        <v>0</v>
      </c>
      <c r="AI189" s="9" t="s">
        <v>0</v>
      </c>
      <c r="AJ189" s="43" t="s">
        <v>0</v>
      </c>
      <c r="AK189" s="9" t="s">
        <v>0</v>
      </c>
      <c r="AL189" s="43" t="s">
        <v>0</v>
      </c>
      <c r="AM189" s="9" t="s">
        <v>0</v>
      </c>
      <c r="AN189" s="43" t="s">
        <v>0</v>
      </c>
      <c r="AO189" s="9" t="s">
        <v>0</v>
      </c>
      <c r="AP189" s="9" t="s">
        <v>0</v>
      </c>
      <c r="AQ189" s="43" t="s">
        <v>0</v>
      </c>
      <c r="AR189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89" s="9" t="str">
        <f t="shared" ref="AS189:AS191" si="312">IF(OR(AR189="",AR189="-"),"-",AR189*$M189*SQRT(3)/1000)</f>
        <v>-</v>
      </c>
      <c r="AT189" s="9">
        <f>IF(RIGHT(TIM[[#This Row],[Device type]],7)="Winding","-",TIM[[#This Row],[Cont Winter MVA]])</f>
        <v>23.815698604072061</v>
      </c>
      <c r="AU189" s="9">
        <f>IF(RIGHT(TIM[[#This Row],[Device type]],7)="Winding","-",TIM[[#This Row],[Cont Shoulder MVA]])</f>
        <v>23.815698604072061</v>
      </c>
      <c r="AV189" s="9">
        <f>IF(RIGHT(TIM[[#This Row],[Device type]],7)="Winding","-",TIM[[#This Row],[Cont Summer MVA]])</f>
        <v>23.815698604072061</v>
      </c>
      <c r="AW189" s="9" t="str">
        <f>TIM[[#This Row],[24 Hr Winter MVA]]</f>
        <v>-</v>
      </c>
      <c r="AX189" s="9" t="str">
        <f>TIM[[#This Row],[24 Hr Summer MVA]]</f>
        <v>-</v>
      </c>
      <c r="AY189" s="9">
        <f>TIM[[#This Row],[Forwards MVA]]</f>
        <v>7.6210235533030604</v>
      </c>
      <c r="AZ189" s="9">
        <f>TIM[[#This Row],[Relay MVA]]</f>
        <v>15.242047106606121</v>
      </c>
      <c r="BA189" s="9">
        <f>TIM[[#This Row],[CT MVA]]</f>
        <v>15.242047106606121</v>
      </c>
      <c r="BB189" s="9" t="str">
        <f>TIM[[#This Row],[Derating MVA]]</f>
        <v>-</v>
      </c>
      <c r="BC189" s="9" t="str">
        <f>TIM[[#This Row],[Station/Feeder]]&amp;TIM[[#This Row],[Lowest MVA]]</f>
        <v>CB13_GRM-HNT B7.62102355330306</v>
      </c>
      <c r="BD189" s="9" t="str">
        <f>CONCATENATE(TIM[[#This Row],[Supply Level]],TIM[[#This Row],[Station/Feeder]],TIM[[#This Row],[Voltage]],TIM[[#This Row],[Lowest A-No PTX]])</f>
        <v>SubTransmissionCB13_GRM-HNT B11400</v>
      </c>
      <c r="BE189" s="9" t="str">
        <f>CONCATENATE(TIM[[#This Row],[Supply Level]],TIM[[#This Row],[Station/Feeder]],TIM[[#This Row],[Voltage]],TIM[[#This Row],[Lowest A-PTX]])</f>
        <v>SubTransmissionCB13_GRM-HNT B11400</v>
      </c>
      <c r="BF189" s="9">
        <f>IFERROR(IF(MIN(TIM[[#This Row],[Summ Cont Winter A]:[Cable Derating]])=0,"",MIN(TIM[[#This Row],[Summ Cont Winter A]:[Cable Derating]])),"")</f>
        <v>7.6210235533030604</v>
      </c>
      <c r="BG189" s="9">
        <f>IFERROR(TIM[[#This Row],[Lowest MVA]]*1000/(TIM[[#This Row],[Voltage]]*SQRT(3)),"")</f>
        <v>400</v>
      </c>
      <c r="BH189" s="9">
        <f t="shared" si="271"/>
        <v>400</v>
      </c>
      <c r="BI189" s="9" t="str">
        <f>TIM[[#This Row],[From]]</f>
        <v>11 kV Bus</v>
      </c>
      <c r="BJ189" s="9" t="str">
        <f>TIM[[#This Row],[To]]</f>
        <v>TEGRASMERE13</v>
      </c>
      <c r="BK18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Breaker-GRM-CB13-Protection</v>
      </c>
      <c r="BL189" s="9">
        <f>TIM[[#This Row],[Voltage]]</f>
        <v>11</v>
      </c>
    </row>
    <row r="190" spans="1:64" ht="15" hidden="1" customHeight="1" x14ac:dyDescent="0.25">
      <c r="A190" s="6" t="str">
        <f>CONCATENATE(TIM[[#This Row],[Supply Level]],TIM[[#This Row],[Station/Feeder]],TIM[[#This Row],[Voltage]])</f>
        <v>SubTransmissionCB13_GRM-HNT B11</v>
      </c>
      <c r="B190" s="6" t="str">
        <f>CONCATENATE(TIM[[#This Row],[Supply Level]],TIM[[#This Row],[Station/Feeder]],TIM[[#This Row],[Equipment ID]],TIM[[#This Row],[Voltage]],TIM[[#This Row],[Device type]])</f>
        <v>SubTransmissionCB13_GRM-HNT B3c 400mm² AL11-</v>
      </c>
      <c r="C190" s="6" t="s">
        <v>1245</v>
      </c>
      <c r="D190" s="6" t="s">
        <v>1329</v>
      </c>
      <c r="E190" s="6" t="s">
        <v>920</v>
      </c>
      <c r="F190" s="6" t="s">
        <v>750</v>
      </c>
      <c r="G190" s="8">
        <v>2</v>
      </c>
      <c r="H190" s="6" t="s">
        <v>888</v>
      </c>
      <c r="I190" s="6" t="s">
        <v>921</v>
      </c>
      <c r="J190" s="6" t="s">
        <v>250</v>
      </c>
      <c r="K190" s="6" t="s">
        <v>0</v>
      </c>
      <c r="L190" s="6" t="s">
        <v>0</v>
      </c>
      <c r="M190" s="8">
        <v>11</v>
      </c>
      <c r="N190" s="9">
        <v>537</v>
      </c>
      <c r="O190" s="9">
        <f t="shared" si="303"/>
        <v>10.231224120309358</v>
      </c>
      <c r="P190" s="9">
        <v>537</v>
      </c>
      <c r="Q190" s="9">
        <f t="shared" si="304"/>
        <v>10.231224120309358</v>
      </c>
      <c r="R190" s="9">
        <v>537</v>
      </c>
      <c r="S190" s="9">
        <f t="shared" si="305"/>
        <v>10.231224120309358</v>
      </c>
      <c r="T190" s="9" t="s">
        <v>0</v>
      </c>
      <c r="U190" s="9" t="str">
        <f t="shared" si="306"/>
        <v>-</v>
      </c>
      <c r="V190" s="9" t="s">
        <v>0</v>
      </c>
      <c r="W190" s="9" t="str">
        <f t="shared" si="307"/>
        <v>-</v>
      </c>
      <c r="X190" s="9" t="s">
        <v>0</v>
      </c>
      <c r="Y190" s="9" t="str">
        <f t="shared" si="308"/>
        <v>-</v>
      </c>
      <c r="Z190" s="9" t="s">
        <v>0</v>
      </c>
      <c r="AA190" s="9" t="str">
        <f t="shared" si="309"/>
        <v>-</v>
      </c>
      <c r="AB190" s="9" t="s">
        <v>0</v>
      </c>
      <c r="AC190" s="9" t="str">
        <f t="shared" si="310"/>
        <v>-</v>
      </c>
      <c r="AD190" s="9" t="s">
        <v>0</v>
      </c>
      <c r="AE190" s="9" t="str">
        <f t="shared" si="311"/>
        <v>-</v>
      </c>
      <c r="AF190" s="9" t="s">
        <v>716</v>
      </c>
      <c r="AG190" s="9" t="s">
        <v>0</v>
      </c>
      <c r="AH190" s="9">
        <v>9.5</v>
      </c>
      <c r="AI190" s="9">
        <v>0.85</v>
      </c>
      <c r="AJ190" s="43">
        <v>1.03</v>
      </c>
      <c r="AK190" s="9">
        <v>18.5</v>
      </c>
      <c r="AL190" s="43">
        <v>0.95</v>
      </c>
      <c r="AM190" s="9">
        <v>1.2</v>
      </c>
      <c r="AN190" s="43">
        <v>1</v>
      </c>
      <c r="AO190" s="9">
        <v>3</v>
      </c>
      <c r="AP190" s="9">
        <v>0.34</v>
      </c>
      <c r="AQ190" s="43">
        <v>0.8</v>
      </c>
      <c r="AR190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420.36359999999996</v>
      </c>
      <c r="AS190" s="9">
        <f t="shared" si="312"/>
        <v>8.0090022413781643</v>
      </c>
      <c r="AT190" s="9">
        <f>IF(RIGHT(TIM[[#This Row],[Device type]],7)="Winding","-",TIM[[#This Row],[Cont Winter MVA]])</f>
        <v>10.231224120309358</v>
      </c>
      <c r="AU190" s="9">
        <f>IF(RIGHT(TIM[[#This Row],[Device type]],7)="Winding","-",TIM[[#This Row],[Cont Shoulder MVA]])</f>
        <v>10.231224120309358</v>
      </c>
      <c r="AV190" s="9">
        <f>IF(RIGHT(TIM[[#This Row],[Device type]],7)="Winding","-",TIM[[#This Row],[Cont Summer MVA]])</f>
        <v>10.231224120309358</v>
      </c>
      <c r="AW190" s="9" t="str">
        <f>TIM[[#This Row],[24 Hr Winter MVA]]</f>
        <v>-</v>
      </c>
      <c r="AX190" s="9" t="str">
        <f>TIM[[#This Row],[24 Hr Summer MVA]]</f>
        <v>-</v>
      </c>
      <c r="AY190" s="9" t="str">
        <f>TIM[[#This Row],[Forwards MVA]]</f>
        <v>-</v>
      </c>
      <c r="AZ190" s="9" t="str">
        <f>TIM[[#This Row],[Relay MVA]]</f>
        <v>-</v>
      </c>
      <c r="BA190" s="9" t="str">
        <f>TIM[[#This Row],[CT MVA]]</f>
        <v>-</v>
      </c>
      <c r="BB190" s="9">
        <f>TIM[[#This Row],[Derating MVA]]</f>
        <v>8.0090022413781643</v>
      </c>
      <c r="BC190" s="9" t="str">
        <f>TIM[[#This Row],[Station/Feeder]]&amp;TIM[[#This Row],[Lowest MVA]]</f>
        <v>CB13_GRM-HNT B8.00900224137816</v>
      </c>
      <c r="BD190" s="9" t="str">
        <f>CONCATENATE(TIM[[#This Row],[Supply Level]],TIM[[#This Row],[Station/Feeder]],TIM[[#This Row],[Voltage]],TIM[[#This Row],[Lowest A-No PTX]])</f>
        <v>SubTransmissionCB13_GRM-HNT B11420.3636</v>
      </c>
      <c r="BE190" s="9" t="str">
        <f>CONCATENATE(TIM[[#This Row],[Supply Level]],TIM[[#This Row],[Station/Feeder]],TIM[[#This Row],[Voltage]],TIM[[#This Row],[Lowest A-PTX]])</f>
        <v>SubTransmissionCB13_GRM-HNT B11420.3636</v>
      </c>
      <c r="BF190" s="9">
        <f>IFERROR(IF(MIN(TIM[[#This Row],[Summ Cont Winter A]:[Cable Derating]])=0,"",MIN(TIM[[#This Row],[Summ Cont Winter A]:[Cable Derating]])),"")</f>
        <v>8.0090022413781643</v>
      </c>
      <c r="BG190" s="9">
        <f>IFERROR(TIM[[#This Row],[Lowest MVA]]*1000/(TIM[[#This Row],[Voltage]]*SQRT(3)),"")</f>
        <v>420.36359999999996</v>
      </c>
      <c r="BH190" s="9">
        <f t="shared" si="271"/>
        <v>420.36359999999996</v>
      </c>
      <c r="BI190" s="9" t="str">
        <f>TIM[[#This Row],[From]]</f>
        <v>TEGRASMERE 13</v>
      </c>
      <c r="BJ190" s="9" t="str">
        <f>TIM[[#This Row],[To]]</f>
        <v>Joint</v>
      </c>
      <c r="BK19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400mm² AL</v>
      </c>
      <c r="BL190" s="9">
        <f>TIM[[#This Row],[Voltage]]</f>
        <v>11</v>
      </c>
    </row>
    <row r="191" spans="1:64" ht="15" hidden="1" customHeight="1" x14ac:dyDescent="0.25">
      <c r="A191" s="6" t="str">
        <f>CONCATENATE(TIM[[#This Row],[Supply Level]],TIM[[#This Row],[Station/Feeder]],TIM[[#This Row],[Voltage]])</f>
        <v>SubTransmissionCB13_GRM-HNT B11</v>
      </c>
      <c r="B191" s="6" t="str">
        <f>CONCATENATE(TIM[[#This Row],[Supply Level]],TIM[[#This Row],[Station/Feeder]],TIM[[#This Row],[Equipment ID]],TIM[[#This Row],[Voltage]],TIM[[#This Row],[Device type]])</f>
        <v>SubTransmissionCB13_GRM-HNT B3c 0.3in² Cu PILC STAS11-</v>
      </c>
      <c r="C191" s="6" t="s">
        <v>1245</v>
      </c>
      <c r="D191" s="6" t="s">
        <v>1329</v>
      </c>
      <c r="E191" s="6" t="s">
        <v>750</v>
      </c>
      <c r="F191" s="6" t="s">
        <v>922</v>
      </c>
      <c r="G191" s="8">
        <v>3</v>
      </c>
      <c r="H191" s="6" t="s">
        <v>888</v>
      </c>
      <c r="I191" s="6" t="s">
        <v>907</v>
      </c>
      <c r="J191" s="6" t="s">
        <v>250</v>
      </c>
      <c r="K191" s="6" t="s">
        <v>0</v>
      </c>
      <c r="L191" s="6" t="s">
        <v>0</v>
      </c>
      <c r="M191" s="8">
        <v>11</v>
      </c>
      <c r="N191" s="9">
        <v>380</v>
      </c>
      <c r="O191" s="9">
        <f t="shared" si="303"/>
        <v>7.2399723756379064</v>
      </c>
      <c r="P191" s="9">
        <v>380</v>
      </c>
      <c r="Q191" s="9">
        <f t="shared" si="304"/>
        <v>7.2399723756379064</v>
      </c>
      <c r="R191" s="9">
        <v>380</v>
      </c>
      <c r="S191" s="9">
        <f t="shared" si="305"/>
        <v>7.2399723756379064</v>
      </c>
      <c r="T191" s="9" t="s">
        <v>0</v>
      </c>
      <c r="U191" s="9" t="str">
        <f t="shared" si="306"/>
        <v>-</v>
      </c>
      <c r="V191" s="9" t="s">
        <v>0</v>
      </c>
      <c r="W191" s="9" t="str">
        <f t="shared" si="307"/>
        <v>-</v>
      </c>
      <c r="X191" s="9" t="s">
        <v>0</v>
      </c>
      <c r="Y191" s="9" t="str">
        <f t="shared" si="308"/>
        <v>-</v>
      </c>
      <c r="Z191" s="9" t="s">
        <v>0</v>
      </c>
      <c r="AA191" s="9" t="str">
        <f t="shared" si="309"/>
        <v>-</v>
      </c>
      <c r="AB191" s="9" t="s">
        <v>0</v>
      </c>
      <c r="AC191" s="9" t="str">
        <f t="shared" si="310"/>
        <v>-</v>
      </c>
      <c r="AD191" s="9" t="s">
        <v>0</v>
      </c>
      <c r="AE191" s="9" t="str">
        <f t="shared" si="311"/>
        <v>-</v>
      </c>
      <c r="AF191" s="9" t="s">
        <v>716</v>
      </c>
      <c r="AG191" s="9" t="s">
        <v>0</v>
      </c>
      <c r="AH191" s="9">
        <v>1651.1</v>
      </c>
      <c r="AI191" s="9">
        <v>0.85</v>
      </c>
      <c r="AJ191" s="43">
        <v>1.03</v>
      </c>
      <c r="AK191" s="9">
        <v>18.5</v>
      </c>
      <c r="AL191" s="43">
        <v>0.95</v>
      </c>
      <c r="AM191" s="9">
        <v>1.2</v>
      </c>
      <c r="AN191" s="43">
        <v>1</v>
      </c>
      <c r="AO191" s="9">
        <v>3</v>
      </c>
      <c r="AP191" s="9">
        <v>0.34</v>
      </c>
      <c r="AQ191" s="43">
        <v>0.8</v>
      </c>
      <c r="AR191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297.464</v>
      </c>
      <c r="AS191" s="9">
        <f t="shared" si="312"/>
        <v>5.6674503756493531</v>
      </c>
      <c r="AT191" s="9">
        <f>IF(RIGHT(TIM[[#This Row],[Device type]],7)="Winding","-",TIM[[#This Row],[Cont Winter MVA]])</f>
        <v>7.2399723756379064</v>
      </c>
      <c r="AU191" s="9">
        <f>IF(RIGHT(TIM[[#This Row],[Device type]],7)="Winding","-",TIM[[#This Row],[Cont Shoulder MVA]])</f>
        <v>7.2399723756379064</v>
      </c>
      <c r="AV191" s="9">
        <f>IF(RIGHT(TIM[[#This Row],[Device type]],7)="Winding","-",TIM[[#This Row],[Cont Summer MVA]])</f>
        <v>7.2399723756379064</v>
      </c>
      <c r="AW191" s="9" t="str">
        <f>TIM[[#This Row],[24 Hr Winter MVA]]</f>
        <v>-</v>
      </c>
      <c r="AX191" s="9" t="str">
        <f>TIM[[#This Row],[24 Hr Summer MVA]]</f>
        <v>-</v>
      </c>
      <c r="AY191" s="9" t="str">
        <f>TIM[[#This Row],[Forwards MVA]]</f>
        <v>-</v>
      </c>
      <c r="AZ191" s="9" t="str">
        <f>TIM[[#This Row],[Relay MVA]]</f>
        <v>-</v>
      </c>
      <c r="BA191" s="9" t="str">
        <f>TIM[[#This Row],[CT MVA]]</f>
        <v>-</v>
      </c>
      <c r="BB191" s="9">
        <f>TIM[[#This Row],[Derating MVA]]</f>
        <v>5.6674503756493531</v>
      </c>
      <c r="BC191" s="9" t="str">
        <f>TIM[[#This Row],[Station/Feeder]]&amp;TIM[[#This Row],[Lowest MVA]]</f>
        <v>CB13_GRM-HNT B5.66745037564935</v>
      </c>
      <c r="BD191" s="9" t="str">
        <f>CONCATENATE(TIM[[#This Row],[Supply Level]],TIM[[#This Row],[Station/Feeder]],TIM[[#This Row],[Voltage]],TIM[[#This Row],[Lowest A-No PTX]])</f>
        <v>SubTransmissionCB13_GRM-HNT B11297.464</v>
      </c>
      <c r="BE191" s="9" t="str">
        <f>CONCATENATE(TIM[[#This Row],[Supply Level]],TIM[[#This Row],[Station/Feeder]],TIM[[#This Row],[Voltage]],TIM[[#This Row],[Lowest A-PTX]])</f>
        <v>SubTransmissionCB13_GRM-HNT B11297.464</v>
      </c>
      <c r="BF191" s="9">
        <f>IFERROR(IF(MIN(TIM[[#This Row],[Summ Cont Winter A]:[Cable Derating]])=0,"",MIN(TIM[[#This Row],[Summ Cont Winter A]:[Cable Derating]])),"")</f>
        <v>5.6674503756493531</v>
      </c>
      <c r="BG191" s="9">
        <f>IFERROR(TIM[[#This Row],[Lowest MVA]]*1000/(TIM[[#This Row],[Voltage]]*SQRT(3)),"")</f>
        <v>297.464</v>
      </c>
      <c r="BH191" s="9">
        <f t="shared" si="271"/>
        <v>297.464</v>
      </c>
      <c r="BI191" s="9" t="str">
        <f>TIM[[#This Row],[From]]</f>
        <v>Joint</v>
      </c>
      <c r="BJ191" s="9" t="str">
        <f>TIM[[#This Row],[To]]</f>
        <v>TEHUNT12</v>
      </c>
      <c r="BK19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0.3in² Cu PILC STAS</v>
      </c>
      <c r="BL191" s="9">
        <f>TIM[[#This Row],[Voltage]]</f>
        <v>11</v>
      </c>
    </row>
    <row r="192" spans="1:64" ht="15" hidden="1" customHeight="1" x14ac:dyDescent="0.25">
      <c r="A192" s="6" t="str">
        <f>CONCATENATE(TIM[[#This Row],[Supply Level]],TIM[[#This Row],[Station/Feeder]],TIM[[#This Row],[Voltage]])</f>
        <v>SubTransmissionGRM_HNT_SUBTRANS11</v>
      </c>
      <c r="B192" s="6" t="str">
        <f>CONCATENATE(TIM[[#This Row],[Supply Level]],TIM[[#This Row],[Station/Feeder]],TIM[[#This Row],[Equipment ID]],TIM[[#This Row],[Voltage]],TIM[[#This Row],[Device type]])</f>
        <v>SubTransmissionGRM_HNT_SUBTRANSGRM-CB1311Protection</v>
      </c>
      <c r="C192" s="6" t="s">
        <v>1245</v>
      </c>
      <c r="D192" s="11" t="s">
        <v>170</v>
      </c>
      <c r="E192" s="168" t="s">
        <v>243</v>
      </c>
      <c r="F192" s="168" t="s">
        <v>919</v>
      </c>
      <c r="G192" s="172">
        <v>1</v>
      </c>
      <c r="H192" s="6" t="s">
        <v>887</v>
      </c>
      <c r="I192" s="7" t="s">
        <v>2251</v>
      </c>
      <c r="J192" s="7" t="s">
        <v>15</v>
      </c>
      <c r="K192" s="49" t="s">
        <v>791</v>
      </c>
      <c r="L192" s="49" t="s">
        <v>1423</v>
      </c>
      <c r="M192" s="8">
        <v>11</v>
      </c>
      <c r="N192" s="9">
        <v>1250</v>
      </c>
      <c r="O192" s="9">
        <f t="shared" si="0"/>
        <v>23.815698604072061</v>
      </c>
      <c r="P192" s="9">
        <v>1250</v>
      </c>
      <c r="Q192" s="9">
        <f t="shared" si="1"/>
        <v>23.815698604072061</v>
      </c>
      <c r="R192" s="9">
        <v>1250</v>
      </c>
      <c r="S192" s="9">
        <f t="shared" si="2"/>
        <v>23.815698604072061</v>
      </c>
      <c r="T192" s="9" t="s">
        <v>0</v>
      </c>
      <c r="U192" s="9" t="str">
        <f t="shared" si="3"/>
        <v>-</v>
      </c>
      <c r="V192" s="9" t="s">
        <v>0</v>
      </c>
      <c r="W192" s="9" t="str">
        <f t="shared" si="4"/>
        <v>-</v>
      </c>
      <c r="X192" s="9">
        <f>VLOOKUP(TIM[[#This Row],[Equipment ID]],AEL_Protection_Data[#All],12,0)</f>
        <v>400</v>
      </c>
      <c r="Y192" s="9">
        <f t="shared" si="5"/>
        <v>7.6210235533030604</v>
      </c>
      <c r="Z192" s="9" t="s">
        <v>0</v>
      </c>
      <c r="AA192" s="9" t="str">
        <f t="shared" si="6"/>
        <v>-</v>
      </c>
      <c r="AB192" s="9">
        <v>800</v>
      </c>
      <c r="AC192" s="9">
        <f t="shared" si="7"/>
        <v>15.242047106606121</v>
      </c>
      <c r="AD192" s="9">
        <v>800</v>
      </c>
      <c r="AE192" s="12">
        <f t="shared" si="8"/>
        <v>15.242047106606121</v>
      </c>
      <c r="AF192" s="9" t="s">
        <v>0</v>
      </c>
      <c r="AG192" s="9" t="s">
        <v>0</v>
      </c>
      <c r="AH192" s="29" t="s">
        <v>0</v>
      </c>
      <c r="AI192" s="9" t="s">
        <v>0</v>
      </c>
      <c r="AJ192" s="32" t="s">
        <v>0</v>
      </c>
      <c r="AK192" s="9" t="s">
        <v>0</v>
      </c>
      <c r="AL192" s="32" t="s">
        <v>0</v>
      </c>
      <c r="AM192" s="9" t="s">
        <v>0</v>
      </c>
      <c r="AN192" s="32" t="s">
        <v>0</v>
      </c>
      <c r="AO192" s="9" t="s">
        <v>0</v>
      </c>
      <c r="AP192" s="9" t="s">
        <v>0</v>
      </c>
      <c r="AQ192" s="32" t="s">
        <v>0</v>
      </c>
      <c r="AR192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92" s="9" t="str">
        <f t="shared" si="9"/>
        <v>-</v>
      </c>
      <c r="AT192" s="9">
        <f>IF(RIGHT(TIM[[#This Row],[Device type]],7)="Winding","-",TIM[[#This Row],[Cont Winter MVA]])</f>
        <v>23.815698604072061</v>
      </c>
      <c r="AU192" s="9">
        <f>IF(RIGHT(TIM[[#This Row],[Device type]],7)="Winding","-",TIM[[#This Row],[Cont Shoulder MVA]])</f>
        <v>23.815698604072061</v>
      </c>
      <c r="AV192" s="9">
        <f>IF(RIGHT(TIM[[#This Row],[Device type]],7)="Winding","-",TIM[[#This Row],[Cont Summer MVA]])</f>
        <v>23.815698604072061</v>
      </c>
      <c r="AW192" s="9" t="str">
        <f>TIM[[#This Row],[24 Hr Winter MVA]]</f>
        <v>-</v>
      </c>
      <c r="AX192" s="9" t="str">
        <f>TIM[[#This Row],[24 Hr Summer MVA]]</f>
        <v>-</v>
      </c>
      <c r="AY192" s="9">
        <f>TIM[[#This Row],[Forwards MVA]]</f>
        <v>7.6210235533030604</v>
      </c>
      <c r="AZ192" s="9">
        <f>TIM[[#This Row],[Relay MVA]]</f>
        <v>15.242047106606121</v>
      </c>
      <c r="BA192" s="9">
        <f>TIM[[#This Row],[CT MVA]]</f>
        <v>15.242047106606121</v>
      </c>
      <c r="BB192" s="9" t="str">
        <f>TIM[[#This Row],[Derating MVA]]</f>
        <v>-</v>
      </c>
      <c r="BC192" s="9" t="str">
        <f>TIM[[#This Row],[Station/Feeder]]&amp;TIM[[#This Row],[Lowest MVA]]</f>
        <v>GRM_HNT_SUBTRANS7.62102355330306</v>
      </c>
      <c r="BD192" s="9" t="str">
        <f>CONCATENATE(TIM[[#This Row],[Supply Level]],TIM[[#This Row],[Station/Feeder]],TIM[[#This Row],[Voltage]],TIM[[#This Row],[Lowest A-No PTX]])</f>
        <v>SubTransmissionGRM_HNT_SUBTRANS11400</v>
      </c>
      <c r="BE192" s="9" t="str">
        <f>CONCATENATE(TIM[[#This Row],[Supply Level]],TIM[[#This Row],[Station/Feeder]],TIM[[#This Row],[Voltage]],TIM[[#This Row],[Lowest A-PTX]])</f>
        <v>SubTransmissionGRM_HNT_SUBTRANS11400</v>
      </c>
      <c r="BF192" s="9">
        <f>IFERROR(IF(MIN(TIM[[#This Row],[Summ Cont Winter A]:[Cable Derating]])=0,"",MIN(TIM[[#This Row],[Summ Cont Winter A]:[Cable Derating]])),"")</f>
        <v>7.6210235533030604</v>
      </c>
      <c r="BG192" s="9">
        <f>IFERROR(TIM[[#This Row],[Lowest MVA]]*1000/(TIM[[#This Row],[Voltage]]*SQRT(3)),"")</f>
        <v>400</v>
      </c>
      <c r="BH192" s="9">
        <f t="shared" si="271"/>
        <v>400</v>
      </c>
      <c r="BI192" s="9" t="str">
        <f>TIM[[#This Row],[From]]</f>
        <v>11 kV Bus</v>
      </c>
      <c r="BJ192" s="9" t="str">
        <f>TIM[[#This Row],[To]]</f>
        <v>TEGRASMERE13</v>
      </c>
      <c r="BK19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Breaker-GRM-CB13-Protection</v>
      </c>
      <c r="BL192" s="9">
        <f>TIM[[#This Row],[Voltage]]</f>
        <v>11</v>
      </c>
    </row>
    <row r="193" spans="1:64" ht="15" hidden="1" customHeight="1" x14ac:dyDescent="0.25">
      <c r="A193" s="6" t="str">
        <f>CONCATENATE(TIM[[#This Row],[Supply Level]],TIM[[#This Row],[Station/Feeder]],TIM[[#This Row],[Voltage]])</f>
        <v>SubTransmissionGRM_HNT_SUBTRANS11</v>
      </c>
      <c r="B193" s="6" t="str">
        <f>CONCATENATE(TIM[[#This Row],[Supply Level]],TIM[[#This Row],[Station/Feeder]],TIM[[#This Row],[Equipment ID]],TIM[[#This Row],[Voltage]],TIM[[#This Row],[Device type]])</f>
        <v>SubTransmissionGRM_HNT_SUBTRANS3c 400mm² AL11-</v>
      </c>
      <c r="C193" s="6" t="s">
        <v>1245</v>
      </c>
      <c r="D193" s="11" t="s">
        <v>170</v>
      </c>
      <c r="E193" s="6" t="s">
        <v>920</v>
      </c>
      <c r="F193" s="6" t="s">
        <v>750</v>
      </c>
      <c r="G193" s="27">
        <v>2</v>
      </c>
      <c r="H193" s="6" t="s">
        <v>888</v>
      </c>
      <c r="I193" s="7" t="s">
        <v>921</v>
      </c>
      <c r="J193" s="7" t="s">
        <v>250</v>
      </c>
      <c r="K193" s="49" t="s">
        <v>0</v>
      </c>
      <c r="L193" s="49" t="s">
        <v>0</v>
      </c>
      <c r="M193" s="8">
        <v>11</v>
      </c>
      <c r="N193" s="9">
        <v>537</v>
      </c>
      <c r="O193" s="9">
        <f t="shared" si="0"/>
        <v>10.231224120309358</v>
      </c>
      <c r="P193" s="9">
        <v>537</v>
      </c>
      <c r="Q193" s="9">
        <f t="shared" si="1"/>
        <v>10.231224120309358</v>
      </c>
      <c r="R193" s="9">
        <v>537</v>
      </c>
      <c r="S193" s="9">
        <f t="shared" si="2"/>
        <v>10.231224120309358</v>
      </c>
      <c r="T193" s="9" t="s">
        <v>0</v>
      </c>
      <c r="U193" s="9" t="str">
        <f t="shared" si="3"/>
        <v>-</v>
      </c>
      <c r="V193" s="9" t="s">
        <v>0</v>
      </c>
      <c r="W193" s="9" t="str">
        <f t="shared" si="4"/>
        <v>-</v>
      </c>
      <c r="X193" s="9" t="s">
        <v>0</v>
      </c>
      <c r="Y193" s="9" t="str">
        <f t="shared" si="5"/>
        <v>-</v>
      </c>
      <c r="Z193" s="9" t="s">
        <v>0</v>
      </c>
      <c r="AA193" s="9" t="str">
        <f t="shared" si="6"/>
        <v>-</v>
      </c>
      <c r="AB193" s="9" t="s">
        <v>0</v>
      </c>
      <c r="AC193" s="9" t="str">
        <f t="shared" si="7"/>
        <v>-</v>
      </c>
      <c r="AD193" s="9" t="s">
        <v>0</v>
      </c>
      <c r="AE193" s="12" t="str">
        <f t="shared" si="8"/>
        <v>-</v>
      </c>
      <c r="AF193" s="9" t="s">
        <v>716</v>
      </c>
      <c r="AG193" s="9" t="s">
        <v>0</v>
      </c>
      <c r="AH193" s="9">
        <v>9.5</v>
      </c>
      <c r="AI193" s="9">
        <v>0.85</v>
      </c>
      <c r="AJ193" s="32">
        <v>1.03</v>
      </c>
      <c r="AK193" s="9">
        <v>18.5</v>
      </c>
      <c r="AL193" s="32">
        <v>0.95</v>
      </c>
      <c r="AM193" s="9">
        <v>1.2</v>
      </c>
      <c r="AN193" s="32">
        <v>1</v>
      </c>
      <c r="AO193" s="9">
        <v>3</v>
      </c>
      <c r="AP193" s="9">
        <v>0.34</v>
      </c>
      <c r="AQ193" s="32">
        <v>0.8</v>
      </c>
      <c r="AR193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420.36359999999996</v>
      </c>
      <c r="AS193" s="9">
        <f t="shared" si="9"/>
        <v>8.0090022413781643</v>
      </c>
      <c r="AT193" s="9">
        <f>IF(RIGHT(TIM[[#This Row],[Device type]],7)="Winding","-",TIM[[#This Row],[Cont Winter MVA]])</f>
        <v>10.231224120309358</v>
      </c>
      <c r="AU193" s="9">
        <f>IF(RIGHT(TIM[[#This Row],[Device type]],7)="Winding","-",TIM[[#This Row],[Cont Shoulder MVA]])</f>
        <v>10.231224120309358</v>
      </c>
      <c r="AV193" s="9">
        <f>IF(RIGHT(TIM[[#This Row],[Device type]],7)="Winding","-",TIM[[#This Row],[Cont Summer MVA]])</f>
        <v>10.231224120309358</v>
      </c>
      <c r="AW193" s="9" t="str">
        <f>TIM[[#This Row],[24 Hr Winter MVA]]</f>
        <v>-</v>
      </c>
      <c r="AX193" s="9" t="str">
        <f>TIM[[#This Row],[24 Hr Summer MVA]]</f>
        <v>-</v>
      </c>
      <c r="AY193" s="9" t="str">
        <f>TIM[[#This Row],[Forwards MVA]]</f>
        <v>-</v>
      </c>
      <c r="AZ193" s="9" t="str">
        <f>TIM[[#This Row],[Relay MVA]]</f>
        <v>-</v>
      </c>
      <c r="BA193" s="9" t="str">
        <f>TIM[[#This Row],[CT MVA]]</f>
        <v>-</v>
      </c>
      <c r="BB193" s="9">
        <f>TIM[[#This Row],[Derating MVA]]</f>
        <v>8.0090022413781643</v>
      </c>
      <c r="BC193" s="9" t="str">
        <f>TIM[[#This Row],[Station/Feeder]]&amp;TIM[[#This Row],[Lowest MVA]]</f>
        <v>GRM_HNT_SUBTRANS8.00900224137816</v>
      </c>
      <c r="BD193" s="9" t="str">
        <f>CONCATENATE(TIM[[#This Row],[Supply Level]],TIM[[#This Row],[Station/Feeder]],TIM[[#This Row],[Voltage]],TIM[[#This Row],[Lowest A-No PTX]])</f>
        <v>SubTransmissionGRM_HNT_SUBTRANS11420.3636</v>
      </c>
      <c r="BE193" s="9" t="str">
        <f>CONCATENATE(TIM[[#This Row],[Supply Level]],TIM[[#This Row],[Station/Feeder]],TIM[[#This Row],[Voltage]],TIM[[#This Row],[Lowest A-PTX]])</f>
        <v>SubTransmissionGRM_HNT_SUBTRANS11420.3636</v>
      </c>
      <c r="BF193" s="9">
        <f>IFERROR(IF(MIN(TIM[[#This Row],[Summ Cont Winter A]:[Cable Derating]])=0,"",MIN(TIM[[#This Row],[Summ Cont Winter A]:[Cable Derating]])),"")</f>
        <v>8.0090022413781643</v>
      </c>
      <c r="BG193" s="9">
        <f>IFERROR(TIM[[#This Row],[Lowest MVA]]*1000/(TIM[[#This Row],[Voltage]]*SQRT(3)),"")</f>
        <v>420.36359999999996</v>
      </c>
      <c r="BH193" s="9">
        <f t="shared" si="271"/>
        <v>420.36359999999996</v>
      </c>
      <c r="BI193" s="9" t="str">
        <f>TIM[[#This Row],[From]]</f>
        <v>TEGRASMERE 13</v>
      </c>
      <c r="BJ193" s="9" t="str">
        <f>TIM[[#This Row],[To]]</f>
        <v>Joint</v>
      </c>
      <c r="BK19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400mm² AL</v>
      </c>
      <c r="BL193" s="9">
        <f>TIM[[#This Row],[Voltage]]</f>
        <v>11</v>
      </c>
    </row>
    <row r="194" spans="1:64" ht="15" hidden="1" customHeight="1" x14ac:dyDescent="0.25">
      <c r="A194" s="6" t="str">
        <f>CONCATENATE(TIM[[#This Row],[Supply Level]],TIM[[#This Row],[Station/Feeder]],TIM[[#This Row],[Voltage]])</f>
        <v>SubTransmissionGRM_HNT_SUBTRANS11</v>
      </c>
      <c r="B194" s="6" t="str">
        <f>CONCATENATE(TIM[[#This Row],[Supply Level]],TIM[[#This Row],[Station/Feeder]],TIM[[#This Row],[Equipment ID]],TIM[[#This Row],[Voltage]],TIM[[#This Row],[Device type]])</f>
        <v>SubTransmissionGRM_HNT_SUBTRANS3c 0.3in² Cu PILC STAS11-</v>
      </c>
      <c r="C194" s="6" t="s">
        <v>1245</v>
      </c>
      <c r="D194" s="11" t="s">
        <v>170</v>
      </c>
      <c r="E194" s="6" t="s">
        <v>750</v>
      </c>
      <c r="F194" s="6" t="s">
        <v>922</v>
      </c>
      <c r="G194" s="27">
        <v>3</v>
      </c>
      <c r="H194" s="6" t="s">
        <v>888</v>
      </c>
      <c r="I194" s="7" t="s">
        <v>923</v>
      </c>
      <c r="J194" s="7" t="s">
        <v>250</v>
      </c>
      <c r="K194" s="49" t="s">
        <v>0</v>
      </c>
      <c r="L194" s="49" t="s">
        <v>0</v>
      </c>
      <c r="M194" s="8">
        <v>11</v>
      </c>
      <c r="N194" s="9">
        <v>380</v>
      </c>
      <c r="O194" s="9">
        <f t="shared" si="0"/>
        <v>7.2399723756379064</v>
      </c>
      <c r="P194" s="9">
        <v>380</v>
      </c>
      <c r="Q194" s="9">
        <f t="shared" si="1"/>
        <v>7.2399723756379064</v>
      </c>
      <c r="R194" s="9">
        <v>380</v>
      </c>
      <c r="S194" s="9">
        <f t="shared" si="2"/>
        <v>7.2399723756379064</v>
      </c>
      <c r="T194" s="9" t="s">
        <v>0</v>
      </c>
      <c r="U194" s="9" t="str">
        <f t="shared" si="3"/>
        <v>-</v>
      </c>
      <c r="V194" s="9" t="s">
        <v>0</v>
      </c>
      <c r="W194" s="9" t="str">
        <f t="shared" si="4"/>
        <v>-</v>
      </c>
      <c r="X194" s="9" t="s">
        <v>0</v>
      </c>
      <c r="Y194" s="9" t="str">
        <f t="shared" si="5"/>
        <v>-</v>
      </c>
      <c r="Z194" s="9" t="s">
        <v>0</v>
      </c>
      <c r="AA194" s="9" t="str">
        <f t="shared" si="6"/>
        <v>-</v>
      </c>
      <c r="AB194" s="9" t="s">
        <v>0</v>
      </c>
      <c r="AC194" s="9" t="str">
        <f t="shared" si="7"/>
        <v>-</v>
      </c>
      <c r="AD194" s="9" t="s">
        <v>0</v>
      </c>
      <c r="AE194" s="12" t="str">
        <f t="shared" si="8"/>
        <v>-</v>
      </c>
      <c r="AF194" s="9" t="s">
        <v>716</v>
      </c>
      <c r="AG194" s="9" t="s">
        <v>0</v>
      </c>
      <c r="AH194" s="9">
        <v>1651.1</v>
      </c>
      <c r="AI194" s="9">
        <v>0.85</v>
      </c>
      <c r="AJ194" s="32">
        <v>1.03</v>
      </c>
      <c r="AK194" s="9">
        <v>18.5</v>
      </c>
      <c r="AL194" s="32">
        <v>0.95</v>
      </c>
      <c r="AM194" s="9">
        <v>1.2</v>
      </c>
      <c r="AN194" s="32">
        <v>1</v>
      </c>
      <c r="AO194" s="9">
        <v>3</v>
      </c>
      <c r="AP194" s="9">
        <v>0.34</v>
      </c>
      <c r="AQ194" s="32">
        <v>0.8</v>
      </c>
      <c r="AR194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297.464</v>
      </c>
      <c r="AS194" s="9">
        <f t="shared" si="9"/>
        <v>5.6674503756493531</v>
      </c>
      <c r="AT194" s="9">
        <f>IF(RIGHT(TIM[[#This Row],[Device type]],7)="Winding","-",TIM[[#This Row],[Cont Winter MVA]])</f>
        <v>7.2399723756379064</v>
      </c>
      <c r="AU194" s="9">
        <f>IF(RIGHT(TIM[[#This Row],[Device type]],7)="Winding","-",TIM[[#This Row],[Cont Shoulder MVA]])</f>
        <v>7.2399723756379064</v>
      </c>
      <c r="AV194" s="9">
        <f>IF(RIGHT(TIM[[#This Row],[Device type]],7)="Winding","-",TIM[[#This Row],[Cont Summer MVA]])</f>
        <v>7.2399723756379064</v>
      </c>
      <c r="AW194" s="9" t="str">
        <f>TIM[[#This Row],[24 Hr Winter MVA]]</f>
        <v>-</v>
      </c>
      <c r="AX194" s="9" t="str">
        <f>TIM[[#This Row],[24 Hr Summer MVA]]</f>
        <v>-</v>
      </c>
      <c r="AY194" s="9" t="str">
        <f>TIM[[#This Row],[Forwards MVA]]</f>
        <v>-</v>
      </c>
      <c r="AZ194" s="9" t="str">
        <f>TIM[[#This Row],[Relay MVA]]</f>
        <v>-</v>
      </c>
      <c r="BA194" s="9" t="str">
        <f>TIM[[#This Row],[CT MVA]]</f>
        <v>-</v>
      </c>
      <c r="BB194" s="9">
        <f>TIM[[#This Row],[Derating MVA]]</f>
        <v>5.6674503756493531</v>
      </c>
      <c r="BC194" s="9" t="str">
        <f>TIM[[#This Row],[Station/Feeder]]&amp;TIM[[#This Row],[Lowest MVA]]</f>
        <v>GRM_HNT_SUBTRANS5.66745037564935</v>
      </c>
      <c r="BD194" s="9" t="str">
        <f>CONCATENATE(TIM[[#This Row],[Supply Level]],TIM[[#This Row],[Station/Feeder]],TIM[[#This Row],[Voltage]],TIM[[#This Row],[Lowest A-No PTX]])</f>
        <v>SubTransmissionGRM_HNT_SUBTRANS11297.464</v>
      </c>
      <c r="BE194" s="9" t="str">
        <f>CONCATENATE(TIM[[#This Row],[Supply Level]],TIM[[#This Row],[Station/Feeder]],TIM[[#This Row],[Voltage]],TIM[[#This Row],[Lowest A-PTX]])</f>
        <v>SubTransmissionGRM_HNT_SUBTRANS11297.464</v>
      </c>
      <c r="BF194" s="9">
        <f>IFERROR(IF(MIN(TIM[[#This Row],[Summ Cont Winter A]:[Cable Derating]])=0,"",MIN(TIM[[#This Row],[Summ Cont Winter A]:[Cable Derating]])),"")</f>
        <v>5.6674503756493531</v>
      </c>
      <c r="BG194" s="9">
        <f>IFERROR(TIM[[#This Row],[Lowest MVA]]*1000/(TIM[[#This Row],[Voltage]]*SQRT(3)),"")</f>
        <v>297.464</v>
      </c>
      <c r="BH194" s="9">
        <f t="shared" si="271"/>
        <v>297.464</v>
      </c>
      <c r="BI194" s="9" t="str">
        <f>TIM[[#This Row],[From]]</f>
        <v>Joint</v>
      </c>
      <c r="BJ194" s="9" t="str">
        <f>TIM[[#This Row],[To]]</f>
        <v>TEHUNT12</v>
      </c>
      <c r="BK19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0.3in² Cu PILC STAS</v>
      </c>
      <c r="BL194" s="9">
        <f>TIM[[#This Row],[Voltage]]</f>
        <v>11</v>
      </c>
    </row>
    <row r="195" spans="1:64" ht="15" customHeight="1" x14ac:dyDescent="0.25">
      <c r="A195" s="6" t="str">
        <f>CONCATENATE(TIM[[#This Row],[Supply Level]],TIM[[#This Row],[Station/Feeder]],TIM[[#This Row],[Voltage]])</f>
        <v>DistributionFeederCB15_Park Lane11</v>
      </c>
      <c r="B195" s="6" t="str">
        <f>CONCATENATE(TIM[[#This Row],[Supply Level]],TIM[[#This Row],[Station/Feeder]],TIM[[#This Row],[Equipment ID]],TIM[[#This Row],[Voltage]],TIM[[#This Row],[Device type]])</f>
        <v>DistributionFeederCB15_Park LaneGRM-CB1511Protection</v>
      </c>
      <c r="C195" s="6" t="s">
        <v>1276</v>
      </c>
      <c r="D195" s="11" t="s">
        <v>193</v>
      </c>
      <c r="E195" s="6" t="s">
        <v>243</v>
      </c>
      <c r="F195" s="6" t="s">
        <v>924</v>
      </c>
      <c r="G195" s="27">
        <v>1</v>
      </c>
      <c r="H195" s="6" t="s">
        <v>887</v>
      </c>
      <c r="I195" s="7" t="s">
        <v>2335</v>
      </c>
      <c r="J195" s="7" t="s">
        <v>15</v>
      </c>
      <c r="K195" s="49" t="s">
        <v>791</v>
      </c>
      <c r="L195" s="49" t="s">
        <v>1423</v>
      </c>
      <c r="M195" s="8">
        <v>11</v>
      </c>
      <c r="N195" s="9">
        <v>1250</v>
      </c>
      <c r="O195" s="9">
        <f t="shared" si="0"/>
        <v>23.815698604072061</v>
      </c>
      <c r="P195" s="9">
        <v>1250</v>
      </c>
      <c r="Q195" s="9">
        <f t="shared" si="1"/>
        <v>23.815698604072061</v>
      </c>
      <c r="R195" s="9">
        <v>1250</v>
      </c>
      <c r="S195" s="9">
        <f t="shared" si="2"/>
        <v>23.815698604072061</v>
      </c>
      <c r="T195" s="9" t="s">
        <v>0</v>
      </c>
      <c r="U195" s="9" t="str">
        <f t="shared" si="3"/>
        <v>-</v>
      </c>
      <c r="V195" s="9" t="s">
        <v>0</v>
      </c>
      <c r="W195" s="9" t="str">
        <f t="shared" si="4"/>
        <v>-</v>
      </c>
      <c r="X195" s="9">
        <f>VLOOKUP(TIM[[#This Row],[Equipment ID]],AEL_Protection_Data[#All],12,0)</f>
        <v>304</v>
      </c>
      <c r="Y195" s="9">
        <f t="shared" si="5"/>
        <v>5.7919779005103251</v>
      </c>
      <c r="Z195" s="9" t="s">
        <v>0</v>
      </c>
      <c r="AA195" s="9" t="str">
        <f t="shared" si="6"/>
        <v>-</v>
      </c>
      <c r="AB195" s="9">
        <v>800</v>
      </c>
      <c r="AC195" s="9">
        <f t="shared" si="7"/>
        <v>15.242047106606121</v>
      </c>
      <c r="AD195" s="9">
        <v>800</v>
      </c>
      <c r="AE195" s="12">
        <f t="shared" si="8"/>
        <v>15.242047106606121</v>
      </c>
      <c r="AF195" s="9" t="s">
        <v>0</v>
      </c>
      <c r="AG195" s="9" t="s">
        <v>0</v>
      </c>
      <c r="AH195" s="9" t="s">
        <v>0</v>
      </c>
      <c r="AI195" s="9" t="s">
        <v>0</v>
      </c>
      <c r="AJ195" s="32" t="s">
        <v>0</v>
      </c>
      <c r="AK195" s="9" t="s">
        <v>0</v>
      </c>
      <c r="AL195" s="32" t="s">
        <v>0</v>
      </c>
      <c r="AM195" s="9" t="s">
        <v>0</v>
      </c>
      <c r="AN195" s="32" t="s">
        <v>0</v>
      </c>
      <c r="AO195" s="9" t="s">
        <v>0</v>
      </c>
      <c r="AP195" s="9" t="s">
        <v>0</v>
      </c>
      <c r="AQ195" s="32" t="s">
        <v>0</v>
      </c>
      <c r="AR195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95" s="9" t="str">
        <f t="shared" si="9"/>
        <v>-</v>
      </c>
      <c r="AT195" s="9">
        <f>IF(RIGHT(TIM[[#This Row],[Device type]],7)="Winding","-",TIM[[#This Row],[Cont Winter MVA]])</f>
        <v>23.815698604072061</v>
      </c>
      <c r="AU195" s="9">
        <f>IF(RIGHT(TIM[[#This Row],[Device type]],7)="Winding","-",TIM[[#This Row],[Cont Shoulder MVA]])</f>
        <v>23.815698604072061</v>
      </c>
      <c r="AV195" s="9">
        <f>IF(RIGHT(TIM[[#This Row],[Device type]],7)="Winding","-",TIM[[#This Row],[Cont Summer MVA]])</f>
        <v>23.815698604072061</v>
      </c>
      <c r="AW195" s="9" t="str">
        <f>TIM[[#This Row],[24 Hr Winter MVA]]</f>
        <v>-</v>
      </c>
      <c r="AX195" s="9" t="str">
        <f>TIM[[#This Row],[24 Hr Summer MVA]]</f>
        <v>-</v>
      </c>
      <c r="AY195" s="9">
        <f>TIM[[#This Row],[Forwards MVA]]</f>
        <v>5.7919779005103251</v>
      </c>
      <c r="AZ195" s="9">
        <f>TIM[[#This Row],[Relay MVA]]</f>
        <v>15.242047106606121</v>
      </c>
      <c r="BA195" s="9">
        <f>TIM[[#This Row],[CT MVA]]</f>
        <v>15.242047106606121</v>
      </c>
      <c r="BB195" s="9" t="str">
        <f>TIM[[#This Row],[Derating MVA]]</f>
        <v>-</v>
      </c>
      <c r="BC195" s="9" t="str">
        <f>TIM[[#This Row],[Station/Feeder]]&amp;TIM[[#This Row],[Lowest MVA]]</f>
        <v>CB15_Park Lane5.79197790051033</v>
      </c>
      <c r="BD195" s="9" t="str">
        <f>CONCATENATE(TIM[[#This Row],[Supply Level]],TIM[[#This Row],[Station/Feeder]],TIM[[#This Row],[Voltage]],TIM[[#This Row],[Lowest A-No PTX]])</f>
        <v>DistributionFeederCB15_Park Lane11304</v>
      </c>
      <c r="BE195" s="9" t="str">
        <f>CONCATENATE(TIM[[#This Row],[Supply Level]],TIM[[#This Row],[Station/Feeder]],TIM[[#This Row],[Voltage]],TIM[[#This Row],[Lowest A-PTX]])</f>
        <v>DistributionFeederCB15_Park Lane11304</v>
      </c>
      <c r="BF195" s="9">
        <f>IFERROR(IF(MIN(TIM[[#This Row],[Summ Cont Winter A]:[Cable Derating]])=0,"",MIN(TIM[[#This Row],[Summ Cont Winter A]:[Cable Derating]])),"")</f>
        <v>5.7919779005103251</v>
      </c>
      <c r="BG195" s="9">
        <f>IFERROR(TIM[[#This Row],[Lowest MVA]]*1000/(TIM[[#This Row],[Voltage]]*SQRT(3)),"")</f>
        <v>304</v>
      </c>
      <c r="BH195" s="9">
        <f t="shared" si="271"/>
        <v>304</v>
      </c>
      <c r="BI195" s="9" t="str">
        <f>TIM[[#This Row],[From]]</f>
        <v>11 kV Bus</v>
      </c>
      <c r="BJ195" s="9" t="str">
        <f>TIM[[#This Row],[To]]</f>
        <v xml:space="preserve">TEGRASMERE15 </v>
      </c>
      <c r="BK19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Breaker-GRM-CB15-Protection</v>
      </c>
      <c r="BL195" s="9">
        <f>TIM[[#This Row],[Voltage]]</f>
        <v>11</v>
      </c>
    </row>
    <row r="196" spans="1:64" ht="15" customHeight="1" x14ac:dyDescent="0.25">
      <c r="A196" s="6" t="str">
        <f>CONCATENATE(TIM[[#This Row],[Supply Level]],TIM[[#This Row],[Station/Feeder]],TIM[[#This Row],[Voltage]])</f>
        <v>DistributionFeederCB15_Park Lane11</v>
      </c>
      <c r="B196" s="6" t="str">
        <f>CONCATENATE(TIM[[#This Row],[Supply Level]],TIM[[#This Row],[Station/Feeder]],TIM[[#This Row],[Equipment ID]],TIM[[#This Row],[Voltage]],TIM[[#This Row],[Device type]])</f>
        <v>DistributionFeederCB15_Park Lane3c 300mm² Al PILC SWA11-</v>
      </c>
      <c r="C196" s="6" t="s">
        <v>1276</v>
      </c>
      <c r="D196" s="11" t="s">
        <v>193</v>
      </c>
      <c r="E196" s="6" t="s">
        <v>924</v>
      </c>
      <c r="F196" s="6" t="s">
        <v>925</v>
      </c>
      <c r="G196" s="27">
        <v>2</v>
      </c>
      <c r="H196" s="6" t="s">
        <v>888</v>
      </c>
      <c r="I196" s="7" t="s">
        <v>926</v>
      </c>
      <c r="J196" s="7" t="s">
        <v>250</v>
      </c>
      <c r="K196" s="49" t="s">
        <v>0</v>
      </c>
      <c r="L196" s="49" t="s">
        <v>0</v>
      </c>
      <c r="M196" s="8">
        <v>11</v>
      </c>
      <c r="N196" s="9">
        <v>322</v>
      </c>
      <c r="O196" s="9">
        <f t="shared" si="0"/>
        <v>6.1349239604089636</v>
      </c>
      <c r="P196" s="9">
        <v>322</v>
      </c>
      <c r="Q196" s="9">
        <f t="shared" si="1"/>
        <v>6.1349239604089636</v>
      </c>
      <c r="R196" s="9">
        <v>322</v>
      </c>
      <c r="S196" s="9">
        <f t="shared" si="2"/>
        <v>6.1349239604089636</v>
      </c>
      <c r="T196" s="9" t="s">
        <v>0</v>
      </c>
      <c r="U196" s="9" t="str">
        <f t="shared" si="3"/>
        <v>-</v>
      </c>
      <c r="V196" s="9" t="s">
        <v>0</v>
      </c>
      <c r="W196" s="9" t="str">
        <f t="shared" si="4"/>
        <v>-</v>
      </c>
      <c r="X196" s="9" t="s">
        <v>0</v>
      </c>
      <c r="Y196" s="9" t="str">
        <f t="shared" si="5"/>
        <v>-</v>
      </c>
      <c r="Z196" s="9" t="s">
        <v>0</v>
      </c>
      <c r="AA196" s="9" t="str">
        <f t="shared" si="6"/>
        <v>-</v>
      </c>
      <c r="AB196" s="9" t="s">
        <v>0</v>
      </c>
      <c r="AC196" s="9" t="str">
        <f t="shared" si="7"/>
        <v>-</v>
      </c>
      <c r="AD196" s="9" t="s">
        <v>0</v>
      </c>
      <c r="AE196" s="12" t="str">
        <f t="shared" si="8"/>
        <v>-</v>
      </c>
      <c r="AF196" s="9" t="s">
        <v>716</v>
      </c>
      <c r="AG196" s="9" t="s">
        <v>0</v>
      </c>
      <c r="AH196" s="9">
        <v>671.40000000000009</v>
      </c>
      <c r="AI196" s="9">
        <v>1.2</v>
      </c>
      <c r="AJ196" s="32">
        <v>0.99</v>
      </c>
      <c r="AK196" s="9">
        <v>18.5</v>
      </c>
      <c r="AL196" s="32">
        <v>0.95</v>
      </c>
      <c r="AM196" s="9">
        <v>1.2</v>
      </c>
      <c r="AN196" s="32">
        <v>1</v>
      </c>
      <c r="AO196" s="9">
        <v>5</v>
      </c>
      <c r="AP196" s="9">
        <v>0.3</v>
      </c>
      <c r="AQ196" s="32">
        <v>0.56999999999999995</v>
      </c>
      <c r="AR196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172.61936999999998</v>
      </c>
      <c r="AS196" s="9">
        <f t="shared" si="9"/>
        <v>3.2888407113158382</v>
      </c>
      <c r="AT196" s="9">
        <f>IF(RIGHT(TIM[[#This Row],[Device type]],7)="Winding","-",TIM[[#This Row],[Cont Winter MVA]])</f>
        <v>6.1349239604089636</v>
      </c>
      <c r="AU196" s="9">
        <f>IF(RIGHT(TIM[[#This Row],[Device type]],7)="Winding","-",TIM[[#This Row],[Cont Shoulder MVA]])</f>
        <v>6.1349239604089636</v>
      </c>
      <c r="AV196" s="9">
        <f>IF(RIGHT(TIM[[#This Row],[Device type]],7)="Winding","-",TIM[[#This Row],[Cont Summer MVA]])</f>
        <v>6.1349239604089636</v>
      </c>
      <c r="AW196" s="9" t="str">
        <f>TIM[[#This Row],[24 Hr Winter MVA]]</f>
        <v>-</v>
      </c>
      <c r="AX196" s="9" t="str">
        <f>TIM[[#This Row],[24 Hr Summer MVA]]</f>
        <v>-</v>
      </c>
      <c r="AY196" s="9" t="str">
        <f>TIM[[#This Row],[Forwards MVA]]</f>
        <v>-</v>
      </c>
      <c r="AZ196" s="9" t="str">
        <f>TIM[[#This Row],[Relay MVA]]</f>
        <v>-</v>
      </c>
      <c r="BA196" s="9" t="str">
        <f>TIM[[#This Row],[CT MVA]]</f>
        <v>-</v>
      </c>
      <c r="BB196" s="9">
        <f>TIM[[#This Row],[Derating MVA]]</f>
        <v>3.2888407113158382</v>
      </c>
      <c r="BC196" s="9" t="str">
        <f>TIM[[#This Row],[Station/Feeder]]&amp;TIM[[#This Row],[Lowest MVA]]</f>
        <v>CB15_Park Lane3.28884071131584</v>
      </c>
      <c r="BD196" s="9" t="str">
        <f>CONCATENATE(TIM[[#This Row],[Supply Level]],TIM[[#This Row],[Station/Feeder]],TIM[[#This Row],[Voltage]],TIM[[#This Row],[Lowest A-No PTX]])</f>
        <v>DistributionFeederCB15_Park Lane11172.61937</v>
      </c>
      <c r="BE196" s="9" t="str">
        <f>CONCATENATE(TIM[[#This Row],[Supply Level]],TIM[[#This Row],[Station/Feeder]],TIM[[#This Row],[Voltage]],TIM[[#This Row],[Lowest A-PTX]])</f>
        <v>DistributionFeederCB15_Park Lane11172.61937</v>
      </c>
      <c r="BF196" s="9">
        <f>IFERROR(IF(MIN(TIM[[#This Row],[Summ Cont Winter A]:[Cable Derating]])=0,"",MIN(TIM[[#This Row],[Summ Cont Winter A]:[Cable Derating]])),"")</f>
        <v>3.2888407113158382</v>
      </c>
      <c r="BG196" s="9">
        <f>IFERROR(TIM[[#This Row],[Lowest MVA]]*1000/(TIM[[#This Row],[Voltage]]*SQRT(3)),"")</f>
        <v>172.61936999999995</v>
      </c>
      <c r="BH196" s="9">
        <f t="shared" si="271"/>
        <v>172.61936999999998</v>
      </c>
      <c r="BI196" s="9" t="str">
        <f>TIM[[#This Row],[From]]</f>
        <v xml:space="preserve">TEGRASMERE15 </v>
      </c>
      <c r="BJ196" s="9" t="str">
        <f>TIM[[#This Row],[To]]</f>
        <v>TEE28 RMU</v>
      </c>
      <c r="BK19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300mm² Al PILC SWA</v>
      </c>
      <c r="BL196" s="9">
        <f>TIM[[#This Row],[Voltage]]</f>
        <v>11</v>
      </c>
    </row>
    <row r="197" spans="1:64" ht="15" customHeight="1" x14ac:dyDescent="0.25">
      <c r="A197" s="6" t="str">
        <f>CONCATENATE(TIM[[#This Row],[Supply Level]],TIM[[#This Row],[Station/Feeder]],TIM[[#This Row],[Voltage]])</f>
        <v>DistributionFeederCB16_Evans St11</v>
      </c>
      <c r="B197" s="6" t="str">
        <f>CONCATENATE(TIM[[#This Row],[Supply Level]],TIM[[#This Row],[Station/Feeder]],TIM[[#This Row],[Equipment ID]],TIM[[#This Row],[Voltage]],TIM[[#This Row],[Device type]])</f>
        <v>DistributionFeederCB16_Evans StGRM-CB1611Protection</v>
      </c>
      <c r="C197" s="6" t="s">
        <v>1276</v>
      </c>
      <c r="D197" s="11" t="s">
        <v>195</v>
      </c>
      <c r="E197" s="6" t="s">
        <v>243</v>
      </c>
      <c r="F197" s="6" t="s">
        <v>927</v>
      </c>
      <c r="G197" s="27">
        <v>1</v>
      </c>
      <c r="H197" s="7" t="s">
        <v>887</v>
      </c>
      <c r="I197" s="7" t="s">
        <v>2252</v>
      </c>
      <c r="J197" s="7" t="s">
        <v>15</v>
      </c>
      <c r="K197" s="49" t="s">
        <v>791</v>
      </c>
      <c r="L197" s="49" t="s">
        <v>1423</v>
      </c>
      <c r="M197" s="8">
        <v>11</v>
      </c>
      <c r="N197" s="9">
        <v>1250</v>
      </c>
      <c r="O197" s="9">
        <f t="shared" si="0"/>
        <v>23.815698604072061</v>
      </c>
      <c r="P197" s="9">
        <v>1250</v>
      </c>
      <c r="Q197" s="9">
        <f t="shared" si="1"/>
        <v>23.815698604072061</v>
      </c>
      <c r="R197" s="9">
        <v>1250</v>
      </c>
      <c r="S197" s="9">
        <f t="shared" si="2"/>
        <v>23.815698604072061</v>
      </c>
      <c r="T197" s="9" t="s">
        <v>0</v>
      </c>
      <c r="U197" s="9" t="str">
        <f t="shared" si="3"/>
        <v>-</v>
      </c>
      <c r="V197" s="9" t="s">
        <v>0</v>
      </c>
      <c r="W197" s="9" t="str">
        <f t="shared" si="4"/>
        <v>-</v>
      </c>
      <c r="X197" s="9">
        <f>VLOOKUP(TIM[[#This Row],[Equipment ID]],AEL_Protection_Data[#All],12,0)</f>
        <v>304</v>
      </c>
      <c r="Y197" s="9">
        <f t="shared" si="5"/>
        <v>5.7919779005103251</v>
      </c>
      <c r="Z197" s="9" t="s">
        <v>0</v>
      </c>
      <c r="AA197" s="9" t="str">
        <f t="shared" si="6"/>
        <v>-</v>
      </c>
      <c r="AB197" s="9">
        <v>800</v>
      </c>
      <c r="AC197" s="9">
        <f t="shared" si="7"/>
        <v>15.242047106606121</v>
      </c>
      <c r="AD197" s="9">
        <v>800</v>
      </c>
      <c r="AE197" s="12">
        <f t="shared" si="8"/>
        <v>15.242047106606121</v>
      </c>
      <c r="AF197" s="9" t="s">
        <v>0</v>
      </c>
      <c r="AG197" s="9" t="s">
        <v>0</v>
      </c>
      <c r="AH197" s="9" t="s">
        <v>0</v>
      </c>
      <c r="AI197" s="9" t="s">
        <v>0</v>
      </c>
      <c r="AJ197" s="32" t="s">
        <v>0</v>
      </c>
      <c r="AK197" s="9" t="s">
        <v>0</v>
      </c>
      <c r="AL197" s="32" t="s">
        <v>0</v>
      </c>
      <c r="AM197" s="9" t="s">
        <v>0</v>
      </c>
      <c r="AN197" s="32" t="s">
        <v>0</v>
      </c>
      <c r="AO197" s="9" t="s">
        <v>0</v>
      </c>
      <c r="AP197" s="9" t="s">
        <v>0</v>
      </c>
      <c r="AQ197" s="32" t="s">
        <v>0</v>
      </c>
      <c r="AR197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197" s="9" t="str">
        <f t="shared" si="9"/>
        <v>-</v>
      </c>
      <c r="AT197" s="9">
        <f>IF(RIGHT(TIM[[#This Row],[Device type]],7)="Winding","-",TIM[[#This Row],[Cont Winter MVA]])</f>
        <v>23.815698604072061</v>
      </c>
      <c r="AU197" s="9">
        <f>IF(RIGHT(TIM[[#This Row],[Device type]],7)="Winding","-",TIM[[#This Row],[Cont Shoulder MVA]])</f>
        <v>23.815698604072061</v>
      </c>
      <c r="AV197" s="9">
        <f>IF(RIGHT(TIM[[#This Row],[Device type]],7)="Winding","-",TIM[[#This Row],[Cont Summer MVA]])</f>
        <v>23.815698604072061</v>
      </c>
      <c r="AW197" s="9" t="str">
        <f>TIM[[#This Row],[24 Hr Winter MVA]]</f>
        <v>-</v>
      </c>
      <c r="AX197" s="9" t="str">
        <f>TIM[[#This Row],[24 Hr Summer MVA]]</f>
        <v>-</v>
      </c>
      <c r="AY197" s="9">
        <f>TIM[[#This Row],[Forwards MVA]]</f>
        <v>5.7919779005103251</v>
      </c>
      <c r="AZ197" s="9">
        <f>TIM[[#This Row],[Relay MVA]]</f>
        <v>15.242047106606121</v>
      </c>
      <c r="BA197" s="9">
        <f>TIM[[#This Row],[CT MVA]]</f>
        <v>15.242047106606121</v>
      </c>
      <c r="BB197" s="9" t="str">
        <f>TIM[[#This Row],[Derating MVA]]</f>
        <v>-</v>
      </c>
      <c r="BC197" s="9" t="str">
        <f>TIM[[#This Row],[Station/Feeder]]&amp;TIM[[#This Row],[Lowest MVA]]</f>
        <v>CB16_Evans St5.79197790051033</v>
      </c>
      <c r="BD197" s="9" t="str">
        <f>CONCATENATE(TIM[[#This Row],[Supply Level]],TIM[[#This Row],[Station/Feeder]],TIM[[#This Row],[Voltage]],TIM[[#This Row],[Lowest A-No PTX]])</f>
        <v>DistributionFeederCB16_Evans St11304</v>
      </c>
      <c r="BE197" s="9" t="str">
        <f>CONCATENATE(TIM[[#This Row],[Supply Level]],TIM[[#This Row],[Station/Feeder]],TIM[[#This Row],[Voltage]],TIM[[#This Row],[Lowest A-PTX]])</f>
        <v>DistributionFeederCB16_Evans St11304</v>
      </c>
      <c r="BF197" s="9">
        <f>IFERROR(IF(MIN(TIM[[#This Row],[Summ Cont Winter A]:[Cable Derating]])=0,"",MIN(TIM[[#This Row],[Summ Cont Winter A]:[Cable Derating]])),"")</f>
        <v>5.7919779005103251</v>
      </c>
      <c r="BG197" s="9">
        <f>IFERROR(TIM[[#This Row],[Lowest MVA]]*1000/(TIM[[#This Row],[Voltage]]*SQRT(3)),"")</f>
        <v>304</v>
      </c>
      <c r="BH197" s="9">
        <f t="shared" si="271"/>
        <v>304</v>
      </c>
      <c r="BI197" s="9" t="str">
        <f>TIM[[#This Row],[From]]</f>
        <v>11 kV Bus</v>
      </c>
      <c r="BJ197" s="9" t="str">
        <f>TIM[[#This Row],[To]]</f>
        <v>TEGRASMERE16</v>
      </c>
      <c r="BK19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Breaker-GRM-CB16-Protection</v>
      </c>
      <c r="BL197" s="9">
        <f>TIM[[#This Row],[Voltage]]</f>
        <v>11</v>
      </c>
    </row>
    <row r="198" spans="1:64" ht="15" customHeight="1" x14ac:dyDescent="0.25">
      <c r="A198" s="6" t="str">
        <f>CONCATENATE(TIM[[#This Row],[Supply Level]],TIM[[#This Row],[Station/Feeder]],TIM[[#This Row],[Voltage]])</f>
        <v>DistributionFeederCB16_Evans St11</v>
      </c>
      <c r="B198" s="6" t="str">
        <f>CONCATENATE(TIM[[#This Row],[Supply Level]],TIM[[#This Row],[Station/Feeder]],TIM[[#This Row],[Equipment ID]],TIM[[#This Row],[Voltage]],TIM[[#This Row],[Device type]])</f>
        <v>DistributionFeederCB16_Evans St3c 0.4in² Al PILC DSTA11-</v>
      </c>
      <c r="C198" s="6" t="s">
        <v>1276</v>
      </c>
      <c r="D198" s="11" t="s">
        <v>195</v>
      </c>
      <c r="E198" s="6" t="s">
        <v>927</v>
      </c>
      <c r="F198" s="6" t="s">
        <v>750</v>
      </c>
      <c r="G198" s="27">
        <v>2</v>
      </c>
      <c r="H198" s="7" t="s">
        <v>888</v>
      </c>
      <c r="I198" s="7" t="s">
        <v>928</v>
      </c>
      <c r="J198" s="7" t="s">
        <v>250</v>
      </c>
      <c r="K198" s="49" t="s">
        <v>0</v>
      </c>
      <c r="L198" s="49" t="s">
        <v>0</v>
      </c>
      <c r="M198" s="8">
        <v>11</v>
      </c>
      <c r="N198" s="9">
        <v>345</v>
      </c>
      <c r="O198" s="9">
        <f t="shared" si="0"/>
        <v>6.5731328147238894</v>
      </c>
      <c r="P198" s="9">
        <v>345</v>
      </c>
      <c r="Q198" s="9">
        <f t="shared" si="1"/>
        <v>6.5731328147238894</v>
      </c>
      <c r="R198" s="9">
        <v>345</v>
      </c>
      <c r="S198" s="9">
        <f t="shared" si="2"/>
        <v>6.5731328147238894</v>
      </c>
      <c r="T198" s="9" t="s">
        <v>0</v>
      </c>
      <c r="U198" s="9" t="str">
        <f t="shared" si="3"/>
        <v>-</v>
      </c>
      <c r="V198" s="9" t="s">
        <v>0</v>
      </c>
      <c r="W198" s="9" t="str">
        <f t="shared" si="4"/>
        <v>-</v>
      </c>
      <c r="X198" s="9" t="s">
        <v>0</v>
      </c>
      <c r="Y198" s="9" t="str">
        <f t="shared" si="5"/>
        <v>-</v>
      </c>
      <c r="Z198" s="9" t="s">
        <v>0</v>
      </c>
      <c r="AA198" s="9" t="str">
        <f t="shared" si="6"/>
        <v>-</v>
      </c>
      <c r="AB198" s="9" t="s">
        <v>0</v>
      </c>
      <c r="AC198" s="9" t="str">
        <f t="shared" si="7"/>
        <v>-</v>
      </c>
      <c r="AD198" s="9" t="s">
        <v>0</v>
      </c>
      <c r="AE198" s="12" t="str">
        <f t="shared" si="8"/>
        <v>-</v>
      </c>
      <c r="AF198" s="9" t="s">
        <v>716</v>
      </c>
      <c r="AG198" s="9" t="s">
        <v>0</v>
      </c>
      <c r="AH198" s="9">
        <v>589.9</v>
      </c>
      <c r="AI198" s="9">
        <v>0.8</v>
      </c>
      <c r="AJ198" s="32">
        <v>1</v>
      </c>
      <c r="AK198" s="9">
        <v>18.5</v>
      </c>
      <c r="AL198" s="32">
        <v>0.95</v>
      </c>
      <c r="AM198" s="9">
        <v>1.2</v>
      </c>
      <c r="AN198" s="32">
        <v>1</v>
      </c>
      <c r="AO198" s="9">
        <v>3</v>
      </c>
      <c r="AP198" s="9">
        <v>0.3</v>
      </c>
      <c r="AQ198" s="32">
        <v>0.8</v>
      </c>
      <c r="AR198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262.2</v>
      </c>
      <c r="AS198" s="9">
        <f t="shared" si="9"/>
        <v>4.9955809391901553</v>
      </c>
      <c r="AT198" s="9">
        <f>IF(RIGHT(TIM[[#This Row],[Device type]],7)="Winding","-",TIM[[#This Row],[Cont Winter MVA]])</f>
        <v>6.5731328147238894</v>
      </c>
      <c r="AU198" s="9">
        <f>IF(RIGHT(TIM[[#This Row],[Device type]],7)="Winding","-",TIM[[#This Row],[Cont Shoulder MVA]])</f>
        <v>6.5731328147238894</v>
      </c>
      <c r="AV198" s="9">
        <f>IF(RIGHT(TIM[[#This Row],[Device type]],7)="Winding","-",TIM[[#This Row],[Cont Summer MVA]])</f>
        <v>6.5731328147238894</v>
      </c>
      <c r="AW198" s="9" t="str">
        <f>TIM[[#This Row],[24 Hr Winter MVA]]</f>
        <v>-</v>
      </c>
      <c r="AX198" s="9" t="str">
        <f>TIM[[#This Row],[24 Hr Summer MVA]]</f>
        <v>-</v>
      </c>
      <c r="AY198" s="9" t="str">
        <f>TIM[[#This Row],[Forwards MVA]]</f>
        <v>-</v>
      </c>
      <c r="AZ198" s="9" t="str">
        <f>TIM[[#This Row],[Relay MVA]]</f>
        <v>-</v>
      </c>
      <c r="BA198" s="9" t="str">
        <f>TIM[[#This Row],[CT MVA]]</f>
        <v>-</v>
      </c>
      <c r="BB198" s="9">
        <f>TIM[[#This Row],[Derating MVA]]</f>
        <v>4.9955809391901553</v>
      </c>
      <c r="BC198" s="9" t="str">
        <f>TIM[[#This Row],[Station/Feeder]]&amp;TIM[[#This Row],[Lowest MVA]]</f>
        <v>CB16_Evans St4.99558093919016</v>
      </c>
      <c r="BD198" s="9" t="str">
        <f>CONCATENATE(TIM[[#This Row],[Supply Level]],TIM[[#This Row],[Station/Feeder]],TIM[[#This Row],[Voltage]],TIM[[#This Row],[Lowest A-No PTX]])</f>
        <v>DistributionFeederCB16_Evans St11262.2</v>
      </c>
      <c r="BE198" s="9" t="str">
        <f>CONCATENATE(TIM[[#This Row],[Supply Level]],TIM[[#This Row],[Station/Feeder]],TIM[[#This Row],[Voltage]],TIM[[#This Row],[Lowest A-PTX]])</f>
        <v>DistributionFeederCB16_Evans St11262.2</v>
      </c>
      <c r="BF198" s="9">
        <f>IFERROR(IF(MIN(TIM[[#This Row],[Summ Cont Winter A]:[Cable Derating]])=0,"",MIN(TIM[[#This Row],[Summ Cont Winter A]:[Cable Derating]])),"")</f>
        <v>4.9955809391901553</v>
      </c>
      <c r="BG198" s="9">
        <f>IFERROR(TIM[[#This Row],[Lowest MVA]]*1000/(TIM[[#This Row],[Voltage]]*SQRT(3)),"")</f>
        <v>262.2</v>
      </c>
      <c r="BH198" s="9">
        <f t="shared" si="271"/>
        <v>262.2</v>
      </c>
      <c r="BI198" s="9" t="str">
        <f>TIM[[#This Row],[From]]</f>
        <v>TEGRASMERE16</v>
      </c>
      <c r="BJ198" s="9" t="str">
        <f>TIM[[#This Row],[To]]</f>
        <v>Joint</v>
      </c>
      <c r="BK19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0.4in² Al PILC DSTA</v>
      </c>
      <c r="BL198" s="9">
        <f>TIM[[#This Row],[Voltage]]</f>
        <v>11</v>
      </c>
    </row>
    <row r="199" spans="1:64" ht="15" customHeight="1" x14ac:dyDescent="0.25">
      <c r="A199" s="6" t="str">
        <f>CONCATENATE(TIM[[#This Row],[Supply Level]],TIM[[#This Row],[Station/Feeder]],TIM[[#This Row],[Voltage]])</f>
        <v>DistributionFeederCB16_Evans St11</v>
      </c>
      <c r="B199" s="6" t="str">
        <f>CONCATENATE(TIM[[#This Row],[Supply Level]],TIM[[#This Row],[Station/Feeder]],TIM[[#This Row],[Equipment ID]],TIM[[#This Row],[Voltage]],TIM[[#This Row],[Device type]])</f>
        <v>DistributionFeederCB16_Evans St3c 0.15in² Cu PILC STAS11-</v>
      </c>
      <c r="C199" s="6" t="s">
        <v>1276</v>
      </c>
      <c r="D199" s="11" t="s">
        <v>195</v>
      </c>
      <c r="E199" s="6" t="s">
        <v>750</v>
      </c>
      <c r="F199" s="6" t="s">
        <v>750</v>
      </c>
      <c r="G199" s="27">
        <v>3</v>
      </c>
      <c r="H199" s="7" t="s">
        <v>888</v>
      </c>
      <c r="I199" s="7" t="s">
        <v>929</v>
      </c>
      <c r="J199" s="7" t="s">
        <v>250</v>
      </c>
      <c r="K199" s="49" t="s">
        <v>0</v>
      </c>
      <c r="L199" s="49" t="s">
        <v>0</v>
      </c>
      <c r="M199" s="8">
        <v>11</v>
      </c>
      <c r="N199" s="9">
        <v>265</v>
      </c>
      <c r="O199" s="9">
        <f t="shared" si="0"/>
        <v>5.0489281040632772</v>
      </c>
      <c r="P199" s="9">
        <v>265</v>
      </c>
      <c r="Q199" s="9">
        <f t="shared" si="1"/>
        <v>5.0489281040632772</v>
      </c>
      <c r="R199" s="9">
        <v>265</v>
      </c>
      <c r="S199" s="9">
        <f t="shared" si="2"/>
        <v>5.0489281040632772</v>
      </c>
      <c r="T199" s="9" t="s">
        <v>0</v>
      </c>
      <c r="U199" s="9" t="str">
        <f t="shared" si="3"/>
        <v>-</v>
      </c>
      <c r="V199" s="9" t="s">
        <v>0</v>
      </c>
      <c r="W199" s="9" t="str">
        <f t="shared" si="4"/>
        <v>-</v>
      </c>
      <c r="X199" s="9" t="s">
        <v>0</v>
      </c>
      <c r="Y199" s="9" t="str">
        <f t="shared" si="5"/>
        <v>-</v>
      </c>
      <c r="Z199" s="9" t="s">
        <v>0</v>
      </c>
      <c r="AA199" s="9" t="str">
        <f t="shared" si="6"/>
        <v>-</v>
      </c>
      <c r="AB199" s="9" t="s">
        <v>0</v>
      </c>
      <c r="AC199" s="9" t="str">
        <f t="shared" si="7"/>
        <v>-</v>
      </c>
      <c r="AD199" s="9" t="s">
        <v>0</v>
      </c>
      <c r="AE199" s="12" t="str">
        <f t="shared" si="8"/>
        <v>-</v>
      </c>
      <c r="AF199" s="9" t="s">
        <v>716</v>
      </c>
      <c r="AG199" s="9" t="s">
        <v>0</v>
      </c>
      <c r="AH199" s="9">
        <v>33</v>
      </c>
      <c r="AI199" s="9">
        <v>0.8</v>
      </c>
      <c r="AJ199" s="32">
        <v>1</v>
      </c>
      <c r="AK199" s="9">
        <v>18.5</v>
      </c>
      <c r="AL199" s="32">
        <v>0.95</v>
      </c>
      <c r="AM199" s="9">
        <v>1.2</v>
      </c>
      <c r="AN199" s="32">
        <v>1</v>
      </c>
      <c r="AO199" s="9">
        <v>3</v>
      </c>
      <c r="AP199" s="9">
        <v>0.3</v>
      </c>
      <c r="AQ199" s="32">
        <v>0.8</v>
      </c>
      <c r="AR199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201.4</v>
      </c>
      <c r="AS199" s="9">
        <f t="shared" si="9"/>
        <v>3.8371853590880907</v>
      </c>
      <c r="AT199" s="9">
        <f>IF(RIGHT(TIM[[#This Row],[Device type]],7)="Winding","-",TIM[[#This Row],[Cont Winter MVA]])</f>
        <v>5.0489281040632772</v>
      </c>
      <c r="AU199" s="9">
        <f>IF(RIGHT(TIM[[#This Row],[Device type]],7)="Winding","-",TIM[[#This Row],[Cont Shoulder MVA]])</f>
        <v>5.0489281040632772</v>
      </c>
      <c r="AV199" s="9">
        <f>IF(RIGHT(TIM[[#This Row],[Device type]],7)="Winding","-",TIM[[#This Row],[Cont Summer MVA]])</f>
        <v>5.0489281040632772</v>
      </c>
      <c r="AW199" s="9" t="str">
        <f>TIM[[#This Row],[24 Hr Winter MVA]]</f>
        <v>-</v>
      </c>
      <c r="AX199" s="9" t="str">
        <f>TIM[[#This Row],[24 Hr Summer MVA]]</f>
        <v>-</v>
      </c>
      <c r="AY199" s="9" t="str">
        <f>TIM[[#This Row],[Forwards MVA]]</f>
        <v>-</v>
      </c>
      <c r="AZ199" s="9" t="str">
        <f>TIM[[#This Row],[Relay MVA]]</f>
        <v>-</v>
      </c>
      <c r="BA199" s="9" t="str">
        <f>TIM[[#This Row],[CT MVA]]</f>
        <v>-</v>
      </c>
      <c r="BB199" s="9">
        <f>TIM[[#This Row],[Derating MVA]]</f>
        <v>3.8371853590880907</v>
      </c>
      <c r="BC199" s="9" t="str">
        <f>TIM[[#This Row],[Station/Feeder]]&amp;TIM[[#This Row],[Lowest MVA]]</f>
        <v>CB16_Evans St3.83718535908809</v>
      </c>
      <c r="BD199" s="9" t="str">
        <f>CONCATENATE(TIM[[#This Row],[Supply Level]],TIM[[#This Row],[Station/Feeder]],TIM[[#This Row],[Voltage]],TIM[[#This Row],[Lowest A-No PTX]])</f>
        <v>DistributionFeederCB16_Evans St11201.4</v>
      </c>
      <c r="BE199" s="9" t="str">
        <f>CONCATENATE(TIM[[#This Row],[Supply Level]],TIM[[#This Row],[Station/Feeder]],TIM[[#This Row],[Voltage]],TIM[[#This Row],[Lowest A-PTX]])</f>
        <v>DistributionFeederCB16_Evans St11201.4</v>
      </c>
      <c r="BF199" s="9">
        <f>IFERROR(IF(MIN(TIM[[#This Row],[Summ Cont Winter A]:[Cable Derating]])=0,"",MIN(TIM[[#This Row],[Summ Cont Winter A]:[Cable Derating]])),"")</f>
        <v>3.8371853590880907</v>
      </c>
      <c r="BG199" s="9">
        <f>IFERROR(TIM[[#This Row],[Lowest MVA]]*1000/(TIM[[#This Row],[Voltage]]*SQRT(3)),"")</f>
        <v>201.4</v>
      </c>
      <c r="BH199" s="9">
        <f t="shared" si="271"/>
        <v>201.4</v>
      </c>
      <c r="BI199" s="9" t="str">
        <f>TIM[[#This Row],[From]]</f>
        <v>Joint</v>
      </c>
      <c r="BJ199" s="9" t="str">
        <f>TIM[[#This Row],[To]]</f>
        <v>Joint</v>
      </c>
      <c r="BK19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0.15in² Cu PILC STAS</v>
      </c>
      <c r="BL199" s="9">
        <f>TIM[[#This Row],[Voltage]]</f>
        <v>11</v>
      </c>
    </row>
    <row r="200" spans="1:64" ht="15" customHeight="1" x14ac:dyDescent="0.25">
      <c r="A200" s="6" t="str">
        <f>CONCATENATE(TIM[[#This Row],[Supply Level]],TIM[[#This Row],[Station/Feeder]],TIM[[#This Row],[Voltage]])</f>
        <v>DistributionFeederCB16_Evans St11</v>
      </c>
      <c r="B200" s="6" t="str">
        <f>CONCATENATE(TIM[[#This Row],[Supply Level]],TIM[[#This Row],[Station/Feeder]],TIM[[#This Row],[Equipment ID]],TIM[[#This Row],[Voltage]],TIM[[#This Row],[Device type]])</f>
        <v>DistributionFeederCB16_Evans St3c 185mm² Al PILC SWAS11-</v>
      </c>
      <c r="C200" s="6" t="s">
        <v>1276</v>
      </c>
      <c r="D200" s="11" t="s">
        <v>195</v>
      </c>
      <c r="E200" s="6" t="s">
        <v>750</v>
      </c>
      <c r="F200" s="6" t="s">
        <v>750</v>
      </c>
      <c r="G200" s="27">
        <v>4</v>
      </c>
      <c r="H200" s="7" t="s">
        <v>888</v>
      </c>
      <c r="I200" s="7" t="s">
        <v>901</v>
      </c>
      <c r="J200" s="7" t="s">
        <v>250</v>
      </c>
      <c r="K200" s="49" t="s">
        <v>0</v>
      </c>
      <c r="L200" s="49" t="s">
        <v>0</v>
      </c>
      <c r="M200" s="8">
        <v>11</v>
      </c>
      <c r="N200" s="9">
        <v>300</v>
      </c>
      <c r="O200" s="9">
        <f t="shared" si="0"/>
        <v>5.715767664977295</v>
      </c>
      <c r="P200" s="9">
        <v>300</v>
      </c>
      <c r="Q200" s="9">
        <f t="shared" si="1"/>
        <v>5.715767664977295</v>
      </c>
      <c r="R200" s="9">
        <v>300</v>
      </c>
      <c r="S200" s="9">
        <f t="shared" si="2"/>
        <v>5.715767664977295</v>
      </c>
      <c r="T200" s="9" t="s">
        <v>0</v>
      </c>
      <c r="U200" s="9" t="str">
        <f t="shared" si="3"/>
        <v>-</v>
      </c>
      <c r="V200" s="9" t="s">
        <v>0</v>
      </c>
      <c r="W200" s="9" t="str">
        <f t="shared" si="4"/>
        <v>-</v>
      </c>
      <c r="X200" s="9" t="s">
        <v>0</v>
      </c>
      <c r="Y200" s="9" t="str">
        <f t="shared" si="5"/>
        <v>-</v>
      </c>
      <c r="Z200" s="9" t="s">
        <v>0</v>
      </c>
      <c r="AA200" s="9" t="str">
        <f t="shared" si="6"/>
        <v>-</v>
      </c>
      <c r="AB200" s="9" t="s">
        <v>0</v>
      </c>
      <c r="AC200" s="9" t="str">
        <f t="shared" si="7"/>
        <v>-</v>
      </c>
      <c r="AD200" s="9" t="s">
        <v>0</v>
      </c>
      <c r="AE200" s="12" t="str">
        <f t="shared" si="8"/>
        <v>-</v>
      </c>
      <c r="AF200" s="9" t="s">
        <v>716</v>
      </c>
      <c r="AG200" s="9" t="s">
        <v>0</v>
      </c>
      <c r="AH200" s="9">
        <v>58.9</v>
      </c>
      <c r="AI200" s="9">
        <v>0.8</v>
      </c>
      <c r="AJ200" s="32">
        <v>1</v>
      </c>
      <c r="AK200" s="9">
        <v>18.5</v>
      </c>
      <c r="AL200" s="32">
        <v>0.95</v>
      </c>
      <c r="AM200" s="9">
        <v>1.2</v>
      </c>
      <c r="AN200" s="32">
        <v>1</v>
      </c>
      <c r="AO200" s="9">
        <v>3</v>
      </c>
      <c r="AP200" s="9">
        <v>0.3</v>
      </c>
      <c r="AQ200" s="32">
        <v>0.8</v>
      </c>
      <c r="AR200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228</v>
      </c>
      <c r="AS200" s="9">
        <f t="shared" si="9"/>
        <v>4.3439834253827438</v>
      </c>
      <c r="AT200" s="9">
        <f>IF(RIGHT(TIM[[#This Row],[Device type]],7)="Winding","-",TIM[[#This Row],[Cont Winter MVA]])</f>
        <v>5.715767664977295</v>
      </c>
      <c r="AU200" s="9">
        <f>IF(RIGHT(TIM[[#This Row],[Device type]],7)="Winding","-",TIM[[#This Row],[Cont Shoulder MVA]])</f>
        <v>5.715767664977295</v>
      </c>
      <c r="AV200" s="9">
        <f>IF(RIGHT(TIM[[#This Row],[Device type]],7)="Winding","-",TIM[[#This Row],[Cont Summer MVA]])</f>
        <v>5.715767664977295</v>
      </c>
      <c r="AW200" s="9" t="str">
        <f>TIM[[#This Row],[24 Hr Winter MVA]]</f>
        <v>-</v>
      </c>
      <c r="AX200" s="9" t="str">
        <f>TIM[[#This Row],[24 Hr Summer MVA]]</f>
        <v>-</v>
      </c>
      <c r="AY200" s="9" t="str">
        <f>TIM[[#This Row],[Forwards MVA]]</f>
        <v>-</v>
      </c>
      <c r="AZ200" s="9" t="str">
        <f>TIM[[#This Row],[Relay MVA]]</f>
        <v>-</v>
      </c>
      <c r="BA200" s="9" t="str">
        <f>TIM[[#This Row],[CT MVA]]</f>
        <v>-</v>
      </c>
      <c r="BB200" s="9">
        <f>TIM[[#This Row],[Derating MVA]]</f>
        <v>4.3439834253827438</v>
      </c>
      <c r="BC200" s="9" t="str">
        <f>TIM[[#This Row],[Station/Feeder]]&amp;TIM[[#This Row],[Lowest MVA]]</f>
        <v>CB16_Evans St4.34398342538274</v>
      </c>
      <c r="BD200" s="9" t="str">
        <f>CONCATENATE(TIM[[#This Row],[Supply Level]],TIM[[#This Row],[Station/Feeder]],TIM[[#This Row],[Voltage]],TIM[[#This Row],[Lowest A-No PTX]])</f>
        <v>DistributionFeederCB16_Evans St11228</v>
      </c>
      <c r="BE200" s="9" t="str">
        <f>CONCATENATE(TIM[[#This Row],[Supply Level]],TIM[[#This Row],[Station/Feeder]],TIM[[#This Row],[Voltage]],TIM[[#This Row],[Lowest A-PTX]])</f>
        <v>DistributionFeederCB16_Evans St11228</v>
      </c>
      <c r="BF200" s="9">
        <f>IFERROR(IF(MIN(TIM[[#This Row],[Summ Cont Winter A]:[Cable Derating]])=0,"",MIN(TIM[[#This Row],[Summ Cont Winter A]:[Cable Derating]])),"")</f>
        <v>4.3439834253827438</v>
      </c>
      <c r="BG200" s="9">
        <f>IFERROR(TIM[[#This Row],[Lowest MVA]]*1000/(TIM[[#This Row],[Voltage]]*SQRT(3)),"")</f>
        <v>228</v>
      </c>
      <c r="BH200" s="9">
        <f t="shared" si="271"/>
        <v>228</v>
      </c>
      <c r="BI200" s="9" t="str">
        <f>TIM[[#This Row],[From]]</f>
        <v>Joint</v>
      </c>
      <c r="BJ200" s="9" t="str">
        <f>TIM[[#This Row],[To]]</f>
        <v>Joint</v>
      </c>
      <c r="BK20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PILC SWAS</v>
      </c>
      <c r="BL200" s="9">
        <f>TIM[[#This Row],[Voltage]]</f>
        <v>11</v>
      </c>
    </row>
    <row r="201" spans="1:64" ht="15" customHeight="1" x14ac:dyDescent="0.25">
      <c r="A201" s="6" t="str">
        <f>CONCATENATE(TIM[[#This Row],[Supply Level]],TIM[[#This Row],[Station/Feeder]],TIM[[#This Row],[Voltage]])</f>
        <v>DistributionFeederCB16_Evans St11</v>
      </c>
      <c r="B201" s="6" t="str">
        <f>CONCATENATE(TIM[[#This Row],[Supply Level]],TIM[[#This Row],[Station/Feeder]],TIM[[#This Row],[Equipment ID]],TIM[[#This Row],[Voltage]],TIM[[#This Row],[Device type]])</f>
        <v>DistributionFeederCB16_Evans St3c 0.15in² Cu PILC STAS11-</v>
      </c>
      <c r="C201" s="6" t="s">
        <v>1276</v>
      </c>
      <c r="D201" s="11" t="s">
        <v>195</v>
      </c>
      <c r="E201" s="6" t="s">
        <v>750</v>
      </c>
      <c r="F201" s="6" t="s">
        <v>750</v>
      </c>
      <c r="G201" s="27">
        <v>5</v>
      </c>
      <c r="H201" s="7" t="s">
        <v>888</v>
      </c>
      <c r="I201" s="7" t="s">
        <v>930</v>
      </c>
      <c r="J201" s="7" t="s">
        <v>250</v>
      </c>
      <c r="K201" s="49" t="s">
        <v>0</v>
      </c>
      <c r="L201" s="49" t="s">
        <v>0</v>
      </c>
      <c r="M201" s="8">
        <v>11</v>
      </c>
      <c r="N201" s="9">
        <v>221</v>
      </c>
      <c r="O201" s="9">
        <f t="shared" si="0"/>
        <v>4.2106155131999401</v>
      </c>
      <c r="P201" s="9">
        <v>221</v>
      </c>
      <c r="Q201" s="9">
        <f t="shared" si="1"/>
        <v>4.2106155131999401</v>
      </c>
      <c r="R201" s="9">
        <v>221</v>
      </c>
      <c r="S201" s="9">
        <f t="shared" si="2"/>
        <v>4.2106155131999401</v>
      </c>
      <c r="T201" s="9" t="s">
        <v>0</v>
      </c>
      <c r="U201" s="9" t="str">
        <f t="shared" si="3"/>
        <v>-</v>
      </c>
      <c r="V201" s="9" t="s">
        <v>0</v>
      </c>
      <c r="W201" s="9" t="str">
        <f t="shared" si="4"/>
        <v>-</v>
      </c>
      <c r="X201" s="9" t="s">
        <v>0</v>
      </c>
      <c r="Y201" s="9" t="str">
        <f t="shared" si="5"/>
        <v>-</v>
      </c>
      <c r="Z201" s="9" t="s">
        <v>0</v>
      </c>
      <c r="AA201" s="9" t="str">
        <f t="shared" si="6"/>
        <v>-</v>
      </c>
      <c r="AB201" s="9" t="s">
        <v>0</v>
      </c>
      <c r="AC201" s="9" t="str">
        <f t="shared" si="7"/>
        <v>-</v>
      </c>
      <c r="AD201" s="9" t="s">
        <v>0</v>
      </c>
      <c r="AE201" s="12" t="str">
        <f t="shared" si="8"/>
        <v>-</v>
      </c>
      <c r="AF201" s="9" t="s">
        <v>716</v>
      </c>
      <c r="AG201" s="9" t="s">
        <v>0</v>
      </c>
      <c r="AH201" s="9">
        <v>1331.5</v>
      </c>
      <c r="AI201" s="9">
        <v>0.8</v>
      </c>
      <c r="AJ201" s="32">
        <v>1</v>
      </c>
      <c r="AK201" s="9">
        <v>18.5</v>
      </c>
      <c r="AL201" s="32">
        <v>0.95</v>
      </c>
      <c r="AM201" s="9">
        <v>1.2</v>
      </c>
      <c r="AN201" s="32">
        <v>1</v>
      </c>
      <c r="AO201" s="9">
        <v>3</v>
      </c>
      <c r="AP201" s="9">
        <v>0.3</v>
      </c>
      <c r="AQ201" s="32">
        <v>0.8</v>
      </c>
      <c r="AR201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167.96</v>
      </c>
      <c r="AS201" s="9">
        <f t="shared" si="9"/>
        <v>3.2000677900319552</v>
      </c>
      <c r="AT201" s="9">
        <f>IF(RIGHT(TIM[[#This Row],[Device type]],7)="Winding","-",TIM[[#This Row],[Cont Winter MVA]])</f>
        <v>4.2106155131999401</v>
      </c>
      <c r="AU201" s="9">
        <f>IF(RIGHT(TIM[[#This Row],[Device type]],7)="Winding","-",TIM[[#This Row],[Cont Shoulder MVA]])</f>
        <v>4.2106155131999401</v>
      </c>
      <c r="AV201" s="9">
        <f>IF(RIGHT(TIM[[#This Row],[Device type]],7)="Winding","-",TIM[[#This Row],[Cont Summer MVA]])</f>
        <v>4.2106155131999401</v>
      </c>
      <c r="AW201" s="9" t="str">
        <f>TIM[[#This Row],[24 Hr Winter MVA]]</f>
        <v>-</v>
      </c>
      <c r="AX201" s="9" t="str">
        <f>TIM[[#This Row],[24 Hr Summer MVA]]</f>
        <v>-</v>
      </c>
      <c r="AY201" s="9" t="str">
        <f>TIM[[#This Row],[Forwards MVA]]</f>
        <v>-</v>
      </c>
      <c r="AZ201" s="9" t="str">
        <f>TIM[[#This Row],[Relay MVA]]</f>
        <v>-</v>
      </c>
      <c r="BA201" s="9" t="str">
        <f>TIM[[#This Row],[CT MVA]]</f>
        <v>-</v>
      </c>
      <c r="BB201" s="9">
        <f>TIM[[#This Row],[Derating MVA]]</f>
        <v>3.2000677900319552</v>
      </c>
      <c r="BC201" s="9" t="str">
        <f>TIM[[#This Row],[Station/Feeder]]&amp;TIM[[#This Row],[Lowest MVA]]</f>
        <v>CB16_Evans St3.20006779003196</v>
      </c>
      <c r="BD201" s="9" t="str">
        <f>CONCATENATE(TIM[[#This Row],[Supply Level]],TIM[[#This Row],[Station/Feeder]],TIM[[#This Row],[Voltage]],TIM[[#This Row],[Lowest A-No PTX]])</f>
        <v>DistributionFeederCB16_Evans St11167.96</v>
      </c>
      <c r="BE201" s="9" t="str">
        <f>CONCATENATE(TIM[[#This Row],[Supply Level]],TIM[[#This Row],[Station/Feeder]],TIM[[#This Row],[Voltage]],TIM[[#This Row],[Lowest A-PTX]])</f>
        <v>DistributionFeederCB16_Evans St11167.96</v>
      </c>
      <c r="BF201" s="9">
        <f>IFERROR(IF(MIN(TIM[[#This Row],[Summ Cont Winter A]:[Cable Derating]])=0,"",MIN(TIM[[#This Row],[Summ Cont Winter A]:[Cable Derating]])),"")</f>
        <v>3.2000677900319552</v>
      </c>
      <c r="BG201" s="9">
        <f>IFERROR(TIM[[#This Row],[Lowest MVA]]*1000/(TIM[[#This Row],[Voltage]]*SQRT(3)),"")</f>
        <v>167.96</v>
      </c>
      <c r="BH201" s="9">
        <f t="shared" si="271"/>
        <v>167.96</v>
      </c>
      <c r="BI201" s="9" t="str">
        <f>TIM[[#This Row],[From]]</f>
        <v>Joint</v>
      </c>
      <c r="BJ201" s="9" t="str">
        <f>TIM[[#This Row],[To]]</f>
        <v>Joint</v>
      </c>
      <c r="BK20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0.15in² Cu PILC STAS</v>
      </c>
      <c r="BL201" s="9">
        <f>TIM[[#This Row],[Voltage]]</f>
        <v>11</v>
      </c>
    </row>
    <row r="202" spans="1:64" ht="15" customHeight="1" x14ac:dyDescent="0.25">
      <c r="A202" s="6" t="str">
        <f>CONCATENATE(TIM[[#This Row],[Supply Level]],TIM[[#This Row],[Station/Feeder]],TIM[[#This Row],[Voltage]])</f>
        <v>DistributionFeederCB16_Evans St11</v>
      </c>
      <c r="B202" s="6" t="str">
        <f>CONCATENATE(TIM[[#This Row],[Supply Level]],TIM[[#This Row],[Station/Feeder]],TIM[[#This Row],[Equipment ID]],TIM[[#This Row],[Voltage]],TIM[[#This Row],[Device type]])</f>
        <v>DistributionFeederCB16_Evans St3c 185mm² Al PILC SWAS11-</v>
      </c>
      <c r="C202" s="6" t="s">
        <v>1276</v>
      </c>
      <c r="D202" s="11" t="s">
        <v>195</v>
      </c>
      <c r="E202" s="6" t="s">
        <v>750</v>
      </c>
      <c r="F202" s="6" t="s">
        <v>750</v>
      </c>
      <c r="G202" s="27">
        <v>6</v>
      </c>
      <c r="H202" s="7" t="s">
        <v>888</v>
      </c>
      <c r="I202" s="7" t="s">
        <v>901</v>
      </c>
      <c r="J202" s="7" t="s">
        <v>250</v>
      </c>
      <c r="K202" s="49" t="s">
        <v>0</v>
      </c>
      <c r="L202" s="49" t="s">
        <v>0</v>
      </c>
      <c r="M202" s="8">
        <v>11</v>
      </c>
      <c r="N202" s="9">
        <v>300</v>
      </c>
      <c r="O202" s="9">
        <f t="shared" si="0"/>
        <v>5.715767664977295</v>
      </c>
      <c r="P202" s="9">
        <v>300</v>
      </c>
      <c r="Q202" s="9">
        <f t="shared" si="1"/>
        <v>5.715767664977295</v>
      </c>
      <c r="R202" s="9">
        <v>300</v>
      </c>
      <c r="S202" s="9">
        <f t="shared" si="2"/>
        <v>5.715767664977295</v>
      </c>
      <c r="T202" s="9" t="s">
        <v>0</v>
      </c>
      <c r="U202" s="9" t="str">
        <f t="shared" si="3"/>
        <v>-</v>
      </c>
      <c r="V202" s="9" t="s">
        <v>0</v>
      </c>
      <c r="W202" s="9" t="str">
        <f t="shared" si="4"/>
        <v>-</v>
      </c>
      <c r="X202" s="9" t="s">
        <v>0</v>
      </c>
      <c r="Y202" s="9" t="str">
        <f t="shared" si="5"/>
        <v>-</v>
      </c>
      <c r="Z202" s="9" t="s">
        <v>0</v>
      </c>
      <c r="AA202" s="9" t="str">
        <f t="shared" si="6"/>
        <v>-</v>
      </c>
      <c r="AB202" s="9" t="s">
        <v>0</v>
      </c>
      <c r="AC202" s="9" t="str">
        <f t="shared" si="7"/>
        <v>-</v>
      </c>
      <c r="AD202" s="9" t="s">
        <v>0</v>
      </c>
      <c r="AE202" s="12" t="str">
        <f t="shared" si="8"/>
        <v>-</v>
      </c>
      <c r="AF202" s="9" t="s">
        <v>716</v>
      </c>
      <c r="AG202" s="9" t="s">
        <v>0</v>
      </c>
      <c r="AH202" s="9">
        <v>122.4</v>
      </c>
      <c r="AI202" s="9">
        <v>0.8</v>
      </c>
      <c r="AJ202" s="32">
        <v>1</v>
      </c>
      <c r="AK202" s="9">
        <v>18.5</v>
      </c>
      <c r="AL202" s="32">
        <v>0.95</v>
      </c>
      <c r="AM202" s="9">
        <v>1.2</v>
      </c>
      <c r="AN202" s="32">
        <v>1</v>
      </c>
      <c r="AO202" s="9">
        <v>3</v>
      </c>
      <c r="AP202" s="9">
        <v>0.3</v>
      </c>
      <c r="AQ202" s="32">
        <v>0.8</v>
      </c>
      <c r="AR202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228</v>
      </c>
      <c r="AS202" s="9">
        <f t="shared" si="9"/>
        <v>4.3439834253827438</v>
      </c>
      <c r="AT202" s="9">
        <f>IF(RIGHT(TIM[[#This Row],[Device type]],7)="Winding","-",TIM[[#This Row],[Cont Winter MVA]])</f>
        <v>5.715767664977295</v>
      </c>
      <c r="AU202" s="9">
        <f>IF(RIGHT(TIM[[#This Row],[Device type]],7)="Winding","-",TIM[[#This Row],[Cont Shoulder MVA]])</f>
        <v>5.715767664977295</v>
      </c>
      <c r="AV202" s="9">
        <f>IF(RIGHT(TIM[[#This Row],[Device type]],7)="Winding","-",TIM[[#This Row],[Cont Summer MVA]])</f>
        <v>5.715767664977295</v>
      </c>
      <c r="AW202" s="9" t="str">
        <f>TIM[[#This Row],[24 Hr Winter MVA]]</f>
        <v>-</v>
      </c>
      <c r="AX202" s="9" t="str">
        <f>TIM[[#This Row],[24 Hr Summer MVA]]</f>
        <v>-</v>
      </c>
      <c r="AY202" s="9" t="str">
        <f>TIM[[#This Row],[Forwards MVA]]</f>
        <v>-</v>
      </c>
      <c r="AZ202" s="9" t="str">
        <f>TIM[[#This Row],[Relay MVA]]</f>
        <v>-</v>
      </c>
      <c r="BA202" s="9" t="str">
        <f>TIM[[#This Row],[CT MVA]]</f>
        <v>-</v>
      </c>
      <c r="BB202" s="9">
        <f>TIM[[#This Row],[Derating MVA]]</f>
        <v>4.3439834253827438</v>
      </c>
      <c r="BC202" s="9" t="str">
        <f>TIM[[#This Row],[Station/Feeder]]&amp;TIM[[#This Row],[Lowest MVA]]</f>
        <v>CB16_Evans St4.34398342538274</v>
      </c>
      <c r="BD202" s="9" t="str">
        <f>CONCATENATE(TIM[[#This Row],[Supply Level]],TIM[[#This Row],[Station/Feeder]],TIM[[#This Row],[Voltage]],TIM[[#This Row],[Lowest A-No PTX]])</f>
        <v>DistributionFeederCB16_Evans St11228</v>
      </c>
      <c r="BE202" s="9" t="str">
        <f>CONCATENATE(TIM[[#This Row],[Supply Level]],TIM[[#This Row],[Station/Feeder]],TIM[[#This Row],[Voltage]],TIM[[#This Row],[Lowest A-PTX]])</f>
        <v>DistributionFeederCB16_Evans St11228</v>
      </c>
      <c r="BF202" s="9">
        <f>IFERROR(IF(MIN(TIM[[#This Row],[Summ Cont Winter A]:[Cable Derating]])=0,"",MIN(TIM[[#This Row],[Summ Cont Winter A]:[Cable Derating]])),"")</f>
        <v>4.3439834253827438</v>
      </c>
      <c r="BG202" s="9">
        <f>IFERROR(TIM[[#This Row],[Lowest MVA]]*1000/(TIM[[#This Row],[Voltage]]*SQRT(3)),"")</f>
        <v>228</v>
      </c>
      <c r="BH202" s="9">
        <f t="shared" si="271"/>
        <v>228</v>
      </c>
      <c r="BI202" s="9" t="str">
        <f>TIM[[#This Row],[From]]</f>
        <v>Joint</v>
      </c>
      <c r="BJ202" s="9" t="str">
        <f>TIM[[#This Row],[To]]</f>
        <v>Joint</v>
      </c>
      <c r="BK20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PILC SWAS</v>
      </c>
      <c r="BL202" s="9">
        <f>TIM[[#This Row],[Voltage]]</f>
        <v>11</v>
      </c>
    </row>
    <row r="203" spans="1:64" ht="15" customHeight="1" x14ac:dyDescent="0.25">
      <c r="A203" s="6" t="str">
        <f>CONCATENATE(TIM[[#This Row],[Supply Level]],TIM[[#This Row],[Station/Feeder]],TIM[[#This Row],[Voltage]])</f>
        <v>DistributionFeederCB16_Evans St11</v>
      </c>
      <c r="B203" s="6" t="str">
        <f>CONCATENATE(TIM[[#This Row],[Supply Level]],TIM[[#This Row],[Station/Feeder]],TIM[[#This Row],[Equipment ID]],TIM[[#This Row],[Voltage]],TIM[[#This Row],[Device type]])</f>
        <v>DistributionFeederCB16_Evans St3c 300mm² Al MDPE CWS11-</v>
      </c>
      <c r="C203" s="6" t="s">
        <v>1276</v>
      </c>
      <c r="D203" s="11" t="s">
        <v>195</v>
      </c>
      <c r="E203" s="6" t="s">
        <v>750</v>
      </c>
      <c r="F203" s="6" t="s">
        <v>931</v>
      </c>
      <c r="G203" s="27">
        <v>7</v>
      </c>
      <c r="H203" s="7" t="s">
        <v>888</v>
      </c>
      <c r="I203" s="7" t="s">
        <v>932</v>
      </c>
      <c r="J203" s="7" t="s">
        <v>250</v>
      </c>
      <c r="K203" s="49" t="s">
        <v>0</v>
      </c>
      <c r="L203" s="49" t="s">
        <v>0</v>
      </c>
      <c r="M203" s="8">
        <v>11</v>
      </c>
      <c r="N203" s="9">
        <v>476</v>
      </c>
      <c r="O203" s="9">
        <f t="shared" si="0"/>
        <v>9.0690180284306408</v>
      </c>
      <c r="P203" s="9">
        <v>476</v>
      </c>
      <c r="Q203" s="9">
        <f t="shared" si="1"/>
        <v>9.0690180284306408</v>
      </c>
      <c r="R203" s="9">
        <v>476</v>
      </c>
      <c r="S203" s="9">
        <f t="shared" si="2"/>
        <v>9.0690180284306408</v>
      </c>
      <c r="T203" s="9" t="s">
        <v>0</v>
      </c>
      <c r="U203" s="9" t="str">
        <f t="shared" si="3"/>
        <v>-</v>
      </c>
      <c r="V203" s="9" t="s">
        <v>0</v>
      </c>
      <c r="W203" s="9" t="str">
        <f t="shared" si="4"/>
        <v>-</v>
      </c>
      <c r="X203" s="9" t="s">
        <v>0</v>
      </c>
      <c r="Y203" s="9" t="str">
        <f t="shared" si="5"/>
        <v>-</v>
      </c>
      <c r="Z203" s="9" t="s">
        <v>0</v>
      </c>
      <c r="AA203" s="9" t="str">
        <f t="shared" si="6"/>
        <v>-</v>
      </c>
      <c r="AB203" s="9" t="s">
        <v>0</v>
      </c>
      <c r="AC203" s="9" t="str">
        <f t="shared" si="7"/>
        <v>-</v>
      </c>
      <c r="AD203" s="9" t="s">
        <v>0</v>
      </c>
      <c r="AE203" s="12" t="str">
        <f t="shared" si="8"/>
        <v>-</v>
      </c>
      <c r="AF203" s="9" t="s">
        <v>716</v>
      </c>
      <c r="AG203" s="9" t="s">
        <v>0</v>
      </c>
      <c r="AH203" s="9">
        <v>7</v>
      </c>
      <c r="AI203" s="9">
        <v>0.8</v>
      </c>
      <c r="AJ203" s="32">
        <v>1</v>
      </c>
      <c r="AK203" s="9">
        <v>18.5</v>
      </c>
      <c r="AL203" s="32">
        <v>0.95</v>
      </c>
      <c r="AM203" s="9">
        <v>1.2</v>
      </c>
      <c r="AN203" s="32">
        <v>1</v>
      </c>
      <c r="AO203" s="9">
        <v>3</v>
      </c>
      <c r="AP203" s="9">
        <v>0.3</v>
      </c>
      <c r="AQ203" s="32">
        <v>0.8</v>
      </c>
      <c r="AR203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361.76</v>
      </c>
      <c r="AS203" s="9">
        <f t="shared" si="9"/>
        <v>6.8924537016072867</v>
      </c>
      <c r="AT203" s="9">
        <f>IF(RIGHT(TIM[[#This Row],[Device type]],7)="Winding","-",TIM[[#This Row],[Cont Winter MVA]])</f>
        <v>9.0690180284306408</v>
      </c>
      <c r="AU203" s="9">
        <f>IF(RIGHT(TIM[[#This Row],[Device type]],7)="Winding","-",TIM[[#This Row],[Cont Shoulder MVA]])</f>
        <v>9.0690180284306408</v>
      </c>
      <c r="AV203" s="9">
        <f>IF(RIGHT(TIM[[#This Row],[Device type]],7)="Winding","-",TIM[[#This Row],[Cont Summer MVA]])</f>
        <v>9.0690180284306408</v>
      </c>
      <c r="AW203" s="9" t="str">
        <f>TIM[[#This Row],[24 Hr Winter MVA]]</f>
        <v>-</v>
      </c>
      <c r="AX203" s="9" t="str">
        <f>TIM[[#This Row],[24 Hr Summer MVA]]</f>
        <v>-</v>
      </c>
      <c r="AY203" s="9" t="str">
        <f>TIM[[#This Row],[Forwards MVA]]</f>
        <v>-</v>
      </c>
      <c r="AZ203" s="9" t="str">
        <f>TIM[[#This Row],[Relay MVA]]</f>
        <v>-</v>
      </c>
      <c r="BA203" s="9" t="str">
        <f>TIM[[#This Row],[CT MVA]]</f>
        <v>-</v>
      </c>
      <c r="BB203" s="9">
        <f>TIM[[#This Row],[Derating MVA]]</f>
        <v>6.8924537016072867</v>
      </c>
      <c r="BC203" s="9" t="str">
        <f>TIM[[#This Row],[Station/Feeder]]&amp;TIM[[#This Row],[Lowest MVA]]</f>
        <v>CB16_Evans St6.89245370160729</v>
      </c>
      <c r="BD203" s="9" t="str">
        <f>CONCATENATE(TIM[[#This Row],[Supply Level]],TIM[[#This Row],[Station/Feeder]],TIM[[#This Row],[Voltage]],TIM[[#This Row],[Lowest A-No PTX]])</f>
        <v>DistributionFeederCB16_Evans St11361.76</v>
      </c>
      <c r="BE203" s="9" t="str">
        <f>CONCATENATE(TIM[[#This Row],[Supply Level]],TIM[[#This Row],[Station/Feeder]],TIM[[#This Row],[Voltage]],TIM[[#This Row],[Lowest A-PTX]])</f>
        <v>DistributionFeederCB16_Evans St11361.76</v>
      </c>
      <c r="BF203" s="9">
        <f>IFERROR(IF(MIN(TIM[[#This Row],[Summ Cont Winter A]:[Cable Derating]])=0,"",MIN(TIM[[#This Row],[Summ Cont Winter A]:[Cable Derating]])),"")</f>
        <v>6.8924537016072867</v>
      </c>
      <c r="BG203" s="9">
        <f>IFERROR(TIM[[#This Row],[Lowest MVA]]*1000/(TIM[[#This Row],[Voltage]]*SQRT(3)),"")</f>
        <v>361.75999999999993</v>
      </c>
      <c r="BH203" s="9">
        <f t="shared" si="271"/>
        <v>361.76</v>
      </c>
      <c r="BI203" s="9" t="str">
        <f>TIM[[#This Row],[From]]</f>
        <v>Joint</v>
      </c>
      <c r="BJ203" s="9" t="str">
        <f>TIM[[#This Row],[To]]</f>
        <v>TER58 RMU</v>
      </c>
      <c r="BK20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300mm² Al MDPE CWS</v>
      </c>
      <c r="BL203" s="9">
        <f>TIM[[#This Row],[Voltage]]</f>
        <v>11</v>
      </c>
    </row>
    <row r="204" spans="1:64" ht="15" customHeight="1" x14ac:dyDescent="0.25">
      <c r="A204" s="6" t="str">
        <f>CONCATENATE(TIM[[#This Row],[Supply Level]],TIM[[#This Row],[Station/Feeder]],TIM[[#This Row],[Voltage]])</f>
        <v>DistributionFeederCB17_June St11</v>
      </c>
      <c r="B204" s="6" t="str">
        <f>CONCATENATE(TIM[[#This Row],[Supply Level]],TIM[[#This Row],[Station/Feeder]],TIM[[#This Row],[Equipment ID]],TIM[[#This Row],[Voltage]],TIM[[#This Row],[Device type]])</f>
        <v>DistributionFeederCB17_June StGRM-CB1711Protection</v>
      </c>
      <c r="C204" s="6" t="s">
        <v>1276</v>
      </c>
      <c r="D204" s="11" t="s">
        <v>197</v>
      </c>
      <c r="E204" s="6" t="s">
        <v>243</v>
      </c>
      <c r="F204" s="6" t="s">
        <v>933</v>
      </c>
      <c r="G204" s="27">
        <v>1</v>
      </c>
      <c r="H204" s="6" t="s">
        <v>887</v>
      </c>
      <c r="I204" s="7" t="s">
        <v>2253</v>
      </c>
      <c r="J204" s="7" t="s">
        <v>15</v>
      </c>
      <c r="K204" s="49" t="s">
        <v>791</v>
      </c>
      <c r="L204" s="49" t="s">
        <v>1423</v>
      </c>
      <c r="M204" s="8">
        <v>11</v>
      </c>
      <c r="N204" s="9">
        <v>1250</v>
      </c>
      <c r="O204" s="9">
        <f t="shared" si="0"/>
        <v>23.815698604072061</v>
      </c>
      <c r="P204" s="9">
        <v>1250</v>
      </c>
      <c r="Q204" s="9">
        <f t="shared" si="1"/>
        <v>23.815698604072061</v>
      </c>
      <c r="R204" s="9">
        <v>1250</v>
      </c>
      <c r="S204" s="9">
        <f t="shared" si="2"/>
        <v>23.815698604072061</v>
      </c>
      <c r="T204" s="9" t="s">
        <v>0</v>
      </c>
      <c r="U204" s="9" t="str">
        <f t="shared" si="3"/>
        <v>-</v>
      </c>
      <c r="V204" s="9" t="s">
        <v>0</v>
      </c>
      <c r="W204" s="9" t="str">
        <f t="shared" si="4"/>
        <v>-</v>
      </c>
      <c r="X204" s="9">
        <f>VLOOKUP(TIM[[#This Row],[Equipment ID]],AEL_Protection_Data[#All],12,0)</f>
        <v>304</v>
      </c>
      <c r="Y204" s="9">
        <f t="shared" si="5"/>
        <v>5.7919779005103251</v>
      </c>
      <c r="Z204" s="9" t="s">
        <v>0</v>
      </c>
      <c r="AA204" s="9" t="str">
        <f t="shared" si="6"/>
        <v>-</v>
      </c>
      <c r="AB204" s="9">
        <v>800</v>
      </c>
      <c r="AC204" s="9">
        <f t="shared" si="7"/>
        <v>15.242047106606121</v>
      </c>
      <c r="AD204" s="9">
        <v>800</v>
      </c>
      <c r="AE204" s="12">
        <f t="shared" si="8"/>
        <v>15.242047106606121</v>
      </c>
      <c r="AF204" s="9" t="s">
        <v>0</v>
      </c>
      <c r="AG204" s="9" t="s">
        <v>0</v>
      </c>
      <c r="AH204" s="9" t="s">
        <v>0</v>
      </c>
      <c r="AI204" s="9" t="s">
        <v>0</v>
      </c>
      <c r="AJ204" s="32" t="s">
        <v>0</v>
      </c>
      <c r="AK204" s="9" t="s">
        <v>0</v>
      </c>
      <c r="AL204" s="32" t="s">
        <v>0</v>
      </c>
      <c r="AM204" s="9" t="s">
        <v>0</v>
      </c>
      <c r="AN204" s="32" t="s">
        <v>0</v>
      </c>
      <c r="AO204" s="9" t="s">
        <v>0</v>
      </c>
      <c r="AP204" s="9" t="s">
        <v>0</v>
      </c>
      <c r="AQ204" s="32" t="s">
        <v>0</v>
      </c>
      <c r="AR20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04" s="9" t="str">
        <f t="shared" si="9"/>
        <v>-</v>
      </c>
      <c r="AT204" s="9">
        <f>IF(RIGHT(TIM[[#This Row],[Device type]],7)="Winding","-",TIM[[#This Row],[Cont Winter MVA]])</f>
        <v>23.815698604072061</v>
      </c>
      <c r="AU204" s="9">
        <f>IF(RIGHT(TIM[[#This Row],[Device type]],7)="Winding","-",TIM[[#This Row],[Cont Shoulder MVA]])</f>
        <v>23.815698604072061</v>
      </c>
      <c r="AV204" s="9">
        <f>IF(RIGHT(TIM[[#This Row],[Device type]],7)="Winding","-",TIM[[#This Row],[Cont Summer MVA]])</f>
        <v>23.815698604072061</v>
      </c>
      <c r="AW204" s="9" t="str">
        <f>TIM[[#This Row],[24 Hr Winter MVA]]</f>
        <v>-</v>
      </c>
      <c r="AX204" s="9" t="str">
        <f>TIM[[#This Row],[24 Hr Summer MVA]]</f>
        <v>-</v>
      </c>
      <c r="AY204" s="9">
        <f>TIM[[#This Row],[Forwards MVA]]</f>
        <v>5.7919779005103251</v>
      </c>
      <c r="AZ204" s="9">
        <f>TIM[[#This Row],[Relay MVA]]</f>
        <v>15.242047106606121</v>
      </c>
      <c r="BA204" s="9">
        <f>TIM[[#This Row],[CT MVA]]</f>
        <v>15.242047106606121</v>
      </c>
      <c r="BB204" s="9" t="str">
        <f>TIM[[#This Row],[Derating MVA]]</f>
        <v>-</v>
      </c>
      <c r="BC204" s="9" t="str">
        <f>TIM[[#This Row],[Station/Feeder]]&amp;TIM[[#This Row],[Lowest MVA]]</f>
        <v>CB17_June St5.79197790051033</v>
      </c>
      <c r="BD204" s="9" t="str">
        <f>CONCATENATE(TIM[[#This Row],[Supply Level]],TIM[[#This Row],[Station/Feeder]],TIM[[#This Row],[Voltage]],TIM[[#This Row],[Lowest A-No PTX]])</f>
        <v>DistributionFeederCB17_June St11304</v>
      </c>
      <c r="BE204" s="9" t="str">
        <f>CONCATENATE(TIM[[#This Row],[Supply Level]],TIM[[#This Row],[Station/Feeder]],TIM[[#This Row],[Voltage]],TIM[[#This Row],[Lowest A-PTX]])</f>
        <v>DistributionFeederCB17_June St11304</v>
      </c>
      <c r="BF204" s="9">
        <f>IFERROR(IF(MIN(TIM[[#This Row],[Summ Cont Winter A]:[Cable Derating]])=0,"",MIN(TIM[[#This Row],[Summ Cont Winter A]:[Cable Derating]])),"")</f>
        <v>5.7919779005103251</v>
      </c>
      <c r="BG204" s="9">
        <f>IFERROR(TIM[[#This Row],[Lowest MVA]]*1000/(TIM[[#This Row],[Voltage]]*SQRT(3)),"")</f>
        <v>304</v>
      </c>
      <c r="BH204" s="9">
        <f t="shared" si="271"/>
        <v>304</v>
      </c>
      <c r="BI204" s="9" t="str">
        <f>TIM[[#This Row],[From]]</f>
        <v>11 kV Bus</v>
      </c>
      <c r="BJ204" s="9" t="str">
        <f>TIM[[#This Row],[To]]</f>
        <v>TEGRASMERE17</v>
      </c>
      <c r="BK20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Breaker-GRM-CB17-Protection</v>
      </c>
      <c r="BL204" s="9">
        <f>TIM[[#This Row],[Voltage]]</f>
        <v>11</v>
      </c>
    </row>
    <row r="205" spans="1:64" ht="15" customHeight="1" x14ac:dyDescent="0.25">
      <c r="A205" s="6" t="str">
        <f>CONCATENATE(TIM[[#This Row],[Supply Level]],TIM[[#This Row],[Station/Feeder]],TIM[[#This Row],[Voltage]])</f>
        <v>DistributionFeederCB17_June St11</v>
      </c>
      <c r="B205" s="6" t="str">
        <f>CONCATENATE(TIM[[#This Row],[Supply Level]],TIM[[#This Row],[Station/Feeder]],TIM[[#This Row],[Equipment ID]],TIM[[#This Row],[Voltage]],TIM[[#This Row],[Device type]])</f>
        <v>DistributionFeederCB17_June St3c 300mm² Al PILC SWA11-</v>
      </c>
      <c r="C205" s="6" t="s">
        <v>1276</v>
      </c>
      <c r="D205" s="11" t="s">
        <v>197</v>
      </c>
      <c r="E205" s="6" t="s">
        <v>934</v>
      </c>
      <c r="F205" s="6" t="s">
        <v>750</v>
      </c>
      <c r="G205" s="27">
        <v>2</v>
      </c>
      <c r="H205" s="6" t="s">
        <v>888</v>
      </c>
      <c r="I205" s="7" t="s">
        <v>935</v>
      </c>
      <c r="J205" s="7" t="s">
        <v>250</v>
      </c>
      <c r="K205" s="49" t="s">
        <v>0</v>
      </c>
      <c r="L205" s="49" t="s">
        <v>0</v>
      </c>
      <c r="M205" s="8">
        <v>11</v>
      </c>
      <c r="N205" s="9">
        <v>370</v>
      </c>
      <c r="O205" s="9">
        <f t="shared" si="0"/>
        <v>7.0494467868053299</v>
      </c>
      <c r="P205" s="9">
        <v>370</v>
      </c>
      <c r="Q205" s="9">
        <f t="shared" si="1"/>
        <v>7.0494467868053299</v>
      </c>
      <c r="R205" s="9">
        <v>370</v>
      </c>
      <c r="S205" s="9">
        <f t="shared" si="2"/>
        <v>7.0494467868053299</v>
      </c>
      <c r="T205" s="9" t="s">
        <v>0</v>
      </c>
      <c r="U205" s="9" t="str">
        <f t="shared" si="3"/>
        <v>-</v>
      </c>
      <c r="V205" s="9" t="s">
        <v>0</v>
      </c>
      <c r="W205" s="9" t="str">
        <f t="shared" si="4"/>
        <v>-</v>
      </c>
      <c r="X205" s="9" t="s">
        <v>0</v>
      </c>
      <c r="Y205" s="9" t="str">
        <f t="shared" si="5"/>
        <v>-</v>
      </c>
      <c r="Z205" s="9" t="s">
        <v>0</v>
      </c>
      <c r="AA205" s="9" t="str">
        <f t="shared" si="6"/>
        <v>-</v>
      </c>
      <c r="AB205" s="9" t="s">
        <v>0</v>
      </c>
      <c r="AC205" s="9" t="str">
        <f t="shared" si="7"/>
        <v>-</v>
      </c>
      <c r="AD205" s="9" t="s">
        <v>0</v>
      </c>
      <c r="AE205" s="12" t="str">
        <f t="shared" si="8"/>
        <v>-</v>
      </c>
      <c r="AF205" s="9" t="s">
        <v>716</v>
      </c>
      <c r="AG205" s="9" t="s">
        <v>0</v>
      </c>
      <c r="AH205" s="9">
        <v>150.5</v>
      </c>
      <c r="AI205" s="9">
        <v>0.9</v>
      </c>
      <c r="AJ205" s="32">
        <v>1</v>
      </c>
      <c r="AK205" s="9">
        <v>18.5</v>
      </c>
      <c r="AL205" s="32">
        <v>0.95</v>
      </c>
      <c r="AM205" s="9">
        <v>1.2</v>
      </c>
      <c r="AN205" s="32">
        <v>1</v>
      </c>
      <c r="AO205" s="9">
        <v>2</v>
      </c>
      <c r="AP205" s="9">
        <v>0.35</v>
      </c>
      <c r="AQ205" s="32">
        <v>0.89</v>
      </c>
      <c r="AR205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312.83499999999998</v>
      </c>
      <c r="AS205" s="9">
        <f t="shared" si="9"/>
        <v>5.9603072582439065</v>
      </c>
      <c r="AT205" s="9">
        <f>IF(RIGHT(TIM[[#This Row],[Device type]],7)="Winding","-",TIM[[#This Row],[Cont Winter MVA]])</f>
        <v>7.0494467868053299</v>
      </c>
      <c r="AU205" s="9">
        <f>IF(RIGHT(TIM[[#This Row],[Device type]],7)="Winding","-",TIM[[#This Row],[Cont Shoulder MVA]])</f>
        <v>7.0494467868053299</v>
      </c>
      <c r="AV205" s="9">
        <f>IF(RIGHT(TIM[[#This Row],[Device type]],7)="Winding","-",TIM[[#This Row],[Cont Summer MVA]])</f>
        <v>7.0494467868053299</v>
      </c>
      <c r="AW205" s="9" t="str">
        <f>TIM[[#This Row],[24 Hr Winter MVA]]</f>
        <v>-</v>
      </c>
      <c r="AX205" s="9" t="str">
        <f>TIM[[#This Row],[24 Hr Summer MVA]]</f>
        <v>-</v>
      </c>
      <c r="AY205" s="9" t="str">
        <f>TIM[[#This Row],[Forwards MVA]]</f>
        <v>-</v>
      </c>
      <c r="AZ205" s="9" t="str">
        <f>TIM[[#This Row],[Relay MVA]]</f>
        <v>-</v>
      </c>
      <c r="BA205" s="9" t="str">
        <f>TIM[[#This Row],[CT MVA]]</f>
        <v>-</v>
      </c>
      <c r="BB205" s="9">
        <f>TIM[[#This Row],[Derating MVA]]</f>
        <v>5.9603072582439065</v>
      </c>
      <c r="BC205" s="9" t="str">
        <f>TIM[[#This Row],[Station/Feeder]]&amp;TIM[[#This Row],[Lowest MVA]]</f>
        <v>CB17_June St5.96030725824391</v>
      </c>
      <c r="BD205" s="9" t="str">
        <f>CONCATENATE(TIM[[#This Row],[Supply Level]],TIM[[#This Row],[Station/Feeder]],TIM[[#This Row],[Voltage]],TIM[[#This Row],[Lowest A-No PTX]])</f>
        <v>DistributionFeederCB17_June St11312.835</v>
      </c>
      <c r="BE205" s="9" t="str">
        <f>CONCATENATE(TIM[[#This Row],[Supply Level]],TIM[[#This Row],[Station/Feeder]],TIM[[#This Row],[Voltage]],TIM[[#This Row],[Lowest A-PTX]])</f>
        <v>DistributionFeederCB17_June St11312.835</v>
      </c>
      <c r="BF205" s="9">
        <f>IFERROR(IF(MIN(TIM[[#This Row],[Summ Cont Winter A]:[Cable Derating]])=0,"",MIN(TIM[[#This Row],[Summ Cont Winter A]:[Cable Derating]])),"")</f>
        <v>5.9603072582439065</v>
      </c>
      <c r="BG205" s="9">
        <f>IFERROR(TIM[[#This Row],[Lowest MVA]]*1000/(TIM[[#This Row],[Voltage]]*SQRT(3)),"")</f>
        <v>312.83499999999998</v>
      </c>
      <c r="BH205" s="9">
        <f t="shared" si="271"/>
        <v>312.83499999999998</v>
      </c>
      <c r="BI205" s="9" t="str">
        <f>TIM[[#This Row],[From]]</f>
        <v xml:space="preserve">TEGRASMERE17 </v>
      </c>
      <c r="BJ205" s="9" t="str">
        <f>TIM[[#This Row],[To]]</f>
        <v>Joint</v>
      </c>
      <c r="BK20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300mm² Al PILC SWA</v>
      </c>
      <c r="BL205" s="9">
        <f>TIM[[#This Row],[Voltage]]</f>
        <v>11</v>
      </c>
    </row>
    <row r="206" spans="1:64" ht="15" customHeight="1" x14ac:dyDescent="0.25">
      <c r="A206" s="6" t="str">
        <f>CONCATENATE(TIM[[#This Row],[Supply Level]],TIM[[#This Row],[Station/Feeder]],TIM[[#This Row],[Voltage]])</f>
        <v>DistributionFeederCB17_June St11</v>
      </c>
      <c r="B206" s="6" t="str">
        <f>CONCATENATE(TIM[[#This Row],[Supply Level]],TIM[[#This Row],[Station/Feeder]],TIM[[#This Row],[Equipment ID]],TIM[[#This Row],[Voltage]],TIM[[#This Row],[Device type]])</f>
        <v>DistributionFeederCB17_June St3c 0.4in² Al PILC SWA11-</v>
      </c>
      <c r="C206" s="6" t="s">
        <v>1276</v>
      </c>
      <c r="D206" s="11" t="s">
        <v>197</v>
      </c>
      <c r="E206" s="6" t="s">
        <v>750</v>
      </c>
      <c r="F206" s="6" t="s">
        <v>936</v>
      </c>
      <c r="G206" s="27">
        <v>3</v>
      </c>
      <c r="H206" s="6" t="s">
        <v>888</v>
      </c>
      <c r="I206" s="7" t="s">
        <v>868</v>
      </c>
      <c r="J206" s="7" t="s">
        <v>250</v>
      </c>
      <c r="K206" s="49" t="s">
        <v>0</v>
      </c>
      <c r="L206" s="49" t="s">
        <v>0</v>
      </c>
      <c r="M206" s="8">
        <v>11</v>
      </c>
      <c r="N206" s="9">
        <v>288</v>
      </c>
      <c r="O206" s="9">
        <f t="shared" si="0"/>
        <v>5.4871369583782021</v>
      </c>
      <c r="P206" s="9">
        <v>288</v>
      </c>
      <c r="Q206" s="9">
        <f t="shared" si="1"/>
        <v>5.4871369583782021</v>
      </c>
      <c r="R206" s="9">
        <v>288</v>
      </c>
      <c r="S206" s="9">
        <f t="shared" si="2"/>
        <v>5.4871369583782021</v>
      </c>
      <c r="T206" s="9" t="s">
        <v>0</v>
      </c>
      <c r="U206" s="9" t="str">
        <f t="shared" si="3"/>
        <v>-</v>
      </c>
      <c r="V206" s="9" t="s">
        <v>0</v>
      </c>
      <c r="W206" s="9" t="str">
        <f t="shared" si="4"/>
        <v>-</v>
      </c>
      <c r="X206" s="9" t="s">
        <v>0</v>
      </c>
      <c r="Y206" s="9" t="str">
        <f t="shared" si="5"/>
        <v>-</v>
      </c>
      <c r="Z206" s="9" t="s">
        <v>0</v>
      </c>
      <c r="AA206" s="9" t="str">
        <f t="shared" si="6"/>
        <v>-</v>
      </c>
      <c r="AB206" s="9" t="s">
        <v>0</v>
      </c>
      <c r="AC206" s="9" t="str">
        <f t="shared" si="7"/>
        <v>-</v>
      </c>
      <c r="AD206" s="9" t="s">
        <v>0</v>
      </c>
      <c r="AE206" s="12" t="str">
        <f t="shared" si="8"/>
        <v>-</v>
      </c>
      <c r="AF206" s="9" t="s">
        <v>716</v>
      </c>
      <c r="AG206" s="9" t="s">
        <v>0</v>
      </c>
      <c r="AH206" s="9">
        <v>166</v>
      </c>
      <c r="AI206" s="9">
        <v>0.9</v>
      </c>
      <c r="AJ206" s="32">
        <v>1</v>
      </c>
      <c r="AK206" s="9">
        <v>18.5</v>
      </c>
      <c r="AL206" s="32">
        <v>0.95</v>
      </c>
      <c r="AM206" s="9">
        <v>1.2</v>
      </c>
      <c r="AN206" s="32">
        <v>1</v>
      </c>
      <c r="AO206" s="9">
        <v>2</v>
      </c>
      <c r="AP206" s="9">
        <v>0.3</v>
      </c>
      <c r="AQ206" s="32">
        <v>0.85</v>
      </c>
      <c r="AR206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232.56</v>
      </c>
      <c r="AS206" s="9">
        <f t="shared" si="9"/>
        <v>4.430863093890399</v>
      </c>
      <c r="AT206" s="9">
        <f>IF(RIGHT(TIM[[#This Row],[Device type]],7)="Winding","-",TIM[[#This Row],[Cont Winter MVA]])</f>
        <v>5.4871369583782021</v>
      </c>
      <c r="AU206" s="9">
        <f>IF(RIGHT(TIM[[#This Row],[Device type]],7)="Winding","-",TIM[[#This Row],[Cont Shoulder MVA]])</f>
        <v>5.4871369583782021</v>
      </c>
      <c r="AV206" s="9">
        <f>IF(RIGHT(TIM[[#This Row],[Device type]],7)="Winding","-",TIM[[#This Row],[Cont Summer MVA]])</f>
        <v>5.4871369583782021</v>
      </c>
      <c r="AW206" s="9" t="str">
        <f>TIM[[#This Row],[24 Hr Winter MVA]]</f>
        <v>-</v>
      </c>
      <c r="AX206" s="9" t="str">
        <f>TIM[[#This Row],[24 Hr Summer MVA]]</f>
        <v>-</v>
      </c>
      <c r="AY206" s="9" t="str">
        <f>TIM[[#This Row],[Forwards MVA]]</f>
        <v>-</v>
      </c>
      <c r="AZ206" s="9" t="str">
        <f>TIM[[#This Row],[Relay MVA]]</f>
        <v>-</v>
      </c>
      <c r="BA206" s="9" t="str">
        <f>TIM[[#This Row],[CT MVA]]</f>
        <v>-</v>
      </c>
      <c r="BB206" s="9">
        <f>TIM[[#This Row],[Derating MVA]]</f>
        <v>4.430863093890399</v>
      </c>
      <c r="BC206" s="9" t="str">
        <f>TIM[[#This Row],[Station/Feeder]]&amp;TIM[[#This Row],[Lowest MVA]]</f>
        <v>CB17_June St4.4308630938904</v>
      </c>
      <c r="BD206" s="9" t="str">
        <f>CONCATENATE(TIM[[#This Row],[Supply Level]],TIM[[#This Row],[Station/Feeder]],TIM[[#This Row],[Voltage]],TIM[[#This Row],[Lowest A-No PTX]])</f>
        <v>DistributionFeederCB17_June St11232.56</v>
      </c>
      <c r="BE206" s="9" t="str">
        <f>CONCATENATE(TIM[[#This Row],[Supply Level]],TIM[[#This Row],[Station/Feeder]],TIM[[#This Row],[Voltage]],TIM[[#This Row],[Lowest A-PTX]])</f>
        <v>DistributionFeederCB17_June St11232.56</v>
      </c>
      <c r="BF206" s="9">
        <f>IFERROR(IF(MIN(TIM[[#This Row],[Summ Cont Winter A]:[Cable Derating]])=0,"",MIN(TIM[[#This Row],[Summ Cont Winter A]:[Cable Derating]])),"")</f>
        <v>4.430863093890399</v>
      </c>
      <c r="BG206" s="9">
        <f>IFERROR(TIM[[#This Row],[Lowest MVA]]*1000/(TIM[[#This Row],[Voltage]]*SQRT(3)),"")</f>
        <v>232.56</v>
      </c>
      <c r="BH206" s="9">
        <f t="shared" si="271"/>
        <v>232.56</v>
      </c>
      <c r="BI206" s="9" t="str">
        <f>TIM[[#This Row],[From]]</f>
        <v>Joint</v>
      </c>
      <c r="BJ206" s="9" t="str">
        <f>TIM[[#This Row],[To]]</f>
        <v>TEF10 RMU</v>
      </c>
      <c r="BK20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0.4in² Al PILC SWA</v>
      </c>
      <c r="BL206" s="9">
        <f>TIM[[#This Row],[Voltage]]</f>
        <v>11</v>
      </c>
    </row>
    <row r="207" spans="1:64" ht="15" hidden="1" customHeight="1" x14ac:dyDescent="0.25">
      <c r="A207" s="6" t="str">
        <f>CONCATENATE(TIM[[#This Row],[Supply Level]],TIM[[#This Row],[Station/Feeder]],TIM[[#This Row],[Voltage]])</f>
        <v>SubTransmissionCB18_GRM-NST B11</v>
      </c>
      <c r="B207" s="6" t="str">
        <f>CONCATENATE(TIM[[#This Row],[Supply Level]],TIM[[#This Row],[Station/Feeder]],TIM[[#This Row],[Equipment ID]],TIM[[#This Row],[Voltage]],TIM[[#This Row],[Device type]])</f>
        <v>SubTransmissionCB18_GRM-NST BGRM-CB1811Protection</v>
      </c>
      <c r="C207" s="6" t="s">
        <v>1245</v>
      </c>
      <c r="D207" s="6" t="s">
        <v>1331</v>
      </c>
      <c r="E207" s="6" t="s">
        <v>243</v>
      </c>
      <c r="F207" s="6" t="s">
        <v>937</v>
      </c>
      <c r="G207" s="8">
        <v>1</v>
      </c>
      <c r="H207" s="6" t="s">
        <v>887</v>
      </c>
      <c r="I207" s="6" t="s">
        <v>2254</v>
      </c>
      <c r="J207" s="6" t="s">
        <v>15</v>
      </c>
      <c r="K207" s="6" t="s">
        <v>791</v>
      </c>
      <c r="L207" s="6" t="s">
        <v>1423</v>
      </c>
      <c r="M207" s="8">
        <v>11</v>
      </c>
      <c r="N207" s="9">
        <v>1250</v>
      </c>
      <c r="O207" s="9">
        <f t="shared" ref="O207:O210" si="313">IF(OR(N207="",N207="-"),"-",N207*$M207*SQRT(3)/1000)</f>
        <v>23.815698604072061</v>
      </c>
      <c r="P207" s="9">
        <v>1250</v>
      </c>
      <c r="Q207" s="9">
        <f t="shared" ref="Q207:Q210" si="314">IF(OR(P207="",P207="-"),"-",P207*$M207*SQRT(3)/1000)</f>
        <v>23.815698604072061</v>
      </c>
      <c r="R207" s="9">
        <v>1250</v>
      </c>
      <c r="S207" s="9">
        <f t="shared" ref="S207:S210" si="315">IF(OR(R207="",R207="-"),"-",R207*$M207*SQRT(3)/1000)</f>
        <v>23.815698604072061</v>
      </c>
      <c r="T207" s="9" t="s">
        <v>0</v>
      </c>
      <c r="U207" s="9" t="str">
        <f t="shared" ref="U207:U210" si="316">IF(OR(T207="",T207="-"),"-",T207*$M207*SQRT(3)/1000)</f>
        <v>-</v>
      </c>
      <c r="V207" s="9" t="s">
        <v>0</v>
      </c>
      <c r="W207" s="9" t="str">
        <f t="shared" ref="W207:W210" si="317">IF(OR(V207="",V207="-"),"-",V207*$M207*SQRT(3)/1000)</f>
        <v>-</v>
      </c>
      <c r="X207" s="9">
        <f>VLOOKUP(TIM[[#This Row],[Equipment ID]],AEL_Protection_Data[#All],12,0)</f>
        <v>400</v>
      </c>
      <c r="Y207" s="9">
        <f t="shared" ref="Y207:Y210" si="318">IF(OR(X207="",X207="-"),"-",X207*$M207*SQRT(3)/1000)</f>
        <v>7.6210235533030604</v>
      </c>
      <c r="Z207" s="9" t="s">
        <v>0</v>
      </c>
      <c r="AA207" s="9" t="str">
        <f t="shared" ref="AA207:AA210" si="319">IF(OR(Z207="",Z207="-"),"-",Z207*$M207*SQRT(3)/1000)</f>
        <v>-</v>
      </c>
      <c r="AB207" s="9">
        <v>800</v>
      </c>
      <c r="AC207" s="9">
        <f t="shared" ref="AC207:AC210" si="320">IF(OR(AB207="",AB207="-"),"-",AB207*$M207*SQRT(3)/1000)</f>
        <v>15.242047106606121</v>
      </c>
      <c r="AD207" s="9">
        <v>800</v>
      </c>
      <c r="AE207" s="9">
        <f t="shared" ref="AE207:AE210" si="321">IF(OR(AD207="",AD207="-"),"-",AD207*$M207*SQRT(3)/1000)</f>
        <v>15.242047106606121</v>
      </c>
      <c r="AF207" s="9" t="s">
        <v>0</v>
      </c>
      <c r="AG207" s="9" t="s">
        <v>0</v>
      </c>
      <c r="AH207" s="9" t="s">
        <v>0</v>
      </c>
      <c r="AI207" s="9" t="s">
        <v>0</v>
      </c>
      <c r="AJ207" s="43" t="s">
        <v>0</v>
      </c>
      <c r="AK207" s="9" t="s">
        <v>0</v>
      </c>
      <c r="AL207" s="43" t="s">
        <v>0</v>
      </c>
      <c r="AM207" s="9" t="s">
        <v>0</v>
      </c>
      <c r="AN207" s="43" t="s">
        <v>0</v>
      </c>
      <c r="AO207" s="9" t="s">
        <v>0</v>
      </c>
      <c r="AP207" s="9" t="s">
        <v>0</v>
      </c>
      <c r="AQ207" s="43" t="s">
        <v>0</v>
      </c>
      <c r="AR207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07" s="9" t="str">
        <f t="shared" ref="AS207:AS210" si="322">IF(OR(AR207="",AR207="-"),"-",AR207*$M207*SQRT(3)/1000)</f>
        <v>-</v>
      </c>
      <c r="AT207" s="9">
        <f>IF(RIGHT(TIM[[#This Row],[Device type]],7)="Winding","-",TIM[[#This Row],[Cont Winter MVA]])</f>
        <v>23.815698604072061</v>
      </c>
      <c r="AU207" s="9">
        <f>IF(RIGHT(TIM[[#This Row],[Device type]],7)="Winding","-",TIM[[#This Row],[Cont Shoulder MVA]])</f>
        <v>23.815698604072061</v>
      </c>
      <c r="AV207" s="9">
        <f>IF(RIGHT(TIM[[#This Row],[Device type]],7)="Winding","-",TIM[[#This Row],[Cont Summer MVA]])</f>
        <v>23.815698604072061</v>
      </c>
      <c r="AW207" s="9" t="str">
        <f>TIM[[#This Row],[24 Hr Winter MVA]]</f>
        <v>-</v>
      </c>
      <c r="AX207" s="9" t="str">
        <f>TIM[[#This Row],[24 Hr Summer MVA]]</f>
        <v>-</v>
      </c>
      <c r="AY207" s="9">
        <f>TIM[[#This Row],[Forwards MVA]]</f>
        <v>7.6210235533030604</v>
      </c>
      <c r="AZ207" s="9">
        <f>TIM[[#This Row],[Relay MVA]]</f>
        <v>15.242047106606121</v>
      </c>
      <c r="BA207" s="9">
        <f>TIM[[#This Row],[CT MVA]]</f>
        <v>15.242047106606121</v>
      </c>
      <c r="BB207" s="9" t="str">
        <f>TIM[[#This Row],[Derating MVA]]</f>
        <v>-</v>
      </c>
      <c r="BC207" s="9" t="str">
        <f>TIM[[#This Row],[Station/Feeder]]&amp;TIM[[#This Row],[Lowest MVA]]</f>
        <v>CB18_GRM-NST B7.62102355330306</v>
      </c>
      <c r="BD207" s="9" t="str">
        <f>CONCATENATE(TIM[[#This Row],[Supply Level]],TIM[[#This Row],[Station/Feeder]],TIM[[#This Row],[Voltage]],TIM[[#This Row],[Lowest A-No PTX]])</f>
        <v>SubTransmissionCB18_GRM-NST B11400</v>
      </c>
      <c r="BE207" s="9" t="str">
        <f>CONCATENATE(TIM[[#This Row],[Supply Level]],TIM[[#This Row],[Station/Feeder]],TIM[[#This Row],[Voltage]],TIM[[#This Row],[Lowest A-PTX]])</f>
        <v>SubTransmissionCB18_GRM-NST B11400</v>
      </c>
      <c r="BF207" s="9">
        <f>IFERROR(IF(MIN(TIM[[#This Row],[Summ Cont Winter A]:[Cable Derating]])=0,"",MIN(TIM[[#This Row],[Summ Cont Winter A]:[Cable Derating]])),"")</f>
        <v>7.6210235533030604</v>
      </c>
      <c r="BG207" s="9">
        <f>IFERROR(TIM[[#This Row],[Lowest MVA]]*1000/(TIM[[#This Row],[Voltage]]*SQRT(3)),"")</f>
        <v>400</v>
      </c>
      <c r="BH207" s="9">
        <f t="shared" si="271"/>
        <v>400</v>
      </c>
      <c r="BI207" s="9" t="str">
        <f>TIM[[#This Row],[From]]</f>
        <v>11 kV Bus</v>
      </c>
      <c r="BJ207" s="9" t="str">
        <f>TIM[[#This Row],[To]]</f>
        <v>TEGRASMERE18</v>
      </c>
      <c r="BK20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Breaker-GRM-CB18-Protection</v>
      </c>
      <c r="BL207" s="9">
        <f>TIM[[#This Row],[Voltage]]</f>
        <v>11</v>
      </c>
    </row>
    <row r="208" spans="1:64" ht="15" hidden="1" customHeight="1" x14ac:dyDescent="0.25">
      <c r="A208" s="6" t="str">
        <f>CONCATENATE(TIM[[#This Row],[Supply Level]],TIM[[#This Row],[Station/Feeder]],TIM[[#This Row],[Voltage]])</f>
        <v>SubTransmissionCB18_GRM-NST B11</v>
      </c>
      <c r="B208" s="6" t="str">
        <f>CONCATENATE(TIM[[#This Row],[Supply Level]],TIM[[#This Row],[Station/Feeder]],TIM[[#This Row],[Equipment ID]],TIM[[#This Row],[Voltage]],TIM[[#This Row],[Device type]])</f>
        <v>SubTransmissionCB18_GRM-NST B3/1c 400mm² Al XLPE11-</v>
      </c>
      <c r="C208" s="6" t="s">
        <v>1245</v>
      </c>
      <c r="D208" s="6" t="s">
        <v>1331</v>
      </c>
      <c r="E208" s="6" t="s">
        <v>1411</v>
      </c>
      <c r="F208" s="6" t="s">
        <v>750</v>
      </c>
      <c r="G208" s="8">
        <v>2</v>
      </c>
      <c r="H208" s="6" t="s">
        <v>888</v>
      </c>
      <c r="I208" s="6" t="s">
        <v>1326</v>
      </c>
      <c r="J208" s="6" t="s">
        <v>250</v>
      </c>
      <c r="K208" s="6" t="s">
        <v>0</v>
      </c>
      <c r="L208" s="6" t="s">
        <v>0</v>
      </c>
      <c r="M208" s="8">
        <v>11</v>
      </c>
      <c r="N208" s="9">
        <v>537</v>
      </c>
      <c r="O208" s="9">
        <f t="shared" si="313"/>
        <v>10.231224120309358</v>
      </c>
      <c r="P208" s="9">
        <v>537</v>
      </c>
      <c r="Q208" s="9">
        <f t="shared" si="314"/>
        <v>10.231224120309358</v>
      </c>
      <c r="R208" s="9">
        <v>537</v>
      </c>
      <c r="S208" s="9">
        <f t="shared" si="315"/>
        <v>10.231224120309358</v>
      </c>
      <c r="T208" s="9" t="s">
        <v>0</v>
      </c>
      <c r="U208" s="9" t="str">
        <f t="shared" si="316"/>
        <v>-</v>
      </c>
      <c r="V208" s="9" t="s">
        <v>0</v>
      </c>
      <c r="W208" s="9" t="str">
        <f t="shared" si="317"/>
        <v>-</v>
      </c>
      <c r="X208" s="9" t="s">
        <v>0</v>
      </c>
      <c r="Y208" s="9" t="str">
        <f t="shared" si="318"/>
        <v>-</v>
      </c>
      <c r="Z208" s="9" t="s">
        <v>0</v>
      </c>
      <c r="AA208" s="9" t="str">
        <f t="shared" si="319"/>
        <v>-</v>
      </c>
      <c r="AB208" s="9" t="s">
        <v>0</v>
      </c>
      <c r="AC208" s="9" t="str">
        <f t="shared" si="320"/>
        <v>-</v>
      </c>
      <c r="AD208" s="9" t="s">
        <v>0</v>
      </c>
      <c r="AE208" s="9" t="str">
        <f t="shared" si="321"/>
        <v>-</v>
      </c>
      <c r="AF208" s="9" t="s">
        <v>713</v>
      </c>
      <c r="AG208" s="9" t="s">
        <v>0</v>
      </c>
      <c r="AH208" s="9">
        <v>24.2</v>
      </c>
      <c r="AI208" s="9">
        <v>0.85</v>
      </c>
      <c r="AJ208" s="43">
        <v>1.03</v>
      </c>
      <c r="AK208" s="9">
        <v>18.5</v>
      </c>
      <c r="AL208" s="43">
        <v>0.95</v>
      </c>
      <c r="AM208" s="9">
        <v>1.2</v>
      </c>
      <c r="AN208" s="43">
        <v>1</v>
      </c>
      <c r="AO208" s="9">
        <v>3</v>
      </c>
      <c r="AP208" s="9">
        <v>0.34</v>
      </c>
      <c r="AQ208" s="43">
        <v>0.8</v>
      </c>
      <c r="AR208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420.36359999999996</v>
      </c>
      <c r="AS208" s="9">
        <f t="shared" si="322"/>
        <v>8.0090022413781643</v>
      </c>
      <c r="AT208" s="9">
        <f>IF(RIGHT(TIM[[#This Row],[Device type]],7)="Winding","-",TIM[[#This Row],[Cont Winter MVA]])</f>
        <v>10.231224120309358</v>
      </c>
      <c r="AU208" s="9">
        <f>IF(RIGHT(TIM[[#This Row],[Device type]],7)="Winding","-",TIM[[#This Row],[Cont Shoulder MVA]])</f>
        <v>10.231224120309358</v>
      </c>
      <c r="AV208" s="9">
        <f>IF(RIGHT(TIM[[#This Row],[Device type]],7)="Winding","-",TIM[[#This Row],[Cont Summer MVA]])</f>
        <v>10.231224120309358</v>
      </c>
      <c r="AW208" s="9" t="str">
        <f>TIM[[#This Row],[24 Hr Winter MVA]]</f>
        <v>-</v>
      </c>
      <c r="AX208" s="9" t="str">
        <f>TIM[[#This Row],[24 Hr Summer MVA]]</f>
        <v>-</v>
      </c>
      <c r="AY208" s="9" t="str">
        <f>TIM[[#This Row],[Forwards MVA]]</f>
        <v>-</v>
      </c>
      <c r="AZ208" s="9" t="str">
        <f>TIM[[#This Row],[Relay MVA]]</f>
        <v>-</v>
      </c>
      <c r="BA208" s="9" t="str">
        <f>TIM[[#This Row],[CT MVA]]</f>
        <v>-</v>
      </c>
      <c r="BB208" s="9">
        <f>TIM[[#This Row],[Derating MVA]]</f>
        <v>8.0090022413781643</v>
      </c>
      <c r="BC208" s="9" t="str">
        <f>TIM[[#This Row],[Station/Feeder]]&amp;TIM[[#This Row],[Lowest MVA]]</f>
        <v>CB18_GRM-NST B8.00900224137816</v>
      </c>
      <c r="BD208" s="9" t="str">
        <f>CONCATENATE(TIM[[#This Row],[Supply Level]],TIM[[#This Row],[Station/Feeder]],TIM[[#This Row],[Voltage]],TIM[[#This Row],[Lowest A-No PTX]])</f>
        <v>SubTransmissionCB18_GRM-NST B11420.3636</v>
      </c>
      <c r="BE208" s="9" t="str">
        <f>CONCATENATE(TIM[[#This Row],[Supply Level]],TIM[[#This Row],[Station/Feeder]],TIM[[#This Row],[Voltage]],TIM[[#This Row],[Lowest A-PTX]])</f>
        <v>SubTransmissionCB18_GRM-NST B11420.3636</v>
      </c>
      <c r="BF208" s="9">
        <f>IFERROR(IF(MIN(TIM[[#This Row],[Summ Cont Winter A]:[Cable Derating]])=0,"",MIN(TIM[[#This Row],[Summ Cont Winter A]:[Cable Derating]])),"")</f>
        <v>8.0090022413781643</v>
      </c>
      <c r="BG208" s="9">
        <f>IFERROR(TIM[[#This Row],[Lowest MVA]]*1000/(TIM[[#This Row],[Voltage]]*SQRT(3)),"")</f>
        <v>420.36359999999996</v>
      </c>
      <c r="BH208" s="9">
        <f t="shared" si="271"/>
        <v>420.36359999999996</v>
      </c>
      <c r="BI208" s="9" t="str">
        <f>TIM[[#This Row],[From]]</f>
        <v xml:space="preserve">TEGRASMERE 18 </v>
      </c>
      <c r="BJ208" s="9" t="str">
        <f>TIM[[#This Row],[To]]</f>
        <v>Joint</v>
      </c>
      <c r="BK20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</v>
      </c>
      <c r="BL208" s="9">
        <f>TIM[[#This Row],[Voltage]]</f>
        <v>11</v>
      </c>
    </row>
    <row r="209" spans="1:64" ht="15" hidden="1" customHeight="1" x14ac:dyDescent="0.25">
      <c r="A209" s="6" t="str">
        <f>CONCATENATE(TIM[[#This Row],[Supply Level]],TIM[[#This Row],[Station/Feeder]],TIM[[#This Row],[Voltage]])</f>
        <v>SubTransmissionCB18_GRM-NST B11</v>
      </c>
      <c r="B209" s="6" t="str">
        <f>CONCATENATE(TIM[[#This Row],[Supply Level]],TIM[[#This Row],[Station/Feeder]],TIM[[#This Row],[Equipment ID]],TIM[[#This Row],[Voltage]],TIM[[#This Row],[Device type]])</f>
        <v>SubTransmissionCB18_GRM-NST B3c 0.3in² Cu PILC SWAS11-</v>
      </c>
      <c r="C209" s="6" t="s">
        <v>1245</v>
      </c>
      <c r="D209" s="6" t="s">
        <v>1331</v>
      </c>
      <c r="E209" s="6" t="s">
        <v>750</v>
      </c>
      <c r="F209" s="6" t="s">
        <v>750</v>
      </c>
      <c r="G209" s="8">
        <v>3</v>
      </c>
      <c r="H209" s="6" t="s">
        <v>888</v>
      </c>
      <c r="I209" s="6" t="s">
        <v>1327</v>
      </c>
      <c r="J209" s="6" t="s">
        <v>250</v>
      </c>
      <c r="K209" s="6" t="s">
        <v>0</v>
      </c>
      <c r="L209" s="6" t="s">
        <v>0</v>
      </c>
      <c r="M209" s="8">
        <v>11</v>
      </c>
      <c r="N209" s="9">
        <v>380</v>
      </c>
      <c r="O209" s="9">
        <f t="shared" si="313"/>
        <v>7.2399723756379064</v>
      </c>
      <c r="P209" s="9">
        <v>380</v>
      </c>
      <c r="Q209" s="9">
        <f t="shared" si="314"/>
        <v>7.2399723756379064</v>
      </c>
      <c r="R209" s="9">
        <v>380</v>
      </c>
      <c r="S209" s="9">
        <f t="shared" si="315"/>
        <v>7.2399723756379064</v>
      </c>
      <c r="T209" s="9" t="s">
        <v>0</v>
      </c>
      <c r="U209" s="9" t="str">
        <f t="shared" si="316"/>
        <v>-</v>
      </c>
      <c r="V209" s="9" t="s">
        <v>0</v>
      </c>
      <c r="W209" s="9" t="str">
        <f t="shared" si="317"/>
        <v>-</v>
      </c>
      <c r="X209" s="9" t="s">
        <v>0</v>
      </c>
      <c r="Y209" s="9" t="str">
        <f t="shared" si="318"/>
        <v>-</v>
      </c>
      <c r="Z209" s="9" t="s">
        <v>0</v>
      </c>
      <c r="AA209" s="9" t="str">
        <f t="shared" si="319"/>
        <v>-</v>
      </c>
      <c r="AB209" s="9" t="s">
        <v>0</v>
      </c>
      <c r="AC209" s="9" t="str">
        <f t="shared" si="320"/>
        <v>-</v>
      </c>
      <c r="AD209" s="9" t="s">
        <v>0</v>
      </c>
      <c r="AE209" s="9" t="str">
        <f t="shared" si="321"/>
        <v>-</v>
      </c>
      <c r="AF209" s="9" t="s">
        <v>716</v>
      </c>
      <c r="AG209" s="9" t="s">
        <v>0</v>
      </c>
      <c r="AH209" s="9">
        <v>3004.3</v>
      </c>
      <c r="AI209" s="9">
        <v>0.85</v>
      </c>
      <c r="AJ209" s="43">
        <v>1.03</v>
      </c>
      <c r="AK209" s="9">
        <v>18.5</v>
      </c>
      <c r="AL209" s="43">
        <v>0.95</v>
      </c>
      <c r="AM209" s="9">
        <v>1.2</v>
      </c>
      <c r="AN209" s="43">
        <v>1</v>
      </c>
      <c r="AO209" s="9">
        <v>3</v>
      </c>
      <c r="AP209" s="9">
        <v>0.34</v>
      </c>
      <c r="AQ209" s="43">
        <v>0.8</v>
      </c>
      <c r="AR209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297.464</v>
      </c>
      <c r="AS209" s="9">
        <f t="shared" si="322"/>
        <v>5.6674503756493531</v>
      </c>
      <c r="AT209" s="9">
        <f>IF(RIGHT(TIM[[#This Row],[Device type]],7)="Winding","-",TIM[[#This Row],[Cont Winter MVA]])</f>
        <v>7.2399723756379064</v>
      </c>
      <c r="AU209" s="9">
        <f>IF(RIGHT(TIM[[#This Row],[Device type]],7)="Winding","-",TIM[[#This Row],[Cont Shoulder MVA]])</f>
        <v>7.2399723756379064</v>
      </c>
      <c r="AV209" s="9">
        <f>IF(RIGHT(TIM[[#This Row],[Device type]],7)="Winding","-",TIM[[#This Row],[Cont Summer MVA]])</f>
        <v>7.2399723756379064</v>
      </c>
      <c r="AW209" s="9" t="str">
        <f>TIM[[#This Row],[24 Hr Winter MVA]]</f>
        <v>-</v>
      </c>
      <c r="AX209" s="9" t="str">
        <f>TIM[[#This Row],[24 Hr Summer MVA]]</f>
        <v>-</v>
      </c>
      <c r="AY209" s="9" t="str">
        <f>TIM[[#This Row],[Forwards MVA]]</f>
        <v>-</v>
      </c>
      <c r="AZ209" s="9" t="str">
        <f>TIM[[#This Row],[Relay MVA]]</f>
        <v>-</v>
      </c>
      <c r="BA209" s="9" t="str">
        <f>TIM[[#This Row],[CT MVA]]</f>
        <v>-</v>
      </c>
      <c r="BB209" s="9">
        <f>TIM[[#This Row],[Derating MVA]]</f>
        <v>5.6674503756493531</v>
      </c>
      <c r="BC209" s="9" t="str">
        <f>TIM[[#This Row],[Station/Feeder]]&amp;TIM[[#This Row],[Lowest MVA]]</f>
        <v>CB18_GRM-NST B5.66745037564935</v>
      </c>
      <c r="BD209" s="9" t="str">
        <f>CONCATENATE(TIM[[#This Row],[Supply Level]],TIM[[#This Row],[Station/Feeder]],TIM[[#This Row],[Voltage]],TIM[[#This Row],[Lowest A-No PTX]])</f>
        <v>SubTransmissionCB18_GRM-NST B11297.464</v>
      </c>
      <c r="BE209" s="9" t="str">
        <f>CONCATENATE(TIM[[#This Row],[Supply Level]],TIM[[#This Row],[Station/Feeder]],TIM[[#This Row],[Voltage]],TIM[[#This Row],[Lowest A-PTX]])</f>
        <v>SubTransmissionCB18_GRM-NST B11297.464</v>
      </c>
      <c r="BF209" s="9">
        <f>IFERROR(IF(MIN(TIM[[#This Row],[Summ Cont Winter A]:[Cable Derating]])=0,"",MIN(TIM[[#This Row],[Summ Cont Winter A]:[Cable Derating]])),"")</f>
        <v>5.6674503756493531</v>
      </c>
      <c r="BG209" s="9">
        <f>IFERROR(TIM[[#This Row],[Lowest MVA]]*1000/(TIM[[#This Row],[Voltage]]*SQRT(3)),"")</f>
        <v>297.464</v>
      </c>
      <c r="BH209" s="9">
        <f t="shared" si="271"/>
        <v>297.464</v>
      </c>
      <c r="BI209" s="9" t="str">
        <f>TIM[[#This Row],[From]]</f>
        <v>Joint</v>
      </c>
      <c r="BJ209" s="9" t="str">
        <f>TIM[[#This Row],[To]]</f>
        <v>Joint</v>
      </c>
      <c r="BK20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0.3in² Cu PILC SWAS</v>
      </c>
      <c r="BL209" s="9">
        <f>TIM[[#This Row],[Voltage]]</f>
        <v>11</v>
      </c>
    </row>
    <row r="210" spans="1:64" ht="15" hidden="1" customHeight="1" x14ac:dyDescent="0.25">
      <c r="A210" s="6" t="str">
        <f>CONCATENATE(TIM[[#This Row],[Supply Level]],TIM[[#This Row],[Station/Feeder]],TIM[[#This Row],[Voltage]])</f>
        <v>SubTransmissionCB18_GRM-NST B11</v>
      </c>
      <c r="B210" s="6" t="str">
        <f>CONCATENATE(TIM[[#This Row],[Supply Level]],TIM[[#This Row],[Station/Feeder]],TIM[[#This Row],[Equipment ID]],TIM[[#This Row],[Voltage]],TIM[[#This Row],[Device type]])</f>
        <v>SubTransmissionCB18_GRM-NST B3/1c 400mm² AL XLPE HDPE Screened11-</v>
      </c>
      <c r="C210" s="6" t="s">
        <v>1245</v>
      </c>
      <c r="D210" s="6" t="s">
        <v>1331</v>
      </c>
      <c r="E210" s="6" t="s">
        <v>750</v>
      </c>
      <c r="F210" s="6" t="s">
        <v>940</v>
      </c>
      <c r="G210" s="8">
        <v>4</v>
      </c>
      <c r="H210" s="6" t="s">
        <v>888</v>
      </c>
      <c r="I210" s="6" t="s">
        <v>819</v>
      </c>
      <c r="J210" s="6" t="s">
        <v>250</v>
      </c>
      <c r="K210" s="6" t="s">
        <v>0</v>
      </c>
      <c r="L210" s="6" t="s">
        <v>0</v>
      </c>
      <c r="M210" s="8">
        <v>11</v>
      </c>
      <c r="N210" s="9">
        <v>537</v>
      </c>
      <c r="O210" s="9">
        <f t="shared" si="313"/>
        <v>10.231224120309358</v>
      </c>
      <c r="P210" s="9">
        <v>537</v>
      </c>
      <c r="Q210" s="9">
        <f t="shared" si="314"/>
        <v>10.231224120309358</v>
      </c>
      <c r="R210" s="9">
        <v>537</v>
      </c>
      <c r="S210" s="9">
        <f t="shared" si="315"/>
        <v>10.231224120309358</v>
      </c>
      <c r="T210" s="9" t="s">
        <v>0</v>
      </c>
      <c r="U210" s="9" t="str">
        <f t="shared" si="316"/>
        <v>-</v>
      </c>
      <c r="V210" s="9" t="s">
        <v>0</v>
      </c>
      <c r="W210" s="9" t="str">
        <f t="shared" si="317"/>
        <v>-</v>
      </c>
      <c r="X210" s="9" t="s">
        <v>0</v>
      </c>
      <c r="Y210" s="9" t="str">
        <f t="shared" si="318"/>
        <v>-</v>
      </c>
      <c r="Z210" s="9" t="s">
        <v>0</v>
      </c>
      <c r="AA210" s="9" t="str">
        <f t="shared" si="319"/>
        <v>-</v>
      </c>
      <c r="AB210" s="9" t="s">
        <v>0</v>
      </c>
      <c r="AC210" s="9" t="str">
        <f t="shared" si="320"/>
        <v>-</v>
      </c>
      <c r="AD210" s="9" t="s">
        <v>0</v>
      </c>
      <c r="AE210" s="9" t="str">
        <f t="shared" si="321"/>
        <v>-</v>
      </c>
      <c r="AF210" s="9" t="s">
        <v>713</v>
      </c>
      <c r="AG210" s="9" t="s">
        <v>0</v>
      </c>
      <c r="AH210" s="9">
        <v>72.400000000000006</v>
      </c>
      <c r="AI210" s="9">
        <v>0.85</v>
      </c>
      <c r="AJ210" s="43">
        <v>1.03</v>
      </c>
      <c r="AK210" s="9">
        <v>18.5</v>
      </c>
      <c r="AL210" s="43">
        <v>0.95</v>
      </c>
      <c r="AM210" s="9">
        <v>1.2</v>
      </c>
      <c r="AN210" s="43">
        <v>1</v>
      </c>
      <c r="AO210" s="9">
        <v>3</v>
      </c>
      <c r="AP210" s="9">
        <v>0.34</v>
      </c>
      <c r="AQ210" s="43">
        <v>0.8</v>
      </c>
      <c r="AR210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420.36359999999996</v>
      </c>
      <c r="AS210" s="9">
        <f t="shared" si="322"/>
        <v>8.0090022413781643</v>
      </c>
      <c r="AT210" s="9">
        <f>IF(RIGHT(TIM[[#This Row],[Device type]],7)="Winding","-",TIM[[#This Row],[Cont Winter MVA]])</f>
        <v>10.231224120309358</v>
      </c>
      <c r="AU210" s="9">
        <f>IF(RIGHT(TIM[[#This Row],[Device type]],7)="Winding","-",TIM[[#This Row],[Cont Shoulder MVA]])</f>
        <v>10.231224120309358</v>
      </c>
      <c r="AV210" s="9">
        <f>IF(RIGHT(TIM[[#This Row],[Device type]],7)="Winding","-",TIM[[#This Row],[Cont Summer MVA]])</f>
        <v>10.231224120309358</v>
      </c>
      <c r="AW210" s="9" t="str">
        <f>TIM[[#This Row],[24 Hr Winter MVA]]</f>
        <v>-</v>
      </c>
      <c r="AX210" s="9" t="str">
        <f>TIM[[#This Row],[24 Hr Summer MVA]]</f>
        <v>-</v>
      </c>
      <c r="AY210" s="9" t="str">
        <f>TIM[[#This Row],[Forwards MVA]]</f>
        <v>-</v>
      </c>
      <c r="AZ210" s="9" t="str">
        <f>TIM[[#This Row],[Relay MVA]]</f>
        <v>-</v>
      </c>
      <c r="BA210" s="9" t="str">
        <f>TIM[[#This Row],[CT MVA]]</f>
        <v>-</v>
      </c>
      <c r="BB210" s="9">
        <f>TIM[[#This Row],[Derating MVA]]</f>
        <v>8.0090022413781643</v>
      </c>
      <c r="BC210" s="9" t="str">
        <f>TIM[[#This Row],[Station/Feeder]]&amp;TIM[[#This Row],[Lowest MVA]]</f>
        <v>CB18_GRM-NST B8.00900224137816</v>
      </c>
      <c r="BD210" s="9" t="str">
        <f>CONCATENATE(TIM[[#This Row],[Supply Level]],TIM[[#This Row],[Station/Feeder]],TIM[[#This Row],[Voltage]],TIM[[#This Row],[Lowest A-No PTX]])</f>
        <v>SubTransmissionCB18_GRM-NST B11420.3636</v>
      </c>
      <c r="BE210" s="9" t="str">
        <f>CONCATENATE(TIM[[#This Row],[Supply Level]],TIM[[#This Row],[Station/Feeder]],TIM[[#This Row],[Voltage]],TIM[[#This Row],[Lowest A-PTX]])</f>
        <v>SubTransmissionCB18_GRM-NST B11420.3636</v>
      </c>
      <c r="BF210" s="9">
        <f>IFERROR(IF(MIN(TIM[[#This Row],[Summ Cont Winter A]:[Cable Derating]])=0,"",MIN(TIM[[#This Row],[Summ Cont Winter A]:[Cable Derating]])),"")</f>
        <v>8.0090022413781643</v>
      </c>
      <c r="BG210" s="9">
        <f>IFERROR(TIM[[#This Row],[Lowest MVA]]*1000/(TIM[[#This Row],[Voltage]]*SQRT(3)),"")</f>
        <v>420.36359999999996</v>
      </c>
      <c r="BH210" s="9">
        <f t="shared" si="271"/>
        <v>420.36359999999996</v>
      </c>
      <c r="BI210" s="9" t="str">
        <f>TIM[[#This Row],[From]]</f>
        <v>Joint</v>
      </c>
      <c r="BJ210" s="9" t="str">
        <f>TIM[[#This Row],[To]]</f>
        <v>NST15</v>
      </c>
      <c r="BK21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210" s="9">
        <f>TIM[[#This Row],[Voltage]]</f>
        <v>11</v>
      </c>
    </row>
    <row r="211" spans="1:64" ht="15" hidden="1" customHeight="1" x14ac:dyDescent="0.25">
      <c r="A211" s="6" t="str">
        <f>CONCATENATE(TIM[[#This Row],[Supply Level]],TIM[[#This Row],[Station/Feeder]],TIM[[#This Row],[Voltage]])</f>
        <v>SubTransmissionGRM_HNT_SUBTRANS11</v>
      </c>
      <c r="B211" s="6" t="str">
        <f>CONCATENATE(TIM[[#This Row],[Supply Level]],TIM[[#This Row],[Station/Feeder]],TIM[[#This Row],[Equipment ID]],TIM[[#This Row],[Voltage]],TIM[[#This Row],[Device type]])</f>
        <v>SubTransmissionGRM_HNT_SUBTRANSGRM-CB1811Protection</v>
      </c>
      <c r="C211" s="6" t="s">
        <v>1245</v>
      </c>
      <c r="D211" s="11" t="s">
        <v>170</v>
      </c>
      <c r="E211" s="6" t="s">
        <v>243</v>
      </c>
      <c r="F211" s="6" t="s">
        <v>937</v>
      </c>
      <c r="G211" s="27">
        <v>1</v>
      </c>
      <c r="H211" s="6" t="s">
        <v>887</v>
      </c>
      <c r="I211" s="7" t="s">
        <v>2254</v>
      </c>
      <c r="J211" s="7" t="s">
        <v>15</v>
      </c>
      <c r="K211" s="49" t="s">
        <v>791</v>
      </c>
      <c r="L211" s="49" t="s">
        <v>1423</v>
      </c>
      <c r="M211" s="8">
        <v>11</v>
      </c>
      <c r="N211" s="9">
        <v>1250</v>
      </c>
      <c r="O211" s="9">
        <f t="shared" si="0"/>
        <v>23.815698604072061</v>
      </c>
      <c r="P211" s="9">
        <v>1250</v>
      </c>
      <c r="Q211" s="9">
        <f t="shared" si="1"/>
        <v>23.815698604072061</v>
      </c>
      <c r="R211" s="9">
        <v>1250</v>
      </c>
      <c r="S211" s="9">
        <f t="shared" si="2"/>
        <v>23.815698604072061</v>
      </c>
      <c r="T211" s="9" t="s">
        <v>0</v>
      </c>
      <c r="U211" s="9" t="str">
        <f t="shared" si="3"/>
        <v>-</v>
      </c>
      <c r="V211" s="9" t="s">
        <v>0</v>
      </c>
      <c r="W211" s="9" t="str">
        <f t="shared" si="4"/>
        <v>-</v>
      </c>
      <c r="X211" s="9">
        <f>VLOOKUP(TIM[[#This Row],[Equipment ID]],AEL_Protection_Data[#All],12,0)</f>
        <v>400</v>
      </c>
      <c r="Y211" s="9">
        <f t="shared" si="5"/>
        <v>7.6210235533030604</v>
      </c>
      <c r="Z211" s="9" t="s">
        <v>0</v>
      </c>
      <c r="AA211" s="9" t="str">
        <f t="shared" si="6"/>
        <v>-</v>
      </c>
      <c r="AB211" s="9">
        <v>800</v>
      </c>
      <c r="AC211" s="9">
        <f t="shared" si="7"/>
        <v>15.242047106606121</v>
      </c>
      <c r="AD211" s="9">
        <v>800</v>
      </c>
      <c r="AE211" s="12">
        <f t="shared" si="8"/>
        <v>15.242047106606121</v>
      </c>
      <c r="AF211" s="9" t="s">
        <v>0</v>
      </c>
      <c r="AG211" s="9" t="s">
        <v>0</v>
      </c>
      <c r="AH211" s="9" t="s">
        <v>0</v>
      </c>
      <c r="AI211" s="9" t="s">
        <v>0</v>
      </c>
      <c r="AJ211" s="32" t="s">
        <v>0</v>
      </c>
      <c r="AK211" s="9" t="s">
        <v>0</v>
      </c>
      <c r="AL211" s="32" t="s">
        <v>0</v>
      </c>
      <c r="AM211" s="9" t="s">
        <v>0</v>
      </c>
      <c r="AN211" s="32" t="s">
        <v>0</v>
      </c>
      <c r="AO211" s="9" t="s">
        <v>0</v>
      </c>
      <c r="AP211" s="9" t="s">
        <v>0</v>
      </c>
      <c r="AQ211" s="32" t="s">
        <v>0</v>
      </c>
      <c r="AR21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11" s="9" t="str">
        <f t="shared" si="9"/>
        <v>-</v>
      </c>
      <c r="AT211" s="9">
        <f>IF(RIGHT(TIM[[#This Row],[Device type]],7)="Winding","-",TIM[[#This Row],[Cont Winter MVA]])</f>
        <v>23.815698604072061</v>
      </c>
      <c r="AU211" s="9">
        <f>IF(RIGHT(TIM[[#This Row],[Device type]],7)="Winding","-",TIM[[#This Row],[Cont Shoulder MVA]])</f>
        <v>23.815698604072061</v>
      </c>
      <c r="AV211" s="9">
        <f>IF(RIGHT(TIM[[#This Row],[Device type]],7)="Winding","-",TIM[[#This Row],[Cont Summer MVA]])</f>
        <v>23.815698604072061</v>
      </c>
      <c r="AW211" s="9" t="str">
        <f>TIM[[#This Row],[24 Hr Winter MVA]]</f>
        <v>-</v>
      </c>
      <c r="AX211" s="9" t="str">
        <f>TIM[[#This Row],[24 Hr Summer MVA]]</f>
        <v>-</v>
      </c>
      <c r="AY211" s="9">
        <f>TIM[[#This Row],[Forwards MVA]]</f>
        <v>7.6210235533030604</v>
      </c>
      <c r="AZ211" s="9">
        <f>TIM[[#This Row],[Relay MVA]]</f>
        <v>15.242047106606121</v>
      </c>
      <c r="BA211" s="9">
        <f>TIM[[#This Row],[CT MVA]]</f>
        <v>15.242047106606121</v>
      </c>
      <c r="BB211" s="9" t="str">
        <f>TIM[[#This Row],[Derating MVA]]</f>
        <v>-</v>
      </c>
      <c r="BC211" s="9" t="str">
        <f>TIM[[#This Row],[Station/Feeder]]&amp;TIM[[#This Row],[Lowest MVA]]</f>
        <v>GRM_HNT_SUBTRANS7.62102355330306</v>
      </c>
      <c r="BD211" s="9" t="str">
        <f>CONCATENATE(TIM[[#This Row],[Supply Level]],TIM[[#This Row],[Station/Feeder]],TIM[[#This Row],[Voltage]],TIM[[#This Row],[Lowest A-No PTX]])</f>
        <v>SubTransmissionGRM_HNT_SUBTRANS11400</v>
      </c>
      <c r="BE211" s="9" t="str">
        <f>CONCATENATE(TIM[[#This Row],[Supply Level]],TIM[[#This Row],[Station/Feeder]],TIM[[#This Row],[Voltage]],TIM[[#This Row],[Lowest A-PTX]])</f>
        <v>SubTransmissionGRM_HNT_SUBTRANS11400</v>
      </c>
      <c r="BF211" s="9">
        <f>IFERROR(IF(MIN(TIM[[#This Row],[Summ Cont Winter A]:[Cable Derating]])=0,"",MIN(TIM[[#This Row],[Summ Cont Winter A]:[Cable Derating]])),"")</f>
        <v>7.6210235533030604</v>
      </c>
      <c r="BG211" s="9">
        <f>IFERROR(TIM[[#This Row],[Lowest MVA]]*1000/(TIM[[#This Row],[Voltage]]*SQRT(3)),"")</f>
        <v>400</v>
      </c>
      <c r="BH211" s="9">
        <f t="shared" si="271"/>
        <v>400</v>
      </c>
      <c r="BI211" s="9" t="str">
        <f>TIM[[#This Row],[From]]</f>
        <v>11 kV Bus</v>
      </c>
      <c r="BJ211" s="9" t="str">
        <f>TIM[[#This Row],[To]]</f>
        <v>TEGRASMERE18</v>
      </c>
      <c r="BK21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Breaker-GRM-CB18-Protection</v>
      </c>
      <c r="BL211" s="9">
        <f>TIM[[#This Row],[Voltage]]</f>
        <v>11</v>
      </c>
    </row>
    <row r="212" spans="1:64" ht="15" hidden="1" customHeight="1" x14ac:dyDescent="0.25">
      <c r="A212" s="6" t="str">
        <f>CONCATENATE(TIM[[#This Row],[Supply Level]],TIM[[#This Row],[Station/Feeder]],TIM[[#This Row],[Voltage]])</f>
        <v>SubTransmissionGRM_NST_SUBTRANS11</v>
      </c>
      <c r="B212" s="6" t="str">
        <f>CONCATENATE(TIM[[#This Row],[Supply Level]],TIM[[#This Row],[Station/Feeder]],TIM[[#This Row],[Equipment ID]],TIM[[#This Row],[Voltage]],TIM[[#This Row],[Device type]])</f>
        <v>SubTransmissionGRM_NST_SUBTRANS3/1c 400mm² Al XLPE11-</v>
      </c>
      <c r="C212" s="6" t="s">
        <v>1245</v>
      </c>
      <c r="D212" s="11" t="s">
        <v>994</v>
      </c>
      <c r="E212" s="6" t="s">
        <v>1411</v>
      </c>
      <c r="F212" s="6" t="s">
        <v>750</v>
      </c>
      <c r="G212" s="27">
        <v>2</v>
      </c>
      <c r="H212" s="6" t="s">
        <v>888</v>
      </c>
      <c r="I212" s="7" t="s">
        <v>938</v>
      </c>
      <c r="J212" s="7" t="s">
        <v>250</v>
      </c>
      <c r="K212" s="49" t="s">
        <v>0</v>
      </c>
      <c r="L212" s="49" t="s">
        <v>0</v>
      </c>
      <c r="M212" s="8">
        <v>11</v>
      </c>
      <c r="N212" s="9">
        <v>537</v>
      </c>
      <c r="O212" s="9">
        <f t="shared" si="0"/>
        <v>10.231224120309358</v>
      </c>
      <c r="P212" s="9">
        <v>537</v>
      </c>
      <c r="Q212" s="9">
        <f t="shared" si="1"/>
        <v>10.231224120309358</v>
      </c>
      <c r="R212" s="9">
        <v>537</v>
      </c>
      <c r="S212" s="9">
        <f t="shared" si="2"/>
        <v>10.231224120309358</v>
      </c>
      <c r="T212" s="9" t="s">
        <v>0</v>
      </c>
      <c r="U212" s="9" t="str">
        <f t="shared" si="3"/>
        <v>-</v>
      </c>
      <c r="V212" s="9" t="s">
        <v>0</v>
      </c>
      <c r="W212" s="9" t="str">
        <f t="shared" si="4"/>
        <v>-</v>
      </c>
      <c r="X212" s="9" t="s">
        <v>0</v>
      </c>
      <c r="Y212" s="9" t="str">
        <f t="shared" si="5"/>
        <v>-</v>
      </c>
      <c r="Z212" s="9" t="s">
        <v>0</v>
      </c>
      <c r="AA212" s="9" t="str">
        <f t="shared" si="6"/>
        <v>-</v>
      </c>
      <c r="AB212" s="9" t="s">
        <v>0</v>
      </c>
      <c r="AC212" s="9" t="str">
        <f t="shared" si="7"/>
        <v>-</v>
      </c>
      <c r="AD212" s="9" t="s">
        <v>0</v>
      </c>
      <c r="AE212" s="12" t="str">
        <f t="shared" si="8"/>
        <v>-</v>
      </c>
      <c r="AF212" s="159" t="s">
        <v>713</v>
      </c>
      <c r="AG212" s="9" t="s">
        <v>0</v>
      </c>
      <c r="AH212" s="9">
        <v>24.2</v>
      </c>
      <c r="AI212" s="9">
        <v>0.85</v>
      </c>
      <c r="AJ212" s="32">
        <v>1.03</v>
      </c>
      <c r="AK212" s="9">
        <v>18.5</v>
      </c>
      <c r="AL212" s="32">
        <v>0.95</v>
      </c>
      <c r="AM212" s="9">
        <v>1.2</v>
      </c>
      <c r="AN212" s="32">
        <v>1</v>
      </c>
      <c r="AO212" s="9">
        <v>3</v>
      </c>
      <c r="AP212" s="9">
        <v>0.34</v>
      </c>
      <c r="AQ212" s="32">
        <v>0.8</v>
      </c>
      <c r="AR212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420.36359999999996</v>
      </c>
      <c r="AS212" s="9">
        <f t="shared" si="9"/>
        <v>8.0090022413781643</v>
      </c>
      <c r="AT212" s="9">
        <f>IF(RIGHT(TIM[[#This Row],[Device type]],7)="Winding","-",TIM[[#This Row],[Cont Winter MVA]])</f>
        <v>10.231224120309358</v>
      </c>
      <c r="AU212" s="9">
        <f>IF(RIGHT(TIM[[#This Row],[Device type]],7)="Winding","-",TIM[[#This Row],[Cont Shoulder MVA]])</f>
        <v>10.231224120309358</v>
      </c>
      <c r="AV212" s="9">
        <f>IF(RIGHT(TIM[[#This Row],[Device type]],7)="Winding","-",TIM[[#This Row],[Cont Summer MVA]])</f>
        <v>10.231224120309358</v>
      </c>
      <c r="AW212" s="9" t="str">
        <f>TIM[[#This Row],[24 Hr Winter MVA]]</f>
        <v>-</v>
      </c>
      <c r="AX212" s="9" t="str">
        <f>TIM[[#This Row],[24 Hr Summer MVA]]</f>
        <v>-</v>
      </c>
      <c r="AY212" s="9" t="str">
        <f>TIM[[#This Row],[Forwards MVA]]</f>
        <v>-</v>
      </c>
      <c r="AZ212" s="9" t="str">
        <f>TIM[[#This Row],[Relay MVA]]</f>
        <v>-</v>
      </c>
      <c r="BA212" s="9" t="str">
        <f>TIM[[#This Row],[CT MVA]]</f>
        <v>-</v>
      </c>
      <c r="BB212" s="9">
        <f>TIM[[#This Row],[Derating MVA]]</f>
        <v>8.0090022413781643</v>
      </c>
      <c r="BC212" s="9" t="str">
        <f>TIM[[#This Row],[Station/Feeder]]&amp;TIM[[#This Row],[Lowest MVA]]</f>
        <v>GRM_NST_SUBTRANS8.00900224137816</v>
      </c>
      <c r="BD212" s="9" t="str">
        <f>CONCATENATE(TIM[[#This Row],[Supply Level]],TIM[[#This Row],[Station/Feeder]],TIM[[#This Row],[Voltage]],TIM[[#This Row],[Lowest A-No PTX]])</f>
        <v>SubTransmissionGRM_NST_SUBTRANS11420.3636</v>
      </c>
      <c r="BE212" s="9" t="str">
        <f>CONCATENATE(TIM[[#This Row],[Supply Level]],TIM[[#This Row],[Station/Feeder]],TIM[[#This Row],[Voltage]],TIM[[#This Row],[Lowest A-PTX]])</f>
        <v>SubTransmissionGRM_NST_SUBTRANS11420.3636</v>
      </c>
      <c r="BF212" s="9">
        <f>IFERROR(IF(MIN(TIM[[#This Row],[Summ Cont Winter A]:[Cable Derating]])=0,"",MIN(TIM[[#This Row],[Summ Cont Winter A]:[Cable Derating]])),"")</f>
        <v>8.0090022413781643</v>
      </c>
      <c r="BG212" s="9">
        <f>IFERROR(TIM[[#This Row],[Lowest MVA]]*1000/(TIM[[#This Row],[Voltage]]*SQRT(3)),"")</f>
        <v>420.36359999999996</v>
      </c>
      <c r="BH212" s="9">
        <f t="shared" si="271"/>
        <v>420.36359999999996</v>
      </c>
      <c r="BI212" s="9" t="str">
        <f>TIM[[#This Row],[From]]</f>
        <v xml:space="preserve">TEGRASMERE 18 </v>
      </c>
      <c r="BJ212" s="9" t="str">
        <f>TIM[[#This Row],[To]]</f>
        <v>Joint</v>
      </c>
      <c r="BK21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</v>
      </c>
      <c r="BL212" s="9">
        <f>TIM[[#This Row],[Voltage]]</f>
        <v>11</v>
      </c>
    </row>
    <row r="213" spans="1:64" ht="15" hidden="1" customHeight="1" x14ac:dyDescent="0.25">
      <c r="A213" s="6" t="str">
        <f>CONCATENATE(TIM[[#This Row],[Supply Level]],TIM[[#This Row],[Station/Feeder]],TIM[[#This Row],[Voltage]])</f>
        <v>SubTransmissionGRM_NST_SUBTRANS11</v>
      </c>
      <c r="B213" s="6" t="str">
        <f>CONCATENATE(TIM[[#This Row],[Supply Level]],TIM[[#This Row],[Station/Feeder]],TIM[[#This Row],[Equipment ID]],TIM[[#This Row],[Voltage]],TIM[[#This Row],[Device type]])</f>
        <v>SubTransmissionGRM_NST_SUBTRANS3c 0.3in² Cu PILC SWAS11-</v>
      </c>
      <c r="C213" s="6" t="s">
        <v>1245</v>
      </c>
      <c r="D213" s="11" t="s">
        <v>994</v>
      </c>
      <c r="E213" s="6" t="s">
        <v>750</v>
      </c>
      <c r="F213" s="6" t="s">
        <v>750</v>
      </c>
      <c r="G213" s="27">
        <v>3</v>
      </c>
      <c r="H213" s="6" t="s">
        <v>888</v>
      </c>
      <c r="I213" s="7" t="s">
        <v>939</v>
      </c>
      <c r="J213" s="7" t="s">
        <v>250</v>
      </c>
      <c r="K213" s="49" t="s">
        <v>0</v>
      </c>
      <c r="L213" s="49" t="s">
        <v>0</v>
      </c>
      <c r="M213" s="8">
        <v>11</v>
      </c>
      <c r="N213" s="9">
        <v>380</v>
      </c>
      <c r="O213" s="9">
        <f t="shared" si="0"/>
        <v>7.2399723756379064</v>
      </c>
      <c r="P213" s="9">
        <v>380</v>
      </c>
      <c r="Q213" s="9">
        <f t="shared" si="1"/>
        <v>7.2399723756379064</v>
      </c>
      <c r="R213" s="9">
        <v>380</v>
      </c>
      <c r="S213" s="9">
        <f t="shared" si="2"/>
        <v>7.2399723756379064</v>
      </c>
      <c r="T213" s="9" t="s">
        <v>0</v>
      </c>
      <c r="U213" s="9" t="str">
        <f t="shared" si="3"/>
        <v>-</v>
      </c>
      <c r="V213" s="9" t="s">
        <v>0</v>
      </c>
      <c r="W213" s="9" t="str">
        <f t="shared" si="4"/>
        <v>-</v>
      </c>
      <c r="X213" s="9" t="s">
        <v>0</v>
      </c>
      <c r="Y213" s="9" t="str">
        <f t="shared" si="5"/>
        <v>-</v>
      </c>
      <c r="Z213" s="9" t="s">
        <v>0</v>
      </c>
      <c r="AA213" s="9" t="str">
        <f t="shared" si="6"/>
        <v>-</v>
      </c>
      <c r="AB213" s="9" t="s">
        <v>0</v>
      </c>
      <c r="AC213" s="9" t="str">
        <f t="shared" si="7"/>
        <v>-</v>
      </c>
      <c r="AD213" s="9" t="s">
        <v>0</v>
      </c>
      <c r="AE213" s="12" t="str">
        <f t="shared" si="8"/>
        <v>-</v>
      </c>
      <c r="AF213" s="9" t="s">
        <v>716</v>
      </c>
      <c r="AG213" s="9" t="s">
        <v>0</v>
      </c>
      <c r="AH213" s="9">
        <v>3004.3</v>
      </c>
      <c r="AI213" s="9">
        <v>0.85</v>
      </c>
      <c r="AJ213" s="32">
        <v>1.03</v>
      </c>
      <c r="AK213" s="9">
        <v>18.5</v>
      </c>
      <c r="AL213" s="32">
        <v>0.95</v>
      </c>
      <c r="AM213" s="9">
        <v>1.2</v>
      </c>
      <c r="AN213" s="32">
        <v>1</v>
      </c>
      <c r="AO213" s="9">
        <v>3</v>
      </c>
      <c r="AP213" s="9">
        <v>0.34</v>
      </c>
      <c r="AQ213" s="32">
        <v>0.8</v>
      </c>
      <c r="AR213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297.464</v>
      </c>
      <c r="AS213" s="9">
        <f t="shared" si="9"/>
        <v>5.6674503756493531</v>
      </c>
      <c r="AT213" s="9">
        <f>IF(RIGHT(TIM[[#This Row],[Device type]],7)="Winding","-",TIM[[#This Row],[Cont Winter MVA]])</f>
        <v>7.2399723756379064</v>
      </c>
      <c r="AU213" s="9">
        <f>IF(RIGHT(TIM[[#This Row],[Device type]],7)="Winding","-",TIM[[#This Row],[Cont Shoulder MVA]])</f>
        <v>7.2399723756379064</v>
      </c>
      <c r="AV213" s="9">
        <f>IF(RIGHT(TIM[[#This Row],[Device type]],7)="Winding","-",TIM[[#This Row],[Cont Summer MVA]])</f>
        <v>7.2399723756379064</v>
      </c>
      <c r="AW213" s="9" t="str">
        <f>TIM[[#This Row],[24 Hr Winter MVA]]</f>
        <v>-</v>
      </c>
      <c r="AX213" s="9" t="str">
        <f>TIM[[#This Row],[24 Hr Summer MVA]]</f>
        <v>-</v>
      </c>
      <c r="AY213" s="9" t="str">
        <f>TIM[[#This Row],[Forwards MVA]]</f>
        <v>-</v>
      </c>
      <c r="AZ213" s="9" t="str">
        <f>TIM[[#This Row],[Relay MVA]]</f>
        <v>-</v>
      </c>
      <c r="BA213" s="9" t="str">
        <f>TIM[[#This Row],[CT MVA]]</f>
        <v>-</v>
      </c>
      <c r="BB213" s="9">
        <f>TIM[[#This Row],[Derating MVA]]</f>
        <v>5.6674503756493531</v>
      </c>
      <c r="BC213" s="9" t="str">
        <f>TIM[[#This Row],[Station/Feeder]]&amp;TIM[[#This Row],[Lowest MVA]]</f>
        <v>GRM_NST_SUBTRANS5.66745037564935</v>
      </c>
      <c r="BD213" s="9" t="str">
        <f>CONCATENATE(TIM[[#This Row],[Supply Level]],TIM[[#This Row],[Station/Feeder]],TIM[[#This Row],[Voltage]],TIM[[#This Row],[Lowest A-No PTX]])</f>
        <v>SubTransmissionGRM_NST_SUBTRANS11297.464</v>
      </c>
      <c r="BE213" s="9" t="str">
        <f>CONCATENATE(TIM[[#This Row],[Supply Level]],TIM[[#This Row],[Station/Feeder]],TIM[[#This Row],[Voltage]],TIM[[#This Row],[Lowest A-PTX]])</f>
        <v>SubTransmissionGRM_NST_SUBTRANS11297.464</v>
      </c>
      <c r="BF213" s="9">
        <f>IFERROR(IF(MIN(TIM[[#This Row],[Summ Cont Winter A]:[Cable Derating]])=0,"",MIN(TIM[[#This Row],[Summ Cont Winter A]:[Cable Derating]])),"")</f>
        <v>5.6674503756493531</v>
      </c>
      <c r="BG213" s="9">
        <f>IFERROR(TIM[[#This Row],[Lowest MVA]]*1000/(TIM[[#This Row],[Voltage]]*SQRT(3)),"")</f>
        <v>297.464</v>
      </c>
      <c r="BH213" s="9">
        <f t="shared" si="271"/>
        <v>297.464</v>
      </c>
      <c r="BI213" s="9" t="str">
        <f>TIM[[#This Row],[From]]</f>
        <v>Joint</v>
      </c>
      <c r="BJ213" s="9" t="str">
        <f>TIM[[#This Row],[To]]</f>
        <v>Joint</v>
      </c>
      <c r="BK21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0.3in² Cu PILC SWAS</v>
      </c>
      <c r="BL213" s="9">
        <f>TIM[[#This Row],[Voltage]]</f>
        <v>11</v>
      </c>
    </row>
    <row r="214" spans="1:64" ht="15" hidden="1" customHeight="1" x14ac:dyDescent="0.25">
      <c r="A214" s="6" t="str">
        <f>CONCATENATE(TIM[[#This Row],[Supply Level]],TIM[[#This Row],[Station/Feeder]],TIM[[#This Row],[Voltage]])</f>
        <v>SubTransmissionGRM_NST_SUBTRANS11</v>
      </c>
      <c r="B214" s="6" t="str">
        <f>CONCATENATE(TIM[[#This Row],[Supply Level]],TIM[[#This Row],[Station/Feeder]],TIM[[#This Row],[Equipment ID]],TIM[[#This Row],[Voltage]],TIM[[#This Row],[Device type]])</f>
        <v>SubTransmissionGRM_NST_SUBTRANS3/1c 400mm² AL XLPE HDPE Screened11-</v>
      </c>
      <c r="C214" s="6" t="s">
        <v>1245</v>
      </c>
      <c r="D214" s="11" t="s">
        <v>994</v>
      </c>
      <c r="E214" s="6" t="s">
        <v>750</v>
      </c>
      <c r="F214" s="6" t="s">
        <v>940</v>
      </c>
      <c r="G214" s="27">
        <v>4</v>
      </c>
      <c r="H214" s="7" t="s">
        <v>888</v>
      </c>
      <c r="I214" s="7" t="s">
        <v>819</v>
      </c>
      <c r="J214" s="7" t="s">
        <v>250</v>
      </c>
      <c r="K214" s="49" t="s">
        <v>0</v>
      </c>
      <c r="L214" s="49" t="s">
        <v>0</v>
      </c>
      <c r="M214" s="8">
        <v>11</v>
      </c>
      <c r="N214" s="9">
        <v>537</v>
      </c>
      <c r="O214" s="9">
        <f t="shared" si="0"/>
        <v>10.231224120309358</v>
      </c>
      <c r="P214" s="9">
        <v>537</v>
      </c>
      <c r="Q214" s="9">
        <f t="shared" si="1"/>
        <v>10.231224120309358</v>
      </c>
      <c r="R214" s="9">
        <v>537</v>
      </c>
      <c r="S214" s="9">
        <f t="shared" si="2"/>
        <v>10.231224120309358</v>
      </c>
      <c r="T214" s="9" t="s">
        <v>0</v>
      </c>
      <c r="U214" s="9" t="str">
        <f t="shared" si="3"/>
        <v>-</v>
      </c>
      <c r="V214" s="9" t="s">
        <v>0</v>
      </c>
      <c r="W214" s="9" t="str">
        <f t="shared" si="4"/>
        <v>-</v>
      </c>
      <c r="X214" s="9" t="s">
        <v>0</v>
      </c>
      <c r="Y214" s="9" t="str">
        <f t="shared" si="5"/>
        <v>-</v>
      </c>
      <c r="Z214" s="9" t="s">
        <v>0</v>
      </c>
      <c r="AA214" s="9" t="str">
        <f t="shared" si="6"/>
        <v>-</v>
      </c>
      <c r="AB214" s="9" t="s">
        <v>0</v>
      </c>
      <c r="AC214" s="9" t="str">
        <f t="shared" si="7"/>
        <v>-</v>
      </c>
      <c r="AD214" s="9" t="s">
        <v>0</v>
      </c>
      <c r="AE214" s="12" t="str">
        <f t="shared" si="8"/>
        <v>-</v>
      </c>
      <c r="AF214" s="159" t="s">
        <v>713</v>
      </c>
      <c r="AG214" s="9" t="s">
        <v>0</v>
      </c>
      <c r="AH214" s="9">
        <v>72.400000000000006</v>
      </c>
      <c r="AI214" s="9">
        <v>0.85</v>
      </c>
      <c r="AJ214" s="32">
        <v>1.03</v>
      </c>
      <c r="AK214" s="9">
        <v>18.5</v>
      </c>
      <c r="AL214" s="32">
        <v>0.95</v>
      </c>
      <c r="AM214" s="9">
        <v>1.2</v>
      </c>
      <c r="AN214" s="32">
        <v>1</v>
      </c>
      <c r="AO214" s="9">
        <v>3</v>
      </c>
      <c r="AP214" s="9">
        <v>0.34</v>
      </c>
      <c r="AQ214" s="32">
        <v>0.8</v>
      </c>
      <c r="AR214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420.36359999999996</v>
      </c>
      <c r="AS214" s="9">
        <f t="shared" si="9"/>
        <v>8.0090022413781643</v>
      </c>
      <c r="AT214" s="9">
        <f>IF(RIGHT(TIM[[#This Row],[Device type]],7)="Winding","-",TIM[[#This Row],[Cont Winter MVA]])</f>
        <v>10.231224120309358</v>
      </c>
      <c r="AU214" s="9">
        <f>IF(RIGHT(TIM[[#This Row],[Device type]],7)="Winding","-",TIM[[#This Row],[Cont Shoulder MVA]])</f>
        <v>10.231224120309358</v>
      </c>
      <c r="AV214" s="9">
        <f>IF(RIGHT(TIM[[#This Row],[Device type]],7)="Winding","-",TIM[[#This Row],[Cont Summer MVA]])</f>
        <v>10.231224120309358</v>
      </c>
      <c r="AW214" s="9" t="str">
        <f>TIM[[#This Row],[24 Hr Winter MVA]]</f>
        <v>-</v>
      </c>
      <c r="AX214" s="9" t="str">
        <f>TIM[[#This Row],[24 Hr Summer MVA]]</f>
        <v>-</v>
      </c>
      <c r="AY214" s="9" t="str">
        <f>TIM[[#This Row],[Forwards MVA]]</f>
        <v>-</v>
      </c>
      <c r="AZ214" s="9" t="str">
        <f>TIM[[#This Row],[Relay MVA]]</f>
        <v>-</v>
      </c>
      <c r="BA214" s="9" t="str">
        <f>TIM[[#This Row],[CT MVA]]</f>
        <v>-</v>
      </c>
      <c r="BB214" s="9">
        <f>TIM[[#This Row],[Derating MVA]]</f>
        <v>8.0090022413781643</v>
      </c>
      <c r="BC214" s="9" t="str">
        <f>TIM[[#This Row],[Station/Feeder]]&amp;TIM[[#This Row],[Lowest MVA]]</f>
        <v>GRM_NST_SUBTRANS8.00900224137816</v>
      </c>
      <c r="BD214" s="9" t="str">
        <f>CONCATENATE(TIM[[#This Row],[Supply Level]],TIM[[#This Row],[Station/Feeder]],TIM[[#This Row],[Voltage]],TIM[[#This Row],[Lowest A-No PTX]])</f>
        <v>SubTransmissionGRM_NST_SUBTRANS11420.3636</v>
      </c>
      <c r="BE214" s="9" t="str">
        <f>CONCATENATE(TIM[[#This Row],[Supply Level]],TIM[[#This Row],[Station/Feeder]],TIM[[#This Row],[Voltage]],TIM[[#This Row],[Lowest A-PTX]])</f>
        <v>SubTransmissionGRM_NST_SUBTRANS11420.3636</v>
      </c>
      <c r="BF214" s="9">
        <f>IFERROR(IF(MIN(TIM[[#This Row],[Summ Cont Winter A]:[Cable Derating]])=0,"",MIN(TIM[[#This Row],[Summ Cont Winter A]:[Cable Derating]])),"")</f>
        <v>8.0090022413781643</v>
      </c>
      <c r="BG214" s="9">
        <f>IFERROR(TIM[[#This Row],[Lowest MVA]]*1000/(TIM[[#This Row],[Voltage]]*SQRT(3)),"")</f>
        <v>420.36359999999996</v>
      </c>
      <c r="BH214" s="9">
        <f t="shared" si="271"/>
        <v>420.36359999999996</v>
      </c>
      <c r="BI214" s="9" t="str">
        <f>TIM[[#This Row],[From]]</f>
        <v>Joint</v>
      </c>
      <c r="BJ214" s="9" t="str">
        <f>TIM[[#This Row],[To]]</f>
        <v>NST15</v>
      </c>
      <c r="BK21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214" s="9">
        <f>TIM[[#This Row],[Voltage]]</f>
        <v>11</v>
      </c>
    </row>
    <row r="215" spans="1:64" ht="15" customHeight="1" x14ac:dyDescent="0.25">
      <c r="A215" s="6" t="str">
        <f>CONCATENATE(TIM[[#This Row],[Supply Level]],TIM[[#This Row],[Station/Feeder]],TIM[[#This Row],[Voltage]])</f>
        <v>DistributionFeederCB20_Hobbs St11</v>
      </c>
      <c r="B215" s="6" t="str">
        <f>CONCATENATE(TIM[[#This Row],[Supply Level]],TIM[[#This Row],[Station/Feeder]],TIM[[#This Row],[Equipment ID]],TIM[[#This Row],[Voltage]],TIM[[#This Row],[Device type]])</f>
        <v>DistributionFeederCB20_Hobbs StGRM-CB2011Protection</v>
      </c>
      <c r="C215" s="6" t="s">
        <v>1276</v>
      </c>
      <c r="D215" s="11" t="s">
        <v>199</v>
      </c>
      <c r="E215" s="6" t="s">
        <v>243</v>
      </c>
      <c r="F215" s="6" t="s">
        <v>941</v>
      </c>
      <c r="G215" s="27">
        <v>1</v>
      </c>
      <c r="H215" s="7" t="s">
        <v>887</v>
      </c>
      <c r="I215" s="7" t="s">
        <v>2336</v>
      </c>
      <c r="J215" s="7" t="s">
        <v>15</v>
      </c>
      <c r="K215" s="49" t="s">
        <v>791</v>
      </c>
      <c r="L215" s="49" t="s">
        <v>1423</v>
      </c>
      <c r="M215" s="8">
        <v>11</v>
      </c>
      <c r="N215" s="9">
        <v>1250</v>
      </c>
      <c r="O215" s="9">
        <f t="shared" si="0"/>
        <v>23.815698604072061</v>
      </c>
      <c r="P215" s="9">
        <v>1250</v>
      </c>
      <c r="Q215" s="9">
        <f t="shared" si="1"/>
        <v>23.815698604072061</v>
      </c>
      <c r="R215" s="9">
        <v>1250</v>
      </c>
      <c r="S215" s="9">
        <f t="shared" si="2"/>
        <v>23.815698604072061</v>
      </c>
      <c r="T215" s="9" t="s">
        <v>0</v>
      </c>
      <c r="U215" s="9" t="str">
        <f t="shared" si="3"/>
        <v>-</v>
      </c>
      <c r="V215" s="9" t="s">
        <v>0</v>
      </c>
      <c r="W215" s="9" t="str">
        <f t="shared" si="4"/>
        <v>-</v>
      </c>
      <c r="X215" s="9">
        <f>VLOOKUP(TIM[[#This Row],[Equipment ID]],AEL_Protection_Data[#All],12,0)</f>
        <v>304</v>
      </c>
      <c r="Y215" s="9">
        <f t="shared" si="5"/>
        <v>5.7919779005103251</v>
      </c>
      <c r="Z215" s="9" t="s">
        <v>0</v>
      </c>
      <c r="AA215" s="9" t="str">
        <f t="shared" si="6"/>
        <v>-</v>
      </c>
      <c r="AB215" s="9">
        <v>800</v>
      </c>
      <c r="AC215" s="9">
        <f t="shared" si="7"/>
        <v>15.242047106606121</v>
      </c>
      <c r="AD215" s="9">
        <v>800</v>
      </c>
      <c r="AE215" s="12">
        <f t="shared" si="8"/>
        <v>15.242047106606121</v>
      </c>
      <c r="AF215" s="9" t="s">
        <v>0</v>
      </c>
      <c r="AG215" s="9" t="s">
        <v>0</v>
      </c>
      <c r="AH215" s="9">
        <v>113.30000000000001</v>
      </c>
      <c r="AI215" s="9" t="s">
        <v>0</v>
      </c>
      <c r="AJ215" s="32" t="s">
        <v>0</v>
      </c>
      <c r="AK215" s="9" t="s">
        <v>0</v>
      </c>
      <c r="AL215" s="32" t="s">
        <v>0</v>
      </c>
      <c r="AM215" s="9" t="s">
        <v>0</v>
      </c>
      <c r="AN215" s="32" t="s">
        <v>0</v>
      </c>
      <c r="AO215" s="9" t="s">
        <v>0</v>
      </c>
      <c r="AP215" s="9" t="s">
        <v>0</v>
      </c>
      <c r="AQ215" s="32" t="s">
        <v>0</v>
      </c>
      <c r="AR215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15" s="9" t="str">
        <f t="shared" si="9"/>
        <v>-</v>
      </c>
      <c r="AT215" s="9">
        <f>IF(RIGHT(TIM[[#This Row],[Device type]],7)="Winding","-",TIM[[#This Row],[Cont Winter MVA]])</f>
        <v>23.815698604072061</v>
      </c>
      <c r="AU215" s="9">
        <f>IF(RIGHT(TIM[[#This Row],[Device type]],7)="Winding","-",TIM[[#This Row],[Cont Shoulder MVA]])</f>
        <v>23.815698604072061</v>
      </c>
      <c r="AV215" s="9">
        <f>IF(RIGHT(TIM[[#This Row],[Device type]],7)="Winding","-",TIM[[#This Row],[Cont Summer MVA]])</f>
        <v>23.815698604072061</v>
      </c>
      <c r="AW215" s="9" t="str">
        <f>TIM[[#This Row],[24 Hr Winter MVA]]</f>
        <v>-</v>
      </c>
      <c r="AX215" s="9" t="str">
        <f>TIM[[#This Row],[24 Hr Summer MVA]]</f>
        <v>-</v>
      </c>
      <c r="AY215" s="9">
        <f>TIM[[#This Row],[Forwards MVA]]</f>
        <v>5.7919779005103251</v>
      </c>
      <c r="AZ215" s="9">
        <f>TIM[[#This Row],[Relay MVA]]</f>
        <v>15.242047106606121</v>
      </c>
      <c r="BA215" s="9">
        <f>TIM[[#This Row],[CT MVA]]</f>
        <v>15.242047106606121</v>
      </c>
      <c r="BB215" s="9" t="str">
        <f>TIM[[#This Row],[Derating MVA]]</f>
        <v>-</v>
      </c>
      <c r="BC215" s="9" t="str">
        <f>TIM[[#This Row],[Station/Feeder]]&amp;TIM[[#This Row],[Lowest MVA]]</f>
        <v>CB20_Hobbs St5.79197790051033</v>
      </c>
      <c r="BD215" s="9" t="str">
        <f>CONCATENATE(TIM[[#This Row],[Supply Level]],TIM[[#This Row],[Station/Feeder]],TIM[[#This Row],[Voltage]],TIM[[#This Row],[Lowest A-No PTX]])</f>
        <v>DistributionFeederCB20_Hobbs St11304</v>
      </c>
      <c r="BE215" s="9" t="str">
        <f>CONCATENATE(TIM[[#This Row],[Supply Level]],TIM[[#This Row],[Station/Feeder]],TIM[[#This Row],[Voltage]],TIM[[#This Row],[Lowest A-PTX]])</f>
        <v>DistributionFeederCB20_Hobbs St11304</v>
      </c>
      <c r="BF215" s="9">
        <f>IFERROR(IF(MIN(TIM[[#This Row],[Summ Cont Winter A]:[Cable Derating]])=0,"",MIN(TIM[[#This Row],[Summ Cont Winter A]:[Cable Derating]])),"")</f>
        <v>5.7919779005103251</v>
      </c>
      <c r="BG215" s="9">
        <f>IFERROR(TIM[[#This Row],[Lowest MVA]]*1000/(TIM[[#This Row],[Voltage]]*SQRT(3)),"")</f>
        <v>304</v>
      </c>
      <c r="BH215" s="9">
        <f t="shared" si="271"/>
        <v>304</v>
      </c>
      <c r="BI215" s="9" t="str">
        <f>TIM[[#This Row],[From]]</f>
        <v>11 kV Bus</v>
      </c>
      <c r="BJ215" s="9" t="str">
        <f>TIM[[#This Row],[To]]</f>
        <v xml:space="preserve">TEGRASMERE20 </v>
      </c>
      <c r="BK21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Breaker-GRM-CB20-Protection</v>
      </c>
      <c r="BL215" s="9">
        <f>TIM[[#This Row],[Voltage]]</f>
        <v>11</v>
      </c>
    </row>
    <row r="216" spans="1:64" ht="15.75" customHeight="1" thickBot="1" x14ac:dyDescent="0.3">
      <c r="A216" s="14" t="str">
        <f>CONCATENATE(TIM[[#This Row],[Supply Level]],TIM[[#This Row],[Station/Feeder]],TIM[[#This Row],[Voltage]])</f>
        <v>DistributionFeederCB20_Hobbs St11</v>
      </c>
      <c r="B216" s="14" t="str">
        <f>CONCATENATE(TIM[[#This Row],[Supply Level]],TIM[[#This Row],[Station/Feeder]],TIM[[#This Row],[Equipment ID]],TIM[[#This Row],[Voltage]],TIM[[#This Row],[Device type]])</f>
        <v>DistributionFeederCB20_Hobbs St3c 0.4in² Al PILC DSTA11-</v>
      </c>
      <c r="C216" s="14" t="s">
        <v>1276</v>
      </c>
      <c r="D216" s="13" t="s">
        <v>199</v>
      </c>
      <c r="E216" s="14" t="s">
        <v>941</v>
      </c>
      <c r="F216" s="14" t="s">
        <v>942</v>
      </c>
      <c r="G216" s="28">
        <v>2</v>
      </c>
      <c r="H216" s="39" t="s">
        <v>888</v>
      </c>
      <c r="I216" s="39" t="s">
        <v>943</v>
      </c>
      <c r="J216" s="39" t="s">
        <v>250</v>
      </c>
      <c r="K216" s="156" t="s">
        <v>0</v>
      </c>
      <c r="L216" s="156" t="s">
        <v>0</v>
      </c>
      <c r="M216" s="15">
        <v>11</v>
      </c>
      <c r="N216" s="16">
        <v>345</v>
      </c>
      <c r="O216" s="16">
        <f t="shared" si="0"/>
        <v>6.5731328147238894</v>
      </c>
      <c r="P216" s="16">
        <v>345</v>
      </c>
      <c r="Q216" s="16">
        <f t="shared" si="1"/>
        <v>6.5731328147238894</v>
      </c>
      <c r="R216" s="16">
        <v>345</v>
      </c>
      <c r="S216" s="16">
        <f t="shared" si="2"/>
        <v>6.5731328147238894</v>
      </c>
      <c r="T216" s="16" t="s">
        <v>0</v>
      </c>
      <c r="U216" s="16" t="str">
        <f t="shared" si="3"/>
        <v>-</v>
      </c>
      <c r="V216" s="16" t="s">
        <v>0</v>
      </c>
      <c r="W216" s="16" t="str">
        <f t="shared" si="4"/>
        <v>-</v>
      </c>
      <c r="X216" s="16" t="s">
        <v>0</v>
      </c>
      <c r="Y216" s="16" t="str">
        <f t="shared" si="5"/>
        <v>-</v>
      </c>
      <c r="Z216" s="16" t="s">
        <v>0</v>
      </c>
      <c r="AA216" s="16" t="str">
        <f t="shared" si="6"/>
        <v>-</v>
      </c>
      <c r="AB216" s="16" t="s">
        <v>0</v>
      </c>
      <c r="AC216" s="16" t="str">
        <f t="shared" si="7"/>
        <v>-</v>
      </c>
      <c r="AD216" s="16" t="s">
        <v>0</v>
      </c>
      <c r="AE216" s="17" t="str">
        <f t="shared" si="8"/>
        <v>-</v>
      </c>
      <c r="AF216" s="16" t="s">
        <v>716</v>
      </c>
      <c r="AG216" s="16" t="s">
        <v>0</v>
      </c>
      <c r="AH216" s="16" t="s">
        <v>0</v>
      </c>
      <c r="AI216" s="16">
        <v>1</v>
      </c>
      <c r="AJ216" s="127">
        <v>0.98</v>
      </c>
      <c r="AK216" s="16">
        <v>18.5</v>
      </c>
      <c r="AL216" s="127">
        <v>0.95199999999999996</v>
      </c>
      <c r="AM216" s="16">
        <v>1.2</v>
      </c>
      <c r="AN216" s="127">
        <v>1</v>
      </c>
      <c r="AO216" s="16">
        <v>4</v>
      </c>
      <c r="AP216" s="16">
        <v>0.3</v>
      </c>
      <c r="AQ216" s="127">
        <v>0.63</v>
      </c>
      <c r="AR216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202.77885599999999</v>
      </c>
      <c r="AS216" s="16">
        <f t="shared" si="9"/>
        <v>3.8634560942196234</v>
      </c>
      <c r="AT216" s="155">
        <f>IF(RIGHT(TIM[[#This Row],[Device type]],7)="Winding","-",TIM[[#This Row],[Cont Winter MVA]])</f>
        <v>6.5731328147238894</v>
      </c>
      <c r="AU216" s="155">
        <f>IF(RIGHT(TIM[[#This Row],[Device type]],7)="Winding","-",TIM[[#This Row],[Cont Shoulder MVA]])</f>
        <v>6.5731328147238894</v>
      </c>
      <c r="AV216" s="155">
        <f>IF(RIGHT(TIM[[#This Row],[Device type]],7)="Winding","-",TIM[[#This Row],[Cont Summer MVA]])</f>
        <v>6.5731328147238894</v>
      </c>
      <c r="AW216" s="155" t="str">
        <f>TIM[[#This Row],[24 Hr Winter MVA]]</f>
        <v>-</v>
      </c>
      <c r="AX216" s="155" t="str">
        <f>TIM[[#This Row],[24 Hr Summer MVA]]</f>
        <v>-</v>
      </c>
      <c r="AY216" s="155" t="str">
        <f>TIM[[#This Row],[Forwards MVA]]</f>
        <v>-</v>
      </c>
      <c r="AZ216" s="155" t="str">
        <f>TIM[[#This Row],[Relay MVA]]</f>
        <v>-</v>
      </c>
      <c r="BA216" s="155" t="str">
        <f>TIM[[#This Row],[CT MVA]]</f>
        <v>-</v>
      </c>
      <c r="BB216" s="155">
        <f>TIM[[#This Row],[Derating MVA]]</f>
        <v>3.8634560942196234</v>
      </c>
      <c r="BC216" s="155" t="str">
        <f>TIM[[#This Row],[Station/Feeder]]&amp;TIM[[#This Row],[Lowest MVA]]</f>
        <v>CB20_Hobbs St3.86345609421962</v>
      </c>
      <c r="BD216" s="155" t="str">
        <f>CONCATENATE(TIM[[#This Row],[Supply Level]],TIM[[#This Row],[Station/Feeder]],TIM[[#This Row],[Voltage]],TIM[[#This Row],[Lowest A-No PTX]])</f>
        <v>DistributionFeederCB20_Hobbs St11202.778856</v>
      </c>
      <c r="BE216" s="155" t="str">
        <f>CONCATENATE(TIM[[#This Row],[Supply Level]],TIM[[#This Row],[Station/Feeder]],TIM[[#This Row],[Voltage]],TIM[[#This Row],[Lowest A-PTX]])</f>
        <v>DistributionFeederCB20_Hobbs St11202.778856</v>
      </c>
      <c r="BF216" s="155">
        <f>IFERROR(IF(MIN(TIM[[#This Row],[Summ Cont Winter A]:[Cable Derating]])=0,"",MIN(TIM[[#This Row],[Summ Cont Winter A]:[Cable Derating]])),"")</f>
        <v>3.8634560942196234</v>
      </c>
      <c r="BG216" s="155">
        <f>IFERROR(TIM[[#This Row],[Lowest MVA]]*1000/(TIM[[#This Row],[Voltage]]*SQRT(3)),"")</f>
        <v>202.77885599999999</v>
      </c>
      <c r="BH216" s="155">
        <f t="shared" si="271"/>
        <v>202.77885599999999</v>
      </c>
      <c r="BI216" s="155" t="str">
        <f>TIM[[#This Row],[From]]</f>
        <v xml:space="preserve">TEGRASMERE20 </v>
      </c>
      <c r="BJ216" s="155" t="str">
        <f>TIM[[#This Row],[To]]</f>
        <v>TEM7 RMU</v>
      </c>
      <c r="BK216" s="155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0.4in² Al PILC DSTA</v>
      </c>
      <c r="BL216" s="155">
        <f>TIM[[#This Row],[Voltage]]</f>
        <v>11</v>
      </c>
    </row>
    <row r="217" spans="1:64" ht="15" customHeight="1" x14ac:dyDescent="0.25">
      <c r="A217" s="3" t="str">
        <f>CONCATENATE(TIM[[#This Row],[Supply Level]],TIM[[#This Row],[Station/Feeder]],TIM[[#This Row],[Voltage]])</f>
        <v>DistributionFeederCB1_Harper St11</v>
      </c>
      <c r="B217" s="3" t="str">
        <f>CONCATENATE(TIM[[#This Row],[Supply Level]],TIM[[#This Row],[Station/Feeder]],TIM[[#This Row],[Equipment ID]],TIM[[#This Row],[Voltage]],TIM[[#This Row],[Device type]])</f>
        <v>DistributionFeederCB1_Harper StHNT-CB111Protection</v>
      </c>
      <c r="C217" s="3" t="s">
        <v>1276</v>
      </c>
      <c r="D217" s="10" t="s">
        <v>207</v>
      </c>
      <c r="E217" s="173" t="s">
        <v>243</v>
      </c>
      <c r="F217" s="3" t="s">
        <v>944</v>
      </c>
      <c r="G217" s="26">
        <v>1</v>
      </c>
      <c r="H217" s="38" t="s">
        <v>945</v>
      </c>
      <c r="I217" s="38" t="s">
        <v>2255</v>
      </c>
      <c r="J217" s="38" t="s">
        <v>15</v>
      </c>
      <c r="K217" s="38" t="s">
        <v>791</v>
      </c>
      <c r="L217" s="38" t="s">
        <v>1423</v>
      </c>
      <c r="M217" s="4">
        <v>11</v>
      </c>
      <c r="N217" s="5">
        <v>630</v>
      </c>
      <c r="O217" s="5">
        <f t="shared" si="0"/>
        <v>12.00311209645232</v>
      </c>
      <c r="P217" s="5">
        <v>630</v>
      </c>
      <c r="Q217" s="5">
        <f t="shared" si="1"/>
        <v>12.00311209645232</v>
      </c>
      <c r="R217" s="5">
        <v>630</v>
      </c>
      <c r="S217" s="5">
        <f t="shared" si="2"/>
        <v>12.00311209645232</v>
      </c>
      <c r="T217" s="5" t="s">
        <v>0</v>
      </c>
      <c r="U217" s="5" t="str">
        <f t="shared" si="3"/>
        <v>-</v>
      </c>
      <c r="V217" s="5" t="s">
        <v>0</v>
      </c>
      <c r="W217" s="5" t="str">
        <f t="shared" si="4"/>
        <v>-</v>
      </c>
      <c r="X217" s="5">
        <f>VLOOKUP(TIM[[#This Row],[Equipment ID]],AEL_Protection_Data[#All],12,0)</f>
        <v>200</v>
      </c>
      <c r="Y217" s="5">
        <f t="shared" si="5"/>
        <v>3.8105117766515302</v>
      </c>
      <c r="Z217" s="5" t="s">
        <v>0</v>
      </c>
      <c r="AA217" s="5" t="str">
        <f t="shared" si="6"/>
        <v>-</v>
      </c>
      <c r="AB217" s="5">
        <v>800</v>
      </c>
      <c r="AC217" s="5">
        <f t="shared" si="7"/>
        <v>15.242047106606121</v>
      </c>
      <c r="AD217" s="5">
        <v>800</v>
      </c>
      <c r="AE217" s="158">
        <f t="shared" si="8"/>
        <v>15.242047106606121</v>
      </c>
      <c r="AF217" s="5" t="s">
        <v>0</v>
      </c>
      <c r="AG217" s="5" t="s">
        <v>0</v>
      </c>
      <c r="AH217" s="174" t="s">
        <v>0</v>
      </c>
      <c r="AI217" s="5" t="s">
        <v>0</v>
      </c>
      <c r="AJ217" s="139" t="s">
        <v>0</v>
      </c>
      <c r="AK217" s="5" t="s">
        <v>0</v>
      </c>
      <c r="AL217" s="139" t="s">
        <v>0</v>
      </c>
      <c r="AM217" s="5" t="s">
        <v>0</v>
      </c>
      <c r="AN217" s="139" t="s">
        <v>0</v>
      </c>
      <c r="AO217" s="5" t="s">
        <v>0</v>
      </c>
      <c r="AP217" s="5" t="s">
        <v>0</v>
      </c>
      <c r="AQ217" s="139" t="s">
        <v>0</v>
      </c>
      <c r="AR217" s="5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17" s="5" t="str">
        <f t="shared" si="9"/>
        <v>-</v>
      </c>
      <c r="AT217" s="29">
        <f>IF(RIGHT(TIM[[#This Row],[Device type]],7)="Winding","-",TIM[[#This Row],[Cont Winter MVA]])</f>
        <v>12.00311209645232</v>
      </c>
      <c r="AU217" s="29">
        <f>IF(RIGHT(TIM[[#This Row],[Device type]],7)="Winding","-",TIM[[#This Row],[Cont Shoulder MVA]])</f>
        <v>12.00311209645232</v>
      </c>
      <c r="AV217" s="29">
        <f>IF(RIGHT(TIM[[#This Row],[Device type]],7)="Winding","-",TIM[[#This Row],[Cont Summer MVA]])</f>
        <v>12.00311209645232</v>
      </c>
      <c r="AW217" s="29" t="str">
        <f>TIM[[#This Row],[24 Hr Winter MVA]]</f>
        <v>-</v>
      </c>
      <c r="AX217" s="29" t="str">
        <f>TIM[[#This Row],[24 Hr Summer MVA]]</f>
        <v>-</v>
      </c>
      <c r="AY217" s="29">
        <f>TIM[[#This Row],[Forwards MVA]]</f>
        <v>3.8105117766515302</v>
      </c>
      <c r="AZ217" s="29">
        <f>TIM[[#This Row],[Relay MVA]]</f>
        <v>15.242047106606121</v>
      </c>
      <c r="BA217" s="29">
        <f>TIM[[#This Row],[CT MVA]]</f>
        <v>15.242047106606121</v>
      </c>
      <c r="BB217" s="29" t="str">
        <f>TIM[[#This Row],[Derating MVA]]</f>
        <v>-</v>
      </c>
      <c r="BC217" s="29" t="str">
        <f>TIM[[#This Row],[Station/Feeder]]&amp;TIM[[#This Row],[Lowest MVA]]</f>
        <v>CB1_Harper St3.81051177665153</v>
      </c>
      <c r="BD217" s="29" t="str">
        <f>CONCATENATE(TIM[[#This Row],[Supply Level]],TIM[[#This Row],[Station/Feeder]],TIM[[#This Row],[Voltage]],TIM[[#This Row],[Lowest A-No PTX]])</f>
        <v>DistributionFeederCB1_Harper St11200</v>
      </c>
      <c r="BE217" s="29" t="str">
        <f>CONCATENATE(TIM[[#This Row],[Supply Level]],TIM[[#This Row],[Station/Feeder]],TIM[[#This Row],[Voltage]],TIM[[#This Row],[Lowest A-PTX]])</f>
        <v>DistributionFeederCB1_Harper St11200</v>
      </c>
      <c r="BF217" s="29">
        <f>IFERROR(IF(MIN(TIM[[#This Row],[Summ Cont Winter A]:[Cable Derating]])=0,"",MIN(TIM[[#This Row],[Summ Cont Winter A]:[Cable Derating]])),"")</f>
        <v>3.8105117766515302</v>
      </c>
      <c r="BG217" s="29">
        <f>IFERROR(TIM[[#This Row],[Lowest MVA]]*1000/(TIM[[#This Row],[Voltage]]*SQRT(3)),"")</f>
        <v>200</v>
      </c>
      <c r="BH217" s="29">
        <f t="shared" si="271"/>
        <v>200</v>
      </c>
      <c r="BI217" s="29" t="str">
        <f>TIM[[#This Row],[From]]</f>
        <v>11 kV Bus</v>
      </c>
      <c r="BJ217" s="29" t="str">
        <f>TIM[[#This Row],[To]]</f>
        <v>TEHUNT1</v>
      </c>
      <c r="BK217" s="2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Breaker-HNT-CB1-Protection</v>
      </c>
      <c r="BL217" s="29">
        <f>TIM[[#This Row],[Voltage]]</f>
        <v>11</v>
      </c>
    </row>
    <row r="218" spans="1:64" ht="15" customHeight="1" x14ac:dyDescent="0.25">
      <c r="A218" s="6" t="str">
        <f>CONCATENATE(TIM[[#This Row],[Supply Level]],TIM[[#This Row],[Station/Feeder]],TIM[[#This Row],[Voltage]])</f>
        <v>DistributionFeederCB1_Harper St11</v>
      </c>
      <c r="B218" s="6" t="str">
        <f>CONCATENATE(TIM[[#This Row],[Supply Level]],TIM[[#This Row],[Station/Feeder]],TIM[[#This Row],[Equipment ID]],TIM[[#This Row],[Voltage]],TIM[[#This Row],[Device type]])</f>
        <v>DistributionFeederCB1_Harper St3c 185mm² Al PILC SWAS11-</v>
      </c>
      <c r="C218" s="6" t="s">
        <v>1276</v>
      </c>
      <c r="D218" s="11" t="s">
        <v>207</v>
      </c>
      <c r="E218" s="6" t="s">
        <v>944</v>
      </c>
      <c r="F218" s="6" t="s">
        <v>946</v>
      </c>
      <c r="G218" s="27">
        <v>2</v>
      </c>
      <c r="H218" s="7" t="s">
        <v>888</v>
      </c>
      <c r="I218" s="7" t="s">
        <v>901</v>
      </c>
      <c r="J218" s="7" t="s">
        <v>250</v>
      </c>
      <c r="K218" s="7" t="s">
        <v>0</v>
      </c>
      <c r="L218" s="7" t="s">
        <v>0</v>
      </c>
      <c r="M218" s="8">
        <v>11</v>
      </c>
      <c r="N218" s="16">
        <v>300</v>
      </c>
      <c r="O218" s="9">
        <f t="shared" si="0"/>
        <v>5.715767664977295</v>
      </c>
      <c r="P218" s="16">
        <v>300</v>
      </c>
      <c r="Q218" s="9">
        <f t="shared" si="1"/>
        <v>5.715767664977295</v>
      </c>
      <c r="R218" s="16">
        <v>300</v>
      </c>
      <c r="S218" s="9">
        <f t="shared" si="2"/>
        <v>5.715767664977295</v>
      </c>
      <c r="T218" s="9" t="s">
        <v>0</v>
      </c>
      <c r="U218" s="9" t="str">
        <f t="shared" si="3"/>
        <v>-</v>
      </c>
      <c r="V218" s="9" t="s">
        <v>0</v>
      </c>
      <c r="W218" s="9" t="str">
        <f t="shared" si="4"/>
        <v>-</v>
      </c>
      <c r="X218" s="9" t="s">
        <v>0</v>
      </c>
      <c r="Y218" s="9" t="str">
        <f t="shared" si="5"/>
        <v>-</v>
      </c>
      <c r="Z218" s="9" t="s">
        <v>0</v>
      </c>
      <c r="AA218" s="9" t="str">
        <f t="shared" si="6"/>
        <v>-</v>
      </c>
      <c r="AB218" s="9" t="s">
        <v>0</v>
      </c>
      <c r="AC218" s="9" t="str">
        <f t="shared" si="7"/>
        <v>-</v>
      </c>
      <c r="AD218" s="9" t="s">
        <v>0</v>
      </c>
      <c r="AE218" s="12" t="str">
        <f t="shared" si="8"/>
        <v>-</v>
      </c>
      <c r="AF218" s="9" t="s">
        <v>716</v>
      </c>
      <c r="AG218" s="9" t="s">
        <v>0</v>
      </c>
      <c r="AH218" s="9">
        <v>238.5</v>
      </c>
      <c r="AI218" s="9">
        <v>0.7</v>
      </c>
      <c r="AJ218" s="32">
        <v>1.05</v>
      </c>
      <c r="AK218" s="9">
        <v>18.5</v>
      </c>
      <c r="AL218" s="32">
        <v>0.95</v>
      </c>
      <c r="AM218" s="9">
        <v>1.2</v>
      </c>
      <c r="AN218" s="32">
        <v>1</v>
      </c>
      <c r="AO218" s="9">
        <v>3</v>
      </c>
      <c r="AP218" s="9">
        <v>0.2</v>
      </c>
      <c r="AQ218" s="32">
        <v>0.75</v>
      </c>
      <c r="AR218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224.43749999999997</v>
      </c>
      <c r="AS218" s="9">
        <f t="shared" si="9"/>
        <v>4.2761086843611373</v>
      </c>
      <c r="AT218" s="9">
        <f>IF(RIGHT(TIM[[#This Row],[Device type]],7)="Winding","-",TIM[[#This Row],[Cont Winter MVA]])</f>
        <v>5.715767664977295</v>
      </c>
      <c r="AU218" s="9">
        <f>IF(RIGHT(TIM[[#This Row],[Device type]],7)="Winding","-",TIM[[#This Row],[Cont Shoulder MVA]])</f>
        <v>5.715767664977295</v>
      </c>
      <c r="AV218" s="9">
        <f>IF(RIGHT(TIM[[#This Row],[Device type]],7)="Winding","-",TIM[[#This Row],[Cont Summer MVA]])</f>
        <v>5.715767664977295</v>
      </c>
      <c r="AW218" s="9" t="str">
        <f>TIM[[#This Row],[24 Hr Winter MVA]]</f>
        <v>-</v>
      </c>
      <c r="AX218" s="9" t="str">
        <f>TIM[[#This Row],[24 Hr Summer MVA]]</f>
        <v>-</v>
      </c>
      <c r="AY218" s="9" t="str">
        <f>TIM[[#This Row],[Forwards MVA]]</f>
        <v>-</v>
      </c>
      <c r="AZ218" s="9" t="str">
        <f>TIM[[#This Row],[Relay MVA]]</f>
        <v>-</v>
      </c>
      <c r="BA218" s="9" t="str">
        <f>TIM[[#This Row],[CT MVA]]</f>
        <v>-</v>
      </c>
      <c r="BB218" s="9">
        <f>TIM[[#This Row],[Derating MVA]]</f>
        <v>4.2761086843611373</v>
      </c>
      <c r="BC218" s="9" t="str">
        <f>TIM[[#This Row],[Station/Feeder]]&amp;TIM[[#This Row],[Lowest MVA]]</f>
        <v>CB1_Harper St4.27610868436114</v>
      </c>
      <c r="BD218" s="9" t="str">
        <f>CONCATENATE(TIM[[#This Row],[Supply Level]],TIM[[#This Row],[Station/Feeder]],TIM[[#This Row],[Voltage]],TIM[[#This Row],[Lowest A-No PTX]])</f>
        <v>DistributionFeederCB1_Harper St11224.4375</v>
      </c>
      <c r="BE218" s="9" t="str">
        <f>CONCATENATE(TIM[[#This Row],[Supply Level]],TIM[[#This Row],[Station/Feeder]],TIM[[#This Row],[Voltage]],TIM[[#This Row],[Lowest A-PTX]])</f>
        <v>DistributionFeederCB1_Harper St11224.4375</v>
      </c>
      <c r="BF218" s="9">
        <f>IFERROR(IF(MIN(TIM[[#This Row],[Summ Cont Winter A]:[Cable Derating]])=0,"",MIN(TIM[[#This Row],[Summ Cont Winter A]:[Cable Derating]])),"")</f>
        <v>4.2761086843611373</v>
      </c>
      <c r="BG218" s="9">
        <f>IFERROR(TIM[[#This Row],[Lowest MVA]]*1000/(TIM[[#This Row],[Voltage]]*SQRT(3)),"")</f>
        <v>224.43749999999994</v>
      </c>
      <c r="BH218" s="9">
        <f t="shared" ref="BH218:BH281" si="323">IF(MIN(N218,P218,R218,T218,V218,X218,Z218,AB218,AD218,AR218)=0,"",MIN(N218,P218,R218,T218,V218,X218,Z218,AB218,AD218,AR218))</f>
        <v>224.43749999999997</v>
      </c>
      <c r="BI218" s="9" t="str">
        <f>TIM[[#This Row],[From]]</f>
        <v>TEHUNT1</v>
      </c>
      <c r="BJ218" s="9" t="str">
        <f>TIM[[#This Row],[To]]</f>
        <v>TEJ17</v>
      </c>
      <c r="BK21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PILC SWAS</v>
      </c>
      <c r="BL218" s="9">
        <f>TIM[[#This Row],[Voltage]]</f>
        <v>11</v>
      </c>
    </row>
    <row r="219" spans="1:64" ht="15" customHeight="1" x14ac:dyDescent="0.25">
      <c r="A219" s="6" t="str">
        <f>CONCATENATE(TIM[[#This Row],[Supply Level]],TIM[[#This Row],[Station/Feeder]],TIM[[#This Row],[Voltage]])</f>
        <v>DistributionFeederCB2_Wilson St11</v>
      </c>
      <c r="B219" s="6" t="str">
        <f>CONCATENATE(TIM[[#This Row],[Supply Level]],TIM[[#This Row],[Station/Feeder]],TIM[[#This Row],[Equipment ID]],TIM[[#This Row],[Voltage]],TIM[[#This Row],[Device type]])</f>
        <v>DistributionFeederCB2_Wilson StHNT-CB211Protection</v>
      </c>
      <c r="C219" s="6" t="s">
        <v>1276</v>
      </c>
      <c r="D219" s="11" t="s">
        <v>210</v>
      </c>
      <c r="E219" s="6" t="s">
        <v>243</v>
      </c>
      <c r="F219" s="6" t="s">
        <v>947</v>
      </c>
      <c r="G219" s="27">
        <v>1</v>
      </c>
      <c r="H219" s="7" t="s">
        <v>945</v>
      </c>
      <c r="I219" s="7" t="s">
        <v>2256</v>
      </c>
      <c r="J219" s="7" t="s">
        <v>15</v>
      </c>
      <c r="K219" s="7" t="s">
        <v>791</v>
      </c>
      <c r="L219" s="7" t="s">
        <v>1423</v>
      </c>
      <c r="M219" s="8">
        <v>11</v>
      </c>
      <c r="N219" s="9">
        <v>630</v>
      </c>
      <c r="O219" s="9">
        <f t="shared" si="0"/>
        <v>12.00311209645232</v>
      </c>
      <c r="P219" s="9">
        <v>630</v>
      </c>
      <c r="Q219" s="9">
        <f t="shared" si="1"/>
        <v>12.00311209645232</v>
      </c>
      <c r="R219" s="9">
        <v>630</v>
      </c>
      <c r="S219" s="9">
        <f t="shared" si="2"/>
        <v>12.00311209645232</v>
      </c>
      <c r="T219" s="9" t="s">
        <v>0</v>
      </c>
      <c r="U219" s="9" t="str">
        <f t="shared" si="3"/>
        <v>-</v>
      </c>
      <c r="V219" s="9" t="s">
        <v>0</v>
      </c>
      <c r="W219" s="9" t="str">
        <f t="shared" si="4"/>
        <v>-</v>
      </c>
      <c r="X219" s="9">
        <f>VLOOKUP(TIM[[#This Row],[Equipment ID]],AEL_Protection_Data[#All],12,0)</f>
        <v>200</v>
      </c>
      <c r="Y219" s="9">
        <f t="shared" si="5"/>
        <v>3.8105117766515302</v>
      </c>
      <c r="Z219" s="9" t="s">
        <v>0</v>
      </c>
      <c r="AA219" s="9" t="str">
        <f t="shared" si="6"/>
        <v>-</v>
      </c>
      <c r="AB219" s="9">
        <v>800</v>
      </c>
      <c r="AC219" s="9">
        <f t="shared" si="7"/>
        <v>15.242047106606121</v>
      </c>
      <c r="AD219" s="9">
        <v>800</v>
      </c>
      <c r="AE219" s="12">
        <f t="shared" si="8"/>
        <v>15.242047106606121</v>
      </c>
      <c r="AF219" s="9" t="s">
        <v>0</v>
      </c>
      <c r="AG219" s="9" t="s">
        <v>0</v>
      </c>
      <c r="AH219" s="9" t="s">
        <v>0</v>
      </c>
      <c r="AI219" s="9" t="s">
        <v>0</v>
      </c>
      <c r="AJ219" s="32" t="s">
        <v>0</v>
      </c>
      <c r="AK219" s="9" t="s">
        <v>0</v>
      </c>
      <c r="AL219" s="32" t="s">
        <v>0</v>
      </c>
      <c r="AM219" s="9" t="s">
        <v>0</v>
      </c>
      <c r="AN219" s="32" t="s">
        <v>0</v>
      </c>
      <c r="AO219" s="9" t="s">
        <v>0</v>
      </c>
      <c r="AP219" s="9" t="s">
        <v>0</v>
      </c>
      <c r="AQ219" s="32" t="s">
        <v>0</v>
      </c>
      <c r="AR219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19" s="9" t="str">
        <f t="shared" si="9"/>
        <v>-</v>
      </c>
      <c r="AT219" s="9">
        <f>IF(RIGHT(TIM[[#This Row],[Device type]],7)="Winding","-",TIM[[#This Row],[Cont Winter MVA]])</f>
        <v>12.00311209645232</v>
      </c>
      <c r="AU219" s="9">
        <f>IF(RIGHT(TIM[[#This Row],[Device type]],7)="Winding","-",TIM[[#This Row],[Cont Shoulder MVA]])</f>
        <v>12.00311209645232</v>
      </c>
      <c r="AV219" s="9">
        <f>IF(RIGHT(TIM[[#This Row],[Device type]],7)="Winding","-",TIM[[#This Row],[Cont Summer MVA]])</f>
        <v>12.00311209645232</v>
      </c>
      <c r="AW219" s="9" t="str">
        <f>TIM[[#This Row],[24 Hr Winter MVA]]</f>
        <v>-</v>
      </c>
      <c r="AX219" s="9" t="str">
        <f>TIM[[#This Row],[24 Hr Summer MVA]]</f>
        <v>-</v>
      </c>
      <c r="AY219" s="9">
        <f>TIM[[#This Row],[Forwards MVA]]</f>
        <v>3.8105117766515302</v>
      </c>
      <c r="AZ219" s="9">
        <f>TIM[[#This Row],[Relay MVA]]</f>
        <v>15.242047106606121</v>
      </c>
      <c r="BA219" s="9">
        <f>TIM[[#This Row],[CT MVA]]</f>
        <v>15.242047106606121</v>
      </c>
      <c r="BB219" s="9" t="str">
        <f>TIM[[#This Row],[Derating MVA]]</f>
        <v>-</v>
      </c>
      <c r="BC219" s="9" t="str">
        <f>TIM[[#This Row],[Station/Feeder]]&amp;TIM[[#This Row],[Lowest MVA]]</f>
        <v>CB2_Wilson St3.81051177665153</v>
      </c>
      <c r="BD219" s="9" t="str">
        <f>CONCATENATE(TIM[[#This Row],[Supply Level]],TIM[[#This Row],[Station/Feeder]],TIM[[#This Row],[Voltage]],TIM[[#This Row],[Lowest A-No PTX]])</f>
        <v>DistributionFeederCB2_Wilson St11200</v>
      </c>
      <c r="BE219" s="9" t="str">
        <f>CONCATENATE(TIM[[#This Row],[Supply Level]],TIM[[#This Row],[Station/Feeder]],TIM[[#This Row],[Voltage]],TIM[[#This Row],[Lowest A-PTX]])</f>
        <v>DistributionFeederCB2_Wilson St11200</v>
      </c>
      <c r="BF219" s="9">
        <f>IFERROR(IF(MIN(TIM[[#This Row],[Summ Cont Winter A]:[Cable Derating]])=0,"",MIN(TIM[[#This Row],[Summ Cont Winter A]:[Cable Derating]])),"")</f>
        <v>3.8105117766515302</v>
      </c>
      <c r="BG219" s="9">
        <f>IFERROR(TIM[[#This Row],[Lowest MVA]]*1000/(TIM[[#This Row],[Voltage]]*SQRT(3)),"")</f>
        <v>200</v>
      </c>
      <c r="BH219" s="9">
        <f t="shared" si="323"/>
        <v>200</v>
      </c>
      <c r="BI219" s="9" t="str">
        <f>TIM[[#This Row],[From]]</f>
        <v>11 kV Bus</v>
      </c>
      <c r="BJ219" s="9" t="str">
        <f>TIM[[#This Row],[To]]</f>
        <v>TEHUNT2</v>
      </c>
      <c r="BK21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Breaker-HNT-CB2-Protection</v>
      </c>
      <c r="BL219" s="9">
        <f>TIM[[#This Row],[Voltage]]</f>
        <v>11</v>
      </c>
    </row>
    <row r="220" spans="1:64" ht="15" customHeight="1" x14ac:dyDescent="0.25">
      <c r="A220" s="6" t="str">
        <f>CONCATENATE(TIM[[#This Row],[Supply Level]],TIM[[#This Row],[Station/Feeder]],TIM[[#This Row],[Voltage]])</f>
        <v>DistributionFeederCB2_Wilson St11</v>
      </c>
      <c r="B220" s="6" t="str">
        <f>CONCATENATE(TIM[[#This Row],[Supply Level]],TIM[[#This Row],[Station/Feeder]],TIM[[#This Row],[Equipment ID]],TIM[[#This Row],[Voltage]],TIM[[#This Row],[Device type]])</f>
        <v>DistributionFeederCB2_Wilson St3c 185mm² Al PILC SWAS11-</v>
      </c>
      <c r="C220" s="6" t="s">
        <v>1276</v>
      </c>
      <c r="D220" s="11" t="s">
        <v>210</v>
      </c>
      <c r="E220" s="6" t="s">
        <v>947</v>
      </c>
      <c r="F220" s="6" t="s">
        <v>948</v>
      </c>
      <c r="G220" s="27">
        <v>2</v>
      </c>
      <c r="H220" s="7" t="s">
        <v>888</v>
      </c>
      <c r="I220" s="7" t="s">
        <v>901</v>
      </c>
      <c r="J220" s="7" t="s">
        <v>250</v>
      </c>
      <c r="K220" s="7" t="s">
        <v>0</v>
      </c>
      <c r="L220" s="7" t="s">
        <v>0</v>
      </c>
      <c r="M220" s="8">
        <v>11</v>
      </c>
      <c r="N220" s="9">
        <v>300</v>
      </c>
      <c r="O220" s="9">
        <f t="shared" si="0"/>
        <v>5.715767664977295</v>
      </c>
      <c r="P220" s="9">
        <v>300</v>
      </c>
      <c r="Q220" s="9">
        <f t="shared" si="1"/>
        <v>5.715767664977295</v>
      </c>
      <c r="R220" s="9">
        <v>300</v>
      </c>
      <c r="S220" s="9">
        <f t="shared" si="2"/>
        <v>5.715767664977295</v>
      </c>
      <c r="T220" s="9" t="s">
        <v>0</v>
      </c>
      <c r="U220" s="9" t="str">
        <f t="shared" si="3"/>
        <v>-</v>
      </c>
      <c r="V220" s="9" t="s">
        <v>0</v>
      </c>
      <c r="W220" s="9" t="str">
        <f t="shared" si="4"/>
        <v>-</v>
      </c>
      <c r="X220" s="9" t="s">
        <v>0</v>
      </c>
      <c r="Y220" s="9" t="str">
        <f t="shared" si="5"/>
        <v>-</v>
      </c>
      <c r="Z220" s="9" t="s">
        <v>0</v>
      </c>
      <c r="AA220" s="9" t="str">
        <f t="shared" si="6"/>
        <v>-</v>
      </c>
      <c r="AB220" s="9" t="s">
        <v>0</v>
      </c>
      <c r="AC220" s="9" t="str">
        <f t="shared" si="7"/>
        <v>-</v>
      </c>
      <c r="AD220" s="9" t="s">
        <v>0</v>
      </c>
      <c r="AE220" s="12" t="str">
        <f t="shared" si="8"/>
        <v>-</v>
      </c>
      <c r="AF220" s="9" t="s">
        <v>716</v>
      </c>
      <c r="AG220" s="9" t="s">
        <v>0</v>
      </c>
      <c r="AH220" s="9">
        <v>651.68999999999994</v>
      </c>
      <c r="AI220" s="9">
        <v>0.85</v>
      </c>
      <c r="AJ220" s="32">
        <v>1.02</v>
      </c>
      <c r="AK220" s="9">
        <v>18.5</v>
      </c>
      <c r="AL220" s="32">
        <v>0.95</v>
      </c>
      <c r="AM220" s="9">
        <v>1.2</v>
      </c>
      <c r="AN220" s="32">
        <v>1</v>
      </c>
      <c r="AO220" s="9">
        <v>2</v>
      </c>
      <c r="AP220" s="9">
        <v>0.11</v>
      </c>
      <c r="AQ220" s="32">
        <v>0.8</v>
      </c>
      <c r="AR220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232.56</v>
      </c>
      <c r="AS220" s="9">
        <f t="shared" si="9"/>
        <v>4.430863093890399</v>
      </c>
      <c r="AT220" s="9">
        <f>IF(RIGHT(TIM[[#This Row],[Device type]],7)="Winding","-",TIM[[#This Row],[Cont Winter MVA]])</f>
        <v>5.715767664977295</v>
      </c>
      <c r="AU220" s="9">
        <f>IF(RIGHT(TIM[[#This Row],[Device type]],7)="Winding","-",TIM[[#This Row],[Cont Shoulder MVA]])</f>
        <v>5.715767664977295</v>
      </c>
      <c r="AV220" s="9">
        <f>IF(RIGHT(TIM[[#This Row],[Device type]],7)="Winding","-",TIM[[#This Row],[Cont Summer MVA]])</f>
        <v>5.715767664977295</v>
      </c>
      <c r="AW220" s="9" t="str">
        <f>TIM[[#This Row],[24 Hr Winter MVA]]</f>
        <v>-</v>
      </c>
      <c r="AX220" s="9" t="str">
        <f>TIM[[#This Row],[24 Hr Summer MVA]]</f>
        <v>-</v>
      </c>
      <c r="AY220" s="9" t="str">
        <f>TIM[[#This Row],[Forwards MVA]]</f>
        <v>-</v>
      </c>
      <c r="AZ220" s="9" t="str">
        <f>TIM[[#This Row],[Relay MVA]]</f>
        <v>-</v>
      </c>
      <c r="BA220" s="9" t="str">
        <f>TIM[[#This Row],[CT MVA]]</f>
        <v>-</v>
      </c>
      <c r="BB220" s="9">
        <f>TIM[[#This Row],[Derating MVA]]</f>
        <v>4.430863093890399</v>
      </c>
      <c r="BC220" s="9" t="str">
        <f>TIM[[#This Row],[Station/Feeder]]&amp;TIM[[#This Row],[Lowest MVA]]</f>
        <v>CB2_Wilson St4.4308630938904</v>
      </c>
      <c r="BD220" s="9" t="str">
        <f>CONCATENATE(TIM[[#This Row],[Supply Level]],TIM[[#This Row],[Station/Feeder]],TIM[[#This Row],[Voltage]],TIM[[#This Row],[Lowest A-No PTX]])</f>
        <v>DistributionFeederCB2_Wilson St11232.56</v>
      </c>
      <c r="BE220" s="9" t="str">
        <f>CONCATENATE(TIM[[#This Row],[Supply Level]],TIM[[#This Row],[Station/Feeder]],TIM[[#This Row],[Voltage]],TIM[[#This Row],[Lowest A-PTX]])</f>
        <v>DistributionFeederCB2_Wilson St11232.56</v>
      </c>
      <c r="BF220" s="9">
        <f>IFERROR(IF(MIN(TIM[[#This Row],[Summ Cont Winter A]:[Cable Derating]])=0,"",MIN(TIM[[#This Row],[Summ Cont Winter A]:[Cable Derating]])),"")</f>
        <v>4.430863093890399</v>
      </c>
      <c r="BG220" s="9">
        <f>IFERROR(TIM[[#This Row],[Lowest MVA]]*1000/(TIM[[#This Row],[Voltage]]*SQRT(3)),"")</f>
        <v>232.56</v>
      </c>
      <c r="BH220" s="9">
        <f t="shared" si="323"/>
        <v>232.56</v>
      </c>
      <c r="BI220" s="9" t="str">
        <f>TIM[[#This Row],[From]]</f>
        <v>TEHUNT2</v>
      </c>
      <c r="BJ220" s="9" t="str">
        <f>TIM[[#This Row],[To]]</f>
        <v>TED18</v>
      </c>
      <c r="BK22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PILC SWAS</v>
      </c>
      <c r="BL220" s="9">
        <f>TIM[[#This Row],[Voltage]]</f>
        <v>11</v>
      </c>
    </row>
    <row r="221" spans="1:64" ht="15" customHeight="1" x14ac:dyDescent="0.25">
      <c r="A221" s="6" t="str">
        <f>CONCATENATE(TIM[[#This Row],[Supply Level]],TIM[[#This Row],[Station/Feeder]],TIM[[#This Row],[Voltage]])</f>
        <v>DistributionFeederCB2_Wilson St11</v>
      </c>
      <c r="B221" s="6" t="str">
        <f>CONCATENATE(TIM[[#This Row],[Supply Level]],TIM[[#This Row],[Station/Feeder]],TIM[[#This Row],[Equipment ID]],TIM[[#This Row],[Voltage]],TIM[[#This Row],[Device type]])</f>
        <v>DistributionFeederCB2_Wilson StGOPHER11-</v>
      </c>
      <c r="C221" s="6" t="s">
        <v>1276</v>
      </c>
      <c r="D221" s="11" t="s">
        <v>210</v>
      </c>
      <c r="E221" s="6" t="s">
        <v>948</v>
      </c>
      <c r="F221" s="6" t="s">
        <v>949</v>
      </c>
      <c r="G221" s="27">
        <v>3</v>
      </c>
      <c r="H221" s="7" t="s">
        <v>1289</v>
      </c>
      <c r="I221" s="7" t="s">
        <v>1285</v>
      </c>
      <c r="J221" s="7" t="s">
        <v>69</v>
      </c>
      <c r="K221" s="7" t="s">
        <v>0</v>
      </c>
      <c r="L221" s="7" t="s">
        <v>0</v>
      </c>
      <c r="M221" s="8">
        <v>11</v>
      </c>
      <c r="N221" s="16">
        <v>145.16667937635737</v>
      </c>
      <c r="O221" s="9">
        <f t="shared" si="0"/>
        <v>2.7657967067050322</v>
      </c>
      <c r="P221" s="16" t="s">
        <v>0</v>
      </c>
      <c r="Q221" s="9" t="str">
        <f t="shared" si="1"/>
        <v>-</v>
      </c>
      <c r="R221" s="16">
        <v>110.40609606570446</v>
      </c>
      <c r="S221" s="9">
        <f t="shared" si="2"/>
        <v>2.1035186463624349</v>
      </c>
      <c r="T221" s="9" t="s">
        <v>0</v>
      </c>
      <c r="U221" s="9" t="str">
        <f t="shared" si="3"/>
        <v>-</v>
      </c>
      <c r="V221" s="9" t="s">
        <v>0</v>
      </c>
      <c r="W221" s="9" t="str">
        <f t="shared" si="4"/>
        <v>-</v>
      </c>
      <c r="X221" s="9" t="s">
        <v>0</v>
      </c>
      <c r="Y221" s="9" t="str">
        <f t="shared" si="5"/>
        <v>-</v>
      </c>
      <c r="Z221" s="9" t="s">
        <v>0</v>
      </c>
      <c r="AA221" s="9" t="str">
        <f t="shared" si="6"/>
        <v>-</v>
      </c>
      <c r="AB221" s="9" t="s">
        <v>0</v>
      </c>
      <c r="AC221" s="9" t="str">
        <f t="shared" si="7"/>
        <v>-</v>
      </c>
      <c r="AD221" s="9" t="s">
        <v>0</v>
      </c>
      <c r="AE221" s="12" t="str">
        <f t="shared" si="8"/>
        <v>-</v>
      </c>
      <c r="AF221" s="9" t="s">
        <v>0</v>
      </c>
      <c r="AG221" s="9" t="s">
        <v>0</v>
      </c>
      <c r="AH221" s="9">
        <v>299.60000000000002</v>
      </c>
      <c r="AI221" s="9" t="s">
        <v>0</v>
      </c>
      <c r="AJ221" s="32" t="s">
        <v>0</v>
      </c>
      <c r="AK221" s="9" t="s">
        <v>0</v>
      </c>
      <c r="AL221" s="32" t="s">
        <v>0</v>
      </c>
      <c r="AM221" s="9" t="s">
        <v>0</v>
      </c>
      <c r="AN221" s="32" t="s">
        <v>0</v>
      </c>
      <c r="AO221" s="9" t="s">
        <v>0</v>
      </c>
      <c r="AP221" s="9" t="s">
        <v>0</v>
      </c>
      <c r="AQ221" s="32" t="s">
        <v>0</v>
      </c>
      <c r="AR22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21" s="9" t="str">
        <f t="shared" si="9"/>
        <v>-</v>
      </c>
      <c r="AT221" s="9">
        <f>IF(RIGHT(TIM[[#This Row],[Device type]],7)="Winding","-",TIM[[#This Row],[Cont Winter MVA]])</f>
        <v>2.7657967067050322</v>
      </c>
      <c r="AU221" s="9" t="str">
        <f>IF(RIGHT(TIM[[#This Row],[Device type]],7)="Winding","-",TIM[[#This Row],[Cont Shoulder MVA]])</f>
        <v>-</v>
      </c>
      <c r="AV221" s="9">
        <f>IF(RIGHT(TIM[[#This Row],[Device type]],7)="Winding","-",TIM[[#This Row],[Cont Summer MVA]])</f>
        <v>2.1035186463624349</v>
      </c>
      <c r="AW221" s="9" t="str">
        <f>TIM[[#This Row],[24 Hr Winter MVA]]</f>
        <v>-</v>
      </c>
      <c r="AX221" s="9" t="str">
        <f>TIM[[#This Row],[24 Hr Summer MVA]]</f>
        <v>-</v>
      </c>
      <c r="AY221" s="9" t="str">
        <f>TIM[[#This Row],[Forwards MVA]]</f>
        <v>-</v>
      </c>
      <c r="AZ221" s="9" t="str">
        <f>TIM[[#This Row],[Relay MVA]]</f>
        <v>-</v>
      </c>
      <c r="BA221" s="9" t="str">
        <f>TIM[[#This Row],[CT MVA]]</f>
        <v>-</v>
      </c>
      <c r="BB221" s="9" t="str">
        <f>TIM[[#This Row],[Derating MVA]]</f>
        <v>-</v>
      </c>
      <c r="BC221" s="9" t="str">
        <f>TIM[[#This Row],[Station/Feeder]]&amp;TIM[[#This Row],[Lowest MVA]]</f>
        <v>CB2_Wilson St2.10351864636243</v>
      </c>
      <c r="BD221" s="9" t="str">
        <f>CONCATENATE(TIM[[#This Row],[Supply Level]],TIM[[#This Row],[Station/Feeder]],TIM[[#This Row],[Voltage]],TIM[[#This Row],[Lowest A-No PTX]])</f>
        <v>DistributionFeederCB2_Wilson St11110.406096065704</v>
      </c>
      <c r="BE221" s="9" t="str">
        <f>CONCATENATE(TIM[[#This Row],[Supply Level]],TIM[[#This Row],[Station/Feeder]],TIM[[#This Row],[Voltage]],TIM[[#This Row],[Lowest A-PTX]])</f>
        <v>DistributionFeederCB2_Wilson St11110.406096065704</v>
      </c>
      <c r="BF221" s="9">
        <f>IFERROR(IF(MIN(TIM[[#This Row],[Summ Cont Winter A]:[Cable Derating]])=0,"",MIN(TIM[[#This Row],[Summ Cont Winter A]:[Cable Derating]])),"")</f>
        <v>2.1035186463624349</v>
      </c>
      <c r="BG221" s="9">
        <f>IFERROR(TIM[[#This Row],[Lowest MVA]]*1000/(TIM[[#This Row],[Voltage]]*SQRT(3)),"")</f>
        <v>110.40609606570446</v>
      </c>
      <c r="BH221" s="9">
        <f t="shared" si="323"/>
        <v>110.40609606570446</v>
      </c>
      <c r="BI221" s="9" t="str">
        <f>TIM[[#This Row],[From]]</f>
        <v>TED18</v>
      </c>
      <c r="BJ221" s="9" t="str">
        <f>TIM[[#This Row],[To]]</f>
        <v>POLE 45041</v>
      </c>
      <c r="BK22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Line-GOPHER</v>
      </c>
      <c r="BL221" s="9">
        <f>TIM[[#This Row],[Voltage]]</f>
        <v>11</v>
      </c>
    </row>
    <row r="222" spans="1:64" ht="15" hidden="1" customHeight="1" x14ac:dyDescent="0.25">
      <c r="A222" s="6" t="str">
        <f>CONCATENATE(TIM[[#This Row],[Supply Level]],TIM[[#This Row],[Station/Feeder]],TIM[[#This Row],[Voltage]])</f>
        <v>SubTransmissionCB3_HNT-GRM A11</v>
      </c>
      <c r="B222" s="6" t="str">
        <f>CONCATENATE(TIM[[#This Row],[Supply Level]],TIM[[#This Row],[Station/Feeder]],TIM[[#This Row],[Equipment ID]],TIM[[#This Row],[Voltage]],TIM[[#This Row],[Device type]])</f>
        <v>SubTransmissionCB3_HNT-GRM AHNT-CB311Protection</v>
      </c>
      <c r="C222" s="6" t="s">
        <v>1245</v>
      </c>
      <c r="D222" s="11" t="s">
        <v>1412</v>
      </c>
      <c r="E222" s="14" t="s">
        <v>243</v>
      </c>
      <c r="F222" s="6" t="s">
        <v>893</v>
      </c>
      <c r="G222" s="27">
        <v>1</v>
      </c>
      <c r="H222" s="6" t="s">
        <v>887</v>
      </c>
      <c r="I222" s="7" t="s">
        <v>2270</v>
      </c>
      <c r="J222" s="7" t="s">
        <v>15</v>
      </c>
      <c r="K222" s="7" t="s">
        <v>1117</v>
      </c>
      <c r="L222" s="7" t="s">
        <v>1423</v>
      </c>
      <c r="M222" s="8">
        <v>11</v>
      </c>
      <c r="N222" s="16">
        <v>1250</v>
      </c>
      <c r="O222" s="9">
        <f t="shared" ref="O222:O223" si="324">IF(OR(N222="",N222="-"),"-",N222*$M222*SQRT(3)/1000)</f>
        <v>23.815698604072061</v>
      </c>
      <c r="P222" s="16">
        <v>1250</v>
      </c>
      <c r="Q222" s="9">
        <f t="shared" ref="Q222:Q223" si="325">IF(OR(P222="",P222="-"),"-",P222*$M222*SQRT(3)/1000)</f>
        <v>23.815698604072061</v>
      </c>
      <c r="R222" s="16">
        <v>1250</v>
      </c>
      <c r="S222" s="9">
        <f t="shared" ref="S222:S223" si="326">IF(OR(R222="",R222="-"),"-",R222*$M222*SQRT(3)/1000)</f>
        <v>23.815698604072061</v>
      </c>
      <c r="T222" s="9" t="s">
        <v>0</v>
      </c>
      <c r="U222" s="9" t="str">
        <f t="shared" ref="U222:U223" si="327">IF(OR(T222="",T222="-"),"-",T222*$M222*SQRT(3)/1000)</f>
        <v>-</v>
      </c>
      <c r="V222" s="9" t="s">
        <v>0</v>
      </c>
      <c r="W222" s="9" t="str">
        <f t="shared" ref="W222:W223" si="328">IF(OR(V222="",V222="-"),"-",V222*$M222*SQRT(3)/1000)</f>
        <v>-</v>
      </c>
      <c r="X222" s="9">
        <f>VLOOKUP(TIM[[#This Row],[Equipment ID]],AEL_Protection_Data[#All],12,0)</f>
        <v>400</v>
      </c>
      <c r="Y222" s="9">
        <f t="shared" ref="Y222:Y223" si="329">IF(OR(X222="",X222="-"),"-",X222*$M222*SQRT(3)/1000)</f>
        <v>7.6210235533030604</v>
      </c>
      <c r="Z222" s="9" t="s">
        <v>0</v>
      </c>
      <c r="AA222" s="9" t="str">
        <f t="shared" ref="AA222:AA223" si="330">IF(OR(Z222="",Z222="-"),"-",Z222*$M222*SQRT(3)/1000)</f>
        <v>-</v>
      </c>
      <c r="AB222" s="9">
        <v>800</v>
      </c>
      <c r="AC222" s="9">
        <f t="shared" ref="AC222:AC223" si="331">IF(OR(AB222="",AB222="-"),"-",AB222*$M222*SQRT(3)/1000)</f>
        <v>15.242047106606121</v>
      </c>
      <c r="AD222" s="9">
        <v>800</v>
      </c>
      <c r="AE222" s="12">
        <f t="shared" ref="AE222:AE223" si="332">IF(OR(AD222="",AD222="-"),"-",AD222*$M222*SQRT(3)/1000)</f>
        <v>15.242047106606121</v>
      </c>
      <c r="AF222" s="9" t="s">
        <v>0</v>
      </c>
      <c r="AG222" s="9" t="s">
        <v>0</v>
      </c>
      <c r="AH222" s="9" t="s">
        <v>0</v>
      </c>
      <c r="AI222" s="9" t="s">
        <v>0</v>
      </c>
      <c r="AJ222" s="32" t="s">
        <v>0</v>
      </c>
      <c r="AK222" s="9" t="s">
        <v>0</v>
      </c>
      <c r="AL222" s="32" t="s">
        <v>0</v>
      </c>
      <c r="AM222" s="9" t="s">
        <v>0</v>
      </c>
      <c r="AN222" s="32" t="s">
        <v>0</v>
      </c>
      <c r="AO222" s="9" t="s">
        <v>0</v>
      </c>
      <c r="AP222" s="9" t="s">
        <v>0</v>
      </c>
      <c r="AQ222" s="32" t="s">
        <v>0</v>
      </c>
      <c r="AR222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22" s="9" t="str">
        <f t="shared" ref="AS222:AS223" si="333">IF(OR(AR222="",AR222="-"),"-",AR222*$M222*SQRT(3)/1000)</f>
        <v>-</v>
      </c>
      <c r="AT222" s="9">
        <f>IF(RIGHT(TIM[[#This Row],[Device type]],7)="Winding","-",TIM[[#This Row],[Cont Winter MVA]])</f>
        <v>23.815698604072061</v>
      </c>
      <c r="AU222" s="9">
        <f>IF(RIGHT(TIM[[#This Row],[Device type]],7)="Winding","-",TIM[[#This Row],[Cont Shoulder MVA]])</f>
        <v>23.815698604072061</v>
      </c>
      <c r="AV222" s="9">
        <f>IF(RIGHT(TIM[[#This Row],[Device type]],7)="Winding","-",TIM[[#This Row],[Cont Summer MVA]])</f>
        <v>23.815698604072061</v>
      </c>
      <c r="AW222" s="9" t="str">
        <f>TIM[[#This Row],[24 Hr Winter MVA]]</f>
        <v>-</v>
      </c>
      <c r="AX222" s="9" t="str">
        <f>TIM[[#This Row],[24 Hr Summer MVA]]</f>
        <v>-</v>
      </c>
      <c r="AY222" s="9">
        <f>TIM[[#This Row],[Forwards MVA]]</f>
        <v>7.6210235533030604</v>
      </c>
      <c r="AZ222" s="9">
        <f>TIM[[#This Row],[Relay MVA]]</f>
        <v>15.242047106606121</v>
      </c>
      <c r="BA222" s="9">
        <f>TIM[[#This Row],[CT MVA]]</f>
        <v>15.242047106606121</v>
      </c>
      <c r="BB222" s="9" t="str">
        <f>TIM[[#This Row],[Derating MVA]]</f>
        <v>-</v>
      </c>
      <c r="BC222" s="9" t="str">
        <f>TIM[[#This Row],[Station/Feeder]]&amp;TIM[[#This Row],[Lowest MVA]]</f>
        <v>CB3_HNT-GRM A7.62102355330306</v>
      </c>
      <c r="BD222" s="9" t="str">
        <f>CONCATENATE(TIM[[#This Row],[Supply Level]],TIM[[#This Row],[Station/Feeder]],TIM[[#This Row],[Voltage]],TIM[[#This Row],[Lowest A-No PTX]])</f>
        <v>SubTransmissionCB3_HNT-GRM A11400</v>
      </c>
      <c r="BE222" s="9" t="str">
        <f>CONCATENATE(TIM[[#This Row],[Supply Level]],TIM[[#This Row],[Station/Feeder]],TIM[[#This Row],[Voltage]],TIM[[#This Row],[Lowest A-PTX]])</f>
        <v>SubTransmissionCB3_HNT-GRM A11400</v>
      </c>
      <c r="BF222" s="9">
        <f>IFERROR(IF(MIN(TIM[[#This Row],[Summ Cont Winter A]:[Cable Derating]])=0,"",MIN(TIM[[#This Row],[Summ Cont Winter A]:[Cable Derating]])),"")</f>
        <v>7.6210235533030604</v>
      </c>
      <c r="BG222" s="9">
        <f>IFERROR(TIM[[#This Row],[Lowest MVA]]*1000/(TIM[[#This Row],[Voltage]]*SQRT(3)),"")</f>
        <v>400</v>
      </c>
      <c r="BH222" s="9">
        <f t="shared" si="323"/>
        <v>400</v>
      </c>
      <c r="BI222" s="9" t="str">
        <f>TIM[[#This Row],[From]]</f>
        <v>11 kV Bus</v>
      </c>
      <c r="BJ222" s="9" t="str">
        <f>TIM[[#This Row],[To]]</f>
        <v xml:space="preserve">TEGRASMERE 4 </v>
      </c>
      <c r="BK22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Breaker-HNT-CB3-Protection</v>
      </c>
      <c r="BL222" s="9">
        <f>TIM[[#This Row],[Voltage]]</f>
        <v>11</v>
      </c>
    </row>
    <row r="223" spans="1:64" ht="15" hidden="1" customHeight="1" x14ac:dyDescent="0.25">
      <c r="A223" s="6" t="str">
        <f>CONCATENATE(TIM[[#This Row],[Supply Level]],TIM[[#This Row],[Station/Feeder]],TIM[[#This Row],[Voltage]])</f>
        <v>SubTransmissionCB3_HNT-GRM A11</v>
      </c>
      <c r="B223" s="6" t="str">
        <f>CONCATENATE(TIM[[#This Row],[Supply Level]],TIM[[#This Row],[Station/Feeder]],TIM[[#This Row],[Equipment ID]],TIM[[#This Row],[Voltage]],TIM[[#This Row],[Device type]])</f>
        <v>SubTransmissionCB3_HNT-GRM A3c 0.3in² Cu PILC SWA 11-</v>
      </c>
      <c r="C223" s="6" t="s">
        <v>1245</v>
      </c>
      <c r="D223" s="11" t="s">
        <v>1412</v>
      </c>
      <c r="E223" s="6" t="s">
        <v>893</v>
      </c>
      <c r="F223" s="6" t="s">
        <v>894</v>
      </c>
      <c r="G223" s="8">
        <v>2</v>
      </c>
      <c r="H223" s="6" t="s">
        <v>888</v>
      </c>
      <c r="I223" s="6" t="s">
        <v>1325</v>
      </c>
      <c r="J223" s="6" t="s">
        <v>250</v>
      </c>
      <c r="K223" s="6" t="s">
        <v>0</v>
      </c>
      <c r="L223" s="6" t="s">
        <v>0</v>
      </c>
      <c r="M223" s="8">
        <v>11</v>
      </c>
      <c r="N223" s="9">
        <v>380</v>
      </c>
      <c r="O223" s="9">
        <f t="shared" si="324"/>
        <v>7.2399723756379064</v>
      </c>
      <c r="P223" s="9">
        <v>380</v>
      </c>
      <c r="Q223" s="9">
        <f t="shared" si="325"/>
        <v>7.2399723756379064</v>
      </c>
      <c r="R223" s="9">
        <v>380</v>
      </c>
      <c r="S223" s="9">
        <f t="shared" si="326"/>
        <v>7.2399723756379064</v>
      </c>
      <c r="T223" s="9" t="s">
        <v>0</v>
      </c>
      <c r="U223" s="9" t="str">
        <f t="shared" si="327"/>
        <v>-</v>
      </c>
      <c r="V223" s="9" t="s">
        <v>0</v>
      </c>
      <c r="W223" s="9" t="str">
        <f t="shared" si="328"/>
        <v>-</v>
      </c>
      <c r="X223" s="9" t="s">
        <v>0</v>
      </c>
      <c r="Y223" s="9" t="str">
        <f t="shared" si="329"/>
        <v>-</v>
      </c>
      <c r="Z223" s="9" t="s">
        <v>0</v>
      </c>
      <c r="AA223" s="9" t="str">
        <f t="shared" si="330"/>
        <v>-</v>
      </c>
      <c r="AB223" s="9" t="s">
        <v>0</v>
      </c>
      <c r="AC223" s="9" t="str">
        <f t="shared" si="331"/>
        <v>-</v>
      </c>
      <c r="AD223" s="9" t="s">
        <v>0</v>
      </c>
      <c r="AE223" s="9" t="str">
        <f t="shared" si="332"/>
        <v>-</v>
      </c>
      <c r="AF223" s="9" t="s">
        <v>716</v>
      </c>
      <c r="AG223" s="9" t="s">
        <v>0</v>
      </c>
      <c r="AH223" s="9">
        <v>1629.1999999999998</v>
      </c>
      <c r="AI223" s="9">
        <v>0.85</v>
      </c>
      <c r="AJ223" s="43">
        <v>1.03</v>
      </c>
      <c r="AK223" s="9">
        <v>18.5</v>
      </c>
      <c r="AL223" s="43">
        <v>0.95</v>
      </c>
      <c r="AM223" s="9">
        <v>1.2</v>
      </c>
      <c r="AN223" s="43">
        <v>1</v>
      </c>
      <c r="AO223" s="9">
        <v>3</v>
      </c>
      <c r="AP223" s="9">
        <v>0.34</v>
      </c>
      <c r="AQ223" s="43">
        <v>0.8</v>
      </c>
      <c r="AR223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297.464</v>
      </c>
      <c r="AS223" s="9">
        <f t="shared" si="333"/>
        <v>5.6674503756493531</v>
      </c>
      <c r="AT223" s="9">
        <f>IF(RIGHT(TIM[[#This Row],[Device type]],7)="Winding","-",TIM[[#This Row],[Cont Winter MVA]])</f>
        <v>7.2399723756379064</v>
      </c>
      <c r="AU223" s="9">
        <f>IF(RIGHT(TIM[[#This Row],[Device type]],7)="Winding","-",TIM[[#This Row],[Cont Shoulder MVA]])</f>
        <v>7.2399723756379064</v>
      </c>
      <c r="AV223" s="9">
        <f>IF(RIGHT(TIM[[#This Row],[Device type]],7)="Winding","-",TIM[[#This Row],[Cont Summer MVA]])</f>
        <v>7.2399723756379064</v>
      </c>
      <c r="AW223" s="9" t="str">
        <f>TIM[[#This Row],[24 Hr Winter MVA]]</f>
        <v>-</v>
      </c>
      <c r="AX223" s="9" t="str">
        <f>TIM[[#This Row],[24 Hr Summer MVA]]</f>
        <v>-</v>
      </c>
      <c r="AY223" s="9" t="str">
        <f>TIM[[#This Row],[Forwards MVA]]</f>
        <v>-</v>
      </c>
      <c r="AZ223" s="9" t="str">
        <f>TIM[[#This Row],[Relay MVA]]</f>
        <v>-</v>
      </c>
      <c r="BA223" s="9" t="str">
        <f>TIM[[#This Row],[CT MVA]]</f>
        <v>-</v>
      </c>
      <c r="BB223" s="9">
        <f>TIM[[#This Row],[Derating MVA]]</f>
        <v>5.6674503756493531</v>
      </c>
      <c r="BC223" s="9" t="str">
        <f>TIM[[#This Row],[Station/Feeder]]&amp;TIM[[#This Row],[Lowest MVA]]</f>
        <v>CB3_HNT-GRM A5.66745037564935</v>
      </c>
      <c r="BD223" s="9" t="str">
        <f>CONCATENATE(TIM[[#This Row],[Supply Level]],TIM[[#This Row],[Station/Feeder]],TIM[[#This Row],[Voltage]],TIM[[#This Row],[Lowest A-No PTX]])</f>
        <v>SubTransmissionCB3_HNT-GRM A11297.464</v>
      </c>
      <c r="BE223" s="9" t="str">
        <f>CONCATENATE(TIM[[#This Row],[Supply Level]],TIM[[#This Row],[Station/Feeder]],TIM[[#This Row],[Voltage]],TIM[[#This Row],[Lowest A-PTX]])</f>
        <v>SubTransmissionCB3_HNT-GRM A11297.464</v>
      </c>
      <c r="BF223" s="9">
        <f>IFERROR(IF(MIN(TIM[[#This Row],[Summ Cont Winter A]:[Cable Derating]])=0,"",MIN(TIM[[#This Row],[Summ Cont Winter A]:[Cable Derating]])),"")</f>
        <v>5.6674503756493531</v>
      </c>
      <c r="BG223" s="9">
        <f>IFERROR(TIM[[#This Row],[Lowest MVA]]*1000/(TIM[[#This Row],[Voltage]]*SQRT(3)),"")</f>
        <v>297.464</v>
      </c>
      <c r="BH223" s="9">
        <f t="shared" si="323"/>
        <v>297.464</v>
      </c>
      <c r="BI223" s="9" t="str">
        <f>TIM[[#This Row],[From]]</f>
        <v xml:space="preserve">TEGRASMERE 4 </v>
      </c>
      <c r="BJ223" s="9" t="str">
        <f>TIM[[#This Row],[To]]</f>
        <v>TEHUNT3</v>
      </c>
      <c r="BK22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 xml:space="preserve">Cable-3c 0.3in² Cu PILC SWA </v>
      </c>
      <c r="BL223" s="9">
        <f>TIM[[#This Row],[Voltage]]</f>
        <v>11</v>
      </c>
    </row>
    <row r="224" spans="1:64" ht="15" customHeight="1" x14ac:dyDescent="0.25">
      <c r="A224" s="6" t="str">
        <f>CONCATENATE(TIM[[#This Row],[Supply Level]],TIM[[#This Row],[Station/Feeder]],TIM[[#This Row],[Voltage]])</f>
        <v>DistributionFeederCB4_Baker St11</v>
      </c>
      <c r="B224" s="6" t="str">
        <f>CONCATENATE(TIM[[#This Row],[Supply Level]],TIM[[#This Row],[Station/Feeder]],TIM[[#This Row],[Equipment ID]],TIM[[#This Row],[Voltage]],TIM[[#This Row],[Device type]])</f>
        <v>DistributionFeederCB4_Baker StHNT-CB411Protection</v>
      </c>
      <c r="C224" s="6" t="s">
        <v>1276</v>
      </c>
      <c r="D224" s="11" t="s">
        <v>213</v>
      </c>
      <c r="E224" s="6" t="s">
        <v>243</v>
      </c>
      <c r="F224" s="6" t="s">
        <v>950</v>
      </c>
      <c r="G224" s="27">
        <v>1</v>
      </c>
      <c r="H224" s="7" t="s">
        <v>945</v>
      </c>
      <c r="I224" s="7" t="s">
        <v>2257</v>
      </c>
      <c r="J224" s="7" t="s">
        <v>15</v>
      </c>
      <c r="K224" s="7" t="s">
        <v>791</v>
      </c>
      <c r="L224" s="7" t="s">
        <v>1423</v>
      </c>
      <c r="M224" s="8">
        <v>11</v>
      </c>
      <c r="N224" s="9">
        <v>630</v>
      </c>
      <c r="O224" s="9">
        <f t="shared" si="0"/>
        <v>12.00311209645232</v>
      </c>
      <c r="P224" s="9">
        <v>630</v>
      </c>
      <c r="Q224" s="9">
        <f t="shared" si="1"/>
        <v>12.00311209645232</v>
      </c>
      <c r="R224" s="9">
        <v>630</v>
      </c>
      <c r="S224" s="9">
        <f t="shared" si="2"/>
        <v>12.00311209645232</v>
      </c>
      <c r="T224" s="9" t="s">
        <v>0</v>
      </c>
      <c r="U224" s="9" t="str">
        <f t="shared" si="3"/>
        <v>-</v>
      </c>
      <c r="V224" s="9" t="s">
        <v>0</v>
      </c>
      <c r="W224" s="9" t="str">
        <f t="shared" si="4"/>
        <v>-</v>
      </c>
      <c r="X224" s="9">
        <f>VLOOKUP(TIM[[#This Row],[Equipment ID]],AEL_Protection_Data[#All],12,0)</f>
        <v>200</v>
      </c>
      <c r="Y224" s="9">
        <f t="shared" si="5"/>
        <v>3.8105117766515302</v>
      </c>
      <c r="Z224" s="9" t="s">
        <v>0</v>
      </c>
      <c r="AA224" s="9" t="str">
        <f t="shared" si="6"/>
        <v>-</v>
      </c>
      <c r="AB224" s="9">
        <v>800</v>
      </c>
      <c r="AC224" s="9">
        <f t="shared" si="7"/>
        <v>15.242047106606121</v>
      </c>
      <c r="AD224" s="9">
        <v>800</v>
      </c>
      <c r="AE224" s="12">
        <f t="shared" si="8"/>
        <v>15.242047106606121</v>
      </c>
      <c r="AF224" s="9" t="s">
        <v>0</v>
      </c>
      <c r="AG224" s="9" t="s">
        <v>0</v>
      </c>
      <c r="AH224" s="9" t="s">
        <v>0</v>
      </c>
      <c r="AI224" s="9" t="s">
        <v>0</v>
      </c>
      <c r="AJ224" s="32" t="s">
        <v>0</v>
      </c>
      <c r="AK224" s="9" t="s">
        <v>0</v>
      </c>
      <c r="AL224" s="32" t="s">
        <v>0</v>
      </c>
      <c r="AM224" s="9" t="s">
        <v>0</v>
      </c>
      <c r="AN224" s="32" t="s">
        <v>0</v>
      </c>
      <c r="AO224" s="9" t="s">
        <v>0</v>
      </c>
      <c r="AP224" s="9" t="s">
        <v>0</v>
      </c>
      <c r="AQ224" s="32" t="s">
        <v>0</v>
      </c>
      <c r="AR22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24" s="9" t="str">
        <f t="shared" si="9"/>
        <v>-</v>
      </c>
      <c r="AT224" s="9">
        <f>IF(RIGHT(TIM[[#This Row],[Device type]],7)="Winding","-",TIM[[#This Row],[Cont Winter MVA]])</f>
        <v>12.00311209645232</v>
      </c>
      <c r="AU224" s="9">
        <f>IF(RIGHT(TIM[[#This Row],[Device type]],7)="Winding","-",TIM[[#This Row],[Cont Shoulder MVA]])</f>
        <v>12.00311209645232</v>
      </c>
      <c r="AV224" s="9">
        <f>IF(RIGHT(TIM[[#This Row],[Device type]],7)="Winding","-",TIM[[#This Row],[Cont Summer MVA]])</f>
        <v>12.00311209645232</v>
      </c>
      <c r="AW224" s="9" t="str">
        <f>TIM[[#This Row],[24 Hr Winter MVA]]</f>
        <v>-</v>
      </c>
      <c r="AX224" s="9" t="str">
        <f>TIM[[#This Row],[24 Hr Summer MVA]]</f>
        <v>-</v>
      </c>
      <c r="AY224" s="9">
        <f>TIM[[#This Row],[Forwards MVA]]</f>
        <v>3.8105117766515302</v>
      </c>
      <c r="AZ224" s="9">
        <f>TIM[[#This Row],[Relay MVA]]</f>
        <v>15.242047106606121</v>
      </c>
      <c r="BA224" s="9">
        <f>TIM[[#This Row],[CT MVA]]</f>
        <v>15.242047106606121</v>
      </c>
      <c r="BB224" s="9" t="str">
        <f>TIM[[#This Row],[Derating MVA]]</f>
        <v>-</v>
      </c>
      <c r="BC224" s="9" t="str">
        <f>TIM[[#This Row],[Station/Feeder]]&amp;TIM[[#This Row],[Lowest MVA]]</f>
        <v>CB4_Baker St3.81051177665153</v>
      </c>
      <c r="BD224" s="9" t="str">
        <f>CONCATENATE(TIM[[#This Row],[Supply Level]],TIM[[#This Row],[Station/Feeder]],TIM[[#This Row],[Voltage]],TIM[[#This Row],[Lowest A-No PTX]])</f>
        <v>DistributionFeederCB4_Baker St11200</v>
      </c>
      <c r="BE224" s="9" t="str">
        <f>CONCATENATE(TIM[[#This Row],[Supply Level]],TIM[[#This Row],[Station/Feeder]],TIM[[#This Row],[Voltage]],TIM[[#This Row],[Lowest A-PTX]])</f>
        <v>DistributionFeederCB4_Baker St11200</v>
      </c>
      <c r="BF224" s="9">
        <f>IFERROR(IF(MIN(TIM[[#This Row],[Summ Cont Winter A]:[Cable Derating]])=0,"",MIN(TIM[[#This Row],[Summ Cont Winter A]:[Cable Derating]])),"")</f>
        <v>3.8105117766515302</v>
      </c>
      <c r="BG224" s="9">
        <f>IFERROR(TIM[[#This Row],[Lowest MVA]]*1000/(TIM[[#This Row],[Voltage]]*SQRT(3)),"")</f>
        <v>200</v>
      </c>
      <c r="BH224" s="9">
        <f t="shared" si="323"/>
        <v>200</v>
      </c>
      <c r="BI224" s="9" t="str">
        <f>TIM[[#This Row],[From]]</f>
        <v>11 kV Bus</v>
      </c>
      <c r="BJ224" s="9" t="str">
        <f>TIM[[#This Row],[To]]</f>
        <v>TEHUNT4</v>
      </c>
      <c r="BK22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Breaker-HNT-CB4-Protection</v>
      </c>
      <c r="BL224" s="9">
        <f>TIM[[#This Row],[Voltage]]</f>
        <v>11</v>
      </c>
    </row>
    <row r="225" spans="1:64" ht="15" customHeight="1" x14ac:dyDescent="0.25">
      <c r="A225" s="6" t="str">
        <f>CONCATENATE(TIM[[#This Row],[Supply Level]],TIM[[#This Row],[Station/Feeder]],TIM[[#This Row],[Voltage]])</f>
        <v>DistributionFeederCB4_Baker St11</v>
      </c>
      <c r="B225" s="6" t="str">
        <f>CONCATENATE(TIM[[#This Row],[Supply Level]],TIM[[#This Row],[Station/Feeder]],TIM[[#This Row],[Equipment ID]],TIM[[#This Row],[Voltage]],TIM[[#This Row],[Device type]])</f>
        <v>DistributionFeederCB4_Baker St3c 185mm² Al PILC SWAS11-</v>
      </c>
      <c r="C225" s="6" t="s">
        <v>1276</v>
      </c>
      <c r="D225" s="11" t="s">
        <v>213</v>
      </c>
      <c r="E225" s="6" t="s">
        <v>950</v>
      </c>
      <c r="F225" s="6" t="s">
        <v>750</v>
      </c>
      <c r="G225" s="27">
        <v>2</v>
      </c>
      <c r="H225" s="7" t="s">
        <v>888</v>
      </c>
      <c r="I225" s="7" t="s">
        <v>901</v>
      </c>
      <c r="J225" s="7" t="s">
        <v>250</v>
      </c>
      <c r="K225" s="7" t="s">
        <v>0</v>
      </c>
      <c r="L225" s="7" t="s">
        <v>0</v>
      </c>
      <c r="M225" s="8">
        <v>11</v>
      </c>
      <c r="N225" s="9">
        <v>300</v>
      </c>
      <c r="O225" s="9">
        <f t="shared" si="0"/>
        <v>5.715767664977295</v>
      </c>
      <c r="P225" s="9">
        <v>300</v>
      </c>
      <c r="Q225" s="9">
        <f t="shared" si="1"/>
        <v>5.715767664977295</v>
      </c>
      <c r="R225" s="9">
        <v>300</v>
      </c>
      <c r="S225" s="9">
        <f t="shared" si="2"/>
        <v>5.715767664977295</v>
      </c>
      <c r="T225" s="9" t="s">
        <v>0</v>
      </c>
      <c r="U225" s="9" t="str">
        <f t="shared" si="3"/>
        <v>-</v>
      </c>
      <c r="V225" s="9" t="s">
        <v>0</v>
      </c>
      <c r="W225" s="9" t="str">
        <f t="shared" si="4"/>
        <v>-</v>
      </c>
      <c r="X225" s="9" t="s">
        <v>0</v>
      </c>
      <c r="Y225" s="9" t="str">
        <f t="shared" si="5"/>
        <v>-</v>
      </c>
      <c r="Z225" s="9" t="s">
        <v>0</v>
      </c>
      <c r="AA225" s="9" t="str">
        <f t="shared" si="6"/>
        <v>-</v>
      </c>
      <c r="AB225" s="9" t="s">
        <v>0</v>
      </c>
      <c r="AC225" s="9" t="str">
        <f t="shared" si="7"/>
        <v>-</v>
      </c>
      <c r="AD225" s="9" t="s">
        <v>0</v>
      </c>
      <c r="AE225" s="12" t="str">
        <f t="shared" si="8"/>
        <v>-</v>
      </c>
      <c r="AF225" s="9" t="s">
        <v>716</v>
      </c>
      <c r="AG225" s="9" t="s">
        <v>0</v>
      </c>
      <c r="AH225" s="9">
        <v>519.6</v>
      </c>
      <c r="AI225" s="9">
        <v>0.85</v>
      </c>
      <c r="AJ225" s="32">
        <v>1.02</v>
      </c>
      <c r="AK225" s="9">
        <v>18.5</v>
      </c>
      <c r="AL225" s="32">
        <v>0.95</v>
      </c>
      <c r="AM225" s="9">
        <v>1.2</v>
      </c>
      <c r="AN225" s="32">
        <v>1</v>
      </c>
      <c r="AO225" s="9">
        <v>2</v>
      </c>
      <c r="AP225" s="9">
        <v>0.11</v>
      </c>
      <c r="AQ225" s="32">
        <v>0.8</v>
      </c>
      <c r="AR225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232.56</v>
      </c>
      <c r="AS225" s="9">
        <f t="shared" si="9"/>
        <v>4.430863093890399</v>
      </c>
      <c r="AT225" s="9">
        <f>IF(RIGHT(TIM[[#This Row],[Device type]],7)="Winding","-",TIM[[#This Row],[Cont Winter MVA]])</f>
        <v>5.715767664977295</v>
      </c>
      <c r="AU225" s="9">
        <f>IF(RIGHT(TIM[[#This Row],[Device type]],7)="Winding","-",TIM[[#This Row],[Cont Shoulder MVA]])</f>
        <v>5.715767664977295</v>
      </c>
      <c r="AV225" s="9">
        <f>IF(RIGHT(TIM[[#This Row],[Device type]],7)="Winding","-",TIM[[#This Row],[Cont Summer MVA]])</f>
        <v>5.715767664977295</v>
      </c>
      <c r="AW225" s="9" t="str">
        <f>TIM[[#This Row],[24 Hr Winter MVA]]</f>
        <v>-</v>
      </c>
      <c r="AX225" s="9" t="str">
        <f>TIM[[#This Row],[24 Hr Summer MVA]]</f>
        <v>-</v>
      </c>
      <c r="AY225" s="9" t="str">
        <f>TIM[[#This Row],[Forwards MVA]]</f>
        <v>-</v>
      </c>
      <c r="AZ225" s="9" t="str">
        <f>TIM[[#This Row],[Relay MVA]]</f>
        <v>-</v>
      </c>
      <c r="BA225" s="9" t="str">
        <f>TIM[[#This Row],[CT MVA]]</f>
        <v>-</v>
      </c>
      <c r="BB225" s="9">
        <f>TIM[[#This Row],[Derating MVA]]</f>
        <v>4.430863093890399</v>
      </c>
      <c r="BC225" s="9" t="str">
        <f>TIM[[#This Row],[Station/Feeder]]&amp;TIM[[#This Row],[Lowest MVA]]</f>
        <v>CB4_Baker St4.4308630938904</v>
      </c>
      <c r="BD225" s="9" t="str">
        <f>CONCATENATE(TIM[[#This Row],[Supply Level]],TIM[[#This Row],[Station/Feeder]],TIM[[#This Row],[Voltage]],TIM[[#This Row],[Lowest A-No PTX]])</f>
        <v>DistributionFeederCB4_Baker St11232.56</v>
      </c>
      <c r="BE225" s="9" t="str">
        <f>CONCATENATE(TIM[[#This Row],[Supply Level]],TIM[[#This Row],[Station/Feeder]],TIM[[#This Row],[Voltage]],TIM[[#This Row],[Lowest A-PTX]])</f>
        <v>DistributionFeederCB4_Baker St11232.56</v>
      </c>
      <c r="BF225" s="9">
        <f>IFERROR(IF(MIN(TIM[[#This Row],[Summ Cont Winter A]:[Cable Derating]])=0,"",MIN(TIM[[#This Row],[Summ Cont Winter A]:[Cable Derating]])),"")</f>
        <v>4.430863093890399</v>
      </c>
      <c r="BG225" s="9">
        <f>IFERROR(TIM[[#This Row],[Lowest MVA]]*1000/(TIM[[#This Row],[Voltage]]*SQRT(3)),"")</f>
        <v>232.56</v>
      </c>
      <c r="BH225" s="9">
        <f t="shared" si="323"/>
        <v>232.56</v>
      </c>
      <c r="BI225" s="9" t="str">
        <f>TIM[[#This Row],[From]]</f>
        <v>TEHUNT4</v>
      </c>
      <c r="BJ225" s="9" t="str">
        <f>TIM[[#This Row],[To]]</f>
        <v>Joint</v>
      </c>
      <c r="BK22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PILC SWAS</v>
      </c>
      <c r="BL225" s="9">
        <f>TIM[[#This Row],[Voltage]]</f>
        <v>11</v>
      </c>
    </row>
    <row r="226" spans="1:64" ht="15" customHeight="1" x14ac:dyDescent="0.25">
      <c r="A226" s="6" t="str">
        <f>CONCATENATE(TIM[[#This Row],[Supply Level]],TIM[[#This Row],[Station/Feeder]],TIM[[#This Row],[Voltage]])</f>
        <v>DistributionFeederCB4_Baker St11</v>
      </c>
      <c r="B226" s="6" t="str">
        <f>CONCATENATE(TIM[[#This Row],[Supply Level]],TIM[[#This Row],[Station/Feeder]],TIM[[#This Row],[Equipment ID]],TIM[[#This Row],[Voltage]],TIM[[#This Row],[Device type]])</f>
        <v>DistributionFeederCB4_Baker St3c 0.25in² Al PILC DSTA11-</v>
      </c>
      <c r="C226" s="6" t="s">
        <v>1276</v>
      </c>
      <c r="D226" s="11" t="s">
        <v>213</v>
      </c>
      <c r="E226" s="14" t="s">
        <v>750</v>
      </c>
      <c r="F226" s="6" t="s">
        <v>951</v>
      </c>
      <c r="G226" s="27">
        <v>3</v>
      </c>
      <c r="H226" s="7" t="s">
        <v>888</v>
      </c>
      <c r="I226" s="7" t="s">
        <v>952</v>
      </c>
      <c r="J226" s="7" t="s">
        <v>250</v>
      </c>
      <c r="K226" s="7" t="s">
        <v>0</v>
      </c>
      <c r="L226" s="7" t="s">
        <v>0</v>
      </c>
      <c r="M226" s="8">
        <v>11</v>
      </c>
      <c r="N226" s="16">
        <v>270</v>
      </c>
      <c r="O226" s="9">
        <f t="shared" si="0"/>
        <v>5.1441908984795655</v>
      </c>
      <c r="P226" s="16">
        <v>270</v>
      </c>
      <c r="Q226" s="9">
        <f t="shared" si="1"/>
        <v>5.1441908984795655</v>
      </c>
      <c r="R226" s="16">
        <v>270</v>
      </c>
      <c r="S226" s="9">
        <f t="shared" si="2"/>
        <v>5.1441908984795655</v>
      </c>
      <c r="T226" s="9" t="s">
        <v>0</v>
      </c>
      <c r="U226" s="9" t="str">
        <f t="shared" si="3"/>
        <v>-</v>
      </c>
      <c r="V226" s="9" t="s">
        <v>0</v>
      </c>
      <c r="W226" s="9" t="str">
        <f t="shared" si="4"/>
        <v>-</v>
      </c>
      <c r="X226" s="9" t="s">
        <v>0</v>
      </c>
      <c r="Y226" s="9" t="str">
        <f t="shared" si="5"/>
        <v>-</v>
      </c>
      <c r="Z226" s="9" t="s">
        <v>0</v>
      </c>
      <c r="AA226" s="9" t="str">
        <f t="shared" si="6"/>
        <v>-</v>
      </c>
      <c r="AB226" s="9" t="s">
        <v>0</v>
      </c>
      <c r="AC226" s="9" t="str">
        <f t="shared" si="7"/>
        <v>-</v>
      </c>
      <c r="AD226" s="9" t="s">
        <v>0</v>
      </c>
      <c r="AE226" s="12" t="str">
        <f t="shared" si="8"/>
        <v>-</v>
      </c>
      <c r="AF226" s="9" t="s">
        <v>716</v>
      </c>
      <c r="AG226" s="9" t="s">
        <v>0</v>
      </c>
      <c r="AH226" s="9">
        <v>192.7</v>
      </c>
      <c r="AI226" s="9">
        <v>0.85</v>
      </c>
      <c r="AJ226" s="32">
        <v>1.02</v>
      </c>
      <c r="AK226" s="9">
        <v>18.5</v>
      </c>
      <c r="AL226" s="32">
        <v>0.95</v>
      </c>
      <c r="AM226" s="9">
        <v>1.2</v>
      </c>
      <c r="AN226" s="32">
        <v>1</v>
      </c>
      <c r="AO226" s="9">
        <v>2</v>
      </c>
      <c r="AP226" s="9">
        <v>0.11</v>
      </c>
      <c r="AQ226" s="32">
        <v>0.8</v>
      </c>
      <c r="AR226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209.304</v>
      </c>
      <c r="AS226" s="9">
        <f t="shared" si="9"/>
        <v>3.9877767845013592</v>
      </c>
      <c r="AT226" s="9">
        <f>IF(RIGHT(TIM[[#This Row],[Device type]],7)="Winding","-",TIM[[#This Row],[Cont Winter MVA]])</f>
        <v>5.1441908984795655</v>
      </c>
      <c r="AU226" s="9">
        <f>IF(RIGHT(TIM[[#This Row],[Device type]],7)="Winding","-",TIM[[#This Row],[Cont Shoulder MVA]])</f>
        <v>5.1441908984795655</v>
      </c>
      <c r="AV226" s="9">
        <f>IF(RIGHT(TIM[[#This Row],[Device type]],7)="Winding","-",TIM[[#This Row],[Cont Summer MVA]])</f>
        <v>5.1441908984795655</v>
      </c>
      <c r="AW226" s="9" t="str">
        <f>TIM[[#This Row],[24 Hr Winter MVA]]</f>
        <v>-</v>
      </c>
      <c r="AX226" s="9" t="str">
        <f>TIM[[#This Row],[24 Hr Summer MVA]]</f>
        <v>-</v>
      </c>
      <c r="AY226" s="9" t="str">
        <f>TIM[[#This Row],[Forwards MVA]]</f>
        <v>-</v>
      </c>
      <c r="AZ226" s="9" t="str">
        <f>TIM[[#This Row],[Relay MVA]]</f>
        <v>-</v>
      </c>
      <c r="BA226" s="9" t="str">
        <f>TIM[[#This Row],[CT MVA]]</f>
        <v>-</v>
      </c>
      <c r="BB226" s="9">
        <f>TIM[[#This Row],[Derating MVA]]</f>
        <v>3.9877767845013592</v>
      </c>
      <c r="BC226" s="9" t="str">
        <f>TIM[[#This Row],[Station/Feeder]]&amp;TIM[[#This Row],[Lowest MVA]]</f>
        <v>CB4_Baker St3.98777678450136</v>
      </c>
      <c r="BD226" s="9" t="str">
        <f>CONCATENATE(TIM[[#This Row],[Supply Level]],TIM[[#This Row],[Station/Feeder]],TIM[[#This Row],[Voltage]],TIM[[#This Row],[Lowest A-No PTX]])</f>
        <v>DistributionFeederCB4_Baker St11209.304</v>
      </c>
      <c r="BE226" s="9" t="str">
        <f>CONCATENATE(TIM[[#This Row],[Supply Level]],TIM[[#This Row],[Station/Feeder]],TIM[[#This Row],[Voltage]],TIM[[#This Row],[Lowest A-PTX]])</f>
        <v>DistributionFeederCB4_Baker St11209.304</v>
      </c>
      <c r="BF226" s="9">
        <f>IFERROR(IF(MIN(TIM[[#This Row],[Summ Cont Winter A]:[Cable Derating]])=0,"",MIN(TIM[[#This Row],[Summ Cont Winter A]:[Cable Derating]])),"")</f>
        <v>3.9877767845013592</v>
      </c>
      <c r="BG226" s="9">
        <f>IFERROR(TIM[[#This Row],[Lowest MVA]]*1000/(TIM[[#This Row],[Voltage]]*SQRT(3)),"")</f>
        <v>209.304</v>
      </c>
      <c r="BH226" s="9">
        <f t="shared" si="323"/>
        <v>209.304</v>
      </c>
      <c r="BI226" s="9" t="str">
        <f>TIM[[#This Row],[From]]</f>
        <v>Joint</v>
      </c>
      <c r="BJ226" s="9" t="str">
        <f>TIM[[#This Row],[To]]</f>
        <v>TED5</v>
      </c>
      <c r="BK22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0.25in² Al PILC DSTA</v>
      </c>
      <c r="BL226" s="9">
        <f>TIM[[#This Row],[Voltage]]</f>
        <v>11</v>
      </c>
    </row>
    <row r="227" spans="1:64" ht="15" customHeight="1" x14ac:dyDescent="0.25">
      <c r="A227" s="6" t="str">
        <f>CONCATENATE(TIM[[#This Row],[Supply Level]],TIM[[#This Row],[Station/Feeder]],TIM[[#This Row],[Voltage]])</f>
        <v>DistributionFeederCB5_Le Cren St11</v>
      </c>
      <c r="B227" s="6" t="str">
        <f>CONCATENATE(TIM[[#This Row],[Supply Level]],TIM[[#This Row],[Station/Feeder]],TIM[[#This Row],[Equipment ID]],TIM[[#This Row],[Voltage]],TIM[[#This Row],[Device type]])</f>
        <v>DistributionFeederCB5_Le Cren StHNT-CB511Protection</v>
      </c>
      <c r="C227" s="6" t="s">
        <v>1276</v>
      </c>
      <c r="D227" s="11" t="s">
        <v>216</v>
      </c>
      <c r="E227" s="6" t="s">
        <v>243</v>
      </c>
      <c r="F227" s="6" t="s">
        <v>953</v>
      </c>
      <c r="G227" s="27">
        <v>1</v>
      </c>
      <c r="H227" s="7" t="s">
        <v>945</v>
      </c>
      <c r="I227" s="7" t="s">
        <v>2258</v>
      </c>
      <c r="J227" s="7" t="s">
        <v>15</v>
      </c>
      <c r="K227" s="7" t="s">
        <v>791</v>
      </c>
      <c r="L227" s="7" t="s">
        <v>1423</v>
      </c>
      <c r="M227" s="8">
        <v>11</v>
      </c>
      <c r="N227" s="9">
        <v>630</v>
      </c>
      <c r="O227" s="9">
        <f t="shared" si="0"/>
        <v>12.00311209645232</v>
      </c>
      <c r="P227" s="9">
        <v>630</v>
      </c>
      <c r="Q227" s="9">
        <f t="shared" si="1"/>
        <v>12.00311209645232</v>
      </c>
      <c r="R227" s="9">
        <v>630</v>
      </c>
      <c r="S227" s="9">
        <f t="shared" si="2"/>
        <v>12.00311209645232</v>
      </c>
      <c r="T227" s="9" t="s">
        <v>0</v>
      </c>
      <c r="U227" s="9" t="str">
        <f t="shared" si="3"/>
        <v>-</v>
      </c>
      <c r="V227" s="9" t="s">
        <v>0</v>
      </c>
      <c r="W227" s="9" t="str">
        <f t="shared" si="4"/>
        <v>-</v>
      </c>
      <c r="X227" s="9">
        <f>VLOOKUP(TIM[[#This Row],[Equipment ID]],AEL_Protection_Data[#All],12,0)</f>
        <v>200</v>
      </c>
      <c r="Y227" s="9">
        <f t="shared" si="5"/>
        <v>3.8105117766515302</v>
      </c>
      <c r="Z227" s="9" t="s">
        <v>0</v>
      </c>
      <c r="AA227" s="9" t="str">
        <f t="shared" si="6"/>
        <v>-</v>
      </c>
      <c r="AB227" s="9">
        <v>800</v>
      </c>
      <c r="AC227" s="9">
        <f t="shared" si="7"/>
        <v>15.242047106606121</v>
      </c>
      <c r="AD227" s="9">
        <v>800</v>
      </c>
      <c r="AE227" s="12">
        <f t="shared" si="8"/>
        <v>15.242047106606121</v>
      </c>
      <c r="AF227" s="9" t="s">
        <v>0</v>
      </c>
      <c r="AG227" s="9" t="s">
        <v>0</v>
      </c>
      <c r="AH227" s="9" t="s">
        <v>0</v>
      </c>
      <c r="AI227" s="9" t="s">
        <v>0</v>
      </c>
      <c r="AJ227" s="32" t="s">
        <v>0</v>
      </c>
      <c r="AK227" s="9" t="s">
        <v>0</v>
      </c>
      <c r="AL227" s="32" t="s">
        <v>0</v>
      </c>
      <c r="AM227" s="9" t="s">
        <v>0</v>
      </c>
      <c r="AN227" s="32" t="s">
        <v>0</v>
      </c>
      <c r="AO227" s="9" t="s">
        <v>0</v>
      </c>
      <c r="AP227" s="9" t="s">
        <v>0</v>
      </c>
      <c r="AQ227" s="32" t="s">
        <v>0</v>
      </c>
      <c r="AR227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27" s="9" t="str">
        <f t="shared" si="9"/>
        <v>-</v>
      </c>
      <c r="AT227" s="9">
        <f>IF(RIGHT(TIM[[#This Row],[Device type]],7)="Winding","-",TIM[[#This Row],[Cont Winter MVA]])</f>
        <v>12.00311209645232</v>
      </c>
      <c r="AU227" s="9">
        <f>IF(RIGHT(TIM[[#This Row],[Device type]],7)="Winding","-",TIM[[#This Row],[Cont Shoulder MVA]])</f>
        <v>12.00311209645232</v>
      </c>
      <c r="AV227" s="9">
        <f>IF(RIGHT(TIM[[#This Row],[Device type]],7)="Winding","-",TIM[[#This Row],[Cont Summer MVA]])</f>
        <v>12.00311209645232</v>
      </c>
      <c r="AW227" s="9" t="str">
        <f>TIM[[#This Row],[24 Hr Winter MVA]]</f>
        <v>-</v>
      </c>
      <c r="AX227" s="9" t="str">
        <f>TIM[[#This Row],[24 Hr Summer MVA]]</f>
        <v>-</v>
      </c>
      <c r="AY227" s="9">
        <f>TIM[[#This Row],[Forwards MVA]]</f>
        <v>3.8105117766515302</v>
      </c>
      <c r="AZ227" s="9">
        <f>TIM[[#This Row],[Relay MVA]]</f>
        <v>15.242047106606121</v>
      </c>
      <c r="BA227" s="9">
        <f>TIM[[#This Row],[CT MVA]]</f>
        <v>15.242047106606121</v>
      </c>
      <c r="BB227" s="9" t="str">
        <f>TIM[[#This Row],[Derating MVA]]</f>
        <v>-</v>
      </c>
      <c r="BC227" s="9" t="str">
        <f>TIM[[#This Row],[Station/Feeder]]&amp;TIM[[#This Row],[Lowest MVA]]</f>
        <v>CB5_Le Cren St3.81051177665153</v>
      </c>
      <c r="BD227" s="9" t="str">
        <f>CONCATENATE(TIM[[#This Row],[Supply Level]],TIM[[#This Row],[Station/Feeder]],TIM[[#This Row],[Voltage]],TIM[[#This Row],[Lowest A-No PTX]])</f>
        <v>DistributionFeederCB5_Le Cren St11200</v>
      </c>
      <c r="BE227" s="9" t="str">
        <f>CONCATENATE(TIM[[#This Row],[Supply Level]],TIM[[#This Row],[Station/Feeder]],TIM[[#This Row],[Voltage]],TIM[[#This Row],[Lowest A-PTX]])</f>
        <v>DistributionFeederCB5_Le Cren St11200</v>
      </c>
      <c r="BF227" s="9">
        <f>IFERROR(IF(MIN(TIM[[#This Row],[Summ Cont Winter A]:[Cable Derating]])=0,"",MIN(TIM[[#This Row],[Summ Cont Winter A]:[Cable Derating]])),"")</f>
        <v>3.8105117766515302</v>
      </c>
      <c r="BG227" s="9">
        <f>IFERROR(TIM[[#This Row],[Lowest MVA]]*1000/(TIM[[#This Row],[Voltage]]*SQRT(3)),"")</f>
        <v>200</v>
      </c>
      <c r="BH227" s="9">
        <f t="shared" si="323"/>
        <v>200</v>
      </c>
      <c r="BI227" s="9" t="str">
        <f>TIM[[#This Row],[From]]</f>
        <v>11 kV Bus</v>
      </c>
      <c r="BJ227" s="9" t="str">
        <f>TIM[[#This Row],[To]]</f>
        <v>TEHUNT5</v>
      </c>
      <c r="BK22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Breaker-HNT-CB5-Protection</v>
      </c>
      <c r="BL227" s="9">
        <f>TIM[[#This Row],[Voltage]]</f>
        <v>11</v>
      </c>
    </row>
    <row r="228" spans="1:64" ht="15" customHeight="1" x14ac:dyDescent="0.25">
      <c r="A228" s="6" t="str">
        <f>CONCATENATE(TIM[[#This Row],[Supply Level]],TIM[[#This Row],[Station/Feeder]],TIM[[#This Row],[Voltage]])</f>
        <v>DistributionFeederCB5_Le Cren St11</v>
      </c>
      <c r="B228" s="6" t="str">
        <f>CONCATENATE(TIM[[#This Row],[Supply Level]],TIM[[#This Row],[Station/Feeder]],TIM[[#This Row],[Equipment ID]],TIM[[#This Row],[Voltage]],TIM[[#This Row],[Device type]])</f>
        <v>DistributionFeederCB5_Le Cren St3c 185mm² Al PILC SWAS11-</v>
      </c>
      <c r="C228" s="6" t="s">
        <v>1276</v>
      </c>
      <c r="D228" s="11" t="s">
        <v>216</v>
      </c>
      <c r="E228" s="6" t="s">
        <v>953</v>
      </c>
      <c r="F228" s="6" t="s">
        <v>750</v>
      </c>
      <c r="G228" s="27">
        <v>2</v>
      </c>
      <c r="H228" s="7" t="s">
        <v>888</v>
      </c>
      <c r="I228" s="7" t="s">
        <v>901</v>
      </c>
      <c r="J228" s="7" t="s">
        <v>250</v>
      </c>
      <c r="K228" s="7" t="s">
        <v>0</v>
      </c>
      <c r="L228" s="7" t="s">
        <v>0</v>
      </c>
      <c r="M228" s="8">
        <v>11</v>
      </c>
      <c r="N228" s="9">
        <v>300</v>
      </c>
      <c r="O228" s="9">
        <f t="shared" si="0"/>
        <v>5.715767664977295</v>
      </c>
      <c r="P228" s="9">
        <v>300</v>
      </c>
      <c r="Q228" s="9">
        <f t="shared" si="1"/>
        <v>5.715767664977295</v>
      </c>
      <c r="R228" s="9">
        <v>300</v>
      </c>
      <c r="S228" s="9">
        <f t="shared" si="2"/>
        <v>5.715767664977295</v>
      </c>
      <c r="T228" s="9" t="s">
        <v>0</v>
      </c>
      <c r="U228" s="9" t="str">
        <f t="shared" si="3"/>
        <v>-</v>
      </c>
      <c r="V228" s="9" t="s">
        <v>0</v>
      </c>
      <c r="W228" s="9" t="str">
        <f t="shared" si="4"/>
        <v>-</v>
      </c>
      <c r="X228" s="9" t="s">
        <v>0</v>
      </c>
      <c r="Y228" s="9" t="str">
        <f t="shared" si="5"/>
        <v>-</v>
      </c>
      <c r="Z228" s="9" t="s">
        <v>0</v>
      </c>
      <c r="AA228" s="9" t="str">
        <f t="shared" si="6"/>
        <v>-</v>
      </c>
      <c r="AB228" s="9" t="s">
        <v>0</v>
      </c>
      <c r="AC228" s="9" t="str">
        <f t="shared" si="7"/>
        <v>-</v>
      </c>
      <c r="AD228" s="9" t="s">
        <v>0</v>
      </c>
      <c r="AE228" s="12" t="str">
        <f t="shared" si="8"/>
        <v>-</v>
      </c>
      <c r="AF228" s="9" t="s">
        <v>716</v>
      </c>
      <c r="AG228" s="9" t="s">
        <v>0</v>
      </c>
      <c r="AH228" s="9">
        <v>307.60000000000002</v>
      </c>
      <c r="AI228" s="9">
        <v>0.85</v>
      </c>
      <c r="AJ228" s="32">
        <v>1.03</v>
      </c>
      <c r="AK228" s="9">
        <v>18.5</v>
      </c>
      <c r="AL228" s="32">
        <v>0.95</v>
      </c>
      <c r="AM228" s="9">
        <v>1.2</v>
      </c>
      <c r="AN228" s="32">
        <v>1</v>
      </c>
      <c r="AO228" s="9">
        <v>3</v>
      </c>
      <c r="AP228" s="9">
        <v>0</v>
      </c>
      <c r="AQ228" s="32">
        <v>0.7</v>
      </c>
      <c r="AR228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205.48499999999999</v>
      </c>
      <c r="AS228" s="9">
        <f t="shared" si="9"/>
        <v>3.9150150621261983</v>
      </c>
      <c r="AT228" s="9">
        <f>IF(RIGHT(TIM[[#This Row],[Device type]],7)="Winding","-",TIM[[#This Row],[Cont Winter MVA]])</f>
        <v>5.715767664977295</v>
      </c>
      <c r="AU228" s="9">
        <f>IF(RIGHT(TIM[[#This Row],[Device type]],7)="Winding","-",TIM[[#This Row],[Cont Shoulder MVA]])</f>
        <v>5.715767664977295</v>
      </c>
      <c r="AV228" s="9">
        <f>IF(RIGHT(TIM[[#This Row],[Device type]],7)="Winding","-",TIM[[#This Row],[Cont Summer MVA]])</f>
        <v>5.715767664977295</v>
      </c>
      <c r="AW228" s="9" t="str">
        <f>TIM[[#This Row],[24 Hr Winter MVA]]</f>
        <v>-</v>
      </c>
      <c r="AX228" s="9" t="str">
        <f>TIM[[#This Row],[24 Hr Summer MVA]]</f>
        <v>-</v>
      </c>
      <c r="AY228" s="9" t="str">
        <f>TIM[[#This Row],[Forwards MVA]]</f>
        <v>-</v>
      </c>
      <c r="AZ228" s="9" t="str">
        <f>TIM[[#This Row],[Relay MVA]]</f>
        <v>-</v>
      </c>
      <c r="BA228" s="9" t="str">
        <f>TIM[[#This Row],[CT MVA]]</f>
        <v>-</v>
      </c>
      <c r="BB228" s="9">
        <f>TIM[[#This Row],[Derating MVA]]</f>
        <v>3.9150150621261983</v>
      </c>
      <c r="BC228" s="9" t="str">
        <f>TIM[[#This Row],[Station/Feeder]]&amp;TIM[[#This Row],[Lowest MVA]]</f>
        <v>CB5_Le Cren St3.9150150621262</v>
      </c>
      <c r="BD228" s="9" t="str">
        <f>CONCATENATE(TIM[[#This Row],[Supply Level]],TIM[[#This Row],[Station/Feeder]],TIM[[#This Row],[Voltage]],TIM[[#This Row],[Lowest A-No PTX]])</f>
        <v>DistributionFeederCB5_Le Cren St11205.485</v>
      </c>
      <c r="BE228" s="9" t="str">
        <f>CONCATENATE(TIM[[#This Row],[Supply Level]],TIM[[#This Row],[Station/Feeder]],TIM[[#This Row],[Voltage]],TIM[[#This Row],[Lowest A-PTX]])</f>
        <v>DistributionFeederCB5_Le Cren St11205.485</v>
      </c>
      <c r="BF228" s="9">
        <f>IFERROR(IF(MIN(TIM[[#This Row],[Summ Cont Winter A]:[Cable Derating]])=0,"",MIN(TIM[[#This Row],[Summ Cont Winter A]:[Cable Derating]])),"")</f>
        <v>3.9150150621261983</v>
      </c>
      <c r="BG228" s="9">
        <f>IFERROR(TIM[[#This Row],[Lowest MVA]]*1000/(TIM[[#This Row],[Voltage]]*SQRT(3)),"")</f>
        <v>205.48500000000001</v>
      </c>
      <c r="BH228" s="9">
        <f t="shared" si="323"/>
        <v>205.48499999999999</v>
      </c>
      <c r="BI228" s="9" t="str">
        <f>TIM[[#This Row],[From]]</f>
        <v>TEHUNT5</v>
      </c>
      <c r="BJ228" s="9" t="str">
        <f>TIM[[#This Row],[To]]</f>
        <v>Joint</v>
      </c>
      <c r="BK22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PILC SWAS</v>
      </c>
      <c r="BL228" s="9">
        <f>TIM[[#This Row],[Voltage]]</f>
        <v>11</v>
      </c>
    </row>
    <row r="229" spans="1:64" ht="15" customHeight="1" x14ac:dyDescent="0.25">
      <c r="A229" s="6" t="str">
        <f>CONCATENATE(TIM[[#This Row],[Supply Level]],TIM[[#This Row],[Station/Feeder]],TIM[[#This Row],[Voltage]])</f>
        <v>DistributionFeederCB5_Le Cren St11</v>
      </c>
      <c r="B229" s="6" t="str">
        <f>CONCATENATE(TIM[[#This Row],[Supply Level]],TIM[[#This Row],[Station/Feeder]],TIM[[#This Row],[Equipment ID]],TIM[[#This Row],[Voltage]],TIM[[#This Row],[Device type]])</f>
        <v>DistributionFeederCB5_Le Cren St3c 0.25in² Al PILC SWA11-</v>
      </c>
      <c r="C229" s="6" t="s">
        <v>1276</v>
      </c>
      <c r="D229" s="11" t="s">
        <v>216</v>
      </c>
      <c r="E229" s="6" t="s">
        <v>750</v>
      </c>
      <c r="F229" s="6" t="s">
        <v>954</v>
      </c>
      <c r="G229" s="27">
        <v>3</v>
      </c>
      <c r="H229" s="6" t="s">
        <v>888</v>
      </c>
      <c r="I229" s="7" t="s">
        <v>955</v>
      </c>
      <c r="J229" s="7" t="s">
        <v>250</v>
      </c>
      <c r="K229" s="7" t="s">
        <v>0</v>
      </c>
      <c r="L229" s="7" t="s">
        <v>0</v>
      </c>
      <c r="M229" s="8">
        <v>11</v>
      </c>
      <c r="N229" s="16">
        <v>265</v>
      </c>
      <c r="O229" s="9">
        <f t="shared" si="0"/>
        <v>5.0489281040632772</v>
      </c>
      <c r="P229" s="16">
        <v>265</v>
      </c>
      <c r="Q229" s="9">
        <f t="shared" si="1"/>
        <v>5.0489281040632772</v>
      </c>
      <c r="R229" s="16">
        <v>265</v>
      </c>
      <c r="S229" s="9">
        <f t="shared" si="2"/>
        <v>5.0489281040632772</v>
      </c>
      <c r="T229" s="9" t="s">
        <v>0</v>
      </c>
      <c r="U229" s="9" t="str">
        <f t="shared" si="3"/>
        <v>-</v>
      </c>
      <c r="V229" s="9" t="s">
        <v>0</v>
      </c>
      <c r="W229" s="9" t="str">
        <f t="shared" si="4"/>
        <v>-</v>
      </c>
      <c r="X229" s="9" t="s">
        <v>0</v>
      </c>
      <c r="Y229" s="9" t="str">
        <f t="shared" si="5"/>
        <v>-</v>
      </c>
      <c r="Z229" s="9" t="s">
        <v>0</v>
      </c>
      <c r="AA229" s="9" t="str">
        <f t="shared" si="6"/>
        <v>-</v>
      </c>
      <c r="AB229" s="9" t="s">
        <v>0</v>
      </c>
      <c r="AC229" s="9" t="str">
        <f t="shared" si="7"/>
        <v>-</v>
      </c>
      <c r="AD229" s="9" t="s">
        <v>0</v>
      </c>
      <c r="AE229" s="12" t="str">
        <f t="shared" si="8"/>
        <v>-</v>
      </c>
      <c r="AF229" s="9" t="s">
        <v>716</v>
      </c>
      <c r="AG229" s="9" t="s">
        <v>0</v>
      </c>
      <c r="AH229" s="9">
        <v>10.6</v>
      </c>
      <c r="AI229" s="9">
        <v>0.85</v>
      </c>
      <c r="AJ229" s="32">
        <v>1.03</v>
      </c>
      <c r="AK229" s="9">
        <v>18.5</v>
      </c>
      <c r="AL229" s="32">
        <v>0.95</v>
      </c>
      <c r="AM229" s="9">
        <v>1.2</v>
      </c>
      <c r="AN229" s="32">
        <v>1</v>
      </c>
      <c r="AO229" s="9">
        <v>3</v>
      </c>
      <c r="AP229" s="9">
        <v>0</v>
      </c>
      <c r="AQ229" s="32">
        <v>0.7</v>
      </c>
      <c r="AR229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181.51174999999998</v>
      </c>
      <c r="AS229" s="9">
        <f t="shared" si="9"/>
        <v>3.4582633048781415</v>
      </c>
      <c r="AT229" s="9">
        <f>IF(RIGHT(TIM[[#This Row],[Device type]],7)="Winding","-",TIM[[#This Row],[Cont Winter MVA]])</f>
        <v>5.0489281040632772</v>
      </c>
      <c r="AU229" s="9">
        <f>IF(RIGHT(TIM[[#This Row],[Device type]],7)="Winding","-",TIM[[#This Row],[Cont Shoulder MVA]])</f>
        <v>5.0489281040632772</v>
      </c>
      <c r="AV229" s="9">
        <f>IF(RIGHT(TIM[[#This Row],[Device type]],7)="Winding","-",TIM[[#This Row],[Cont Summer MVA]])</f>
        <v>5.0489281040632772</v>
      </c>
      <c r="AW229" s="9" t="str">
        <f>TIM[[#This Row],[24 Hr Winter MVA]]</f>
        <v>-</v>
      </c>
      <c r="AX229" s="9" t="str">
        <f>TIM[[#This Row],[24 Hr Summer MVA]]</f>
        <v>-</v>
      </c>
      <c r="AY229" s="9" t="str">
        <f>TIM[[#This Row],[Forwards MVA]]</f>
        <v>-</v>
      </c>
      <c r="AZ229" s="9" t="str">
        <f>TIM[[#This Row],[Relay MVA]]</f>
        <v>-</v>
      </c>
      <c r="BA229" s="9" t="str">
        <f>TIM[[#This Row],[CT MVA]]</f>
        <v>-</v>
      </c>
      <c r="BB229" s="9">
        <f>TIM[[#This Row],[Derating MVA]]</f>
        <v>3.4582633048781415</v>
      </c>
      <c r="BC229" s="9" t="str">
        <f>TIM[[#This Row],[Station/Feeder]]&amp;TIM[[#This Row],[Lowest MVA]]</f>
        <v>CB5_Le Cren St3.45826330487814</v>
      </c>
      <c r="BD229" s="9" t="str">
        <f>CONCATENATE(TIM[[#This Row],[Supply Level]],TIM[[#This Row],[Station/Feeder]],TIM[[#This Row],[Voltage]],TIM[[#This Row],[Lowest A-No PTX]])</f>
        <v>DistributionFeederCB5_Le Cren St11181.51175</v>
      </c>
      <c r="BE229" s="9" t="str">
        <f>CONCATENATE(TIM[[#This Row],[Supply Level]],TIM[[#This Row],[Station/Feeder]],TIM[[#This Row],[Voltage]],TIM[[#This Row],[Lowest A-PTX]])</f>
        <v>DistributionFeederCB5_Le Cren St11181.51175</v>
      </c>
      <c r="BF229" s="9">
        <f>IFERROR(IF(MIN(TIM[[#This Row],[Summ Cont Winter A]:[Cable Derating]])=0,"",MIN(TIM[[#This Row],[Summ Cont Winter A]:[Cable Derating]])),"")</f>
        <v>3.4582633048781415</v>
      </c>
      <c r="BG229" s="9">
        <f>IFERROR(TIM[[#This Row],[Lowest MVA]]*1000/(TIM[[#This Row],[Voltage]]*SQRT(3)),"")</f>
        <v>181.51174999999998</v>
      </c>
      <c r="BH229" s="9">
        <f t="shared" si="323"/>
        <v>181.51174999999998</v>
      </c>
      <c r="BI229" s="9" t="str">
        <f>TIM[[#This Row],[From]]</f>
        <v>Joint</v>
      </c>
      <c r="BJ229" s="9" t="str">
        <f>TIM[[#This Row],[To]]</f>
        <v>TEK9 RMU</v>
      </c>
      <c r="BK22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0.25in² Al PILC SWA</v>
      </c>
      <c r="BL229" s="9">
        <f>TIM[[#This Row],[Voltage]]</f>
        <v>11</v>
      </c>
    </row>
    <row r="230" spans="1:64" ht="15" hidden="1" customHeight="1" x14ac:dyDescent="0.25">
      <c r="A230" s="6" t="str">
        <f>CONCATENATE(TIM[[#This Row],[Supply Level]],TIM[[#This Row],[Station/Feeder]],TIM[[#This Row],[Voltage]])</f>
        <v>SubTransmissionCB6_HNT-NST A11</v>
      </c>
      <c r="B230" s="6" t="str">
        <f>CONCATENATE(TIM[[#This Row],[Supply Level]],TIM[[#This Row],[Station/Feeder]],TIM[[#This Row],[Equipment ID]],TIM[[#This Row],[Voltage]],TIM[[#This Row],[Device type]])</f>
        <v>SubTransmissionCB6_HNT-NST AHNT-CB611Protection</v>
      </c>
      <c r="C230" s="6" t="s">
        <v>1245</v>
      </c>
      <c r="D230" s="6" t="s">
        <v>1332</v>
      </c>
      <c r="E230" s="6" t="s">
        <v>243</v>
      </c>
      <c r="F230" s="6" t="s">
        <v>956</v>
      </c>
      <c r="G230" s="8">
        <v>1</v>
      </c>
      <c r="H230" s="6" t="s">
        <v>945</v>
      </c>
      <c r="I230" s="6" t="s">
        <v>2259</v>
      </c>
      <c r="J230" s="6" t="s">
        <v>15</v>
      </c>
      <c r="K230" s="6" t="s">
        <v>791</v>
      </c>
      <c r="L230" s="6" t="s">
        <v>1423</v>
      </c>
      <c r="M230" s="8">
        <v>11</v>
      </c>
      <c r="N230" s="9">
        <v>630</v>
      </c>
      <c r="O230" s="9">
        <f t="shared" ref="O230:O232" si="334">IF(OR(N230="",N230="-"),"-",N230*$M230*SQRT(3)/1000)</f>
        <v>12.00311209645232</v>
      </c>
      <c r="P230" s="9">
        <v>630</v>
      </c>
      <c r="Q230" s="9">
        <f t="shared" ref="Q230:Q232" si="335">IF(OR(P230="",P230="-"),"-",P230*$M230*SQRT(3)/1000)</f>
        <v>12.00311209645232</v>
      </c>
      <c r="R230" s="9">
        <v>630</v>
      </c>
      <c r="S230" s="9">
        <f t="shared" ref="S230:S232" si="336">IF(OR(R230="",R230="-"),"-",R230*$M230*SQRT(3)/1000)</f>
        <v>12.00311209645232</v>
      </c>
      <c r="T230" s="9" t="s">
        <v>0</v>
      </c>
      <c r="U230" s="9" t="str">
        <f t="shared" ref="U230:U232" si="337">IF(OR(T230="",T230="-"),"-",T230*$M230*SQRT(3)/1000)</f>
        <v>-</v>
      </c>
      <c r="V230" s="9" t="s">
        <v>0</v>
      </c>
      <c r="W230" s="9" t="str">
        <f t="shared" ref="W230:W232" si="338">IF(OR(V230="",V230="-"),"-",V230*$M230*SQRT(3)/1000)</f>
        <v>-</v>
      </c>
      <c r="X230" s="9">
        <f>VLOOKUP(TIM[[#This Row],[Equipment ID]],AEL_Protection_Data[#All],12,0)</f>
        <v>400</v>
      </c>
      <c r="Y230" s="9">
        <f t="shared" ref="Y230:Y232" si="339">IF(OR(X230="",X230="-"),"-",X230*$M230*SQRT(3)/1000)</f>
        <v>7.6210235533030604</v>
      </c>
      <c r="Z230" s="9" t="s">
        <v>0</v>
      </c>
      <c r="AA230" s="9" t="str">
        <f t="shared" ref="AA230:AA232" si="340">IF(OR(Z230="",Z230="-"),"-",Z230*$M230*SQRT(3)/1000)</f>
        <v>-</v>
      </c>
      <c r="AB230" s="9">
        <v>400</v>
      </c>
      <c r="AC230" s="9">
        <f t="shared" ref="AC230:AC232" si="341">IF(OR(AB230="",AB230="-"),"-",AB230*$M230*SQRT(3)/1000)</f>
        <v>7.6210235533030604</v>
      </c>
      <c r="AD230" s="9">
        <v>400</v>
      </c>
      <c r="AE230" s="9">
        <f t="shared" ref="AE230:AE232" si="342">IF(OR(AD230="",AD230="-"),"-",AD230*$M230*SQRT(3)/1000)</f>
        <v>7.6210235533030604</v>
      </c>
      <c r="AF230" s="9" t="s">
        <v>0</v>
      </c>
      <c r="AG230" s="9" t="s">
        <v>0</v>
      </c>
      <c r="AH230" s="9" t="s">
        <v>0</v>
      </c>
      <c r="AI230" s="9" t="s">
        <v>0</v>
      </c>
      <c r="AJ230" s="43" t="s">
        <v>0</v>
      </c>
      <c r="AK230" s="9" t="s">
        <v>0</v>
      </c>
      <c r="AL230" s="43" t="s">
        <v>0</v>
      </c>
      <c r="AM230" s="9" t="s">
        <v>0</v>
      </c>
      <c r="AN230" s="43" t="s">
        <v>0</v>
      </c>
      <c r="AO230" s="9" t="s">
        <v>0</v>
      </c>
      <c r="AP230" s="9" t="s">
        <v>0</v>
      </c>
      <c r="AQ230" s="43" t="s">
        <v>0</v>
      </c>
      <c r="AR23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30" s="9" t="str">
        <f t="shared" ref="AS230:AS232" si="343">IF(OR(AR230="",AR230="-"),"-",AR230*$M230*SQRT(3)/1000)</f>
        <v>-</v>
      </c>
      <c r="AT230" s="9">
        <f>IF(RIGHT(TIM[[#This Row],[Device type]],7)="Winding","-",TIM[[#This Row],[Cont Winter MVA]])</f>
        <v>12.00311209645232</v>
      </c>
      <c r="AU230" s="9">
        <f>IF(RIGHT(TIM[[#This Row],[Device type]],7)="Winding","-",TIM[[#This Row],[Cont Shoulder MVA]])</f>
        <v>12.00311209645232</v>
      </c>
      <c r="AV230" s="9">
        <f>IF(RIGHT(TIM[[#This Row],[Device type]],7)="Winding","-",TIM[[#This Row],[Cont Summer MVA]])</f>
        <v>12.00311209645232</v>
      </c>
      <c r="AW230" s="9" t="str">
        <f>TIM[[#This Row],[24 Hr Winter MVA]]</f>
        <v>-</v>
      </c>
      <c r="AX230" s="9" t="str">
        <f>TIM[[#This Row],[24 Hr Summer MVA]]</f>
        <v>-</v>
      </c>
      <c r="AY230" s="9">
        <f>TIM[[#This Row],[Forwards MVA]]</f>
        <v>7.6210235533030604</v>
      </c>
      <c r="AZ230" s="9">
        <f>TIM[[#This Row],[Relay MVA]]</f>
        <v>7.6210235533030604</v>
      </c>
      <c r="BA230" s="9">
        <f>TIM[[#This Row],[CT MVA]]</f>
        <v>7.6210235533030604</v>
      </c>
      <c r="BB230" s="9" t="str">
        <f>TIM[[#This Row],[Derating MVA]]</f>
        <v>-</v>
      </c>
      <c r="BC230" s="9" t="str">
        <f>TIM[[#This Row],[Station/Feeder]]&amp;TIM[[#This Row],[Lowest MVA]]</f>
        <v>CB6_HNT-NST A7.62102355330306</v>
      </c>
      <c r="BD230" s="9" t="str">
        <f>CONCATENATE(TIM[[#This Row],[Supply Level]],TIM[[#This Row],[Station/Feeder]],TIM[[#This Row],[Voltage]],TIM[[#This Row],[Lowest A-No PTX]])</f>
        <v>SubTransmissionCB6_HNT-NST A11400</v>
      </c>
      <c r="BE230" s="9" t="str">
        <f>CONCATENATE(TIM[[#This Row],[Supply Level]],TIM[[#This Row],[Station/Feeder]],TIM[[#This Row],[Voltage]],TIM[[#This Row],[Lowest A-PTX]])</f>
        <v>SubTransmissionCB6_HNT-NST A11400</v>
      </c>
      <c r="BF230" s="9">
        <f>IFERROR(IF(MIN(TIM[[#This Row],[Summ Cont Winter A]:[Cable Derating]])=0,"",MIN(TIM[[#This Row],[Summ Cont Winter A]:[Cable Derating]])),"")</f>
        <v>7.6210235533030604</v>
      </c>
      <c r="BG230" s="9">
        <f>IFERROR(TIM[[#This Row],[Lowest MVA]]*1000/(TIM[[#This Row],[Voltage]]*SQRT(3)),"")</f>
        <v>400</v>
      </c>
      <c r="BH230" s="9">
        <f t="shared" si="323"/>
        <v>400</v>
      </c>
      <c r="BI230" s="9" t="str">
        <f>TIM[[#This Row],[From]]</f>
        <v>11 kV Bus</v>
      </c>
      <c r="BJ230" s="9" t="str">
        <f>TIM[[#This Row],[To]]</f>
        <v>TEHUNT6</v>
      </c>
      <c r="BK23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Breaker-HNT-CB6-Protection</v>
      </c>
      <c r="BL230" s="9">
        <f>TIM[[#This Row],[Voltage]]</f>
        <v>11</v>
      </c>
    </row>
    <row r="231" spans="1:64" ht="15" hidden="1" customHeight="1" x14ac:dyDescent="0.25">
      <c r="A231" s="6" t="str">
        <f>CONCATENATE(TIM[[#This Row],[Supply Level]],TIM[[#This Row],[Station/Feeder]],TIM[[#This Row],[Voltage]])</f>
        <v>SubTransmissionCB6_HNT-NST A11</v>
      </c>
      <c r="B231" s="6" t="str">
        <f>CONCATENATE(TIM[[#This Row],[Supply Level]],TIM[[#This Row],[Station/Feeder]],TIM[[#This Row],[Equipment ID]],TIM[[#This Row],[Voltage]],TIM[[#This Row],[Device type]])</f>
        <v>SubTransmissionCB6_HNT-NST A3c 0.3in² Cu PILC SWAS11-</v>
      </c>
      <c r="C231" s="6" t="s">
        <v>1245</v>
      </c>
      <c r="D231" s="6" t="s">
        <v>1332</v>
      </c>
      <c r="E231" s="6" t="s">
        <v>957</v>
      </c>
      <c r="F231" s="6" t="s">
        <v>750</v>
      </c>
      <c r="G231" s="8">
        <v>2</v>
      </c>
      <c r="H231" s="6" t="s">
        <v>888</v>
      </c>
      <c r="I231" s="6" t="s">
        <v>1327</v>
      </c>
      <c r="J231" s="6" t="s">
        <v>250</v>
      </c>
      <c r="K231" s="6" t="s">
        <v>0</v>
      </c>
      <c r="L231" s="6" t="s">
        <v>0</v>
      </c>
      <c r="M231" s="8">
        <v>11</v>
      </c>
      <c r="N231" s="9">
        <v>390</v>
      </c>
      <c r="O231" s="9">
        <f t="shared" si="334"/>
        <v>7.4304979644704838</v>
      </c>
      <c r="P231" s="9">
        <v>390</v>
      </c>
      <c r="Q231" s="9">
        <f t="shared" si="335"/>
        <v>7.4304979644704838</v>
      </c>
      <c r="R231" s="9">
        <v>390</v>
      </c>
      <c r="S231" s="9">
        <f t="shared" si="336"/>
        <v>7.4304979644704838</v>
      </c>
      <c r="T231" s="9" t="s">
        <v>0</v>
      </c>
      <c r="U231" s="9" t="str">
        <f t="shared" si="337"/>
        <v>-</v>
      </c>
      <c r="V231" s="9" t="s">
        <v>0</v>
      </c>
      <c r="W231" s="9" t="str">
        <f t="shared" si="338"/>
        <v>-</v>
      </c>
      <c r="X231" s="9" t="s">
        <v>0</v>
      </c>
      <c r="Y231" s="9" t="str">
        <f t="shared" si="339"/>
        <v>-</v>
      </c>
      <c r="Z231" s="9" t="s">
        <v>0</v>
      </c>
      <c r="AA231" s="9" t="str">
        <f t="shared" si="340"/>
        <v>-</v>
      </c>
      <c r="AB231" s="9" t="s">
        <v>0</v>
      </c>
      <c r="AC231" s="9" t="str">
        <f t="shared" si="341"/>
        <v>-</v>
      </c>
      <c r="AD231" s="9" t="s">
        <v>0</v>
      </c>
      <c r="AE231" s="9" t="str">
        <f t="shared" si="342"/>
        <v>-</v>
      </c>
      <c r="AF231" s="9" t="s">
        <v>716</v>
      </c>
      <c r="AG231" s="9" t="s">
        <v>0</v>
      </c>
      <c r="AH231" s="9">
        <v>1151.1999999999998</v>
      </c>
      <c r="AI231" s="9">
        <v>0.7</v>
      </c>
      <c r="AJ231" s="43">
        <v>1.05</v>
      </c>
      <c r="AK231" s="9">
        <v>18.5</v>
      </c>
      <c r="AL231" s="43">
        <v>0.95</v>
      </c>
      <c r="AM231" s="9">
        <v>1.2</v>
      </c>
      <c r="AN231" s="43">
        <v>1</v>
      </c>
      <c r="AO231" s="9">
        <v>3</v>
      </c>
      <c r="AP231" s="9">
        <v>0.2</v>
      </c>
      <c r="AQ231" s="43">
        <v>0.75</v>
      </c>
      <c r="AR231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291.76874999999995</v>
      </c>
      <c r="AS231" s="9">
        <f t="shared" si="343"/>
        <v>5.5589412896694794</v>
      </c>
      <c r="AT231" s="9">
        <f>IF(RIGHT(TIM[[#This Row],[Device type]],7)="Winding","-",TIM[[#This Row],[Cont Winter MVA]])</f>
        <v>7.4304979644704838</v>
      </c>
      <c r="AU231" s="9">
        <f>IF(RIGHT(TIM[[#This Row],[Device type]],7)="Winding","-",TIM[[#This Row],[Cont Shoulder MVA]])</f>
        <v>7.4304979644704838</v>
      </c>
      <c r="AV231" s="9">
        <f>IF(RIGHT(TIM[[#This Row],[Device type]],7)="Winding","-",TIM[[#This Row],[Cont Summer MVA]])</f>
        <v>7.4304979644704838</v>
      </c>
      <c r="AW231" s="9" t="str">
        <f>TIM[[#This Row],[24 Hr Winter MVA]]</f>
        <v>-</v>
      </c>
      <c r="AX231" s="9" t="str">
        <f>TIM[[#This Row],[24 Hr Summer MVA]]</f>
        <v>-</v>
      </c>
      <c r="AY231" s="9" t="str">
        <f>TIM[[#This Row],[Forwards MVA]]</f>
        <v>-</v>
      </c>
      <c r="AZ231" s="9" t="str">
        <f>TIM[[#This Row],[Relay MVA]]</f>
        <v>-</v>
      </c>
      <c r="BA231" s="9" t="str">
        <f>TIM[[#This Row],[CT MVA]]</f>
        <v>-</v>
      </c>
      <c r="BB231" s="9">
        <f>TIM[[#This Row],[Derating MVA]]</f>
        <v>5.5589412896694794</v>
      </c>
      <c r="BC231" s="9" t="str">
        <f>TIM[[#This Row],[Station/Feeder]]&amp;TIM[[#This Row],[Lowest MVA]]</f>
        <v>CB6_HNT-NST A5.55894128966948</v>
      </c>
      <c r="BD231" s="9" t="str">
        <f>CONCATENATE(TIM[[#This Row],[Supply Level]],TIM[[#This Row],[Station/Feeder]],TIM[[#This Row],[Voltage]],TIM[[#This Row],[Lowest A-No PTX]])</f>
        <v>SubTransmissionCB6_HNT-NST A11291.76875</v>
      </c>
      <c r="BE231" s="9" t="str">
        <f>CONCATENATE(TIM[[#This Row],[Supply Level]],TIM[[#This Row],[Station/Feeder]],TIM[[#This Row],[Voltage]],TIM[[#This Row],[Lowest A-PTX]])</f>
        <v>SubTransmissionCB6_HNT-NST A11291.76875</v>
      </c>
      <c r="BF231" s="9">
        <f>IFERROR(IF(MIN(TIM[[#This Row],[Summ Cont Winter A]:[Cable Derating]])=0,"",MIN(TIM[[#This Row],[Summ Cont Winter A]:[Cable Derating]])),"")</f>
        <v>5.5589412896694794</v>
      </c>
      <c r="BG231" s="9">
        <f>IFERROR(TIM[[#This Row],[Lowest MVA]]*1000/(TIM[[#This Row],[Voltage]]*SQRT(3)),"")</f>
        <v>291.76874999999995</v>
      </c>
      <c r="BH231" s="9">
        <f t="shared" si="323"/>
        <v>291.76874999999995</v>
      </c>
      <c r="BI231" s="9" t="str">
        <f>TIM[[#This Row],[From]]</f>
        <v xml:space="preserve">TEHUNT6 </v>
      </c>
      <c r="BJ231" s="9" t="str">
        <f>TIM[[#This Row],[To]]</f>
        <v>Joint</v>
      </c>
      <c r="BK23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0.3in² Cu PILC SWAS</v>
      </c>
      <c r="BL231" s="9">
        <f>TIM[[#This Row],[Voltage]]</f>
        <v>11</v>
      </c>
    </row>
    <row r="232" spans="1:64" ht="15" hidden="1" customHeight="1" x14ac:dyDescent="0.25">
      <c r="A232" s="6" t="str">
        <f>CONCATENATE(TIM[[#This Row],[Supply Level]],TIM[[#This Row],[Station/Feeder]],TIM[[#This Row],[Voltage]])</f>
        <v>SubTransmissionCB6_HNT-NST A11</v>
      </c>
      <c r="B232" s="6" t="str">
        <f>CONCATENATE(TIM[[#This Row],[Supply Level]],TIM[[#This Row],[Station/Feeder]],TIM[[#This Row],[Equipment ID]],TIM[[#This Row],[Voltage]],TIM[[#This Row],[Device type]])</f>
        <v>SubTransmissionCB6_HNT-NST A3/1c 400mm² Al XLPE HPDE Screened11-</v>
      </c>
      <c r="C232" s="6" t="s">
        <v>1245</v>
      </c>
      <c r="D232" s="6" t="s">
        <v>1332</v>
      </c>
      <c r="E232" s="6" t="s">
        <v>750</v>
      </c>
      <c r="F232" s="6" t="s">
        <v>958</v>
      </c>
      <c r="G232" s="8">
        <v>3</v>
      </c>
      <c r="H232" s="6" t="s">
        <v>888</v>
      </c>
      <c r="I232" s="6" t="s">
        <v>986</v>
      </c>
      <c r="J232" s="6" t="s">
        <v>250</v>
      </c>
      <c r="K232" s="6" t="s">
        <v>0</v>
      </c>
      <c r="L232" s="6" t="s">
        <v>0</v>
      </c>
      <c r="M232" s="8">
        <v>11</v>
      </c>
      <c r="N232" s="9">
        <v>537</v>
      </c>
      <c r="O232" s="9">
        <f t="shared" si="334"/>
        <v>10.231224120309358</v>
      </c>
      <c r="P232" s="9">
        <v>537</v>
      </c>
      <c r="Q232" s="9">
        <f t="shared" si="335"/>
        <v>10.231224120309358</v>
      </c>
      <c r="R232" s="9">
        <v>537</v>
      </c>
      <c r="S232" s="9">
        <f t="shared" si="336"/>
        <v>10.231224120309358</v>
      </c>
      <c r="T232" s="9" t="s">
        <v>0</v>
      </c>
      <c r="U232" s="9" t="str">
        <f t="shared" si="337"/>
        <v>-</v>
      </c>
      <c r="V232" s="9" t="s">
        <v>0</v>
      </c>
      <c r="W232" s="9" t="str">
        <f t="shared" si="338"/>
        <v>-</v>
      </c>
      <c r="X232" s="9" t="s">
        <v>0</v>
      </c>
      <c r="Y232" s="9" t="str">
        <f t="shared" si="339"/>
        <v>-</v>
      </c>
      <c r="Z232" s="9" t="s">
        <v>0</v>
      </c>
      <c r="AA232" s="9" t="str">
        <f t="shared" si="340"/>
        <v>-</v>
      </c>
      <c r="AB232" s="9" t="s">
        <v>0</v>
      </c>
      <c r="AC232" s="9" t="str">
        <f t="shared" si="341"/>
        <v>-</v>
      </c>
      <c r="AD232" s="9" t="s">
        <v>0</v>
      </c>
      <c r="AE232" s="9" t="str">
        <f t="shared" si="342"/>
        <v>-</v>
      </c>
      <c r="AF232" s="9" t="s">
        <v>713</v>
      </c>
      <c r="AG232" s="9" t="s">
        <v>0</v>
      </c>
      <c r="AH232" s="9">
        <v>79.400000000000006</v>
      </c>
      <c r="AI232" s="9">
        <v>0.7</v>
      </c>
      <c r="AJ232" s="43">
        <v>1.04</v>
      </c>
      <c r="AK232" s="9">
        <v>18.5</v>
      </c>
      <c r="AL232" s="43">
        <v>0.95</v>
      </c>
      <c r="AM232" s="9">
        <v>1.2</v>
      </c>
      <c r="AN232" s="43">
        <v>1</v>
      </c>
      <c r="AO232" s="9">
        <v>3</v>
      </c>
      <c r="AP232" s="9">
        <v>0.2</v>
      </c>
      <c r="AQ232" s="43">
        <v>0.75</v>
      </c>
      <c r="AR232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397.91699999999997</v>
      </c>
      <c r="AS232" s="9">
        <f t="shared" si="343"/>
        <v>7.5813370731492329</v>
      </c>
      <c r="AT232" s="9">
        <f>IF(RIGHT(TIM[[#This Row],[Device type]],7)="Winding","-",TIM[[#This Row],[Cont Winter MVA]])</f>
        <v>10.231224120309358</v>
      </c>
      <c r="AU232" s="9">
        <f>IF(RIGHT(TIM[[#This Row],[Device type]],7)="Winding","-",TIM[[#This Row],[Cont Shoulder MVA]])</f>
        <v>10.231224120309358</v>
      </c>
      <c r="AV232" s="9">
        <f>IF(RIGHT(TIM[[#This Row],[Device type]],7)="Winding","-",TIM[[#This Row],[Cont Summer MVA]])</f>
        <v>10.231224120309358</v>
      </c>
      <c r="AW232" s="9" t="str">
        <f>TIM[[#This Row],[24 Hr Winter MVA]]</f>
        <v>-</v>
      </c>
      <c r="AX232" s="9" t="str">
        <f>TIM[[#This Row],[24 Hr Summer MVA]]</f>
        <v>-</v>
      </c>
      <c r="AY232" s="9" t="str">
        <f>TIM[[#This Row],[Forwards MVA]]</f>
        <v>-</v>
      </c>
      <c r="AZ232" s="9" t="str">
        <f>TIM[[#This Row],[Relay MVA]]</f>
        <v>-</v>
      </c>
      <c r="BA232" s="9" t="str">
        <f>TIM[[#This Row],[CT MVA]]</f>
        <v>-</v>
      </c>
      <c r="BB232" s="9">
        <f>TIM[[#This Row],[Derating MVA]]</f>
        <v>7.5813370731492329</v>
      </c>
      <c r="BC232" s="9" t="str">
        <f>TIM[[#This Row],[Station/Feeder]]&amp;TIM[[#This Row],[Lowest MVA]]</f>
        <v>CB6_HNT-NST A7.58133707314923</v>
      </c>
      <c r="BD232" s="9" t="str">
        <f>CONCATENATE(TIM[[#This Row],[Supply Level]],TIM[[#This Row],[Station/Feeder]],TIM[[#This Row],[Voltage]],TIM[[#This Row],[Lowest A-No PTX]])</f>
        <v>SubTransmissionCB6_HNT-NST A11397.917</v>
      </c>
      <c r="BE232" s="9" t="str">
        <f>CONCATENATE(TIM[[#This Row],[Supply Level]],TIM[[#This Row],[Station/Feeder]],TIM[[#This Row],[Voltage]],TIM[[#This Row],[Lowest A-PTX]])</f>
        <v>SubTransmissionCB6_HNT-NST A11397.917</v>
      </c>
      <c r="BF232" s="9">
        <f>IFERROR(IF(MIN(TIM[[#This Row],[Summ Cont Winter A]:[Cable Derating]])=0,"",MIN(TIM[[#This Row],[Summ Cont Winter A]:[Cable Derating]])),"")</f>
        <v>7.5813370731492329</v>
      </c>
      <c r="BG232" s="9">
        <f>IFERROR(TIM[[#This Row],[Lowest MVA]]*1000/(TIM[[#This Row],[Voltage]]*SQRT(3)),"")</f>
        <v>397.91699999999997</v>
      </c>
      <c r="BH232" s="9">
        <f t="shared" si="323"/>
        <v>397.91699999999997</v>
      </c>
      <c r="BI232" s="9" t="str">
        <f>TIM[[#This Row],[From]]</f>
        <v>Joint</v>
      </c>
      <c r="BJ232" s="9" t="str">
        <f>TIM[[#This Row],[To]]</f>
        <v>NST07</v>
      </c>
      <c r="BK23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HPDE Screened</v>
      </c>
      <c r="BL232" s="9">
        <f>TIM[[#This Row],[Voltage]]</f>
        <v>11</v>
      </c>
    </row>
    <row r="233" spans="1:64" ht="15" hidden="1" customHeight="1" x14ac:dyDescent="0.25">
      <c r="A233" s="6" t="str">
        <f>CONCATENATE(TIM[[#This Row],[Supply Level]],TIM[[#This Row],[Station/Feeder]],TIM[[#This Row],[Voltage]])</f>
        <v>SubTransmissionHNT_NST_SUBTRANS11</v>
      </c>
      <c r="B233" s="6" t="str">
        <f>CONCATENATE(TIM[[#This Row],[Supply Level]],TIM[[#This Row],[Station/Feeder]],TIM[[#This Row],[Equipment ID]],TIM[[#This Row],[Voltage]],TIM[[#This Row],[Device type]])</f>
        <v>SubTransmissionHNT_NST_SUBTRANSHNT-CB611Protection</v>
      </c>
      <c r="C233" s="6" t="s">
        <v>1245</v>
      </c>
      <c r="D233" s="11" t="s">
        <v>234</v>
      </c>
      <c r="E233" s="6" t="s">
        <v>243</v>
      </c>
      <c r="F233" s="6" t="s">
        <v>956</v>
      </c>
      <c r="G233" s="27">
        <v>1</v>
      </c>
      <c r="H233" s="6" t="s">
        <v>945</v>
      </c>
      <c r="I233" s="7" t="s">
        <v>2259</v>
      </c>
      <c r="J233" s="7" t="s">
        <v>15</v>
      </c>
      <c r="K233" s="7" t="s">
        <v>791</v>
      </c>
      <c r="L233" s="7" t="s">
        <v>1423</v>
      </c>
      <c r="M233" s="8">
        <v>11</v>
      </c>
      <c r="N233" s="9">
        <v>630</v>
      </c>
      <c r="O233" s="9">
        <f t="shared" si="0"/>
        <v>12.00311209645232</v>
      </c>
      <c r="P233" s="9">
        <v>630</v>
      </c>
      <c r="Q233" s="9">
        <f t="shared" si="1"/>
        <v>12.00311209645232</v>
      </c>
      <c r="R233" s="9">
        <v>630</v>
      </c>
      <c r="S233" s="9">
        <f t="shared" si="2"/>
        <v>12.00311209645232</v>
      </c>
      <c r="T233" s="9" t="s">
        <v>0</v>
      </c>
      <c r="U233" s="9" t="str">
        <f t="shared" si="3"/>
        <v>-</v>
      </c>
      <c r="V233" s="9" t="s">
        <v>0</v>
      </c>
      <c r="W233" s="9" t="str">
        <f t="shared" si="4"/>
        <v>-</v>
      </c>
      <c r="X233" s="9">
        <f>VLOOKUP(TIM[[#This Row],[Equipment ID]],AEL_Protection_Data[#All],12,0)</f>
        <v>400</v>
      </c>
      <c r="Y233" s="9">
        <f t="shared" si="5"/>
        <v>7.6210235533030604</v>
      </c>
      <c r="Z233" s="9" t="s">
        <v>0</v>
      </c>
      <c r="AA233" s="9" t="str">
        <f t="shared" si="6"/>
        <v>-</v>
      </c>
      <c r="AB233" s="9">
        <v>400</v>
      </c>
      <c r="AC233" s="9">
        <f t="shared" si="7"/>
        <v>7.6210235533030604</v>
      </c>
      <c r="AD233" s="9">
        <v>400</v>
      </c>
      <c r="AE233" s="12">
        <f t="shared" si="8"/>
        <v>7.6210235533030604</v>
      </c>
      <c r="AF233" s="9" t="s">
        <v>0</v>
      </c>
      <c r="AG233" s="9" t="s">
        <v>0</v>
      </c>
      <c r="AH233" s="9" t="s">
        <v>0</v>
      </c>
      <c r="AI233" s="9" t="s">
        <v>0</v>
      </c>
      <c r="AJ233" s="32" t="s">
        <v>0</v>
      </c>
      <c r="AK233" s="9" t="s">
        <v>0</v>
      </c>
      <c r="AL233" s="32" t="s">
        <v>0</v>
      </c>
      <c r="AM233" s="9" t="s">
        <v>0</v>
      </c>
      <c r="AN233" s="32" t="s">
        <v>0</v>
      </c>
      <c r="AO233" s="9" t="s">
        <v>0</v>
      </c>
      <c r="AP233" s="9" t="s">
        <v>0</v>
      </c>
      <c r="AQ233" s="32" t="s">
        <v>0</v>
      </c>
      <c r="AR233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33" s="9" t="str">
        <f t="shared" si="9"/>
        <v>-</v>
      </c>
      <c r="AT233" s="9">
        <f>IF(RIGHT(TIM[[#This Row],[Device type]],7)="Winding","-",TIM[[#This Row],[Cont Winter MVA]])</f>
        <v>12.00311209645232</v>
      </c>
      <c r="AU233" s="9">
        <f>IF(RIGHT(TIM[[#This Row],[Device type]],7)="Winding","-",TIM[[#This Row],[Cont Shoulder MVA]])</f>
        <v>12.00311209645232</v>
      </c>
      <c r="AV233" s="9">
        <f>IF(RIGHT(TIM[[#This Row],[Device type]],7)="Winding","-",TIM[[#This Row],[Cont Summer MVA]])</f>
        <v>12.00311209645232</v>
      </c>
      <c r="AW233" s="9" t="str">
        <f>TIM[[#This Row],[24 Hr Winter MVA]]</f>
        <v>-</v>
      </c>
      <c r="AX233" s="9" t="str">
        <f>TIM[[#This Row],[24 Hr Summer MVA]]</f>
        <v>-</v>
      </c>
      <c r="AY233" s="9">
        <f>TIM[[#This Row],[Forwards MVA]]</f>
        <v>7.6210235533030604</v>
      </c>
      <c r="AZ233" s="9">
        <f>TIM[[#This Row],[Relay MVA]]</f>
        <v>7.6210235533030604</v>
      </c>
      <c r="BA233" s="9">
        <f>TIM[[#This Row],[CT MVA]]</f>
        <v>7.6210235533030604</v>
      </c>
      <c r="BB233" s="9" t="str">
        <f>TIM[[#This Row],[Derating MVA]]</f>
        <v>-</v>
      </c>
      <c r="BC233" s="9" t="str">
        <f>TIM[[#This Row],[Station/Feeder]]&amp;TIM[[#This Row],[Lowest MVA]]</f>
        <v>HNT_NST_SUBTRANS7.62102355330306</v>
      </c>
      <c r="BD233" s="9" t="str">
        <f>CONCATENATE(TIM[[#This Row],[Supply Level]],TIM[[#This Row],[Station/Feeder]],TIM[[#This Row],[Voltage]],TIM[[#This Row],[Lowest A-No PTX]])</f>
        <v>SubTransmissionHNT_NST_SUBTRANS11400</v>
      </c>
      <c r="BE233" s="9" t="str">
        <f>CONCATENATE(TIM[[#This Row],[Supply Level]],TIM[[#This Row],[Station/Feeder]],TIM[[#This Row],[Voltage]],TIM[[#This Row],[Lowest A-PTX]])</f>
        <v>SubTransmissionHNT_NST_SUBTRANS11400</v>
      </c>
      <c r="BF233" s="9">
        <f>IFERROR(IF(MIN(TIM[[#This Row],[Summ Cont Winter A]:[Cable Derating]])=0,"",MIN(TIM[[#This Row],[Summ Cont Winter A]:[Cable Derating]])),"")</f>
        <v>7.6210235533030604</v>
      </c>
      <c r="BG233" s="9">
        <f>IFERROR(TIM[[#This Row],[Lowest MVA]]*1000/(TIM[[#This Row],[Voltage]]*SQRT(3)),"")</f>
        <v>400</v>
      </c>
      <c r="BH233" s="9">
        <f t="shared" si="323"/>
        <v>400</v>
      </c>
      <c r="BI233" s="9" t="str">
        <f>TIM[[#This Row],[From]]</f>
        <v>11 kV Bus</v>
      </c>
      <c r="BJ233" s="9" t="str">
        <f>TIM[[#This Row],[To]]</f>
        <v>TEHUNT6</v>
      </c>
      <c r="BK23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Breaker-HNT-CB6-Protection</v>
      </c>
      <c r="BL233" s="9">
        <f>TIM[[#This Row],[Voltage]]</f>
        <v>11</v>
      </c>
    </row>
    <row r="234" spans="1:64" ht="15" hidden="1" customHeight="1" x14ac:dyDescent="0.25">
      <c r="A234" s="6" t="str">
        <f>CONCATENATE(TIM[[#This Row],[Supply Level]],TIM[[#This Row],[Station/Feeder]],TIM[[#This Row],[Voltage]])</f>
        <v>SubTransmissionHNT_NST_SUBTRANS11</v>
      </c>
      <c r="B234" s="6" t="str">
        <f>CONCATENATE(TIM[[#This Row],[Supply Level]],TIM[[#This Row],[Station/Feeder]],TIM[[#This Row],[Equipment ID]],TIM[[#This Row],[Voltage]],TIM[[#This Row],[Device type]])</f>
        <v>SubTransmissionHNT_NST_SUBTRANS3c 0.3in² Cu PILC SWAS11-</v>
      </c>
      <c r="C234" s="6" t="s">
        <v>1245</v>
      </c>
      <c r="D234" s="11" t="s">
        <v>234</v>
      </c>
      <c r="E234" s="6" t="s">
        <v>957</v>
      </c>
      <c r="F234" s="6" t="s">
        <v>750</v>
      </c>
      <c r="G234" s="27">
        <v>2</v>
      </c>
      <c r="H234" s="6" t="s">
        <v>888</v>
      </c>
      <c r="I234" s="7" t="s">
        <v>939</v>
      </c>
      <c r="J234" s="7" t="s">
        <v>250</v>
      </c>
      <c r="K234" s="7" t="s">
        <v>0</v>
      </c>
      <c r="L234" s="7" t="s">
        <v>0</v>
      </c>
      <c r="M234" s="8">
        <v>11</v>
      </c>
      <c r="N234" s="9">
        <v>390</v>
      </c>
      <c r="O234" s="9">
        <f t="shared" si="0"/>
        <v>7.4304979644704838</v>
      </c>
      <c r="P234" s="9">
        <v>390</v>
      </c>
      <c r="Q234" s="9">
        <f t="shared" si="1"/>
        <v>7.4304979644704838</v>
      </c>
      <c r="R234" s="9">
        <v>390</v>
      </c>
      <c r="S234" s="9">
        <f t="shared" si="2"/>
        <v>7.4304979644704838</v>
      </c>
      <c r="T234" s="9" t="s">
        <v>0</v>
      </c>
      <c r="U234" s="9" t="str">
        <f t="shared" si="3"/>
        <v>-</v>
      </c>
      <c r="V234" s="9" t="s">
        <v>0</v>
      </c>
      <c r="W234" s="9" t="str">
        <f t="shared" si="4"/>
        <v>-</v>
      </c>
      <c r="X234" s="9" t="s">
        <v>0</v>
      </c>
      <c r="Y234" s="9" t="str">
        <f t="shared" si="5"/>
        <v>-</v>
      </c>
      <c r="Z234" s="9" t="s">
        <v>0</v>
      </c>
      <c r="AA234" s="9" t="str">
        <f t="shared" si="6"/>
        <v>-</v>
      </c>
      <c r="AB234" s="9" t="s">
        <v>0</v>
      </c>
      <c r="AC234" s="9" t="str">
        <f t="shared" si="7"/>
        <v>-</v>
      </c>
      <c r="AD234" s="9" t="s">
        <v>0</v>
      </c>
      <c r="AE234" s="12" t="str">
        <f t="shared" si="8"/>
        <v>-</v>
      </c>
      <c r="AF234" s="9" t="s">
        <v>716</v>
      </c>
      <c r="AG234" s="9" t="s">
        <v>0</v>
      </c>
      <c r="AH234" s="9">
        <v>1151.1999999999998</v>
      </c>
      <c r="AI234" s="9">
        <v>0.7</v>
      </c>
      <c r="AJ234" s="32">
        <v>1.05</v>
      </c>
      <c r="AK234" s="9">
        <v>18.5</v>
      </c>
      <c r="AL234" s="32">
        <v>0.95</v>
      </c>
      <c r="AM234" s="9">
        <v>1.2</v>
      </c>
      <c r="AN234" s="32">
        <v>1</v>
      </c>
      <c r="AO234" s="9">
        <v>3</v>
      </c>
      <c r="AP234" s="9">
        <v>0.2</v>
      </c>
      <c r="AQ234" s="32">
        <v>0.75</v>
      </c>
      <c r="AR234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291.76874999999995</v>
      </c>
      <c r="AS234" s="9">
        <f t="shared" si="9"/>
        <v>5.5589412896694794</v>
      </c>
      <c r="AT234" s="9">
        <f>IF(RIGHT(TIM[[#This Row],[Device type]],7)="Winding","-",TIM[[#This Row],[Cont Winter MVA]])</f>
        <v>7.4304979644704838</v>
      </c>
      <c r="AU234" s="9">
        <f>IF(RIGHT(TIM[[#This Row],[Device type]],7)="Winding","-",TIM[[#This Row],[Cont Shoulder MVA]])</f>
        <v>7.4304979644704838</v>
      </c>
      <c r="AV234" s="9">
        <f>IF(RIGHT(TIM[[#This Row],[Device type]],7)="Winding","-",TIM[[#This Row],[Cont Summer MVA]])</f>
        <v>7.4304979644704838</v>
      </c>
      <c r="AW234" s="9" t="str">
        <f>TIM[[#This Row],[24 Hr Winter MVA]]</f>
        <v>-</v>
      </c>
      <c r="AX234" s="9" t="str">
        <f>TIM[[#This Row],[24 Hr Summer MVA]]</f>
        <v>-</v>
      </c>
      <c r="AY234" s="9" t="str">
        <f>TIM[[#This Row],[Forwards MVA]]</f>
        <v>-</v>
      </c>
      <c r="AZ234" s="9" t="str">
        <f>TIM[[#This Row],[Relay MVA]]</f>
        <v>-</v>
      </c>
      <c r="BA234" s="9" t="str">
        <f>TIM[[#This Row],[CT MVA]]</f>
        <v>-</v>
      </c>
      <c r="BB234" s="9">
        <f>TIM[[#This Row],[Derating MVA]]</f>
        <v>5.5589412896694794</v>
      </c>
      <c r="BC234" s="9" t="str">
        <f>TIM[[#This Row],[Station/Feeder]]&amp;TIM[[#This Row],[Lowest MVA]]</f>
        <v>HNT_NST_SUBTRANS5.55894128966948</v>
      </c>
      <c r="BD234" s="9" t="str">
        <f>CONCATENATE(TIM[[#This Row],[Supply Level]],TIM[[#This Row],[Station/Feeder]],TIM[[#This Row],[Voltage]],TIM[[#This Row],[Lowest A-No PTX]])</f>
        <v>SubTransmissionHNT_NST_SUBTRANS11291.76875</v>
      </c>
      <c r="BE234" s="9" t="str">
        <f>CONCATENATE(TIM[[#This Row],[Supply Level]],TIM[[#This Row],[Station/Feeder]],TIM[[#This Row],[Voltage]],TIM[[#This Row],[Lowest A-PTX]])</f>
        <v>SubTransmissionHNT_NST_SUBTRANS11291.76875</v>
      </c>
      <c r="BF234" s="9">
        <f>IFERROR(IF(MIN(TIM[[#This Row],[Summ Cont Winter A]:[Cable Derating]])=0,"",MIN(TIM[[#This Row],[Summ Cont Winter A]:[Cable Derating]])),"")</f>
        <v>5.5589412896694794</v>
      </c>
      <c r="BG234" s="9">
        <f>IFERROR(TIM[[#This Row],[Lowest MVA]]*1000/(TIM[[#This Row],[Voltage]]*SQRT(3)),"")</f>
        <v>291.76874999999995</v>
      </c>
      <c r="BH234" s="9">
        <f t="shared" si="323"/>
        <v>291.76874999999995</v>
      </c>
      <c r="BI234" s="9" t="str">
        <f>TIM[[#This Row],[From]]</f>
        <v xml:space="preserve">TEHUNT6 </v>
      </c>
      <c r="BJ234" s="9" t="str">
        <f>TIM[[#This Row],[To]]</f>
        <v>Joint</v>
      </c>
      <c r="BK23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0.3in² Cu PILC SWAS</v>
      </c>
      <c r="BL234" s="9">
        <f>TIM[[#This Row],[Voltage]]</f>
        <v>11</v>
      </c>
    </row>
    <row r="235" spans="1:64" ht="15" hidden="1" customHeight="1" x14ac:dyDescent="0.25">
      <c r="A235" s="6" t="str">
        <f>CONCATENATE(TIM[[#This Row],[Supply Level]],TIM[[#This Row],[Station/Feeder]],TIM[[#This Row],[Voltage]])</f>
        <v>SubTransmissionHNT_NST_SUBTRANS11</v>
      </c>
      <c r="B235" s="6" t="str">
        <f>CONCATENATE(TIM[[#This Row],[Supply Level]],TIM[[#This Row],[Station/Feeder]],TIM[[#This Row],[Equipment ID]],TIM[[#This Row],[Voltage]],TIM[[#This Row],[Device type]])</f>
        <v>SubTransmissionHNT_NST_SUBTRANS3/1c 400mm² Al XLPE HPDE Screened11-</v>
      </c>
      <c r="C235" s="6" t="s">
        <v>1245</v>
      </c>
      <c r="D235" s="11" t="s">
        <v>234</v>
      </c>
      <c r="E235" s="14" t="s">
        <v>750</v>
      </c>
      <c r="F235" s="6" t="s">
        <v>958</v>
      </c>
      <c r="G235" s="27">
        <v>3</v>
      </c>
      <c r="H235" s="7" t="s">
        <v>888</v>
      </c>
      <c r="I235" s="7" t="s">
        <v>959</v>
      </c>
      <c r="J235" s="7" t="s">
        <v>250</v>
      </c>
      <c r="K235" s="7" t="s">
        <v>0</v>
      </c>
      <c r="L235" s="7" t="s">
        <v>0</v>
      </c>
      <c r="M235" s="8">
        <v>11</v>
      </c>
      <c r="N235" s="16">
        <v>537</v>
      </c>
      <c r="O235" s="9">
        <f t="shared" si="0"/>
        <v>10.231224120309358</v>
      </c>
      <c r="P235" s="16">
        <v>537</v>
      </c>
      <c r="Q235" s="9">
        <f t="shared" si="1"/>
        <v>10.231224120309358</v>
      </c>
      <c r="R235" s="16">
        <v>537</v>
      </c>
      <c r="S235" s="9">
        <f t="shared" si="2"/>
        <v>10.231224120309358</v>
      </c>
      <c r="T235" s="9" t="s">
        <v>0</v>
      </c>
      <c r="U235" s="9" t="str">
        <f t="shared" si="3"/>
        <v>-</v>
      </c>
      <c r="V235" s="9" t="s">
        <v>0</v>
      </c>
      <c r="W235" s="9" t="str">
        <f t="shared" si="4"/>
        <v>-</v>
      </c>
      <c r="X235" s="9" t="s">
        <v>0</v>
      </c>
      <c r="Y235" s="9" t="str">
        <f t="shared" si="5"/>
        <v>-</v>
      </c>
      <c r="Z235" s="9" t="s">
        <v>0</v>
      </c>
      <c r="AA235" s="9" t="str">
        <f t="shared" si="6"/>
        <v>-</v>
      </c>
      <c r="AB235" s="9" t="s">
        <v>0</v>
      </c>
      <c r="AC235" s="9" t="str">
        <f t="shared" si="7"/>
        <v>-</v>
      </c>
      <c r="AD235" s="9" t="s">
        <v>0</v>
      </c>
      <c r="AE235" s="12" t="str">
        <f t="shared" si="8"/>
        <v>-</v>
      </c>
      <c r="AF235" s="9" t="s">
        <v>713</v>
      </c>
      <c r="AG235" s="9" t="s">
        <v>0</v>
      </c>
      <c r="AH235" s="9">
        <v>79.400000000000006</v>
      </c>
      <c r="AI235" s="9">
        <v>0.7</v>
      </c>
      <c r="AJ235" s="32">
        <v>1.04</v>
      </c>
      <c r="AK235" s="9">
        <v>18.5</v>
      </c>
      <c r="AL235" s="32">
        <v>0.95</v>
      </c>
      <c r="AM235" s="9">
        <v>1.2</v>
      </c>
      <c r="AN235" s="32">
        <v>1</v>
      </c>
      <c r="AO235" s="9">
        <v>3</v>
      </c>
      <c r="AP235" s="9">
        <v>0.2</v>
      </c>
      <c r="AQ235" s="32">
        <v>0.75</v>
      </c>
      <c r="AR235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397.91699999999997</v>
      </c>
      <c r="AS235" s="9">
        <f t="shared" si="9"/>
        <v>7.5813370731492329</v>
      </c>
      <c r="AT235" s="9">
        <f>IF(RIGHT(TIM[[#This Row],[Device type]],7)="Winding","-",TIM[[#This Row],[Cont Winter MVA]])</f>
        <v>10.231224120309358</v>
      </c>
      <c r="AU235" s="9">
        <f>IF(RIGHT(TIM[[#This Row],[Device type]],7)="Winding","-",TIM[[#This Row],[Cont Shoulder MVA]])</f>
        <v>10.231224120309358</v>
      </c>
      <c r="AV235" s="9">
        <f>IF(RIGHT(TIM[[#This Row],[Device type]],7)="Winding","-",TIM[[#This Row],[Cont Summer MVA]])</f>
        <v>10.231224120309358</v>
      </c>
      <c r="AW235" s="9" t="str">
        <f>TIM[[#This Row],[24 Hr Winter MVA]]</f>
        <v>-</v>
      </c>
      <c r="AX235" s="9" t="str">
        <f>TIM[[#This Row],[24 Hr Summer MVA]]</f>
        <v>-</v>
      </c>
      <c r="AY235" s="9" t="str">
        <f>TIM[[#This Row],[Forwards MVA]]</f>
        <v>-</v>
      </c>
      <c r="AZ235" s="9" t="str">
        <f>TIM[[#This Row],[Relay MVA]]</f>
        <v>-</v>
      </c>
      <c r="BA235" s="9" t="str">
        <f>TIM[[#This Row],[CT MVA]]</f>
        <v>-</v>
      </c>
      <c r="BB235" s="9">
        <f>TIM[[#This Row],[Derating MVA]]</f>
        <v>7.5813370731492329</v>
      </c>
      <c r="BC235" s="9" t="str">
        <f>TIM[[#This Row],[Station/Feeder]]&amp;TIM[[#This Row],[Lowest MVA]]</f>
        <v>HNT_NST_SUBTRANS7.58133707314923</v>
      </c>
      <c r="BD235" s="9" t="str">
        <f>CONCATENATE(TIM[[#This Row],[Supply Level]],TIM[[#This Row],[Station/Feeder]],TIM[[#This Row],[Voltage]],TIM[[#This Row],[Lowest A-No PTX]])</f>
        <v>SubTransmissionHNT_NST_SUBTRANS11397.917</v>
      </c>
      <c r="BE235" s="9" t="str">
        <f>CONCATENATE(TIM[[#This Row],[Supply Level]],TIM[[#This Row],[Station/Feeder]],TIM[[#This Row],[Voltage]],TIM[[#This Row],[Lowest A-PTX]])</f>
        <v>SubTransmissionHNT_NST_SUBTRANS11397.917</v>
      </c>
      <c r="BF235" s="9">
        <f>IFERROR(IF(MIN(TIM[[#This Row],[Summ Cont Winter A]:[Cable Derating]])=0,"",MIN(TIM[[#This Row],[Summ Cont Winter A]:[Cable Derating]])),"")</f>
        <v>7.5813370731492329</v>
      </c>
      <c r="BG235" s="9">
        <f>IFERROR(TIM[[#This Row],[Lowest MVA]]*1000/(TIM[[#This Row],[Voltage]]*SQRT(3)),"")</f>
        <v>397.91699999999997</v>
      </c>
      <c r="BH235" s="9">
        <f t="shared" si="323"/>
        <v>397.91699999999997</v>
      </c>
      <c r="BI235" s="9" t="str">
        <f>TIM[[#This Row],[From]]</f>
        <v>Joint</v>
      </c>
      <c r="BJ235" s="9" t="str">
        <f>TIM[[#This Row],[To]]</f>
        <v>NST07</v>
      </c>
      <c r="BK23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HPDE Screened</v>
      </c>
      <c r="BL235" s="9">
        <f>TIM[[#This Row],[Voltage]]</f>
        <v>11</v>
      </c>
    </row>
    <row r="236" spans="1:64" ht="15" customHeight="1" x14ac:dyDescent="0.25">
      <c r="A236" s="6" t="str">
        <f>CONCATENATE(TIM[[#This Row],[Supply Level]],TIM[[#This Row],[Station/Feeder]],TIM[[#This Row],[Voltage]])</f>
        <v>DistributionFeederCB7_Church St SS11</v>
      </c>
      <c r="B236" s="6" t="str">
        <f>CONCATENATE(TIM[[#This Row],[Supply Level]],TIM[[#This Row],[Station/Feeder]],TIM[[#This Row],[Equipment ID]],TIM[[#This Row],[Voltage]],TIM[[#This Row],[Device type]])</f>
        <v>DistributionFeederCB7_Church St SSHNT-CB711Protection</v>
      </c>
      <c r="C236" s="6" t="s">
        <v>1276</v>
      </c>
      <c r="D236" s="11" t="s">
        <v>218</v>
      </c>
      <c r="E236" s="6" t="s">
        <v>243</v>
      </c>
      <c r="F236" s="6" t="s">
        <v>960</v>
      </c>
      <c r="G236" s="27">
        <v>1</v>
      </c>
      <c r="H236" s="7" t="s">
        <v>945</v>
      </c>
      <c r="I236" s="7" t="s">
        <v>2260</v>
      </c>
      <c r="J236" s="7" t="s">
        <v>15</v>
      </c>
      <c r="K236" s="7" t="s">
        <v>791</v>
      </c>
      <c r="L236" s="7" t="s">
        <v>1423</v>
      </c>
      <c r="M236" s="8">
        <v>11</v>
      </c>
      <c r="N236" s="9">
        <v>630</v>
      </c>
      <c r="O236" s="9">
        <f t="shared" si="0"/>
        <v>12.00311209645232</v>
      </c>
      <c r="P236" s="9">
        <v>630</v>
      </c>
      <c r="Q236" s="9">
        <f t="shared" si="1"/>
        <v>12.00311209645232</v>
      </c>
      <c r="R236" s="9">
        <v>630</v>
      </c>
      <c r="S236" s="9">
        <f t="shared" si="2"/>
        <v>12.00311209645232</v>
      </c>
      <c r="T236" s="9" t="s">
        <v>0</v>
      </c>
      <c r="U236" s="9" t="str">
        <f t="shared" si="3"/>
        <v>-</v>
      </c>
      <c r="V236" s="9" t="s">
        <v>0</v>
      </c>
      <c r="W236" s="9" t="str">
        <f t="shared" si="4"/>
        <v>-</v>
      </c>
      <c r="X236" s="9">
        <f>VLOOKUP(TIM[[#This Row],[Equipment ID]],AEL_Protection_Data[#All],12,0)</f>
        <v>200</v>
      </c>
      <c r="Y236" s="9">
        <f t="shared" si="5"/>
        <v>3.8105117766515302</v>
      </c>
      <c r="Z236" s="9" t="s">
        <v>0</v>
      </c>
      <c r="AA236" s="9" t="str">
        <f t="shared" si="6"/>
        <v>-</v>
      </c>
      <c r="AB236" s="9">
        <v>800</v>
      </c>
      <c r="AC236" s="9">
        <f t="shared" si="7"/>
        <v>15.242047106606121</v>
      </c>
      <c r="AD236" s="9">
        <v>800</v>
      </c>
      <c r="AE236" s="12">
        <f t="shared" si="8"/>
        <v>15.242047106606121</v>
      </c>
      <c r="AF236" s="9" t="s">
        <v>0</v>
      </c>
      <c r="AG236" s="9" t="s">
        <v>0</v>
      </c>
      <c r="AH236" s="9" t="s">
        <v>0</v>
      </c>
      <c r="AI236" s="9" t="s">
        <v>0</v>
      </c>
      <c r="AJ236" s="32" t="s">
        <v>0</v>
      </c>
      <c r="AK236" s="9" t="s">
        <v>0</v>
      </c>
      <c r="AL236" s="32" t="s">
        <v>0</v>
      </c>
      <c r="AM236" s="9" t="s">
        <v>0</v>
      </c>
      <c r="AN236" s="32" t="s">
        <v>0</v>
      </c>
      <c r="AO236" s="9" t="s">
        <v>0</v>
      </c>
      <c r="AP236" s="9" t="s">
        <v>0</v>
      </c>
      <c r="AQ236" s="32" t="s">
        <v>0</v>
      </c>
      <c r="AR236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36" s="9" t="str">
        <f t="shared" si="9"/>
        <v>-</v>
      </c>
      <c r="AT236" s="9">
        <f>IF(RIGHT(TIM[[#This Row],[Device type]],7)="Winding","-",TIM[[#This Row],[Cont Winter MVA]])</f>
        <v>12.00311209645232</v>
      </c>
      <c r="AU236" s="9">
        <f>IF(RIGHT(TIM[[#This Row],[Device type]],7)="Winding","-",TIM[[#This Row],[Cont Shoulder MVA]])</f>
        <v>12.00311209645232</v>
      </c>
      <c r="AV236" s="9">
        <f>IF(RIGHT(TIM[[#This Row],[Device type]],7)="Winding","-",TIM[[#This Row],[Cont Summer MVA]])</f>
        <v>12.00311209645232</v>
      </c>
      <c r="AW236" s="9" t="str">
        <f>TIM[[#This Row],[24 Hr Winter MVA]]</f>
        <v>-</v>
      </c>
      <c r="AX236" s="9" t="str">
        <f>TIM[[#This Row],[24 Hr Summer MVA]]</f>
        <v>-</v>
      </c>
      <c r="AY236" s="9">
        <f>TIM[[#This Row],[Forwards MVA]]</f>
        <v>3.8105117766515302</v>
      </c>
      <c r="AZ236" s="9">
        <f>TIM[[#This Row],[Relay MVA]]</f>
        <v>15.242047106606121</v>
      </c>
      <c r="BA236" s="9">
        <f>TIM[[#This Row],[CT MVA]]</f>
        <v>15.242047106606121</v>
      </c>
      <c r="BB236" s="9" t="str">
        <f>TIM[[#This Row],[Derating MVA]]</f>
        <v>-</v>
      </c>
      <c r="BC236" s="9" t="str">
        <f>TIM[[#This Row],[Station/Feeder]]&amp;TIM[[#This Row],[Lowest MVA]]</f>
        <v>CB7_Church St SS3.81051177665153</v>
      </c>
      <c r="BD236" s="9" t="str">
        <f>CONCATENATE(TIM[[#This Row],[Supply Level]],TIM[[#This Row],[Station/Feeder]],TIM[[#This Row],[Voltage]],TIM[[#This Row],[Lowest A-No PTX]])</f>
        <v>DistributionFeederCB7_Church St SS11200</v>
      </c>
      <c r="BE236" s="9" t="str">
        <f>CONCATENATE(TIM[[#This Row],[Supply Level]],TIM[[#This Row],[Station/Feeder]],TIM[[#This Row],[Voltage]],TIM[[#This Row],[Lowest A-PTX]])</f>
        <v>DistributionFeederCB7_Church St SS11200</v>
      </c>
      <c r="BF236" s="9">
        <f>IFERROR(IF(MIN(TIM[[#This Row],[Summ Cont Winter A]:[Cable Derating]])=0,"",MIN(TIM[[#This Row],[Summ Cont Winter A]:[Cable Derating]])),"")</f>
        <v>3.8105117766515302</v>
      </c>
      <c r="BG236" s="9">
        <f>IFERROR(TIM[[#This Row],[Lowest MVA]]*1000/(TIM[[#This Row],[Voltage]]*SQRT(3)),"")</f>
        <v>200</v>
      </c>
      <c r="BH236" s="9">
        <f t="shared" si="323"/>
        <v>200</v>
      </c>
      <c r="BI236" s="9" t="str">
        <f>TIM[[#This Row],[From]]</f>
        <v>11 kV Bus</v>
      </c>
      <c r="BJ236" s="9" t="str">
        <f>TIM[[#This Row],[To]]</f>
        <v>TEHUNT7</v>
      </c>
      <c r="BK23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Breaker-HNT-CB7-Protection</v>
      </c>
      <c r="BL236" s="9">
        <f>TIM[[#This Row],[Voltage]]</f>
        <v>11</v>
      </c>
    </row>
    <row r="237" spans="1:64" ht="15" customHeight="1" x14ac:dyDescent="0.25">
      <c r="A237" s="6" t="str">
        <f>CONCATENATE(TIM[[#This Row],[Supply Level]],TIM[[#This Row],[Station/Feeder]],TIM[[#This Row],[Voltage]])</f>
        <v>DistributionFeederCB7_Church St SS11</v>
      </c>
      <c r="B237" s="6" t="str">
        <f>CONCATENATE(TIM[[#This Row],[Supply Level]],TIM[[#This Row],[Station/Feeder]],TIM[[#This Row],[Equipment ID]],TIM[[#This Row],[Voltage]],TIM[[#This Row],[Device type]])</f>
        <v>DistributionFeederCB7_Church St SS3c 185mm² Al PILC SWAS11-</v>
      </c>
      <c r="C237" s="6" t="s">
        <v>1276</v>
      </c>
      <c r="D237" s="11" t="s">
        <v>218</v>
      </c>
      <c r="E237" s="6" t="s">
        <v>960</v>
      </c>
      <c r="F237" s="6" t="s">
        <v>750</v>
      </c>
      <c r="G237" s="27">
        <v>2</v>
      </c>
      <c r="H237" s="7" t="s">
        <v>888</v>
      </c>
      <c r="I237" s="7" t="s">
        <v>901</v>
      </c>
      <c r="J237" s="7" t="s">
        <v>250</v>
      </c>
      <c r="K237" s="7" t="s">
        <v>0</v>
      </c>
      <c r="L237" s="7" t="s">
        <v>0</v>
      </c>
      <c r="M237" s="8">
        <v>11</v>
      </c>
      <c r="N237" s="9">
        <v>300</v>
      </c>
      <c r="O237" s="9">
        <f t="shared" si="0"/>
        <v>5.715767664977295</v>
      </c>
      <c r="P237" s="9">
        <v>300</v>
      </c>
      <c r="Q237" s="9">
        <f t="shared" si="1"/>
        <v>5.715767664977295</v>
      </c>
      <c r="R237" s="9">
        <v>300</v>
      </c>
      <c r="S237" s="9">
        <f t="shared" si="2"/>
        <v>5.715767664977295</v>
      </c>
      <c r="T237" s="9" t="s">
        <v>0</v>
      </c>
      <c r="U237" s="9" t="str">
        <f t="shared" si="3"/>
        <v>-</v>
      </c>
      <c r="V237" s="9" t="s">
        <v>0</v>
      </c>
      <c r="W237" s="9" t="str">
        <f t="shared" si="4"/>
        <v>-</v>
      </c>
      <c r="X237" s="9" t="s">
        <v>0</v>
      </c>
      <c r="Y237" s="9" t="str">
        <f t="shared" si="5"/>
        <v>-</v>
      </c>
      <c r="Z237" s="9" t="s">
        <v>0</v>
      </c>
      <c r="AA237" s="9" t="str">
        <f t="shared" si="6"/>
        <v>-</v>
      </c>
      <c r="AB237" s="9" t="s">
        <v>0</v>
      </c>
      <c r="AC237" s="9" t="str">
        <f t="shared" si="7"/>
        <v>-</v>
      </c>
      <c r="AD237" s="9" t="s">
        <v>0</v>
      </c>
      <c r="AE237" s="12" t="str">
        <f t="shared" si="8"/>
        <v>-</v>
      </c>
      <c r="AF237" s="9" t="s">
        <v>716</v>
      </c>
      <c r="AG237" s="9" t="s">
        <v>0</v>
      </c>
      <c r="AH237" s="9">
        <v>224.1</v>
      </c>
      <c r="AI237" s="9">
        <v>0.85</v>
      </c>
      <c r="AJ237" s="32">
        <v>1.03</v>
      </c>
      <c r="AK237" s="9">
        <v>18.5</v>
      </c>
      <c r="AL237" s="32">
        <v>0.95</v>
      </c>
      <c r="AM237" s="9">
        <v>1.2</v>
      </c>
      <c r="AN237" s="32">
        <v>1</v>
      </c>
      <c r="AO237" s="9">
        <v>3</v>
      </c>
      <c r="AP237" s="9">
        <v>0.34</v>
      </c>
      <c r="AQ237" s="32">
        <v>0.8</v>
      </c>
      <c r="AR237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234.83999999999997</v>
      </c>
      <c r="AS237" s="9">
        <f t="shared" si="9"/>
        <v>4.4743029281442261</v>
      </c>
      <c r="AT237" s="9">
        <f>IF(RIGHT(TIM[[#This Row],[Device type]],7)="Winding","-",TIM[[#This Row],[Cont Winter MVA]])</f>
        <v>5.715767664977295</v>
      </c>
      <c r="AU237" s="9">
        <f>IF(RIGHT(TIM[[#This Row],[Device type]],7)="Winding","-",TIM[[#This Row],[Cont Shoulder MVA]])</f>
        <v>5.715767664977295</v>
      </c>
      <c r="AV237" s="9">
        <f>IF(RIGHT(TIM[[#This Row],[Device type]],7)="Winding","-",TIM[[#This Row],[Cont Summer MVA]])</f>
        <v>5.715767664977295</v>
      </c>
      <c r="AW237" s="9" t="str">
        <f>TIM[[#This Row],[24 Hr Winter MVA]]</f>
        <v>-</v>
      </c>
      <c r="AX237" s="9" t="str">
        <f>TIM[[#This Row],[24 Hr Summer MVA]]</f>
        <v>-</v>
      </c>
      <c r="AY237" s="9" t="str">
        <f>TIM[[#This Row],[Forwards MVA]]</f>
        <v>-</v>
      </c>
      <c r="AZ237" s="9" t="str">
        <f>TIM[[#This Row],[Relay MVA]]</f>
        <v>-</v>
      </c>
      <c r="BA237" s="9" t="str">
        <f>TIM[[#This Row],[CT MVA]]</f>
        <v>-</v>
      </c>
      <c r="BB237" s="9">
        <f>TIM[[#This Row],[Derating MVA]]</f>
        <v>4.4743029281442261</v>
      </c>
      <c r="BC237" s="9" t="str">
        <f>TIM[[#This Row],[Station/Feeder]]&amp;TIM[[#This Row],[Lowest MVA]]</f>
        <v>CB7_Church St SS4.47430292814423</v>
      </c>
      <c r="BD237" s="9" t="str">
        <f>CONCATENATE(TIM[[#This Row],[Supply Level]],TIM[[#This Row],[Station/Feeder]],TIM[[#This Row],[Voltage]],TIM[[#This Row],[Lowest A-No PTX]])</f>
        <v>DistributionFeederCB7_Church St SS11234.84</v>
      </c>
      <c r="BE237" s="9" t="str">
        <f>CONCATENATE(TIM[[#This Row],[Supply Level]],TIM[[#This Row],[Station/Feeder]],TIM[[#This Row],[Voltage]],TIM[[#This Row],[Lowest A-PTX]])</f>
        <v>DistributionFeederCB7_Church St SS11234.84</v>
      </c>
      <c r="BF237" s="9">
        <f>IFERROR(IF(MIN(TIM[[#This Row],[Summ Cont Winter A]:[Cable Derating]])=0,"",MIN(TIM[[#This Row],[Summ Cont Winter A]:[Cable Derating]])),"")</f>
        <v>4.4743029281442261</v>
      </c>
      <c r="BG237" s="9">
        <f>IFERROR(TIM[[#This Row],[Lowest MVA]]*1000/(TIM[[#This Row],[Voltage]]*SQRT(3)),"")</f>
        <v>234.83999999999997</v>
      </c>
      <c r="BH237" s="9">
        <f t="shared" si="323"/>
        <v>234.83999999999997</v>
      </c>
      <c r="BI237" s="9" t="str">
        <f>TIM[[#This Row],[From]]</f>
        <v>TEHUNT7</v>
      </c>
      <c r="BJ237" s="9" t="str">
        <f>TIM[[#This Row],[To]]</f>
        <v>Joint</v>
      </c>
      <c r="BK23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PILC SWAS</v>
      </c>
      <c r="BL237" s="9">
        <f>TIM[[#This Row],[Voltage]]</f>
        <v>11</v>
      </c>
    </row>
    <row r="238" spans="1:64" ht="15" customHeight="1" x14ac:dyDescent="0.25">
      <c r="A238" s="6" t="str">
        <f>CONCATENATE(TIM[[#This Row],[Supply Level]],TIM[[#This Row],[Station/Feeder]],TIM[[#This Row],[Voltage]])</f>
        <v>DistributionFeederCB7_Church St SS11</v>
      </c>
      <c r="B238" s="6" t="str">
        <f>CONCATENATE(TIM[[#This Row],[Supply Level]],TIM[[#This Row],[Station/Feeder]],TIM[[#This Row],[Equipment ID]],TIM[[#This Row],[Voltage]],TIM[[#This Row],[Device type]])</f>
        <v>DistributionFeederCB7_Church St SS3c 0.15in² Al PILC STAS11-</v>
      </c>
      <c r="C238" s="6" t="s">
        <v>1276</v>
      </c>
      <c r="D238" s="11" t="s">
        <v>218</v>
      </c>
      <c r="E238" s="6" t="s">
        <v>750</v>
      </c>
      <c r="F238" s="6" t="s">
        <v>961</v>
      </c>
      <c r="G238" s="27">
        <v>3</v>
      </c>
      <c r="H238" s="7" t="s">
        <v>888</v>
      </c>
      <c r="I238" s="7" t="s">
        <v>962</v>
      </c>
      <c r="J238" s="7" t="s">
        <v>250</v>
      </c>
      <c r="K238" s="7" t="s">
        <v>0</v>
      </c>
      <c r="L238" s="7" t="s">
        <v>0</v>
      </c>
      <c r="M238" s="8">
        <v>11</v>
      </c>
      <c r="N238" s="16">
        <v>205</v>
      </c>
      <c r="O238" s="9">
        <f t="shared" si="0"/>
        <v>3.905774571067818</v>
      </c>
      <c r="P238" s="16">
        <v>205</v>
      </c>
      <c r="Q238" s="9">
        <f t="shared" si="1"/>
        <v>3.905774571067818</v>
      </c>
      <c r="R238" s="16">
        <v>205</v>
      </c>
      <c r="S238" s="9">
        <f t="shared" si="2"/>
        <v>3.905774571067818</v>
      </c>
      <c r="T238" s="9" t="s">
        <v>0</v>
      </c>
      <c r="U238" s="9" t="str">
        <f t="shared" si="3"/>
        <v>-</v>
      </c>
      <c r="V238" s="9" t="s">
        <v>0</v>
      </c>
      <c r="W238" s="9" t="str">
        <f t="shared" si="4"/>
        <v>-</v>
      </c>
      <c r="X238" s="9" t="s">
        <v>0</v>
      </c>
      <c r="Y238" s="9" t="str">
        <f t="shared" si="5"/>
        <v>-</v>
      </c>
      <c r="Z238" s="9" t="s">
        <v>0</v>
      </c>
      <c r="AA238" s="9" t="str">
        <f t="shared" si="6"/>
        <v>-</v>
      </c>
      <c r="AB238" s="9" t="s">
        <v>0</v>
      </c>
      <c r="AC238" s="9" t="str">
        <f t="shared" si="7"/>
        <v>-</v>
      </c>
      <c r="AD238" s="9" t="s">
        <v>0</v>
      </c>
      <c r="AE238" s="12" t="str">
        <f t="shared" si="8"/>
        <v>-</v>
      </c>
      <c r="AF238" s="9" t="s">
        <v>716</v>
      </c>
      <c r="AG238" s="9" t="s">
        <v>0</v>
      </c>
      <c r="AH238" s="9">
        <v>211.4</v>
      </c>
      <c r="AI238" s="9">
        <v>0.85</v>
      </c>
      <c r="AJ238" s="32">
        <v>1.03</v>
      </c>
      <c r="AK238" s="9">
        <v>18.5</v>
      </c>
      <c r="AL238" s="32">
        <v>0.95</v>
      </c>
      <c r="AM238" s="9">
        <v>1.2</v>
      </c>
      <c r="AN238" s="32">
        <v>1</v>
      </c>
      <c r="AO238" s="9">
        <v>3</v>
      </c>
      <c r="AP238" s="9">
        <v>0.34</v>
      </c>
      <c r="AQ238" s="32">
        <v>0.8</v>
      </c>
      <c r="AR238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160.47399999999999</v>
      </c>
      <c r="AS238" s="9">
        <f t="shared" si="9"/>
        <v>3.0574403342318877</v>
      </c>
      <c r="AT238" s="9">
        <f>IF(RIGHT(TIM[[#This Row],[Device type]],7)="Winding","-",TIM[[#This Row],[Cont Winter MVA]])</f>
        <v>3.905774571067818</v>
      </c>
      <c r="AU238" s="9">
        <f>IF(RIGHT(TIM[[#This Row],[Device type]],7)="Winding","-",TIM[[#This Row],[Cont Shoulder MVA]])</f>
        <v>3.905774571067818</v>
      </c>
      <c r="AV238" s="9">
        <f>IF(RIGHT(TIM[[#This Row],[Device type]],7)="Winding","-",TIM[[#This Row],[Cont Summer MVA]])</f>
        <v>3.905774571067818</v>
      </c>
      <c r="AW238" s="9" t="str">
        <f>TIM[[#This Row],[24 Hr Winter MVA]]</f>
        <v>-</v>
      </c>
      <c r="AX238" s="9" t="str">
        <f>TIM[[#This Row],[24 Hr Summer MVA]]</f>
        <v>-</v>
      </c>
      <c r="AY238" s="9" t="str">
        <f>TIM[[#This Row],[Forwards MVA]]</f>
        <v>-</v>
      </c>
      <c r="AZ238" s="9" t="str">
        <f>TIM[[#This Row],[Relay MVA]]</f>
        <v>-</v>
      </c>
      <c r="BA238" s="9" t="str">
        <f>TIM[[#This Row],[CT MVA]]</f>
        <v>-</v>
      </c>
      <c r="BB238" s="9">
        <f>TIM[[#This Row],[Derating MVA]]</f>
        <v>3.0574403342318877</v>
      </c>
      <c r="BC238" s="9" t="str">
        <f>TIM[[#This Row],[Station/Feeder]]&amp;TIM[[#This Row],[Lowest MVA]]</f>
        <v>CB7_Church St SS3.05744033423189</v>
      </c>
      <c r="BD238" s="9" t="str">
        <f>CONCATENATE(TIM[[#This Row],[Supply Level]],TIM[[#This Row],[Station/Feeder]],TIM[[#This Row],[Voltage]],TIM[[#This Row],[Lowest A-No PTX]])</f>
        <v>DistributionFeederCB7_Church St SS11160.474</v>
      </c>
      <c r="BE238" s="9" t="str">
        <f>CONCATENATE(TIM[[#This Row],[Supply Level]],TIM[[#This Row],[Station/Feeder]],TIM[[#This Row],[Voltage]],TIM[[#This Row],[Lowest A-PTX]])</f>
        <v>DistributionFeederCB7_Church St SS11160.474</v>
      </c>
      <c r="BF238" s="9">
        <f>IFERROR(IF(MIN(TIM[[#This Row],[Summ Cont Winter A]:[Cable Derating]])=0,"",MIN(TIM[[#This Row],[Summ Cont Winter A]:[Cable Derating]])),"")</f>
        <v>3.0574403342318877</v>
      </c>
      <c r="BG238" s="9">
        <f>IFERROR(TIM[[#This Row],[Lowest MVA]]*1000/(TIM[[#This Row],[Voltage]]*SQRT(3)),"")</f>
        <v>160.47399999999999</v>
      </c>
      <c r="BH238" s="9">
        <f t="shared" si="323"/>
        <v>160.47399999999999</v>
      </c>
      <c r="BI238" s="9" t="str">
        <f>TIM[[#This Row],[From]]</f>
        <v>Joint</v>
      </c>
      <c r="BJ238" s="9" t="str">
        <f>TIM[[#This Row],[To]]</f>
        <v>TEJ4</v>
      </c>
      <c r="BK23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0.15in² Al PILC STAS</v>
      </c>
      <c r="BL238" s="9">
        <f>TIM[[#This Row],[Voltage]]</f>
        <v>11</v>
      </c>
    </row>
    <row r="239" spans="1:64" ht="15" customHeight="1" x14ac:dyDescent="0.25">
      <c r="A239" s="6" t="str">
        <f>CONCATENATE(TIM[[#This Row],[Supply Level]],TIM[[#This Row],[Station/Feeder]],TIM[[#This Row],[Voltage]])</f>
        <v>DistributionFeederCB8_Spare11</v>
      </c>
      <c r="B239" s="6" t="str">
        <f>CONCATENATE(TIM[[#This Row],[Supply Level]],TIM[[#This Row],[Station/Feeder]],TIM[[#This Row],[Equipment ID]],TIM[[#This Row],[Voltage]],TIM[[#This Row],[Device type]])</f>
        <v>DistributionFeederCB8_SpareHNT-CB811Protection</v>
      </c>
      <c r="C239" s="6" t="s">
        <v>1276</v>
      </c>
      <c r="D239" s="11" t="s">
        <v>1414</v>
      </c>
      <c r="E239" s="14" t="s">
        <v>963</v>
      </c>
      <c r="F239" s="6" t="s">
        <v>964</v>
      </c>
      <c r="G239" s="27">
        <v>1</v>
      </c>
      <c r="H239" s="7" t="s">
        <v>945</v>
      </c>
      <c r="I239" s="7" t="s">
        <v>2261</v>
      </c>
      <c r="J239" s="7" t="s">
        <v>15</v>
      </c>
      <c r="K239" s="7" t="s">
        <v>791</v>
      </c>
      <c r="L239" s="7" t="s">
        <v>1423</v>
      </c>
      <c r="M239" s="8">
        <v>11</v>
      </c>
      <c r="N239" s="16">
        <v>630</v>
      </c>
      <c r="O239" s="9">
        <f>IF(OR(N239="",N239="-"),"-",N239*$M239*SQRT(3)/1000)</f>
        <v>12.00311209645232</v>
      </c>
      <c r="P239" s="16">
        <v>630</v>
      </c>
      <c r="Q239" s="9">
        <f>IF(OR(P239="",P239="-"),"-",P239*$M239*SQRT(3)/1000)</f>
        <v>12.00311209645232</v>
      </c>
      <c r="R239" s="16">
        <v>630</v>
      </c>
      <c r="S239" s="9">
        <f>IF(OR(R239="",R239="-"),"-",R239*$M239*SQRT(3)/1000)</f>
        <v>12.00311209645232</v>
      </c>
      <c r="T239" s="9" t="s">
        <v>0</v>
      </c>
      <c r="U239" s="9" t="str">
        <f>IF(OR(T239="",T239="-"),"-",T239*$M239*SQRT(3)/1000)</f>
        <v>-</v>
      </c>
      <c r="V239" s="9" t="s">
        <v>0</v>
      </c>
      <c r="W239" s="9" t="str">
        <f>IF(OR(V239="",V239="-"),"-",V239*$M239*SQRT(3)/1000)</f>
        <v>-</v>
      </c>
      <c r="X239" s="9">
        <f>VLOOKUP(TIM[[#This Row],[Equipment ID]],AEL_Protection_Data[#All],12,0)</f>
        <v>200</v>
      </c>
      <c r="Y239" s="9">
        <f>IF(OR(X239="",X239="-"),"-",X239*$M239*SQRT(3)/1000)</f>
        <v>3.8105117766515302</v>
      </c>
      <c r="Z239" s="9" t="s">
        <v>0</v>
      </c>
      <c r="AA239" s="9" t="str">
        <f>IF(OR(Z239="",Z239="-"),"-",Z239*$M239*SQRT(3)/1000)</f>
        <v>-</v>
      </c>
      <c r="AB239" s="9">
        <v>800</v>
      </c>
      <c r="AC239" s="9">
        <f>IF(OR(AB239="",AB239="-"),"-",AB239*$M239*SQRT(3)/1000)</f>
        <v>15.242047106606121</v>
      </c>
      <c r="AD239" s="9">
        <v>800</v>
      </c>
      <c r="AE239" s="12">
        <f>IF(OR(AD239="",AD239="-"),"-",AD239*$M239*SQRT(3)/1000)</f>
        <v>15.242047106606121</v>
      </c>
      <c r="AF239" s="9" t="s">
        <v>0</v>
      </c>
      <c r="AG239" s="9" t="s">
        <v>0</v>
      </c>
      <c r="AH239" s="9" t="s">
        <v>0</v>
      </c>
      <c r="AI239" s="9" t="s">
        <v>0</v>
      </c>
      <c r="AJ239" s="32" t="s">
        <v>0</v>
      </c>
      <c r="AK239" s="9" t="s">
        <v>0</v>
      </c>
      <c r="AL239" s="32" t="s">
        <v>0</v>
      </c>
      <c r="AM239" s="9" t="s">
        <v>0</v>
      </c>
      <c r="AN239" s="32" t="s">
        <v>0</v>
      </c>
      <c r="AO239" s="9" t="s">
        <v>0</v>
      </c>
      <c r="AP239" s="9" t="s">
        <v>0</v>
      </c>
      <c r="AQ239" s="32" t="s">
        <v>0</v>
      </c>
      <c r="AR239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39" s="9" t="str">
        <f>IF(OR(AR239="",AR239="-"),"-",AR239*$M239*SQRT(3)/1000)</f>
        <v>-</v>
      </c>
      <c r="AT239" s="9">
        <f>IF(RIGHT(TIM[[#This Row],[Device type]],7)="Winding","-",TIM[[#This Row],[Cont Winter MVA]])</f>
        <v>12.00311209645232</v>
      </c>
      <c r="AU239" s="9">
        <f>IF(RIGHT(TIM[[#This Row],[Device type]],7)="Winding","-",TIM[[#This Row],[Cont Shoulder MVA]])</f>
        <v>12.00311209645232</v>
      </c>
      <c r="AV239" s="9">
        <f>IF(RIGHT(TIM[[#This Row],[Device type]],7)="Winding","-",TIM[[#This Row],[Cont Summer MVA]])</f>
        <v>12.00311209645232</v>
      </c>
      <c r="AW239" s="9" t="str">
        <f>TIM[[#This Row],[24 Hr Winter MVA]]</f>
        <v>-</v>
      </c>
      <c r="AX239" s="9" t="str">
        <f>TIM[[#This Row],[24 Hr Summer MVA]]</f>
        <v>-</v>
      </c>
      <c r="AY239" s="9">
        <f>TIM[[#This Row],[Forwards MVA]]</f>
        <v>3.8105117766515302</v>
      </c>
      <c r="AZ239" s="9">
        <f>TIM[[#This Row],[Relay MVA]]</f>
        <v>15.242047106606121</v>
      </c>
      <c r="BA239" s="9">
        <f>TIM[[#This Row],[CT MVA]]</f>
        <v>15.242047106606121</v>
      </c>
      <c r="BB239" s="9" t="str">
        <f>TIM[[#This Row],[Derating MVA]]</f>
        <v>-</v>
      </c>
      <c r="BC239" s="9" t="str">
        <f>TIM[[#This Row],[Station/Feeder]]&amp;TIM[[#This Row],[Lowest MVA]]</f>
        <v>CB8_Spare3.81051177665153</v>
      </c>
      <c r="BD239" s="9" t="str">
        <f>CONCATENATE(TIM[[#This Row],[Supply Level]],TIM[[#This Row],[Station/Feeder]],TIM[[#This Row],[Voltage]],TIM[[#This Row],[Lowest A-No PTX]])</f>
        <v>DistributionFeederCB8_Spare11200</v>
      </c>
      <c r="BE239" s="9" t="str">
        <f>CONCATENATE(TIM[[#This Row],[Supply Level]],TIM[[#This Row],[Station/Feeder]],TIM[[#This Row],[Voltage]],TIM[[#This Row],[Lowest A-PTX]])</f>
        <v>DistributionFeederCB8_Spare11200</v>
      </c>
      <c r="BF239" s="9">
        <f>IFERROR(IF(MIN(TIM[[#This Row],[Summ Cont Winter A]:[Cable Derating]])=0,"",MIN(TIM[[#This Row],[Summ Cont Winter A]:[Cable Derating]])),"")</f>
        <v>3.8105117766515302</v>
      </c>
      <c r="BG239" s="9">
        <f>IFERROR(TIM[[#This Row],[Lowest MVA]]*1000/(TIM[[#This Row],[Voltage]]*SQRT(3)),"")</f>
        <v>200</v>
      </c>
      <c r="BH239" s="9">
        <f t="shared" si="323"/>
        <v>200</v>
      </c>
      <c r="BI239" s="9" t="str">
        <f>TIM[[#This Row],[From]]</f>
        <v>SPARE</v>
      </c>
      <c r="BJ239" s="9" t="str">
        <f>TIM[[#This Row],[To]]</f>
        <v>TEHUNT8</v>
      </c>
      <c r="BK23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Breaker-HNT-CB8-Protection</v>
      </c>
      <c r="BL239" s="9">
        <f>TIM[[#This Row],[Voltage]]</f>
        <v>11</v>
      </c>
    </row>
    <row r="240" spans="1:64" ht="15" customHeight="1" x14ac:dyDescent="0.25">
      <c r="A240" s="6" t="str">
        <f>CONCATENATE(TIM[[#This Row],[Supply Level]],TIM[[#This Row],[Station/Feeder]],TIM[[#This Row],[Voltage]])</f>
        <v>DistributionFeederCB9_Bus coupler11</v>
      </c>
      <c r="B240" s="6" t="str">
        <f>CONCATENATE(TIM[[#This Row],[Supply Level]],TIM[[#This Row],[Station/Feeder]],TIM[[#This Row],[Equipment ID]],TIM[[#This Row],[Voltage]],TIM[[#This Row],[Device type]])</f>
        <v>DistributionFeederCB9_Bus couplerTEHUNT911-</v>
      </c>
      <c r="C240" s="6" t="s">
        <v>1276</v>
      </c>
      <c r="D240" s="11" t="s">
        <v>1415</v>
      </c>
      <c r="E240" s="14" t="s">
        <v>243</v>
      </c>
      <c r="F240" s="6" t="s">
        <v>965</v>
      </c>
      <c r="G240" s="27">
        <v>1</v>
      </c>
      <c r="H240" s="7" t="s">
        <v>945</v>
      </c>
      <c r="I240" s="7" t="s">
        <v>965</v>
      </c>
      <c r="J240" s="7" t="s">
        <v>746</v>
      </c>
      <c r="K240" s="7" t="s">
        <v>0</v>
      </c>
      <c r="L240" s="7" t="s">
        <v>0</v>
      </c>
      <c r="M240" s="8">
        <v>11</v>
      </c>
      <c r="N240" s="16">
        <v>630</v>
      </c>
      <c r="O240" s="9">
        <f>IF(OR(N240="",N240="-"),"-",N240*$M240*SQRT(3)/1000)</f>
        <v>12.00311209645232</v>
      </c>
      <c r="P240" s="16">
        <v>630</v>
      </c>
      <c r="Q240" s="9">
        <f>IF(OR(P240="",P240="-"),"-",P240*$M240*SQRT(3)/1000)</f>
        <v>12.00311209645232</v>
      </c>
      <c r="R240" s="16">
        <v>630</v>
      </c>
      <c r="S240" s="9">
        <f>IF(OR(R240="",R240="-"),"-",R240*$M240*SQRT(3)/1000)</f>
        <v>12.00311209645232</v>
      </c>
      <c r="T240" s="9" t="s">
        <v>0</v>
      </c>
      <c r="U240" s="9" t="str">
        <f>IF(OR(T240="",T240="-"),"-",T240*$M240*SQRT(3)/1000)</f>
        <v>-</v>
      </c>
      <c r="V240" s="9" t="s">
        <v>0</v>
      </c>
      <c r="W240" s="9" t="str">
        <f>IF(OR(V240="",V240="-"),"-",V240*$M240*SQRT(3)/1000)</f>
        <v>-</v>
      </c>
      <c r="X240" s="9" t="s">
        <v>0</v>
      </c>
      <c r="Y240" s="9" t="str">
        <f>IF(OR(X240="",X240="-"),"-",X240*$M240*SQRT(3)/1000)</f>
        <v>-</v>
      </c>
      <c r="Z240" s="9" t="s">
        <v>0</v>
      </c>
      <c r="AA240" s="9" t="str">
        <f>IF(OR(Z240="",Z240="-"),"-",Z240*$M240*SQRT(3)/1000)</f>
        <v>-</v>
      </c>
      <c r="AB240" s="9" t="s">
        <v>0</v>
      </c>
      <c r="AC240" s="9" t="str">
        <f>IF(OR(AB240="",AB240="-"),"-",AB240*$M240*SQRT(3)/1000)</f>
        <v>-</v>
      </c>
      <c r="AD240" s="9" t="s">
        <v>0</v>
      </c>
      <c r="AE240" s="12" t="str">
        <f>IF(OR(AD240="",AD240="-"),"-",AD240*$M240*SQRT(3)/1000)</f>
        <v>-</v>
      </c>
      <c r="AF240" s="9" t="s">
        <v>0</v>
      </c>
      <c r="AG240" s="9" t="s">
        <v>0</v>
      </c>
      <c r="AH240" s="9" t="s">
        <v>0</v>
      </c>
      <c r="AI240" s="9" t="s">
        <v>0</v>
      </c>
      <c r="AJ240" s="32" t="s">
        <v>0</v>
      </c>
      <c r="AK240" s="9" t="s">
        <v>0</v>
      </c>
      <c r="AL240" s="32" t="s">
        <v>0</v>
      </c>
      <c r="AM240" s="9" t="s">
        <v>0</v>
      </c>
      <c r="AN240" s="32" t="s">
        <v>0</v>
      </c>
      <c r="AO240" s="9" t="s">
        <v>0</v>
      </c>
      <c r="AP240" s="9" t="s">
        <v>0</v>
      </c>
      <c r="AQ240" s="32" t="s">
        <v>0</v>
      </c>
      <c r="AR24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40" s="9" t="str">
        <f>IF(OR(AR240="",AR240="-"),"-",AR240*$M240*SQRT(3)/1000)</f>
        <v>-</v>
      </c>
      <c r="AT240" s="9">
        <f>IF(RIGHT(TIM[[#This Row],[Device type]],7)="Winding","-",TIM[[#This Row],[Cont Winter MVA]])</f>
        <v>12.00311209645232</v>
      </c>
      <c r="AU240" s="9">
        <f>IF(RIGHT(TIM[[#This Row],[Device type]],7)="Winding","-",TIM[[#This Row],[Cont Shoulder MVA]])</f>
        <v>12.00311209645232</v>
      </c>
      <c r="AV240" s="9">
        <f>IF(RIGHT(TIM[[#This Row],[Device type]],7)="Winding","-",TIM[[#This Row],[Cont Summer MVA]])</f>
        <v>12.00311209645232</v>
      </c>
      <c r="AW240" s="9" t="str">
        <f>TIM[[#This Row],[24 Hr Winter MVA]]</f>
        <v>-</v>
      </c>
      <c r="AX240" s="9" t="str">
        <f>TIM[[#This Row],[24 Hr Summer MVA]]</f>
        <v>-</v>
      </c>
      <c r="AY240" s="9" t="str">
        <f>TIM[[#This Row],[Forwards MVA]]</f>
        <v>-</v>
      </c>
      <c r="AZ240" s="9" t="str">
        <f>TIM[[#This Row],[Relay MVA]]</f>
        <v>-</v>
      </c>
      <c r="BA240" s="9" t="str">
        <f>TIM[[#This Row],[CT MVA]]</f>
        <v>-</v>
      </c>
      <c r="BB240" s="9" t="str">
        <f>TIM[[#This Row],[Derating MVA]]</f>
        <v>-</v>
      </c>
      <c r="BC240" s="9" t="str">
        <f>TIM[[#This Row],[Station/Feeder]]&amp;TIM[[#This Row],[Lowest MVA]]</f>
        <v>CB9_Bus coupler12.0031120964523</v>
      </c>
      <c r="BD240" s="9" t="str">
        <f>CONCATENATE(TIM[[#This Row],[Supply Level]],TIM[[#This Row],[Station/Feeder]],TIM[[#This Row],[Voltage]],TIM[[#This Row],[Lowest A-No PTX]])</f>
        <v>DistributionFeederCB9_Bus coupler11630</v>
      </c>
      <c r="BE240" s="9" t="str">
        <f>CONCATENATE(TIM[[#This Row],[Supply Level]],TIM[[#This Row],[Station/Feeder]],TIM[[#This Row],[Voltage]],TIM[[#This Row],[Lowest A-PTX]])</f>
        <v>DistributionFeederCB9_Bus coupler11630</v>
      </c>
      <c r="BF240" s="9">
        <f>IFERROR(IF(MIN(TIM[[#This Row],[Summ Cont Winter A]:[Cable Derating]])=0,"",MIN(TIM[[#This Row],[Summ Cont Winter A]:[Cable Derating]])),"")</f>
        <v>12.00311209645232</v>
      </c>
      <c r="BG240" s="9">
        <f>IFERROR(TIM[[#This Row],[Lowest MVA]]*1000/(TIM[[#This Row],[Voltage]]*SQRT(3)),"")</f>
        <v>630</v>
      </c>
      <c r="BH240" s="9">
        <f t="shared" si="323"/>
        <v>630</v>
      </c>
      <c r="BI240" s="9" t="str">
        <f>TIM[[#This Row],[From]]</f>
        <v>11 kV Bus</v>
      </c>
      <c r="BJ240" s="9" t="str">
        <f>TIM[[#This Row],[To]]</f>
        <v>TEHUNT9</v>
      </c>
      <c r="BK24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Bus Coupler-TEHUNT9</v>
      </c>
      <c r="BL240" s="9">
        <f>TIM[[#This Row],[Voltage]]</f>
        <v>11</v>
      </c>
    </row>
    <row r="241" spans="1:64" ht="15" customHeight="1" x14ac:dyDescent="0.25">
      <c r="A241" s="6" t="str">
        <f>CONCATENATE(TIM[[#This Row],[Supply Level]],TIM[[#This Row],[Station/Feeder]],TIM[[#This Row],[Voltage]])</f>
        <v>DistributionFeederCB10_Gibson St11</v>
      </c>
      <c r="B241" s="6" t="str">
        <f>CONCATENATE(TIM[[#This Row],[Supply Level]],TIM[[#This Row],[Station/Feeder]],TIM[[#This Row],[Equipment ID]],TIM[[#This Row],[Voltage]],TIM[[#This Row],[Device type]])</f>
        <v>DistributionFeederCB10_Gibson StHNT-CB1011Protection</v>
      </c>
      <c r="C241" s="6" t="s">
        <v>1276</v>
      </c>
      <c r="D241" s="11" t="s">
        <v>219</v>
      </c>
      <c r="E241" s="6" t="s">
        <v>243</v>
      </c>
      <c r="F241" s="6" t="s">
        <v>966</v>
      </c>
      <c r="G241" s="27">
        <v>1</v>
      </c>
      <c r="H241" s="7" t="s">
        <v>945</v>
      </c>
      <c r="I241" s="7" t="s">
        <v>2262</v>
      </c>
      <c r="J241" s="7" t="s">
        <v>15</v>
      </c>
      <c r="K241" s="7" t="s">
        <v>791</v>
      </c>
      <c r="L241" s="7" t="s">
        <v>1423</v>
      </c>
      <c r="M241" s="8">
        <v>11</v>
      </c>
      <c r="N241" s="9">
        <v>630</v>
      </c>
      <c r="O241" s="9">
        <f t="shared" si="0"/>
        <v>12.00311209645232</v>
      </c>
      <c r="P241" s="9">
        <v>630</v>
      </c>
      <c r="Q241" s="9">
        <f t="shared" si="1"/>
        <v>12.00311209645232</v>
      </c>
      <c r="R241" s="9">
        <v>630</v>
      </c>
      <c r="S241" s="9">
        <f t="shared" si="2"/>
        <v>12.00311209645232</v>
      </c>
      <c r="T241" s="9" t="s">
        <v>0</v>
      </c>
      <c r="U241" s="9" t="str">
        <f t="shared" si="3"/>
        <v>-</v>
      </c>
      <c r="V241" s="9" t="s">
        <v>0</v>
      </c>
      <c r="W241" s="9" t="str">
        <f t="shared" si="4"/>
        <v>-</v>
      </c>
      <c r="X241" s="9">
        <f>VLOOKUP(TIM[[#This Row],[Equipment ID]],AEL_Protection_Data[#All],12,0)</f>
        <v>200</v>
      </c>
      <c r="Y241" s="9">
        <f t="shared" si="5"/>
        <v>3.8105117766515302</v>
      </c>
      <c r="Z241" s="9" t="s">
        <v>0</v>
      </c>
      <c r="AA241" s="9" t="str">
        <f t="shared" si="6"/>
        <v>-</v>
      </c>
      <c r="AB241" s="9">
        <v>800</v>
      </c>
      <c r="AC241" s="9">
        <f t="shared" si="7"/>
        <v>15.242047106606121</v>
      </c>
      <c r="AD241" s="9">
        <v>800</v>
      </c>
      <c r="AE241" s="12">
        <f t="shared" si="8"/>
        <v>15.242047106606121</v>
      </c>
      <c r="AF241" s="9" t="s">
        <v>0</v>
      </c>
      <c r="AG241" s="9" t="s">
        <v>0</v>
      </c>
      <c r="AH241" s="9" t="s">
        <v>0</v>
      </c>
      <c r="AI241" s="9" t="s">
        <v>0</v>
      </c>
      <c r="AJ241" s="32" t="s">
        <v>0</v>
      </c>
      <c r="AK241" s="9" t="s">
        <v>0</v>
      </c>
      <c r="AL241" s="32" t="s">
        <v>0</v>
      </c>
      <c r="AM241" s="9" t="s">
        <v>0</v>
      </c>
      <c r="AN241" s="32" t="s">
        <v>0</v>
      </c>
      <c r="AO241" s="9" t="s">
        <v>0</v>
      </c>
      <c r="AP241" s="9" t="s">
        <v>0</v>
      </c>
      <c r="AQ241" s="32" t="s">
        <v>0</v>
      </c>
      <c r="AR24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41" s="9" t="str">
        <f t="shared" si="9"/>
        <v>-</v>
      </c>
      <c r="AT241" s="9">
        <f>IF(RIGHT(TIM[[#This Row],[Device type]],7)="Winding","-",TIM[[#This Row],[Cont Winter MVA]])</f>
        <v>12.00311209645232</v>
      </c>
      <c r="AU241" s="9">
        <f>IF(RIGHT(TIM[[#This Row],[Device type]],7)="Winding","-",TIM[[#This Row],[Cont Shoulder MVA]])</f>
        <v>12.00311209645232</v>
      </c>
      <c r="AV241" s="9">
        <f>IF(RIGHT(TIM[[#This Row],[Device type]],7)="Winding","-",TIM[[#This Row],[Cont Summer MVA]])</f>
        <v>12.00311209645232</v>
      </c>
      <c r="AW241" s="9" t="str">
        <f>TIM[[#This Row],[24 Hr Winter MVA]]</f>
        <v>-</v>
      </c>
      <c r="AX241" s="9" t="str">
        <f>TIM[[#This Row],[24 Hr Summer MVA]]</f>
        <v>-</v>
      </c>
      <c r="AY241" s="9">
        <f>TIM[[#This Row],[Forwards MVA]]</f>
        <v>3.8105117766515302</v>
      </c>
      <c r="AZ241" s="9">
        <f>TIM[[#This Row],[Relay MVA]]</f>
        <v>15.242047106606121</v>
      </c>
      <c r="BA241" s="9">
        <f>TIM[[#This Row],[CT MVA]]</f>
        <v>15.242047106606121</v>
      </c>
      <c r="BB241" s="9" t="str">
        <f>TIM[[#This Row],[Derating MVA]]</f>
        <v>-</v>
      </c>
      <c r="BC241" s="9" t="str">
        <f>TIM[[#This Row],[Station/Feeder]]&amp;TIM[[#This Row],[Lowest MVA]]</f>
        <v>CB10_Gibson St3.81051177665153</v>
      </c>
      <c r="BD241" s="9" t="str">
        <f>CONCATENATE(TIM[[#This Row],[Supply Level]],TIM[[#This Row],[Station/Feeder]],TIM[[#This Row],[Voltage]],TIM[[#This Row],[Lowest A-No PTX]])</f>
        <v>DistributionFeederCB10_Gibson St11200</v>
      </c>
      <c r="BE241" s="9" t="str">
        <f>CONCATENATE(TIM[[#This Row],[Supply Level]],TIM[[#This Row],[Station/Feeder]],TIM[[#This Row],[Voltage]],TIM[[#This Row],[Lowest A-PTX]])</f>
        <v>DistributionFeederCB10_Gibson St11200</v>
      </c>
      <c r="BF241" s="9">
        <f>IFERROR(IF(MIN(TIM[[#This Row],[Summ Cont Winter A]:[Cable Derating]])=0,"",MIN(TIM[[#This Row],[Summ Cont Winter A]:[Cable Derating]])),"")</f>
        <v>3.8105117766515302</v>
      </c>
      <c r="BG241" s="9">
        <f>IFERROR(TIM[[#This Row],[Lowest MVA]]*1000/(TIM[[#This Row],[Voltage]]*SQRT(3)),"")</f>
        <v>200</v>
      </c>
      <c r="BH241" s="9">
        <f t="shared" si="323"/>
        <v>200</v>
      </c>
      <c r="BI241" s="9" t="str">
        <f>TIM[[#This Row],[From]]</f>
        <v>11 kV Bus</v>
      </c>
      <c r="BJ241" s="9" t="str">
        <f>TIM[[#This Row],[To]]</f>
        <v>TEHUNT10</v>
      </c>
      <c r="BK24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Breaker-HNT-CB10-Protection</v>
      </c>
      <c r="BL241" s="9">
        <f>TIM[[#This Row],[Voltage]]</f>
        <v>11</v>
      </c>
    </row>
    <row r="242" spans="1:64" ht="15" customHeight="1" x14ac:dyDescent="0.25">
      <c r="A242" s="6" t="str">
        <f>CONCATENATE(TIM[[#This Row],[Supply Level]],TIM[[#This Row],[Station/Feeder]],TIM[[#This Row],[Voltage]])</f>
        <v>DistributionFeederCB10_Gibson St11</v>
      </c>
      <c r="B242" s="6" t="str">
        <f>CONCATENATE(TIM[[#This Row],[Supply Level]],TIM[[#This Row],[Station/Feeder]],TIM[[#This Row],[Equipment ID]],TIM[[#This Row],[Voltage]],TIM[[#This Row],[Device type]])</f>
        <v>DistributionFeederCB10_Gibson St3c 185mm² Al PILC SWAS11-</v>
      </c>
      <c r="C242" s="6" t="s">
        <v>1276</v>
      </c>
      <c r="D242" s="11" t="s">
        <v>219</v>
      </c>
      <c r="E242" s="6" t="s">
        <v>967</v>
      </c>
      <c r="F242" s="6" t="s">
        <v>968</v>
      </c>
      <c r="G242" s="27">
        <v>2</v>
      </c>
      <c r="H242" s="7" t="s">
        <v>888</v>
      </c>
      <c r="I242" s="7" t="s">
        <v>901</v>
      </c>
      <c r="J242" s="7" t="s">
        <v>250</v>
      </c>
      <c r="K242" s="7" t="s">
        <v>0</v>
      </c>
      <c r="L242" s="7" t="s">
        <v>0</v>
      </c>
      <c r="M242" s="8">
        <v>11</v>
      </c>
      <c r="N242" s="16">
        <v>300</v>
      </c>
      <c r="O242" s="9">
        <f t="shared" si="0"/>
        <v>5.715767664977295</v>
      </c>
      <c r="P242" s="16">
        <v>300</v>
      </c>
      <c r="Q242" s="9">
        <f t="shared" si="1"/>
        <v>5.715767664977295</v>
      </c>
      <c r="R242" s="16">
        <v>300</v>
      </c>
      <c r="S242" s="9">
        <f t="shared" si="2"/>
        <v>5.715767664977295</v>
      </c>
      <c r="T242" s="9" t="s">
        <v>0</v>
      </c>
      <c r="U242" s="9" t="str">
        <f t="shared" si="3"/>
        <v>-</v>
      </c>
      <c r="V242" s="9" t="s">
        <v>0</v>
      </c>
      <c r="W242" s="9" t="str">
        <f t="shared" si="4"/>
        <v>-</v>
      </c>
      <c r="X242" s="9" t="s">
        <v>0</v>
      </c>
      <c r="Y242" s="9" t="str">
        <f t="shared" si="5"/>
        <v>-</v>
      </c>
      <c r="Z242" s="9" t="s">
        <v>0</v>
      </c>
      <c r="AA242" s="9" t="str">
        <f t="shared" si="6"/>
        <v>-</v>
      </c>
      <c r="AB242" s="9" t="s">
        <v>0</v>
      </c>
      <c r="AC242" s="9" t="str">
        <f t="shared" si="7"/>
        <v>-</v>
      </c>
      <c r="AD242" s="9" t="s">
        <v>0</v>
      </c>
      <c r="AE242" s="12" t="str">
        <f t="shared" si="8"/>
        <v>-</v>
      </c>
      <c r="AF242" s="9" t="s">
        <v>716</v>
      </c>
      <c r="AG242" s="9" t="s">
        <v>0</v>
      </c>
      <c r="AH242" s="9">
        <v>532</v>
      </c>
      <c r="AI242" s="9">
        <v>0.7</v>
      </c>
      <c r="AJ242" s="32">
        <v>1.05</v>
      </c>
      <c r="AK242" s="9">
        <v>18.5</v>
      </c>
      <c r="AL242" s="32">
        <v>0.95</v>
      </c>
      <c r="AM242" s="9">
        <v>1.2</v>
      </c>
      <c r="AN242" s="32">
        <v>1</v>
      </c>
      <c r="AO242" s="9">
        <v>3</v>
      </c>
      <c r="AP242" s="9">
        <v>0</v>
      </c>
      <c r="AQ242" s="32">
        <v>0.7</v>
      </c>
      <c r="AR242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209.47499999999997</v>
      </c>
      <c r="AS242" s="9">
        <f t="shared" si="9"/>
        <v>3.9910347720703951</v>
      </c>
      <c r="AT242" s="9">
        <f>IF(RIGHT(TIM[[#This Row],[Device type]],7)="Winding","-",TIM[[#This Row],[Cont Winter MVA]])</f>
        <v>5.715767664977295</v>
      </c>
      <c r="AU242" s="9">
        <f>IF(RIGHT(TIM[[#This Row],[Device type]],7)="Winding","-",TIM[[#This Row],[Cont Shoulder MVA]])</f>
        <v>5.715767664977295</v>
      </c>
      <c r="AV242" s="9">
        <f>IF(RIGHT(TIM[[#This Row],[Device type]],7)="Winding","-",TIM[[#This Row],[Cont Summer MVA]])</f>
        <v>5.715767664977295</v>
      </c>
      <c r="AW242" s="9" t="str">
        <f>TIM[[#This Row],[24 Hr Winter MVA]]</f>
        <v>-</v>
      </c>
      <c r="AX242" s="9" t="str">
        <f>TIM[[#This Row],[24 Hr Summer MVA]]</f>
        <v>-</v>
      </c>
      <c r="AY242" s="9" t="str">
        <f>TIM[[#This Row],[Forwards MVA]]</f>
        <v>-</v>
      </c>
      <c r="AZ242" s="9" t="str">
        <f>TIM[[#This Row],[Relay MVA]]</f>
        <v>-</v>
      </c>
      <c r="BA242" s="9" t="str">
        <f>TIM[[#This Row],[CT MVA]]</f>
        <v>-</v>
      </c>
      <c r="BB242" s="9">
        <f>TIM[[#This Row],[Derating MVA]]</f>
        <v>3.9910347720703951</v>
      </c>
      <c r="BC242" s="9" t="str">
        <f>TIM[[#This Row],[Station/Feeder]]&amp;TIM[[#This Row],[Lowest MVA]]</f>
        <v>CB10_Gibson St3.9910347720704</v>
      </c>
      <c r="BD242" s="9" t="str">
        <f>CONCATENATE(TIM[[#This Row],[Supply Level]],TIM[[#This Row],[Station/Feeder]],TIM[[#This Row],[Voltage]],TIM[[#This Row],[Lowest A-No PTX]])</f>
        <v>DistributionFeederCB10_Gibson St11209.475</v>
      </c>
      <c r="BE242" s="9" t="str">
        <f>CONCATENATE(TIM[[#This Row],[Supply Level]],TIM[[#This Row],[Station/Feeder]],TIM[[#This Row],[Voltage]],TIM[[#This Row],[Lowest A-PTX]])</f>
        <v>DistributionFeederCB10_Gibson St11209.475</v>
      </c>
      <c r="BF242" s="9">
        <f>IFERROR(IF(MIN(TIM[[#This Row],[Summ Cont Winter A]:[Cable Derating]])=0,"",MIN(TIM[[#This Row],[Summ Cont Winter A]:[Cable Derating]])),"")</f>
        <v>3.9910347720703951</v>
      </c>
      <c r="BG242" s="9">
        <f>IFERROR(TIM[[#This Row],[Lowest MVA]]*1000/(TIM[[#This Row],[Voltage]]*SQRT(3)),"")</f>
        <v>209.47499999999997</v>
      </c>
      <c r="BH242" s="9">
        <f t="shared" si="323"/>
        <v>209.47499999999997</v>
      </c>
      <c r="BI242" s="9" t="str">
        <f>TIM[[#This Row],[From]]</f>
        <v xml:space="preserve">TEHUNT10 </v>
      </c>
      <c r="BJ242" s="9" t="str">
        <f>TIM[[#This Row],[To]]</f>
        <v xml:space="preserve">TEJ8 RMU </v>
      </c>
      <c r="BK24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PILC SWAS</v>
      </c>
      <c r="BL242" s="9">
        <f>TIM[[#This Row],[Voltage]]</f>
        <v>11</v>
      </c>
    </row>
    <row r="243" spans="1:64" ht="15" customHeight="1" x14ac:dyDescent="0.25">
      <c r="A243" s="6" t="str">
        <f>CONCATENATE(TIM[[#This Row],[Supply Level]],TIM[[#This Row],[Station/Feeder]],TIM[[#This Row],[Voltage]])</f>
        <v>DistributionFeederCB11_Rhodes St11</v>
      </c>
      <c r="B243" s="6" t="str">
        <f>CONCATENATE(TIM[[#This Row],[Supply Level]],TIM[[#This Row],[Station/Feeder]],TIM[[#This Row],[Equipment ID]],TIM[[#This Row],[Voltage]],TIM[[#This Row],[Device type]])</f>
        <v>DistributionFeederCB11_Rhodes StHNT-CB1111Protection</v>
      </c>
      <c r="C243" s="6" t="s">
        <v>1276</v>
      </c>
      <c r="D243" s="11" t="s">
        <v>220</v>
      </c>
      <c r="E243" s="6" t="s">
        <v>243</v>
      </c>
      <c r="F243" s="6" t="s">
        <v>969</v>
      </c>
      <c r="G243" s="27">
        <v>1</v>
      </c>
      <c r="H243" s="7" t="s">
        <v>945</v>
      </c>
      <c r="I243" s="7" t="s">
        <v>2263</v>
      </c>
      <c r="J243" s="7" t="s">
        <v>15</v>
      </c>
      <c r="K243" s="7" t="s">
        <v>791</v>
      </c>
      <c r="L243" s="7" t="s">
        <v>1423</v>
      </c>
      <c r="M243" s="8">
        <v>11</v>
      </c>
      <c r="N243" s="9">
        <v>630</v>
      </c>
      <c r="O243" s="9">
        <f t="shared" si="0"/>
        <v>12.00311209645232</v>
      </c>
      <c r="P243" s="9">
        <v>630</v>
      </c>
      <c r="Q243" s="9">
        <f t="shared" si="1"/>
        <v>12.00311209645232</v>
      </c>
      <c r="R243" s="9">
        <v>630</v>
      </c>
      <c r="S243" s="9">
        <f t="shared" si="2"/>
        <v>12.00311209645232</v>
      </c>
      <c r="T243" s="9" t="s">
        <v>0</v>
      </c>
      <c r="U243" s="9" t="str">
        <f t="shared" si="3"/>
        <v>-</v>
      </c>
      <c r="V243" s="9" t="s">
        <v>0</v>
      </c>
      <c r="W243" s="9" t="str">
        <f t="shared" si="4"/>
        <v>-</v>
      </c>
      <c r="X243" s="9">
        <f>VLOOKUP(TIM[[#This Row],[Equipment ID]],AEL_Protection_Data[#All],12,0)</f>
        <v>200</v>
      </c>
      <c r="Y243" s="9">
        <f t="shared" si="5"/>
        <v>3.8105117766515302</v>
      </c>
      <c r="Z243" s="9" t="s">
        <v>0</v>
      </c>
      <c r="AA243" s="9" t="str">
        <f t="shared" si="6"/>
        <v>-</v>
      </c>
      <c r="AB243" s="9">
        <v>800</v>
      </c>
      <c r="AC243" s="9">
        <f t="shared" si="7"/>
        <v>15.242047106606121</v>
      </c>
      <c r="AD243" s="9">
        <v>800</v>
      </c>
      <c r="AE243" s="12">
        <f t="shared" si="8"/>
        <v>15.242047106606121</v>
      </c>
      <c r="AF243" s="9" t="s">
        <v>0</v>
      </c>
      <c r="AG243" s="9" t="s">
        <v>0</v>
      </c>
      <c r="AH243" s="9" t="s">
        <v>0</v>
      </c>
      <c r="AI243" s="9" t="s">
        <v>0</v>
      </c>
      <c r="AJ243" s="32" t="s">
        <v>0</v>
      </c>
      <c r="AK243" s="9" t="s">
        <v>0</v>
      </c>
      <c r="AL243" s="32" t="s">
        <v>0</v>
      </c>
      <c r="AM243" s="9" t="s">
        <v>0</v>
      </c>
      <c r="AN243" s="32" t="s">
        <v>0</v>
      </c>
      <c r="AO243" s="9" t="s">
        <v>0</v>
      </c>
      <c r="AP243" s="9" t="s">
        <v>0</v>
      </c>
      <c r="AQ243" s="32" t="s">
        <v>0</v>
      </c>
      <c r="AR243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43" s="9" t="str">
        <f t="shared" si="9"/>
        <v>-</v>
      </c>
      <c r="AT243" s="9">
        <f>IF(RIGHT(TIM[[#This Row],[Device type]],7)="Winding","-",TIM[[#This Row],[Cont Winter MVA]])</f>
        <v>12.00311209645232</v>
      </c>
      <c r="AU243" s="9">
        <f>IF(RIGHT(TIM[[#This Row],[Device type]],7)="Winding","-",TIM[[#This Row],[Cont Shoulder MVA]])</f>
        <v>12.00311209645232</v>
      </c>
      <c r="AV243" s="9">
        <f>IF(RIGHT(TIM[[#This Row],[Device type]],7)="Winding","-",TIM[[#This Row],[Cont Summer MVA]])</f>
        <v>12.00311209645232</v>
      </c>
      <c r="AW243" s="9" t="str">
        <f>TIM[[#This Row],[24 Hr Winter MVA]]</f>
        <v>-</v>
      </c>
      <c r="AX243" s="9" t="str">
        <f>TIM[[#This Row],[24 Hr Summer MVA]]</f>
        <v>-</v>
      </c>
      <c r="AY243" s="9">
        <f>TIM[[#This Row],[Forwards MVA]]</f>
        <v>3.8105117766515302</v>
      </c>
      <c r="AZ243" s="9">
        <f>TIM[[#This Row],[Relay MVA]]</f>
        <v>15.242047106606121</v>
      </c>
      <c r="BA243" s="9">
        <f>TIM[[#This Row],[CT MVA]]</f>
        <v>15.242047106606121</v>
      </c>
      <c r="BB243" s="9" t="str">
        <f>TIM[[#This Row],[Derating MVA]]</f>
        <v>-</v>
      </c>
      <c r="BC243" s="9" t="str">
        <f>TIM[[#This Row],[Station/Feeder]]&amp;TIM[[#This Row],[Lowest MVA]]</f>
        <v>CB11_Rhodes St3.81051177665153</v>
      </c>
      <c r="BD243" s="9" t="str">
        <f>CONCATENATE(TIM[[#This Row],[Supply Level]],TIM[[#This Row],[Station/Feeder]],TIM[[#This Row],[Voltage]],TIM[[#This Row],[Lowest A-No PTX]])</f>
        <v>DistributionFeederCB11_Rhodes St11200</v>
      </c>
      <c r="BE243" s="9" t="str">
        <f>CONCATENATE(TIM[[#This Row],[Supply Level]],TIM[[#This Row],[Station/Feeder]],TIM[[#This Row],[Voltage]],TIM[[#This Row],[Lowest A-PTX]])</f>
        <v>DistributionFeederCB11_Rhodes St11200</v>
      </c>
      <c r="BF243" s="9">
        <f>IFERROR(IF(MIN(TIM[[#This Row],[Summ Cont Winter A]:[Cable Derating]])=0,"",MIN(TIM[[#This Row],[Summ Cont Winter A]:[Cable Derating]])),"")</f>
        <v>3.8105117766515302</v>
      </c>
      <c r="BG243" s="9">
        <f>IFERROR(TIM[[#This Row],[Lowest MVA]]*1000/(TIM[[#This Row],[Voltage]]*SQRT(3)),"")</f>
        <v>200</v>
      </c>
      <c r="BH243" s="9">
        <f t="shared" si="323"/>
        <v>200</v>
      </c>
      <c r="BI243" s="9" t="str">
        <f>TIM[[#This Row],[From]]</f>
        <v>11 kV Bus</v>
      </c>
      <c r="BJ243" s="9" t="str">
        <f>TIM[[#This Row],[To]]</f>
        <v>TEHUNT11</v>
      </c>
      <c r="BK24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Breaker-HNT-CB11-Protection</v>
      </c>
      <c r="BL243" s="9">
        <f>TIM[[#This Row],[Voltage]]</f>
        <v>11</v>
      </c>
    </row>
    <row r="244" spans="1:64" ht="15" customHeight="1" x14ac:dyDescent="0.25">
      <c r="A244" s="460" t="str">
        <f>CONCATENATE(TIM[[#This Row],[Supply Level]],TIM[[#This Row],[Station/Feeder]],TIM[[#This Row],[Voltage]])</f>
        <v>DistributionFeederCB11_Rhodes St11</v>
      </c>
      <c r="B244" s="460" t="str">
        <f>CONCATENATE(TIM[[#This Row],[Supply Level]],TIM[[#This Row],[Station/Feeder]],TIM[[#This Row],[Equipment ID]],TIM[[#This Row],[Voltage]],TIM[[#This Row],[Device type]])</f>
        <v>DistributionFeederCB11_Rhodes St3/1c 300mm² Al XLPE11-</v>
      </c>
      <c r="C244" s="6" t="s">
        <v>1276</v>
      </c>
      <c r="D244" s="6" t="s">
        <v>220</v>
      </c>
      <c r="E244" s="6" t="s">
        <v>970</v>
      </c>
      <c r="F244" s="6" t="s">
        <v>750</v>
      </c>
      <c r="G244" s="8">
        <v>2</v>
      </c>
      <c r="H244" s="8" t="s">
        <v>888</v>
      </c>
      <c r="I244" s="6" t="s">
        <v>2986</v>
      </c>
      <c r="J244" s="6" t="s">
        <v>250</v>
      </c>
      <c r="K244" s="6" t="s">
        <v>0</v>
      </c>
      <c r="L244" s="6" t="s">
        <v>0</v>
      </c>
      <c r="M244" s="8">
        <v>11</v>
      </c>
      <c r="N244" s="9">
        <v>466</v>
      </c>
      <c r="O244" s="9">
        <f t="shared" ref="O244" si="344">IF(OR(N244="",N244="-"),"-",N244*$M244*SQRT(3)/1000)</f>
        <v>8.878492439598066</v>
      </c>
      <c r="P244" s="9">
        <v>466</v>
      </c>
      <c r="Q244" s="9">
        <f t="shared" ref="Q244" si="345">IF(OR(P244="",P244="-"),"-",P244*$M244*SQRT(3)/1000)</f>
        <v>8.878492439598066</v>
      </c>
      <c r="R244" s="9">
        <v>466</v>
      </c>
      <c r="S244" s="9">
        <f t="shared" ref="S244" si="346">IF(OR(R244="",R244="-"),"-",R244*$M244*SQRT(3)/1000)</f>
        <v>8.878492439598066</v>
      </c>
      <c r="T244" s="9" t="s">
        <v>0</v>
      </c>
      <c r="U244" s="9" t="str">
        <f t="shared" ref="U244" si="347">IF(OR(T244="",T244="-"),"-",T244*$M244*SQRT(3)/1000)</f>
        <v>-</v>
      </c>
      <c r="V244" s="9" t="s">
        <v>0</v>
      </c>
      <c r="W244" s="9" t="str">
        <f t="shared" ref="W244" si="348">IF(OR(V244="",V244="-"),"-",V244*$M244*SQRT(3)/1000)</f>
        <v>-</v>
      </c>
      <c r="X244" s="9" t="s">
        <v>0</v>
      </c>
      <c r="Y244" s="9" t="str">
        <f t="shared" ref="Y244" si="349">IF(OR(X244="",X244="-"),"-",X244*$M244*SQRT(3)/1000)</f>
        <v>-</v>
      </c>
      <c r="Z244" s="9" t="s">
        <v>0</v>
      </c>
      <c r="AA244" s="9" t="str">
        <f t="shared" ref="AA244" si="350">IF(OR(Z244="",Z244="-"),"-",Z244*$M244*SQRT(3)/1000)</f>
        <v>-</v>
      </c>
      <c r="AB244" s="9" t="s">
        <v>0</v>
      </c>
      <c r="AC244" s="9" t="str">
        <f t="shared" ref="AC244" si="351">IF(OR(AB244="",AB244="-"),"-",AB244*$M244*SQRT(3)/1000)</f>
        <v>-</v>
      </c>
      <c r="AD244" s="9" t="s">
        <v>0</v>
      </c>
      <c r="AE244" s="9" t="str">
        <f t="shared" ref="AE244" si="352">IF(OR(AD244="",AD244="-"),"-",AD244*$M244*SQRT(3)/1000)</f>
        <v>-</v>
      </c>
      <c r="AF244" s="9" t="s">
        <v>713</v>
      </c>
      <c r="AG244" s="9" t="s">
        <v>0</v>
      </c>
      <c r="AH244" s="9">
        <v>3.5</v>
      </c>
      <c r="AI244" s="9">
        <v>0.7</v>
      </c>
      <c r="AJ244" s="43">
        <v>1.05</v>
      </c>
      <c r="AK244" s="9">
        <v>18.5</v>
      </c>
      <c r="AL244" s="43">
        <v>0.95</v>
      </c>
      <c r="AM244" s="9">
        <v>1.2</v>
      </c>
      <c r="AN244" s="43">
        <v>1</v>
      </c>
      <c r="AO244" s="9">
        <v>1</v>
      </c>
      <c r="AP244" s="9">
        <v>0</v>
      </c>
      <c r="AQ244" s="43">
        <v>1</v>
      </c>
      <c r="AR244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464.83499999999998</v>
      </c>
      <c r="AS244" s="9">
        <f t="shared" ref="AS244" si="353">IF(OR(AR244="",AR244="-"),"-",AR244*$M244*SQRT(3)/1000)</f>
        <v>8.8562962084990691</v>
      </c>
      <c r="AT244" s="9">
        <f>IF(RIGHT(TIM[[#This Row],[Device type]],7)="Winding","-",TIM[[#This Row],[Cont Winter MVA]])</f>
        <v>8.878492439598066</v>
      </c>
      <c r="AU244" s="9">
        <f>IF(RIGHT(TIM[[#This Row],[Device type]],7)="Winding","-",TIM[[#This Row],[Cont Shoulder MVA]])</f>
        <v>8.878492439598066</v>
      </c>
      <c r="AV244" s="9">
        <f>IF(RIGHT(TIM[[#This Row],[Device type]],7)="Winding","-",TIM[[#This Row],[Cont Summer MVA]])</f>
        <v>8.878492439598066</v>
      </c>
      <c r="AW244" s="9" t="str">
        <f>TIM[[#This Row],[24 Hr Winter MVA]]</f>
        <v>-</v>
      </c>
      <c r="AX244" s="9" t="str">
        <f>TIM[[#This Row],[24 Hr Summer MVA]]</f>
        <v>-</v>
      </c>
      <c r="AY244" s="9" t="str">
        <f>TIM[[#This Row],[Forwards MVA]]</f>
        <v>-</v>
      </c>
      <c r="AZ244" s="9" t="str">
        <f>TIM[[#This Row],[Relay MVA]]</f>
        <v>-</v>
      </c>
      <c r="BA244" s="9" t="str">
        <f>TIM[[#This Row],[CT MVA]]</f>
        <v>-</v>
      </c>
      <c r="BB244" s="9">
        <f>TIM[[#This Row],[Derating MVA]]</f>
        <v>8.8562962084990691</v>
      </c>
      <c r="BC244" s="9" t="str">
        <f>TIM[[#This Row],[Station/Feeder]]&amp;TIM[[#This Row],[Lowest MVA]]</f>
        <v>CB11_Rhodes St8.85629620849907</v>
      </c>
      <c r="BD244" s="9" t="str">
        <f>CONCATENATE(TIM[[#This Row],[Supply Level]],TIM[[#This Row],[Station/Feeder]],TIM[[#This Row],[Voltage]],TIM[[#This Row],[Lowest A-No PTX]])</f>
        <v>DistributionFeederCB11_Rhodes St11464.835</v>
      </c>
      <c r="BE244" s="9" t="str">
        <f>CONCATENATE(TIM[[#This Row],[Supply Level]],TIM[[#This Row],[Station/Feeder]],TIM[[#This Row],[Voltage]],TIM[[#This Row],[Lowest A-PTX]])</f>
        <v>DistributionFeederCB11_Rhodes St11464.835</v>
      </c>
      <c r="BF244" s="9">
        <f>IFERROR(IF(MIN(TIM[[#This Row],[Summ Cont Winter A]:[Cable Derating]])=0,"",MIN(TIM[[#This Row],[Summ Cont Winter A]:[Cable Derating]])),"")</f>
        <v>8.8562962084990691</v>
      </c>
      <c r="BG244" s="9">
        <f>IFERROR(TIM[[#This Row],[Lowest MVA]]*1000/(TIM[[#This Row],[Voltage]]*SQRT(3)),"")</f>
        <v>464.83499999999992</v>
      </c>
      <c r="BH244" s="9">
        <f t="shared" ref="BH244" si="354">IF(MIN(N244,P244,R244,T244,V244,X244,Z244,AB244,AD244,AR244)=0,"",MIN(N244,P244,R244,T244,V244,X244,Z244,AB244,AD244,AR244))</f>
        <v>464.83499999999998</v>
      </c>
      <c r="BI244" s="9" t="str">
        <f>TIM[[#This Row],[From]]</f>
        <v xml:space="preserve">TEHUNT11 </v>
      </c>
      <c r="BJ244" s="9" t="str">
        <f>TIM[[#This Row],[To]]</f>
        <v>Joint</v>
      </c>
      <c r="BK24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300mm² Al XLPE</v>
      </c>
      <c r="BL244" s="9">
        <f>TIM[[#This Row],[Voltage]]</f>
        <v>11</v>
      </c>
    </row>
    <row r="245" spans="1:64" ht="15" customHeight="1" x14ac:dyDescent="0.25">
      <c r="A245" s="14" t="str">
        <f>CONCATENATE(TIM[[#This Row],[Supply Level]],TIM[[#This Row],[Station/Feeder]],TIM[[#This Row],[Voltage]])</f>
        <v>DistributionFeederCB11_Rhodes St11</v>
      </c>
      <c r="B245" s="14" t="str">
        <f>CONCATENATE(TIM[[#This Row],[Supply Level]],TIM[[#This Row],[Station/Feeder]],TIM[[#This Row],[Equipment ID]],TIM[[#This Row],[Voltage]],TIM[[#This Row],[Device type]])</f>
        <v>DistributionFeederCB11_Rhodes St3c 185mm² Al PILC SWAS11-</v>
      </c>
      <c r="C245" s="14" t="s">
        <v>1276</v>
      </c>
      <c r="D245" s="11" t="s">
        <v>220</v>
      </c>
      <c r="E245" s="6" t="s">
        <v>750</v>
      </c>
      <c r="F245" s="14" t="s">
        <v>971</v>
      </c>
      <c r="G245" s="28">
        <v>3</v>
      </c>
      <c r="H245" s="39" t="s">
        <v>888</v>
      </c>
      <c r="I245" s="39" t="s">
        <v>901</v>
      </c>
      <c r="J245" s="39" t="s">
        <v>250</v>
      </c>
      <c r="K245" s="7" t="s">
        <v>0</v>
      </c>
      <c r="L245" s="7" t="s">
        <v>0</v>
      </c>
      <c r="M245" s="8">
        <v>11</v>
      </c>
      <c r="N245" s="16">
        <v>251</v>
      </c>
      <c r="O245" s="16">
        <f t="shared" si="0"/>
        <v>4.7821922796976697</v>
      </c>
      <c r="P245" s="16">
        <v>251</v>
      </c>
      <c r="Q245" s="16">
        <f t="shared" si="1"/>
        <v>4.7821922796976697</v>
      </c>
      <c r="R245" s="16">
        <v>251</v>
      </c>
      <c r="S245" s="16">
        <f t="shared" si="2"/>
        <v>4.7821922796976697</v>
      </c>
      <c r="T245" s="16" t="s">
        <v>0</v>
      </c>
      <c r="U245" s="16" t="str">
        <f t="shared" si="3"/>
        <v>-</v>
      </c>
      <c r="V245" s="16" t="s">
        <v>0</v>
      </c>
      <c r="W245" s="16" t="str">
        <f t="shared" si="4"/>
        <v>-</v>
      </c>
      <c r="X245" s="16" t="s">
        <v>0</v>
      </c>
      <c r="Y245" s="16" t="str">
        <f t="shared" si="5"/>
        <v>-</v>
      </c>
      <c r="Z245" s="16" t="s">
        <v>0</v>
      </c>
      <c r="AA245" s="16" t="str">
        <f t="shared" si="6"/>
        <v>-</v>
      </c>
      <c r="AB245" s="16" t="s">
        <v>0</v>
      </c>
      <c r="AC245" s="16" t="str">
        <f t="shared" si="7"/>
        <v>-</v>
      </c>
      <c r="AD245" s="16" t="s">
        <v>0</v>
      </c>
      <c r="AE245" s="17" t="str">
        <f t="shared" si="8"/>
        <v>-</v>
      </c>
      <c r="AF245" s="16" t="s">
        <v>716</v>
      </c>
      <c r="AG245" s="16" t="s">
        <v>0</v>
      </c>
      <c r="AH245" s="9">
        <v>294.3</v>
      </c>
      <c r="AI245" s="16">
        <v>0.9</v>
      </c>
      <c r="AJ245" s="127">
        <v>0.99</v>
      </c>
      <c r="AK245" s="16">
        <v>18.5</v>
      </c>
      <c r="AL245" s="127">
        <v>0.95199999999999996</v>
      </c>
      <c r="AM245" s="16">
        <v>1.2</v>
      </c>
      <c r="AN245" s="127">
        <v>1</v>
      </c>
      <c r="AO245" s="16">
        <v>3</v>
      </c>
      <c r="AP245" s="16">
        <v>0</v>
      </c>
      <c r="AQ245" s="127">
        <v>0.7</v>
      </c>
      <c r="AR245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165.59373600000001</v>
      </c>
      <c r="AS245" s="16">
        <f t="shared" si="9"/>
        <v>3.1549844058386221</v>
      </c>
      <c r="AT245" s="9">
        <f>IF(RIGHT(TIM[[#This Row],[Device type]],7)="Winding","-",TIM[[#This Row],[Cont Winter MVA]])</f>
        <v>4.7821922796976697</v>
      </c>
      <c r="AU245" s="9">
        <f>IF(RIGHT(TIM[[#This Row],[Device type]],7)="Winding","-",TIM[[#This Row],[Cont Shoulder MVA]])</f>
        <v>4.7821922796976697</v>
      </c>
      <c r="AV245" s="9">
        <f>IF(RIGHT(TIM[[#This Row],[Device type]],7)="Winding","-",TIM[[#This Row],[Cont Summer MVA]])</f>
        <v>4.7821922796976697</v>
      </c>
      <c r="AW245" s="9" t="str">
        <f>TIM[[#This Row],[24 Hr Winter MVA]]</f>
        <v>-</v>
      </c>
      <c r="AX245" s="9" t="str">
        <f>TIM[[#This Row],[24 Hr Summer MVA]]</f>
        <v>-</v>
      </c>
      <c r="AY245" s="9" t="str">
        <f>TIM[[#This Row],[Forwards MVA]]</f>
        <v>-</v>
      </c>
      <c r="AZ245" s="9" t="str">
        <f>TIM[[#This Row],[Relay MVA]]</f>
        <v>-</v>
      </c>
      <c r="BA245" s="9" t="str">
        <f>TIM[[#This Row],[CT MVA]]</f>
        <v>-</v>
      </c>
      <c r="BB245" s="9">
        <f>TIM[[#This Row],[Derating MVA]]</f>
        <v>3.1549844058386221</v>
      </c>
      <c r="BC245" s="9" t="str">
        <f>TIM[[#This Row],[Station/Feeder]]&amp;TIM[[#This Row],[Lowest MVA]]</f>
        <v>CB11_Rhodes St3.15498440583862</v>
      </c>
      <c r="BD245" s="9" t="str">
        <f>CONCATENATE(TIM[[#This Row],[Supply Level]],TIM[[#This Row],[Station/Feeder]],TIM[[#This Row],[Voltage]],TIM[[#This Row],[Lowest A-No PTX]])</f>
        <v>DistributionFeederCB11_Rhodes St11165.593736</v>
      </c>
      <c r="BE245" s="9" t="str">
        <f>CONCATENATE(TIM[[#This Row],[Supply Level]],TIM[[#This Row],[Station/Feeder]],TIM[[#This Row],[Voltage]],TIM[[#This Row],[Lowest A-PTX]])</f>
        <v>DistributionFeederCB11_Rhodes St11165.593736</v>
      </c>
      <c r="BF245" s="9">
        <f>IFERROR(IF(MIN(TIM[[#This Row],[Summ Cont Winter A]:[Cable Derating]])=0,"",MIN(TIM[[#This Row],[Summ Cont Winter A]:[Cable Derating]])),"")</f>
        <v>3.1549844058386221</v>
      </c>
      <c r="BG245" s="9">
        <f>IFERROR(TIM[[#This Row],[Lowest MVA]]*1000/(TIM[[#This Row],[Voltage]]*SQRT(3)),"")</f>
        <v>165.59373600000001</v>
      </c>
      <c r="BH245" s="9">
        <f t="shared" si="323"/>
        <v>165.59373600000001</v>
      </c>
      <c r="BI245" s="9" t="str">
        <f>TIM[[#This Row],[From]]</f>
        <v>Joint</v>
      </c>
      <c r="BJ245" s="9" t="str">
        <f>TIM[[#This Row],[To]]</f>
        <v xml:space="preserve">TEJ7 Link </v>
      </c>
      <c r="BK24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PILC SWAS</v>
      </c>
      <c r="BL245" s="9">
        <f>TIM[[#This Row],[Voltage]]</f>
        <v>11</v>
      </c>
    </row>
    <row r="246" spans="1:64" ht="15" customHeight="1" x14ac:dyDescent="0.25">
      <c r="A246" s="14" t="str">
        <f>CONCATENATE(TIM[[#This Row],[Supply Level]],TIM[[#This Row],[Station/Feeder]],TIM[[#This Row],[Voltage]])</f>
        <v>DistributionFeederCB11_Rhodes St11</v>
      </c>
      <c r="B246" s="14" t="str">
        <f>CONCATENATE(TIM[[#This Row],[Supply Level]],TIM[[#This Row],[Station/Feeder]],TIM[[#This Row],[Equipment ID]],TIM[[#This Row],[Voltage]],TIM[[#This Row],[Device type]])</f>
        <v>DistributionFeederCB11_Rhodes St70mm² Cu11-</v>
      </c>
      <c r="C246" s="14" t="s">
        <v>1276</v>
      </c>
      <c r="D246" s="11" t="s">
        <v>220</v>
      </c>
      <c r="E246" s="6" t="s">
        <v>971</v>
      </c>
      <c r="F246" s="6" t="s">
        <v>2987</v>
      </c>
      <c r="G246" s="27">
        <v>4</v>
      </c>
      <c r="H246" s="7" t="s">
        <v>1289</v>
      </c>
      <c r="I246" s="7" t="s">
        <v>972</v>
      </c>
      <c r="J246" s="7" t="s">
        <v>69</v>
      </c>
      <c r="K246" s="49" t="s">
        <v>0</v>
      </c>
      <c r="L246" s="49" t="s">
        <v>0</v>
      </c>
      <c r="M246" s="8">
        <v>11</v>
      </c>
      <c r="N246" s="9">
        <v>247</v>
      </c>
      <c r="O246" s="9">
        <f>IF(OR(N246="",N246="-"),"-",N246*$M246*SQRT(3)/1000)</f>
        <v>4.7059820441646396</v>
      </c>
      <c r="P246" s="9" t="s">
        <v>0</v>
      </c>
      <c r="Q246" s="9" t="str">
        <f>IF(OR(P246="",P246="-"),"-",P246*$M246*SQRT(3)/1000)</f>
        <v>-</v>
      </c>
      <c r="R246" s="9">
        <v>247</v>
      </c>
      <c r="S246" s="9">
        <f>IF(OR(R246="",R246="-"),"-",R246*$M246*SQRT(3)/1000)</f>
        <v>4.7059820441646396</v>
      </c>
      <c r="T246" s="9" t="s">
        <v>0</v>
      </c>
      <c r="U246" s="9" t="str">
        <f t="shared" si="3"/>
        <v>-</v>
      </c>
      <c r="V246" s="9" t="s">
        <v>0</v>
      </c>
      <c r="W246" s="9" t="str">
        <f t="shared" si="4"/>
        <v>-</v>
      </c>
      <c r="X246" s="9" t="s">
        <v>0</v>
      </c>
      <c r="Y246" s="9" t="str">
        <f t="shared" si="5"/>
        <v>-</v>
      </c>
      <c r="Z246" s="9" t="s">
        <v>0</v>
      </c>
      <c r="AA246" s="9" t="str">
        <f t="shared" si="6"/>
        <v>-</v>
      </c>
      <c r="AB246" s="9" t="s">
        <v>0</v>
      </c>
      <c r="AC246" s="9" t="str">
        <f t="shared" si="7"/>
        <v>-</v>
      </c>
      <c r="AD246" s="9" t="s">
        <v>0</v>
      </c>
      <c r="AE246" s="12" t="str">
        <f t="shared" si="8"/>
        <v>-</v>
      </c>
      <c r="AF246" s="9" t="s">
        <v>0</v>
      </c>
      <c r="AG246" s="9" t="s">
        <v>0</v>
      </c>
      <c r="AH246" s="9">
        <v>166.7</v>
      </c>
      <c r="AI246" s="9" t="s">
        <v>0</v>
      </c>
      <c r="AJ246" s="32" t="s">
        <v>0</v>
      </c>
      <c r="AK246" s="9" t="s">
        <v>0</v>
      </c>
      <c r="AL246" s="32" t="s">
        <v>0</v>
      </c>
      <c r="AM246" s="9" t="s">
        <v>0</v>
      </c>
      <c r="AN246" s="32" t="s">
        <v>0</v>
      </c>
      <c r="AO246" s="9" t="s">
        <v>0</v>
      </c>
      <c r="AP246" s="9" t="s">
        <v>0</v>
      </c>
      <c r="AQ246" s="32" t="s">
        <v>0</v>
      </c>
      <c r="AR246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46" s="9" t="str">
        <f t="shared" si="9"/>
        <v>-</v>
      </c>
      <c r="AT246" s="9">
        <f>IF(RIGHT(TIM[[#This Row],[Device type]],7)="Winding","-",TIM[[#This Row],[Cont Winter MVA]])</f>
        <v>4.7059820441646396</v>
      </c>
      <c r="AU246" s="9" t="str">
        <f>IF(RIGHT(TIM[[#This Row],[Device type]],7)="Winding","-",TIM[[#This Row],[Cont Shoulder MVA]])</f>
        <v>-</v>
      </c>
      <c r="AV246" s="9">
        <f>IF(RIGHT(TIM[[#This Row],[Device type]],7)="Winding","-",TIM[[#This Row],[Cont Summer MVA]])</f>
        <v>4.7059820441646396</v>
      </c>
      <c r="AW246" s="9" t="str">
        <f>TIM[[#This Row],[24 Hr Winter MVA]]</f>
        <v>-</v>
      </c>
      <c r="AX246" s="9" t="str">
        <f>TIM[[#This Row],[24 Hr Summer MVA]]</f>
        <v>-</v>
      </c>
      <c r="AY246" s="9" t="str">
        <f>TIM[[#This Row],[Forwards MVA]]</f>
        <v>-</v>
      </c>
      <c r="AZ246" s="9" t="str">
        <f>TIM[[#This Row],[Relay MVA]]</f>
        <v>-</v>
      </c>
      <c r="BA246" s="9" t="str">
        <f>TIM[[#This Row],[CT MVA]]</f>
        <v>-</v>
      </c>
      <c r="BB246" s="9" t="str">
        <f>TIM[[#This Row],[Derating MVA]]</f>
        <v>-</v>
      </c>
      <c r="BC246" s="9" t="str">
        <f>TIM[[#This Row],[Station/Feeder]]&amp;TIM[[#This Row],[Lowest MVA]]</f>
        <v>CB11_Rhodes St4.70598204416464</v>
      </c>
      <c r="BD246" s="9" t="str">
        <f>CONCATENATE(TIM[[#This Row],[Supply Level]],TIM[[#This Row],[Station/Feeder]],TIM[[#This Row],[Voltage]],TIM[[#This Row],[Lowest A-No PTX]])</f>
        <v>DistributionFeederCB11_Rhodes St11247</v>
      </c>
      <c r="BE246" s="9" t="str">
        <f>CONCATENATE(TIM[[#This Row],[Supply Level]],TIM[[#This Row],[Station/Feeder]],TIM[[#This Row],[Voltage]],TIM[[#This Row],[Lowest A-PTX]])</f>
        <v>DistributionFeederCB11_Rhodes St11247</v>
      </c>
      <c r="BF246" s="9">
        <f>IFERROR(IF(MIN(TIM[[#This Row],[Summ Cont Winter A]:[Cable Derating]])=0,"",MIN(TIM[[#This Row],[Summ Cont Winter A]:[Cable Derating]])),"")</f>
        <v>4.7059820441646396</v>
      </c>
      <c r="BG246" s="9">
        <f>IFERROR(TIM[[#This Row],[Lowest MVA]]*1000/(TIM[[#This Row],[Voltage]]*SQRT(3)),"")</f>
        <v>247.00000000000003</v>
      </c>
      <c r="BH246" s="9">
        <f t="shared" si="323"/>
        <v>247</v>
      </c>
      <c r="BI246" s="9" t="str">
        <f>TIM[[#This Row],[From]]</f>
        <v xml:space="preserve">TEJ7 Link </v>
      </c>
      <c r="BJ246" s="9" t="str">
        <f>TIM[[#This Row],[To]]</f>
        <v>TOTE169 FUSE</v>
      </c>
      <c r="BK24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Line-70mm² Cu</v>
      </c>
      <c r="BL246" s="9">
        <f>TIM[[#This Row],[Voltage]]</f>
        <v>11</v>
      </c>
    </row>
    <row r="247" spans="1:64" ht="15" hidden="1" customHeight="1" x14ac:dyDescent="0.25">
      <c r="A247" s="6" t="str">
        <f>CONCATENATE(TIM[[#This Row],[Supply Level]],TIM[[#This Row],[Station/Feeder]],TIM[[#This Row],[Voltage]])</f>
        <v>SubTransmissionCB12_HNT-GRM B11</v>
      </c>
      <c r="B247" s="6" t="str">
        <f>CONCATENATE(TIM[[#This Row],[Supply Level]],TIM[[#This Row],[Station/Feeder]],TIM[[#This Row],[Equipment ID]],TIM[[#This Row],[Voltage]],TIM[[#This Row],[Device type]])</f>
        <v>SubTransmissionCB12_HNT-GRM BHNT-CB1211Protection</v>
      </c>
      <c r="C247" s="6" t="s">
        <v>1245</v>
      </c>
      <c r="D247" s="11" t="s">
        <v>1413</v>
      </c>
      <c r="E247" s="14" t="s">
        <v>919</v>
      </c>
      <c r="F247" s="6" t="s">
        <v>922</v>
      </c>
      <c r="G247" s="27">
        <v>1</v>
      </c>
      <c r="H247" s="7" t="s">
        <v>945</v>
      </c>
      <c r="I247" s="7" t="s">
        <v>2264</v>
      </c>
      <c r="J247" s="7" t="s">
        <v>15</v>
      </c>
      <c r="K247" s="7" t="s">
        <v>791</v>
      </c>
      <c r="L247" s="7" t="s">
        <v>1423</v>
      </c>
      <c r="M247" s="8">
        <v>11</v>
      </c>
      <c r="N247" s="16">
        <v>630</v>
      </c>
      <c r="O247" s="9">
        <f>IF(OR(N247="",N247="-"),"-",N247*$M247*SQRT(3)/1000)</f>
        <v>12.00311209645232</v>
      </c>
      <c r="P247" s="16">
        <v>630</v>
      </c>
      <c r="Q247" s="9">
        <f>IF(OR(P247="",P247="-"),"-",P247*$M247*SQRT(3)/1000)</f>
        <v>12.00311209645232</v>
      </c>
      <c r="R247" s="16">
        <v>630</v>
      </c>
      <c r="S247" s="9">
        <f>IF(OR(R247="",R247="-"),"-",R247*$M247*SQRT(3)/1000)</f>
        <v>12.00311209645232</v>
      </c>
      <c r="T247" s="9" t="s">
        <v>0</v>
      </c>
      <c r="U247" s="9" t="str">
        <f>IF(OR(T247="",T247="-"),"-",T247*$M247*SQRT(3)/1000)</f>
        <v>-</v>
      </c>
      <c r="V247" s="9" t="s">
        <v>0</v>
      </c>
      <c r="W247" s="9" t="str">
        <f>IF(OR(V247="",V247="-"),"-",V247*$M247*SQRT(3)/1000)</f>
        <v>-</v>
      </c>
      <c r="X247" s="9">
        <f>VLOOKUP(TIM[[#This Row],[Equipment ID]],AEL_Protection_Data[#All],12,0)</f>
        <v>400</v>
      </c>
      <c r="Y247" s="9">
        <f>IF(OR(X247="",X247="-"),"-",X247*$M247*SQRT(3)/1000)</f>
        <v>7.6210235533030604</v>
      </c>
      <c r="Z247" s="9" t="s">
        <v>0</v>
      </c>
      <c r="AA247" s="9" t="str">
        <f>IF(OR(Z247="",Z247="-"),"-",Z247*$M247*SQRT(3)/1000)</f>
        <v>-</v>
      </c>
      <c r="AB247" s="9">
        <v>400</v>
      </c>
      <c r="AC247" s="9">
        <f>IF(OR(AB247="",AB247="-"),"-",AB247*$M247*SQRT(3)/1000)</f>
        <v>7.6210235533030604</v>
      </c>
      <c r="AD247" s="9">
        <v>400</v>
      </c>
      <c r="AE247" s="12">
        <f>IF(OR(AD247="",AD247="-"),"-",AD247*$M247*SQRT(3)/1000)</f>
        <v>7.6210235533030604</v>
      </c>
      <c r="AF247" s="9" t="s">
        <v>0</v>
      </c>
      <c r="AG247" s="9" t="s">
        <v>0</v>
      </c>
      <c r="AH247" s="9" t="s">
        <v>0</v>
      </c>
      <c r="AI247" s="9" t="s">
        <v>0</v>
      </c>
      <c r="AJ247" s="32" t="s">
        <v>0</v>
      </c>
      <c r="AK247" s="9" t="s">
        <v>0</v>
      </c>
      <c r="AL247" s="32" t="s">
        <v>0</v>
      </c>
      <c r="AM247" s="9" t="s">
        <v>0</v>
      </c>
      <c r="AN247" s="32" t="s">
        <v>0</v>
      </c>
      <c r="AO247" s="9" t="s">
        <v>0</v>
      </c>
      <c r="AP247" s="9" t="s">
        <v>0</v>
      </c>
      <c r="AQ247" s="32" t="s">
        <v>0</v>
      </c>
      <c r="AR247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47" s="9" t="str">
        <f>IF(OR(AR247="",AR247="-"),"-",AR247*$M247*SQRT(3)/1000)</f>
        <v>-</v>
      </c>
      <c r="AT247" s="9">
        <f>IF(RIGHT(TIM[[#This Row],[Device type]],7)="Winding","-",TIM[[#This Row],[Cont Winter MVA]])</f>
        <v>12.00311209645232</v>
      </c>
      <c r="AU247" s="9">
        <f>IF(RIGHT(TIM[[#This Row],[Device type]],7)="Winding","-",TIM[[#This Row],[Cont Shoulder MVA]])</f>
        <v>12.00311209645232</v>
      </c>
      <c r="AV247" s="9">
        <f>IF(RIGHT(TIM[[#This Row],[Device type]],7)="Winding","-",TIM[[#This Row],[Cont Summer MVA]])</f>
        <v>12.00311209645232</v>
      </c>
      <c r="AW247" s="9" t="str">
        <f>TIM[[#This Row],[24 Hr Winter MVA]]</f>
        <v>-</v>
      </c>
      <c r="AX247" s="9" t="str">
        <f>TIM[[#This Row],[24 Hr Summer MVA]]</f>
        <v>-</v>
      </c>
      <c r="AY247" s="9">
        <f>TIM[[#This Row],[Forwards MVA]]</f>
        <v>7.6210235533030604</v>
      </c>
      <c r="AZ247" s="9">
        <f>TIM[[#This Row],[Relay MVA]]</f>
        <v>7.6210235533030604</v>
      </c>
      <c r="BA247" s="9">
        <f>TIM[[#This Row],[CT MVA]]</f>
        <v>7.6210235533030604</v>
      </c>
      <c r="BB247" s="9" t="str">
        <f>TIM[[#This Row],[Derating MVA]]</f>
        <v>-</v>
      </c>
      <c r="BC247" s="9" t="str">
        <f>TIM[[#This Row],[Station/Feeder]]&amp;TIM[[#This Row],[Lowest MVA]]</f>
        <v>CB12_HNT-GRM B7.62102355330306</v>
      </c>
      <c r="BD247" s="9" t="str">
        <f>CONCATENATE(TIM[[#This Row],[Supply Level]],TIM[[#This Row],[Station/Feeder]],TIM[[#This Row],[Voltage]],TIM[[#This Row],[Lowest A-No PTX]])</f>
        <v>SubTransmissionCB12_HNT-GRM B11400</v>
      </c>
      <c r="BE247" s="9" t="str">
        <f>CONCATENATE(TIM[[#This Row],[Supply Level]],TIM[[#This Row],[Station/Feeder]],TIM[[#This Row],[Voltage]],TIM[[#This Row],[Lowest A-PTX]])</f>
        <v>SubTransmissionCB12_HNT-GRM B11400</v>
      </c>
      <c r="BF247" s="9">
        <f>IFERROR(IF(MIN(TIM[[#This Row],[Summ Cont Winter A]:[Cable Derating]])=0,"",MIN(TIM[[#This Row],[Summ Cont Winter A]:[Cable Derating]])),"")</f>
        <v>7.6210235533030604</v>
      </c>
      <c r="BG247" s="9">
        <f>IFERROR(TIM[[#This Row],[Lowest MVA]]*1000/(TIM[[#This Row],[Voltage]]*SQRT(3)),"")</f>
        <v>400</v>
      </c>
      <c r="BH247" s="9">
        <f t="shared" si="323"/>
        <v>400</v>
      </c>
      <c r="BI247" s="9" t="str">
        <f>TIM[[#This Row],[From]]</f>
        <v>TEGRASMERE13</v>
      </c>
      <c r="BJ247" s="9" t="str">
        <f>TIM[[#This Row],[To]]</f>
        <v>TEHUNT12</v>
      </c>
      <c r="BK24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Breaker-HNT-CB12-Protection</v>
      </c>
      <c r="BL247" s="9">
        <f>TIM[[#This Row],[Voltage]]</f>
        <v>11</v>
      </c>
    </row>
    <row r="248" spans="1:64" ht="15" hidden="1" customHeight="1" x14ac:dyDescent="0.25">
      <c r="A248" s="6" t="str">
        <f>CONCATENATE(TIM[[#This Row],[Supply Level]],TIM[[#This Row],[Station/Feeder]],TIM[[#This Row],[Voltage]])</f>
        <v>SubTransmissionCB12_HNT-GRM B11</v>
      </c>
      <c r="B248" s="6" t="str">
        <f>CONCATENATE(TIM[[#This Row],[Supply Level]],TIM[[#This Row],[Station/Feeder]],TIM[[#This Row],[Equipment ID]],TIM[[#This Row],[Voltage]],TIM[[#This Row],[Device type]])</f>
        <v>SubTransmissionCB12_HNT-GRM B3c 400mm² AL11-</v>
      </c>
      <c r="C248" s="6" t="s">
        <v>1245</v>
      </c>
      <c r="D248" s="11" t="s">
        <v>1413</v>
      </c>
      <c r="E248" s="6" t="s">
        <v>920</v>
      </c>
      <c r="F248" s="6" t="s">
        <v>750</v>
      </c>
      <c r="G248" s="8">
        <v>2</v>
      </c>
      <c r="H248" s="7" t="s">
        <v>888</v>
      </c>
      <c r="I248" s="6" t="s">
        <v>921</v>
      </c>
      <c r="J248" s="6" t="s">
        <v>250</v>
      </c>
      <c r="K248" s="6" t="s">
        <v>0</v>
      </c>
      <c r="L248" s="6" t="s">
        <v>0</v>
      </c>
      <c r="M248" s="8">
        <v>11</v>
      </c>
      <c r="N248" s="9">
        <v>537</v>
      </c>
      <c r="O248" s="9">
        <f t="shared" ref="O248:O249" si="355">IF(OR(N248="",N248="-"),"-",N248*$M248*SQRT(3)/1000)</f>
        <v>10.231224120309358</v>
      </c>
      <c r="P248" s="9">
        <v>537</v>
      </c>
      <c r="Q248" s="9">
        <f t="shared" ref="Q248:Q249" si="356">IF(OR(P248="",P248="-"),"-",P248*$M248*SQRT(3)/1000)</f>
        <v>10.231224120309358</v>
      </c>
      <c r="R248" s="9">
        <v>537</v>
      </c>
      <c r="S248" s="9">
        <f t="shared" ref="S248:S249" si="357">IF(OR(R248="",R248="-"),"-",R248*$M248*SQRT(3)/1000)</f>
        <v>10.231224120309358</v>
      </c>
      <c r="T248" s="9" t="s">
        <v>0</v>
      </c>
      <c r="U248" s="9" t="str">
        <f t="shared" ref="U248:U249" si="358">IF(OR(T248="",T248="-"),"-",T248*$M248*SQRT(3)/1000)</f>
        <v>-</v>
      </c>
      <c r="V248" s="9" t="s">
        <v>0</v>
      </c>
      <c r="W248" s="9" t="str">
        <f t="shared" ref="W248:W249" si="359">IF(OR(V248="",V248="-"),"-",V248*$M248*SQRT(3)/1000)</f>
        <v>-</v>
      </c>
      <c r="X248" s="9" t="s">
        <v>0</v>
      </c>
      <c r="Y248" s="9" t="str">
        <f t="shared" ref="Y248:Y249" si="360">IF(OR(X248="",X248="-"),"-",X248*$M248*SQRT(3)/1000)</f>
        <v>-</v>
      </c>
      <c r="Z248" s="9" t="s">
        <v>0</v>
      </c>
      <c r="AA248" s="9" t="str">
        <f t="shared" ref="AA248:AA249" si="361">IF(OR(Z248="",Z248="-"),"-",Z248*$M248*SQRT(3)/1000)</f>
        <v>-</v>
      </c>
      <c r="AB248" s="9" t="s">
        <v>0</v>
      </c>
      <c r="AC248" s="9" t="str">
        <f t="shared" ref="AC248:AC249" si="362">IF(OR(AB248="",AB248="-"),"-",AB248*$M248*SQRT(3)/1000)</f>
        <v>-</v>
      </c>
      <c r="AD248" s="9" t="s">
        <v>0</v>
      </c>
      <c r="AE248" s="9" t="str">
        <f t="shared" ref="AE248:AE249" si="363">IF(OR(AD248="",AD248="-"),"-",AD248*$M248*SQRT(3)/1000)</f>
        <v>-</v>
      </c>
      <c r="AF248" s="9" t="s">
        <v>716</v>
      </c>
      <c r="AG248" s="9" t="s">
        <v>0</v>
      </c>
      <c r="AH248" s="9">
        <v>9.5</v>
      </c>
      <c r="AI248" s="9">
        <v>0.85</v>
      </c>
      <c r="AJ248" s="43">
        <v>1.03</v>
      </c>
      <c r="AK248" s="9">
        <v>18.5</v>
      </c>
      <c r="AL248" s="43">
        <v>0.95</v>
      </c>
      <c r="AM248" s="9">
        <v>1.2</v>
      </c>
      <c r="AN248" s="43">
        <v>1</v>
      </c>
      <c r="AO248" s="9">
        <v>3</v>
      </c>
      <c r="AP248" s="9">
        <v>0.34</v>
      </c>
      <c r="AQ248" s="43">
        <v>0.8</v>
      </c>
      <c r="AR248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420.36359999999996</v>
      </c>
      <c r="AS248" s="9">
        <f t="shared" ref="AS248:AS249" si="364">IF(OR(AR248="",AR248="-"),"-",AR248*$M248*SQRT(3)/1000)</f>
        <v>8.0090022413781643</v>
      </c>
      <c r="AT248" s="9">
        <f>IF(RIGHT(TIM[[#This Row],[Device type]],7)="Winding","-",TIM[[#This Row],[Cont Winter MVA]])</f>
        <v>10.231224120309358</v>
      </c>
      <c r="AU248" s="9">
        <f>IF(RIGHT(TIM[[#This Row],[Device type]],7)="Winding","-",TIM[[#This Row],[Cont Shoulder MVA]])</f>
        <v>10.231224120309358</v>
      </c>
      <c r="AV248" s="9">
        <f>IF(RIGHT(TIM[[#This Row],[Device type]],7)="Winding","-",TIM[[#This Row],[Cont Summer MVA]])</f>
        <v>10.231224120309358</v>
      </c>
      <c r="AW248" s="9" t="str">
        <f>TIM[[#This Row],[24 Hr Winter MVA]]</f>
        <v>-</v>
      </c>
      <c r="AX248" s="9" t="str">
        <f>TIM[[#This Row],[24 Hr Summer MVA]]</f>
        <v>-</v>
      </c>
      <c r="AY248" s="9" t="str">
        <f>TIM[[#This Row],[Forwards MVA]]</f>
        <v>-</v>
      </c>
      <c r="AZ248" s="9" t="str">
        <f>TIM[[#This Row],[Relay MVA]]</f>
        <v>-</v>
      </c>
      <c r="BA248" s="9" t="str">
        <f>TIM[[#This Row],[CT MVA]]</f>
        <v>-</v>
      </c>
      <c r="BB248" s="9">
        <f>TIM[[#This Row],[Derating MVA]]</f>
        <v>8.0090022413781643</v>
      </c>
      <c r="BC248" s="9" t="str">
        <f>TIM[[#This Row],[Station/Feeder]]&amp;TIM[[#This Row],[Lowest MVA]]</f>
        <v>CB12_HNT-GRM B8.00900224137816</v>
      </c>
      <c r="BD248" s="9" t="str">
        <f>CONCATENATE(TIM[[#This Row],[Supply Level]],TIM[[#This Row],[Station/Feeder]],TIM[[#This Row],[Voltage]],TIM[[#This Row],[Lowest A-No PTX]])</f>
        <v>SubTransmissionCB12_HNT-GRM B11420.3636</v>
      </c>
      <c r="BE248" s="9" t="str">
        <f>CONCATENATE(TIM[[#This Row],[Supply Level]],TIM[[#This Row],[Station/Feeder]],TIM[[#This Row],[Voltage]],TIM[[#This Row],[Lowest A-PTX]])</f>
        <v>SubTransmissionCB12_HNT-GRM B11420.3636</v>
      </c>
      <c r="BF248" s="9">
        <f>IFERROR(IF(MIN(TIM[[#This Row],[Summ Cont Winter A]:[Cable Derating]])=0,"",MIN(TIM[[#This Row],[Summ Cont Winter A]:[Cable Derating]])),"")</f>
        <v>8.0090022413781643</v>
      </c>
      <c r="BG248" s="9">
        <f>IFERROR(TIM[[#This Row],[Lowest MVA]]*1000/(TIM[[#This Row],[Voltage]]*SQRT(3)),"")</f>
        <v>420.36359999999996</v>
      </c>
      <c r="BH248" s="9">
        <f t="shared" si="323"/>
        <v>420.36359999999996</v>
      </c>
      <c r="BI248" s="9" t="str">
        <f>TIM[[#This Row],[From]]</f>
        <v>TEGRASMERE 13</v>
      </c>
      <c r="BJ248" s="9" t="str">
        <f>TIM[[#This Row],[To]]</f>
        <v>Joint</v>
      </c>
      <c r="BK24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400mm² AL</v>
      </c>
      <c r="BL248" s="9">
        <f>TIM[[#This Row],[Voltage]]</f>
        <v>11</v>
      </c>
    </row>
    <row r="249" spans="1:64" ht="15" hidden="1" customHeight="1" x14ac:dyDescent="0.25">
      <c r="A249" s="6" t="str">
        <f>CONCATENATE(TIM[[#This Row],[Supply Level]],TIM[[#This Row],[Station/Feeder]],TIM[[#This Row],[Voltage]])</f>
        <v>SubTransmissionCB12_HNT-GRM B11</v>
      </c>
      <c r="B249" s="6" t="str">
        <f>CONCATENATE(TIM[[#This Row],[Supply Level]],TIM[[#This Row],[Station/Feeder]],TIM[[#This Row],[Equipment ID]],TIM[[#This Row],[Voltage]],TIM[[#This Row],[Device type]])</f>
        <v>SubTransmissionCB12_HNT-GRM B3c 0.3in² Cu PILC STAS11-</v>
      </c>
      <c r="C249" s="6" t="s">
        <v>1245</v>
      </c>
      <c r="D249" s="11" t="s">
        <v>1413</v>
      </c>
      <c r="E249" s="6" t="s">
        <v>750</v>
      </c>
      <c r="F249" s="6" t="s">
        <v>922</v>
      </c>
      <c r="G249" s="8">
        <v>3</v>
      </c>
      <c r="H249" s="7" t="s">
        <v>888</v>
      </c>
      <c r="I249" s="6" t="s">
        <v>907</v>
      </c>
      <c r="J249" s="6" t="s">
        <v>250</v>
      </c>
      <c r="K249" s="6" t="s">
        <v>0</v>
      </c>
      <c r="L249" s="6" t="s">
        <v>0</v>
      </c>
      <c r="M249" s="8">
        <v>11</v>
      </c>
      <c r="N249" s="9">
        <v>380</v>
      </c>
      <c r="O249" s="9">
        <f t="shared" si="355"/>
        <v>7.2399723756379064</v>
      </c>
      <c r="P249" s="9">
        <v>380</v>
      </c>
      <c r="Q249" s="9">
        <f t="shared" si="356"/>
        <v>7.2399723756379064</v>
      </c>
      <c r="R249" s="9">
        <v>380</v>
      </c>
      <c r="S249" s="9">
        <f t="shared" si="357"/>
        <v>7.2399723756379064</v>
      </c>
      <c r="T249" s="9" t="s">
        <v>0</v>
      </c>
      <c r="U249" s="9" t="str">
        <f t="shared" si="358"/>
        <v>-</v>
      </c>
      <c r="V249" s="9" t="s">
        <v>0</v>
      </c>
      <c r="W249" s="9" t="str">
        <f t="shared" si="359"/>
        <v>-</v>
      </c>
      <c r="X249" s="9" t="s">
        <v>0</v>
      </c>
      <c r="Y249" s="9" t="str">
        <f t="shared" si="360"/>
        <v>-</v>
      </c>
      <c r="Z249" s="9" t="s">
        <v>0</v>
      </c>
      <c r="AA249" s="9" t="str">
        <f t="shared" si="361"/>
        <v>-</v>
      </c>
      <c r="AB249" s="9" t="s">
        <v>0</v>
      </c>
      <c r="AC249" s="9" t="str">
        <f t="shared" si="362"/>
        <v>-</v>
      </c>
      <c r="AD249" s="9" t="s">
        <v>0</v>
      </c>
      <c r="AE249" s="9" t="str">
        <f t="shared" si="363"/>
        <v>-</v>
      </c>
      <c r="AF249" s="9" t="s">
        <v>716</v>
      </c>
      <c r="AG249" s="9" t="s">
        <v>0</v>
      </c>
      <c r="AH249" s="9">
        <v>1651.1</v>
      </c>
      <c r="AI249" s="9">
        <v>0.85</v>
      </c>
      <c r="AJ249" s="43">
        <v>1.03</v>
      </c>
      <c r="AK249" s="9">
        <v>18.5</v>
      </c>
      <c r="AL249" s="43">
        <v>0.95</v>
      </c>
      <c r="AM249" s="9">
        <v>1.2</v>
      </c>
      <c r="AN249" s="43">
        <v>1</v>
      </c>
      <c r="AO249" s="9">
        <v>3</v>
      </c>
      <c r="AP249" s="9">
        <v>0.34</v>
      </c>
      <c r="AQ249" s="43">
        <v>0.8</v>
      </c>
      <c r="AR249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297.464</v>
      </c>
      <c r="AS249" s="9">
        <f t="shared" si="364"/>
        <v>5.6674503756493531</v>
      </c>
      <c r="AT249" s="9">
        <f>IF(RIGHT(TIM[[#This Row],[Device type]],7)="Winding","-",TIM[[#This Row],[Cont Winter MVA]])</f>
        <v>7.2399723756379064</v>
      </c>
      <c r="AU249" s="9">
        <f>IF(RIGHT(TIM[[#This Row],[Device type]],7)="Winding","-",TIM[[#This Row],[Cont Shoulder MVA]])</f>
        <v>7.2399723756379064</v>
      </c>
      <c r="AV249" s="9">
        <f>IF(RIGHT(TIM[[#This Row],[Device type]],7)="Winding","-",TIM[[#This Row],[Cont Summer MVA]])</f>
        <v>7.2399723756379064</v>
      </c>
      <c r="AW249" s="9" t="str">
        <f>TIM[[#This Row],[24 Hr Winter MVA]]</f>
        <v>-</v>
      </c>
      <c r="AX249" s="9" t="str">
        <f>TIM[[#This Row],[24 Hr Summer MVA]]</f>
        <v>-</v>
      </c>
      <c r="AY249" s="9" t="str">
        <f>TIM[[#This Row],[Forwards MVA]]</f>
        <v>-</v>
      </c>
      <c r="AZ249" s="9" t="str">
        <f>TIM[[#This Row],[Relay MVA]]</f>
        <v>-</v>
      </c>
      <c r="BA249" s="9" t="str">
        <f>TIM[[#This Row],[CT MVA]]</f>
        <v>-</v>
      </c>
      <c r="BB249" s="9">
        <f>TIM[[#This Row],[Derating MVA]]</f>
        <v>5.6674503756493531</v>
      </c>
      <c r="BC249" s="9" t="str">
        <f>TIM[[#This Row],[Station/Feeder]]&amp;TIM[[#This Row],[Lowest MVA]]</f>
        <v>CB12_HNT-GRM B5.66745037564935</v>
      </c>
      <c r="BD249" s="9" t="str">
        <f>CONCATENATE(TIM[[#This Row],[Supply Level]],TIM[[#This Row],[Station/Feeder]],TIM[[#This Row],[Voltage]],TIM[[#This Row],[Lowest A-No PTX]])</f>
        <v>SubTransmissionCB12_HNT-GRM B11297.464</v>
      </c>
      <c r="BE249" s="9" t="str">
        <f>CONCATENATE(TIM[[#This Row],[Supply Level]],TIM[[#This Row],[Station/Feeder]],TIM[[#This Row],[Voltage]],TIM[[#This Row],[Lowest A-PTX]])</f>
        <v>SubTransmissionCB12_HNT-GRM B11297.464</v>
      </c>
      <c r="BF249" s="9">
        <f>IFERROR(IF(MIN(TIM[[#This Row],[Summ Cont Winter A]:[Cable Derating]])=0,"",MIN(TIM[[#This Row],[Summ Cont Winter A]:[Cable Derating]])),"")</f>
        <v>5.6674503756493531</v>
      </c>
      <c r="BG249" s="9">
        <f>IFERROR(TIM[[#This Row],[Lowest MVA]]*1000/(TIM[[#This Row],[Voltage]]*SQRT(3)),"")</f>
        <v>297.464</v>
      </c>
      <c r="BH249" s="9">
        <f t="shared" si="323"/>
        <v>297.464</v>
      </c>
      <c r="BI249" s="9" t="str">
        <f>TIM[[#This Row],[From]]</f>
        <v>Joint</v>
      </c>
      <c r="BJ249" s="9" t="str">
        <f>TIM[[#This Row],[To]]</f>
        <v>TEHUNT12</v>
      </c>
      <c r="BK24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0.3in² Cu PILC STAS</v>
      </c>
      <c r="BL249" s="9">
        <f>TIM[[#This Row],[Voltage]]</f>
        <v>11</v>
      </c>
    </row>
    <row r="250" spans="1:64" ht="15" customHeight="1" x14ac:dyDescent="0.25">
      <c r="A250" s="14" t="str">
        <f>CONCATENATE(TIM[[#This Row],[Supply Level]],TIM[[#This Row],[Station/Feeder]],TIM[[#This Row],[Voltage]])</f>
        <v>DistributionFeederCB13_Clifton Terrace11</v>
      </c>
      <c r="B250" s="14" t="str">
        <f>CONCATENATE(TIM[[#This Row],[Supply Level]],TIM[[#This Row],[Station/Feeder]],TIM[[#This Row],[Equipment ID]],TIM[[#This Row],[Voltage]],TIM[[#This Row],[Device type]])</f>
        <v>DistributionFeederCB13_Clifton TerraceHNT-CB1311Protection</v>
      </c>
      <c r="C250" s="14" t="s">
        <v>1276</v>
      </c>
      <c r="D250" s="11" t="s">
        <v>221</v>
      </c>
      <c r="E250" s="6" t="s">
        <v>243</v>
      </c>
      <c r="F250" s="6" t="s">
        <v>973</v>
      </c>
      <c r="G250" s="27">
        <v>1</v>
      </c>
      <c r="H250" s="7" t="s">
        <v>945</v>
      </c>
      <c r="I250" s="7" t="s">
        <v>2265</v>
      </c>
      <c r="J250" s="7" t="s">
        <v>15</v>
      </c>
      <c r="K250" s="49" t="s">
        <v>791</v>
      </c>
      <c r="L250" s="49" t="s">
        <v>1423</v>
      </c>
      <c r="M250" s="8">
        <v>11</v>
      </c>
      <c r="N250" s="9">
        <v>630</v>
      </c>
      <c r="O250" s="9">
        <f t="shared" si="0"/>
        <v>12.00311209645232</v>
      </c>
      <c r="P250" s="9">
        <v>630</v>
      </c>
      <c r="Q250" s="9">
        <f t="shared" si="1"/>
        <v>12.00311209645232</v>
      </c>
      <c r="R250" s="9">
        <v>630</v>
      </c>
      <c r="S250" s="9">
        <f t="shared" si="2"/>
        <v>12.00311209645232</v>
      </c>
      <c r="T250" s="9" t="s">
        <v>0</v>
      </c>
      <c r="U250" s="9" t="str">
        <f t="shared" si="3"/>
        <v>-</v>
      </c>
      <c r="V250" s="9" t="s">
        <v>0</v>
      </c>
      <c r="W250" s="9" t="str">
        <f t="shared" si="4"/>
        <v>-</v>
      </c>
      <c r="X250" s="9">
        <f>VLOOKUP(TIM[[#This Row],[Equipment ID]],AEL_Protection_Data[#All],12,0)</f>
        <v>200</v>
      </c>
      <c r="Y250" s="9">
        <f t="shared" si="5"/>
        <v>3.8105117766515302</v>
      </c>
      <c r="Z250" s="9" t="s">
        <v>0</v>
      </c>
      <c r="AA250" s="9" t="str">
        <f t="shared" si="6"/>
        <v>-</v>
      </c>
      <c r="AB250" s="9">
        <v>800</v>
      </c>
      <c r="AC250" s="9">
        <f t="shared" si="7"/>
        <v>15.242047106606121</v>
      </c>
      <c r="AD250" s="9">
        <v>800</v>
      </c>
      <c r="AE250" s="12">
        <f t="shared" si="8"/>
        <v>15.242047106606121</v>
      </c>
      <c r="AF250" s="9" t="s">
        <v>0</v>
      </c>
      <c r="AG250" s="9" t="s">
        <v>0</v>
      </c>
      <c r="AH250" s="9" t="s">
        <v>0</v>
      </c>
      <c r="AI250" s="9" t="s">
        <v>0</v>
      </c>
      <c r="AJ250" s="32" t="s">
        <v>0</v>
      </c>
      <c r="AK250" s="9" t="s">
        <v>0</v>
      </c>
      <c r="AL250" s="32" t="s">
        <v>0</v>
      </c>
      <c r="AM250" s="9" t="s">
        <v>0</v>
      </c>
      <c r="AN250" s="32" t="s">
        <v>0</v>
      </c>
      <c r="AO250" s="9" t="s">
        <v>0</v>
      </c>
      <c r="AP250" s="9" t="s">
        <v>0</v>
      </c>
      <c r="AQ250" s="32" t="s">
        <v>0</v>
      </c>
      <c r="AR25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50" s="9" t="str">
        <f t="shared" si="9"/>
        <v>-</v>
      </c>
      <c r="AT250" s="9">
        <f>IF(RIGHT(TIM[[#This Row],[Device type]],7)="Winding","-",TIM[[#This Row],[Cont Winter MVA]])</f>
        <v>12.00311209645232</v>
      </c>
      <c r="AU250" s="9">
        <f>IF(RIGHT(TIM[[#This Row],[Device type]],7)="Winding","-",TIM[[#This Row],[Cont Shoulder MVA]])</f>
        <v>12.00311209645232</v>
      </c>
      <c r="AV250" s="9">
        <f>IF(RIGHT(TIM[[#This Row],[Device type]],7)="Winding","-",TIM[[#This Row],[Cont Summer MVA]])</f>
        <v>12.00311209645232</v>
      </c>
      <c r="AW250" s="9" t="str">
        <f>TIM[[#This Row],[24 Hr Winter MVA]]</f>
        <v>-</v>
      </c>
      <c r="AX250" s="9" t="str">
        <f>TIM[[#This Row],[24 Hr Summer MVA]]</f>
        <v>-</v>
      </c>
      <c r="AY250" s="9">
        <f>TIM[[#This Row],[Forwards MVA]]</f>
        <v>3.8105117766515302</v>
      </c>
      <c r="AZ250" s="9">
        <f>TIM[[#This Row],[Relay MVA]]</f>
        <v>15.242047106606121</v>
      </c>
      <c r="BA250" s="9">
        <f>TIM[[#This Row],[CT MVA]]</f>
        <v>15.242047106606121</v>
      </c>
      <c r="BB250" s="9" t="str">
        <f>TIM[[#This Row],[Derating MVA]]</f>
        <v>-</v>
      </c>
      <c r="BC250" s="9" t="str">
        <f>TIM[[#This Row],[Station/Feeder]]&amp;TIM[[#This Row],[Lowest MVA]]</f>
        <v>CB13_Clifton Terrace3.81051177665153</v>
      </c>
      <c r="BD250" s="9" t="str">
        <f>CONCATENATE(TIM[[#This Row],[Supply Level]],TIM[[#This Row],[Station/Feeder]],TIM[[#This Row],[Voltage]],TIM[[#This Row],[Lowest A-No PTX]])</f>
        <v>DistributionFeederCB13_Clifton Terrace11200</v>
      </c>
      <c r="BE250" s="9" t="str">
        <f>CONCATENATE(TIM[[#This Row],[Supply Level]],TIM[[#This Row],[Station/Feeder]],TIM[[#This Row],[Voltage]],TIM[[#This Row],[Lowest A-PTX]])</f>
        <v>DistributionFeederCB13_Clifton Terrace11200</v>
      </c>
      <c r="BF250" s="9">
        <f>IFERROR(IF(MIN(TIM[[#This Row],[Summ Cont Winter A]:[Cable Derating]])=0,"",MIN(TIM[[#This Row],[Summ Cont Winter A]:[Cable Derating]])),"")</f>
        <v>3.8105117766515302</v>
      </c>
      <c r="BG250" s="9">
        <f>IFERROR(TIM[[#This Row],[Lowest MVA]]*1000/(TIM[[#This Row],[Voltage]]*SQRT(3)),"")</f>
        <v>200</v>
      </c>
      <c r="BH250" s="9">
        <f t="shared" si="323"/>
        <v>200</v>
      </c>
      <c r="BI250" s="9" t="str">
        <f>TIM[[#This Row],[From]]</f>
        <v>11 kV Bus</v>
      </c>
      <c r="BJ250" s="9" t="str">
        <f>TIM[[#This Row],[To]]</f>
        <v>TEHUNT13</v>
      </c>
      <c r="BK25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Breaker-HNT-CB13-Protection</v>
      </c>
      <c r="BL250" s="9">
        <f>TIM[[#This Row],[Voltage]]</f>
        <v>11</v>
      </c>
    </row>
    <row r="251" spans="1:64" ht="15" customHeight="1" x14ac:dyDescent="0.25">
      <c r="A251" s="14" t="str">
        <f>CONCATENATE(TIM[[#This Row],[Supply Level]],TIM[[#This Row],[Station/Feeder]],TIM[[#This Row],[Voltage]])</f>
        <v>DistributionFeederCB13_Clifton Terrace11</v>
      </c>
      <c r="B251" s="14" t="str">
        <f>CONCATENATE(TIM[[#This Row],[Supply Level]],TIM[[#This Row],[Station/Feeder]],TIM[[#This Row],[Equipment ID]],TIM[[#This Row],[Voltage]],TIM[[#This Row],[Device type]])</f>
        <v>DistributionFeederCB13_Clifton Terrace3c 185mm² Al PILC SWAS11-</v>
      </c>
      <c r="C251" s="14" t="s">
        <v>1276</v>
      </c>
      <c r="D251" s="11" t="s">
        <v>221</v>
      </c>
      <c r="E251" s="6" t="s">
        <v>973</v>
      </c>
      <c r="F251" s="6" t="s">
        <v>974</v>
      </c>
      <c r="G251" s="27">
        <v>2</v>
      </c>
      <c r="H251" s="7" t="s">
        <v>888</v>
      </c>
      <c r="I251" s="7" t="s">
        <v>901</v>
      </c>
      <c r="J251" s="7" t="s">
        <v>250</v>
      </c>
      <c r="K251" s="49" t="s">
        <v>0</v>
      </c>
      <c r="L251" s="49" t="s">
        <v>0</v>
      </c>
      <c r="M251" s="8">
        <v>11</v>
      </c>
      <c r="N251" s="16">
        <v>300</v>
      </c>
      <c r="O251" s="9">
        <f t="shared" si="0"/>
        <v>5.715767664977295</v>
      </c>
      <c r="P251" s="16">
        <v>300</v>
      </c>
      <c r="Q251" s="9">
        <f t="shared" si="1"/>
        <v>5.715767664977295</v>
      </c>
      <c r="R251" s="16">
        <v>300</v>
      </c>
      <c r="S251" s="9">
        <f t="shared" si="2"/>
        <v>5.715767664977295</v>
      </c>
      <c r="T251" s="9" t="s">
        <v>0</v>
      </c>
      <c r="U251" s="9" t="str">
        <f t="shared" si="3"/>
        <v>-</v>
      </c>
      <c r="V251" s="9" t="s">
        <v>0</v>
      </c>
      <c r="W251" s="9" t="str">
        <f t="shared" si="4"/>
        <v>-</v>
      </c>
      <c r="X251" s="9" t="s">
        <v>0</v>
      </c>
      <c r="Y251" s="9" t="str">
        <f t="shared" si="5"/>
        <v>-</v>
      </c>
      <c r="Z251" s="9" t="s">
        <v>0</v>
      </c>
      <c r="AA251" s="9" t="str">
        <f t="shared" si="6"/>
        <v>-</v>
      </c>
      <c r="AB251" s="9" t="s">
        <v>0</v>
      </c>
      <c r="AC251" s="9" t="str">
        <f t="shared" si="7"/>
        <v>-</v>
      </c>
      <c r="AD251" s="9" t="s">
        <v>0</v>
      </c>
      <c r="AE251" s="12" t="str">
        <f t="shared" si="8"/>
        <v>-</v>
      </c>
      <c r="AF251" s="9" t="s">
        <v>716</v>
      </c>
      <c r="AG251" s="9" t="s">
        <v>0</v>
      </c>
      <c r="AH251" s="9">
        <v>255.3</v>
      </c>
      <c r="AI251" s="9">
        <v>0.82</v>
      </c>
      <c r="AJ251" s="32">
        <v>1.02</v>
      </c>
      <c r="AK251" s="9">
        <v>18.5</v>
      </c>
      <c r="AL251" s="32">
        <v>0.95</v>
      </c>
      <c r="AM251" s="9">
        <v>1.2</v>
      </c>
      <c r="AN251" s="32">
        <v>1</v>
      </c>
      <c r="AO251" s="9">
        <v>6</v>
      </c>
      <c r="AP251" s="9">
        <v>0.15</v>
      </c>
      <c r="AQ251" s="32">
        <v>0.7</v>
      </c>
      <c r="AR251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203.48999999999998</v>
      </c>
      <c r="AS251" s="9">
        <f t="shared" si="9"/>
        <v>3.8770052071540992</v>
      </c>
      <c r="AT251" s="9">
        <f>IF(RIGHT(TIM[[#This Row],[Device type]],7)="Winding","-",TIM[[#This Row],[Cont Winter MVA]])</f>
        <v>5.715767664977295</v>
      </c>
      <c r="AU251" s="9">
        <f>IF(RIGHT(TIM[[#This Row],[Device type]],7)="Winding","-",TIM[[#This Row],[Cont Shoulder MVA]])</f>
        <v>5.715767664977295</v>
      </c>
      <c r="AV251" s="9">
        <f>IF(RIGHT(TIM[[#This Row],[Device type]],7)="Winding","-",TIM[[#This Row],[Cont Summer MVA]])</f>
        <v>5.715767664977295</v>
      </c>
      <c r="AW251" s="9" t="str">
        <f>TIM[[#This Row],[24 Hr Winter MVA]]</f>
        <v>-</v>
      </c>
      <c r="AX251" s="9" t="str">
        <f>TIM[[#This Row],[24 Hr Summer MVA]]</f>
        <v>-</v>
      </c>
      <c r="AY251" s="9" t="str">
        <f>TIM[[#This Row],[Forwards MVA]]</f>
        <v>-</v>
      </c>
      <c r="AZ251" s="9" t="str">
        <f>TIM[[#This Row],[Relay MVA]]</f>
        <v>-</v>
      </c>
      <c r="BA251" s="9" t="str">
        <f>TIM[[#This Row],[CT MVA]]</f>
        <v>-</v>
      </c>
      <c r="BB251" s="9">
        <f>TIM[[#This Row],[Derating MVA]]</f>
        <v>3.8770052071540992</v>
      </c>
      <c r="BC251" s="9" t="str">
        <f>TIM[[#This Row],[Station/Feeder]]&amp;TIM[[#This Row],[Lowest MVA]]</f>
        <v>CB13_Clifton Terrace3.8770052071541</v>
      </c>
      <c r="BD251" s="9" t="str">
        <f>CONCATENATE(TIM[[#This Row],[Supply Level]],TIM[[#This Row],[Station/Feeder]],TIM[[#This Row],[Voltage]],TIM[[#This Row],[Lowest A-No PTX]])</f>
        <v>DistributionFeederCB13_Clifton Terrace11203.49</v>
      </c>
      <c r="BE251" s="9" t="str">
        <f>CONCATENATE(TIM[[#This Row],[Supply Level]],TIM[[#This Row],[Station/Feeder]],TIM[[#This Row],[Voltage]],TIM[[#This Row],[Lowest A-PTX]])</f>
        <v>DistributionFeederCB13_Clifton Terrace11203.49</v>
      </c>
      <c r="BF251" s="9">
        <f>IFERROR(IF(MIN(TIM[[#This Row],[Summ Cont Winter A]:[Cable Derating]])=0,"",MIN(TIM[[#This Row],[Summ Cont Winter A]:[Cable Derating]])),"")</f>
        <v>3.8770052071540992</v>
      </c>
      <c r="BG251" s="9">
        <f>IFERROR(TIM[[#This Row],[Lowest MVA]]*1000/(TIM[[#This Row],[Voltage]]*SQRT(3)),"")</f>
        <v>203.49</v>
      </c>
      <c r="BH251" s="9">
        <f t="shared" si="323"/>
        <v>203.48999999999998</v>
      </c>
      <c r="BI251" s="9" t="str">
        <f>TIM[[#This Row],[From]]</f>
        <v>TEHUNT13</v>
      </c>
      <c r="BJ251" s="9" t="str">
        <f>TIM[[#This Row],[To]]</f>
        <v>TE62</v>
      </c>
      <c r="BK25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PILC SWAS</v>
      </c>
      <c r="BL251" s="9">
        <f>TIM[[#This Row],[Voltage]]</f>
        <v>11</v>
      </c>
    </row>
    <row r="252" spans="1:64" ht="15" customHeight="1" x14ac:dyDescent="0.25">
      <c r="A252" s="14" t="str">
        <f>CONCATENATE(TIM[[#This Row],[Supply Level]],TIM[[#This Row],[Station/Feeder]],TIM[[#This Row],[Voltage]])</f>
        <v>DistributionFeederCB14_Church St NS11</v>
      </c>
      <c r="B252" s="14" t="str">
        <f>CONCATENATE(TIM[[#This Row],[Supply Level]],TIM[[#This Row],[Station/Feeder]],TIM[[#This Row],[Equipment ID]],TIM[[#This Row],[Voltage]],TIM[[#This Row],[Device type]])</f>
        <v>DistributionFeederCB14_Church St NSHNT-CB1411Protection</v>
      </c>
      <c r="C252" s="14" t="s">
        <v>1276</v>
      </c>
      <c r="D252" s="11" t="s">
        <v>222</v>
      </c>
      <c r="E252" s="6" t="s">
        <v>243</v>
      </c>
      <c r="F252" s="6" t="s">
        <v>975</v>
      </c>
      <c r="G252" s="27">
        <v>1</v>
      </c>
      <c r="H252" s="7" t="s">
        <v>945</v>
      </c>
      <c r="I252" s="7" t="s">
        <v>2266</v>
      </c>
      <c r="J252" s="7" t="s">
        <v>15</v>
      </c>
      <c r="K252" s="49" t="s">
        <v>791</v>
      </c>
      <c r="L252" s="49" t="s">
        <v>1423</v>
      </c>
      <c r="M252" s="8">
        <v>11</v>
      </c>
      <c r="N252" s="9">
        <v>630</v>
      </c>
      <c r="O252" s="9">
        <f t="shared" si="0"/>
        <v>12.00311209645232</v>
      </c>
      <c r="P252" s="9">
        <v>630</v>
      </c>
      <c r="Q252" s="9">
        <f t="shared" si="1"/>
        <v>12.00311209645232</v>
      </c>
      <c r="R252" s="9">
        <v>630</v>
      </c>
      <c r="S252" s="9">
        <f t="shared" si="2"/>
        <v>12.00311209645232</v>
      </c>
      <c r="T252" s="9" t="s">
        <v>0</v>
      </c>
      <c r="U252" s="9" t="str">
        <f t="shared" si="3"/>
        <v>-</v>
      </c>
      <c r="V252" s="9" t="s">
        <v>0</v>
      </c>
      <c r="W252" s="9" t="str">
        <f t="shared" si="4"/>
        <v>-</v>
      </c>
      <c r="X252" s="9">
        <f>VLOOKUP(TIM[[#This Row],[Equipment ID]],AEL_Protection_Data[#All],12,0)</f>
        <v>200</v>
      </c>
      <c r="Y252" s="9">
        <f t="shared" si="5"/>
        <v>3.8105117766515302</v>
      </c>
      <c r="Z252" s="9" t="s">
        <v>0</v>
      </c>
      <c r="AA252" s="9" t="str">
        <f t="shared" si="6"/>
        <v>-</v>
      </c>
      <c r="AB252" s="9">
        <v>800</v>
      </c>
      <c r="AC252" s="9">
        <f t="shared" si="7"/>
        <v>15.242047106606121</v>
      </c>
      <c r="AD252" s="9">
        <v>800</v>
      </c>
      <c r="AE252" s="12">
        <f t="shared" si="8"/>
        <v>15.242047106606121</v>
      </c>
      <c r="AF252" s="9" t="s">
        <v>0</v>
      </c>
      <c r="AG252" s="9" t="s">
        <v>0</v>
      </c>
      <c r="AH252" s="9" t="s">
        <v>0</v>
      </c>
      <c r="AI252" s="9" t="s">
        <v>0</v>
      </c>
      <c r="AJ252" s="32" t="s">
        <v>0</v>
      </c>
      <c r="AK252" s="9" t="s">
        <v>0</v>
      </c>
      <c r="AL252" s="32" t="s">
        <v>0</v>
      </c>
      <c r="AM252" s="9" t="s">
        <v>0</v>
      </c>
      <c r="AN252" s="32" t="s">
        <v>0</v>
      </c>
      <c r="AO252" s="9" t="s">
        <v>0</v>
      </c>
      <c r="AP252" s="9" t="s">
        <v>0</v>
      </c>
      <c r="AQ252" s="32" t="s">
        <v>0</v>
      </c>
      <c r="AR252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52" s="9" t="str">
        <f t="shared" si="9"/>
        <v>-</v>
      </c>
      <c r="AT252" s="9">
        <f>IF(RIGHT(TIM[[#This Row],[Device type]],7)="Winding","-",TIM[[#This Row],[Cont Winter MVA]])</f>
        <v>12.00311209645232</v>
      </c>
      <c r="AU252" s="9">
        <f>IF(RIGHT(TIM[[#This Row],[Device type]],7)="Winding","-",TIM[[#This Row],[Cont Shoulder MVA]])</f>
        <v>12.00311209645232</v>
      </c>
      <c r="AV252" s="9">
        <f>IF(RIGHT(TIM[[#This Row],[Device type]],7)="Winding","-",TIM[[#This Row],[Cont Summer MVA]])</f>
        <v>12.00311209645232</v>
      </c>
      <c r="AW252" s="9" t="str">
        <f>TIM[[#This Row],[24 Hr Winter MVA]]</f>
        <v>-</v>
      </c>
      <c r="AX252" s="9" t="str">
        <f>TIM[[#This Row],[24 Hr Summer MVA]]</f>
        <v>-</v>
      </c>
      <c r="AY252" s="9">
        <f>TIM[[#This Row],[Forwards MVA]]</f>
        <v>3.8105117766515302</v>
      </c>
      <c r="AZ252" s="9">
        <f>TIM[[#This Row],[Relay MVA]]</f>
        <v>15.242047106606121</v>
      </c>
      <c r="BA252" s="9">
        <f>TIM[[#This Row],[CT MVA]]</f>
        <v>15.242047106606121</v>
      </c>
      <c r="BB252" s="9" t="str">
        <f>TIM[[#This Row],[Derating MVA]]</f>
        <v>-</v>
      </c>
      <c r="BC252" s="9" t="str">
        <f>TIM[[#This Row],[Station/Feeder]]&amp;TIM[[#This Row],[Lowest MVA]]</f>
        <v>CB14_Church St NS3.81051177665153</v>
      </c>
      <c r="BD252" s="9" t="str">
        <f>CONCATENATE(TIM[[#This Row],[Supply Level]],TIM[[#This Row],[Station/Feeder]],TIM[[#This Row],[Voltage]],TIM[[#This Row],[Lowest A-No PTX]])</f>
        <v>DistributionFeederCB14_Church St NS11200</v>
      </c>
      <c r="BE252" s="9" t="str">
        <f>CONCATENATE(TIM[[#This Row],[Supply Level]],TIM[[#This Row],[Station/Feeder]],TIM[[#This Row],[Voltage]],TIM[[#This Row],[Lowest A-PTX]])</f>
        <v>DistributionFeederCB14_Church St NS11200</v>
      </c>
      <c r="BF252" s="9">
        <f>IFERROR(IF(MIN(TIM[[#This Row],[Summ Cont Winter A]:[Cable Derating]])=0,"",MIN(TIM[[#This Row],[Summ Cont Winter A]:[Cable Derating]])),"")</f>
        <v>3.8105117766515302</v>
      </c>
      <c r="BG252" s="9">
        <f>IFERROR(TIM[[#This Row],[Lowest MVA]]*1000/(TIM[[#This Row],[Voltage]]*SQRT(3)),"")</f>
        <v>200</v>
      </c>
      <c r="BH252" s="9">
        <f t="shared" si="323"/>
        <v>200</v>
      </c>
      <c r="BI252" s="9" t="str">
        <f>TIM[[#This Row],[From]]</f>
        <v>11 kV Bus</v>
      </c>
      <c r="BJ252" s="9" t="str">
        <f>TIM[[#This Row],[To]]</f>
        <v>TEHUNT14</v>
      </c>
      <c r="BK25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Breaker-HNT-CB14-Protection</v>
      </c>
      <c r="BL252" s="9">
        <f>TIM[[#This Row],[Voltage]]</f>
        <v>11</v>
      </c>
    </row>
    <row r="253" spans="1:64" ht="15" customHeight="1" x14ac:dyDescent="0.25">
      <c r="A253" s="14" t="str">
        <f>CONCATENATE(TIM[[#This Row],[Supply Level]],TIM[[#This Row],[Station/Feeder]],TIM[[#This Row],[Voltage]])</f>
        <v>DistributionFeederCB14_Church St NS11</v>
      </c>
      <c r="B253" s="14" t="str">
        <f>CONCATENATE(TIM[[#This Row],[Supply Level]],TIM[[#This Row],[Station/Feeder]],TIM[[#This Row],[Equipment ID]],TIM[[#This Row],[Voltage]],TIM[[#This Row],[Device type]])</f>
        <v>DistributionFeederCB14_Church St NS3c 185mm² Al PILC SWAS11-</v>
      </c>
      <c r="C253" s="14" t="s">
        <v>1276</v>
      </c>
      <c r="D253" s="11" t="s">
        <v>222</v>
      </c>
      <c r="E253" s="6" t="s">
        <v>976</v>
      </c>
      <c r="F253" s="6" t="s">
        <v>750</v>
      </c>
      <c r="G253" s="27">
        <v>2</v>
      </c>
      <c r="H253" s="6" t="s">
        <v>888</v>
      </c>
      <c r="I253" s="7" t="s">
        <v>901</v>
      </c>
      <c r="J253" s="7" t="s">
        <v>250</v>
      </c>
      <c r="K253" s="49" t="s">
        <v>0</v>
      </c>
      <c r="L253" s="49" t="s">
        <v>0</v>
      </c>
      <c r="M253" s="8">
        <v>11</v>
      </c>
      <c r="N253" s="9">
        <v>300</v>
      </c>
      <c r="O253" s="9">
        <f t="shared" si="0"/>
        <v>5.715767664977295</v>
      </c>
      <c r="P253" s="9">
        <v>300</v>
      </c>
      <c r="Q253" s="9">
        <f t="shared" si="1"/>
        <v>5.715767664977295</v>
      </c>
      <c r="R253" s="9">
        <v>300</v>
      </c>
      <c r="S253" s="9">
        <f t="shared" si="2"/>
        <v>5.715767664977295</v>
      </c>
      <c r="T253" s="9" t="s">
        <v>0</v>
      </c>
      <c r="U253" s="9" t="str">
        <f t="shared" si="3"/>
        <v>-</v>
      </c>
      <c r="V253" s="9" t="s">
        <v>0</v>
      </c>
      <c r="W253" s="9" t="str">
        <f t="shared" si="4"/>
        <v>-</v>
      </c>
      <c r="X253" s="9" t="s">
        <v>0</v>
      </c>
      <c r="Y253" s="9" t="str">
        <f t="shared" si="5"/>
        <v>-</v>
      </c>
      <c r="Z253" s="9" t="s">
        <v>0</v>
      </c>
      <c r="AA253" s="9" t="str">
        <f t="shared" si="6"/>
        <v>-</v>
      </c>
      <c r="AB253" s="9" t="s">
        <v>0</v>
      </c>
      <c r="AC253" s="9" t="str">
        <f t="shared" si="7"/>
        <v>-</v>
      </c>
      <c r="AD253" s="9" t="s">
        <v>0</v>
      </c>
      <c r="AE253" s="12" t="str">
        <f t="shared" si="8"/>
        <v>-</v>
      </c>
      <c r="AF253" s="9" t="s">
        <v>716</v>
      </c>
      <c r="AG253" s="9" t="s">
        <v>0</v>
      </c>
      <c r="AH253" s="9">
        <v>1060.2</v>
      </c>
      <c r="AI253" s="9">
        <v>0.82</v>
      </c>
      <c r="AJ253" s="32">
        <v>1.02</v>
      </c>
      <c r="AK253" s="9">
        <v>18.5</v>
      </c>
      <c r="AL253" s="32">
        <v>0.95</v>
      </c>
      <c r="AM253" s="9">
        <v>1.2</v>
      </c>
      <c r="AN253" s="32">
        <v>1</v>
      </c>
      <c r="AO253" s="9">
        <v>4</v>
      </c>
      <c r="AP253" s="9">
        <v>0</v>
      </c>
      <c r="AQ253" s="32">
        <v>0.7</v>
      </c>
      <c r="AR253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203.48999999999998</v>
      </c>
      <c r="AS253" s="9">
        <f t="shared" si="9"/>
        <v>3.8770052071540992</v>
      </c>
      <c r="AT253" s="9">
        <f>IF(RIGHT(TIM[[#This Row],[Device type]],7)="Winding","-",TIM[[#This Row],[Cont Winter MVA]])</f>
        <v>5.715767664977295</v>
      </c>
      <c r="AU253" s="9">
        <f>IF(RIGHT(TIM[[#This Row],[Device type]],7)="Winding","-",TIM[[#This Row],[Cont Shoulder MVA]])</f>
        <v>5.715767664977295</v>
      </c>
      <c r="AV253" s="9">
        <f>IF(RIGHT(TIM[[#This Row],[Device type]],7)="Winding","-",TIM[[#This Row],[Cont Summer MVA]])</f>
        <v>5.715767664977295</v>
      </c>
      <c r="AW253" s="9" t="str">
        <f>TIM[[#This Row],[24 Hr Winter MVA]]</f>
        <v>-</v>
      </c>
      <c r="AX253" s="9" t="str">
        <f>TIM[[#This Row],[24 Hr Summer MVA]]</f>
        <v>-</v>
      </c>
      <c r="AY253" s="9" t="str">
        <f>TIM[[#This Row],[Forwards MVA]]</f>
        <v>-</v>
      </c>
      <c r="AZ253" s="9" t="str">
        <f>TIM[[#This Row],[Relay MVA]]</f>
        <v>-</v>
      </c>
      <c r="BA253" s="9" t="str">
        <f>TIM[[#This Row],[CT MVA]]</f>
        <v>-</v>
      </c>
      <c r="BB253" s="9">
        <f>TIM[[#This Row],[Derating MVA]]</f>
        <v>3.8770052071540992</v>
      </c>
      <c r="BC253" s="9" t="str">
        <f>TIM[[#This Row],[Station/Feeder]]&amp;TIM[[#This Row],[Lowest MVA]]</f>
        <v>CB14_Church St NS3.8770052071541</v>
      </c>
      <c r="BD253" s="9" t="str">
        <f>CONCATENATE(TIM[[#This Row],[Supply Level]],TIM[[#This Row],[Station/Feeder]],TIM[[#This Row],[Voltage]],TIM[[#This Row],[Lowest A-No PTX]])</f>
        <v>DistributionFeederCB14_Church St NS11203.49</v>
      </c>
      <c r="BE253" s="9" t="str">
        <f>CONCATENATE(TIM[[#This Row],[Supply Level]],TIM[[#This Row],[Station/Feeder]],TIM[[#This Row],[Voltage]],TIM[[#This Row],[Lowest A-PTX]])</f>
        <v>DistributionFeederCB14_Church St NS11203.49</v>
      </c>
      <c r="BF253" s="9">
        <f>IFERROR(IF(MIN(TIM[[#This Row],[Summ Cont Winter A]:[Cable Derating]])=0,"",MIN(TIM[[#This Row],[Summ Cont Winter A]:[Cable Derating]])),"")</f>
        <v>3.8770052071540992</v>
      </c>
      <c r="BG253" s="9">
        <f>IFERROR(TIM[[#This Row],[Lowest MVA]]*1000/(TIM[[#This Row],[Voltage]]*SQRT(3)),"")</f>
        <v>203.49</v>
      </c>
      <c r="BH253" s="9">
        <f t="shared" si="323"/>
        <v>203.48999999999998</v>
      </c>
      <c r="BI253" s="9" t="str">
        <f>TIM[[#This Row],[From]]</f>
        <v xml:space="preserve">TEHUNT14 </v>
      </c>
      <c r="BJ253" s="9" t="str">
        <f>TIM[[#This Row],[To]]</f>
        <v>Joint</v>
      </c>
      <c r="BK25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PILC SWAS</v>
      </c>
      <c r="BL253" s="9">
        <f>TIM[[#This Row],[Voltage]]</f>
        <v>11</v>
      </c>
    </row>
    <row r="254" spans="1:64" ht="15" customHeight="1" x14ac:dyDescent="0.25">
      <c r="A254" s="14" t="str">
        <f>CONCATENATE(TIM[[#This Row],[Supply Level]],TIM[[#This Row],[Station/Feeder]],TIM[[#This Row],[Voltage]])</f>
        <v>DistributionFeederCB14_Church St NS11</v>
      </c>
      <c r="B254" s="14" t="str">
        <f>CONCATENATE(TIM[[#This Row],[Supply Level]],TIM[[#This Row],[Station/Feeder]],TIM[[#This Row],[Equipment ID]],TIM[[#This Row],[Voltage]],TIM[[#This Row],[Device type]])</f>
        <v>DistributionFeederCB14_Church St NS3c 95mm² AL PILC SWAS11-</v>
      </c>
      <c r="C254" s="14" t="s">
        <v>1276</v>
      </c>
      <c r="D254" s="11" t="s">
        <v>222</v>
      </c>
      <c r="E254" s="14" t="s">
        <v>750</v>
      </c>
      <c r="F254" s="6" t="s">
        <v>977</v>
      </c>
      <c r="G254" s="27">
        <v>3</v>
      </c>
      <c r="H254" s="6" t="s">
        <v>888</v>
      </c>
      <c r="I254" s="7" t="s">
        <v>2985</v>
      </c>
      <c r="J254" s="7" t="s">
        <v>250</v>
      </c>
      <c r="K254" s="49" t="s">
        <v>0</v>
      </c>
      <c r="L254" s="49" t="s">
        <v>0</v>
      </c>
      <c r="M254" s="8">
        <v>11</v>
      </c>
      <c r="N254" s="16">
        <v>171</v>
      </c>
      <c r="O254" s="9">
        <f t="shared" si="0"/>
        <v>3.2579875690370583</v>
      </c>
      <c r="P254" s="16">
        <v>171</v>
      </c>
      <c r="Q254" s="9">
        <f t="shared" si="1"/>
        <v>3.2579875690370583</v>
      </c>
      <c r="R254" s="16">
        <v>171</v>
      </c>
      <c r="S254" s="9">
        <f t="shared" si="2"/>
        <v>3.2579875690370583</v>
      </c>
      <c r="T254" s="9" t="s">
        <v>0</v>
      </c>
      <c r="U254" s="9" t="str">
        <f t="shared" si="3"/>
        <v>-</v>
      </c>
      <c r="V254" s="9" t="s">
        <v>0</v>
      </c>
      <c r="W254" s="9" t="str">
        <f t="shared" si="4"/>
        <v>-</v>
      </c>
      <c r="X254" s="9" t="s">
        <v>0</v>
      </c>
      <c r="Y254" s="9" t="str">
        <f t="shared" si="5"/>
        <v>-</v>
      </c>
      <c r="Z254" s="9" t="s">
        <v>0</v>
      </c>
      <c r="AA254" s="9" t="str">
        <f t="shared" si="6"/>
        <v>-</v>
      </c>
      <c r="AB254" s="9" t="s">
        <v>0</v>
      </c>
      <c r="AC254" s="9" t="str">
        <f t="shared" si="7"/>
        <v>-</v>
      </c>
      <c r="AD254" s="9" t="s">
        <v>0</v>
      </c>
      <c r="AE254" s="12" t="str">
        <f t="shared" si="8"/>
        <v>-</v>
      </c>
      <c r="AF254" s="9" t="s">
        <v>716</v>
      </c>
      <c r="AG254" s="9" t="s">
        <v>0</v>
      </c>
      <c r="AH254" s="9">
        <v>61.7</v>
      </c>
      <c r="AI254" s="9">
        <v>0.82</v>
      </c>
      <c r="AJ254" s="32">
        <v>1.02</v>
      </c>
      <c r="AK254" s="9">
        <v>18.5</v>
      </c>
      <c r="AL254" s="32">
        <v>0.95</v>
      </c>
      <c r="AM254" s="9">
        <v>1.2</v>
      </c>
      <c r="AN254" s="32">
        <v>1</v>
      </c>
      <c r="AO254" s="9">
        <v>2</v>
      </c>
      <c r="AP254" s="9">
        <v>0.3</v>
      </c>
      <c r="AQ254" s="32">
        <v>0.95</v>
      </c>
      <c r="AR254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157.41405</v>
      </c>
      <c r="AS254" s="9">
        <f t="shared" si="9"/>
        <v>2.9991404566770639</v>
      </c>
      <c r="AT254" s="9">
        <f>IF(RIGHT(TIM[[#This Row],[Device type]],7)="Winding","-",TIM[[#This Row],[Cont Winter MVA]])</f>
        <v>3.2579875690370583</v>
      </c>
      <c r="AU254" s="9">
        <f>IF(RIGHT(TIM[[#This Row],[Device type]],7)="Winding","-",TIM[[#This Row],[Cont Shoulder MVA]])</f>
        <v>3.2579875690370583</v>
      </c>
      <c r="AV254" s="9">
        <f>IF(RIGHT(TIM[[#This Row],[Device type]],7)="Winding","-",TIM[[#This Row],[Cont Summer MVA]])</f>
        <v>3.2579875690370583</v>
      </c>
      <c r="AW254" s="9" t="str">
        <f>TIM[[#This Row],[24 Hr Winter MVA]]</f>
        <v>-</v>
      </c>
      <c r="AX254" s="9" t="str">
        <f>TIM[[#This Row],[24 Hr Summer MVA]]</f>
        <v>-</v>
      </c>
      <c r="AY254" s="9" t="str">
        <f>TIM[[#This Row],[Forwards MVA]]</f>
        <v>-</v>
      </c>
      <c r="AZ254" s="9" t="str">
        <f>TIM[[#This Row],[Relay MVA]]</f>
        <v>-</v>
      </c>
      <c r="BA254" s="9" t="str">
        <f>TIM[[#This Row],[CT MVA]]</f>
        <v>-</v>
      </c>
      <c r="BB254" s="9">
        <f>TIM[[#This Row],[Derating MVA]]</f>
        <v>2.9991404566770639</v>
      </c>
      <c r="BC254" s="9" t="str">
        <f>TIM[[#This Row],[Station/Feeder]]&amp;TIM[[#This Row],[Lowest MVA]]</f>
        <v>CB14_Church St NS2.99914045667706</v>
      </c>
      <c r="BD254" s="9" t="str">
        <f>CONCATENATE(TIM[[#This Row],[Supply Level]],TIM[[#This Row],[Station/Feeder]],TIM[[#This Row],[Voltage]],TIM[[#This Row],[Lowest A-No PTX]])</f>
        <v>DistributionFeederCB14_Church St NS11157.41405</v>
      </c>
      <c r="BE254" s="9" t="str">
        <f>CONCATENATE(TIM[[#This Row],[Supply Level]],TIM[[#This Row],[Station/Feeder]],TIM[[#This Row],[Voltage]],TIM[[#This Row],[Lowest A-PTX]])</f>
        <v>DistributionFeederCB14_Church St NS11157.41405</v>
      </c>
      <c r="BF254" s="9">
        <f>IFERROR(IF(MIN(TIM[[#This Row],[Summ Cont Winter A]:[Cable Derating]])=0,"",MIN(TIM[[#This Row],[Summ Cont Winter A]:[Cable Derating]])),"")</f>
        <v>2.9991404566770639</v>
      </c>
      <c r="BG254" s="9">
        <f>IFERROR(TIM[[#This Row],[Lowest MVA]]*1000/(TIM[[#This Row],[Voltage]]*SQRT(3)),"")</f>
        <v>157.41405</v>
      </c>
      <c r="BH254" s="9">
        <f t="shared" si="323"/>
        <v>157.41405</v>
      </c>
      <c r="BI254" s="9" t="str">
        <f>TIM[[#This Row],[From]]</f>
        <v>Joint</v>
      </c>
      <c r="BJ254" s="9" t="str">
        <f>TIM[[#This Row],[To]]</f>
        <v>TER8 RMU</v>
      </c>
      <c r="BK25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95mm² AL PILC SWAS</v>
      </c>
      <c r="BL254" s="9">
        <f>TIM[[#This Row],[Voltage]]</f>
        <v>11</v>
      </c>
    </row>
    <row r="255" spans="1:64" ht="15" hidden="1" customHeight="1" x14ac:dyDescent="0.25">
      <c r="A255" s="6" t="str">
        <f>CONCATENATE(TIM[[#This Row],[Supply Level]],TIM[[#This Row],[Station/Feeder]],TIM[[#This Row],[Voltage]])</f>
        <v>SubTransmissionCB15_HNT-NST B11</v>
      </c>
      <c r="B255" s="6" t="str">
        <f>CONCATENATE(TIM[[#This Row],[Supply Level]],TIM[[#This Row],[Station/Feeder]],TIM[[#This Row],[Equipment ID]],TIM[[#This Row],[Voltage]],TIM[[#This Row],[Device type]])</f>
        <v>SubTransmissionCB15_HNT-NST BHNT-CB1511Protection</v>
      </c>
      <c r="C255" s="6" t="s">
        <v>1245</v>
      </c>
      <c r="D255" s="6" t="s">
        <v>1333</v>
      </c>
      <c r="E255" s="6" t="s">
        <v>243</v>
      </c>
      <c r="F255" s="6" t="s">
        <v>978</v>
      </c>
      <c r="G255" s="8">
        <v>1</v>
      </c>
      <c r="H255" s="6" t="s">
        <v>945</v>
      </c>
      <c r="I255" s="6" t="s">
        <v>2267</v>
      </c>
      <c r="J255" s="6" t="s">
        <v>15</v>
      </c>
      <c r="K255" s="6" t="s">
        <v>791</v>
      </c>
      <c r="L255" s="6" t="s">
        <v>1423</v>
      </c>
      <c r="M255" s="8">
        <v>11</v>
      </c>
      <c r="N255" s="9">
        <v>630</v>
      </c>
      <c r="O255" s="9">
        <f t="shared" ref="O255:O256" si="365">IF(OR(N255="",N255="-"),"-",N255*$M255*SQRT(3)/1000)</f>
        <v>12.00311209645232</v>
      </c>
      <c r="P255" s="9">
        <v>630</v>
      </c>
      <c r="Q255" s="9">
        <f t="shared" ref="Q255:Q256" si="366">IF(OR(P255="",P255="-"),"-",P255*$M255*SQRT(3)/1000)</f>
        <v>12.00311209645232</v>
      </c>
      <c r="R255" s="9">
        <v>630</v>
      </c>
      <c r="S255" s="9">
        <f t="shared" ref="S255:S256" si="367">IF(OR(R255="",R255="-"),"-",R255*$M255*SQRT(3)/1000)</f>
        <v>12.00311209645232</v>
      </c>
      <c r="T255" s="9" t="s">
        <v>0</v>
      </c>
      <c r="U255" s="9" t="str">
        <f t="shared" ref="U255:U256" si="368">IF(OR(T255="",T255="-"),"-",T255*$M255*SQRT(3)/1000)</f>
        <v>-</v>
      </c>
      <c r="V255" s="9" t="s">
        <v>0</v>
      </c>
      <c r="W255" s="9" t="str">
        <f t="shared" ref="W255:W256" si="369">IF(OR(V255="",V255="-"),"-",V255*$M255*SQRT(3)/1000)</f>
        <v>-</v>
      </c>
      <c r="X255" s="9">
        <f>VLOOKUP(TIM[[#This Row],[Equipment ID]],AEL_Protection_Data[#All],12,0)</f>
        <v>400</v>
      </c>
      <c r="Y255" s="9">
        <f t="shared" ref="Y255:Y256" si="370">IF(OR(X255="",X255="-"),"-",X255*$M255*SQRT(3)/1000)</f>
        <v>7.6210235533030604</v>
      </c>
      <c r="Z255" s="9" t="s">
        <v>0</v>
      </c>
      <c r="AA255" s="9" t="str">
        <f t="shared" ref="AA255:AA256" si="371">IF(OR(Z255="",Z255="-"),"-",Z255*$M255*SQRT(3)/1000)</f>
        <v>-</v>
      </c>
      <c r="AB255" s="9">
        <v>400</v>
      </c>
      <c r="AC255" s="9">
        <f t="shared" ref="AC255:AC256" si="372">IF(OR(AB255="",AB255="-"),"-",AB255*$M255*SQRT(3)/1000)</f>
        <v>7.6210235533030604</v>
      </c>
      <c r="AD255" s="9">
        <v>400</v>
      </c>
      <c r="AE255" s="9">
        <f t="shared" ref="AE255:AE256" si="373">IF(OR(AD255="",AD255="-"),"-",AD255*$M255*SQRT(3)/1000)</f>
        <v>7.6210235533030604</v>
      </c>
      <c r="AF255" s="9" t="s">
        <v>0</v>
      </c>
      <c r="AG255" s="9" t="s">
        <v>0</v>
      </c>
      <c r="AH255" s="9" t="s">
        <v>0</v>
      </c>
      <c r="AI255" s="9" t="s">
        <v>0</v>
      </c>
      <c r="AJ255" s="43" t="s">
        <v>0</v>
      </c>
      <c r="AK255" s="9" t="s">
        <v>0</v>
      </c>
      <c r="AL255" s="43" t="s">
        <v>0</v>
      </c>
      <c r="AM255" s="9" t="s">
        <v>0</v>
      </c>
      <c r="AN255" s="43" t="s">
        <v>0</v>
      </c>
      <c r="AO255" s="9" t="s">
        <v>0</v>
      </c>
      <c r="AP255" s="9" t="s">
        <v>0</v>
      </c>
      <c r="AQ255" s="43" t="s">
        <v>0</v>
      </c>
      <c r="AR255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55" s="9" t="str">
        <f t="shared" ref="AS255:AS256" si="374">IF(OR(AR255="",AR255="-"),"-",AR255*$M255*SQRT(3)/1000)</f>
        <v>-</v>
      </c>
      <c r="AT255" s="9">
        <f>IF(RIGHT(TIM[[#This Row],[Device type]],7)="Winding","-",TIM[[#This Row],[Cont Winter MVA]])</f>
        <v>12.00311209645232</v>
      </c>
      <c r="AU255" s="9">
        <f>IF(RIGHT(TIM[[#This Row],[Device type]],7)="Winding","-",TIM[[#This Row],[Cont Shoulder MVA]])</f>
        <v>12.00311209645232</v>
      </c>
      <c r="AV255" s="9">
        <f>IF(RIGHT(TIM[[#This Row],[Device type]],7)="Winding","-",TIM[[#This Row],[Cont Summer MVA]])</f>
        <v>12.00311209645232</v>
      </c>
      <c r="AW255" s="9" t="str">
        <f>TIM[[#This Row],[24 Hr Winter MVA]]</f>
        <v>-</v>
      </c>
      <c r="AX255" s="9" t="str">
        <f>TIM[[#This Row],[24 Hr Summer MVA]]</f>
        <v>-</v>
      </c>
      <c r="AY255" s="9">
        <f>TIM[[#This Row],[Forwards MVA]]</f>
        <v>7.6210235533030604</v>
      </c>
      <c r="AZ255" s="9">
        <f>TIM[[#This Row],[Relay MVA]]</f>
        <v>7.6210235533030604</v>
      </c>
      <c r="BA255" s="9">
        <f>TIM[[#This Row],[CT MVA]]</f>
        <v>7.6210235533030604</v>
      </c>
      <c r="BB255" s="9" t="str">
        <f>TIM[[#This Row],[Derating MVA]]</f>
        <v>-</v>
      </c>
      <c r="BC255" s="9" t="str">
        <f>TIM[[#This Row],[Station/Feeder]]&amp;TIM[[#This Row],[Lowest MVA]]</f>
        <v>CB15_HNT-NST B7.62102355330306</v>
      </c>
      <c r="BD255" s="9" t="str">
        <f>CONCATENATE(TIM[[#This Row],[Supply Level]],TIM[[#This Row],[Station/Feeder]],TIM[[#This Row],[Voltage]],TIM[[#This Row],[Lowest A-No PTX]])</f>
        <v>SubTransmissionCB15_HNT-NST B11400</v>
      </c>
      <c r="BE255" s="9" t="str">
        <f>CONCATENATE(TIM[[#This Row],[Supply Level]],TIM[[#This Row],[Station/Feeder]],TIM[[#This Row],[Voltage]],TIM[[#This Row],[Lowest A-PTX]])</f>
        <v>SubTransmissionCB15_HNT-NST B11400</v>
      </c>
      <c r="BF255" s="9">
        <f>IFERROR(IF(MIN(TIM[[#This Row],[Summ Cont Winter A]:[Cable Derating]])=0,"",MIN(TIM[[#This Row],[Summ Cont Winter A]:[Cable Derating]])),"")</f>
        <v>7.6210235533030604</v>
      </c>
      <c r="BG255" s="9">
        <f>IFERROR(TIM[[#This Row],[Lowest MVA]]*1000/(TIM[[#This Row],[Voltage]]*SQRT(3)),"")</f>
        <v>400</v>
      </c>
      <c r="BH255" s="9">
        <f t="shared" si="323"/>
        <v>400</v>
      </c>
      <c r="BI255" s="9" t="str">
        <f>TIM[[#This Row],[From]]</f>
        <v>11 kV Bus</v>
      </c>
      <c r="BJ255" s="9" t="str">
        <f>TIM[[#This Row],[To]]</f>
        <v>TEHUNT15</v>
      </c>
      <c r="BK25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Breaker-HNT-CB15-Protection</v>
      </c>
      <c r="BL255" s="9">
        <f>TIM[[#This Row],[Voltage]]</f>
        <v>11</v>
      </c>
    </row>
    <row r="256" spans="1:64" ht="15" hidden="1" customHeight="1" x14ac:dyDescent="0.25">
      <c r="A256" s="6" t="str">
        <f>CONCATENATE(TIM[[#This Row],[Supply Level]],TIM[[#This Row],[Station/Feeder]],TIM[[#This Row],[Voltage]])</f>
        <v>SubTransmissionCB15_HNT-NST B11</v>
      </c>
      <c r="B256" s="6" t="str">
        <f>CONCATENATE(TIM[[#This Row],[Supply Level]],TIM[[#This Row],[Station/Feeder]],TIM[[#This Row],[Equipment ID]],TIM[[#This Row],[Voltage]],TIM[[#This Row],[Device type]])</f>
        <v>SubTransmissionCB15_HNT-NST B3c 0.3in² Cu PILC SWAS11-</v>
      </c>
      <c r="C256" s="6" t="s">
        <v>1245</v>
      </c>
      <c r="D256" s="6" t="s">
        <v>1333</v>
      </c>
      <c r="E256" s="6" t="s">
        <v>979</v>
      </c>
      <c r="F256" s="6" t="s">
        <v>750</v>
      </c>
      <c r="G256" s="8">
        <v>2</v>
      </c>
      <c r="H256" s="6" t="s">
        <v>888</v>
      </c>
      <c r="I256" s="6" t="s">
        <v>1327</v>
      </c>
      <c r="J256" s="6" t="s">
        <v>250</v>
      </c>
      <c r="K256" s="6" t="s">
        <v>0</v>
      </c>
      <c r="L256" s="6" t="s">
        <v>0</v>
      </c>
      <c r="M256" s="8">
        <v>11</v>
      </c>
      <c r="N256" s="9">
        <v>390</v>
      </c>
      <c r="O256" s="9">
        <f t="shared" si="365"/>
        <v>7.4304979644704838</v>
      </c>
      <c r="P256" s="9">
        <v>390</v>
      </c>
      <c r="Q256" s="9">
        <f t="shared" si="366"/>
        <v>7.4304979644704838</v>
      </c>
      <c r="R256" s="9">
        <v>390</v>
      </c>
      <c r="S256" s="9">
        <f t="shared" si="367"/>
        <v>7.4304979644704838</v>
      </c>
      <c r="T256" s="9" t="s">
        <v>0</v>
      </c>
      <c r="U256" s="9" t="str">
        <f t="shared" si="368"/>
        <v>-</v>
      </c>
      <c r="V256" s="9" t="s">
        <v>0</v>
      </c>
      <c r="W256" s="9" t="str">
        <f t="shared" si="369"/>
        <v>-</v>
      </c>
      <c r="X256" s="9" t="s">
        <v>0</v>
      </c>
      <c r="Y256" s="9" t="str">
        <f t="shared" si="370"/>
        <v>-</v>
      </c>
      <c r="Z256" s="9" t="s">
        <v>0</v>
      </c>
      <c r="AA256" s="9" t="str">
        <f t="shared" si="371"/>
        <v>-</v>
      </c>
      <c r="AB256" s="9" t="s">
        <v>0</v>
      </c>
      <c r="AC256" s="9" t="str">
        <f t="shared" si="372"/>
        <v>-</v>
      </c>
      <c r="AD256" s="9" t="s">
        <v>0</v>
      </c>
      <c r="AE256" s="9" t="str">
        <f t="shared" si="373"/>
        <v>-</v>
      </c>
      <c r="AF256" s="9" t="s">
        <v>716</v>
      </c>
      <c r="AG256" s="9" t="s">
        <v>0</v>
      </c>
      <c r="AH256" s="9">
        <v>1153.3999999999999</v>
      </c>
      <c r="AI256" s="9">
        <v>0.7</v>
      </c>
      <c r="AJ256" s="43">
        <v>1.05</v>
      </c>
      <c r="AK256" s="9">
        <v>18.5</v>
      </c>
      <c r="AL256" s="43">
        <v>0.95</v>
      </c>
      <c r="AM256" s="9">
        <v>1.2</v>
      </c>
      <c r="AN256" s="43">
        <v>1</v>
      </c>
      <c r="AO256" s="9">
        <v>3</v>
      </c>
      <c r="AP256" s="9">
        <v>0.2</v>
      </c>
      <c r="AQ256" s="43">
        <v>0.75</v>
      </c>
      <c r="AR256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291.76874999999995</v>
      </c>
      <c r="AS256" s="9">
        <f t="shared" si="374"/>
        <v>5.5589412896694794</v>
      </c>
      <c r="AT256" s="9">
        <f>IF(RIGHT(TIM[[#This Row],[Device type]],7)="Winding","-",TIM[[#This Row],[Cont Winter MVA]])</f>
        <v>7.4304979644704838</v>
      </c>
      <c r="AU256" s="9">
        <f>IF(RIGHT(TIM[[#This Row],[Device type]],7)="Winding","-",TIM[[#This Row],[Cont Shoulder MVA]])</f>
        <v>7.4304979644704838</v>
      </c>
      <c r="AV256" s="9">
        <f>IF(RIGHT(TIM[[#This Row],[Device type]],7)="Winding","-",TIM[[#This Row],[Cont Summer MVA]])</f>
        <v>7.4304979644704838</v>
      </c>
      <c r="AW256" s="9" t="str">
        <f>TIM[[#This Row],[24 Hr Winter MVA]]</f>
        <v>-</v>
      </c>
      <c r="AX256" s="9" t="str">
        <f>TIM[[#This Row],[24 Hr Summer MVA]]</f>
        <v>-</v>
      </c>
      <c r="AY256" s="9" t="str">
        <f>TIM[[#This Row],[Forwards MVA]]</f>
        <v>-</v>
      </c>
      <c r="AZ256" s="9" t="str">
        <f>TIM[[#This Row],[Relay MVA]]</f>
        <v>-</v>
      </c>
      <c r="BA256" s="9" t="str">
        <f>TIM[[#This Row],[CT MVA]]</f>
        <v>-</v>
      </c>
      <c r="BB256" s="9">
        <f>TIM[[#This Row],[Derating MVA]]</f>
        <v>5.5589412896694794</v>
      </c>
      <c r="BC256" s="9" t="str">
        <f>TIM[[#This Row],[Station/Feeder]]&amp;TIM[[#This Row],[Lowest MVA]]</f>
        <v>CB15_HNT-NST B5.55894128966948</v>
      </c>
      <c r="BD256" s="9" t="str">
        <f>CONCATENATE(TIM[[#This Row],[Supply Level]],TIM[[#This Row],[Station/Feeder]],TIM[[#This Row],[Voltage]],TIM[[#This Row],[Lowest A-No PTX]])</f>
        <v>SubTransmissionCB15_HNT-NST B11291.76875</v>
      </c>
      <c r="BE256" s="9" t="str">
        <f>CONCATENATE(TIM[[#This Row],[Supply Level]],TIM[[#This Row],[Station/Feeder]],TIM[[#This Row],[Voltage]],TIM[[#This Row],[Lowest A-PTX]])</f>
        <v>SubTransmissionCB15_HNT-NST B11291.76875</v>
      </c>
      <c r="BF256" s="9">
        <f>IFERROR(IF(MIN(TIM[[#This Row],[Summ Cont Winter A]:[Cable Derating]])=0,"",MIN(TIM[[#This Row],[Summ Cont Winter A]:[Cable Derating]])),"")</f>
        <v>5.5589412896694794</v>
      </c>
      <c r="BG256" s="9">
        <f>IFERROR(TIM[[#This Row],[Lowest MVA]]*1000/(TIM[[#This Row],[Voltage]]*SQRT(3)),"")</f>
        <v>291.76874999999995</v>
      </c>
      <c r="BH256" s="9">
        <f t="shared" si="323"/>
        <v>291.76874999999995</v>
      </c>
      <c r="BI256" s="9" t="str">
        <f>TIM[[#This Row],[From]]</f>
        <v xml:space="preserve">TEHUNT15 </v>
      </c>
      <c r="BJ256" s="9" t="str">
        <f>TIM[[#This Row],[To]]</f>
        <v>Joint</v>
      </c>
      <c r="BK25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0.3in² Cu PILC SWAS</v>
      </c>
      <c r="BL256" s="9">
        <f>TIM[[#This Row],[Voltage]]</f>
        <v>11</v>
      </c>
    </row>
    <row r="257" spans="1:64" ht="15" hidden="1" customHeight="1" x14ac:dyDescent="0.25">
      <c r="A257" s="6" t="str">
        <f>CONCATENATE(TIM[[#This Row],[Supply Level]],TIM[[#This Row],[Station/Feeder]],TIM[[#This Row],[Voltage]])</f>
        <v>SubTransmissionCB15_HNT-NST B11</v>
      </c>
      <c r="B257" s="6" t="str">
        <f>CONCATENATE(TIM[[#This Row],[Supply Level]],TIM[[#This Row],[Station/Feeder]],TIM[[#This Row],[Equipment ID]],TIM[[#This Row],[Voltage]],TIM[[#This Row],[Device type]])</f>
        <v>SubTransmissionCB15_HNT-NST B3/1c 400mm² Al XLPE HPDE Screened11-</v>
      </c>
      <c r="C257" s="6" t="s">
        <v>1245</v>
      </c>
      <c r="D257" s="6" t="s">
        <v>1333</v>
      </c>
      <c r="E257" s="6" t="s">
        <v>750</v>
      </c>
      <c r="F257" s="6" t="s">
        <v>980</v>
      </c>
      <c r="G257" s="8">
        <v>3</v>
      </c>
      <c r="H257" s="6" t="s">
        <v>888</v>
      </c>
      <c r="I257" s="6" t="s">
        <v>986</v>
      </c>
      <c r="J257" s="6" t="s">
        <v>250</v>
      </c>
      <c r="K257" s="6" t="s">
        <v>0</v>
      </c>
      <c r="L257" s="6" t="s">
        <v>0</v>
      </c>
      <c r="M257" s="8">
        <v>11</v>
      </c>
      <c r="N257" s="9">
        <v>537</v>
      </c>
      <c r="O257" s="9">
        <f>IF(OR(N257="",N257="-"),"-",N257*$M257*SQRT(3)/1000)</f>
        <v>10.231224120309358</v>
      </c>
      <c r="P257" s="9">
        <v>537</v>
      </c>
      <c r="Q257" s="9">
        <f>IF(OR(P257="",P257="-"),"-",P257*$M257*SQRT(3)/1000)</f>
        <v>10.231224120309358</v>
      </c>
      <c r="R257" s="9">
        <v>537</v>
      </c>
      <c r="S257" s="9">
        <f>IF(OR(R257="",R257="-"),"-",R257*$M257*SQRT(3)/1000)</f>
        <v>10.231224120309358</v>
      </c>
      <c r="T257" s="9" t="s">
        <v>0</v>
      </c>
      <c r="U257" s="9" t="str">
        <f>IF(OR(T257="",T257="-"),"-",T257*$M257*SQRT(3)/1000)</f>
        <v>-</v>
      </c>
      <c r="V257" s="9" t="s">
        <v>0</v>
      </c>
      <c r="W257" s="9" t="str">
        <f>IF(OR(V257="",V257="-"),"-",V257*$M257*SQRT(3)/1000)</f>
        <v>-</v>
      </c>
      <c r="X257" s="9" t="s">
        <v>0</v>
      </c>
      <c r="Y257" s="9" t="str">
        <f>IF(OR(X257="",X257="-"),"-",X257*$M257*SQRT(3)/1000)</f>
        <v>-</v>
      </c>
      <c r="Z257" s="9" t="s">
        <v>0</v>
      </c>
      <c r="AA257" s="9" t="str">
        <f>IF(OR(Z257="",Z257="-"),"-",Z257*$M257*SQRT(3)/1000)</f>
        <v>-</v>
      </c>
      <c r="AB257" s="9" t="s">
        <v>0</v>
      </c>
      <c r="AC257" s="9" t="str">
        <f>IF(OR(AB257="",AB257="-"),"-",AB257*$M257*SQRT(3)/1000)</f>
        <v>-</v>
      </c>
      <c r="AD257" s="9" t="s">
        <v>0</v>
      </c>
      <c r="AE257" s="9" t="str">
        <f>IF(OR(AD257="",AD257="-"),"-",AD257*$M257*SQRT(3)/1000)</f>
        <v>-</v>
      </c>
      <c r="AF257" s="9" t="s">
        <v>713</v>
      </c>
      <c r="AG257" s="9" t="s">
        <v>0</v>
      </c>
      <c r="AH257" s="9">
        <v>93.4</v>
      </c>
      <c r="AI257" s="9">
        <v>0.7</v>
      </c>
      <c r="AJ257" s="43">
        <v>1.05</v>
      </c>
      <c r="AK257" s="9">
        <v>18.5</v>
      </c>
      <c r="AL257" s="43">
        <v>0.95</v>
      </c>
      <c r="AM257" s="9">
        <v>1.2</v>
      </c>
      <c r="AN257" s="43">
        <v>1</v>
      </c>
      <c r="AO257" s="9">
        <v>3</v>
      </c>
      <c r="AP257" s="9">
        <v>0.2</v>
      </c>
      <c r="AQ257" s="43">
        <v>0.75</v>
      </c>
      <c r="AR257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401.74312499999996</v>
      </c>
      <c r="AS257" s="9">
        <f>IF(OR(AR257="",AR257="-"),"-",AR257*$M257*SQRT(3)/1000)</f>
        <v>7.654234545006438</v>
      </c>
      <c r="AT257" s="9">
        <f>IF(RIGHT(TIM[[#This Row],[Device type]],7)="Winding","-",TIM[[#This Row],[Cont Winter MVA]])</f>
        <v>10.231224120309358</v>
      </c>
      <c r="AU257" s="9">
        <f>IF(RIGHT(TIM[[#This Row],[Device type]],7)="Winding","-",TIM[[#This Row],[Cont Shoulder MVA]])</f>
        <v>10.231224120309358</v>
      </c>
      <c r="AV257" s="9">
        <f>IF(RIGHT(TIM[[#This Row],[Device type]],7)="Winding","-",TIM[[#This Row],[Cont Summer MVA]])</f>
        <v>10.231224120309358</v>
      </c>
      <c r="AW257" s="9" t="str">
        <f>TIM[[#This Row],[24 Hr Winter MVA]]</f>
        <v>-</v>
      </c>
      <c r="AX257" s="9" t="str">
        <f>TIM[[#This Row],[24 Hr Summer MVA]]</f>
        <v>-</v>
      </c>
      <c r="AY257" s="9" t="str">
        <f>TIM[[#This Row],[Forwards MVA]]</f>
        <v>-</v>
      </c>
      <c r="AZ257" s="9" t="str">
        <f>TIM[[#This Row],[Relay MVA]]</f>
        <v>-</v>
      </c>
      <c r="BA257" s="9" t="str">
        <f>TIM[[#This Row],[CT MVA]]</f>
        <v>-</v>
      </c>
      <c r="BB257" s="9">
        <f>TIM[[#This Row],[Derating MVA]]</f>
        <v>7.654234545006438</v>
      </c>
      <c r="BC257" s="9" t="str">
        <f>TIM[[#This Row],[Station/Feeder]]&amp;TIM[[#This Row],[Lowest MVA]]</f>
        <v>CB15_HNT-NST B7.65423454500644</v>
      </c>
      <c r="BD257" s="9" t="str">
        <f>CONCATENATE(TIM[[#This Row],[Supply Level]],TIM[[#This Row],[Station/Feeder]],TIM[[#This Row],[Voltage]],TIM[[#This Row],[Lowest A-No PTX]])</f>
        <v>SubTransmissionCB15_HNT-NST B11401.743125</v>
      </c>
      <c r="BE257" s="9" t="str">
        <f>CONCATENATE(TIM[[#This Row],[Supply Level]],TIM[[#This Row],[Station/Feeder]],TIM[[#This Row],[Voltage]],TIM[[#This Row],[Lowest A-PTX]])</f>
        <v>SubTransmissionCB15_HNT-NST B11401.743125</v>
      </c>
      <c r="BF257" s="9">
        <f>IFERROR(IF(MIN(TIM[[#This Row],[Summ Cont Winter A]:[Cable Derating]])=0,"",MIN(TIM[[#This Row],[Summ Cont Winter A]:[Cable Derating]])),"")</f>
        <v>7.654234545006438</v>
      </c>
      <c r="BG257" s="9">
        <f>IFERROR(TIM[[#This Row],[Lowest MVA]]*1000/(TIM[[#This Row],[Voltage]]*SQRT(3)),"")</f>
        <v>401.74312499999996</v>
      </c>
      <c r="BH257" s="9">
        <f t="shared" si="323"/>
        <v>401.74312499999996</v>
      </c>
      <c r="BI257" s="9" t="str">
        <f>TIM[[#This Row],[From]]</f>
        <v>Joint</v>
      </c>
      <c r="BJ257" s="9" t="str">
        <f>TIM[[#This Row],[To]]</f>
        <v>NST14</v>
      </c>
      <c r="BK25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HPDE Screened</v>
      </c>
      <c r="BL257" s="9">
        <f>TIM[[#This Row],[Voltage]]</f>
        <v>11</v>
      </c>
    </row>
    <row r="258" spans="1:64" ht="15" hidden="1" customHeight="1" x14ac:dyDescent="0.25">
      <c r="A258" s="14" t="str">
        <f>CONCATENATE(TIM[[#This Row],[Supply Level]],TIM[[#This Row],[Station/Feeder]],TIM[[#This Row],[Voltage]])</f>
        <v>SubTransmissionHNT_NST_SUBTRANS11</v>
      </c>
      <c r="B258" s="14" t="str">
        <f>CONCATENATE(TIM[[#This Row],[Supply Level]],TIM[[#This Row],[Station/Feeder]],TIM[[#This Row],[Equipment ID]],TIM[[#This Row],[Voltage]],TIM[[#This Row],[Device type]])</f>
        <v>SubTransmissionHNT_NST_SUBTRANSHNT-CB1511Protection</v>
      </c>
      <c r="C258" s="14" t="s">
        <v>1245</v>
      </c>
      <c r="D258" s="11" t="s">
        <v>234</v>
      </c>
      <c r="E258" s="6" t="s">
        <v>243</v>
      </c>
      <c r="F258" s="6" t="s">
        <v>978</v>
      </c>
      <c r="G258" s="27">
        <v>1</v>
      </c>
      <c r="H258" s="6" t="s">
        <v>945</v>
      </c>
      <c r="I258" s="7" t="s">
        <v>2267</v>
      </c>
      <c r="J258" s="7" t="s">
        <v>15</v>
      </c>
      <c r="K258" s="49" t="s">
        <v>791</v>
      </c>
      <c r="L258" s="49" t="s">
        <v>1423</v>
      </c>
      <c r="M258" s="8">
        <v>11</v>
      </c>
      <c r="N258" s="9">
        <v>630</v>
      </c>
      <c r="O258" s="9">
        <f t="shared" si="0"/>
        <v>12.00311209645232</v>
      </c>
      <c r="P258" s="9">
        <v>630</v>
      </c>
      <c r="Q258" s="9">
        <f t="shared" si="1"/>
        <v>12.00311209645232</v>
      </c>
      <c r="R258" s="9">
        <v>630</v>
      </c>
      <c r="S258" s="9">
        <f t="shared" si="2"/>
        <v>12.00311209645232</v>
      </c>
      <c r="T258" s="9" t="s">
        <v>0</v>
      </c>
      <c r="U258" s="9" t="str">
        <f t="shared" si="3"/>
        <v>-</v>
      </c>
      <c r="V258" s="9" t="s">
        <v>0</v>
      </c>
      <c r="W258" s="9" t="str">
        <f t="shared" si="4"/>
        <v>-</v>
      </c>
      <c r="X258" s="9">
        <f>VLOOKUP(TIM[[#This Row],[Equipment ID]],AEL_Protection_Data[#All],12,0)</f>
        <v>400</v>
      </c>
      <c r="Y258" s="9">
        <f t="shared" si="5"/>
        <v>7.6210235533030604</v>
      </c>
      <c r="Z258" s="9" t="s">
        <v>0</v>
      </c>
      <c r="AA258" s="9" t="str">
        <f t="shared" si="6"/>
        <v>-</v>
      </c>
      <c r="AB258" s="9">
        <v>400</v>
      </c>
      <c r="AC258" s="9">
        <f t="shared" si="7"/>
        <v>7.6210235533030604</v>
      </c>
      <c r="AD258" s="9">
        <v>400</v>
      </c>
      <c r="AE258" s="12">
        <f t="shared" si="8"/>
        <v>7.6210235533030604</v>
      </c>
      <c r="AF258" s="9" t="s">
        <v>0</v>
      </c>
      <c r="AG258" s="9" t="s">
        <v>0</v>
      </c>
      <c r="AH258" s="9" t="s">
        <v>0</v>
      </c>
      <c r="AI258" s="9" t="s">
        <v>0</v>
      </c>
      <c r="AJ258" s="32" t="s">
        <v>0</v>
      </c>
      <c r="AK258" s="9" t="s">
        <v>0</v>
      </c>
      <c r="AL258" s="32" t="s">
        <v>0</v>
      </c>
      <c r="AM258" s="9" t="s">
        <v>0</v>
      </c>
      <c r="AN258" s="32" t="s">
        <v>0</v>
      </c>
      <c r="AO258" s="9" t="s">
        <v>0</v>
      </c>
      <c r="AP258" s="9" t="s">
        <v>0</v>
      </c>
      <c r="AQ258" s="32" t="s">
        <v>0</v>
      </c>
      <c r="AR258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58" s="9" t="str">
        <f t="shared" si="9"/>
        <v>-</v>
      </c>
      <c r="AT258" s="9">
        <f>IF(RIGHT(TIM[[#This Row],[Device type]],7)="Winding","-",TIM[[#This Row],[Cont Winter MVA]])</f>
        <v>12.00311209645232</v>
      </c>
      <c r="AU258" s="9">
        <f>IF(RIGHT(TIM[[#This Row],[Device type]],7)="Winding","-",TIM[[#This Row],[Cont Shoulder MVA]])</f>
        <v>12.00311209645232</v>
      </c>
      <c r="AV258" s="9">
        <f>IF(RIGHT(TIM[[#This Row],[Device type]],7)="Winding","-",TIM[[#This Row],[Cont Summer MVA]])</f>
        <v>12.00311209645232</v>
      </c>
      <c r="AW258" s="9" t="str">
        <f>TIM[[#This Row],[24 Hr Winter MVA]]</f>
        <v>-</v>
      </c>
      <c r="AX258" s="9" t="str">
        <f>TIM[[#This Row],[24 Hr Summer MVA]]</f>
        <v>-</v>
      </c>
      <c r="AY258" s="9">
        <f>TIM[[#This Row],[Forwards MVA]]</f>
        <v>7.6210235533030604</v>
      </c>
      <c r="AZ258" s="9">
        <f>TIM[[#This Row],[Relay MVA]]</f>
        <v>7.6210235533030604</v>
      </c>
      <c r="BA258" s="9">
        <f>TIM[[#This Row],[CT MVA]]</f>
        <v>7.6210235533030604</v>
      </c>
      <c r="BB258" s="9" t="str">
        <f>TIM[[#This Row],[Derating MVA]]</f>
        <v>-</v>
      </c>
      <c r="BC258" s="9" t="str">
        <f>TIM[[#This Row],[Station/Feeder]]&amp;TIM[[#This Row],[Lowest MVA]]</f>
        <v>HNT_NST_SUBTRANS7.62102355330306</v>
      </c>
      <c r="BD258" s="9" t="str">
        <f>CONCATENATE(TIM[[#This Row],[Supply Level]],TIM[[#This Row],[Station/Feeder]],TIM[[#This Row],[Voltage]],TIM[[#This Row],[Lowest A-No PTX]])</f>
        <v>SubTransmissionHNT_NST_SUBTRANS11400</v>
      </c>
      <c r="BE258" s="9" t="str">
        <f>CONCATENATE(TIM[[#This Row],[Supply Level]],TIM[[#This Row],[Station/Feeder]],TIM[[#This Row],[Voltage]],TIM[[#This Row],[Lowest A-PTX]])</f>
        <v>SubTransmissionHNT_NST_SUBTRANS11400</v>
      </c>
      <c r="BF258" s="9">
        <f>IFERROR(IF(MIN(TIM[[#This Row],[Summ Cont Winter A]:[Cable Derating]])=0,"",MIN(TIM[[#This Row],[Summ Cont Winter A]:[Cable Derating]])),"")</f>
        <v>7.6210235533030604</v>
      </c>
      <c r="BG258" s="9">
        <f>IFERROR(TIM[[#This Row],[Lowest MVA]]*1000/(TIM[[#This Row],[Voltage]]*SQRT(3)),"")</f>
        <v>400</v>
      </c>
      <c r="BH258" s="9">
        <f t="shared" si="323"/>
        <v>400</v>
      </c>
      <c r="BI258" s="9" t="str">
        <f>TIM[[#This Row],[From]]</f>
        <v>11 kV Bus</v>
      </c>
      <c r="BJ258" s="9" t="str">
        <f>TIM[[#This Row],[To]]</f>
        <v>TEHUNT15</v>
      </c>
      <c r="BK25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Breaker-HNT-CB15-Protection</v>
      </c>
      <c r="BL258" s="9">
        <f>TIM[[#This Row],[Voltage]]</f>
        <v>11</v>
      </c>
    </row>
    <row r="259" spans="1:64" ht="15" hidden="1" customHeight="1" x14ac:dyDescent="0.25">
      <c r="A259" s="14" t="str">
        <f>CONCATENATE(TIM[[#This Row],[Supply Level]],TIM[[#This Row],[Station/Feeder]],TIM[[#This Row],[Voltage]])</f>
        <v>SubTransmissionHNT_NST_SUBTRANS11</v>
      </c>
      <c r="B259" s="14" t="str">
        <f>CONCATENATE(TIM[[#This Row],[Supply Level]],TIM[[#This Row],[Station/Feeder]],TIM[[#This Row],[Equipment ID]],TIM[[#This Row],[Voltage]],TIM[[#This Row],[Device type]])</f>
        <v>SubTransmissionHNT_NST_SUBTRANS3c 0.3in² Cu PILC SWAS11-</v>
      </c>
      <c r="C259" s="14" t="s">
        <v>1245</v>
      </c>
      <c r="D259" s="11" t="s">
        <v>234</v>
      </c>
      <c r="E259" s="6" t="s">
        <v>979</v>
      </c>
      <c r="F259" s="6" t="s">
        <v>750</v>
      </c>
      <c r="G259" s="27">
        <v>2</v>
      </c>
      <c r="H259" s="7" t="s">
        <v>888</v>
      </c>
      <c r="I259" s="7" t="s">
        <v>939</v>
      </c>
      <c r="J259" s="7" t="s">
        <v>250</v>
      </c>
      <c r="K259" s="49" t="s">
        <v>0</v>
      </c>
      <c r="L259" s="49" t="s">
        <v>0</v>
      </c>
      <c r="M259" s="8">
        <v>11</v>
      </c>
      <c r="N259" s="16">
        <v>390</v>
      </c>
      <c r="O259" s="9">
        <f t="shared" si="0"/>
        <v>7.4304979644704838</v>
      </c>
      <c r="P259" s="16">
        <v>390</v>
      </c>
      <c r="Q259" s="9">
        <f t="shared" si="1"/>
        <v>7.4304979644704838</v>
      </c>
      <c r="R259" s="16">
        <v>390</v>
      </c>
      <c r="S259" s="9">
        <f t="shared" si="2"/>
        <v>7.4304979644704838</v>
      </c>
      <c r="T259" s="9" t="s">
        <v>0</v>
      </c>
      <c r="U259" s="9" t="str">
        <f t="shared" si="3"/>
        <v>-</v>
      </c>
      <c r="V259" s="9" t="s">
        <v>0</v>
      </c>
      <c r="W259" s="9" t="str">
        <f t="shared" si="4"/>
        <v>-</v>
      </c>
      <c r="X259" s="9" t="s">
        <v>0</v>
      </c>
      <c r="Y259" s="9" t="str">
        <f t="shared" si="5"/>
        <v>-</v>
      </c>
      <c r="Z259" s="9" t="s">
        <v>0</v>
      </c>
      <c r="AA259" s="9" t="str">
        <f t="shared" si="6"/>
        <v>-</v>
      </c>
      <c r="AB259" s="9" t="s">
        <v>0</v>
      </c>
      <c r="AC259" s="9" t="str">
        <f t="shared" si="7"/>
        <v>-</v>
      </c>
      <c r="AD259" s="9" t="s">
        <v>0</v>
      </c>
      <c r="AE259" s="12" t="str">
        <f t="shared" si="8"/>
        <v>-</v>
      </c>
      <c r="AF259" s="9" t="s">
        <v>716</v>
      </c>
      <c r="AG259" s="9" t="s">
        <v>0</v>
      </c>
      <c r="AH259" s="9">
        <v>1153.3999999999999</v>
      </c>
      <c r="AI259" s="9">
        <v>0.7</v>
      </c>
      <c r="AJ259" s="32">
        <v>1.05</v>
      </c>
      <c r="AK259" s="9">
        <v>18.5</v>
      </c>
      <c r="AL259" s="32">
        <v>0.95</v>
      </c>
      <c r="AM259" s="9">
        <v>1.2</v>
      </c>
      <c r="AN259" s="32">
        <v>1</v>
      </c>
      <c r="AO259" s="9">
        <v>3</v>
      </c>
      <c r="AP259" s="9">
        <v>0.2</v>
      </c>
      <c r="AQ259" s="32">
        <v>0.75</v>
      </c>
      <c r="AR259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291.76874999999995</v>
      </c>
      <c r="AS259" s="9">
        <f t="shared" si="9"/>
        <v>5.5589412896694794</v>
      </c>
      <c r="AT259" s="9">
        <f>IF(RIGHT(TIM[[#This Row],[Device type]],7)="Winding","-",TIM[[#This Row],[Cont Winter MVA]])</f>
        <v>7.4304979644704838</v>
      </c>
      <c r="AU259" s="9">
        <f>IF(RIGHT(TIM[[#This Row],[Device type]],7)="Winding","-",TIM[[#This Row],[Cont Shoulder MVA]])</f>
        <v>7.4304979644704838</v>
      </c>
      <c r="AV259" s="9">
        <f>IF(RIGHT(TIM[[#This Row],[Device type]],7)="Winding","-",TIM[[#This Row],[Cont Summer MVA]])</f>
        <v>7.4304979644704838</v>
      </c>
      <c r="AW259" s="9" t="str">
        <f>TIM[[#This Row],[24 Hr Winter MVA]]</f>
        <v>-</v>
      </c>
      <c r="AX259" s="9" t="str">
        <f>TIM[[#This Row],[24 Hr Summer MVA]]</f>
        <v>-</v>
      </c>
      <c r="AY259" s="9" t="str">
        <f>TIM[[#This Row],[Forwards MVA]]</f>
        <v>-</v>
      </c>
      <c r="AZ259" s="9" t="str">
        <f>TIM[[#This Row],[Relay MVA]]</f>
        <v>-</v>
      </c>
      <c r="BA259" s="9" t="str">
        <f>TIM[[#This Row],[CT MVA]]</f>
        <v>-</v>
      </c>
      <c r="BB259" s="9">
        <f>TIM[[#This Row],[Derating MVA]]</f>
        <v>5.5589412896694794</v>
      </c>
      <c r="BC259" s="9" t="str">
        <f>TIM[[#This Row],[Station/Feeder]]&amp;TIM[[#This Row],[Lowest MVA]]</f>
        <v>HNT_NST_SUBTRANS5.55894128966948</v>
      </c>
      <c r="BD259" s="9" t="str">
        <f>CONCATENATE(TIM[[#This Row],[Supply Level]],TIM[[#This Row],[Station/Feeder]],TIM[[#This Row],[Voltage]],TIM[[#This Row],[Lowest A-No PTX]])</f>
        <v>SubTransmissionHNT_NST_SUBTRANS11291.76875</v>
      </c>
      <c r="BE259" s="9" t="str">
        <f>CONCATENATE(TIM[[#This Row],[Supply Level]],TIM[[#This Row],[Station/Feeder]],TIM[[#This Row],[Voltage]],TIM[[#This Row],[Lowest A-PTX]])</f>
        <v>SubTransmissionHNT_NST_SUBTRANS11291.76875</v>
      </c>
      <c r="BF259" s="9">
        <f>IFERROR(IF(MIN(TIM[[#This Row],[Summ Cont Winter A]:[Cable Derating]])=0,"",MIN(TIM[[#This Row],[Summ Cont Winter A]:[Cable Derating]])),"")</f>
        <v>5.5589412896694794</v>
      </c>
      <c r="BG259" s="9">
        <f>IFERROR(TIM[[#This Row],[Lowest MVA]]*1000/(TIM[[#This Row],[Voltage]]*SQRT(3)),"")</f>
        <v>291.76874999999995</v>
      </c>
      <c r="BH259" s="9">
        <f t="shared" si="323"/>
        <v>291.76874999999995</v>
      </c>
      <c r="BI259" s="9" t="str">
        <f>TIM[[#This Row],[From]]</f>
        <v xml:space="preserve">TEHUNT15 </v>
      </c>
      <c r="BJ259" s="9" t="str">
        <f>TIM[[#This Row],[To]]</f>
        <v>Joint</v>
      </c>
      <c r="BK25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0.3in² Cu PILC SWAS</v>
      </c>
      <c r="BL259" s="9">
        <f>TIM[[#This Row],[Voltage]]</f>
        <v>11</v>
      </c>
    </row>
    <row r="260" spans="1:64" ht="15" hidden="1" customHeight="1" x14ac:dyDescent="0.25">
      <c r="A260" s="14" t="str">
        <f>CONCATENATE(TIM[[#This Row],[Supply Level]],TIM[[#This Row],[Station/Feeder]],TIM[[#This Row],[Voltage]])</f>
        <v>SubTransmissionHNT_NST_SUBTRANS11</v>
      </c>
      <c r="B260" s="14" t="str">
        <f>CONCATENATE(TIM[[#This Row],[Supply Level]],TIM[[#This Row],[Station/Feeder]],TIM[[#This Row],[Equipment ID]],TIM[[#This Row],[Voltage]],TIM[[#This Row],[Device type]])</f>
        <v>SubTransmissionHNT_NST_SUBTRANS3/1c 400mm² Al XLPE HPDE Screened11-</v>
      </c>
      <c r="C260" s="14" t="s">
        <v>1245</v>
      </c>
      <c r="D260" s="11" t="s">
        <v>234</v>
      </c>
      <c r="E260" s="6" t="s">
        <v>750</v>
      </c>
      <c r="F260" s="6" t="s">
        <v>980</v>
      </c>
      <c r="G260" s="27">
        <v>3</v>
      </c>
      <c r="H260" s="6" t="s">
        <v>888</v>
      </c>
      <c r="I260" s="7" t="s">
        <v>959</v>
      </c>
      <c r="J260" s="7" t="s">
        <v>250</v>
      </c>
      <c r="K260" s="7" t="s">
        <v>0</v>
      </c>
      <c r="L260" s="7" t="s">
        <v>0</v>
      </c>
      <c r="M260" s="8">
        <v>11</v>
      </c>
      <c r="N260" s="9">
        <v>537</v>
      </c>
      <c r="O260" s="9">
        <f>IF(OR(N260="",N260="-"),"-",N260*$M260*SQRT(3)/1000)</f>
        <v>10.231224120309358</v>
      </c>
      <c r="P260" s="9">
        <v>537</v>
      </c>
      <c r="Q260" s="9">
        <f>IF(OR(P260="",P260="-"),"-",P260*$M260*SQRT(3)/1000)</f>
        <v>10.231224120309358</v>
      </c>
      <c r="R260" s="9">
        <v>537</v>
      </c>
      <c r="S260" s="9">
        <f>IF(OR(R260="",R260="-"),"-",R260*$M260*SQRT(3)/1000)</f>
        <v>10.231224120309358</v>
      </c>
      <c r="T260" s="9" t="s">
        <v>0</v>
      </c>
      <c r="U260" s="9" t="str">
        <f>IF(OR(T260="",T260="-"),"-",T260*$M260*SQRT(3)/1000)</f>
        <v>-</v>
      </c>
      <c r="V260" s="9" t="s">
        <v>0</v>
      </c>
      <c r="W260" s="9" t="str">
        <f>IF(OR(V260="",V260="-"),"-",V260*$M260*SQRT(3)/1000)</f>
        <v>-</v>
      </c>
      <c r="X260" s="9" t="s">
        <v>0</v>
      </c>
      <c r="Y260" s="9" t="str">
        <f>IF(OR(X260="",X260="-"),"-",X260*$M260*SQRT(3)/1000)</f>
        <v>-</v>
      </c>
      <c r="Z260" s="9" t="s">
        <v>0</v>
      </c>
      <c r="AA260" s="9" t="str">
        <f>IF(OR(Z260="",Z260="-"),"-",Z260*$M260*SQRT(3)/1000)</f>
        <v>-</v>
      </c>
      <c r="AB260" s="9" t="s">
        <v>0</v>
      </c>
      <c r="AC260" s="9" t="str">
        <f>IF(OR(AB260="",AB260="-"),"-",AB260*$M260*SQRT(3)/1000)</f>
        <v>-</v>
      </c>
      <c r="AD260" s="9" t="s">
        <v>0</v>
      </c>
      <c r="AE260" s="12" t="str">
        <f>IF(OR(AD260="",AD260="-"),"-",AD260*$M260*SQRT(3)/1000)</f>
        <v>-</v>
      </c>
      <c r="AF260" s="9" t="s">
        <v>713</v>
      </c>
      <c r="AG260" s="9" t="s">
        <v>0</v>
      </c>
      <c r="AH260" s="9">
        <v>93.4</v>
      </c>
      <c r="AI260" s="9">
        <v>0.7</v>
      </c>
      <c r="AJ260" s="32">
        <v>1.05</v>
      </c>
      <c r="AK260" s="9">
        <v>18.5</v>
      </c>
      <c r="AL260" s="32">
        <v>0.97</v>
      </c>
      <c r="AM260" s="9">
        <v>1.2</v>
      </c>
      <c r="AN260" s="32">
        <v>1</v>
      </c>
      <c r="AO260" s="9">
        <v>3</v>
      </c>
      <c r="AP260" s="9">
        <v>0.2</v>
      </c>
      <c r="AQ260" s="32">
        <v>0.75</v>
      </c>
      <c r="AR260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410.200875</v>
      </c>
      <c r="AS260" s="9">
        <f>IF(OR(AR260="",AR260="-"),"-",AR260*$M260*SQRT(3)/1000)</f>
        <v>7.81537632490131</v>
      </c>
      <c r="AT260" s="9">
        <f>IF(RIGHT(TIM[[#This Row],[Device type]],7)="Winding","-",TIM[[#This Row],[Cont Winter MVA]])</f>
        <v>10.231224120309358</v>
      </c>
      <c r="AU260" s="9">
        <f>IF(RIGHT(TIM[[#This Row],[Device type]],7)="Winding","-",TIM[[#This Row],[Cont Shoulder MVA]])</f>
        <v>10.231224120309358</v>
      </c>
      <c r="AV260" s="9">
        <f>IF(RIGHT(TIM[[#This Row],[Device type]],7)="Winding","-",TIM[[#This Row],[Cont Summer MVA]])</f>
        <v>10.231224120309358</v>
      </c>
      <c r="AW260" s="9" t="str">
        <f>TIM[[#This Row],[24 Hr Winter MVA]]</f>
        <v>-</v>
      </c>
      <c r="AX260" s="9" t="str">
        <f>TIM[[#This Row],[24 Hr Summer MVA]]</f>
        <v>-</v>
      </c>
      <c r="AY260" s="9" t="str">
        <f>TIM[[#This Row],[Forwards MVA]]</f>
        <v>-</v>
      </c>
      <c r="AZ260" s="9" t="str">
        <f>TIM[[#This Row],[Relay MVA]]</f>
        <v>-</v>
      </c>
      <c r="BA260" s="9" t="str">
        <f>TIM[[#This Row],[CT MVA]]</f>
        <v>-</v>
      </c>
      <c r="BB260" s="9">
        <f>TIM[[#This Row],[Derating MVA]]</f>
        <v>7.81537632490131</v>
      </c>
      <c r="BC260" s="9" t="str">
        <f>TIM[[#This Row],[Station/Feeder]]&amp;TIM[[#This Row],[Lowest MVA]]</f>
        <v>HNT_NST_SUBTRANS7.81537632490131</v>
      </c>
      <c r="BD260" s="9" t="str">
        <f>CONCATENATE(TIM[[#This Row],[Supply Level]],TIM[[#This Row],[Station/Feeder]],TIM[[#This Row],[Voltage]],TIM[[#This Row],[Lowest A-No PTX]])</f>
        <v>SubTransmissionHNT_NST_SUBTRANS11410.200875</v>
      </c>
      <c r="BE260" s="9" t="str">
        <f>CONCATENATE(TIM[[#This Row],[Supply Level]],TIM[[#This Row],[Station/Feeder]],TIM[[#This Row],[Voltage]],TIM[[#This Row],[Lowest A-PTX]])</f>
        <v>SubTransmissionHNT_NST_SUBTRANS11410.200875</v>
      </c>
      <c r="BF260" s="9">
        <f>IFERROR(IF(MIN(TIM[[#This Row],[Summ Cont Winter A]:[Cable Derating]])=0,"",MIN(TIM[[#This Row],[Summ Cont Winter A]:[Cable Derating]])),"")</f>
        <v>7.81537632490131</v>
      </c>
      <c r="BG260" s="9">
        <f>IFERROR(TIM[[#This Row],[Lowest MVA]]*1000/(TIM[[#This Row],[Voltage]]*SQRT(3)),"")</f>
        <v>410.20087499999994</v>
      </c>
      <c r="BH260" s="9">
        <f t="shared" si="323"/>
        <v>410.200875</v>
      </c>
      <c r="BI260" s="9" t="str">
        <f>TIM[[#This Row],[From]]</f>
        <v>Joint</v>
      </c>
      <c r="BJ260" s="9" t="str">
        <f>TIM[[#This Row],[To]]</f>
        <v>NST14</v>
      </c>
      <c r="BK26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HPDE Screened</v>
      </c>
      <c r="BL260" s="9">
        <f>TIM[[#This Row],[Voltage]]</f>
        <v>11</v>
      </c>
    </row>
    <row r="261" spans="1:64" ht="15" customHeight="1" x14ac:dyDescent="0.25">
      <c r="A261" s="14" t="str">
        <f>CONCATENATE(TIM[[#This Row],[Supply Level]],TIM[[#This Row],[Station/Feeder]],TIM[[#This Row],[Voltage]])</f>
        <v>DistributionFeederCB16_Arthur St11</v>
      </c>
      <c r="B261" s="14" t="str">
        <f>CONCATENATE(TIM[[#This Row],[Supply Level]],TIM[[#This Row],[Station/Feeder]],TIM[[#This Row],[Equipment ID]],TIM[[#This Row],[Voltage]],TIM[[#This Row],[Device type]])</f>
        <v>DistributionFeederCB16_Arthur StHNT-CB1611Protection</v>
      </c>
      <c r="C261" s="14" t="s">
        <v>1276</v>
      </c>
      <c r="D261" s="11" t="s">
        <v>223</v>
      </c>
      <c r="E261" s="6" t="s">
        <v>243</v>
      </c>
      <c r="F261" s="6" t="s">
        <v>981</v>
      </c>
      <c r="G261" s="27">
        <v>1</v>
      </c>
      <c r="H261" s="6" t="s">
        <v>945</v>
      </c>
      <c r="I261" s="7" t="s">
        <v>2268</v>
      </c>
      <c r="J261" s="7" t="s">
        <v>15</v>
      </c>
      <c r="K261" s="49" t="s">
        <v>791</v>
      </c>
      <c r="L261" s="49" t="s">
        <v>1423</v>
      </c>
      <c r="M261" s="8">
        <v>11</v>
      </c>
      <c r="N261" s="9">
        <v>630</v>
      </c>
      <c r="O261" s="9">
        <f t="shared" si="0"/>
        <v>12.00311209645232</v>
      </c>
      <c r="P261" s="9">
        <v>630</v>
      </c>
      <c r="Q261" s="9">
        <f t="shared" si="1"/>
        <v>12.00311209645232</v>
      </c>
      <c r="R261" s="9">
        <v>630</v>
      </c>
      <c r="S261" s="9">
        <f t="shared" si="2"/>
        <v>12.00311209645232</v>
      </c>
      <c r="T261" s="9" t="s">
        <v>0</v>
      </c>
      <c r="U261" s="9" t="str">
        <f t="shared" si="3"/>
        <v>-</v>
      </c>
      <c r="V261" s="9" t="s">
        <v>0</v>
      </c>
      <c r="W261" s="9" t="str">
        <f t="shared" si="4"/>
        <v>-</v>
      </c>
      <c r="X261" s="9">
        <f>VLOOKUP(TIM[[#This Row],[Equipment ID]],AEL_Protection_Data[#All],12,0)</f>
        <v>200</v>
      </c>
      <c r="Y261" s="9">
        <f t="shared" si="5"/>
        <v>3.8105117766515302</v>
      </c>
      <c r="Z261" s="9" t="s">
        <v>0</v>
      </c>
      <c r="AA261" s="9" t="str">
        <f t="shared" si="6"/>
        <v>-</v>
      </c>
      <c r="AB261" s="9">
        <v>800</v>
      </c>
      <c r="AC261" s="9">
        <f t="shared" si="7"/>
        <v>15.242047106606121</v>
      </c>
      <c r="AD261" s="9">
        <v>800</v>
      </c>
      <c r="AE261" s="12">
        <f t="shared" si="8"/>
        <v>15.242047106606121</v>
      </c>
      <c r="AF261" s="9" t="s">
        <v>0</v>
      </c>
      <c r="AG261" s="9" t="s">
        <v>0</v>
      </c>
      <c r="AH261" s="9" t="s">
        <v>0</v>
      </c>
      <c r="AI261" s="9" t="s">
        <v>0</v>
      </c>
      <c r="AJ261" s="32" t="s">
        <v>0</v>
      </c>
      <c r="AK261" s="9" t="s">
        <v>0</v>
      </c>
      <c r="AL261" s="32" t="s">
        <v>0</v>
      </c>
      <c r="AM261" s="9" t="s">
        <v>0</v>
      </c>
      <c r="AN261" s="32" t="s">
        <v>0</v>
      </c>
      <c r="AO261" s="9" t="s">
        <v>0</v>
      </c>
      <c r="AP261" s="9" t="s">
        <v>0</v>
      </c>
      <c r="AQ261" s="32" t="s">
        <v>0</v>
      </c>
      <c r="AR26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61" s="9" t="str">
        <f t="shared" si="9"/>
        <v>-</v>
      </c>
      <c r="AT261" s="9">
        <f>IF(RIGHT(TIM[[#This Row],[Device type]],7)="Winding","-",TIM[[#This Row],[Cont Winter MVA]])</f>
        <v>12.00311209645232</v>
      </c>
      <c r="AU261" s="9">
        <f>IF(RIGHT(TIM[[#This Row],[Device type]],7)="Winding","-",TIM[[#This Row],[Cont Shoulder MVA]])</f>
        <v>12.00311209645232</v>
      </c>
      <c r="AV261" s="9">
        <f>IF(RIGHT(TIM[[#This Row],[Device type]],7)="Winding","-",TIM[[#This Row],[Cont Summer MVA]])</f>
        <v>12.00311209645232</v>
      </c>
      <c r="AW261" s="9" t="str">
        <f>TIM[[#This Row],[24 Hr Winter MVA]]</f>
        <v>-</v>
      </c>
      <c r="AX261" s="9" t="str">
        <f>TIM[[#This Row],[24 Hr Summer MVA]]</f>
        <v>-</v>
      </c>
      <c r="AY261" s="9">
        <f>TIM[[#This Row],[Forwards MVA]]</f>
        <v>3.8105117766515302</v>
      </c>
      <c r="AZ261" s="9">
        <f>TIM[[#This Row],[Relay MVA]]</f>
        <v>15.242047106606121</v>
      </c>
      <c r="BA261" s="9">
        <f>TIM[[#This Row],[CT MVA]]</f>
        <v>15.242047106606121</v>
      </c>
      <c r="BB261" s="9" t="str">
        <f>TIM[[#This Row],[Derating MVA]]</f>
        <v>-</v>
      </c>
      <c r="BC261" s="9" t="str">
        <f>TIM[[#This Row],[Station/Feeder]]&amp;TIM[[#This Row],[Lowest MVA]]</f>
        <v>CB16_Arthur St3.81051177665153</v>
      </c>
      <c r="BD261" s="9" t="str">
        <f>CONCATENATE(TIM[[#This Row],[Supply Level]],TIM[[#This Row],[Station/Feeder]],TIM[[#This Row],[Voltage]],TIM[[#This Row],[Lowest A-No PTX]])</f>
        <v>DistributionFeederCB16_Arthur St11200</v>
      </c>
      <c r="BE261" s="9" t="str">
        <f>CONCATENATE(TIM[[#This Row],[Supply Level]],TIM[[#This Row],[Station/Feeder]],TIM[[#This Row],[Voltage]],TIM[[#This Row],[Lowest A-PTX]])</f>
        <v>DistributionFeederCB16_Arthur St11200</v>
      </c>
      <c r="BF261" s="9">
        <f>IFERROR(IF(MIN(TIM[[#This Row],[Summ Cont Winter A]:[Cable Derating]])=0,"",MIN(TIM[[#This Row],[Summ Cont Winter A]:[Cable Derating]])),"")</f>
        <v>3.8105117766515302</v>
      </c>
      <c r="BG261" s="9">
        <f>IFERROR(TIM[[#This Row],[Lowest MVA]]*1000/(TIM[[#This Row],[Voltage]]*SQRT(3)),"")</f>
        <v>200</v>
      </c>
      <c r="BH261" s="9">
        <f t="shared" si="323"/>
        <v>200</v>
      </c>
      <c r="BI261" s="9" t="str">
        <f>TIM[[#This Row],[From]]</f>
        <v>11 kV Bus</v>
      </c>
      <c r="BJ261" s="9" t="str">
        <f>TIM[[#This Row],[To]]</f>
        <v>TEHUNT16</v>
      </c>
      <c r="BK26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Breaker-HNT-CB16-Protection</v>
      </c>
      <c r="BL261" s="9">
        <f>TIM[[#This Row],[Voltage]]</f>
        <v>11</v>
      </c>
    </row>
    <row r="262" spans="1:64" ht="15" customHeight="1" x14ac:dyDescent="0.25">
      <c r="A262" s="14" t="str">
        <f>CONCATENATE(TIM[[#This Row],[Supply Level]],TIM[[#This Row],[Station/Feeder]],TIM[[#This Row],[Voltage]])</f>
        <v>DistributionFeederCB16_Arthur St11</v>
      </c>
      <c r="B262" s="14" t="str">
        <f>CONCATENATE(TIM[[#This Row],[Supply Level]],TIM[[#This Row],[Station/Feeder]],TIM[[#This Row],[Equipment ID]],TIM[[#This Row],[Voltage]],TIM[[#This Row],[Device type]])</f>
        <v>DistributionFeederCB16_Arthur St3c 185mm² Al PILC SWAS11-</v>
      </c>
      <c r="C262" s="14" t="s">
        <v>1276</v>
      </c>
      <c r="D262" s="13" t="s">
        <v>223</v>
      </c>
      <c r="E262" s="14" t="s">
        <v>981</v>
      </c>
      <c r="F262" s="14" t="s">
        <v>982</v>
      </c>
      <c r="G262" s="28">
        <v>2</v>
      </c>
      <c r="H262" s="14" t="s">
        <v>888</v>
      </c>
      <c r="I262" s="39" t="s">
        <v>901</v>
      </c>
      <c r="J262" s="39" t="s">
        <v>250</v>
      </c>
      <c r="K262" s="156" t="s">
        <v>0</v>
      </c>
      <c r="L262" s="156" t="s">
        <v>0</v>
      </c>
      <c r="M262" s="15">
        <v>11</v>
      </c>
      <c r="N262" s="16">
        <v>300</v>
      </c>
      <c r="O262" s="16">
        <f t="shared" si="0"/>
        <v>5.715767664977295</v>
      </c>
      <c r="P262" s="16">
        <v>300</v>
      </c>
      <c r="Q262" s="16">
        <f t="shared" si="1"/>
        <v>5.715767664977295</v>
      </c>
      <c r="R262" s="16">
        <v>300</v>
      </c>
      <c r="S262" s="16">
        <f t="shared" si="2"/>
        <v>5.715767664977295</v>
      </c>
      <c r="T262" s="16" t="s">
        <v>0</v>
      </c>
      <c r="U262" s="16" t="str">
        <f t="shared" si="3"/>
        <v>-</v>
      </c>
      <c r="V262" s="16" t="s">
        <v>0</v>
      </c>
      <c r="W262" s="16" t="str">
        <f t="shared" si="4"/>
        <v>-</v>
      </c>
      <c r="X262" s="16" t="s">
        <v>0</v>
      </c>
      <c r="Y262" s="16" t="str">
        <f t="shared" si="5"/>
        <v>-</v>
      </c>
      <c r="Z262" s="16" t="s">
        <v>0</v>
      </c>
      <c r="AA262" s="16" t="str">
        <f t="shared" si="6"/>
        <v>-</v>
      </c>
      <c r="AB262" s="16" t="s">
        <v>0</v>
      </c>
      <c r="AC262" s="16" t="str">
        <f t="shared" si="7"/>
        <v>-</v>
      </c>
      <c r="AD262" s="16" t="s">
        <v>0</v>
      </c>
      <c r="AE262" s="17" t="str">
        <f t="shared" si="8"/>
        <v>-</v>
      </c>
      <c r="AF262" s="16" t="s">
        <v>716</v>
      </c>
      <c r="AG262" s="16" t="s">
        <v>0</v>
      </c>
      <c r="AH262" s="16">
        <v>212.8</v>
      </c>
      <c r="AI262" s="16">
        <v>0.7</v>
      </c>
      <c r="AJ262" s="127">
        <v>1.05</v>
      </c>
      <c r="AK262" s="16">
        <v>18.5</v>
      </c>
      <c r="AL262" s="127">
        <v>0.95</v>
      </c>
      <c r="AM262" s="16">
        <v>1.2</v>
      </c>
      <c r="AN262" s="127">
        <v>1</v>
      </c>
      <c r="AO262" s="16">
        <v>3</v>
      </c>
      <c r="AP262" s="16">
        <v>0.2</v>
      </c>
      <c r="AQ262" s="127">
        <v>0.75</v>
      </c>
      <c r="AR262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224.43749999999997</v>
      </c>
      <c r="AS262" s="16">
        <f t="shared" si="9"/>
        <v>4.2761086843611373</v>
      </c>
      <c r="AT262" s="9">
        <f>IF(RIGHT(TIM[[#This Row],[Device type]],7)="Winding","-",TIM[[#This Row],[Cont Winter MVA]])</f>
        <v>5.715767664977295</v>
      </c>
      <c r="AU262" s="9">
        <f>IF(RIGHT(TIM[[#This Row],[Device type]],7)="Winding","-",TIM[[#This Row],[Cont Shoulder MVA]])</f>
        <v>5.715767664977295</v>
      </c>
      <c r="AV262" s="9">
        <f>IF(RIGHT(TIM[[#This Row],[Device type]],7)="Winding","-",TIM[[#This Row],[Cont Summer MVA]])</f>
        <v>5.715767664977295</v>
      </c>
      <c r="AW262" s="9" t="str">
        <f>TIM[[#This Row],[24 Hr Winter MVA]]</f>
        <v>-</v>
      </c>
      <c r="AX262" s="9" t="str">
        <f>TIM[[#This Row],[24 Hr Summer MVA]]</f>
        <v>-</v>
      </c>
      <c r="AY262" s="9" t="str">
        <f>TIM[[#This Row],[Forwards MVA]]</f>
        <v>-</v>
      </c>
      <c r="AZ262" s="9" t="str">
        <f>TIM[[#This Row],[Relay MVA]]</f>
        <v>-</v>
      </c>
      <c r="BA262" s="9" t="str">
        <f>TIM[[#This Row],[CT MVA]]</f>
        <v>-</v>
      </c>
      <c r="BB262" s="9">
        <f>TIM[[#This Row],[Derating MVA]]</f>
        <v>4.2761086843611373</v>
      </c>
      <c r="BC262" s="9" t="str">
        <f>TIM[[#This Row],[Station/Feeder]]&amp;TIM[[#This Row],[Lowest MVA]]</f>
        <v>CB16_Arthur St4.27610868436114</v>
      </c>
      <c r="BD262" s="9" t="str">
        <f>CONCATENATE(TIM[[#This Row],[Supply Level]],TIM[[#This Row],[Station/Feeder]],TIM[[#This Row],[Voltage]],TIM[[#This Row],[Lowest A-No PTX]])</f>
        <v>DistributionFeederCB16_Arthur St11224.4375</v>
      </c>
      <c r="BE262" s="9" t="str">
        <f>CONCATENATE(TIM[[#This Row],[Supply Level]],TIM[[#This Row],[Station/Feeder]],TIM[[#This Row],[Voltage]],TIM[[#This Row],[Lowest A-PTX]])</f>
        <v>DistributionFeederCB16_Arthur St11224.4375</v>
      </c>
      <c r="BF262" s="9">
        <f>IFERROR(IF(MIN(TIM[[#This Row],[Summ Cont Winter A]:[Cable Derating]])=0,"",MIN(TIM[[#This Row],[Summ Cont Winter A]:[Cable Derating]])),"")</f>
        <v>4.2761086843611373</v>
      </c>
      <c r="BG262" s="9">
        <f>IFERROR(TIM[[#This Row],[Lowest MVA]]*1000/(TIM[[#This Row],[Voltage]]*SQRT(3)),"")</f>
        <v>224.43749999999994</v>
      </c>
      <c r="BH262" s="9">
        <f t="shared" si="323"/>
        <v>224.43749999999997</v>
      </c>
      <c r="BI262" s="9" t="str">
        <f>TIM[[#This Row],[From]]</f>
        <v>TEHUNT16</v>
      </c>
      <c r="BJ262" s="9" t="str">
        <f>TIM[[#This Row],[To]]</f>
        <v>TEJ16 RMU</v>
      </c>
      <c r="BK26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PILC SWAS</v>
      </c>
      <c r="BL262" s="9">
        <f>TIM[[#This Row],[Voltage]]</f>
        <v>11</v>
      </c>
    </row>
    <row r="263" spans="1:64" ht="15" customHeight="1" thickBot="1" x14ac:dyDescent="0.3">
      <c r="A263" s="6" t="str">
        <f>CONCATENATE(TIM[[#This Row],[Supply Level]],TIM[[#This Row],[Station/Feeder]],TIM[[#This Row],[Voltage]])</f>
        <v>DistributionFeeder11</v>
      </c>
      <c r="B263" s="6" t="str">
        <f>CONCATENATE(TIM[[#This Row],[Supply Level]],TIM[[#This Row],[Station/Feeder]],TIM[[#This Row],[Equipment ID]],TIM[[#This Row],[Voltage]],TIM[[#This Row],[Device type]])</f>
        <v>DistributionFeederHNT-CB1711Protection</v>
      </c>
      <c r="C263" s="6" t="s">
        <v>1276</v>
      </c>
      <c r="D263" s="6"/>
      <c r="E263" s="6" t="s">
        <v>963</v>
      </c>
      <c r="F263" s="6" t="s">
        <v>983</v>
      </c>
      <c r="G263" s="8">
        <v>1</v>
      </c>
      <c r="H263" s="6" t="s">
        <v>945</v>
      </c>
      <c r="I263" s="6" t="s">
        <v>2269</v>
      </c>
      <c r="J263" s="6" t="s">
        <v>15</v>
      </c>
      <c r="K263" s="6" t="s">
        <v>791</v>
      </c>
      <c r="L263" s="6" t="s">
        <v>1423</v>
      </c>
      <c r="M263" s="8">
        <v>11</v>
      </c>
      <c r="N263" s="9">
        <v>630</v>
      </c>
      <c r="O263" s="9">
        <f>IF(OR(N263="",N263="-"),"-",N263*$M263*SQRT(3)/1000)</f>
        <v>12.00311209645232</v>
      </c>
      <c r="P263" s="9">
        <v>630</v>
      </c>
      <c r="Q263" s="9">
        <f>IF(OR(P263="",P263="-"),"-",P263*$M263*SQRT(3)/1000)</f>
        <v>12.00311209645232</v>
      </c>
      <c r="R263" s="9">
        <v>630</v>
      </c>
      <c r="S263" s="9">
        <f>IF(OR(R263="",R263="-"),"-",R263*$M263*SQRT(3)/1000)</f>
        <v>12.00311209645232</v>
      </c>
      <c r="T263" s="9" t="s">
        <v>0</v>
      </c>
      <c r="U263" s="9" t="str">
        <f>IF(OR(T263="",T263="-"),"-",T263*$M263*SQRT(3)/1000)</f>
        <v>-</v>
      </c>
      <c r="V263" s="9" t="s">
        <v>0</v>
      </c>
      <c r="W263" s="9" t="str">
        <f>IF(OR(V263="",V263="-"),"-",V263*$M263*SQRT(3)/1000)</f>
        <v>-</v>
      </c>
      <c r="X263" s="9">
        <f>VLOOKUP(TIM[[#This Row],[Equipment ID]],AEL_Protection_Data[#All],12,0)</f>
        <v>200</v>
      </c>
      <c r="Y263" s="9">
        <f>IF(OR(X263="",X263="-"),"-",X263*$M263*SQRT(3)/1000)</f>
        <v>3.8105117766515302</v>
      </c>
      <c r="Z263" s="9" t="s">
        <v>0</v>
      </c>
      <c r="AA263" s="9" t="str">
        <f>IF(OR(Z263="",Z263="-"),"-",Z263*$M263*SQRT(3)/1000)</f>
        <v>-</v>
      </c>
      <c r="AB263" s="9">
        <v>800</v>
      </c>
      <c r="AC263" s="9">
        <f>IF(OR(AB263="",AB263="-"),"-",AB263*$M263*SQRT(3)/1000)</f>
        <v>15.242047106606121</v>
      </c>
      <c r="AD263" s="9">
        <v>800</v>
      </c>
      <c r="AE263" s="9">
        <f>IF(OR(AD263="",AD263="-"),"-",AD263*$M263*SQRT(3)/1000)</f>
        <v>15.242047106606121</v>
      </c>
      <c r="AF263" s="9" t="s">
        <v>0</v>
      </c>
      <c r="AG263" s="9" t="s">
        <v>0</v>
      </c>
      <c r="AH263" s="9" t="s">
        <v>0</v>
      </c>
      <c r="AI263" s="9" t="s">
        <v>0</v>
      </c>
      <c r="AJ263" s="43" t="s">
        <v>0</v>
      </c>
      <c r="AK263" s="9" t="s">
        <v>0</v>
      </c>
      <c r="AL263" s="43" t="s">
        <v>0</v>
      </c>
      <c r="AM263" s="9" t="s">
        <v>0</v>
      </c>
      <c r="AN263" s="43" t="s">
        <v>0</v>
      </c>
      <c r="AO263" s="9" t="s">
        <v>0</v>
      </c>
      <c r="AP263" s="9" t="s">
        <v>0</v>
      </c>
      <c r="AQ263" s="43" t="s">
        <v>0</v>
      </c>
      <c r="AR263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63" s="9" t="str">
        <f>IF(OR(AR263="",AR263="-"),"-",AR263*$M263*SQRT(3)/1000)</f>
        <v>-</v>
      </c>
      <c r="AT263" s="9">
        <f>IF(RIGHT(TIM[[#This Row],[Device type]],7)="Winding","-",TIM[[#This Row],[Cont Winter MVA]])</f>
        <v>12.00311209645232</v>
      </c>
      <c r="AU263" s="9">
        <f>IF(RIGHT(TIM[[#This Row],[Device type]],7)="Winding","-",TIM[[#This Row],[Cont Shoulder MVA]])</f>
        <v>12.00311209645232</v>
      </c>
      <c r="AV263" s="9">
        <f>IF(RIGHT(TIM[[#This Row],[Device type]],7)="Winding","-",TIM[[#This Row],[Cont Summer MVA]])</f>
        <v>12.00311209645232</v>
      </c>
      <c r="AW263" s="9" t="str">
        <f>TIM[[#This Row],[24 Hr Winter MVA]]</f>
        <v>-</v>
      </c>
      <c r="AX263" s="9" t="str">
        <f>TIM[[#This Row],[24 Hr Summer MVA]]</f>
        <v>-</v>
      </c>
      <c r="AY263" s="9">
        <f>TIM[[#This Row],[Forwards MVA]]</f>
        <v>3.8105117766515302</v>
      </c>
      <c r="AZ263" s="9">
        <f>TIM[[#This Row],[Relay MVA]]</f>
        <v>15.242047106606121</v>
      </c>
      <c r="BA263" s="9">
        <f>TIM[[#This Row],[CT MVA]]</f>
        <v>15.242047106606121</v>
      </c>
      <c r="BB263" s="9" t="str">
        <f>TIM[[#This Row],[Derating MVA]]</f>
        <v>-</v>
      </c>
      <c r="BC263" s="9" t="str">
        <f>TIM[[#This Row],[Station/Feeder]]&amp;TIM[[#This Row],[Lowest MVA]]</f>
        <v>3.81051177665153</v>
      </c>
      <c r="BD263" s="9" t="str">
        <f>CONCATENATE(TIM[[#This Row],[Supply Level]],TIM[[#This Row],[Station/Feeder]],TIM[[#This Row],[Voltage]],TIM[[#This Row],[Lowest A-No PTX]])</f>
        <v>DistributionFeeder11200</v>
      </c>
      <c r="BE263" s="9" t="str">
        <f>CONCATENATE(TIM[[#This Row],[Supply Level]],TIM[[#This Row],[Station/Feeder]],TIM[[#This Row],[Voltage]],TIM[[#This Row],[Lowest A-PTX]])</f>
        <v>DistributionFeeder11200</v>
      </c>
      <c r="BF263" s="9">
        <f>IFERROR(IF(MIN(TIM[[#This Row],[Summ Cont Winter A]:[Cable Derating]])=0,"",MIN(TIM[[#This Row],[Summ Cont Winter A]:[Cable Derating]])),"")</f>
        <v>3.8105117766515302</v>
      </c>
      <c r="BG263" s="9">
        <f>IFERROR(TIM[[#This Row],[Lowest MVA]]*1000/(TIM[[#This Row],[Voltage]]*SQRT(3)),"")</f>
        <v>200</v>
      </c>
      <c r="BH263" s="9">
        <f t="shared" si="323"/>
        <v>200</v>
      </c>
      <c r="BI263" s="9" t="str">
        <f>TIM[[#This Row],[From]]</f>
        <v>SPARE</v>
      </c>
      <c r="BJ263" s="9" t="str">
        <f>TIM[[#This Row],[To]]</f>
        <v>TEHUNT17</v>
      </c>
      <c r="BK26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Breaker-HNT-CB17-Protection</v>
      </c>
      <c r="BL263" s="9">
        <f>TIM[[#This Row],[Voltage]]</f>
        <v>11</v>
      </c>
    </row>
    <row r="264" spans="1:64" ht="15.75" hidden="1" customHeight="1" thickBot="1" x14ac:dyDescent="0.3">
      <c r="A264" s="14" t="str">
        <f>CONCATENATE(TIM[[#This Row],[Supply Level]],TIM[[#This Row],[Station/Feeder]],TIM[[#This Row],[Voltage]])</f>
        <v>ZoneSubstationHNT11</v>
      </c>
      <c r="B264" s="14" t="str">
        <f>CONCATENATE(TIM[[#This Row],[Supply Level]],TIM[[#This Row],[Station/Feeder]],TIM[[#This Row],[Equipment ID]],TIM[[#This Row],[Voltage]],TIM[[#This Row],[Device type]])</f>
        <v>ZoneSubstationHNT11</v>
      </c>
      <c r="C264" s="14" t="s">
        <v>1246</v>
      </c>
      <c r="D264" s="13" t="s">
        <v>204</v>
      </c>
      <c r="E264" s="14" t="s">
        <v>243</v>
      </c>
      <c r="F264" s="14" t="s">
        <v>243</v>
      </c>
      <c r="G264" s="28">
        <v>0</v>
      </c>
      <c r="H264" s="14" t="s">
        <v>1359</v>
      </c>
      <c r="I264" s="39"/>
      <c r="J264" s="39" t="s">
        <v>1363</v>
      </c>
      <c r="K264" s="39"/>
      <c r="L264" s="39"/>
      <c r="M264" s="15">
        <v>11</v>
      </c>
      <c r="N264" s="16">
        <v>1250</v>
      </c>
      <c r="O264" s="16">
        <f>IF(OR(N264="",N264="-"),"-",N264*$M264*SQRT(3)/1000)</f>
        <v>23.815698604072061</v>
      </c>
      <c r="P264" s="16">
        <v>1250</v>
      </c>
      <c r="Q264" s="16">
        <f>IF(OR(P264="",P264="-"),"-",P264*$M264*SQRT(3)/1000)</f>
        <v>23.815698604072061</v>
      </c>
      <c r="R264" s="16">
        <v>1250</v>
      </c>
      <c r="S264" s="16">
        <f>IF(OR(R264="",R264="-"),"-",R264*$M264*SQRT(3)/1000)</f>
        <v>23.815698604072061</v>
      </c>
      <c r="T264" s="16" t="s">
        <v>0</v>
      </c>
      <c r="U264" s="16" t="str">
        <f>IF(OR(T264="",T264="-"),"-",T264*$M264*SQRT(3)/1000)</f>
        <v>-</v>
      </c>
      <c r="V264" s="16" t="s">
        <v>0</v>
      </c>
      <c r="W264" s="16" t="str">
        <f>IF(OR(V264="",V264="-"),"-",V264*$M264*SQRT(3)/1000)</f>
        <v>-</v>
      </c>
      <c r="X264" s="16">
        <v>1250</v>
      </c>
      <c r="Y264" s="16">
        <f>IF(OR(X264="",X264="-"),"-",X264*$M264*SQRT(3)/1000)</f>
        <v>23.815698604072061</v>
      </c>
      <c r="Z264" s="16" t="s">
        <v>0</v>
      </c>
      <c r="AA264" s="16" t="str">
        <f>IF(OR(Z264="",Z264="-"),"-",Z264*$M264*SQRT(3)/1000)</f>
        <v>-</v>
      </c>
      <c r="AB264" s="16" t="s">
        <v>0</v>
      </c>
      <c r="AC264" s="16" t="str">
        <f>IF(OR(AB264="",AB264="-"),"-",AB264*$M264*SQRT(3)/1000)</f>
        <v>-</v>
      </c>
      <c r="AD264" s="16" t="s">
        <v>0</v>
      </c>
      <c r="AE264" s="17" t="str">
        <f>IF(OR(AD264="",AD264="-"),"-",AD264*$M264*SQRT(3)/1000)</f>
        <v>-</v>
      </c>
      <c r="AF264" s="16" t="s">
        <v>0</v>
      </c>
      <c r="AG264" s="155" t="s">
        <v>0</v>
      </c>
      <c r="AH264" s="16" t="s">
        <v>0</v>
      </c>
      <c r="AI264" s="155" t="s">
        <v>0</v>
      </c>
      <c r="AJ264" s="175" t="s">
        <v>0</v>
      </c>
      <c r="AK264" s="155" t="s">
        <v>0</v>
      </c>
      <c r="AL264" s="175" t="s">
        <v>0</v>
      </c>
      <c r="AM264" s="155" t="s">
        <v>0</v>
      </c>
      <c r="AN264" s="175" t="s">
        <v>0</v>
      </c>
      <c r="AO264" s="155" t="s">
        <v>0</v>
      </c>
      <c r="AP264" s="16" t="s">
        <v>0</v>
      </c>
      <c r="AQ264" s="175" t="s">
        <v>0</v>
      </c>
      <c r="AR264" s="16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64" s="16" t="str">
        <f>IF(OR(AR264="",AR264="-"),"-",AR264*$M264*SQRT(3)/1000)</f>
        <v>-</v>
      </c>
      <c r="AT264" s="155">
        <f>IF(RIGHT(TIM[[#This Row],[Device type]],7)="Winding","-",TIM[[#This Row],[Cont Winter MVA]])</f>
        <v>23.815698604072061</v>
      </c>
      <c r="AU264" s="155">
        <f>IF(RIGHT(TIM[[#This Row],[Device type]],7)="Winding","-",TIM[[#This Row],[Cont Shoulder MVA]])</f>
        <v>23.815698604072061</v>
      </c>
      <c r="AV264" s="155">
        <f>IF(RIGHT(TIM[[#This Row],[Device type]],7)="Winding","-",TIM[[#This Row],[Cont Summer MVA]])</f>
        <v>23.815698604072061</v>
      </c>
      <c r="AW264" s="155" t="str">
        <f>TIM[[#This Row],[24 Hr Winter MVA]]</f>
        <v>-</v>
      </c>
      <c r="AX264" s="155" t="str">
        <f>TIM[[#This Row],[24 Hr Summer MVA]]</f>
        <v>-</v>
      </c>
      <c r="AY264" s="155">
        <f>TIM[[#This Row],[Forwards MVA]]</f>
        <v>23.815698604072061</v>
      </c>
      <c r="AZ264" s="155" t="str">
        <f>TIM[[#This Row],[Relay MVA]]</f>
        <v>-</v>
      </c>
      <c r="BA264" s="155" t="str">
        <f>TIM[[#This Row],[CT MVA]]</f>
        <v>-</v>
      </c>
      <c r="BB264" s="155" t="str">
        <f>TIM[[#This Row],[Derating MVA]]</f>
        <v>-</v>
      </c>
      <c r="BC264" s="155" t="str">
        <f>TIM[[#This Row],[Station/Feeder]]&amp;TIM[[#This Row],[Lowest MVA]]</f>
        <v>HNT23.8156986040721</v>
      </c>
      <c r="BD264" s="155" t="str">
        <f>CONCATENATE(TIM[[#This Row],[Supply Level]],TIM[[#This Row],[Station/Feeder]],TIM[[#This Row],[Voltage]],TIM[[#This Row],[Lowest A-No PTX]])</f>
        <v>ZoneSubstationHNT111250</v>
      </c>
      <c r="BE264" s="155" t="str">
        <f>CONCATENATE(TIM[[#This Row],[Supply Level]],TIM[[#This Row],[Station/Feeder]],TIM[[#This Row],[Voltage]],TIM[[#This Row],[Lowest A-PTX]])</f>
        <v>ZoneSubstationHNT111250</v>
      </c>
      <c r="BF264" s="155">
        <f>IFERROR(IF(MIN(TIM[[#This Row],[Summ Cont Winter A]:[Cable Derating]])=0,"",MIN(TIM[[#This Row],[Summ Cont Winter A]:[Cable Derating]])),"")</f>
        <v>23.815698604072061</v>
      </c>
      <c r="BG264" s="155">
        <f>IFERROR(TIM[[#This Row],[Lowest MVA]]*1000/(TIM[[#This Row],[Voltage]]*SQRT(3)),"")</f>
        <v>1250</v>
      </c>
      <c r="BH264" s="155">
        <f t="shared" si="323"/>
        <v>1250</v>
      </c>
      <c r="BI264" s="155" t="str">
        <f>TIM[[#This Row],[From]]</f>
        <v>11 kV Bus</v>
      </c>
      <c r="BJ264" s="155" t="str">
        <f>TIM[[#This Row],[To]]</f>
        <v>11 kV Bus</v>
      </c>
      <c r="BK264" s="155" t="str">
        <f>IF(TIM[[#This Row],[Device type]]="-",TIM[[#This Row],[Equipment Type]]&amp;"-"&amp;TIM[[#This Row],[Equipment ID]],TIM[[#This Row],[Equipment Type]]&amp;"-"&amp;TIM[[#This Row],[Equipment ID]]&amp;"-"&amp;TIM[[#This Row],[Device type]])</f>
        <v>Swictchboard--</v>
      </c>
      <c r="BL264" s="155">
        <f>TIM[[#This Row],[Voltage]]</f>
        <v>11</v>
      </c>
    </row>
    <row r="265" spans="1:64" ht="15" customHeight="1" x14ac:dyDescent="0.25">
      <c r="A265" s="3" t="str">
        <f>CONCATENATE(TIM[[#This Row],[Supply Level]],TIM[[#This Row],[Station/Feeder]],TIM[[#This Row],[Voltage]])</f>
        <v>DistributionFeederCB3_Redruth 111</v>
      </c>
      <c r="B265" s="3" t="str">
        <f>CONCATENATE(TIM[[#This Row],[Supply Level]],TIM[[#This Row],[Station/Feeder]],TIM[[#This Row],[Equipment ID]],TIM[[#This Row],[Voltage]],TIM[[#This Row],[Device type]])</f>
        <v>DistributionFeederCB3_Redruth 1NST-CB311Protection</v>
      </c>
      <c r="C265" s="3" t="s">
        <v>1276</v>
      </c>
      <c r="D265" s="176" t="s">
        <v>171</v>
      </c>
      <c r="E265" s="177" t="s">
        <v>243</v>
      </c>
      <c r="F265" s="178" t="s">
        <v>984</v>
      </c>
      <c r="G265" s="26">
        <v>1</v>
      </c>
      <c r="H265" s="3" t="s">
        <v>2376</v>
      </c>
      <c r="I265" s="38" t="s">
        <v>2342</v>
      </c>
      <c r="J265" s="38" t="s">
        <v>15</v>
      </c>
      <c r="K265" s="38" t="s">
        <v>791</v>
      </c>
      <c r="L265" s="38" t="s">
        <v>1423</v>
      </c>
      <c r="M265" s="4">
        <v>11</v>
      </c>
      <c r="N265" s="5">
        <v>1250</v>
      </c>
      <c r="O265" s="5">
        <f t="shared" ref="O265:O282" si="375">IF(OR(N265="",N265="-"),"-",N265*$M265*SQRT(3)/1000)</f>
        <v>23.815698604072061</v>
      </c>
      <c r="P265" s="5">
        <v>1250</v>
      </c>
      <c r="Q265" s="5">
        <f t="shared" ref="Q265:Q282" si="376">IF(OR(P265="",P265="-"),"-",P265*$M265*SQRT(3)/1000)</f>
        <v>23.815698604072061</v>
      </c>
      <c r="R265" s="5">
        <v>1250</v>
      </c>
      <c r="S265" s="5">
        <f t="shared" ref="S265:S282" si="377">IF(OR(R265="",R265="-"),"-",R265*$M265*SQRT(3)/1000)</f>
        <v>23.815698604072061</v>
      </c>
      <c r="T265" s="5" t="s">
        <v>0</v>
      </c>
      <c r="U265" s="5" t="str">
        <f t="shared" ref="U265:U282" si="378">IF(OR(T265="",T265="-"),"-",T265*$M265*SQRT(3)/1000)</f>
        <v>-</v>
      </c>
      <c r="V265" s="5" t="s">
        <v>0</v>
      </c>
      <c r="W265" s="5" t="str">
        <f t="shared" ref="W265:W282" si="379">IF(OR(V265="",V265="-"),"-",V265*$M265*SQRT(3)/1000)</f>
        <v>-</v>
      </c>
      <c r="X265" s="5">
        <f>VLOOKUP(TIM[[#This Row],[Equipment ID]],AEL_Protection_Data[#All],12,0)</f>
        <v>304</v>
      </c>
      <c r="Y265" s="5">
        <f t="shared" ref="Y265:Y282" si="380">IF(OR(X265="",X265="-"),"-",X265*$M265*SQRT(3)/1000)</f>
        <v>5.7919779005103251</v>
      </c>
      <c r="Z265" s="5" t="s">
        <v>0</v>
      </c>
      <c r="AA265" s="5" t="str">
        <f t="shared" ref="AA265:AA282" si="381">IF(OR(Z265="",Z265="-"),"-",Z265*$M265*SQRT(3)/1000)</f>
        <v>-</v>
      </c>
      <c r="AB265" s="5">
        <v>800</v>
      </c>
      <c r="AC265" s="5">
        <f t="shared" ref="AC265:AC282" si="382">IF(OR(AB265="",AB265="-"),"-",AB265*$M265*SQRT(3)/1000)</f>
        <v>15.242047106606121</v>
      </c>
      <c r="AD265" s="5">
        <v>800</v>
      </c>
      <c r="AE265" s="158">
        <f t="shared" ref="AE265:AE282" si="383">IF(OR(AD265="",AD265="-"),"-",AD265*$M265*SQRT(3)/1000)</f>
        <v>15.242047106606121</v>
      </c>
      <c r="AF265" s="5" t="s">
        <v>0</v>
      </c>
      <c r="AG265" s="5" t="s">
        <v>0</v>
      </c>
      <c r="AH265" s="5" t="s">
        <v>0</v>
      </c>
      <c r="AI265" s="5" t="s">
        <v>0</v>
      </c>
      <c r="AJ265" s="139" t="s">
        <v>0</v>
      </c>
      <c r="AK265" s="5" t="s">
        <v>0</v>
      </c>
      <c r="AL265" s="139" t="s">
        <v>0</v>
      </c>
      <c r="AM265" s="5" t="s">
        <v>0</v>
      </c>
      <c r="AN265" s="139" t="s">
        <v>0</v>
      </c>
      <c r="AO265" s="5" t="s">
        <v>0</v>
      </c>
      <c r="AP265" s="5" t="s">
        <v>0</v>
      </c>
      <c r="AQ265" s="139" t="s">
        <v>0</v>
      </c>
      <c r="AR265" s="5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65" s="5" t="str">
        <f t="shared" ref="AS265:AS282" si="384">IF(OR(AR265="",AR265="-"),"-",AR265*$M265*SQRT(3)/1000)</f>
        <v>-</v>
      </c>
      <c r="AT265" s="29">
        <f>IF(RIGHT(TIM[[#This Row],[Device type]],7)="Winding","-",TIM[[#This Row],[Cont Winter MVA]])</f>
        <v>23.815698604072061</v>
      </c>
      <c r="AU265" s="29">
        <f>IF(RIGHT(TIM[[#This Row],[Device type]],7)="Winding","-",TIM[[#This Row],[Cont Shoulder MVA]])</f>
        <v>23.815698604072061</v>
      </c>
      <c r="AV265" s="29">
        <f>IF(RIGHT(TIM[[#This Row],[Device type]],7)="Winding","-",TIM[[#This Row],[Cont Summer MVA]])</f>
        <v>23.815698604072061</v>
      </c>
      <c r="AW265" s="29" t="str">
        <f>TIM[[#This Row],[24 Hr Winter MVA]]</f>
        <v>-</v>
      </c>
      <c r="AX265" s="29" t="str">
        <f>TIM[[#This Row],[24 Hr Summer MVA]]</f>
        <v>-</v>
      </c>
      <c r="AY265" s="29">
        <f>TIM[[#This Row],[Forwards MVA]]</f>
        <v>5.7919779005103251</v>
      </c>
      <c r="AZ265" s="29">
        <f>TIM[[#This Row],[Relay MVA]]</f>
        <v>15.242047106606121</v>
      </c>
      <c r="BA265" s="29">
        <f>TIM[[#This Row],[CT MVA]]</f>
        <v>15.242047106606121</v>
      </c>
      <c r="BB265" s="29" t="str">
        <f>TIM[[#This Row],[Derating MVA]]</f>
        <v>-</v>
      </c>
      <c r="BC265" s="29" t="str">
        <f>TIM[[#This Row],[Station/Feeder]]&amp;TIM[[#This Row],[Lowest MVA]]</f>
        <v>CB3_Redruth 15.79197790051033</v>
      </c>
      <c r="BD265" s="29" t="str">
        <f>CONCATENATE(TIM[[#This Row],[Supply Level]],TIM[[#This Row],[Station/Feeder]],TIM[[#This Row],[Voltage]],TIM[[#This Row],[Lowest A-No PTX]])</f>
        <v>DistributionFeederCB3_Redruth 111304</v>
      </c>
      <c r="BE265" s="29" t="str">
        <f>CONCATENATE(TIM[[#This Row],[Supply Level]],TIM[[#This Row],[Station/Feeder]],TIM[[#This Row],[Voltage]],TIM[[#This Row],[Lowest A-PTX]])</f>
        <v>DistributionFeederCB3_Redruth 111304</v>
      </c>
      <c r="BF265" s="29">
        <f>IFERROR(IF(MIN(TIM[[#This Row],[Summ Cont Winter A]:[Cable Derating]])=0,"",MIN(TIM[[#This Row],[Summ Cont Winter A]:[Cable Derating]])),"")</f>
        <v>5.7919779005103251</v>
      </c>
      <c r="BG265" s="29">
        <f>IFERROR(TIM[[#This Row],[Lowest MVA]]*1000/(TIM[[#This Row],[Voltage]]*SQRT(3)),"")</f>
        <v>304</v>
      </c>
      <c r="BH265" s="29">
        <f t="shared" si="323"/>
        <v>304</v>
      </c>
      <c r="BI265" s="29" t="str">
        <f>TIM[[#This Row],[From]]</f>
        <v>11 kV Bus</v>
      </c>
      <c r="BJ265" s="29" t="str">
        <f>TIM[[#This Row],[To]]</f>
        <v>NST03</v>
      </c>
      <c r="BK265" s="2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Breaker-NST-CB3-Protection</v>
      </c>
      <c r="BL265" s="29">
        <f>TIM[[#This Row],[Voltage]]</f>
        <v>11</v>
      </c>
    </row>
    <row r="266" spans="1:64" ht="15" customHeight="1" x14ac:dyDescent="0.25">
      <c r="A266" s="6" t="str">
        <f>CONCATENATE(TIM[[#This Row],[Supply Level]],TIM[[#This Row],[Station/Feeder]],TIM[[#This Row],[Voltage]])</f>
        <v>DistributionFeederCB3_Redruth 111</v>
      </c>
      <c r="B266" s="6" t="str">
        <f>CONCATENATE(TIM[[#This Row],[Supply Level]],TIM[[#This Row],[Station/Feeder]],TIM[[#This Row],[Equipment ID]],TIM[[#This Row],[Voltage]],TIM[[#This Row],[Device type]])</f>
        <v>DistributionFeederCB3_Redruth 13/1c 400mm² Al XLPE HPDE Screened11-</v>
      </c>
      <c r="C266" s="6" t="s">
        <v>1276</v>
      </c>
      <c r="D266" s="6" t="s">
        <v>171</v>
      </c>
      <c r="E266" s="179" t="s">
        <v>984</v>
      </c>
      <c r="F266" s="180" t="s">
        <v>750</v>
      </c>
      <c r="G266" s="27">
        <v>2</v>
      </c>
      <c r="H266" s="6" t="s">
        <v>985</v>
      </c>
      <c r="I266" s="7" t="s">
        <v>986</v>
      </c>
      <c r="J266" s="7" t="s">
        <v>250</v>
      </c>
      <c r="K266" s="7" t="s">
        <v>0</v>
      </c>
      <c r="L266" s="7" t="s">
        <v>0</v>
      </c>
      <c r="M266" s="8">
        <v>11</v>
      </c>
      <c r="N266" s="9">
        <v>537</v>
      </c>
      <c r="O266" s="9">
        <f t="shared" si="375"/>
        <v>10.231224120309358</v>
      </c>
      <c r="P266" s="9">
        <v>537</v>
      </c>
      <c r="Q266" s="9">
        <f t="shared" si="376"/>
        <v>10.231224120309358</v>
      </c>
      <c r="R266" s="9">
        <v>537</v>
      </c>
      <c r="S266" s="9">
        <f t="shared" si="377"/>
        <v>10.231224120309358</v>
      </c>
      <c r="T266" s="9" t="s">
        <v>0</v>
      </c>
      <c r="U266" s="9" t="str">
        <f t="shared" si="378"/>
        <v>-</v>
      </c>
      <c r="V266" s="9" t="s">
        <v>0</v>
      </c>
      <c r="W266" s="9" t="str">
        <f t="shared" si="379"/>
        <v>-</v>
      </c>
      <c r="X266" s="9" t="s">
        <v>0</v>
      </c>
      <c r="Y266" s="9" t="str">
        <f t="shared" si="380"/>
        <v>-</v>
      </c>
      <c r="Z266" s="9" t="s">
        <v>0</v>
      </c>
      <c r="AA266" s="9" t="str">
        <f t="shared" si="381"/>
        <v>-</v>
      </c>
      <c r="AB266" s="9" t="s">
        <v>0</v>
      </c>
      <c r="AC266" s="9" t="str">
        <f t="shared" si="382"/>
        <v>-</v>
      </c>
      <c r="AD266" s="9" t="s">
        <v>0</v>
      </c>
      <c r="AE266" s="12" t="str">
        <f t="shared" si="383"/>
        <v>-</v>
      </c>
      <c r="AF266" s="159" t="s">
        <v>713</v>
      </c>
      <c r="AG266" s="9" t="s">
        <v>0</v>
      </c>
      <c r="AH266" s="9">
        <v>214</v>
      </c>
      <c r="AI266" s="9">
        <v>0.8</v>
      </c>
      <c r="AJ266" s="32">
        <v>1</v>
      </c>
      <c r="AK266" s="9">
        <v>18.5</v>
      </c>
      <c r="AL266" s="32">
        <v>0.97199999999999998</v>
      </c>
      <c r="AM266" s="9">
        <v>1.2</v>
      </c>
      <c r="AN266" s="32">
        <v>1</v>
      </c>
      <c r="AO266" s="9">
        <v>5</v>
      </c>
      <c r="AP266" s="9">
        <v>0.6</v>
      </c>
      <c r="AQ266" s="32">
        <v>0.81</v>
      </c>
      <c r="AR266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422.79084</v>
      </c>
      <c r="AS266" s="9">
        <f t="shared" si="384"/>
        <v>8.0552473744019633</v>
      </c>
      <c r="AT266" s="9">
        <f>IF(RIGHT(TIM[[#This Row],[Device type]],7)="Winding","-",TIM[[#This Row],[Cont Winter MVA]])</f>
        <v>10.231224120309358</v>
      </c>
      <c r="AU266" s="9">
        <f>IF(RIGHT(TIM[[#This Row],[Device type]],7)="Winding","-",TIM[[#This Row],[Cont Shoulder MVA]])</f>
        <v>10.231224120309358</v>
      </c>
      <c r="AV266" s="9">
        <f>IF(RIGHT(TIM[[#This Row],[Device type]],7)="Winding","-",TIM[[#This Row],[Cont Summer MVA]])</f>
        <v>10.231224120309358</v>
      </c>
      <c r="AW266" s="9" t="str">
        <f>TIM[[#This Row],[24 Hr Winter MVA]]</f>
        <v>-</v>
      </c>
      <c r="AX266" s="9" t="str">
        <f>TIM[[#This Row],[24 Hr Summer MVA]]</f>
        <v>-</v>
      </c>
      <c r="AY266" s="9" t="str">
        <f>TIM[[#This Row],[Forwards MVA]]</f>
        <v>-</v>
      </c>
      <c r="AZ266" s="9" t="str">
        <f>TIM[[#This Row],[Relay MVA]]</f>
        <v>-</v>
      </c>
      <c r="BA266" s="9" t="str">
        <f>TIM[[#This Row],[CT MVA]]</f>
        <v>-</v>
      </c>
      <c r="BB266" s="9">
        <f>TIM[[#This Row],[Derating MVA]]</f>
        <v>8.0552473744019633</v>
      </c>
      <c r="BC266" s="9" t="str">
        <f>TIM[[#This Row],[Station/Feeder]]&amp;TIM[[#This Row],[Lowest MVA]]</f>
        <v>CB3_Redruth 18.05524737440196</v>
      </c>
      <c r="BD266" s="9" t="str">
        <f>CONCATENATE(TIM[[#This Row],[Supply Level]],TIM[[#This Row],[Station/Feeder]],TIM[[#This Row],[Voltage]],TIM[[#This Row],[Lowest A-No PTX]])</f>
        <v>DistributionFeederCB3_Redruth 111422.79084</v>
      </c>
      <c r="BE266" s="9" t="str">
        <f>CONCATENATE(TIM[[#This Row],[Supply Level]],TIM[[#This Row],[Station/Feeder]],TIM[[#This Row],[Voltage]],TIM[[#This Row],[Lowest A-PTX]])</f>
        <v>DistributionFeederCB3_Redruth 111422.79084</v>
      </c>
      <c r="BF266" s="9">
        <f>IFERROR(IF(MIN(TIM[[#This Row],[Summ Cont Winter A]:[Cable Derating]])=0,"",MIN(TIM[[#This Row],[Summ Cont Winter A]:[Cable Derating]])),"")</f>
        <v>8.0552473744019633</v>
      </c>
      <c r="BG266" s="9">
        <f>IFERROR(TIM[[#This Row],[Lowest MVA]]*1000/(TIM[[#This Row],[Voltage]]*SQRT(3)),"")</f>
        <v>422.79084</v>
      </c>
      <c r="BH266" s="9">
        <f t="shared" si="323"/>
        <v>422.79084</v>
      </c>
      <c r="BI266" s="9" t="str">
        <f>TIM[[#This Row],[From]]</f>
        <v>NST03</v>
      </c>
      <c r="BJ266" s="9" t="str">
        <f>TIM[[#This Row],[To]]</f>
        <v>Joint</v>
      </c>
      <c r="BK26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HPDE Screened</v>
      </c>
      <c r="BL266" s="9">
        <f>TIM[[#This Row],[Voltage]]</f>
        <v>11</v>
      </c>
    </row>
    <row r="267" spans="1:64" ht="15" customHeight="1" x14ac:dyDescent="0.25">
      <c r="A267" s="6" t="str">
        <f>CONCATENATE(TIM[[#This Row],[Supply Level]],TIM[[#This Row],[Station/Feeder]],TIM[[#This Row],[Voltage]])</f>
        <v>DistributionFeederCB3_Redruth 111</v>
      </c>
      <c r="B267" s="6" t="str">
        <f>CONCATENATE(TIM[[#This Row],[Supply Level]],TIM[[#This Row],[Station/Feeder]],TIM[[#This Row],[Equipment ID]],TIM[[#This Row],[Voltage]],TIM[[#This Row],[Device type]])</f>
        <v>DistributionFeederCB3_Redruth 13/1c 300mm² Al CWS11-</v>
      </c>
      <c r="C267" s="6" t="s">
        <v>1276</v>
      </c>
      <c r="D267" s="120" t="s">
        <v>171</v>
      </c>
      <c r="E267" s="181" t="s">
        <v>750</v>
      </c>
      <c r="F267" s="180" t="s">
        <v>987</v>
      </c>
      <c r="G267" s="27">
        <v>3</v>
      </c>
      <c r="H267" s="6" t="s">
        <v>985</v>
      </c>
      <c r="I267" s="7" t="s">
        <v>988</v>
      </c>
      <c r="J267" s="7" t="s">
        <v>250</v>
      </c>
      <c r="K267" s="7" t="s">
        <v>0</v>
      </c>
      <c r="L267" s="7" t="s">
        <v>0</v>
      </c>
      <c r="M267" s="8">
        <v>11</v>
      </c>
      <c r="N267" s="9">
        <v>370</v>
      </c>
      <c r="O267" s="9">
        <f t="shared" si="375"/>
        <v>7.0494467868053299</v>
      </c>
      <c r="P267" s="9">
        <v>370</v>
      </c>
      <c r="Q267" s="9">
        <f t="shared" si="376"/>
        <v>7.0494467868053299</v>
      </c>
      <c r="R267" s="9">
        <v>370</v>
      </c>
      <c r="S267" s="9">
        <f t="shared" si="377"/>
        <v>7.0494467868053299</v>
      </c>
      <c r="T267" s="9" t="s">
        <v>0</v>
      </c>
      <c r="U267" s="9" t="str">
        <f t="shared" si="378"/>
        <v>-</v>
      </c>
      <c r="V267" s="9" t="s">
        <v>0</v>
      </c>
      <c r="W267" s="9" t="str">
        <f t="shared" si="379"/>
        <v>-</v>
      </c>
      <c r="X267" s="9" t="s">
        <v>0</v>
      </c>
      <c r="Y267" s="9" t="str">
        <f t="shared" si="380"/>
        <v>-</v>
      </c>
      <c r="Z267" s="9" t="s">
        <v>0</v>
      </c>
      <c r="AA267" s="9" t="str">
        <f t="shared" si="381"/>
        <v>-</v>
      </c>
      <c r="AB267" s="9" t="s">
        <v>0</v>
      </c>
      <c r="AC267" s="9" t="str">
        <f t="shared" si="382"/>
        <v>-</v>
      </c>
      <c r="AD267" s="9" t="s">
        <v>0</v>
      </c>
      <c r="AE267" s="12" t="str">
        <f t="shared" si="383"/>
        <v>-</v>
      </c>
      <c r="AF267" s="160" t="s">
        <v>713</v>
      </c>
      <c r="AG267" s="9" t="s">
        <v>344</v>
      </c>
      <c r="AH267" s="9">
        <v>2866.1</v>
      </c>
      <c r="AI267" s="9">
        <v>0.78</v>
      </c>
      <c r="AJ267" s="32">
        <v>1</v>
      </c>
      <c r="AK267" s="9">
        <v>18.5</v>
      </c>
      <c r="AL267" s="32">
        <v>0.97199999999999998</v>
      </c>
      <c r="AM267" s="9">
        <v>1.2</v>
      </c>
      <c r="AN267" s="32">
        <v>1</v>
      </c>
      <c r="AO267" s="9">
        <v>4</v>
      </c>
      <c r="AP267" s="9">
        <v>0.45</v>
      </c>
      <c r="AQ267" s="32">
        <v>0.76</v>
      </c>
      <c r="AR267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273.32640000000004</v>
      </c>
      <c r="AS267" s="9">
        <f t="shared" si="384"/>
        <v>5.2075673303488346</v>
      </c>
      <c r="AT267" s="9">
        <f>IF(RIGHT(TIM[[#This Row],[Device type]],7)="Winding","-",TIM[[#This Row],[Cont Winter MVA]])</f>
        <v>7.0494467868053299</v>
      </c>
      <c r="AU267" s="9">
        <f>IF(RIGHT(TIM[[#This Row],[Device type]],7)="Winding","-",TIM[[#This Row],[Cont Shoulder MVA]])</f>
        <v>7.0494467868053299</v>
      </c>
      <c r="AV267" s="9">
        <f>IF(RIGHT(TIM[[#This Row],[Device type]],7)="Winding","-",TIM[[#This Row],[Cont Summer MVA]])</f>
        <v>7.0494467868053299</v>
      </c>
      <c r="AW267" s="9" t="str">
        <f>TIM[[#This Row],[24 Hr Winter MVA]]</f>
        <v>-</v>
      </c>
      <c r="AX267" s="9" t="str">
        <f>TIM[[#This Row],[24 Hr Summer MVA]]</f>
        <v>-</v>
      </c>
      <c r="AY267" s="9" t="str">
        <f>TIM[[#This Row],[Forwards MVA]]</f>
        <v>-</v>
      </c>
      <c r="AZ267" s="9" t="str">
        <f>TIM[[#This Row],[Relay MVA]]</f>
        <v>-</v>
      </c>
      <c r="BA267" s="9" t="str">
        <f>TIM[[#This Row],[CT MVA]]</f>
        <v>-</v>
      </c>
      <c r="BB267" s="9">
        <f>TIM[[#This Row],[Derating MVA]]</f>
        <v>5.2075673303488346</v>
      </c>
      <c r="BC267" s="9" t="str">
        <f>TIM[[#This Row],[Station/Feeder]]&amp;TIM[[#This Row],[Lowest MVA]]</f>
        <v>CB3_Redruth 15.20756733034883</v>
      </c>
      <c r="BD267" s="9" t="str">
        <f>CONCATENATE(TIM[[#This Row],[Supply Level]],TIM[[#This Row],[Station/Feeder]],TIM[[#This Row],[Voltage]],TIM[[#This Row],[Lowest A-No PTX]])</f>
        <v>DistributionFeederCB3_Redruth 111273.3264</v>
      </c>
      <c r="BE267" s="9" t="str">
        <f>CONCATENATE(TIM[[#This Row],[Supply Level]],TIM[[#This Row],[Station/Feeder]],TIM[[#This Row],[Voltage]],TIM[[#This Row],[Lowest A-PTX]])</f>
        <v>DistributionFeederCB3_Redruth 111273.3264</v>
      </c>
      <c r="BF267" s="9">
        <f>IFERROR(IF(MIN(TIM[[#This Row],[Summ Cont Winter A]:[Cable Derating]])=0,"",MIN(TIM[[#This Row],[Summ Cont Winter A]:[Cable Derating]])),"")</f>
        <v>5.2075673303488346</v>
      </c>
      <c r="BG267" s="9">
        <f>IFERROR(TIM[[#This Row],[Lowest MVA]]*1000/(TIM[[#This Row],[Voltage]]*SQRT(3)),"")</f>
        <v>273.32640000000004</v>
      </c>
      <c r="BH267" s="9">
        <f t="shared" si="323"/>
        <v>273.32640000000004</v>
      </c>
      <c r="BI267" s="9" t="str">
        <f>TIM[[#This Row],[From]]</f>
        <v>Joint</v>
      </c>
      <c r="BJ267" s="9" t="str">
        <f>TIM[[#This Row],[To]]</f>
        <v>L748 RMU</v>
      </c>
      <c r="BK26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300mm² Al CWS</v>
      </c>
      <c r="BL267" s="9">
        <f>TIM[[#This Row],[Voltage]]</f>
        <v>11</v>
      </c>
    </row>
    <row r="268" spans="1:64" ht="15" customHeight="1" x14ac:dyDescent="0.25">
      <c r="A268" s="6" t="str">
        <f>CONCATENATE(TIM[[#This Row],[Supply Level]],TIM[[#This Row],[Station/Feeder]],TIM[[#This Row],[Voltage]])</f>
        <v>DistributionFeederCB4_Rose St11</v>
      </c>
      <c r="B268" s="6" t="str">
        <f>CONCATENATE(TIM[[#This Row],[Supply Level]],TIM[[#This Row],[Station/Feeder]],TIM[[#This Row],[Equipment ID]],TIM[[#This Row],[Voltage]],TIM[[#This Row],[Device type]])</f>
        <v>DistributionFeederCB4_Rose StNST-CB411Protection</v>
      </c>
      <c r="C268" s="6" t="s">
        <v>1276</v>
      </c>
      <c r="D268" s="11" t="s">
        <v>177</v>
      </c>
      <c r="E268" s="6" t="s">
        <v>243</v>
      </c>
      <c r="F268" s="6" t="s">
        <v>989</v>
      </c>
      <c r="G268" s="27">
        <v>1</v>
      </c>
      <c r="H268" s="6" t="s">
        <v>2376</v>
      </c>
      <c r="I268" s="7" t="s">
        <v>2343</v>
      </c>
      <c r="J268" s="7" t="s">
        <v>15</v>
      </c>
      <c r="K268" s="49" t="s">
        <v>791</v>
      </c>
      <c r="L268" s="7" t="s">
        <v>1423</v>
      </c>
      <c r="M268" s="8">
        <v>11</v>
      </c>
      <c r="N268" s="9">
        <v>1250</v>
      </c>
      <c r="O268" s="9">
        <f t="shared" si="375"/>
        <v>23.815698604072061</v>
      </c>
      <c r="P268" s="9">
        <v>1250</v>
      </c>
      <c r="Q268" s="9">
        <f t="shared" si="376"/>
        <v>23.815698604072061</v>
      </c>
      <c r="R268" s="9">
        <v>1250</v>
      </c>
      <c r="S268" s="9">
        <f t="shared" si="377"/>
        <v>23.815698604072061</v>
      </c>
      <c r="T268" s="9" t="s">
        <v>0</v>
      </c>
      <c r="U268" s="9" t="str">
        <f t="shared" si="378"/>
        <v>-</v>
      </c>
      <c r="V268" s="9" t="s">
        <v>0</v>
      </c>
      <c r="W268" s="9" t="str">
        <f t="shared" si="379"/>
        <v>-</v>
      </c>
      <c r="X268" s="9">
        <f>VLOOKUP(TIM[[#This Row],[Equipment ID]],AEL_Protection_Data[#All],12,0)</f>
        <v>304</v>
      </c>
      <c r="Y268" s="9">
        <f t="shared" si="380"/>
        <v>5.7919779005103251</v>
      </c>
      <c r="Z268" s="9" t="s">
        <v>0</v>
      </c>
      <c r="AA268" s="9" t="str">
        <f t="shared" si="381"/>
        <v>-</v>
      </c>
      <c r="AB268" s="9">
        <v>800</v>
      </c>
      <c r="AC268" s="9">
        <f t="shared" si="382"/>
        <v>15.242047106606121</v>
      </c>
      <c r="AD268" s="9">
        <v>800</v>
      </c>
      <c r="AE268" s="12">
        <f t="shared" si="383"/>
        <v>15.242047106606121</v>
      </c>
      <c r="AF268" s="9" t="s">
        <v>0</v>
      </c>
      <c r="AG268" s="9" t="s">
        <v>0</v>
      </c>
      <c r="AH268" s="9" t="s">
        <v>0</v>
      </c>
      <c r="AI268" s="9" t="s">
        <v>0</v>
      </c>
      <c r="AJ268" s="32" t="s">
        <v>0</v>
      </c>
      <c r="AK268" s="9" t="s">
        <v>0</v>
      </c>
      <c r="AL268" s="32" t="s">
        <v>0</v>
      </c>
      <c r="AM268" s="9" t="s">
        <v>0</v>
      </c>
      <c r="AN268" s="32" t="s">
        <v>0</v>
      </c>
      <c r="AO268" s="9" t="s">
        <v>0</v>
      </c>
      <c r="AP268" s="9" t="s">
        <v>0</v>
      </c>
      <c r="AQ268" s="32" t="s">
        <v>0</v>
      </c>
      <c r="AR268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68" s="9" t="str">
        <f t="shared" si="384"/>
        <v>-</v>
      </c>
      <c r="AT268" s="9">
        <f>IF(RIGHT(TIM[[#This Row],[Device type]],7)="Winding","-",TIM[[#This Row],[Cont Winter MVA]])</f>
        <v>23.815698604072061</v>
      </c>
      <c r="AU268" s="9">
        <f>IF(RIGHT(TIM[[#This Row],[Device type]],7)="Winding","-",TIM[[#This Row],[Cont Shoulder MVA]])</f>
        <v>23.815698604072061</v>
      </c>
      <c r="AV268" s="9">
        <f>IF(RIGHT(TIM[[#This Row],[Device type]],7)="Winding","-",TIM[[#This Row],[Cont Summer MVA]])</f>
        <v>23.815698604072061</v>
      </c>
      <c r="AW268" s="9" t="str">
        <f>TIM[[#This Row],[24 Hr Winter MVA]]</f>
        <v>-</v>
      </c>
      <c r="AX268" s="9" t="str">
        <f>TIM[[#This Row],[24 Hr Summer MVA]]</f>
        <v>-</v>
      </c>
      <c r="AY268" s="9">
        <f>TIM[[#This Row],[Forwards MVA]]</f>
        <v>5.7919779005103251</v>
      </c>
      <c r="AZ268" s="9">
        <f>TIM[[#This Row],[Relay MVA]]</f>
        <v>15.242047106606121</v>
      </c>
      <c r="BA268" s="9">
        <f>TIM[[#This Row],[CT MVA]]</f>
        <v>15.242047106606121</v>
      </c>
      <c r="BB268" s="9" t="str">
        <f>TIM[[#This Row],[Derating MVA]]</f>
        <v>-</v>
      </c>
      <c r="BC268" s="9" t="str">
        <f>TIM[[#This Row],[Station/Feeder]]&amp;TIM[[#This Row],[Lowest MVA]]</f>
        <v>CB4_Rose St5.79197790051033</v>
      </c>
      <c r="BD268" s="9" t="str">
        <f>CONCATENATE(TIM[[#This Row],[Supply Level]],TIM[[#This Row],[Station/Feeder]],TIM[[#This Row],[Voltage]],TIM[[#This Row],[Lowest A-No PTX]])</f>
        <v>DistributionFeederCB4_Rose St11304</v>
      </c>
      <c r="BE268" s="9" t="str">
        <f>CONCATENATE(TIM[[#This Row],[Supply Level]],TIM[[#This Row],[Station/Feeder]],TIM[[#This Row],[Voltage]],TIM[[#This Row],[Lowest A-PTX]])</f>
        <v>DistributionFeederCB4_Rose St11304</v>
      </c>
      <c r="BF268" s="9">
        <f>IFERROR(IF(MIN(TIM[[#This Row],[Summ Cont Winter A]:[Cable Derating]])=0,"",MIN(TIM[[#This Row],[Summ Cont Winter A]:[Cable Derating]])),"")</f>
        <v>5.7919779005103251</v>
      </c>
      <c r="BG268" s="9">
        <f>IFERROR(TIM[[#This Row],[Lowest MVA]]*1000/(TIM[[#This Row],[Voltage]]*SQRT(3)),"")</f>
        <v>304</v>
      </c>
      <c r="BH268" s="9">
        <f t="shared" si="323"/>
        <v>304</v>
      </c>
      <c r="BI268" s="9" t="str">
        <f>TIM[[#This Row],[From]]</f>
        <v>11 kV Bus</v>
      </c>
      <c r="BJ268" s="9" t="str">
        <f>TIM[[#This Row],[To]]</f>
        <v>NST04</v>
      </c>
      <c r="BK26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Breaker-NST-CB4-Protection</v>
      </c>
      <c r="BL268" s="9">
        <f>TIM[[#This Row],[Voltage]]</f>
        <v>11</v>
      </c>
    </row>
    <row r="269" spans="1:64" ht="15" customHeight="1" x14ac:dyDescent="0.25">
      <c r="A269" s="6" t="str">
        <f>CONCATENATE(TIM[[#This Row],[Supply Level]],TIM[[#This Row],[Station/Feeder]],TIM[[#This Row],[Voltage]])</f>
        <v>DistributionFeederCB4_Rose St11</v>
      </c>
      <c r="B269" s="6" t="str">
        <f>CONCATENATE(TIM[[#This Row],[Supply Level]],TIM[[#This Row],[Station/Feeder]],TIM[[#This Row],[Equipment ID]],TIM[[#This Row],[Voltage]],TIM[[#This Row],[Device type]])</f>
        <v>DistributionFeederCB4_Rose St3/1c 400mm² Al XLPE HPDE Screened11-</v>
      </c>
      <c r="C269" s="6" t="s">
        <v>1276</v>
      </c>
      <c r="D269" s="11" t="s">
        <v>177</v>
      </c>
      <c r="E269" s="6" t="s">
        <v>989</v>
      </c>
      <c r="F269" s="6" t="s">
        <v>750</v>
      </c>
      <c r="G269" s="27">
        <v>2</v>
      </c>
      <c r="H269" s="6" t="s">
        <v>985</v>
      </c>
      <c r="I269" s="7" t="s">
        <v>986</v>
      </c>
      <c r="J269" s="7" t="s">
        <v>250</v>
      </c>
      <c r="K269" s="7" t="s">
        <v>0</v>
      </c>
      <c r="L269" s="7" t="s">
        <v>0</v>
      </c>
      <c r="M269" s="8">
        <v>11</v>
      </c>
      <c r="N269" s="9">
        <v>537</v>
      </c>
      <c r="O269" s="9">
        <f t="shared" si="375"/>
        <v>10.231224120309358</v>
      </c>
      <c r="P269" s="9">
        <v>537</v>
      </c>
      <c r="Q269" s="9">
        <f t="shared" si="376"/>
        <v>10.231224120309358</v>
      </c>
      <c r="R269" s="9">
        <v>537</v>
      </c>
      <c r="S269" s="9">
        <f t="shared" si="377"/>
        <v>10.231224120309358</v>
      </c>
      <c r="T269" s="9" t="s">
        <v>0</v>
      </c>
      <c r="U269" s="9" t="str">
        <f t="shared" si="378"/>
        <v>-</v>
      </c>
      <c r="V269" s="9" t="s">
        <v>0</v>
      </c>
      <c r="W269" s="9" t="str">
        <f t="shared" si="379"/>
        <v>-</v>
      </c>
      <c r="X269" s="9" t="s">
        <v>0</v>
      </c>
      <c r="Y269" s="9" t="str">
        <f t="shared" si="380"/>
        <v>-</v>
      </c>
      <c r="Z269" s="9" t="s">
        <v>0</v>
      </c>
      <c r="AA269" s="9" t="str">
        <f t="shared" si="381"/>
        <v>-</v>
      </c>
      <c r="AB269" s="9" t="s">
        <v>0</v>
      </c>
      <c r="AC269" s="9" t="str">
        <f t="shared" si="382"/>
        <v>-</v>
      </c>
      <c r="AD269" s="9" t="s">
        <v>0</v>
      </c>
      <c r="AE269" s="12" t="str">
        <f t="shared" si="383"/>
        <v>-</v>
      </c>
      <c r="AF269" s="160" t="s">
        <v>713</v>
      </c>
      <c r="AG269" s="9" t="s">
        <v>0</v>
      </c>
      <c r="AH269" s="9">
        <v>86.3</v>
      </c>
      <c r="AI269" s="9">
        <v>0.8</v>
      </c>
      <c r="AJ269" s="32">
        <v>1</v>
      </c>
      <c r="AK269" s="9">
        <v>18.5</v>
      </c>
      <c r="AL269" s="32">
        <v>0.97199999999999998</v>
      </c>
      <c r="AM269" s="9">
        <v>1.2</v>
      </c>
      <c r="AN269" s="32">
        <v>1</v>
      </c>
      <c r="AO269" s="9">
        <v>5</v>
      </c>
      <c r="AP269" s="9">
        <v>0.6</v>
      </c>
      <c r="AQ269" s="32">
        <v>0.81</v>
      </c>
      <c r="AR269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422.79084</v>
      </c>
      <c r="AS269" s="9">
        <f t="shared" si="384"/>
        <v>8.0552473744019633</v>
      </c>
      <c r="AT269" s="9">
        <f>IF(RIGHT(TIM[[#This Row],[Device type]],7)="Winding","-",TIM[[#This Row],[Cont Winter MVA]])</f>
        <v>10.231224120309358</v>
      </c>
      <c r="AU269" s="9">
        <f>IF(RIGHT(TIM[[#This Row],[Device type]],7)="Winding","-",TIM[[#This Row],[Cont Shoulder MVA]])</f>
        <v>10.231224120309358</v>
      </c>
      <c r="AV269" s="9">
        <f>IF(RIGHT(TIM[[#This Row],[Device type]],7)="Winding","-",TIM[[#This Row],[Cont Summer MVA]])</f>
        <v>10.231224120309358</v>
      </c>
      <c r="AW269" s="9" t="str">
        <f>TIM[[#This Row],[24 Hr Winter MVA]]</f>
        <v>-</v>
      </c>
      <c r="AX269" s="9" t="str">
        <f>TIM[[#This Row],[24 Hr Summer MVA]]</f>
        <v>-</v>
      </c>
      <c r="AY269" s="9" t="str">
        <f>TIM[[#This Row],[Forwards MVA]]</f>
        <v>-</v>
      </c>
      <c r="AZ269" s="9" t="str">
        <f>TIM[[#This Row],[Relay MVA]]</f>
        <v>-</v>
      </c>
      <c r="BA269" s="9" t="str">
        <f>TIM[[#This Row],[CT MVA]]</f>
        <v>-</v>
      </c>
      <c r="BB269" s="9">
        <f>TIM[[#This Row],[Derating MVA]]</f>
        <v>8.0552473744019633</v>
      </c>
      <c r="BC269" s="9" t="str">
        <f>TIM[[#This Row],[Station/Feeder]]&amp;TIM[[#This Row],[Lowest MVA]]</f>
        <v>CB4_Rose St8.05524737440196</v>
      </c>
      <c r="BD269" s="9" t="str">
        <f>CONCATENATE(TIM[[#This Row],[Supply Level]],TIM[[#This Row],[Station/Feeder]],TIM[[#This Row],[Voltage]],TIM[[#This Row],[Lowest A-No PTX]])</f>
        <v>DistributionFeederCB4_Rose St11422.79084</v>
      </c>
      <c r="BE269" s="9" t="str">
        <f>CONCATENATE(TIM[[#This Row],[Supply Level]],TIM[[#This Row],[Station/Feeder]],TIM[[#This Row],[Voltage]],TIM[[#This Row],[Lowest A-PTX]])</f>
        <v>DistributionFeederCB4_Rose St11422.79084</v>
      </c>
      <c r="BF269" s="9">
        <f>IFERROR(IF(MIN(TIM[[#This Row],[Summ Cont Winter A]:[Cable Derating]])=0,"",MIN(TIM[[#This Row],[Summ Cont Winter A]:[Cable Derating]])),"")</f>
        <v>8.0552473744019633</v>
      </c>
      <c r="BG269" s="9">
        <f>IFERROR(TIM[[#This Row],[Lowest MVA]]*1000/(TIM[[#This Row],[Voltage]]*SQRT(3)),"")</f>
        <v>422.79084</v>
      </c>
      <c r="BH269" s="9">
        <f t="shared" si="323"/>
        <v>422.79084</v>
      </c>
      <c r="BI269" s="9" t="str">
        <f>TIM[[#This Row],[From]]</f>
        <v>NST04</v>
      </c>
      <c r="BJ269" s="9" t="str">
        <f>TIM[[#This Row],[To]]</f>
        <v>Joint</v>
      </c>
      <c r="BK26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HPDE Screened</v>
      </c>
      <c r="BL269" s="9">
        <f>TIM[[#This Row],[Voltage]]</f>
        <v>11</v>
      </c>
    </row>
    <row r="270" spans="1:64" ht="15" customHeight="1" x14ac:dyDescent="0.25">
      <c r="A270" s="6" t="str">
        <f>CONCATENATE(TIM[[#This Row],[Supply Level]],TIM[[#This Row],[Station/Feeder]],TIM[[#This Row],[Voltage]])</f>
        <v>DistributionFeederCB4_Rose St11</v>
      </c>
      <c r="B270" s="6" t="str">
        <f>CONCATENATE(TIM[[#This Row],[Supply Level]],TIM[[#This Row],[Station/Feeder]],TIM[[#This Row],[Equipment ID]],TIM[[#This Row],[Voltage]],TIM[[#This Row],[Device type]])</f>
        <v>DistributionFeederCB4_Rose St3c 185mm²  Al PILC SWAS11-</v>
      </c>
      <c r="C270" s="6" t="s">
        <v>1276</v>
      </c>
      <c r="D270" s="11" t="s">
        <v>177</v>
      </c>
      <c r="E270" s="6" t="s">
        <v>750</v>
      </c>
      <c r="F270" s="6" t="s">
        <v>990</v>
      </c>
      <c r="G270" s="27">
        <v>3</v>
      </c>
      <c r="H270" s="7" t="s">
        <v>985</v>
      </c>
      <c r="I270" s="7" t="s">
        <v>991</v>
      </c>
      <c r="J270" s="7" t="s">
        <v>250</v>
      </c>
      <c r="K270" s="7" t="s">
        <v>0</v>
      </c>
      <c r="L270" s="7" t="s">
        <v>0</v>
      </c>
      <c r="M270" s="8">
        <v>11</v>
      </c>
      <c r="N270" s="9">
        <v>300</v>
      </c>
      <c r="O270" s="9">
        <f t="shared" si="375"/>
        <v>5.715767664977295</v>
      </c>
      <c r="P270" s="9">
        <v>300</v>
      </c>
      <c r="Q270" s="9">
        <f t="shared" si="376"/>
        <v>5.715767664977295</v>
      </c>
      <c r="R270" s="9">
        <v>300</v>
      </c>
      <c r="S270" s="9">
        <f t="shared" si="377"/>
        <v>5.715767664977295</v>
      </c>
      <c r="T270" s="9" t="s">
        <v>0</v>
      </c>
      <c r="U270" s="9" t="str">
        <f t="shared" si="378"/>
        <v>-</v>
      </c>
      <c r="V270" s="9" t="s">
        <v>0</v>
      </c>
      <c r="W270" s="9" t="str">
        <f t="shared" si="379"/>
        <v>-</v>
      </c>
      <c r="X270" s="9" t="s">
        <v>0</v>
      </c>
      <c r="Y270" s="9" t="str">
        <f t="shared" si="380"/>
        <v>-</v>
      </c>
      <c r="Z270" s="9" t="s">
        <v>0</v>
      </c>
      <c r="AA270" s="9" t="str">
        <f t="shared" si="381"/>
        <v>-</v>
      </c>
      <c r="AB270" s="9" t="s">
        <v>0</v>
      </c>
      <c r="AC270" s="9" t="str">
        <f t="shared" si="382"/>
        <v>-</v>
      </c>
      <c r="AD270" s="9" t="s">
        <v>0</v>
      </c>
      <c r="AE270" s="12" t="str">
        <f t="shared" si="383"/>
        <v>-</v>
      </c>
      <c r="AF270" s="159" t="s">
        <v>716</v>
      </c>
      <c r="AG270" s="9" t="s">
        <v>0</v>
      </c>
      <c r="AH270" s="9">
        <v>109.6</v>
      </c>
      <c r="AI270" s="9">
        <v>0.78</v>
      </c>
      <c r="AJ270" s="32">
        <v>1</v>
      </c>
      <c r="AK270" s="9">
        <v>18.5</v>
      </c>
      <c r="AL270" s="32">
        <v>0.95199999999999996</v>
      </c>
      <c r="AM270" s="9">
        <v>1.2</v>
      </c>
      <c r="AN270" s="32">
        <v>1</v>
      </c>
      <c r="AO270" s="9">
        <v>2</v>
      </c>
      <c r="AP270" s="9" t="s">
        <v>2983</v>
      </c>
      <c r="AQ270" s="32">
        <v>0.8</v>
      </c>
      <c r="AR270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228.48000000000002</v>
      </c>
      <c r="AS270" s="9">
        <f t="shared" si="384"/>
        <v>4.3531286536467082</v>
      </c>
      <c r="AT270" s="9">
        <f>IF(RIGHT(TIM[[#This Row],[Device type]],7)="Winding","-",TIM[[#This Row],[Cont Winter MVA]])</f>
        <v>5.715767664977295</v>
      </c>
      <c r="AU270" s="9">
        <f>IF(RIGHT(TIM[[#This Row],[Device type]],7)="Winding","-",TIM[[#This Row],[Cont Shoulder MVA]])</f>
        <v>5.715767664977295</v>
      </c>
      <c r="AV270" s="9">
        <f>IF(RIGHT(TIM[[#This Row],[Device type]],7)="Winding","-",TIM[[#This Row],[Cont Summer MVA]])</f>
        <v>5.715767664977295</v>
      </c>
      <c r="AW270" s="9" t="str">
        <f>TIM[[#This Row],[24 Hr Winter MVA]]</f>
        <v>-</v>
      </c>
      <c r="AX270" s="9" t="str">
        <f>TIM[[#This Row],[24 Hr Summer MVA]]</f>
        <v>-</v>
      </c>
      <c r="AY270" s="9" t="str">
        <f>TIM[[#This Row],[Forwards MVA]]</f>
        <v>-</v>
      </c>
      <c r="AZ270" s="9" t="str">
        <f>TIM[[#This Row],[Relay MVA]]</f>
        <v>-</v>
      </c>
      <c r="BA270" s="9" t="str">
        <f>TIM[[#This Row],[CT MVA]]</f>
        <v>-</v>
      </c>
      <c r="BB270" s="9">
        <f>TIM[[#This Row],[Derating MVA]]</f>
        <v>4.3531286536467082</v>
      </c>
      <c r="BC270" s="9" t="str">
        <f>TIM[[#This Row],[Station/Feeder]]&amp;TIM[[#This Row],[Lowest MVA]]</f>
        <v>CB4_Rose St4.35312865364671</v>
      </c>
      <c r="BD270" s="9" t="str">
        <f>CONCATENATE(TIM[[#This Row],[Supply Level]],TIM[[#This Row],[Station/Feeder]],TIM[[#This Row],[Voltage]],TIM[[#This Row],[Lowest A-No PTX]])</f>
        <v>DistributionFeederCB4_Rose St11228.48</v>
      </c>
      <c r="BE270" s="9" t="str">
        <f>CONCATENATE(TIM[[#This Row],[Supply Level]],TIM[[#This Row],[Station/Feeder]],TIM[[#This Row],[Voltage]],TIM[[#This Row],[Lowest A-PTX]])</f>
        <v>DistributionFeederCB4_Rose St11228.48</v>
      </c>
      <c r="BF270" s="9">
        <f>IFERROR(IF(MIN(TIM[[#This Row],[Summ Cont Winter A]:[Cable Derating]])=0,"",MIN(TIM[[#This Row],[Summ Cont Winter A]:[Cable Derating]])),"")</f>
        <v>4.3531286536467082</v>
      </c>
      <c r="BG270" s="9">
        <f>IFERROR(TIM[[#This Row],[Lowest MVA]]*1000/(TIM[[#This Row],[Voltage]]*SQRT(3)),"")</f>
        <v>228.48</v>
      </c>
      <c r="BH270" s="9">
        <f t="shared" si="323"/>
        <v>228.48000000000002</v>
      </c>
      <c r="BI270" s="9" t="str">
        <f>TIM[[#This Row],[From]]</f>
        <v>Joint</v>
      </c>
      <c r="BJ270" s="9" t="str">
        <f>TIM[[#This Row],[To]]</f>
        <v>TEQ21 RMU</v>
      </c>
      <c r="BK27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 Al PILC SWAS</v>
      </c>
      <c r="BL270" s="9">
        <f>TIM[[#This Row],[Voltage]]</f>
        <v>11</v>
      </c>
    </row>
    <row r="271" spans="1:64" ht="15" customHeight="1" x14ac:dyDescent="0.25">
      <c r="A271" s="6" t="str">
        <f>CONCATENATE(TIM[[#This Row],[Supply Level]],TIM[[#This Row],[Station/Feeder]],TIM[[#This Row],[Voltage]])</f>
        <v>DistributionFeederCB5_Craigie Ave11</v>
      </c>
      <c r="B271" s="6" t="str">
        <f>CONCATENATE(TIM[[#This Row],[Supply Level]],TIM[[#This Row],[Station/Feeder]],TIM[[#This Row],[Equipment ID]],TIM[[#This Row],[Voltage]],TIM[[#This Row],[Device type]])</f>
        <v>DistributionFeederCB5_Craigie AveNST-CB511Protection</v>
      </c>
      <c r="C271" s="6" t="s">
        <v>1276</v>
      </c>
      <c r="D271" s="11" t="s">
        <v>183</v>
      </c>
      <c r="E271" s="6" t="s">
        <v>243</v>
      </c>
      <c r="F271" s="6" t="s">
        <v>992</v>
      </c>
      <c r="G271" s="27">
        <v>1</v>
      </c>
      <c r="H271" s="7" t="s">
        <v>2376</v>
      </c>
      <c r="I271" s="7" t="s">
        <v>2346</v>
      </c>
      <c r="J271" s="7" t="s">
        <v>15</v>
      </c>
      <c r="K271" s="49" t="s">
        <v>791</v>
      </c>
      <c r="L271" s="7" t="s">
        <v>1423</v>
      </c>
      <c r="M271" s="8">
        <v>11</v>
      </c>
      <c r="N271" s="9">
        <v>1250</v>
      </c>
      <c r="O271" s="9">
        <f t="shared" si="375"/>
        <v>23.815698604072061</v>
      </c>
      <c r="P271" s="9">
        <v>1250</v>
      </c>
      <c r="Q271" s="9">
        <f t="shared" si="376"/>
        <v>23.815698604072061</v>
      </c>
      <c r="R271" s="9">
        <v>1250</v>
      </c>
      <c r="S271" s="9">
        <f t="shared" si="377"/>
        <v>23.815698604072061</v>
      </c>
      <c r="T271" s="9" t="s">
        <v>0</v>
      </c>
      <c r="U271" s="9" t="str">
        <f t="shared" si="378"/>
        <v>-</v>
      </c>
      <c r="V271" s="9" t="s">
        <v>0</v>
      </c>
      <c r="W271" s="9" t="str">
        <f t="shared" si="379"/>
        <v>-</v>
      </c>
      <c r="X271" s="9">
        <f>VLOOKUP(TIM[[#This Row],[Equipment ID]],AEL_Protection_Data[#All],12,0)</f>
        <v>304</v>
      </c>
      <c r="Y271" s="9">
        <f t="shared" si="380"/>
        <v>5.7919779005103251</v>
      </c>
      <c r="Z271" s="9" t="s">
        <v>0</v>
      </c>
      <c r="AA271" s="9" t="str">
        <f t="shared" si="381"/>
        <v>-</v>
      </c>
      <c r="AB271" s="9">
        <v>800</v>
      </c>
      <c r="AC271" s="9">
        <f t="shared" si="382"/>
        <v>15.242047106606121</v>
      </c>
      <c r="AD271" s="9">
        <v>800</v>
      </c>
      <c r="AE271" s="12">
        <f t="shared" si="383"/>
        <v>15.242047106606121</v>
      </c>
      <c r="AF271" s="9" t="s">
        <v>0</v>
      </c>
      <c r="AG271" s="9" t="s">
        <v>0</v>
      </c>
      <c r="AH271" s="9" t="s">
        <v>0</v>
      </c>
      <c r="AI271" s="9" t="s">
        <v>0</v>
      </c>
      <c r="AJ271" s="32" t="s">
        <v>0</v>
      </c>
      <c r="AK271" s="9" t="s">
        <v>0</v>
      </c>
      <c r="AL271" s="32" t="s">
        <v>0</v>
      </c>
      <c r="AM271" s="9" t="s">
        <v>0</v>
      </c>
      <c r="AN271" s="32" t="s">
        <v>0</v>
      </c>
      <c r="AO271" s="9" t="s">
        <v>0</v>
      </c>
      <c r="AP271" s="9" t="s">
        <v>0</v>
      </c>
      <c r="AQ271" s="32" t="s">
        <v>0</v>
      </c>
      <c r="AR27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71" s="9" t="str">
        <f t="shared" si="384"/>
        <v>-</v>
      </c>
      <c r="AT271" s="9">
        <f>IF(RIGHT(TIM[[#This Row],[Device type]],7)="Winding","-",TIM[[#This Row],[Cont Winter MVA]])</f>
        <v>23.815698604072061</v>
      </c>
      <c r="AU271" s="9">
        <f>IF(RIGHT(TIM[[#This Row],[Device type]],7)="Winding","-",TIM[[#This Row],[Cont Shoulder MVA]])</f>
        <v>23.815698604072061</v>
      </c>
      <c r="AV271" s="9">
        <f>IF(RIGHT(TIM[[#This Row],[Device type]],7)="Winding","-",TIM[[#This Row],[Cont Summer MVA]])</f>
        <v>23.815698604072061</v>
      </c>
      <c r="AW271" s="9" t="str">
        <f>TIM[[#This Row],[24 Hr Winter MVA]]</f>
        <v>-</v>
      </c>
      <c r="AX271" s="9" t="str">
        <f>TIM[[#This Row],[24 Hr Summer MVA]]</f>
        <v>-</v>
      </c>
      <c r="AY271" s="9">
        <f>TIM[[#This Row],[Forwards MVA]]</f>
        <v>5.7919779005103251</v>
      </c>
      <c r="AZ271" s="9">
        <f>TIM[[#This Row],[Relay MVA]]</f>
        <v>15.242047106606121</v>
      </c>
      <c r="BA271" s="9">
        <f>TIM[[#This Row],[CT MVA]]</f>
        <v>15.242047106606121</v>
      </c>
      <c r="BB271" s="9" t="str">
        <f>TIM[[#This Row],[Derating MVA]]</f>
        <v>-</v>
      </c>
      <c r="BC271" s="9" t="str">
        <f>TIM[[#This Row],[Station/Feeder]]&amp;TIM[[#This Row],[Lowest MVA]]</f>
        <v>CB5_Craigie Ave5.79197790051033</v>
      </c>
      <c r="BD271" s="9" t="str">
        <f>CONCATENATE(TIM[[#This Row],[Supply Level]],TIM[[#This Row],[Station/Feeder]],TIM[[#This Row],[Voltage]],TIM[[#This Row],[Lowest A-No PTX]])</f>
        <v>DistributionFeederCB5_Craigie Ave11304</v>
      </c>
      <c r="BE271" s="9" t="str">
        <f>CONCATENATE(TIM[[#This Row],[Supply Level]],TIM[[#This Row],[Station/Feeder]],TIM[[#This Row],[Voltage]],TIM[[#This Row],[Lowest A-PTX]])</f>
        <v>DistributionFeederCB5_Craigie Ave11304</v>
      </c>
      <c r="BF271" s="9">
        <f>IFERROR(IF(MIN(TIM[[#This Row],[Summ Cont Winter A]:[Cable Derating]])=0,"",MIN(TIM[[#This Row],[Summ Cont Winter A]:[Cable Derating]])),"")</f>
        <v>5.7919779005103251</v>
      </c>
      <c r="BG271" s="9">
        <f>IFERROR(TIM[[#This Row],[Lowest MVA]]*1000/(TIM[[#This Row],[Voltage]]*SQRT(3)),"")</f>
        <v>304</v>
      </c>
      <c r="BH271" s="9">
        <f t="shared" si="323"/>
        <v>304</v>
      </c>
      <c r="BI271" s="9" t="str">
        <f>TIM[[#This Row],[From]]</f>
        <v>11 kV Bus</v>
      </c>
      <c r="BJ271" s="9" t="str">
        <f>TIM[[#This Row],[To]]</f>
        <v xml:space="preserve">NST05 </v>
      </c>
      <c r="BK27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Breaker-NST-CB5-Protection</v>
      </c>
      <c r="BL271" s="9">
        <f>TIM[[#This Row],[Voltage]]</f>
        <v>11</v>
      </c>
    </row>
    <row r="272" spans="1:64" ht="15" customHeight="1" x14ac:dyDescent="0.25">
      <c r="A272" s="6" t="str">
        <f>CONCATENATE(TIM[[#This Row],[Supply Level]],TIM[[#This Row],[Station/Feeder]],TIM[[#This Row],[Voltage]])</f>
        <v>DistributionFeederCB5_Craigie Ave11</v>
      </c>
      <c r="B272" s="6" t="str">
        <f>CONCATENATE(TIM[[#This Row],[Supply Level]],TIM[[#This Row],[Station/Feeder]],TIM[[#This Row],[Equipment ID]],TIM[[#This Row],[Voltage]],TIM[[#This Row],[Device type]])</f>
        <v>DistributionFeederCB5_Craigie Ave3/1c 400mm² Al XLPE HPDE Screened11-</v>
      </c>
      <c r="C272" s="6" t="s">
        <v>1276</v>
      </c>
      <c r="D272" s="11" t="s">
        <v>183</v>
      </c>
      <c r="E272" s="6" t="s">
        <v>992</v>
      </c>
      <c r="F272" s="6" t="s">
        <v>750</v>
      </c>
      <c r="G272" s="27">
        <v>2</v>
      </c>
      <c r="H272" s="7" t="s">
        <v>985</v>
      </c>
      <c r="I272" s="7" t="s">
        <v>986</v>
      </c>
      <c r="J272" s="7" t="s">
        <v>250</v>
      </c>
      <c r="K272" s="7" t="s">
        <v>0</v>
      </c>
      <c r="L272" s="7" t="s">
        <v>0</v>
      </c>
      <c r="M272" s="8">
        <v>11</v>
      </c>
      <c r="N272" s="9">
        <v>537</v>
      </c>
      <c r="O272" s="9">
        <f t="shared" si="375"/>
        <v>10.231224120309358</v>
      </c>
      <c r="P272" s="9">
        <v>537</v>
      </c>
      <c r="Q272" s="9">
        <f t="shared" si="376"/>
        <v>10.231224120309358</v>
      </c>
      <c r="R272" s="9">
        <v>537</v>
      </c>
      <c r="S272" s="9">
        <f t="shared" si="377"/>
        <v>10.231224120309358</v>
      </c>
      <c r="T272" s="9" t="s">
        <v>0</v>
      </c>
      <c r="U272" s="9" t="str">
        <f t="shared" si="378"/>
        <v>-</v>
      </c>
      <c r="V272" s="9" t="s">
        <v>0</v>
      </c>
      <c r="W272" s="9" t="str">
        <f t="shared" si="379"/>
        <v>-</v>
      </c>
      <c r="X272" s="9" t="s">
        <v>0</v>
      </c>
      <c r="Y272" s="9" t="str">
        <f t="shared" si="380"/>
        <v>-</v>
      </c>
      <c r="Z272" s="9" t="s">
        <v>0</v>
      </c>
      <c r="AA272" s="9" t="str">
        <f t="shared" si="381"/>
        <v>-</v>
      </c>
      <c r="AB272" s="9" t="s">
        <v>0</v>
      </c>
      <c r="AC272" s="9" t="str">
        <f t="shared" si="382"/>
        <v>-</v>
      </c>
      <c r="AD272" s="9" t="s">
        <v>0</v>
      </c>
      <c r="AE272" s="12" t="str">
        <f t="shared" si="383"/>
        <v>-</v>
      </c>
      <c r="AF272" s="9" t="s">
        <v>713</v>
      </c>
      <c r="AG272" s="9" t="s">
        <v>0</v>
      </c>
      <c r="AH272" s="9">
        <v>87.3</v>
      </c>
      <c r="AI272" s="9">
        <v>0.93</v>
      </c>
      <c r="AJ272" s="32">
        <v>1.01</v>
      </c>
      <c r="AK272" s="9">
        <v>18.5</v>
      </c>
      <c r="AL272" s="32">
        <v>0.97199999999999998</v>
      </c>
      <c r="AM272" s="9">
        <v>1.2</v>
      </c>
      <c r="AN272" s="32">
        <v>1</v>
      </c>
      <c r="AO272" s="9">
        <v>4</v>
      </c>
      <c r="AP272" s="9">
        <v>0.5</v>
      </c>
      <c r="AQ272" s="32">
        <v>0.82</v>
      </c>
      <c r="AR272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432.29058480000003</v>
      </c>
      <c r="AS272" s="9">
        <f t="shared" si="384"/>
        <v>8.2362418215798847</v>
      </c>
      <c r="AT272" s="9">
        <f>IF(RIGHT(TIM[[#This Row],[Device type]],7)="Winding","-",TIM[[#This Row],[Cont Winter MVA]])</f>
        <v>10.231224120309358</v>
      </c>
      <c r="AU272" s="9">
        <f>IF(RIGHT(TIM[[#This Row],[Device type]],7)="Winding","-",TIM[[#This Row],[Cont Shoulder MVA]])</f>
        <v>10.231224120309358</v>
      </c>
      <c r="AV272" s="9">
        <f>IF(RIGHT(TIM[[#This Row],[Device type]],7)="Winding","-",TIM[[#This Row],[Cont Summer MVA]])</f>
        <v>10.231224120309358</v>
      </c>
      <c r="AW272" s="9" t="str">
        <f>TIM[[#This Row],[24 Hr Winter MVA]]</f>
        <v>-</v>
      </c>
      <c r="AX272" s="9" t="str">
        <f>TIM[[#This Row],[24 Hr Summer MVA]]</f>
        <v>-</v>
      </c>
      <c r="AY272" s="9" t="str">
        <f>TIM[[#This Row],[Forwards MVA]]</f>
        <v>-</v>
      </c>
      <c r="AZ272" s="9" t="str">
        <f>TIM[[#This Row],[Relay MVA]]</f>
        <v>-</v>
      </c>
      <c r="BA272" s="9" t="str">
        <f>TIM[[#This Row],[CT MVA]]</f>
        <v>-</v>
      </c>
      <c r="BB272" s="9">
        <f>TIM[[#This Row],[Derating MVA]]</f>
        <v>8.2362418215798847</v>
      </c>
      <c r="BC272" s="9" t="str">
        <f>TIM[[#This Row],[Station/Feeder]]&amp;TIM[[#This Row],[Lowest MVA]]</f>
        <v>CB5_Craigie Ave8.23624182157988</v>
      </c>
      <c r="BD272" s="9" t="str">
        <f>CONCATENATE(TIM[[#This Row],[Supply Level]],TIM[[#This Row],[Station/Feeder]],TIM[[#This Row],[Voltage]],TIM[[#This Row],[Lowest A-No PTX]])</f>
        <v>DistributionFeederCB5_Craigie Ave11432.2905848</v>
      </c>
      <c r="BE272" s="9" t="str">
        <f>CONCATENATE(TIM[[#This Row],[Supply Level]],TIM[[#This Row],[Station/Feeder]],TIM[[#This Row],[Voltage]],TIM[[#This Row],[Lowest A-PTX]])</f>
        <v>DistributionFeederCB5_Craigie Ave11432.2905848</v>
      </c>
      <c r="BF272" s="9">
        <f>IFERROR(IF(MIN(TIM[[#This Row],[Summ Cont Winter A]:[Cable Derating]])=0,"",MIN(TIM[[#This Row],[Summ Cont Winter A]:[Cable Derating]])),"")</f>
        <v>8.2362418215798847</v>
      </c>
      <c r="BG272" s="9">
        <f>IFERROR(TIM[[#This Row],[Lowest MVA]]*1000/(TIM[[#This Row],[Voltage]]*SQRT(3)),"")</f>
        <v>432.29058479999998</v>
      </c>
      <c r="BH272" s="9">
        <f t="shared" si="323"/>
        <v>432.29058480000003</v>
      </c>
      <c r="BI272" s="9" t="str">
        <f>TIM[[#This Row],[From]]</f>
        <v xml:space="preserve">NST05 </v>
      </c>
      <c r="BJ272" s="9" t="str">
        <f>TIM[[#This Row],[To]]</f>
        <v>Joint</v>
      </c>
      <c r="BK27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HPDE Screened</v>
      </c>
      <c r="BL272" s="9">
        <f>TIM[[#This Row],[Voltage]]</f>
        <v>11</v>
      </c>
    </row>
    <row r="273" spans="1:64" ht="15" customHeight="1" x14ac:dyDescent="0.25">
      <c r="A273" s="6" t="str">
        <f>CONCATENATE(TIM[[#This Row],[Supply Level]],TIM[[#This Row],[Station/Feeder]],TIM[[#This Row],[Voltage]])</f>
        <v>DistributionFeederCB5_Craigie Ave11</v>
      </c>
      <c r="B273" s="6" t="str">
        <f>CONCATENATE(TIM[[#This Row],[Supply Level]],TIM[[#This Row],[Station/Feeder]],TIM[[#This Row],[Equipment ID]],TIM[[#This Row],[Voltage]],TIM[[#This Row],[Device type]])</f>
        <v>DistributionFeederCB5_Craigie Ave3c 185mm²  Al PILC SWAS11-</v>
      </c>
      <c r="C273" s="6" t="s">
        <v>1276</v>
      </c>
      <c r="D273" s="11" t="s">
        <v>183</v>
      </c>
      <c r="E273" s="6" t="s">
        <v>750</v>
      </c>
      <c r="F273" s="6" t="s">
        <v>993</v>
      </c>
      <c r="G273" s="27">
        <v>3</v>
      </c>
      <c r="H273" s="7" t="s">
        <v>985</v>
      </c>
      <c r="I273" s="7" t="s">
        <v>991</v>
      </c>
      <c r="J273" s="7" t="s">
        <v>250</v>
      </c>
      <c r="K273" s="7" t="s">
        <v>0</v>
      </c>
      <c r="L273" s="7" t="s">
        <v>0</v>
      </c>
      <c r="M273" s="8">
        <v>11</v>
      </c>
      <c r="N273" s="9">
        <v>300</v>
      </c>
      <c r="O273" s="9">
        <f t="shared" si="375"/>
        <v>5.715767664977295</v>
      </c>
      <c r="P273" s="9">
        <v>300</v>
      </c>
      <c r="Q273" s="9">
        <f t="shared" si="376"/>
        <v>5.715767664977295</v>
      </c>
      <c r="R273" s="9">
        <v>300</v>
      </c>
      <c r="S273" s="9">
        <f t="shared" si="377"/>
        <v>5.715767664977295</v>
      </c>
      <c r="T273" s="9" t="s">
        <v>0</v>
      </c>
      <c r="U273" s="9" t="str">
        <f t="shared" si="378"/>
        <v>-</v>
      </c>
      <c r="V273" s="9" t="s">
        <v>0</v>
      </c>
      <c r="W273" s="9" t="str">
        <f t="shared" si="379"/>
        <v>-</v>
      </c>
      <c r="X273" s="9" t="s">
        <v>0</v>
      </c>
      <c r="Y273" s="9" t="str">
        <f t="shared" si="380"/>
        <v>-</v>
      </c>
      <c r="Z273" s="9" t="s">
        <v>0</v>
      </c>
      <c r="AA273" s="9" t="str">
        <f t="shared" si="381"/>
        <v>-</v>
      </c>
      <c r="AB273" s="9" t="s">
        <v>0</v>
      </c>
      <c r="AC273" s="9" t="str">
        <f t="shared" si="382"/>
        <v>-</v>
      </c>
      <c r="AD273" s="9" t="s">
        <v>0</v>
      </c>
      <c r="AE273" s="12" t="str">
        <f t="shared" si="383"/>
        <v>-</v>
      </c>
      <c r="AF273" s="9" t="s">
        <v>716</v>
      </c>
      <c r="AG273" s="9" t="s">
        <v>0</v>
      </c>
      <c r="AH273" s="9">
        <v>56.4</v>
      </c>
      <c r="AI273" s="9">
        <v>0.9</v>
      </c>
      <c r="AJ273" s="32">
        <v>1.01</v>
      </c>
      <c r="AK273" s="9">
        <v>18.5</v>
      </c>
      <c r="AL273" s="32">
        <v>0.95199999999999996</v>
      </c>
      <c r="AM273" s="9">
        <v>1.2</v>
      </c>
      <c r="AN273" s="32">
        <v>1</v>
      </c>
      <c r="AO273" s="9">
        <v>4</v>
      </c>
      <c r="AP273" s="9">
        <v>0.3</v>
      </c>
      <c r="AQ273" s="32">
        <v>0.7</v>
      </c>
      <c r="AR273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201.91919999999996</v>
      </c>
      <c r="AS273" s="9">
        <f t="shared" si="384"/>
        <v>3.8470774476602769</v>
      </c>
      <c r="AT273" s="9">
        <f>IF(RIGHT(TIM[[#This Row],[Device type]],7)="Winding","-",TIM[[#This Row],[Cont Winter MVA]])</f>
        <v>5.715767664977295</v>
      </c>
      <c r="AU273" s="9">
        <f>IF(RIGHT(TIM[[#This Row],[Device type]],7)="Winding","-",TIM[[#This Row],[Cont Shoulder MVA]])</f>
        <v>5.715767664977295</v>
      </c>
      <c r="AV273" s="9">
        <f>IF(RIGHT(TIM[[#This Row],[Device type]],7)="Winding","-",TIM[[#This Row],[Cont Summer MVA]])</f>
        <v>5.715767664977295</v>
      </c>
      <c r="AW273" s="9" t="str">
        <f>TIM[[#This Row],[24 Hr Winter MVA]]</f>
        <v>-</v>
      </c>
      <c r="AX273" s="9" t="str">
        <f>TIM[[#This Row],[24 Hr Summer MVA]]</f>
        <v>-</v>
      </c>
      <c r="AY273" s="9" t="str">
        <f>TIM[[#This Row],[Forwards MVA]]</f>
        <v>-</v>
      </c>
      <c r="AZ273" s="9" t="str">
        <f>TIM[[#This Row],[Relay MVA]]</f>
        <v>-</v>
      </c>
      <c r="BA273" s="9" t="str">
        <f>TIM[[#This Row],[CT MVA]]</f>
        <v>-</v>
      </c>
      <c r="BB273" s="9">
        <f>TIM[[#This Row],[Derating MVA]]</f>
        <v>3.8470774476602769</v>
      </c>
      <c r="BC273" s="9" t="str">
        <f>TIM[[#This Row],[Station/Feeder]]&amp;TIM[[#This Row],[Lowest MVA]]</f>
        <v>CB5_Craigie Ave3.84707744766028</v>
      </c>
      <c r="BD273" s="9" t="str">
        <f>CONCATENATE(TIM[[#This Row],[Supply Level]],TIM[[#This Row],[Station/Feeder]],TIM[[#This Row],[Voltage]],TIM[[#This Row],[Lowest A-No PTX]])</f>
        <v>DistributionFeederCB5_Craigie Ave11201.9192</v>
      </c>
      <c r="BE273" s="9" t="str">
        <f>CONCATENATE(TIM[[#This Row],[Supply Level]],TIM[[#This Row],[Station/Feeder]],TIM[[#This Row],[Voltage]],TIM[[#This Row],[Lowest A-PTX]])</f>
        <v>DistributionFeederCB5_Craigie Ave11201.9192</v>
      </c>
      <c r="BF273" s="9">
        <f>IFERROR(IF(MIN(TIM[[#This Row],[Summ Cont Winter A]:[Cable Derating]])=0,"",MIN(TIM[[#This Row],[Summ Cont Winter A]:[Cable Derating]])),"")</f>
        <v>3.8470774476602769</v>
      </c>
      <c r="BG273" s="9">
        <f>IFERROR(TIM[[#This Row],[Lowest MVA]]*1000/(TIM[[#This Row],[Voltage]]*SQRT(3)),"")</f>
        <v>201.91919999999993</v>
      </c>
      <c r="BH273" s="9">
        <f t="shared" si="323"/>
        <v>201.91919999999996</v>
      </c>
      <c r="BI273" s="9" t="str">
        <f>TIM[[#This Row],[From]]</f>
        <v>Joint</v>
      </c>
      <c r="BJ273" s="9" t="str">
        <f>TIM[[#This Row],[To]]</f>
        <v xml:space="preserve">TEQ25 RMU </v>
      </c>
      <c r="BK27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 Al PILC SWAS</v>
      </c>
      <c r="BL273" s="9">
        <f>TIM[[#This Row],[Voltage]]</f>
        <v>11</v>
      </c>
    </row>
    <row r="274" spans="1:64" ht="15" hidden="1" customHeight="1" x14ac:dyDescent="0.25">
      <c r="A274" s="6" t="str">
        <f>CONCATENATE(TIM[[#This Row],[Supply Level]],TIM[[#This Row],[Station/Feeder]],TIM[[#This Row],[Voltage]])</f>
        <v>SubTransmissionGRM_NST_SUBTRANS11</v>
      </c>
      <c r="B274" s="6" t="str">
        <f>CONCATENATE(TIM[[#This Row],[Supply Level]],TIM[[#This Row],[Station/Feeder]],TIM[[#This Row],[Equipment ID]],TIM[[#This Row],[Voltage]],TIM[[#This Row],[Device type]])</f>
        <v>SubTransmissionGRM_NST_SUBTRANSNST-CB611Protection</v>
      </c>
      <c r="C274" s="6" t="s">
        <v>1245</v>
      </c>
      <c r="D274" s="11" t="s">
        <v>994</v>
      </c>
      <c r="E274" s="6" t="s">
        <v>995</v>
      </c>
      <c r="F274" s="6" t="s">
        <v>996</v>
      </c>
      <c r="G274" s="27" t="s">
        <v>0</v>
      </c>
      <c r="H274" s="7" t="s">
        <v>2376</v>
      </c>
      <c r="I274" s="7" t="s">
        <v>2275</v>
      </c>
      <c r="J274" s="7" t="s">
        <v>15</v>
      </c>
      <c r="K274" s="7" t="s">
        <v>791</v>
      </c>
      <c r="L274" s="7" t="s">
        <v>1423</v>
      </c>
      <c r="M274" s="8">
        <v>11</v>
      </c>
      <c r="N274" s="9">
        <v>1250</v>
      </c>
      <c r="O274" s="9">
        <f>IF(OR(N274="",N274="-"),"-",N274*$M274*SQRT(3)/1000)</f>
        <v>23.815698604072061</v>
      </c>
      <c r="P274" s="9">
        <v>1250</v>
      </c>
      <c r="Q274" s="9">
        <f>IF(OR(P274="",P274="-"),"-",P274*$M274*SQRT(3)/1000)</f>
        <v>23.815698604072061</v>
      </c>
      <c r="R274" s="9">
        <v>1250</v>
      </c>
      <c r="S274" s="9">
        <f>IF(OR(R274="",R274="-"),"-",R274*$M274*SQRT(3)/1000)</f>
        <v>23.815698604072061</v>
      </c>
      <c r="T274" s="9" t="s">
        <v>0</v>
      </c>
      <c r="U274" s="9" t="str">
        <f>IF(OR(T274="",T274="-"),"-",T274*$M274*SQRT(3)/1000)</f>
        <v>-</v>
      </c>
      <c r="V274" s="9" t="s">
        <v>0</v>
      </c>
      <c r="W274" s="9" t="str">
        <f>IF(OR(V274="",V274="-"),"-",V274*$M274*SQRT(3)/1000)</f>
        <v>-</v>
      </c>
      <c r="X274" s="9">
        <f>VLOOKUP(TIM[[#This Row],[Equipment ID]],AEL_Protection_Data[#All],12,0)</f>
        <v>400</v>
      </c>
      <c r="Y274" s="9">
        <f>IF(OR(X274="",X274="-"),"-",X274*$M274*SQRT(3)/1000)</f>
        <v>7.6210235533030604</v>
      </c>
      <c r="Z274" s="9" t="s">
        <v>0</v>
      </c>
      <c r="AA274" s="9" t="str">
        <f>IF(OR(Z274="",Z274="-"),"-",Z274*$M274*SQRT(3)/1000)</f>
        <v>-</v>
      </c>
      <c r="AB274" s="9">
        <v>800</v>
      </c>
      <c r="AC274" s="9">
        <f>IF(OR(AB274="",AB274="-"),"-",AB274*$M274*SQRT(3)/1000)</f>
        <v>15.242047106606121</v>
      </c>
      <c r="AD274" s="9">
        <v>800</v>
      </c>
      <c r="AE274" s="12">
        <f>IF(OR(AD274="",AD274="-"),"-",AD274*$M274*SQRT(3)/1000)</f>
        <v>15.242047106606121</v>
      </c>
      <c r="AF274" s="9" t="s">
        <v>0</v>
      </c>
      <c r="AG274" s="9" t="s">
        <v>0</v>
      </c>
      <c r="AH274" s="9" t="s">
        <v>0</v>
      </c>
      <c r="AI274" s="9" t="s">
        <v>0</v>
      </c>
      <c r="AJ274" s="32" t="s">
        <v>0</v>
      </c>
      <c r="AK274" s="9" t="s">
        <v>0</v>
      </c>
      <c r="AL274" s="32" t="s">
        <v>0</v>
      </c>
      <c r="AM274" s="9" t="s">
        <v>0</v>
      </c>
      <c r="AN274" s="32" t="s">
        <v>0</v>
      </c>
      <c r="AO274" s="9" t="s">
        <v>0</v>
      </c>
      <c r="AP274" s="9" t="s">
        <v>0</v>
      </c>
      <c r="AQ274" s="32" t="s">
        <v>0</v>
      </c>
      <c r="AR27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74" s="9" t="str">
        <f>IF(OR(AR274="",AR274="-"),"-",AR274*$M274*SQRT(3)/1000)</f>
        <v>-</v>
      </c>
      <c r="AT274" s="9">
        <f>IF(RIGHT(TIM[[#This Row],[Device type]],7)="Winding","-",TIM[[#This Row],[Cont Winter MVA]])</f>
        <v>23.815698604072061</v>
      </c>
      <c r="AU274" s="9">
        <f>IF(RIGHT(TIM[[#This Row],[Device type]],7)="Winding","-",TIM[[#This Row],[Cont Shoulder MVA]])</f>
        <v>23.815698604072061</v>
      </c>
      <c r="AV274" s="9">
        <f>IF(RIGHT(TIM[[#This Row],[Device type]],7)="Winding","-",TIM[[#This Row],[Cont Summer MVA]])</f>
        <v>23.815698604072061</v>
      </c>
      <c r="AW274" s="9" t="str">
        <f>TIM[[#This Row],[24 Hr Winter MVA]]</f>
        <v>-</v>
      </c>
      <c r="AX274" s="9" t="str">
        <f>TIM[[#This Row],[24 Hr Summer MVA]]</f>
        <v>-</v>
      </c>
      <c r="AY274" s="9">
        <f>TIM[[#This Row],[Forwards MVA]]</f>
        <v>7.6210235533030604</v>
      </c>
      <c r="AZ274" s="9">
        <f>TIM[[#This Row],[Relay MVA]]</f>
        <v>15.242047106606121</v>
      </c>
      <c r="BA274" s="9">
        <f>TIM[[#This Row],[CT MVA]]</f>
        <v>15.242047106606121</v>
      </c>
      <c r="BB274" s="9" t="str">
        <f>TIM[[#This Row],[Derating MVA]]</f>
        <v>-</v>
      </c>
      <c r="BC274" s="9" t="str">
        <f>TIM[[#This Row],[Station/Feeder]]&amp;TIM[[#This Row],[Lowest MVA]]</f>
        <v>GRM_NST_SUBTRANS7.62102355330306</v>
      </c>
      <c r="BD274" s="9" t="str">
        <f>CONCATENATE(TIM[[#This Row],[Supply Level]],TIM[[#This Row],[Station/Feeder]],TIM[[#This Row],[Voltage]],TIM[[#This Row],[Lowest A-No PTX]])</f>
        <v>SubTransmissionGRM_NST_SUBTRANS11400</v>
      </c>
      <c r="BE274" s="9" t="str">
        <f>CONCATENATE(TIM[[#This Row],[Supply Level]],TIM[[#This Row],[Station/Feeder]],TIM[[#This Row],[Voltage]],TIM[[#This Row],[Lowest A-PTX]])</f>
        <v>SubTransmissionGRM_NST_SUBTRANS11400</v>
      </c>
      <c r="BF274" s="9">
        <f>IFERROR(IF(MIN(TIM[[#This Row],[Summ Cont Winter A]:[Cable Derating]])=0,"",MIN(TIM[[#This Row],[Summ Cont Winter A]:[Cable Derating]])),"")</f>
        <v>7.6210235533030604</v>
      </c>
      <c r="BG274" s="9">
        <f>IFERROR(TIM[[#This Row],[Lowest MVA]]*1000/(TIM[[#This Row],[Voltage]]*SQRT(3)),"")</f>
        <v>400</v>
      </c>
      <c r="BH274" s="9">
        <f t="shared" si="323"/>
        <v>400</v>
      </c>
      <c r="BI274" s="9" t="str">
        <f>TIM[[#This Row],[From]]</f>
        <v>Grasmere</v>
      </c>
      <c r="BJ274" s="9" t="str">
        <f>TIM[[#This Row],[To]]</f>
        <v>NST6</v>
      </c>
      <c r="BK27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Breaker-NST-CB6-Protection</v>
      </c>
      <c r="BL274" s="9">
        <f>TIM[[#This Row],[Voltage]]</f>
        <v>11</v>
      </c>
    </row>
    <row r="275" spans="1:64" ht="15" hidden="1" customHeight="1" x14ac:dyDescent="0.25">
      <c r="A275" s="6" t="str">
        <f>CONCATENATE(TIM[[#This Row],[Supply Level]],TIM[[#This Row],[Station/Feeder]],TIM[[#This Row],[Voltage]])</f>
        <v>SubTransmissionTIM_NST_SUBTRANS11</v>
      </c>
      <c r="B275" s="6" t="str">
        <f>CONCATENATE(TIM[[#This Row],[Supply Level]],TIM[[#This Row],[Station/Feeder]],TIM[[#This Row],[Equipment ID]],TIM[[#This Row],[Voltage]],TIM[[#This Row],[Device type]])</f>
        <v>SubTransmissionTIM_NST_SUBTRANSNST-CB3511Protection</v>
      </c>
      <c r="C275" s="6" t="s">
        <v>1245</v>
      </c>
      <c r="D275" s="11" t="s">
        <v>93</v>
      </c>
      <c r="E275" s="6" t="s">
        <v>997</v>
      </c>
      <c r="F275" s="6" t="s">
        <v>810</v>
      </c>
      <c r="G275" s="27">
        <v>3</v>
      </c>
      <c r="H275" s="7" t="s">
        <v>2376</v>
      </c>
      <c r="I275" s="7" t="s">
        <v>2276</v>
      </c>
      <c r="J275" s="7" t="s">
        <v>15</v>
      </c>
      <c r="K275" s="7" t="s">
        <v>791</v>
      </c>
      <c r="L275" s="7" t="s">
        <v>1423</v>
      </c>
      <c r="M275" s="8">
        <v>11</v>
      </c>
      <c r="N275" s="9">
        <v>2500</v>
      </c>
      <c r="O275" s="9">
        <f>IF(OR(N275="",N275="-"),"-",N275*$M275*SQRT(3)/1000)</f>
        <v>47.631397208144122</v>
      </c>
      <c r="P275" s="9">
        <v>2500</v>
      </c>
      <c r="Q275" s="9">
        <f>IF(OR(P275="",P275="-"),"-",P275*$M275*SQRT(3)/1000)</f>
        <v>47.631397208144122</v>
      </c>
      <c r="R275" s="9">
        <v>2500</v>
      </c>
      <c r="S275" s="9">
        <f>IF(OR(R275="",R275="-"),"-",R275*$M275*SQRT(3)/1000)</f>
        <v>47.631397208144122</v>
      </c>
      <c r="T275" s="9" t="s">
        <v>0</v>
      </c>
      <c r="U275" s="9" t="str">
        <f>IF(OR(T275="",T275="-"),"-",T275*$M275*SQRT(3)/1000)</f>
        <v>-</v>
      </c>
      <c r="V275" s="9" t="s">
        <v>0</v>
      </c>
      <c r="W275" s="9" t="str">
        <f>IF(OR(V275="",V275="-"),"-",V275*$M275*SQRT(3)/1000)</f>
        <v>-</v>
      </c>
      <c r="X275" s="9">
        <f>VLOOKUP(TIM[[#This Row],[Equipment ID]],AEL_Protection_Data[#All],12,0)</f>
        <v>1188</v>
      </c>
      <c r="Y275" s="9">
        <f>IF(OR(X275="",X275="-"),"-",X275*$M275*SQRT(3)/1000)</f>
        <v>22.634439953310089</v>
      </c>
      <c r="Z275" s="9" t="s">
        <v>0</v>
      </c>
      <c r="AA275" s="9" t="str">
        <f>IF(OR(Z275="",Z275="-"),"-",Z275*$M275*SQRT(3)/1000)</f>
        <v>-</v>
      </c>
      <c r="AB275" s="9">
        <v>1200</v>
      </c>
      <c r="AC275" s="9">
        <f>IF(OR(AB275="",AB275="-"),"-",AB275*$M275*SQRT(3)/1000)</f>
        <v>22.86307065990918</v>
      </c>
      <c r="AD275" s="9">
        <v>1200</v>
      </c>
      <c r="AE275" s="12">
        <f>IF(OR(AD275="",AD275="-"),"-",AD275*$M275*SQRT(3)/1000)</f>
        <v>22.86307065990918</v>
      </c>
      <c r="AF275" s="9" t="s">
        <v>0</v>
      </c>
      <c r="AG275" s="9" t="s">
        <v>0</v>
      </c>
      <c r="AH275" s="9" t="s">
        <v>0</v>
      </c>
      <c r="AI275" s="9" t="s">
        <v>0</v>
      </c>
      <c r="AJ275" s="32" t="s">
        <v>0</v>
      </c>
      <c r="AK275" s="9" t="s">
        <v>0</v>
      </c>
      <c r="AL275" s="32" t="s">
        <v>0</v>
      </c>
      <c r="AM275" s="9" t="s">
        <v>0</v>
      </c>
      <c r="AN275" s="32" t="s">
        <v>0</v>
      </c>
      <c r="AO275" s="9" t="s">
        <v>0</v>
      </c>
      <c r="AP275" s="9" t="s">
        <v>0</v>
      </c>
      <c r="AQ275" s="32" t="s">
        <v>0</v>
      </c>
      <c r="AR275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75" s="9" t="str">
        <f>IF(OR(AR275="",AR275="-"),"-",AR275*$M275*SQRT(3)/1000)</f>
        <v>-</v>
      </c>
      <c r="AT275" s="9">
        <f>IF(RIGHT(TIM[[#This Row],[Device type]],7)="Winding","-",TIM[[#This Row],[Cont Winter MVA]])</f>
        <v>47.631397208144122</v>
      </c>
      <c r="AU275" s="9">
        <f>IF(RIGHT(TIM[[#This Row],[Device type]],7)="Winding","-",TIM[[#This Row],[Cont Shoulder MVA]])</f>
        <v>47.631397208144122</v>
      </c>
      <c r="AV275" s="9">
        <f>IF(RIGHT(TIM[[#This Row],[Device type]],7)="Winding","-",TIM[[#This Row],[Cont Summer MVA]])</f>
        <v>47.631397208144122</v>
      </c>
      <c r="AW275" s="9" t="str">
        <f>TIM[[#This Row],[24 Hr Winter MVA]]</f>
        <v>-</v>
      </c>
      <c r="AX275" s="9" t="str">
        <f>TIM[[#This Row],[24 Hr Summer MVA]]</f>
        <v>-</v>
      </c>
      <c r="AY275" s="9">
        <f>TIM[[#This Row],[Forwards MVA]]</f>
        <v>22.634439953310089</v>
      </c>
      <c r="AZ275" s="9">
        <f>TIM[[#This Row],[Relay MVA]]</f>
        <v>22.86307065990918</v>
      </c>
      <c r="BA275" s="9">
        <f>TIM[[#This Row],[CT MVA]]</f>
        <v>22.86307065990918</v>
      </c>
      <c r="BB275" s="9" t="str">
        <f>TIM[[#This Row],[Derating MVA]]</f>
        <v>-</v>
      </c>
      <c r="BC275" s="9" t="str">
        <f>TIM[[#This Row],[Station/Feeder]]&amp;TIM[[#This Row],[Lowest MVA]]</f>
        <v>TIM_NST_SUBTRANS22.6344399533101</v>
      </c>
      <c r="BD275" s="9" t="str">
        <f>CONCATENATE(TIM[[#This Row],[Supply Level]],TIM[[#This Row],[Station/Feeder]],TIM[[#This Row],[Voltage]],TIM[[#This Row],[Lowest A-No PTX]])</f>
        <v>SubTransmissionTIM_NST_SUBTRANS111188</v>
      </c>
      <c r="BE275" s="9" t="str">
        <f>CONCATENATE(TIM[[#This Row],[Supply Level]],TIM[[#This Row],[Station/Feeder]],TIM[[#This Row],[Voltage]],TIM[[#This Row],[Lowest A-PTX]])</f>
        <v>SubTransmissionTIM_NST_SUBTRANS111188</v>
      </c>
      <c r="BF275" s="9">
        <f>IFERROR(IF(MIN(TIM[[#This Row],[Summ Cont Winter A]:[Cable Derating]])=0,"",MIN(TIM[[#This Row],[Summ Cont Winter A]:[Cable Derating]])),"")</f>
        <v>22.634439953310089</v>
      </c>
      <c r="BG275" s="9">
        <f>IFERROR(TIM[[#This Row],[Lowest MVA]]*1000/(TIM[[#This Row],[Voltage]]*SQRT(3)),"")</f>
        <v>1188</v>
      </c>
      <c r="BH275" s="9">
        <f t="shared" si="323"/>
        <v>1188</v>
      </c>
      <c r="BI275" s="9" t="str">
        <f>TIM[[#This Row],[From]]</f>
        <v>Timaru</v>
      </c>
      <c r="BJ275" s="9" t="str">
        <f>TIM[[#This Row],[To]]</f>
        <v>NST35</v>
      </c>
      <c r="BK27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Breaker-NST-CB35-Protection</v>
      </c>
      <c r="BL275" s="9">
        <f>TIM[[#This Row],[Voltage]]</f>
        <v>11</v>
      </c>
    </row>
    <row r="276" spans="1:64" ht="15" hidden="1" customHeight="1" x14ac:dyDescent="0.25">
      <c r="A276" s="6" t="str">
        <f>CONCATENATE(TIM[[#This Row],[Supply Level]],TIM[[#This Row],[Station/Feeder]],TIM[[#This Row],[Voltage]])</f>
        <v>SubTransmissionHNT_NST_SUBTRANS11</v>
      </c>
      <c r="B276" s="6" t="str">
        <f>CONCATENATE(TIM[[#This Row],[Supply Level]],TIM[[#This Row],[Station/Feeder]],TIM[[#This Row],[Equipment ID]],TIM[[#This Row],[Voltage]],TIM[[#This Row],[Device type]])</f>
        <v>SubTransmissionHNT_NST_SUBTRANSNST-CB711Protection</v>
      </c>
      <c r="C276" s="6" t="s">
        <v>1245</v>
      </c>
      <c r="D276" s="11" t="s">
        <v>234</v>
      </c>
      <c r="E276" s="6" t="s">
        <v>998</v>
      </c>
      <c r="F276" s="6" t="s">
        <v>999</v>
      </c>
      <c r="G276" s="27" t="s">
        <v>0</v>
      </c>
      <c r="H276" s="7" t="s">
        <v>2376</v>
      </c>
      <c r="I276" s="7" t="s">
        <v>2277</v>
      </c>
      <c r="J276" s="7" t="s">
        <v>15</v>
      </c>
      <c r="K276" s="7" t="s">
        <v>791</v>
      </c>
      <c r="L276" s="7" t="s">
        <v>1423</v>
      </c>
      <c r="M276" s="8">
        <v>11</v>
      </c>
      <c r="N276" s="9">
        <v>1250</v>
      </c>
      <c r="O276" s="9">
        <f>IF(OR(N276="",N276="-"),"-",N276*$M276*SQRT(3)/1000)</f>
        <v>23.815698604072061</v>
      </c>
      <c r="P276" s="9">
        <v>1250</v>
      </c>
      <c r="Q276" s="9">
        <f>IF(OR(P276="",P276="-"),"-",P276*$M276*SQRT(3)/1000)</f>
        <v>23.815698604072061</v>
      </c>
      <c r="R276" s="9">
        <v>1250</v>
      </c>
      <c r="S276" s="9">
        <f>IF(OR(R276="",R276="-"),"-",R276*$M276*SQRT(3)/1000)</f>
        <v>23.815698604072061</v>
      </c>
      <c r="T276" s="9" t="s">
        <v>0</v>
      </c>
      <c r="U276" s="9" t="str">
        <f>IF(OR(T276="",T276="-"),"-",T276*$M276*SQRT(3)/1000)</f>
        <v>-</v>
      </c>
      <c r="V276" s="9" t="s">
        <v>0</v>
      </c>
      <c r="W276" s="9" t="str">
        <f>IF(OR(V276="",V276="-"),"-",V276*$M276*SQRT(3)/1000)</f>
        <v>-</v>
      </c>
      <c r="X276" s="9">
        <f>VLOOKUP(TIM[[#This Row],[Equipment ID]],AEL_Protection_Data[#All],12,0)</f>
        <v>400</v>
      </c>
      <c r="Y276" s="9">
        <f>IF(OR(X276="",X276="-"),"-",X276*$M276*SQRT(3)/1000)</f>
        <v>7.6210235533030604</v>
      </c>
      <c r="Z276" s="9" t="s">
        <v>0</v>
      </c>
      <c r="AA276" s="9" t="str">
        <f>IF(OR(Z276="",Z276="-"),"-",Z276*$M276*SQRT(3)/1000)</f>
        <v>-</v>
      </c>
      <c r="AB276" s="9">
        <v>800</v>
      </c>
      <c r="AC276" s="9">
        <f>IF(OR(AB276="",AB276="-"),"-",AB276*$M276*SQRT(3)/1000)</f>
        <v>15.242047106606121</v>
      </c>
      <c r="AD276" s="9">
        <v>800</v>
      </c>
      <c r="AE276" s="12">
        <f>IF(OR(AD276="",AD276="-"),"-",AD276*$M276*SQRT(3)/1000)</f>
        <v>15.242047106606121</v>
      </c>
      <c r="AF276" s="9" t="s">
        <v>0</v>
      </c>
      <c r="AG276" s="9" t="s">
        <v>0</v>
      </c>
      <c r="AH276" s="9" t="s">
        <v>0</v>
      </c>
      <c r="AI276" s="9" t="s">
        <v>0</v>
      </c>
      <c r="AJ276" s="32" t="s">
        <v>0</v>
      </c>
      <c r="AK276" s="9" t="s">
        <v>0</v>
      </c>
      <c r="AL276" s="32" t="s">
        <v>0</v>
      </c>
      <c r="AM276" s="9" t="s">
        <v>0</v>
      </c>
      <c r="AN276" s="32" t="s">
        <v>0</v>
      </c>
      <c r="AO276" s="9" t="s">
        <v>0</v>
      </c>
      <c r="AP276" s="9" t="s">
        <v>0</v>
      </c>
      <c r="AQ276" s="32" t="s">
        <v>0</v>
      </c>
      <c r="AR276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76" s="9" t="str">
        <f>IF(OR(AR276="",AR276="-"),"-",AR276*$M276*SQRT(3)/1000)</f>
        <v>-</v>
      </c>
      <c r="AT276" s="9">
        <f>IF(RIGHT(TIM[[#This Row],[Device type]],7)="Winding","-",TIM[[#This Row],[Cont Winter MVA]])</f>
        <v>23.815698604072061</v>
      </c>
      <c r="AU276" s="9">
        <f>IF(RIGHT(TIM[[#This Row],[Device type]],7)="Winding","-",TIM[[#This Row],[Cont Shoulder MVA]])</f>
        <v>23.815698604072061</v>
      </c>
      <c r="AV276" s="9">
        <f>IF(RIGHT(TIM[[#This Row],[Device type]],7)="Winding","-",TIM[[#This Row],[Cont Summer MVA]])</f>
        <v>23.815698604072061</v>
      </c>
      <c r="AW276" s="9" t="str">
        <f>TIM[[#This Row],[24 Hr Winter MVA]]</f>
        <v>-</v>
      </c>
      <c r="AX276" s="9" t="str">
        <f>TIM[[#This Row],[24 Hr Summer MVA]]</f>
        <v>-</v>
      </c>
      <c r="AY276" s="9">
        <f>TIM[[#This Row],[Forwards MVA]]</f>
        <v>7.6210235533030604</v>
      </c>
      <c r="AZ276" s="9">
        <f>TIM[[#This Row],[Relay MVA]]</f>
        <v>15.242047106606121</v>
      </c>
      <c r="BA276" s="9">
        <f>TIM[[#This Row],[CT MVA]]</f>
        <v>15.242047106606121</v>
      </c>
      <c r="BB276" s="9" t="str">
        <f>TIM[[#This Row],[Derating MVA]]</f>
        <v>-</v>
      </c>
      <c r="BC276" s="9" t="str">
        <f>TIM[[#This Row],[Station/Feeder]]&amp;TIM[[#This Row],[Lowest MVA]]</f>
        <v>HNT_NST_SUBTRANS7.62102355330306</v>
      </c>
      <c r="BD276" s="9" t="str">
        <f>CONCATENATE(TIM[[#This Row],[Supply Level]],TIM[[#This Row],[Station/Feeder]],TIM[[#This Row],[Voltage]],TIM[[#This Row],[Lowest A-No PTX]])</f>
        <v>SubTransmissionHNT_NST_SUBTRANS11400</v>
      </c>
      <c r="BE276" s="9" t="str">
        <f>CONCATENATE(TIM[[#This Row],[Supply Level]],TIM[[#This Row],[Station/Feeder]],TIM[[#This Row],[Voltage]],TIM[[#This Row],[Lowest A-PTX]])</f>
        <v>SubTransmissionHNT_NST_SUBTRANS11400</v>
      </c>
      <c r="BF276" s="9">
        <f>IFERROR(IF(MIN(TIM[[#This Row],[Summ Cont Winter A]:[Cable Derating]])=0,"",MIN(TIM[[#This Row],[Summ Cont Winter A]:[Cable Derating]])),"")</f>
        <v>7.6210235533030604</v>
      </c>
      <c r="BG276" s="9">
        <f>IFERROR(TIM[[#This Row],[Lowest MVA]]*1000/(TIM[[#This Row],[Voltage]]*SQRT(3)),"")</f>
        <v>400</v>
      </c>
      <c r="BH276" s="9">
        <f t="shared" si="323"/>
        <v>400</v>
      </c>
      <c r="BI276" s="9" t="str">
        <f>TIM[[#This Row],[From]]</f>
        <v>Hunt</v>
      </c>
      <c r="BJ276" s="9" t="str">
        <f>TIM[[#This Row],[To]]</f>
        <v>NST7</v>
      </c>
      <c r="BK27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Breaker-NST-CB7-Protection</v>
      </c>
      <c r="BL276" s="9">
        <f>TIM[[#This Row],[Voltage]]</f>
        <v>11</v>
      </c>
    </row>
    <row r="277" spans="1:64" ht="15" customHeight="1" x14ac:dyDescent="0.25">
      <c r="A277" s="14" t="str">
        <f>CONCATENATE(TIM[[#This Row],[Supply Level]],TIM[[#This Row],[Station/Feeder]],TIM[[#This Row],[Voltage]])</f>
        <v>DistributionFeederCB8_Barnard St11</v>
      </c>
      <c r="B277" s="14" t="str">
        <f>CONCATENATE(TIM[[#This Row],[Supply Level]],TIM[[#This Row],[Station/Feeder]],TIM[[#This Row],[Equipment ID]],TIM[[#This Row],[Voltage]],TIM[[#This Row],[Device type]])</f>
        <v>DistributionFeederCB8_Barnard StNST-CB811Protection</v>
      </c>
      <c r="C277" s="14" t="s">
        <v>1276</v>
      </c>
      <c r="D277" s="13" t="s">
        <v>186</v>
      </c>
      <c r="E277" s="14" t="s">
        <v>243</v>
      </c>
      <c r="F277" s="14" t="s">
        <v>1000</v>
      </c>
      <c r="G277" s="28">
        <v>1</v>
      </c>
      <c r="H277" s="7" t="s">
        <v>2376</v>
      </c>
      <c r="I277" s="39" t="s">
        <v>2344</v>
      </c>
      <c r="J277" s="39" t="s">
        <v>15</v>
      </c>
      <c r="K277" s="7" t="s">
        <v>791</v>
      </c>
      <c r="L277" s="7" t="s">
        <v>1423</v>
      </c>
      <c r="M277" s="8">
        <v>11</v>
      </c>
      <c r="N277" s="16">
        <v>1250</v>
      </c>
      <c r="O277" s="16">
        <f t="shared" si="375"/>
        <v>23.815698604072061</v>
      </c>
      <c r="P277" s="16">
        <v>1250</v>
      </c>
      <c r="Q277" s="16">
        <f t="shared" si="376"/>
        <v>23.815698604072061</v>
      </c>
      <c r="R277" s="16">
        <v>1250</v>
      </c>
      <c r="S277" s="16">
        <f t="shared" si="377"/>
        <v>23.815698604072061</v>
      </c>
      <c r="T277" s="16" t="s">
        <v>0</v>
      </c>
      <c r="U277" s="16" t="str">
        <f t="shared" si="378"/>
        <v>-</v>
      </c>
      <c r="V277" s="16" t="s">
        <v>0</v>
      </c>
      <c r="W277" s="16" t="str">
        <f t="shared" si="379"/>
        <v>-</v>
      </c>
      <c r="X277" s="16">
        <f>VLOOKUP(TIM[[#This Row],[Equipment ID]],AEL_Protection_Data[#All],12,0)</f>
        <v>200</v>
      </c>
      <c r="Y277" s="16">
        <f t="shared" si="380"/>
        <v>3.8105117766515302</v>
      </c>
      <c r="Z277" s="16" t="s">
        <v>0</v>
      </c>
      <c r="AA277" s="16" t="str">
        <f t="shared" si="381"/>
        <v>-</v>
      </c>
      <c r="AB277" s="16">
        <v>800</v>
      </c>
      <c r="AC277" s="16">
        <f t="shared" si="382"/>
        <v>15.242047106606121</v>
      </c>
      <c r="AD277" s="16">
        <v>800</v>
      </c>
      <c r="AE277" s="17">
        <f t="shared" si="383"/>
        <v>15.242047106606121</v>
      </c>
      <c r="AF277" s="16" t="s">
        <v>0</v>
      </c>
      <c r="AG277" s="16" t="s">
        <v>0</v>
      </c>
      <c r="AH277" s="9" t="s">
        <v>0</v>
      </c>
      <c r="AI277" s="16" t="s">
        <v>0</v>
      </c>
      <c r="AJ277" s="127" t="s">
        <v>0</v>
      </c>
      <c r="AK277" s="16" t="s">
        <v>0</v>
      </c>
      <c r="AL277" s="127" t="s">
        <v>0</v>
      </c>
      <c r="AM277" s="16" t="s">
        <v>0</v>
      </c>
      <c r="AN277" s="127" t="s">
        <v>0</v>
      </c>
      <c r="AO277" s="16" t="s">
        <v>0</v>
      </c>
      <c r="AP277" s="16" t="s">
        <v>0</v>
      </c>
      <c r="AQ277" s="127" t="s">
        <v>0</v>
      </c>
      <c r="AR277" s="16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77" s="16" t="str">
        <f t="shared" si="384"/>
        <v>-</v>
      </c>
      <c r="AT277" s="9">
        <f>IF(RIGHT(TIM[[#This Row],[Device type]],7)="Winding","-",TIM[[#This Row],[Cont Winter MVA]])</f>
        <v>23.815698604072061</v>
      </c>
      <c r="AU277" s="9">
        <f>IF(RIGHT(TIM[[#This Row],[Device type]],7)="Winding","-",TIM[[#This Row],[Cont Shoulder MVA]])</f>
        <v>23.815698604072061</v>
      </c>
      <c r="AV277" s="9">
        <f>IF(RIGHT(TIM[[#This Row],[Device type]],7)="Winding","-",TIM[[#This Row],[Cont Summer MVA]])</f>
        <v>23.815698604072061</v>
      </c>
      <c r="AW277" s="9" t="str">
        <f>TIM[[#This Row],[24 Hr Winter MVA]]</f>
        <v>-</v>
      </c>
      <c r="AX277" s="9" t="str">
        <f>TIM[[#This Row],[24 Hr Summer MVA]]</f>
        <v>-</v>
      </c>
      <c r="AY277" s="9">
        <f>TIM[[#This Row],[Forwards MVA]]</f>
        <v>3.8105117766515302</v>
      </c>
      <c r="AZ277" s="9">
        <f>TIM[[#This Row],[Relay MVA]]</f>
        <v>15.242047106606121</v>
      </c>
      <c r="BA277" s="9">
        <f>TIM[[#This Row],[CT MVA]]</f>
        <v>15.242047106606121</v>
      </c>
      <c r="BB277" s="9" t="str">
        <f>TIM[[#This Row],[Derating MVA]]</f>
        <v>-</v>
      </c>
      <c r="BC277" s="9" t="str">
        <f>TIM[[#This Row],[Station/Feeder]]&amp;TIM[[#This Row],[Lowest MVA]]</f>
        <v>CB8_Barnard St3.81051177665153</v>
      </c>
      <c r="BD277" s="9" t="str">
        <f>CONCATENATE(TIM[[#This Row],[Supply Level]],TIM[[#This Row],[Station/Feeder]],TIM[[#This Row],[Voltage]],TIM[[#This Row],[Lowest A-No PTX]])</f>
        <v>DistributionFeederCB8_Barnard St11200</v>
      </c>
      <c r="BE277" s="9" t="str">
        <f>CONCATENATE(TIM[[#This Row],[Supply Level]],TIM[[#This Row],[Station/Feeder]],TIM[[#This Row],[Voltage]],TIM[[#This Row],[Lowest A-PTX]])</f>
        <v>DistributionFeederCB8_Barnard St11200</v>
      </c>
      <c r="BF277" s="9">
        <f>IFERROR(IF(MIN(TIM[[#This Row],[Summ Cont Winter A]:[Cable Derating]])=0,"",MIN(TIM[[#This Row],[Summ Cont Winter A]:[Cable Derating]])),"")</f>
        <v>3.8105117766515302</v>
      </c>
      <c r="BG277" s="9">
        <f>IFERROR(TIM[[#This Row],[Lowest MVA]]*1000/(TIM[[#This Row],[Voltage]]*SQRT(3)),"")</f>
        <v>200</v>
      </c>
      <c r="BH277" s="9">
        <f t="shared" si="323"/>
        <v>200</v>
      </c>
      <c r="BI277" s="9" t="str">
        <f>TIM[[#This Row],[From]]</f>
        <v>11 kV Bus</v>
      </c>
      <c r="BJ277" s="9" t="str">
        <f>TIM[[#This Row],[To]]</f>
        <v xml:space="preserve">NST08 </v>
      </c>
      <c r="BK27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Breaker-NST-CB8-Protection</v>
      </c>
      <c r="BL277" s="9">
        <f>TIM[[#This Row],[Voltage]]</f>
        <v>11</v>
      </c>
    </row>
    <row r="278" spans="1:64" ht="15" customHeight="1" x14ac:dyDescent="0.25">
      <c r="A278" s="14" t="str">
        <f>CONCATENATE(TIM[[#This Row],[Supply Level]],TIM[[#This Row],[Station/Feeder]],TIM[[#This Row],[Voltage]])</f>
        <v>DistributionFeederCB8_Barnard St11</v>
      </c>
      <c r="B278" s="14" t="str">
        <f>CONCATENATE(TIM[[#This Row],[Supply Level]],TIM[[#This Row],[Station/Feeder]],TIM[[#This Row],[Equipment ID]],TIM[[#This Row],[Voltage]],TIM[[#This Row],[Device type]])</f>
        <v>DistributionFeederCB8_Barnard St3/1c 400mm² Al XLPE HPDE Screened11-</v>
      </c>
      <c r="C278" s="14" t="s">
        <v>1276</v>
      </c>
      <c r="D278" s="13" t="s">
        <v>186</v>
      </c>
      <c r="E278" s="6" t="s">
        <v>1000</v>
      </c>
      <c r="F278" s="6" t="s">
        <v>750</v>
      </c>
      <c r="G278" s="27">
        <v>2</v>
      </c>
      <c r="H278" s="7" t="s">
        <v>985</v>
      </c>
      <c r="I278" s="7" t="s">
        <v>986</v>
      </c>
      <c r="J278" s="7" t="s">
        <v>250</v>
      </c>
      <c r="K278" s="7" t="s">
        <v>0</v>
      </c>
      <c r="L278" s="7" t="s">
        <v>0</v>
      </c>
      <c r="M278" s="8">
        <v>11</v>
      </c>
      <c r="N278" s="9">
        <v>537</v>
      </c>
      <c r="O278" s="9">
        <f t="shared" si="375"/>
        <v>10.231224120309358</v>
      </c>
      <c r="P278" s="9">
        <v>537</v>
      </c>
      <c r="Q278" s="9">
        <f t="shared" si="376"/>
        <v>10.231224120309358</v>
      </c>
      <c r="R278" s="9">
        <v>537</v>
      </c>
      <c r="S278" s="9">
        <f t="shared" si="377"/>
        <v>10.231224120309358</v>
      </c>
      <c r="T278" s="9" t="s">
        <v>0</v>
      </c>
      <c r="U278" s="9" t="str">
        <f t="shared" si="378"/>
        <v>-</v>
      </c>
      <c r="V278" s="9" t="s">
        <v>0</v>
      </c>
      <c r="W278" s="9" t="str">
        <f t="shared" si="379"/>
        <v>-</v>
      </c>
      <c r="X278" s="9" t="s">
        <v>0</v>
      </c>
      <c r="Y278" s="9" t="str">
        <f t="shared" si="380"/>
        <v>-</v>
      </c>
      <c r="Z278" s="9" t="s">
        <v>0</v>
      </c>
      <c r="AA278" s="9" t="str">
        <f t="shared" si="381"/>
        <v>-</v>
      </c>
      <c r="AB278" s="9" t="s">
        <v>0</v>
      </c>
      <c r="AC278" s="9" t="str">
        <f t="shared" si="382"/>
        <v>-</v>
      </c>
      <c r="AD278" s="9" t="s">
        <v>0</v>
      </c>
      <c r="AE278" s="12" t="str">
        <f t="shared" si="383"/>
        <v>-</v>
      </c>
      <c r="AF278" s="159" t="s">
        <v>713</v>
      </c>
      <c r="AG278" s="9" t="s">
        <v>0</v>
      </c>
      <c r="AH278" s="9">
        <v>194.9</v>
      </c>
      <c r="AI278" s="9">
        <v>0.93</v>
      </c>
      <c r="AJ278" s="43">
        <v>1.01</v>
      </c>
      <c r="AK278" s="9">
        <v>18.5</v>
      </c>
      <c r="AL278" s="43">
        <v>0.97199999999999998</v>
      </c>
      <c r="AM278" s="9">
        <v>1.2</v>
      </c>
      <c r="AN278" s="43">
        <v>1</v>
      </c>
      <c r="AO278" s="9">
        <v>4</v>
      </c>
      <c r="AP278" s="9">
        <v>0.54</v>
      </c>
      <c r="AQ278" s="43">
        <v>0.82</v>
      </c>
      <c r="AR278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432.29058480000003</v>
      </c>
      <c r="AS278" s="9">
        <f t="shared" si="384"/>
        <v>8.2362418215798847</v>
      </c>
      <c r="AT278" s="9">
        <f>IF(RIGHT(TIM[[#This Row],[Device type]],7)="Winding","-",TIM[[#This Row],[Cont Winter MVA]])</f>
        <v>10.231224120309358</v>
      </c>
      <c r="AU278" s="9">
        <f>IF(RIGHT(TIM[[#This Row],[Device type]],7)="Winding","-",TIM[[#This Row],[Cont Shoulder MVA]])</f>
        <v>10.231224120309358</v>
      </c>
      <c r="AV278" s="9">
        <f>IF(RIGHT(TIM[[#This Row],[Device type]],7)="Winding","-",TIM[[#This Row],[Cont Summer MVA]])</f>
        <v>10.231224120309358</v>
      </c>
      <c r="AW278" s="9" t="str">
        <f>TIM[[#This Row],[24 Hr Winter MVA]]</f>
        <v>-</v>
      </c>
      <c r="AX278" s="9" t="str">
        <f>TIM[[#This Row],[24 Hr Summer MVA]]</f>
        <v>-</v>
      </c>
      <c r="AY278" s="9" t="str">
        <f>TIM[[#This Row],[Forwards MVA]]</f>
        <v>-</v>
      </c>
      <c r="AZ278" s="9" t="str">
        <f>TIM[[#This Row],[Relay MVA]]</f>
        <v>-</v>
      </c>
      <c r="BA278" s="9" t="str">
        <f>TIM[[#This Row],[CT MVA]]</f>
        <v>-</v>
      </c>
      <c r="BB278" s="9">
        <f>TIM[[#This Row],[Derating MVA]]</f>
        <v>8.2362418215798847</v>
      </c>
      <c r="BC278" s="9" t="str">
        <f>TIM[[#This Row],[Station/Feeder]]&amp;TIM[[#This Row],[Lowest MVA]]</f>
        <v>CB8_Barnard St8.23624182157988</v>
      </c>
      <c r="BD278" s="9" t="str">
        <f>CONCATENATE(TIM[[#This Row],[Supply Level]],TIM[[#This Row],[Station/Feeder]],TIM[[#This Row],[Voltage]],TIM[[#This Row],[Lowest A-No PTX]])</f>
        <v>DistributionFeederCB8_Barnard St11432.2905848</v>
      </c>
      <c r="BE278" s="9" t="str">
        <f>CONCATENATE(TIM[[#This Row],[Supply Level]],TIM[[#This Row],[Station/Feeder]],TIM[[#This Row],[Voltage]],TIM[[#This Row],[Lowest A-PTX]])</f>
        <v>DistributionFeederCB8_Barnard St11432.2905848</v>
      </c>
      <c r="BF278" s="9">
        <f>IFERROR(IF(MIN(TIM[[#This Row],[Summ Cont Winter A]:[Cable Derating]])=0,"",MIN(TIM[[#This Row],[Summ Cont Winter A]:[Cable Derating]])),"")</f>
        <v>8.2362418215798847</v>
      </c>
      <c r="BG278" s="9">
        <f>IFERROR(TIM[[#This Row],[Lowest MVA]]*1000/(TIM[[#This Row],[Voltage]]*SQRT(3)),"")</f>
        <v>432.29058479999998</v>
      </c>
      <c r="BH278" s="9">
        <f t="shared" si="323"/>
        <v>432.29058480000003</v>
      </c>
      <c r="BI278" s="9" t="str">
        <f>TIM[[#This Row],[From]]</f>
        <v xml:space="preserve">NST08 </v>
      </c>
      <c r="BJ278" s="9" t="str">
        <f>TIM[[#This Row],[To]]</f>
        <v>Joint</v>
      </c>
      <c r="BK27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HPDE Screened</v>
      </c>
      <c r="BL278" s="9">
        <f>TIM[[#This Row],[Voltage]]</f>
        <v>11</v>
      </c>
    </row>
    <row r="279" spans="1:64" ht="15" customHeight="1" x14ac:dyDescent="0.25">
      <c r="A279" s="14" t="str">
        <f>CONCATENATE(TIM[[#This Row],[Supply Level]],TIM[[#This Row],[Station/Feeder]],TIM[[#This Row],[Voltage]])</f>
        <v>DistributionFeederCB8_Barnard St11</v>
      </c>
      <c r="B279" s="14" t="str">
        <f>CONCATENATE(TIM[[#This Row],[Supply Level]],TIM[[#This Row],[Station/Feeder]],TIM[[#This Row],[Equipment ID]],TIM[[#This Row],[Voltage]],TIM[[#This Row],[Device type]])</f>
        <v>DistributionFeederCB8_Barnard St3c 0.15in² Cu PILC STA11-</v>
      </c>
      <c r="C279" s="14" t="s">
        <v>1276</v>
      </c>
      <c r="D279" s="13" t="s">
        <v>186</v>
      </c>
      <c r="E279" s="6" t="s">
        <v>750</v>
      </c>
      <c r="F279" s="6" t="s">
        <v>1001</v>
      </c>
      <c r="G279" s="27">
        <v>3</v>
      </c>
      <c r="H279" s="7" t="s">
        <v>985</v>
      </c>
      <c r="I279" s="7" t="s">
        <v>1002</v>
      </c>
      <c r="J279" s="7" t="s">
        <v>250</v>
      </c>
      <c r="K279" s="49" t="s">
        <v>0</v>
      </c>
      <c r="L279" s="49" t="s">
        <v>0</v>
      </c>
      <c r="M279" s="8">
        <v>11</v>
      </c>
      <c r="N279" s="9">
        <v>221</v>
      </c>
      <c r="O279" s="9">
        <f t="shared" si="375"/>
        <v>4.2106155131999401</v>
      </c>
      <c r="P279" s="9">
        <v>221</v>
      </c>
      <c r="Q279" s="9">
        <f t="shared" si="376"/>
        <v>4.2106155131999401</v>
      </c>
      <c r="R279" s="9">
        <v>221</v>
      </c>
      <c r="S279" s="9">
        <f t="shared" si="377"/>
        <v>4.2106155131999401</v>
      </c>
      <c r="T279" s="9" t="s">
        <v>0</v>
      </c>
      <c r="U279" s="9" t="str">
        <f t="shared" si="378"/>
        <v>-</v>
      </c>
      <c r="V279" s="9" t="s">
        <v>0</v>
      </c>
      <c r="W279" s="9" t="str">
        <f t="shared" si="379"/>
        <v>-</v>
      </c>
      <c r="X279" s="9" t="s">
        <v>0</v>
      </c>
      <c r="Y279" s="9" t="str">
        <f t="shared" si="380"/>
        <v>-</v>
      </c>
      <c r="Z279" s="9" t="s">
        <v>0</v>
      </c>
      <c r="AA279" s="9" t="str">
        <f t="shared" si="381"/>
        <v>-</v>
      </c>
      <c r="AB279" s="9" t="s">
        <v>0</v>
      </c>
      <c r="AC279" s="9" t="str">
        <f t="shared" si="382"/>
        <v>-</v>
      </c>
      <c r="AD279" s="9" t="s">
        <v>0</v>
      </c>
      <c r="AE279" s="12" t="str">
        <f t="shared" si="383"/>
        <v>-</v>
      </c>
      <c r="AF279" s="160" t="s">
        <v>716</v>
      </c>
      <c r="AG279" s="9" t="s">
        <v>0</v>
      </c>
      <c r="AH279" s="9">
        <v>332.66999999999996</v>
      </c>
      <c r="AI279" s="9">
        <v>1</v>
      </c>
      <c r="AJ279" s="32">
        <v>1</v>
      </c>
      <c r="AK279" s="9">
        <v>18.5</v>
      </c>
      <c r="AL279" s="32">
        <v>0.95199999999999996</v>
      </c>
      <c r="AM279" s="9">
        <v>1.2</v>
      </c>
      <c r="AN279" s="32">
        <v>1</v>
      </c>
      <c r="AO279" s="9">
        <v>4</v>
      </c>
      <c r="AP279" s="9">
        <v>0.54</v>
      </c>
      <c r="AQ279" s="32">
        <v>0.82</v>
      </c>
      <c r="AR279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172.52143999999998</v>
      </c>
      <c r="AS279" s="9">
        <f t="shared" si="384"/>
        <v>3.2869748942244015</v>
      </c>
      <c r="AT279" s="9">
        <f>IF(RIGHT(TIM[[#This Row],[Device type]],7)="Winding","-",TIM[[#This Row],[Cont Winter MVA]])</f>
        <v>4.2106155131999401</v>
      </c>
      <c r="AU279" s="9">
        <f>IF(RIGHT(TIM[[#This Row],[Device type]],7)="Winding","-",TIM[[#This Row],[Cont Shoulder MVA]])</f>
        <v>4.2106155131999401</v>
      </c>
      <c r="AV279" s="9">
        <f>IF(RIGHT(TIM[[#This Row],[Device type]],7)="Winding","-",TIM[[#This Row],[Cont Summer MVA]])</f>
        <v>4.2106155131999401</v>
      </c>
      <c r="AW279" s="9" t="str">
        <f>TIM[[#This Row],[24 Hr Winter MVA]]</f>
        <v>-</v>
      </c>
      <c r="AX279" s="9" t="str">
        <f>TIM[[#This Row],[24 Hr Summer MVA]]</f>
        <v>-</v>
      </c>
      <c r="AY279" s="9" t="str">
        <f>TIM[[#This Row],[Forwards MVA]]</f>
        <v>-</v>
      </c>
      <c r="AZ279" s="9" t="str">
        <f>TIM[[#This Row],[Relay MVA]]</f>
        <v>-</v>
      </c>
      <c r="BA279" s="9" t="str">
        <f>TIM[[#This Row],[CT MVA]]</f>
        <v>-</v>
      </c>
      <c r="BB279" s="9">
        <f>TIM[[#This Row],[Derating MVA]]</f>
        <v>3.2869748942244015</v>
      </c>
      <c r="BC279" s="9" t="str">
        <f>TIM[[#This Row],[Station/Feeder]]&amp;TIM[[#This Row],[Lowest MVA]]</f>
        <v>CB8_Barnard St3.2869748942244</v>
      </c>
      <c r="BD279" s="9" t="str">
        <f>CONCATENATE(TIM[[#This Row],[Supply Level]],TIM[[#This Row],[Station/Feeder]],TIM[[#This Row],[Voltage]],TIM[[#This Row],[Lowest A-No PTX]])</f>
        <v>DistributionFeederCB8_Barnard St11172.52144</v>
      </c>
      <c r="BE279" s="9" t="str">
        <f>CONCATENATE(TIM[[#This Row],[Supply Level]],TIM[[#This Row],[Station/Feeder]],TIM[[#This Row],[Voltage]],TIM[[#This Row],[Lowest A-PTX]])</f>
        <v>DistributionFeederCB8_Barnard St11172.52144</v>
      </c>
      <c r="BF279" s="9">
        <f>IFERROR(IF(MIN(TIM[[#This Row],[Summ Cont Winter A]:[Cable Derating]])=0,"",MIN(TIM[[#This Row],[Summ Cont Winter A]:[Cable Derating]])),"")</f>
        <v>3.2869748942244015</v>
      </c>
      <c r="BG279" s="9">
        <f>IFERROR(TIM[[#This Row],[Lowest MVA]]*1000/(TIM[[#This Row],[Voltage]]*SQRT(3)),"")</f>
        <v>172.52143999999998</v>
      </c>
      <c r="BH279" s="9">
        <f t="shared" si="323"/>
        <v>172.52143999999998</v>
      </c>
      <c r="BI279" s="9" t="str">
        <f>TIM[[#This Row],[From]]</f>
        <v>Joint</v>
      </c>
      <c r="BJ279" s="9" t="str">
        <f>TIM[[#This Row],[To]]</f>
        <v>TEW1</v>
      </c>
      <c r="BK27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0.15in² Cu PILC STA</v>
      </c>
      <c r="BL279" s="9">
        <f>TIM[[#This Row],[Voltage]]</f>
        <v>11</v>
      </c>
    </row>
    <row r="280" spans="1:64" ht="15" customHeight="1" x14ac:dyDescent="0.25">
      <c r="A280" s="14" t="str">
        <f>CONCATENATE(TIM[[#This Row],[Supply Level]],TIM[[#This Row],[Station/Feeder]],TIM[[#This Row],[Voltage]])</f>
        <v>DistributionFeederCB9_Port 111</v>
      </c>
      <c r="B280" s="14" t="str">
        <f>CONCATENATE(TIM[[#This Row],[Supply Level]],TIM[[#This Row],[Station/Feeder]],TIM[[#This Row],[Equipment ID]],TIM[[#This Row],[Voltage]],TIM[[#This Row],[Device type]])</f>
        <v>DistributionFeederCB9_Port 1NST-CB911Protection</v>
      </c>
      <c r="C280" s="14" t="s">
        <v>1276</v>
      </c>
      <c r="D280" s="11" t="s">
        <v>188</v>
      </c>
      <c r="E280" s="6" t="s">
        <v>243</v>
      </c>
      <c r="F280" s="6" t="s">
        <v>1003</v>
      </c>
      <c r="G280" s="27">
        <v>1</v>
      </c>
      <c r="H280" s="7" t="s">
        <v>2376</v>
      </c>
      <c r="I280" s="7" t="s">
        <v>2345</v>
      </c>
      <c r="J280" s="7" t="s">
        <v>15</v>
      </c>
      <c r="K280" s="49" t="s">
        <v>791</v>
      </c>
      <c r="L280" s="49" t="s">
        <v>1423</v>
      </c>
      <c r="M280" s="8">
        <v>11</v>
      </c>
      <c r="N280" s="9">
        <v>1250</v>
      </c>
      <c r="O280" s="9">
        <f t="shared" si="375"/>
        <v>23.815698604072061</v>
      </c>
      <c r="P280" s="9">
        <v>1250</v>
      </c>
      <c r="Q280" s="9">
        <f t="shared" si="376"/>
        <v>23.815698604072061</v>
      </c>
      <c r="R280" s="9">
        <v>1250</v>
      </c>
      <c r="S280" s="9">
        <f t="shared" si="377"/>
        <v>23.815698604072061</v>
      </c>
      <c r="T280" s="9" t="s">
        <v>0</v>
      </c>
      <c r="U280" s="9" t="str">
        <f t="shared" si="378"/>
        <v>-</v>
      </c>
      <c r="V280" s="9" t="s">
        <v>0</v>
      </c>
      <c r="W280" s="9" t="str">
        <f t="shared" si="379"/>
        <v>-</v>
      </c>
      <c r="X280" s="9">
        <f>VLOOKUP(TIM[[#This Row],[Equipment ID]],AEL_Protection_Data[#All],12,0)</f>
        <v>304</v>
      </c>
      <c r="Y280" s="9">
        <f t="shared" si="380"/>
        <v>5.7919779005103251</v>
      </c>
      <c r="Z280" s="9" t="s">
        <v>0</v>
      </c>
      <c r="AA280" s="9" t="str">
        <f t="shared" si="381"/>
        <v>-</v>
      </c>
      <c r="AB280" s="9">
        <v>800</v>
      </c>
      <c r="AC280" s="9">
        <f t="shared" si="382"/>
        <v>15.242047106606121</v>
      </c>
      <c r="AD280" s="9">
        <v>800</v>
      </c>
      <c r="AE280" s="12">
        <f t="shared" si="383"/>
        <v>15.242047106606121</v>
      </c>
      <c r="AF280" s="9" t="s">
        <v>0</v>
      </c>
      <c r="AG280" s="9" t="s">
        <v>0</v>
      </c>
      <c r="AH280" s="9" t="s">
        <v>0</v>
      </c>
      <c r="AI280" s="9" t="s">
        <v>0</v>
      </c>
      <c r="AJ280" s="32" t="s">
        <v>0</v>
      </c>
      <c r="AK280" s="9" t="s">
        <v>0</v>
      </c>
      <c r="AL280" s="32" t="s">
        <v>0</v>
      </c>
      <c r="AM280" s="9" t="s">
        <v>0</v>
      </c>
      <c r="AN280" s="32" t="s">
        <v>0</v>
      </c>
      <c r="AO280" s="9" t="s">
        <v>0</v>
      </c>
      <c r="AP280" s="9" t="s">
        <v>0</v>
      </c>
      <c r="AQ280" s="32" t="s">
        <v>0</v>
      </c>
      <c r="AR28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80" s="9" t="str">
        <f t="shared" si="384"/>
        <v>-</v>
      </c>
      <c r="AT280" s="9">
        <f>IF(RIGHT(TIM[[#This Row],[Device type]],7)="Winding","-",TIM[[#This Row],[Cont Winter MVA]])</f>
        <v>23.815698604072061</v>
      </c>
      <c r="AU280" s="9">
        <f>IF(RIGHT(TIM[[#This Row],[Device type]],7)="Winding","-",TIM[[#This Row],[Cont Shoulder MVA]])</f>
        <v>23.815698604072061</v>
      </c>
      <c r="AV280" s="9">
        <f>IF(RIGHT(TIM[[#This Row],[Device type]],7)="Winding","-",TIM[[#This Row],[Cont Summer MVA]])</f>
        <v>23.815698604072061</v>
      </c>
      <c r="AW280" s="9" t="str">
        <f>TIM[[#This Row],[24 Hr Winter MVA]]</f>
        <v>-</v>
      </c>
      <c r="AX280" s="9" t="str">
        <f>TIM[[#This Row],[24 Hr Summer MVA]]</f>
        <v>-</v>
      </c>
      <c r="AY280" s="9">
        <f>TIM[[#This Row],[Forwards MVA]]</f>
        <v>5.7919779005103251</v>
      </c>
      <c r="AZ280" s="9">
        <f>TIM[[#This Row],[Relay MVA]]</f>
        <v>15.242047106606121</v>
      </c>
      <c r="BA280" s="9">
        <f>TIM[[#This Row],[CT MVA]]</f>
        <v>15.242047106606121</v>
      </c>
      <c r="BB280" s="9" t="str">
        <f>TIM[[#This Row],[Derating MVA]]</f>
        <v>-</v>
      </c>
      <c r="BC280" s="9" t="str">
        <f>TIM[[#This Row],[Station/Feeder]]&amp;TIM[[#This Row],[Lowest MVA]]</f>
        <v>CB9_Port 15.79197790051033</v>
      </c>
      <c r="BD280" s="9" t="str">
        <f>CONCATENATE(TIM[[#This Row],[Supply Level]],TIM[[#This Row],[Station/Feeder]],TIM[[#This Row],[Voltage]],TIM[[#This Row],[Lowest A-No PTX]])</f>
        <v>DistributionFeederCB9_Port 111304</v>
      </c>
      <c r="BE280" s="9" t="str">
        <f>CONCATENATE(TIM[[#This Row],[Supply Level]],TIM[[#This Row],[Station/Feeder]],TIM[[#This Row],[Voltage]],TIM[[#This Row],[Lowest A-PTX]])</f>
        <v>DistributionFeederCB9_Port 111304</v>
      </c>
      <c r="BF280" s="9">
        <f>IFERROR(IF(MIN(TIM[[#This Row],[Summ Cont Winter A]:[Cable Derating]])=0,"",MIN(TIM[[#This Row],[Summ Cont Winter A]:[Cable Derating]])),"")</f>
        <v>5.7919779005103251</v>
      </c>
      <c r="BG280" s="9">
        <f>IFERROR(TIM[[#This Row],[Lowest MVA]]*1000/(TIM[[#This Row],[Voltage]]*SQRT(3)),"")</f>
        <v>304</v>
      </c>
      <c r="BH280" s="9">
        <f t="shared" si="323"/>
        <v>304</v>
      </c>
      <c r="BI280" s="9" t="str">
        <f>TIM[[#This Row],[From]]</f>
        <v>11 kV Bus</v>
      </c>
      <c r="BJ280" s="9" t="str">
        <f>TIM[[#This Row],[To]]</f>
        <v>NST09</v>
      </c>
      <c r="BK28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Breaker-NST-CB9-Protection</v>
      </c>
      <c r="BL280" s="9">
        <f>TIM[[#This Row],[Voltage]]</f>
        <v>11</v>
      </c>
    </row>
    <row r="281" spans="1:64" ht="15" customHeight="1" x14ac:dyDescent="0.25">
      <c r="A281" s="14" t="str">
        <f>CONCATENATE(TIM[[#This Row],[Supply Level]],TIM[[#This Row],[Station/Feeder]],TIM[[#This Row],[Voltage]])</f>
        <v>DistributionFeederCB9_Port 111</v>
      </c>
      <c r="B281" s="14" t="str">
        <f>CONCATENATE(TIM[[#This Row],[Supply Level]],TIM[[#This Row],[Station/Feeder]],TIM[[#This Row],[Equipment ID]],TIM[[#This Row],[Voltage]],TIM[[#This Row],[Device type]])</f>
        <v>DistributionFeederCB9_Port 13/1c 400mm² Al XLPE HPDE Screened11-</v>
      </c>
      <c r="C281" s="14" t="s">
        <v>1276</v>
      </c>
      <c r="D281" s="11" t="s">
        <v>188</v>
      </c>
      <c r="E281" s="6" t="s">
        <v>1003</v>
      </c>
      <c r="F281" s="6" t="s">
        <v>750</v>
      </c>
      <c r="G281" s="27">
        <v>2</v>
      </c>
      <c r="H281" s="7" t="s">
        <v>985</v>
      </c>
      <c r="I281" s="7" t="s">
        <v>986</v>
      </c>
      <c r="J281" s="7" t="s">
        <v>250</v>
      </c>
      <c r="K281" s="49" t="s">
        <v>0</v>
      </c>
      <c r="L281" s="49" t="s">
        <v>0</v>
      </c>
      <c r="M281" s="8">
        <v>11</v>
      </c>
      <c r="N281" s="9">
        <v>537</v>
      </c>
      <c r="O281" s="9">
        <f t="shared" si="375"/>
        <v>10.231224120309358</v>
      </c>
      <c r="P281" s="9">
        <v>537</v>
      </c>
      <c r="Q281" s="9">
        <f t="shared" si="376"/>
        <v>10.231224120309358</v>
      </c>
      <c r="R281" s="9">
        <v>537</v>
      </c>
      <c r="S281" s="9">
        <f t="shared" si="377"/>
        <v>10.231224120309358</v>
      </c>
      <c r="T281" s="9" t="s">
        <v>0</v>
      </c>
      <c r="U281" s="9" t="str">
        <f t="shared" si="378"/>
        <v>-</v>
      </c>
      <c r="V281" s="9" t="s">
        <v>0</v>
      </c>
      <c r="W281" s="9" t="str">
        <f t="shared" si="379"/>
        <v>-</v>
      </c>
      <c r="X281" s="9" t="s">
        <v>0</v>
      </c>
      <c r="Y281" s="9" t="str">
        <f t="shared" si="380"/>
        <v>-</v>
      </c>
      <c r="Z281" s="9" t="s">
        <v>0</v>
      </c>
      <c r="AA281" s="9" t="str">
        <f t="shared" si="381"/>
        <v>-</v>
      </c>
      <c r="AB281" s="9" t="s">
        <v>0</v>
      </c>
      <c r="AC281" s="9" t="str">
        <f t="shared" si="382"/>
        <v>-</v>
      </c>
      <c r="AD281" s="9" t="s">
        <v>0</v>
      </c>
      <c r="AE281" s="12" t="str">
        <f t="shared" si="383"/>
        <v>-</v>
      </c>
      <c r="AF281" s="160" t="s">
        <v>713</v>
      </c>
      <c r="AG281" s="9" t="s">
        <v>0</v>
      </c>
      <c r="AH281" s="9">
        <v>48.5</v>
      </c>
      <c r="AI281" s="9">
        <v>0.8</v>
      </c>
      <c r="AJ281" s="32">
        <v>1</v>
      </c>
      <c r="AK281" s="9">
        <v>18.5</v>
      </c>
      <c r="AL281" s="32">
        <v>1</v>
      </c>
      <c r="AM281" s="9">
        <v>1.2</v>
      </c>
      <c r="AN281" s="32">
        <v>1</v>
      </c>
      <c r="AO281" s="9">
        <v>5</v>
      </c>
      <c r="AP281" s="9">
        <v>0.6</v>
      </c>
      <c r="AQ281" s="32">
        <v>0.81</v>
      </c>
      <c r="AR281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434.97</v>
      </c>
      <c r="AS281" s="9">
        <f t="shared" si="384"/>
        <v>8.2872915374505798</v>
      </c>
      <c r="AT281" s="9">
        <f>IF(RIGHT(TIM[[#This Row],[Device type]],7)="Winding","-",TIM[[#This Row],[Cont Winter MVA]])</f>
        <v>10.231224120309358</v>
      </c>
      <c r="AU281" s="9">
        <f>IF(RIGHT(TIM[[#This Row],[Device type]],7)="Winding","-",TIM[[#This Row],[Cont Shoulder MVA]])</f>
        <v>10.231224120309358</v>
      </c>
      <c r="AV281" s="9">
        <f>IF(RIGHT(TIM[[#This Row],[Device type]],7)="Winding","-",TIM[[#This Row],[Cont Summer MVA]])</f>
        <v>10.231224120309358</v>
      </c>
      <c r="AW281" s="9" t="str">
        <f>TIM[[#This Row],[24 Hr Winter MVA]]</f>
        <v>-</v>
      </c>
      <c r="AX281" s="9" t="str">
        <f>TIM[[#This Row],[24 Hr Summer MVA]]</f>
        <v>-</v>
      </c>
      <c r="AY281" s="9" t="str">
        <f>TIM[[#This Row],[Forwards MVA]]</f>
        <v>-</v>
      </c>
      <c r="AZ281" s="9" t="str">
        <f>TIM[[#This Row],[Relay MVA]]</f>
        <v>-</v>
      </c>
      <c r="BA281" s="9" t="str">
        <f>TIM[[#This Row],[CT MVA]]</f>
        <v>-</v>
      </c>
      <c r="BB281" s="9">
        <f>TIM[[#This Row],[Derating MVA]]</f>
        <v>8.2872915374505798</v>
      </c>
      <c r="BC281" s="9" t="str">
        <f>TIM[[#This Row],[Station/Feeder]]&amp;TIM[[#This Row],[Lowest MVA]]</f>
        <v>CB9_Port 18.28729153745058</v>
      </c>
      <c r="BD281" s="9" t="str">
        <f>CONCATENATE(TIM[[#This Row],[Supply Level]],TIM[[#This Row],[Station/Feeder]],TIM[[#This Row],[Voltage]],TIM[[#This Row],[Lowest A-No PTX]])</f>
        <v>DistributionFeederCB9_Port 111434.97</v>
      </c>
      <c r="BE281" s="9" t="str">
        <f>CONCATENATE(TIM[[#This Row],[Supply Level]],TIM[[#This Row],[Station/Feeder]],TIM[[#This Row],[Voltage]],TIM[[#This Row],[Lowest A-PTX]])</f>
        <v>DistributionFeederCB9_Port 111434.97</v>
      </c>
      <c r="BF281" s="9">
        <f>IFERROR(IF(MIN(TIM[[#This Row],[Summ Cont Winter A]:[Cable Derating]])=0,"",MIN(TIM[[#This Row],[Summ Cont Winter A]:[Cable Derating]])),"")</f>
        <v>8.2872915374505798</v>
      </c>
      <c r="BG281" s="9">
        <f>IFERROR(TIM[[#This Row],[Lowest MVA]]*1000/(TIM[[#This Row],[Voltage]]*SQRT(3)),"")</f>
        <v>434.96999999999997</v>
      </c>
      <c r="BH281" s="9">
        <f t="shared" si="323"/>
        <v>434.97</v>
      </c>
      <c r="BI281" s="9" t="str">
        <f>TIM[[#This Row],[From]]</f>
        <v>NST09</v>
      </c>
      <c r="BJ281" s="9" t="str">
        <f>TIM[[#This Row],[To]]</f>
        <v>Joint</v>
      </c>
      <c r="BK28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HPDE Screened</v>
      </c>
      <c r="BL281" s="9">
        <f>TIM[[#This Row],[Voltage]]</f>
        <v>11</v>
      </c>
    </row>
    <row r="282" spans="1:64" ht="15" customHeight="1" x14ac:dyDescent="0.25">
      <c r="A282" s="14" t="str">
        <f>CONCATENATE(TIM[[#This Row],[Supply Level]],TIM[[#This Row],[Station/Feeder]],TIM[[#This Row],[Voltage]])</f>
        <v>DistributionFeederCB9_Port 111</v>
      </c>
      <c r="B282" s="14" t="str">
        <f>CONCATENATE(TIM[[#This Row],[Supply Level]],TIM[[#This Row],[Station/Feeder]],TIM[[#This Row],[Equipment ID]],TIM[[#This Row],[Voltage]],TIM[[#This Row],[Device type]])</f>
        <v>DistributionFeederCB9_Port 13c 300mm² Al XLPE MDPE11-</v>
      </c>
      <c r="C282" s="14" t="s">
        <v>1276</v>
      </c>
      <c r="D282" s="11" t="s">
        <v>188</v>
      </c>
      <c r="E282" s="6" t="s">
        <v>750</v>
      </c>
      <c r="F282" s="6" t="s">
        <v>1004</v>
      </c>
      <c r="G282" s="27">
        <v>3</v>
      </c>
      <c r="H282" s="7" t="s">
        <v>985</v>
      </c>
      <c r="I282" s="7" t="s">
        <v>821</v>
      </c>
      <c r="J282" s="7" t="s">
        <v>250</v>
      </c>
      <c r="K282" s="49" t="s">
        <v>0</v>
      </c>
      <c r="L282" s="49" t="s">
        <v>0</v>
      </c>
      <c r="M282" s="8">
        <v>11</v>
      </c>
      <c r="N282" s="9">
        <v>370</v>
      </c>
      <c r="O282" s="9">
        <f t="shared" si="375"/>
        <v>7.0494467868053299</v>
      </c>
      <c r="P282" s="9">
        <v>370</v>
      </c>
      <c r="Q282" s="9">
        <f t="shared" si="376"/>
        <v>7.0494467868053299</v>
      </c>
      <c r="R282" s="9">
        <v>370</v>
      </c>
      <c r="S282" s="9">
        <f t="shared" si="377"/>
        <v>7.0494467868053299</v>
      </c>
      <c r="T282" s="9" t="s">
        <v>0</v>
      </c>
      <c r="U282" s="9" t="str">
        <f t="shared" si="378"/>
        <v>-</v>
      </c>
      <c r="V282" s="9" t="s">
        <v>0</v>
      </c>
      <c r="W282" s="9" t="str">
        <f t="shared" si="379"/>
        <v>-</v>
      </c>
      <c r="X282" s="9" t="s">
        <v>0</v>
      </c>
      <c r="Y282" s="9" t="str">
        <f t="shared" si="380"/>
        <v>-</v>
      </c>
      <c r="Z282" s="9" t="s">
        <v>0</v>
      </c>
      <c r="AA282" s="9" t="str">
        <f t="shared" si="381"/>
        <v>-</v>
      </c>
      <c r="AB282" s="9" t="s">
        <v>0</v>
      </c>
      <c r="AC282" s="9" t="str">
        <f t="shared" si="382"/>
        <v>-</v>
      </c>
      <c r="AD282" s="9" t="s">
        <v>0</v>
      </c>
      <c r="AE282" s="12" t="str">
        <f t="shared" si="383"/>
        <v>-</v>
      </c>
      <c r="AF282" s="159" t="s">
        <v>0</v>
      </c>
      <c r="AG282" s="9" t="s">
        <v>0</v>
      </c>
      <c r="AH282" s="9">
        <v>1285.5</v>
      </c>
      <c r="AI282" s="9">
        <v>1.5</v>
      </c>
      <c r="AJ282" s="32">
        <v>0.95</v>
      </c>
      <c r="AK282" s="9">
        <v>18.5</v>
      </c>
      <c r="AL282" s="32">
        <v>0.97199999999999998</v>
      </c>
      <c r="AM282" s="9">
        <v>1.2</v>
      </c>
      <c r="AN282" s="32">
        <v>1</v>
      </c>
      <c r="AO282" s="9">
        <v>4</v>
      </c>
      <c r="AP282" s="9">
        <v>0.3</v>
      </c>
      <c r="AQ282" s="32">
        <v>0.8</v>
      </c>
      <c r="AR282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273.32639999999998</v>
      </c>
      <c r="AS282" s="9">
        <f t="shared" si="384"/>
        <v>5.2075673303488328</v>
      </c>
      <c r="AT282" s="9">
        <f>IF(RIGHT(TIM[[#This Row],[Device type]],7)="Winding","-",TIM[[#This Row],[Cont Winter MVA]])</f>
        <v>7.0494467868053299</v>
      </c>
      <c r="AU282" s="9">
        <f>IF(RIGHT(TIM[[#This Row],[Device type]],7)="Winding","-",TIM[[#This Row],[Cont Shoulder MVA]])</f>
        <v>7.0494467868053299</v>
      </c>
      <c r="AV282" s="9">
        <f>IF(RIGHT(TIM[[#This Row],[Device type]],7)="Winding","-",TIM[[#This Row],[Cont Summer MVA]])</f>
        <v>7.0494467868053299</v>
      </c>
      <c r="AW282" s="9" t="str">
        <f>TIM[[#This Row],[24 Hr Winter MVA]]</f>
        <v>-</v>
      </c>
      <c r="AX282" s="9" t="str">
        <f>TIM[[#This Row],[24 Hr Summer MVA]]</f>
        <v>-</v>
      </c>
      <c r="AY282" s="9" t="str">
        <f>TIM[[#This Row],[Forwards MVA]]</f>
        <v>-</v>
      </c>
      <c r="AZ282" s="9" t="str">
        <f>TIM[[#This Row],[Relay MVA]]</f>
        <v>-</v>
      </c>
      <c r="BA282" s="9" t="str">
        <f>TIM[[#This Row],[CT MVA]]</f>
        <v>-</v>
      </c>
      <c r="BB282" s="9">
        <f>TIM[[#This Row],[Derating MVA]]</f>
        <v>5.2075673303488328</v>
      </c>
      <c r="BC282" s="9" t="str">
        <f>TIM[[#This Row],[Station/Feeder]]&amp;TIM[[#This Row],[Lowest MVA]]</f>
        <v>CB9_Port 15.20756733034883</v>
      </c>
      <c r="BD282" s="9" t="str">
        <f>CONCATENATE(TIM[[#This Row],[Supply Level]],TIM[[#This Row],[Station/Feeder]],TIM[[#This Row],[Voltage]],TIM[[#This Row],[Lowest A-No PTX]])</f>
        <v>DistributionFeederCB9_Port 111273.3264</v>
      </c>
      <c r="BE282" s="9" t="str">
        <f>CONCATENATE(TIM[[#This Row],[Supply Level]],TIM[[#This Row],[Station/Feeder]],TIM[[#This Row],[Voltage]],TIM[[#This Row],[Lowest A-PTX]])</f>
        <v>DistributionFeederCB9_Port 111273.3264</v>
      </c>
      <c r="BF282" s="9">
        <f>IFERROR(IF(MIN(TIM[[#This Row],[Summ Cont Winter A]:[Cable Derating]])=0,"",MIN(TIM[[#This Row],[Summ Cont Winter A]:[Cable Derating]])),"")</f>
        <v>5.2075673303488328</v>
      </c>
      <c r="BG282" s="9">
        <f>IFERROR(TIM[[#This Row],[Lowest MVA]]*1000/(TIM[[#This Row],[Voltage]]*SQRT(3)),"")</f>
        <v>273.32639999999998</v>
      </c>
      <c r="BH282" s="9">
        <f t="shared" ref="BH282:BH345" si="385">IF(MIN(N282,P282,R282,T282,V282,X282,Z282,AB282,AD282,AR282)=0,"",MIN(N282,P282,R282,T282,V282,X282,Z282,AB282,AD282,AR282))</f>
        <v>273.32639999999998</v>
      </c>
      <c r="BI282" s="9" t="str">
        <f>TIM[[#This Row],[From]]</f>
        <v>Joint</v>
      </c>
      <c r="BJ282" s="9" t="str">
        <f>TIM[[#This Row],[To]]</f>
        <v xml:space="preserve">TEX47 RMU </v>
      </c>
      <c r="BK28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300mm² Al XLPE MDPE</v>
      </c>
      <c r="BL282" s="9">
        <f>TIM[[#This Row],[Voltage]]</f>
        <v>11</v>
      </c>
    </row>
    <row r="283" spans="1:64" ht="15" customHeight="1" x14ac:dyDescent="0.25">
      <c r="A283" s="14" t="str">
        <f>CONCATENATE(TIM[[#This Row],[Supply Level]],TIM[[#This Row],[Station/Feeder]],TIM[[#This Row],[Voltage]])</f>
        <v>DistributionFeederCB10_Fraser St11</v>
      </c>
      <c r="B283" s="14" t="str">
        <f>CONCATENATE(TIM[[#This Row],[Supply Level]],TIM[[#This Row],[Station/Feeder]],TIM[[#This Row],[Equipment ID]],TIM[[#This Row],[Voltage]],TIM[[#This Row],[Device type]])</f>
        <v>DistributionFeederCB10_Fraser StNST-CB1011Protection</v>
      </c>
      <c r="C283" s="14" t="s">
        <v>1276</v>
      </c>
      <c r="D283" s="11" t="s">
        <v>190</v>
      </c>
      <c r="E283" s="6" t="s">
        <v>243</v>
      </c>
      <c r="F283" s="6" t="s">
        <v>1005</v>
      </c>
      <c r="G283" s="27">
        <v>1</v>
      </c>
      <c r="H283" s="7" t="s">
        <v>2376</v>
      </c>
      <c r="I283" s="7" t="s">
        <v>2278</v>
      </c>
      <c r="J283" s="7" t="s">
        <v>15</v>
      </c>
      <c r="K283" s="49" t="s">
        <v>791</v>
      </c>
      <c r="L283" s="49" t="s">
        <v>1423</v>
      </c>
      <c r="M283" s="8">
        <v>11</v>
      </c>
      <c r="N283" s="9">
        <v>1250</v>
      </c>
      <c r="O283" s="9">
        <f t="shared" si="0"/>
        <v>23.815698604072061</v>
      </c>
      <c r="P283" s="9">
        <v>1250</v>
      </c>
      <c r="Q283" s="9">
        <f t="shared" si="1"/>
        <v>23.815698604072061</v>
      </c>
      <c r="R283" s="9">
        <v>1250</v>
      </c>
      <c r="S283" s="9">
        <f t="shared" si="2"/>
        <v>23.815698604072061</v>
      </c>
      <c r="T283" s="9" t="s">
        <v>0</v>
      </c>
      <c r="U283" s="9" t="str">
        <f t="shared" si="3"/>
        <v>-</v>
      </c>
      <c r="V283" s="9" t="s">
        <v>0</v>
      </c>
      <c r="W283" s="9" t="str">
        <f t="shared" si="4"/>
        <v>-</v>
      </c>
      <c r="X283" s="9">
        <f>VLOOKUP(TIM[[#This Row],[Equipment ID]],AEL_Protection_Data[#All],12,0)</f>
        <v>304</v>
      </c>
      <c r="Y283" s="9">
        <f t="shared" si="5"/>
        <v>5.7919779005103251</v>
      </c>
      <c r="Z283" s="9" t="s">
        <v>0</v>
      </c>
      <c r="AA283" s="9" t="str">
        <f t="shared" si="6"/>
        <v>-</v>
      </c>
      <c r="AB283" s="9">
        <v>800</v>
      </c>
      <c r="AC283" s="9">
        <f t="shared" si="7"/>
        <v>15.242047106606121</v>
      </c>
      <c r="AD283" s="9">
        <v>800</v>
      </c>
      <c r="AE283" s="12">
        <f t="shared" si="8"/>
        <v>15.242047106606121</v>
      </c>
      <c r="AF283" s="9" t="s">
        <v>0</v>
      </c>
      <c r="AG283" s="9" t="s">
        <v>0</v>
      </c>
      <c r="AH283" s="9" t="s">
        <v>0</v>
      </c>
      <c r="AI283" s="9" t="s">
        <v>0</v>
      </c>
      <c r="AJ283" s="32" t="s">
        <v>0</v>
      </c>
      <c r="AK283" s="9" t="s">
        <v>0</v>
      </c>
      <c r="AL283" s="32" t="s">
        <v>0</v>
      </c>
      <c r="AM283" s="9" t="s">
        <v>0</v>
      </c>
      <c r="AN283" s="32" t="s">
        <v>0</v>
      </c>
      <c r="AO283" s="9" t="s">
        <v>0</v>
      </c>
      <c r="AP283" s="9" t="s">
        <v>0</v>
      </c>
      <c r="AQ283" s="32" t="s">
        <v>0</v>
      </c>
      <c r="AR283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83" s="9" t="str">
        <f t="shared" si="9"/>
        <v>-</v>
      </c>
      <c r="AT283" s="9">
        <f>IF(RIGHT(TIM[[#This Row],[Device type]],7)="Winding","-",TIM[[#This Row],[Cont Winter MVA]])</f>
        <v>23.815698604072061</v>
      </c>
      <c r="AU283" s="9">
        <f>IF(RIGHT(TIM[[#This Row],[Device type]],7)="Winding","-",TIM[[#This Row],[Cont Shoulder MVA]])</f>
        <v>23.815698604072061</v>
      </c>
      <c r="AV283" s="9">
        <f>IF(RIGHT(TIM[[#This Row],[Device type]],7)="Winding","-",TIM[[#This Row],[Cont Summer MVA]])</f>
        <v>23.815698604072061</v>
      </c>
      <c r="AW283" s="9" t="str">
        <f>TIM[[#This Row],[24 Hr Winter MVA]]</f>
        <v>-</v>
      </c>
      <c r="AX283" s="9" t="str">
        <f>TIM[[#This Row],[24 Hr Summer MVA]]</f>
        <v>-</v>
      </c>
      <c r="AY283" s="9">
        <f>TIM[[#This Row],[Forwards MVA]]</f>
        <v>5.7919779005103251</v>
      </c>
      <c r="AZ283" s="9">
        <f>TIM[[#This Row],[Relay MVA]]</f>
        <v>15.242047106606121</v>
      </c>
      <c r="BA283" s="9">
        <f>TIM[[#This Row],[CT MVA]]</f>
        <v>15.242047106606121</v>
      </c>
      <c r="BB283" s="9" t="str">
        <f>TIM[[#This Row],[Derating MVA]]</f>
        <v>-</v>
      </c>
      <c r="BC283" s="9" t="str">
        <f>TIM[[#This Row],[Station/Feeder]]&amp;TIM[[#This Row],[Lowest MVA]]</f>
        <v>CB10_Fraser St5.79197790051033</v>
      </c>
      <c r="BD283" s="9" t="str">
        <f>CONCATENATE(TIM[[#This Row],[Supply Level]],TIM[[#This Row],[Station/Feeder]],TIM[[#This Row],[Voltage]],TIM[[#This Row],[Lowest A-No PTX]])</f>
        <v>DistributionFeederCB10_Fraser St11304</v>
      </c>
      <c r="BE283" s="9" t="str">
        <f>CONCATENATE(TIM[[#This Row],[Supply Level]],TIM[[#This Row],[Station/Feeder]],TIM[[#This Row],[Voltage]],TIM[[#This Row],[Lowest A-PTX]])</f>
        <v>DistributionFeederCB10_Fraser St11304</v>
      </c>
      <c r="BF283" s="9">
        <f>IFERROR(IF(MIN(TIM[[#This Row],[Summ Cont Winter A]:[Cable Derating]])=0,"",MIN(TIM[[#This Row],[Summ Cont Winter A]:[Cable Derating]])),"")</f>
        <v>5.7919779005103251</v>
      </c>
      <c r="BG283" s="9">
        <f>IFERROR(TIM[[#This Row],[Lowest MVA]]*1000/(TIM[[#This Row],[Voltage]]*SQRT(3)),"")</f>
        <v>304</v>
      </c>
      <c r="BH283" s="9">
        <f t="shared" si="385"/>
        <v>304</v>
      </c>
      <c r="BI283" s="9" t="str">
        <f>TIM[[#This Row],[From]]</f>
        <v>11 kV Bus</v>
      </c>
      <c r="BJ283" s="9" t="str">
        <f>TIM[[#This Row],[To]]</f>
        <v>NST10</v>
      </c>
      <c r="BK28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Breaker-NST-CB10-Protection</v>
      </c>
      <c r="BL283" s="9">
        <f>TIM[[#This Row],[Voltage]]</f>
        <v>11</v>
      </c>
    </row>
    <row r="284" spans="1:64" ht="15" customHeight="1" x14ac:dyDescent="0.25">
      <c r="A284" s="14" t="str">
        <f>CONCATENATE(TIM[[#This Row],[Supply Level]],TIM[[#This Row],[Station/Feeder]],TIM[[#This Row],[Voltage]])</f>
        <v>DistributionFeederCB10_Fraser St11</v>
      </c>
      <c r="B284" s="14" t="str">
        <f>CONCATENATE(TIM[[#This Row],[Supply Level]],TIM[[#This Row],[Station/Feeder]],TIM[[#This Row],[Equipment ID]],TIM[[#This Row],[Voltage]],TIM[[#This Row],[Device type]])</f>
        <v>DistributionFeederCB10_Fraser St3/1c 400mm² Al XLPE HPDE Screened11-</v>
      </c>
      <c r="C284" s="14" t="s">
        <v>1276</v>
      </c>
      <c r="D284" s="11" t="s">
        <v>190</v>
      </c>
      <c r="E284" s="6" t="s">
        <v>1005</v>
      </c>
      <c r="F284" s="6" t="s">
        <v>750</v>
      </c>
      <c r="G284" s="27">
        <v>2</v>
      </c>
      <c r="H284" s="7" t="s">
        <v>985</v>
      </c>
      <c r="I284" s="7" t="s">
        <v>986</v>
      </c>
      <c r="J284" s="7" t="s">
        <v>250</v>
      </c>
      <c r="K284" s="49" t="s">
        <v>0</v>
      </c>
      <c r="L284" s="49" t="s">
        <v>0</v>
      </c>
      <c r="M284" s="8">
        <v>11</v>
      </c>
      <c r="N284" s="9">
        <v>537</v>
      </c>
      <c r="O284" s="9">
        <f t="shared" si="0"/>
        <v>10.231224120309358</v>
      </c>
      <c r="P284" s="9">
        <v>537</v>
      </c>
      <c r="Q284" s="9">
        <f t="shared" si="1"/>
        <v>10.231224120309358</v>
      </c>
      <c r="R284" s="9">
        <v>537</v>
      </c>
      <c r="S284" s="9">
        <f t="shared" si="2"/>
        <v>10.231224120309358</v>
      </c>
      <c r="T284" s="9" t="s">
        <v>0</v>
      </c>
      <c r="U284" s="9" t="str">
        <f t="shared" si="3"/>
        <v>-</v>
      </c>
      <c r="V284" s="9" t="s">
        <v>0</v>
      </c>
      <c r="W284" s="9" t="str">
        <f t="shared" si="4"/>
        <v>-</v>
      </c>
      <c r="X284" s="9" t="s">
        <v>0</v>
      </c>
      <c r="Y284" s="9" t="str">
        <f t="shared" si="5"/>
        <v>-</v>
      </c>
      <c r="Z284" s="9" t="s">
        <v>0</v>
      </c>
      <c r="AA284" s="9" t="str">
        <f t="shared" si="6"/>
        <v>-</v>
      </c>
      <c r="AB284" s="9" t="s">
        <v>0</v>
      </c>
      <c r="AC284" s="9" t="str">
        <f t="shared" si="7"/>
        <v>-</v>
      </c>
      <c r="AD284" s="9" t="s">
        <v>0</v>
      </c>
      <c r="AE284" s="12" t="str">
        <f t="shared" si="8"/>
        <v>-</v>
      </c>
      <c r="AF284" s="159" t="s">
        <v>713</v>
      </c>
      <c r="AG284" s="9" t="s">
        <v>0</v>
      </c>
      <c r="AH284" s="9">
        <v>160</v>
      </c>
      <c r="AI284" s="9">
        <v>0.8</v>
      </c>
      <c r="AJ284" s="32">
        <v>1</v>
      </c>
      <c r="AK284" s="9">
        <v>18.5</v>
      </c>
      <c r="AL284" s="32">
        <v>0.97199999999999998</v>
      </c>
      <c r="AM284" s="9">
        <v>1.2</v>
      </c>
      <c r="AN284" s="32">
        <v>1</v>
      </c>
      <c r="AO284" s="9">
        <v>5</v>
      </c>
      <c r="AP284" s="9">
        <v>0.6</v>
      </c>
      <c r="AQ284" s="32">
        <v>0.81</v>
      </c>
      <c r="AR284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422.79084</v>
      </c>
      <c r="AS284" s="9">
        <f t="shared" si="9"/>
        <v>8.0552473744019633</v>
      </c>
      <c r="AT284" s="9">
        <f>IF(RIGHT(TIM[[#This Row],[Device type]],7)="Winding","-",TIM[[#This Row],[Cont Winter MVA]])</f>
        <v>10.231224120309358</v>
      </c>
      <c r="AU284" s="9">
        <f>IF(RIGHT(TIM[[#This Row],[Device type]],7)="Winding","-",TIM[[#This Row],[Cont Shoulder MVA]])</f>
        <v>10.231224120309358</v>
      </c>
      <c r="AV284" s="9">
        <f>IF(RIGHT(TIM[[#This Row],[Device type]],7)="Winding","-",TIM[[#This Row],[Cont Summer MVA]])</f>
        <v>10.231224120309358</v>
      </c>
      <c r="AW284" s="9" t="str">
        <f>TIM[[#This Row],[24 Hr Winter MVA]]</f>
        <v>-</v>
      </c>
      <c r="AX284" s="9" t="str">
        <f>TIM[[#This Row],[24 Hr Summer MVA]]</f>
        <v>-</v>
      </c>
      <c r="AY284" s="9" t="str">
        <f>TIM[[#This Row],[Forwards MVA]]</f>
        <v>-</v>
      </c>
      <c r="AZ284" s="9" t="str">
        <f>TIM[[#This Row],[Relay MVA]]</f>
        <v>-</v>
      </c>
      <c r="BA284" s="9" t="str">
        <f>TIM[[#This Row],[CT MVA]]</f>
        <v>-</v>
      </c>
      <c r="BB284" s="9">
        <f>TIM[[#This Row],[Derating MVA]]</f>
        <v>8.0552473744019633</v>
      </c>
      <c r="BC284" s="9" t="str">
        <f>TIM[[#This Row],[Station/Feeder]]&amp;TIM[[#This Row],[Lowest MVA]]</f>
        <v>CB10_Fraser St8.05524737440196</v>
      </c>
      <c r="BD284" s="9" t="str">
        <f>CONCATENATE(TIM[[#This Row],[Supply Level]],TIM[[#This Row],[Station/Feeder]],TIM[[#This Row],[Voltage]],TIM[[#This Row],[Lowest A-No PTX]])</f>
        <v>DistributionFeederCB10_Fraser St11422.79084</v>
      </c>
      <c r="BE284" s="9" t="str">
        <f>CONCATENATE(TIM[[#This Row],[Supply Level]],TIM[[#This Row],[Station/Feeder]],TIM[[#This Row],[Voltage]],TIM[[#This Row],[Lowest A-PTX]])</f>
        <v>DistributionFeederCB10_Fraser St11422.79084</v>
      </c>
      <c r="BF284" s="9">
        <f>IFERROR(IF(MIN(TIM[[#This Row],[Summ Cont Winter A]:[Cable Derating]])=0,"",MIN(TIM[[#This Row],[Summ Cont Winter A]:[Cable Derating]])),"")</f>
        <v>8.0552473744019633</v>
      </c>
      <c r="BG284" s="9">
        <f>IFERROR(TIM[[#This Row],[Lowest MVA]]*1000/(TIM[[#This Row],[Voltage]]*SQRT(3)),"")</f>
        <v>422.79084</v>
      </c>
      <c r="BH284" s="9">
        <f t="shared" si="385"/>
        <v>422.79084</v>
      </c>
      <c r="BI284" s="9" t="str">
        <f>TIM[[#This Row],[From]]</f>
        <v>NST10</v>
      </c>
      <c r="BJ284" s="9" t="str">
        <f>TIM[[#This Row],[To]]</f>
        <v>Joint</v>
      </c>
      <c r="BK28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HPDE Screened</v>
      </c>
      <c r="BL284" s="9">
        <f>TIM[[#This Row],[Voltage]]</f>
        <v>11</v>
      </c>
    </row>
    <row r="285" spans="1:64" ht="15" customHeight="1" x14ac:dyDescent="0.25">
      <c r="A285" s="460" t="str">
        <f>CONCATENATE(TIM[[#This Row],[Supply Level]],TIM[[#This Row],[Station/Feeder]],TIM[[#This Row],[Voltage]])</f>
        <v>DistributionFeederCB10_Fraser St11</v>
      </c>
      <c r="B285" s="460" t="str">
        <f>CONCATENATE(TIM[[#This Row],[Supply Level]],TIM[[#This Row],[Station/Feeder]],TIM[[#This Row],[Equipment ID]],TIM[[#This Row],[Voltage]],TIM[[#This Row],[Device type]])</f>
        <v>DistributionFeederCB10_Fraser St3c 300mm²  Al XLPE11-</v>
      </c>
      <c r="C285" s="6" t="s">
        <v>1276</v>
      </c>
      <c r="D285" s="6" t="s">
        <v>190</v>
      </c>
      <c r="E285" s="6" t="s">
        <v>750</v>
      </c>
      <c r="F285" s="6" t="s">
        <v>750</v>
      </c>
      <c r="G285" s="8">
        <v>3</v>
      </c>
      <c r="H285" s="7" t="s">
        <v>985</v>
      </c>
      <c r="I285" s="6" t="s">
        <v>2984</v>
      </c>
      <c r="J285" s="6" t="s">
        <v>250</v>
      </c>
      <c r="K285" s="6" t="s">
        <v>0</v>
      </c>
      <c r="L285" s="6" t="s">
        <v>0</v>
      </c>
      <c r="M285" s="8">
        <v>11</v>
      </c>
      <c r="N285" s="9">
        <v>476</v>
      </c>
      <c r="O285" s="9">
        <f t="shared" ref="O285" si="386">IF(OR(N285="",N285="-"),"-",N285*$M285*SQRT(3)/1000)</f>
        <v>9.0690180284306408</v>
      </c>
      <c r="P285" s="9">
        <v>476</v>
      </c>
      <c r="Q285" s="9">
        <f t="shared" ref="Q285" si="387">IF(OR(P285="",P285="-"),"-",P285*$M285*SQRT(3)/1000)</f>
        <v>9.0690180284306408</v>
      </c>
      <c r="R285" s="9">
        <v>476</v>
      </c>
      <c r="S285" s="9">
        <f t="shared" ref="S285" si="388">IF(OR(R285="",R285="-"),"-",R285*$M285*SQRT(3)/1000)</f>
        <v>9.0690180284306408</v>
      </c>
      <c r="T285" s="9" t="s">
        <v>0</v>
      </c>
      <c r="U285" s="9" t="str">
        <f t="shared" ref="U285" si="389">IF(OR(T285="",T285="-"),"-",T285*$M285*SQRT(3)/1000)</f>
        <v>-</v>
      </c>
      <c r="V285" s="9" t="s">
        <v>0</v>
      </c>
      <c r="W285" s="9" t="str">
        <f t="shared" ref="W285" si="390">IF(OR(V285="",V285="-"),"-",V285*$M285*SQRT(3)/1000)</f>
        <v>-</v>
      </c>
      <c r="X285" s="9" t="s">
        <v>0</v>
      </c>
      <c r="Y285" s="9" t="str">
        <f t="shared" ref="Y285" si="391">IF(OR(X285="",X285="-"),"-",X285*$M285*SQRT(3)/1000)</f>
        <v>-</v>
      </c>
      <c r="Z285" s="9" t="s">
        <v>0</v>
      </c>
      <c r="AA285" s="9" t="str">
        <f t="shared" ref="AA285" si="392">IF(OR(Z285="",Z285="-"),"-",Z285*$M285*SQRT(3)/1000)</f>
        <v>-</v>
      </c>
      <c r="AB285" s="9" t="s">
        <v>0</v>
      </c>
      <c r="AC285" s="9" t="str">
        <f t="shared" ref="AC285" si="393">IF(OR(AB285="",AB285="-"),"-",AB285*$M285*SQRT(3)/1000)</f>
        <v>-</v>
      </c>
      <c r="AD285" s="9" t="s">
        <v>0</v>
      </c>
      <c r="AE285" s="9" t="str">
        <f t="shared" ref="AE285" si="394">IF(OR(AD285="",AD285="-"),"-",AD285*$M285*SQRT(3)/1000)</f>
        <v>-</v>
      </c>
      <c r="AF285" s="159" t="s">
        <v>716</v>
      </c>
      <c r="AG285" s="9" t="s">
        <v>0</v>
      </c>
      <c r="AH285" s="9">
        <v>129.70000000000002</v>
      </c>
      <c r="AI285" s="9">
        <v>0.78</v>
      </c>
      <c r="AJ285" s="43">
        <v>1</v>
      </c>
      <c r="AK285" s="9">
        <v>18.5</v>
      </c>
      <c r="AL285" s="43">
        <v>0.97199999999999998</v>
      </c>
      <c r="AM285" s="9">
        <v>1.2</v>
      </c>
      <c r="AN285" s="43">
        <v>1</v>
      </c>
      <c r="AO285" s="9">
        <v>5</v>
      </c>
      <c r="AP285" s="9">
        <v>0.6</v>
      </c>
      <c r="AQ285" s="43">
        <v>0.81</v>
      </c>
      <c r="AR285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374.76432</v>
      </c>
      <c r="AS285" s="9">
        <f t="shared" ref="AS285" si="395">IF(OR(AR285="",AR285="-"),"-",AR285*$M285*SQRT(3)/1000)</f>
        <v>7.1402192741440125</v>
      </c>
      <c r="AT285" s="9">
        <f>IF(RIGHT(TIM[[#This Row],[Device type]],7)="Winding","-",TIM[[#This Row],[Cont Winter MVA]])</f>
        <v>9.0690180284306408</v>
      </c>
      <c r="AU285" s="9">
        <f>IF(RIGHT(TIM[[#This Row],[Device type]],7)="Winding","-",TIM[[#This Row],[Cont Shoulder MVA]])</f>
        <v>9.0690180284306408</v>
      </c>
      <c r="AV285" s="9">
        <f>IF(RIGHT(TIM[[#This Row],[Device type]],7)="Winding","-",TIM[[#This Row],[Cont Summer MVA]])</f>
        <v>9.0690180284306408</v>
      </c>
      <c r="AW285" s="9" t="str">
        <f>TIM[[#This Row],[24 Hr Winter MVA]]</f>
        <v>-</v>
      </c>
      <c r="AX285" s="9" t="str">
        <f>TIM[[#This Row],[24 Hr Summer MVA]]</f>
        <v>-</v>
      </c>
      <c r="AY285" s="9" t="str">
        <f>TIM[[#This Row],[Forwards MVA]]</f>
        <v>-</v>
      </c>
      <c r="AZ285" s="9" t="str">
        <f>TIM[[#This Row],[Relay MVA]]</f>
        <v>-</v>
      </c>
      <c r="BA285" s="9" t="str">
        <f>TIM[[#This Row],[CT MVA]]</f>
        <v>-</v>
      </c>
      <c r="BB285" s="9">
        <f>TIM[[#This Row],[Derating MVA]]</f>
        <v>7.1402192741440125</v>
      </c>
      <c r="BC285" s="9" t="str">
        <f>TIM[[#This Row],[Station/Feeder]]&amp;TIM[[#This Row],[Lowest MVA]]</f>
        <v>CB10_Fraser St7.14021927414401</v>
      </c>
      <c r="BD285" s="9" t="str">
        <f>CONCATENATE(TIM[[#This Row],[Supply Level]],TIM[[#This Row],[Station/Feeder]],TIM[[#This Row],[Voltage]],TIM[[#This Row],[Lowest A-No PTX]])</f>
        <v>DistributionFeederCB10_Fraser St11374.76432</v>
      </c>
      <c r="BE285" s="9" t="str">
        <f>CONCATENATE(TIM[[#This Row],[Supply Level]],TIM[[#This Row],[Station/Feeder]],TIM[[#This Row],[Voltage]],TIM[[#This Row],[Lowest A-PTX]])</f>
        <v>DistributionFeederCB10_Fraser St11374.76432</v>
      </c>
      <c r="BF285" s="9">
        <f>IFERROR(IF(MIN(TIM[[#This Row],[Summ Cont Winter A]:[Cable Derating]])=0,"",MIN(TIM[[#This Row],[Summ Cont Winter A]:[Cable Derating]])),"")</f>
        <v>7.1402192741440125</v>
      </c>
      <c r="BG285" s="9">
        <f>IFERROR(TIM[[#This Row],[Lowest MVA]]*1000/(TIM[[#This Row],[Voltage]]*SQRT(3)),"")</f>
        <v>374.76432</v>
      </c>
      <c r="BH285" s="9">
        <f t="shared" ref="BH285" si="396">IF(MIN(N285,P285,R285,T285,V285,X285,Z285,AB285,AD285,AR285)=0,"",MIN(N285,P285,R285,T285,V285,X285,Z285,AB285,AD285,AR285))</f>
        <v>374.76432</v>
      </c>
      <c r="BI285" s="9" t="str">
        <f>TIM[[#This Row],[From]]</f>
        <v>Joint</v>
      </c>
      <c r="BJ285" s="9" t="str">
        <f>TIM[[#This Row],[To]]</f>
        <v>Joint</v>
      </c>
      <c r="BK28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300mm²  Al XLPE</v>
      </c>
      <c r="BL285" s="9">
        <f>TIM[[#This Row],[Voltage]]</f>
        <v>11</v>
      </c>
    </row>
    <row r="286" spans="1:64" ht="15" customHeight="1" x14ac:dyDescent="0.25">
      <c r="A286" s="14" t="str">
        <f>CONCATENATE(TIM[[#This Row],[Supply Level]],TIM[[#This Row],[Station/Feeder]],TIM[[#This Row],[Voltage]])</f>
        <v>DistributionFeederCB10_Fraser St11</v>
      </c>
      <c r="B286" s="14" t="str">
        <f>CONCATENATE(TIM[[#This Row],[Supply Level]],TIM[[#This Row],[Station/Feeder]],TIM[[#This Row],[Equipment ID]],TIM[[#This Row],[Voltage]],TIM[[#This Row],[Device type]])</f>
        <v>DistributionFeederCB10_Fraser St3c 185mm²  Al PILC SWAS11-</v>
      </c>
      <c r="C286" s="14" t="s">
        <v>1276</v>
      </c>
      <c r="D286" s="11" t="s">
        <v>190</v>
      </c>
      <c r="E286" s="6" t="s">
        <v>750</v>
      </c>
      <c r="F286" s="6" t="s">
        <v>1006</v>
      </c>
      <c r="G286" s="27">
        <v>4</v>
      </c>
      <c r="H286" s="7" t="s">
        <v>985</v>
      </c>
      <c r="I286" s="7" t="s">
        <v>991</v>
      </c>
      <c r="J286" s="7" t="s">
        <v>250</v>
      </c>
      <c r="K286" s="49" t="s">
        <v>0</v>
      </c>
      <c r="L286" s="49" t="s">
        <v>0</v>
      </c>
      <c r="M286" s="8">
        <v>11</v>
      </c>
      <c r="N286" s="9">
        <v>251</v>
      </c>
      <c r="O286" s="9">
        <f t="shared" si="0"/>
        <v>4.7821922796976697</v>
      </c>
      <c r="P286" s="9">
        <v>251</v>
      </c>
      <c r="Q286" s="9">
        <f t="shared" si="1"/>
        <v>4.7821922796976697</v>
      </c>
      <c r="R286" s="9">
        <v>251</v>
      </c>
      <c r="S286" s="9">
        <f t="shared" si="2"/>
        <v>4.7821922796976697</v>
      </c>
      <c r="T286" s="9" t="s">
        <v>0</v>
      </c>
      <c r="U286" s="9" t="str">
        <f t="shared" si="3"/>
        <v>-</v>
      </c>
      <c r="V286" s="9" t="s">
        <v>0</v>
      </c>
      <c r="W286" s="9" t="str">
        <f t="shared" si="4"/>
        <v>-</v>
      </c>
      <c r="X286" s="9" t="s">
        <v>0</v>
      </c>
      <c r="Y286" s="9" t="str">
        <f t="shared" si="5"/>
        <v>-</v>
      </c>
      <c r="Z286" s="9" t="s">
        <v>0</v>
      </c>
      <c r="AA286" s="9" t="str">
        <f t="shared" si="6"/>
        <v>-</v>
      </c>
      <c r="AB286" s="9" t="s">
        <v>0</v>
      </c>
      <c r="AC286" s="9" t="str">
        <f t="shared" si="7"/>
        <v>-</v>
      </c>
      <c r="AD286" s="9" t="s">
        <v>0</v>
      </c>
      <c r="AE286" s="12" t="str">
        <f t="shared" si="8"/>
        <v>-</v>
      </c>
      <c r="AF286" s="160" t="s">
        <v>716</v>
      </c>
      <c r="AG286" s="9" t="s">
        <v>0</v>
      </c>
      <c r="AH286" s="9" t="s">
        <v>0</v>
      </c>
      <c r="AI286" s="9">
        <v>1.4</v>
      </c>
      <c r="AJ286" s="32">
        <v>0.95</v>
      </c>
      <c r="AK286" s="9">
        <v>18.5</v>
      </c>
      <c r="AL286" s="32">
        <v>0.95199999999999996</v>
      </c>
      <c r="AM286" s="9">
        <v>1.2</v>
      </c>
      <c r="AN286" s="32">
        <v>1</v>
      </c>
      <c r="AO286" s="9">
        <v>2</v>
      </c>
      <c r="AP286" s="9">
        <v>0.3</v>
      </c>
      <c r="AQ286" s="32">
        <v>0.88</v>
      </c>
      <c r="AR286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199.76387199999999</v>
      </c>
      <c r="AS286" s="9">
        <f t="shared" si="9"/>
        <v>3.8060129340275437</v>
      </c>
      <c r="AT286" s="9">
        <f>IF(RIGHT(TIM[[#This Row],[Device type]],7)="Winding","-",TIM[[#This Row],[Cont Winter MVA]])</f>
        <v>4.7821922796976697</v>
      </c>
      <c r="AU286" s="9">
        <f>IF(RIGHT(TIM[[#This Row],[Device type]],7)="Winding","-",TIM[[#This Row],[Cont Shoulder MVA]])</f>
        <v>4.7821922796976697</v>
      </c>
      <c r="AV286" s="9">
        <f>IF(RIGHT(TIM[[#This Row],[Device type]],7)="Winding","-",TIM[[#This Row],[Cont Summer MVA]])</f>
        <v>4.7821922796976697</v>
      </c>
      <c r="AW286" s="9" t="str">
        <f>TIM[[#This Row],[24 Hr Winter MVA]]</f>
        <v>-</v>
      </c>
      <c r="AX286" s="9" t="str">
        <f>TIM[[#This Row],[24 Hr Summer MVA]]</f>
        <v>-</v>
      </c>
      <c r="AY286" s="9" t="str">
        <f>TIM[[#This Row],[Forwards MVA]]</f>
        <v>-</v>
      </c>
      <c r="AZ286" s="9" t="str">
        <f>TIM[[#This Row],[Relay MVA]]</f>
        <v>-</v>
      </c>
      <c r="BA286" s="9" t="str">
        <f>TIM[[#This Row],[CT MVA]]</f>
        <v>-</v>
      </c>
      <c r="BB286" s="9">
        <f>TIM[[#This Row],[Derating MVA]]</f>
        <v>3.8060129340275437</v>
      </c>
      <c r="BC286" s="9" t="str">
        <f>TIM[[#This Row],[Station/Feeder]]&amp;TIM[[#This Row],[Lowest MVA]]</f>
        <v>CB10_Fraser St3.80601293402754</v>
      </c>
      <c r="BD286" s="9" t="str">
        <f>CONCATENATE(TIM[[#This Row],[Supply Level]],TIM[[#This Row],[Station/Feeder]],TIM[[#This Row],[Voltage]],TIM[[#This Row],[Lowest A-No PTX]])</f>
        <v>DistributionFeederCB10_Fraser St11199.763872</v>
      </c>
      <c r="BE286" s="9" t="str">
        <f>CONCATENATE(TIM[[#This Row],[Supply Level]],TIM[[#This Row],[Station/Feeder]],TIM[[#This Row],[Voltage]],TIM[[#This Row],[Lowest A-PTX]])</f>
        <v>DistributionFeederCB10_Fraser St11199.763872</v>
      </c>
      <c r="BF286" s="9">
        <f>IFERROR(IF(MIN(TIM[[#This Row],[Summ Cont Winter A]:[Cable Derating]])=0,"",MIN(TIM[[#This Row],[Summ Cont Winter A]:[Cable Derating]])),"")</f>
        <v>3.8060129340275437</v>
      </c>
      <c r="BG286" s="9">
        <f>IFERROR(TIM[[#This Row],[Lowest MVA]]*1000/(TIM[[#This Row],[Voltage]]*SQRT(3)),"")</f>
        <v>199.76387199999999</v>
      </c>
      <c r="BH286" s="9">
        <f t="shared" si="385"/>
        <v>199.76387199999999</v>
      </c>
      <c r="BI286" s="9" t="str">
        <f>TIM[[#This Row],[From]]</f>
        <v>Joint</v>
      </c>
      <c r="BJ286" s="9" t="str">
        <f>TIM[[#This Row],[To]]</f>
        <v>TEW33 RMU</v>
      </c>
      <c r="BK28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 Al PILC SWAS</v>
      </c>
      <c r="BL286" s="9">
        <f>TIM[[#This Row],[Voltage]]</f>
        <v>11</v>
      </c>
    </row>
    <row r="287" spans="1:64" ht="15" hidden="1" customHeight="1" x14ac:dyDescent="0.25">
      <c r="A287" s="6" t="str">
        <f>CONCATENATE(TIM[[#This Row],[Supply Level]],TIM[[#This Row],[Station/Feeder]],TIM[[#This Row],[Voltage]])</f>
        <v>Switching StationNST11</v>
      </c>
      <c r="B287" s="6" t="str">
        <f>CONCATENATE(TIM[[#This Row],[Supply Level]],TIM[[#This Row],[Station/Feeder]],TIM[[#This Row],[Equipment ID]],TIM[[#This Row],[Voltage]],TIM[[#This Row],[Device type]])</f>
        <v>Switching StationNSTNST-CB3111-</v>
      </c>
      <c r="C287" s="6" t="s">
        <v>68</v>
      </c>
      <c r="D287" s="11" t="s">
        <v>162</v>
      </c>
      <c r="E287" s="6" t="s">
        <v>1007</v>
      </c>
      <c r="F287" s="6" t="s">
        <v>1008</v>
      </c>
      <c r="G287" s="27">
        <v>1</v>
      </c>
      <c r="H287" s="7" t="s">
        <v>2376</v>
      </c>
      <c r="I287" s="7" t="s">
        <v>2279</v>
      </c>
      <c r="J287" s="7" t="s">
        <v>15</v>
      </c>
      <c r="K287" s="7" t="s">
        <v>0</v>
      </c>
      <c r="L287" s="7" t="s">
        <v>0</v>
      </c>
      <c r="M287" s="8">
        <v>11</v>
      </c>
      <c r="N287" s="9">
        <v>2500</v>
      </c>
      <c r="O287" s="9">
        <f>IF(OR(N287="",N287="-"),"-",N287*$M287*SQRT(3)/1000)</f>
        <v>47.631397208144122</v>
      </c>
      <c r="P287" s="9">
        <v>2500</v>
      </c>
      <c r="Q287" s="9">
        <f>IF(OR(P287="",P287="-"),"-",P287*$M287*SQRT(3)/1000)</f>
        <v>47.631397208144122</v>
      </c>
      <c r="R287" s="9">
        <v>2500</v>
      </c>
      <c r="S287" s="9">
        <f>IF(OR(R287="",R287="-"),"-",R287*$M287*SQRT(3)/1000)</f>
        <v>47.631397208144122</v>
      </c>
      <c r="T287" s="9" t="s">
        <v>0</v>
      </c>
      <c r="U287" s="9" t="str">
        <f>IF(OR(T287="",T287="-"),"-",T287*$M287*SQRT(3)/1000)</f>
        <v>-</v>
      </c>
      <c r="V287" s="9" t="s">
        <v>0</v>
      </c>
      <c r="W287" s="9" t="str">
        <f>IF(OR(V287="",V287="-"),"-",V287*$M287*SQRT(3)/1000)</f>
        <v>-</v>
      </c>
      <c r="X287" s="9" t="s">
        <v>0</v>
      </c>
      <c r="Y287" s="9" t="str">
        <f>IF(OR(X287="",X287="-"),"-",X287*$M287*SQRT(3)/1000)</f>
        <v>-</v>
      </c>
      <c r="Z287" s="9" t="s">
        <v>0</v>
      </c>
      <c r="AA287" s="9" t="str">
        <f>IF(OR(Z287="",Z287="-"),"-",Z287*$M287*SQRT(3)/1000)</f>
        <v>-</v>
      </c>
      <c r="AB287" s="9" t="s">
        <v>0</v>
      </c>
      <c r="AC287" s="9" t="str">
        <f>IF(OR(AB287="",AB287="-"),"-",AB287*$M287*SQRT(3)/1000)</f>
        <v>-</v>
      </c>
      <c r="AD287" s="9" t="s">
        <v>0</v>
      </c>
      <c r="AE287" s="12" t="str">
        <f>IF(OR(AD287="",AD287="-"),"-",AD287*$M287*SQRT(3)/1000)</f>
        <v>-</v>
      </c>
      <c r="AF287" s="9" t="s">
        <v>0</v>
      </c>
      <c r="AG287" s="9" t="s">
        <v>0</v>
      </c>
      <c r="AH287" s="9" t="s">
        <v>0</v>
      </c>
      <c r="AI287" s="9" t="s">
        <v>0</v>
      </c>
      <c r="AJ287" s="32" t="s">
        <v>0</v>
      </c>
      <c r="AK287" s="9" t="s">
        <v>0</v>
      </c>
      <c r="AL287" s="32" t="s">
        <v>0</v>
      </c>
      <c r="AM287" s="9" t="s">
        <v>0</v>
      </c>
      <c r="AN287" s="32" t="s">
        <v>0</v>
      </c>
      <c r="AO287" s="9" t="s">
        <v>0</v>
      </c>
      <c r="AP287" s="9" t="s">
        <v>0</v>
      </c>
      <c r="AQ287" s="32" t="s">
        <v>0</v>
      </c>
      <c r="AR287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87" s="9" t="str">
        <f>IF(OR(AR287="",AR287="-"),"-",AR287*$M287*SQRT(3)/1000)</f>
        <v>-</v>
      </c>
      <c r="AT287" s="9">
        <f>IF(RIGHT(TIM[[#This Row],[Device type]],7)="Winding","-",TIM[[#This Row],[Cont Winter MVA]])</f>
        <v>47.631397208144122</v>
      </c>
      <c r="AU287" s="9">
        <f>IF(RIGHT(TIM[[#This Row],[Device type]],7)="Winding","-",TIM[[#This Row],[Cont Shoulder MVA]])</f>
        <v>47.631397208144122</v>
      </c>
      <c r="AV287" s="9">
        <f>IF(RIGHT(TIM[[#This Row],[Device type]],7)="Winding","-",TIM[[#This Row],[Cont Summer MVA]])</f>
        <v>47.631397208144122</v>
      </c>
      <c r="AW287" s="9" t="str">
        <f>TIM[[#This Row],[24 Hr Winter MVA]]</f>
        <v>-</v>
      </c>
      <c r="AX287" s="9" t="str">
        <f>TIM[[#This Row],[24 Hr Summer MVA]]</f>
        <v>-</v>
      </c>
      <c r="AY287" s="9" t="str">
        <f>TIM[[#This Row],[Forwards MVA]]</f>
        <v>-</v>
      </c>
      <c r="AZ287" s="9" t="str">
        <f>TIM[[#This Row],[Relay MVA]]</f>
        <v>-</v>
      </c>
      <c r="BA287" s="9" t="str">
        <f>TIM[[#This Row],[CT MVA]]</f>
        <v>-</v>
      </c>
      <c r="BB287" s="9" t="str">
        <f>TIM[[#This Row],[Derating MVA]]</f>
        <v>-</v>
      </c>
      <c r="BC287" s="9" t="str">
        <f>TIM[[#This Row],[Station/Feeder]]&amp;TIM[[#This Row],[Lowest MVA]]</f>
        <v>NST47.6313972081441</v>
      </c>
      <c r="BD287" s="9" t="str">
        <f>CONCATENATE(TIM[[#This Row],[Supply Level]],TIM[[#This Row],[Station/Feeder]],TIM[[#This Row],[Voltage]],TIM[[#This Row],[Lowest A-No PTX]])</f>
        <v>Switching StationNST112500</v>
      </c>
      <c r="BE287" s="9" t="str">
        <f>CONCATENATE(TIM[[#This Row],[Supply Level]],TIM[[#This Row],[Station/Feeder]],TIM[[#This Row],[Voltage]],TIM[[#This Row],[Lowest A-PTX]])</f>
        <v>Switching StationNST112500</v>
      </c>
      <c r="BF287" s="9">
        <f>IFERROR(IF(MIN(TIM[[#This Row],[Summ Cont Winter A]:[Cable Derating]])=0,"",MIN(TIM[[#This Row],[Summ Cont Winter A]:[Cable Derating]])),"")</f>
        <v>47.631397208144122</v>
      </c>
      <c r="BG287" s="9">
        <f>IFERROR(TIM[[#This Row],[Lowest MVA]]*1000/(TIM[[#This Row],[Voltage]]*SQRT(3)),"")</f>
        <v>2500</v>
      </c>
      <c r="BH287" s="9">
        <f t="shared" si="385"/>
        <v>2500</v>
      </c>
      <c r="BI287" s="9" t="str">
        <f>TIM[[#This Row],[From]]</f>
        <v>NST32</v>
      </c>
      <c r="BJ287" s="9" t="str">
        <f>TIM[[#This Row],[To]]</f>
        <v>NST31</v>
      </c>
      <c r="BK28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Breaker-NST-CB31</v>
      </c>
      <c r="BL287" s="9">
        <f>TIM[[#This Row],[Voltage]]</f>
        <v>11</v>
      </c>
    </row>
    <row r="288" spans="1:64" ht="15" hidden="1" customHeight="1" x14ac:dyDescent="0.25">
      <c r="A288" s="6" t="str">
        <f>CONCATENATE(TIM[[#This Row],[Supply Level]],TIM[[#This Row],[Station/Feeder]],TIM[[#This Row],[Voltage]])</f>
        <v>Switching StationNST11</v>
      </c>
      <c r="B288" s="6" t="str">
        <f>CONCATENATE(TIM[[#This Row],[Supply Level]],TIM[[#This Row],[Station/Feeder]],TIM[[#This Row],[Equipment ID]],TIM[[#This Row],[Voltage]],TIM[[#This Row],[Device type]])</f>
        <v>Switching StationNSTNST-CB3211-</v>
      </c>
      <c r="C288" s="6" t="s">
        <v>68</v>
      </c>
      <c r="D288" s="11" t="s">
        <v>162</v>
      </c>
      <c r="E288" s="6" t="s">
        <v>1008</v>
      </c>
      <c r="F288" s="6" t="s">
        <v>1007</v>
      </c>
      <c r="G288" s="27">
        <v>1</v>
      </c>
      <c r="H288" s="7" t="s">
        <v>2376</v>
      </c>
      <c r="I288" s="7" t="s">
        <v>2280</v>
      </c>
      <c r="J288" s="7" t="s">
        <v>15</v>
      </c>
      <c r="K288" s="7" t="s">
        <v>0</v>
      </c>
      <c r="L288" s="7" t="s">
        <v>0</v>
      </c>
      <c r="M288" s="8">
        <v>11</v>
      </c>
      <c r="N288" s="9">
        <v>2500</v>
      </c>
      <c r="O288" s="9">
        <f>IF(OR(N288="",N288="-"),"-",N288*$M288*SQRT(3)/1000)</f>
        <v>47.631397208144122</v>
      </c>
      <c r="P288" s="9">
        <v>2500</v>
      </c>
      <c r="Q288" s="9">
        <f>IF(OR(P288="",P288="-"),"-",P288*$M288*SQRT(3)/1000)</f>
        <v>47.631397208144122</v>
      </c>
      <c r="R288" s="9">
        <v>2500</v>
      </c>
      <c r="S288" s="9">
        <f>IF(OR(R288="",R288="-"),"-",R288*$M288*SQRT(3)/1000)</f>
        <v>47.631397208144122</v>
      </c>
      <c r="T288" s="9" t="s">
        <v>0</v>
      </c>
      <c r="U288" s="9" t="str">
        <f>IF(OR(T288="",T288="-"),"-",T288*$M288*SQRT(3)/1000)</f>
        <v>-</v>
      </c>
      <c r="V288" s="9" t="s">
        <v>0</v>
      </c>
      <c r="W288" s="9" t="str">
        <f>IF(OR(V288="",V288="-"),"-",V288*$M288*SQRT(3)/1000)</f>
        <v>-</v>
      </c>
      <c r="X288" s="9" t="s">
        <v>0</v>
      </c>
      <c r="Y288" s="9" t="str">
        <f>IF(OR(X288="",X288="-"),"-",X288*$M288*SQRT(3)/1000)</f>
        <v>-</v>
      </c>
      <c r="Z288" s="9" t="s">
        <v>0</v>
      </c>
      <c r="AA288" s="9" t="str">
        <f>IF(OR(Z288="",Z288="-"),"-",Z288*$M288*SQRT(3)/1000)</f>
        <v>-</v>
      </c>
      <c r="AB288" s="9" t="s">
        <v>0</v>
      </c>
      <c r="AC288" s="9" t="str">
        <f>IF(OR(AB288="",AB288="-"),"-",AB288*$M288*SQRT(3)/1000)</f>
        <v>-</v>
      </c>
      <c r="AD288" s="9" t="s">
        <v>0</v>
      </c>
      <c r="AE288" s="12" t="str">
        <f>IF(OR(AD288="",AD288="-"),"-",AD288*$M288*SQRT(3)/1000)</f>
        <v>-</v>
      </c>
      <c r="AF288" s="9" t="s">
        <v>0</v>
      </c>
      <c r="AG288" s="9" t="s">
        <v>0</v>
      </c>
      <c r="AH288" s="9" t="s">
        <v>0</v>
      </c>
      <c r="AI288" s="9" t="s">
        <v>0</v>
      </c>
      <c r="AJ288" s="32" t="s">
        <v>0</v>
      </c>
      <c r="AK288" s="9" t="s">
        <v>0</v>
      </c>
      <c r="AL288" s="32" t="s">
        <v>0</v>
      </c>
      <c r="AM288" s="9" t="s">
        <v>0</v>
      </c>
      <c r="AN288" s="32" t="s">
        <v>0</v>
      </c>
      <c r="AO288" s="9" t="s">
        <v>0</v>
      </c>
      <c r="AP288" s="9" t="s">
        <v>0</v>
      </c>
      <c r="AQ288" s="32" t="s">
        <v>0</v>
      </c>
      <c r="AR288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88" s="9" t="str">
        <f>IF(OR(AR288="",AR288="-"),"-",AR288*$M288*SQRT(3)/1000)</f>
        <v>-</v>
      </c>
      <c r="AT288" s="9">
        <f>IF(RIGHT(TIM[[#This Row],[Device type]],7)="Winding","-",TIM[[#This Row],[Cont Winter MVA]])</f>
        <v>47.631397208144122</v>
      </c>
      <c r="AU288" s="9">
        <f>IF(RIGHT(TIM[[#This Row],[Device type]],7)="Winding","-",TIM[[#This Row],[Cont Shoulder MVA]])</f>
        <v>47.631397208144122</v>
      </c>
      <c r="AV288" s="9">
        <f>IF(RIGHT(TIM[[#This Row],[Device type]],7)="Winding","-",TIM[[#This Row],[Cont Summer MVA]])</f>
        <v>47.631397208144122</v>
      </c>
      <c r="AW288" s="9" t="str">
        <f>TIM[[#This Row],[24 Hr Winter MVA]]</f>
        <v>-</v>
      </c>
      <c r="AX288" s="9" t="str">
        <f>TIM[[#This Row],[24 Hr Summer MVA]]</f>
        <v>-</v>
      </c>
      <c r="AY288" s="9" t="str">
        <f>TIM[[#This Row],[Forwards MVA]]</f>
        <v>-</v>
      </c>
      <c r="AZ288" s="9" t="str">
        <f>TIM[[#This Row],[Relay MVA]]</f>
        <v>-</v>
      </c>
      <c r="BA288" s="9" t="str">
        <f>TIM[[#This Row],[CT MVA]]</f>
        <v>-</v>
      </c>
      <c r="BB288" s="9" t="str">
        <f>TIM[[#This Row],[Derating MVA]]</f>
        <v>-</v>
      </c>
      <c r="BC288" s="9" t="str">
        <f>TIM[[#This Row],[Station/Feeder]]&amp;TIM[[#This Row],[Lowest MVA]]</f>
        <v>NST47.6313972081441</v>
      </c>
      <c r="BD288" s="9" t="str">
        <f>CONCATENATE(TIM[[#This Row],[Supply Level]],TIM[[#This Row],[Station/Feeder]],TIM[[#This Row],[Voltage]],TIM[[#This Row],[Lowest A-No PTX]])</f>
        <v>Switching StationNST112500</v>
      </c>
      <c r="BE288" s="9" t="str">
        <f>CONCATENATE(TIM[[#This Row],[Supply Level]],TIM[[#This Row],[Station/Feeder]],TIM[[#This Row],[Voltage]],TIM[[#This Row],[Lowest A-PTX]])</f>
        <v>Switching StationNST112500</v>
      </c>
      <c r="BF288" s="9">
        <f>IFERROR(IF(MIN(TIM[[#This Row],[Summ Cont Winter A]:[Cable Derating]])=0,"",MIN(TIM[[#This Row],[Summ Cont Winter A]:[Cable Derating]])),"")</f>
        <v>47.631397208144122</v>
      </c>
      <c r="BG288" s="9">
        <f>IFERROR(TIM[[#This Row],[Lowest MVA]]*1000/(TIM[[#This Row],[Voltage]]*SQRT(3)),"")</f>
        <v>2500</v>
      </c>
      <c r="BH288" s="9">
        <f t="shared" si="385"/>
        <v>2500</v>
      </c>
      <c r="BI288" s="9" t="str">
        <f>TIM[[#This Row],[From]]</f>
        <v>NST31</v>
      </c>
      <c r="BJ288" s="9" t="str">
        <f>TIM[[#This Row],[To]]</f>
        <v>NST32</v>
      </c>
      <c r="BK28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Breaker-NST-CB32</v>
      </c>
      <c r="BL288" s="9">
        <f>TIM[[#This Row],[Voltage]]</f>
        <v>11</v>
      </c>
    </row>
    <row r="289" spans="1:64" ht="15" customHeight="1" x14ac:dyDescent="0.25">
      <c r="A289" s="14" t="str">
        <f>CONCATENATE(TIM[[#This Row],[Supply Level]],TIM[[#This Row],[Station/Feeder]],TIM[[#This Row],[Voltage]])</f>
        <v>DistributionFeederCB11_Hayes St11</v>
      </c>
      <c r="B289" s="14" t="str">
        <f>CONCATENATE(TIM[[#This Row],[Supply Level]],TIM[[#This Row],[Station/Feeder]],TIM[[#This Row],[Equipment ID]],TIM[[#This Row],[Voltage]],TIM[[#This Row],[Device type]])</f>
        <v>DistributionFeederCB11_Hayes StNST-CB1111Protection</v>
      </c>
      <c r="C289" s="14" t="s">
        <v>1276</v>
      </c>
      <c r="D289" s="11" t="s">
        <v>192</v>
      </c>
      <c r="E289" s="6" t="s">
        <v>243</v>
      </c>
      <c r="F289" s="6" t="s">
        <v>1009</v>
      </c>
      <c r="G289" s="27">
        <v>1</v>
      </c>
      <c r="H289" s="7" t="s">
        <v>2376</v>
      </c>
      <c r="I289" s="7" t="s">
        <v>2281</v>
      </c>
      <c r="J289" s="7" t="s">
        <v>15</v>
      </c>
      <c r="K289" s="49" t="s">
        <v>791</v>
      </c>
      <c r="L289" s="49" t="s">
        <v>1423</v>
      </c>
      <c r="M289" s="8">
        <v>11</v>
      </c>
      <c r="N289" s="9">
        <v>1250</v>
      </c>
      <c r="O289" s="9">
        <f t="shared" ref="O289:O315" si="397">IF(OR(N289="",N289="-"),"-",N289*$M289*SQRT(3)/1000)</f>
        <v>23.815698604072061</v>
      </c>
      <c r="P289" s="9">
        <v>1250</v>
      </c>
      <c r="Q289" s="9">
        <f t="shared" ref="Q289:Q315" si="398">IF(OR(P289="",P289="-"),"-",P289*$M289*SQRT(3)/1000)</f>
        <v>23.815698604072061</v>
      </c>
      <c r="R289" s="9">
        <v>1250</v>
      </c>
      <c r="S289" s="9">
        <f t="shared" ref="S289:S315" si="399">IF(OR(R289="",R289="-"),"-",R289*$M289*SQRT(3)/1000)</f>
        <v>23.815698604072061</v>
      </c>
      <c r="T289" s="9" t="s">
        <v>0</v>
      </c>
      <c r="U289" s="9" t="str">
        <f t="shared" ref="U289:U315" si="400">IF(OR(T289="",T289="-"),"-",T289*$M289*SQRT(3)/1000)</f>
        <v>-</v>
      </c>
      <c r="V289" s="9" t="s">
        <v>0</v>
      </c>
      <c r="W289" s="9" t="str">
        <f t="shared" ref="W289:W315" si="401">IF(OR(V289="",V289="-"),"-",V289*$M289*SQRT(3)/1000)</f>
        <v>-</v>
      </c>
      <c r="X289" s="9">
        <f>VLOOKUP(TIM[[#This Row],[Equipment ID]],AEL_Protection_Data[#All],12,0)</f>
        <v>304</v>
      </c>
      <c r="Y289" s="9">
        <f t="shared" ref="Y289:Y315" si="402">IF(OR(X289="",X289="-"),"-",X289*$M289*SQRT(3)/1000)</f>
        <v>5.7919779005103251</v>
      </c>
      <c r="Z289" s="9" t="s">
        <v>0</v>
      </c>
      <c r="AA289" s="9" t="str">
        <f t="shared" ref="AA289:AA315" si="403">IF(OR(Z289="",Z289="-"),"-",Z289*$M289*SQRT(3)/1000)</f>
        <v>-</v>
      </c>
      <c r="AB289" s="9">
        <v>800</v>
      </c>
      <c r="AC289" s="9">
        <f t="shared" ref="AC289:AC315" si="404">IF(OR(AB289="",AB289="-"),"-",AB289*$M289*SQRT(3)/1000)</f>
        <v>15.242047106606121</v>
      </c>
      <c r="AD289" s="9">
        <v>800</v>
      </c>
      <c r="AE289" s="12">
        <f t="shared" ref="AE289:AE315" si="405">IF(OR(AD289="",AD289="-"),"-",AD289*$M289*SQRT(3)/1000)</f>
        <v>15.242047106606121</v>
      </c>
      <c r="AF289" s="9" t="s">
        <v>0</v>
      </c>
      <c r="AG289" s="9" t="s">
        <v>0</v>
      </c>
      <c r="AH289" s="9" t="s">
        <v>0</v>
      </c>
      <c r="AI289" s="9" t="s">
        <v>0</v>
      </c>
      <c r="AJ289" s="32" t="s">
        <v>0</v>
      </c>
      <c r="AK289" s="9" t="s">
        <v>0</v>
      </c>
      <c r="AL289" s="32" t="s">
        <v>0</v>
      </c>
      <c r="AM289" s="9" t="s">
        <v>0</v>
      </c>
      <c r="AN289" s="32" t="s">
        <v>0</v>
      </c>
      <c r="AO289" s="9" t="s">
        <v>0</v>
      </c>
      <c r="AP289" s="9" t="s">
        <v>0</v>
      </c>
      <c r="AQ289" s="32" t="s">
        <v>0</v>
      </c>
      <c r="AR289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89" s="9" t="str">
        <f t="shared" ref="AS289:AS315" si="406">IF(OR(AR289="",AR289="-"),"-",AR289*$M289*SQRT(3)/1000)</f>
        <v>-</v>
      </c>
      <c r="AT289" s="9">
        <f>IF(RIGHT(TIM[[#This Row],[Device type]],7)="Winding","-",TIM[[#This Row],[Cont Winter MVA]])</f>
        <v>23.815698604072061</v>
      </c>
      <c r="AU289" s="9">
        <f>IF(RIGHT(TIM[[#This Row],[Device type]],7)="Winding","-",TIM[[#This Row],[Cont Shoulder MVA]])</f>
        <v>23.815698604072061</v>
      </c>
      <c r="AV289" s="9">
        <f>IF(RIGHT(TIM[[#This Row],[Device type]],7)="Winding","-",TIM[[#This Row],[Cont Summer MVA]])</f>
        <v>23.815698604072061</v>
      </c>
      <c r="AW289" s="9" t="str">
        <f>TIM[[#This Row],[24 Hr Winter MVA]]</f>
        <v>-</v>
      </c>
      <c r="AX289" s="9" t="str">
        <f>TIM[[#This Row],[24 Hr Summer MVA]]</f>
        <v>-</v>
      </c>
      <c r="AY289" s="9">
        <f>TIM[[#This Row],[Forwards MVA]]</f>
        <v>5.7919779005103251</v>
      </c>
      <c r="AZ289" s="9">
        <f>TIM[[#This Row],[Relay MVA]]</f>
        <v>15.242047106606121</v>
      </c>
      <c r="BA289" s="9">
        <f>TIM[[#This Row],[CT MVA]]</f>
        <v>15.242047106606121</v>
      </c>
      <c r="BB289" s="9" t="str">
        <f>TIM[[#This Row],[Derating MVA]]</f>
        <v>-</v>
      </c>
      <c r="BC289" s="9" t="str">
        <f>TIM[[#This Row],[Station/Feeder]]&amp;TIM[[#This Row],[Lowest MVA]]</f>
        <v>CB11_Hayes St5.79197790051033</v>
      </c>
      <c r="BD289" s="9" t="str">
        <f>CONCATENATE(TIM[[#This Row],[Supply Level]],TIM[[#This Row],[Station/Feeder]],TIM[[#This Row],[Voltage]],TIM[[#This Row],[Lowest A-No PTX]])</f>
        <v>DistributionFeederCB11_Hayes St11304</v>
      </c>
      <c r="BE289" s="9" t="str">
        <f>CONCATENATE(TIM[[#This Row],[Supply Level]],TIM[[#This Row],[Station/Feeder]],TIM[[#This Row],[Voltage]],TIM[[#This Row],[Lowest A-PTX]])</f>
        <v>DistributionFeederCB11_Hayes St11304</v>
      </c>
      <c r="BF289" s="9">
        <f>IFERROR(IF(MIN(TIM[[#This Row],[Summ Cont Winter A]:[Cable Derating]])=0,"",MIN(TIM[[#This Row],[Summ Cont Winter A]:[Cable Derating]])),"")</f>
        <v>5.7919779005103251</v>
      </c>
      <c r="BG289" s="9">
        <f>IFERROR(TIM[[#This Row],[Lowest MVA]]*1000/(TIM[[#This Row],[Voltage]]*SQRT(3)),"")</f>
        <v>304</v>
      </c>
      <c r="BH289" s="9">
        <f t="shared" si="385"/>
        <v>304</v>
      </c>
      <c r="BI289" s="9" t="str">
        <f>TIM[[#This Row],[From]]</f>
        <v>11 kV Bus</v>
      </c>
      <c r="BJ289" s="9" t="str">
        <f>TIM[[#This Row],[To]]</f>
        <v>NST11</v>
      </c>
      <c r="BK28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Breaker-NST-CB11-Protection</v>
      </c>
      <c r="BL289" s="9">
        <f>TIM[[#This Row],[Voltage]]</f>
        <v>11</v>
      </c>
    </row>
    <row r="290" spans="1:64" ht="15" customHeight="1" x14ac:dyDescent="0.25">
      <c r="A290" s="14" t="str">
        <f>CONCATENATE(TIM[[#This Row],[Supply Level]],TIM[[#This Row],[Station/Feeder]],TIM[[#This Row],[Voltage]])</f>
        <v>DistributionFeederCB11_Hayes St11</v>
      </c>
      <c r="B290" s="14" t="str">
        <f>CONCATENATE(TIM[[#This Row],[Supply Level]],TIM[[#This Row],[Station/Feeder]],TIM[[#This Row],[Equipment ID]],TIM[[#This Row],[Voltage]],TIM[[#This Row],[Device type]])</f>
        <v>DistributionFeederCB11_Hayes St3/1c 400mm² Al XLPE HPDE Screened11-</v>
      </c>
      <c r="C290" s="14" t="s">
        <v>1276</v>
      </c>
      <c r="D290" s="11" t="s">
        <v>192</v>
      </c>
      <c r="E290" s="6" t="s">
        <v>1009</v>
      </c>
      <c r="F290" s="6" t="s">
        <v>750</v>
      </c>
      <c r="G290" s="27">
        <v>2</v>
      </c>
      <c r="H290" s="7" t="s">
        <v>985</v>
      </c>
      <c r="I290" s="7" t="s">
        <v>986</v>
      </c>
      <c r="J290" s="7" t="s">
        <v>250</v>
      </c>
      <c r="K290" s="49" t="s">
        <v>0</v>
      </c>
      <c r="L290" s="49" t="s">
        <v>0</v>
      </c>
      <c r="M290" s="8">
        <v>11</v>
      </c>
      <c r="N290" s="9">
        <v>537</v>
      </c>
      <c r="O290" s="9">
        <f t="shared" si="397"/>
        <v>10.231224120309358</v>
      </c>
      <c r="P290" s="9">
        <v>537</v>
      </c>
      <c r="Q290" s="9">
        <f t="shared" si="398"/>
        <v>10.231224120309358</v>
      </c>
      <c r="R290" s="9">
        <v>537</v>
      </c>
      <c r="S290" s="9">
        <f t="shared" si="399"/>
        <v>10.231224120309358</v>
      </c>
      <c r="T290" s="9" t="s">
        <v>0</v>
      </c>
      <c r="U290" s="9" t="str">
        <f t="shared" si="400"/>
        <v>-</v>
      </c>
      <c r="V290" s="9" t="s">
        <v>0</v>
      </c>
      <c r="W290" s="9" t="str">
        <f t="shared" si="401"/>
        <v>-</v>
      </c>
      <c r="X290" s="9" t="s">
        <v>0</v>
      </c>
      <c r="Y290" s="9" t="str">
        <f t="shared" si="402"/>
        <v>-</v>
      </c>
      <c r="Z290" s="9" t="s">
        <v>0</v>
      </c>
      <c r="AA290" s="9" t="str">
        <f t="shared" si="403"/>
        <v>-</v>
      </c>
      <c r="AB290" s="9" t="s">
        <v>0</v>
      </c>
      <c r="AC290" s="9" t="str">
        <f t="shared" si="404"/>
        <v>-</v>
      </c>
      <c r="AD290" s="9" t="s">
        <v>0</v>
      </c>
      <c r="AE290" s="12" t="str">
        <f t="shared" si="405"/>
        <v>-</v>
      </c>
      <c r="AF290" s="160" t="s">
        <v>713</v>
      </c>
      <c r="AG290" s="9" t="s">
        <v>0</v>
      </c>
      <c r="AH290" s="9">
        <v>184</v>
      </c>
      <c r="AI290" s="9">
        <v>0.93</v>
      </c>
      <c r="AJ290" s="32">
        <v>1.01</v>
      </c>
      <c r="AK290" s="9">
        <v>18.5</v>
      </c>
      <c r="AL290" s="32">
        <v>0.95199999999999996</v>
      </c>
      <c r="AM290" s="9">
        <v>1.2</v>
      </c>
      <c r="AN290" s="32">
        <v>1</v>
      </c>
      <c r="AO290" s="9">
        <v>4</v>
      </c>
      <c r="AP290" s="9">
        <v>0.54</v>
      </c>
      <c r="AQ290" s="32">
        <v>0.82</v>
      </c>
      <c r="AR290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423.39571679999995</v>
      </c>
      <c r="AS290" s="9">
        <f t="shared" si="406"/>
        <v>8.0667718252510792</v>
      </c>
      <c r="AT290" s="9">
        <f>IF(RIGHT(TIM[[#This Row],[Device type]],7)="Winding","-",TIM[[#This Row],[Cont Winter MVA]])</f>
        <v>10.231224120309358</v>
      </c>
      <c r="AU290" s="9">
        <f>IF(RIGHT(TIM[[#This Row],[Device type]],7)="Winding","-",TIM[[#This Row],[Cont Shoulder MVA]])</f>
        <v>10.231224120309358</v>
      </c>
      <c r="AV290" s="9">
        <f>IF(RIGHT(TIM[[#This Row],[Device type]],7)="Winding","-",TIM[[#This Row],[Cont Summer MVA]])</f>
        <v>10.231224120309358</v>
      </c>
      <c r="AW290" s="9" t="str">
        <f>TIM[[#This Row],[24 Hr Winter MVA]]</f>
        <v>-</v>
      </c>
      <c r="AX290" s="9" t="str">
        <f>TIM[[#This Row],[24 Hr Summer MVA]]</f>
        <v>-</v>
      </c>
      <c r="AY290" s="9" t="str">
        <f>TIM[[#This Row],[Forwards MVA]]</f>
        <v>-</v>
      </c>
      <c r="AZ290" s="9" t="str">
        <f>TIM[[#This Row],[Relay MVA]]</f>
        <v>-</v>
      </c>
      <c r="BA290" s="9" t="str">
        <f>TIM[[#This Row],[CT MVA]]</f>
        <v>-</v>
      </c>
      <c r="BB290" s="9">
        <f>TIM[[#This Row],[Derating MVA]]</f>
        <v>8.0667718252510792</v>
      </c>
      <c r="BC290" s="9" t="str">
        <f>TIM[[#This Row],[Station/Feeder]]&amp;TIM[[#This Row],[Lowest MVA]]</f>
        <v>CB11_Hayes St8.06677182525108</v>
      </c>
      <c r="BD290" s="9" t="str">
        <f>CONCATENATE(TIM[[#This Row],[Supply Level]],TIM[[#This Row],[Station/Feeder]],TIM[[#This Row],[Voltage]],TIM[[#This Row],[Lowest A-No PTX]])</f>
        <v>DistributionFeederCB11_Hayes St11423.3957168</v>
      </c>
      <c r="BE290" s="9" t="str">
        <f>CONCATENATE(TIM[[#This Row],[Supply Level]],TIM[[#This Row],[Station/Feeder]],TIM[[#This Row],[Voltage]],TIM[[#This Row],[Lowest A-PTX]])</f>
        <v>DistributionFeederCB11_Hayes St11423.3957168</v>
      </c>
      <c r="BF290" s="9">
        <f>IFERROR(IF(MIN(TIM[[#This Row],[Summ Cont Winter A]:[Cable Derating]])=0,"",MIN(TIM[[#This Row],[Summ Cont Winter A]:[Cable Derating]])),"")</f>
        <v>8.0667718252510792</v>
      </c>
      <c r="BG290" s="9">
        <f>IFERROR(TIM[[#This Row],[Lowest MVA]]*1000/(TIM[[#This Row],[Voltage]]*SQRT(3)),"")</f>
        <v>423.39571679999995</v>
      </c>
      <c r="BH290" s="9">
        <f t="shared" si="385"/>
        <v>423.39571679999995</v>
      </c>
      <c r="BI290" s="9" t="str">
        <f>TIM[[#This Row],[From]]</f>
        <v>NST11</v>
      </c>
      <c r="BJ290" s="9" t="str">
        <f>TIM[[#This Row],[To]]</f>
        <v>Joint</v>
      </c>
      <c r="BK29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HPDE Screened</v>
      </c>
      <c r="BL290" s="9">
        <f>TIM[[#This Row],[Voltage]]</f>
        <v>11</v>
      </c>
    </row>
    <row r="291" spans="1:64" ht="15" customHeight="1" x14ac:dyDescent="0.25">
      <c r="A291" s="14" t="str">
        <f>CONCATENATE(TIM[[#This Row],[Supply Level]],TIM[[#This Row],[Station/Feeder]],TIM[[#This Row],[Voltage]])</f>
        <v>DistributionFeederCB11_Hayes St11</v>
      </c>
      <c r="B291" s="14" t="str">
        <f>CONCATENATE(TIM[[#This Row],[Supply Level]],TIM[[#This Row],[Station/Feeder]],TIM[[#This Row],[Equipment ID]],TIM[[#This Row],[Voltage]],TIM[[#This Row],[Device type]])</f>
        <v>DistributionFeederCB11_Hayes St3c 0.25in² Al PILC STAS11-</v>
      </c>
      <c r="C291" s="14" t="s">
        <v>1276</v>
      </c>
      <c r="D291" s="11" t="s">
        <v>192</v>
      </c>
      <c r="E291" s="6" t="s">
        <v>750</v>
      </c>
      <c r="F291" s="6" t="s">
        <v>1010</v>
      </c>
      <c r="G291" s="27">
        <v>3</v>
      </c>
      <c r="H291" s="7" t="s">
        <v>985</v>
      </c>
      <c r="I291" s="7" t="s">
        <v>1011</v>
      </c>
      <c r="J291" s="7" t="s">
        <v>250</v>
      </c>
      <c r="K291" s="49" t="s">
        <v>0</v>
      </c>
      <c r="L291" s="49" t="s">
        <v>0</v>
      </c>
      <c r="M291" s="8">
        <v>11</v>
      </c>
      <c r="N291" s="9">
        <v>265</v>
      </c>
      <c r="O291" s="9">
        <f t="shared" si="397"/>
        <v>5.0489281040632772</v>
      </c>
      <c r="P291" s="9">
        <v>265</v>
      </c>
      <c r="Q291" s="9">
        <f t="shared" si="398"/>
        <v>5.0489281040632772</v>
      </c>
      <c r="R291" s="9">
        <v>265</v>
      </c>
      <c r="S291" s="9">
        <f t="shared" si="399"/>
        <v>5.0489281040632772</v>
      </c>
      <c r="T291" s="9" t="s">
        <v>0</v>
      </c>
      <c r="U291" s="9" t="str">
        <f t="shared" si="400"/>
        <v>-</v>
      </c>
      <c r="V291" s="9" t="s">
        <v>0</v>
      </c>
      <c r="W291" s="9" t="str">
        <f t="shared" si="401"/>
        <v>-</v>
      </c>
      <c r="X291" s="9" t="s">
        <v>0</v>
      </c>
      <c r="Y291" s="9" t="str">
        <f t="shared" si="402"/>
        <v>-</v>
      </c>
      <c r="Z291" s="9" t="s">
        <v>0</v>
      </c>
      <c r="AA291" s="9" t="str">
        <f t="shared" si="403"/>
        <v>-</v>
      </c>
      <c r="AB291" s="9" t="s">
        <v>0</v>
      </c>
      <c r="AC291" s="9" t="str">
        <f t="shared" si="404"/>
        <v>-</v>
      </c>
      <c r="AD291" s="9" t="s">
        <v>0</v>
      </c>
      <c r="AE291" s="12" t="str">
        <f t="shared" si="405"/>
        <v>-</v>
      </c>
      <c r="AF291" s="159" t="s">
        <v>716</v>
      </c>
      <c r="AG291" s="9" t="s">
        <v>0</v>
      </c>
      <c r="AH291" s="9">
        <v>275.70000000000005</v>
      </c>
      <c r="AI291" s="9">
        <v>1</v>
      </c>
      <c r="AJ291" s="32">
        <v>1</v>
      </c>
      <c r="AK291" s="9">
        <v>18.5</v>
      </c>
      <c r="AL291" s="32">
        <v>0.95199999999999996</v>
      </c>
      <c r="AM291" s="9">
        <v>1.2</v>
      </c>
      <c r="AN291" s="32">
        <v>1</v>
      </c>
      <c r="AO291" s="9">
        <v>4</v>
      </c>
      <c r="AP291" s="9">
        <v>0.54</v>
      </c>
      <c r="AQ291" s="32">
        <v>0.82</v>
      </c>
      <c r="AR291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206.86959999999996</v>
      </c>
      <c r="AS291" s="9">
        <f t="shared" si="406"/>
        <v>3.9413952351559556</v>
      </c>
      <c r="AT291" s="9">
        <f>IF(RIGHT(TIM[[#This Row],[Device type]],7)="Winding","-",TIM[[#This Row],[Cont Winter MVA]])</f>
        <v>5.0489281040632772</v>
      </c>
      <c r="AU291" s="9">
        <f>IF(RIGHT(TIM[[#This Row],[Device type]],7)="Winding","-",TIM[[#This Row],[Cont Shoulder MVA]])</f>
        <v>5.0489281040632772</v>
      </c>
      <c r="AV291" s="9">
        <f>IF(RIGHT(TIM[[#This Row],[Device type]],7)="Winding","-",TIM[[#This Row],[Cont Summer MVA]])</f>
        <v>5.0489281040632772</v>
      </c>
      <c r="AW291" s="9" t="str">
        <f>TIM[[#This Row],[24 Hr Winter MVA]]</f>
        <v>-</v>
      </c>
      <c r="AX291" s="9" t="str">
        <f>TIM[[#This Row],[24 Hr Summer MVA]]</f>
        <v>-</v>
      </c>
      <c r="AY291" s="9" t="str">
        <f>TIM[[#This Row],[Forwards MVA]]</f>
        <v>-</v>
      </c>
      <c r="AZ291" s="9" t="str">
        <f>TIM[[#This Row],[Relay MVA]]</f>
        <v>-</v>
      </c>
      <c r="BA291" s="9" t="str">
        <f>TIM[[#This Row],[CT MVA]]</f>
        <v>-</v>
      </c>
      <c r="BB291" s="9">
        <f>TIM[[#This Row],[Derating MVA]]</f>
        <v>3.9413952351559556</v>
      </c>
      <c r="BC291" s="9" t="str">
        <f>TIM[[#This Row],[Station/Feeder]]&amp;TIM[[#This Row],[Lowest MVA]]</f>
        <v>CB11_Hayes St3.94139523515596</v>
      </c>
      <c r="BD291" s="9" t="str">
        <f>CONCATENATE(TIM[[#This Row],[Supply Level]],TIM[[#This Row],[Station/Feeder]],TIM[[#This Row],[Voltage]],TIM[[#This Row],[Lowest A-No PTX]])</f>
        <v>DistributionFeederCB11_Hayes St11206.8696</v>
      </c>
      <c r="BE291" s="9" t="str">
        <f>CONCATENATE(TIM[[#This Row],[Supply Level]],TIM[[#This Row],[Station/Feeder]],TIM[[#This Row],[Voltage]],TIM[[#This Row],[Lowest A-PTX]])</f>
        <v>DistributionFeederCB11_Hayes St11206.8696</v>
      </c>
      <c r="BF291" s="9">
        <f>IFERROR(IF(MIN(TIM[[#This Row],[Summ Cont Winter A]:[Cable Derating]])=0,"",MIN(TIM[[#This Row],[Summ Cont Winter A]:[Cable Derating]])),"")</f>
        <v>3.9413952351559556</v>
      </c>
      <c r="BG291" s="9">
        <f>IFERROR(TIM[[#This Row],[Lowest MVA]]*1000/(TIM[[#This Row],[Voltage]]*SQRT(3)),"")</f>
        <v>206.86959999999993</v>
      </c>
      <c r="BH291" s="9">
        <f t="shared" si="385"/>
        <v>206.86959999999996</v>
      </c>
      <c r="BI291" s="9" t="str">
        <f>TIM[[#This Row],[From]]</f>
        <v>Joint</v>
      </c>
      <c r="BJ291" s="9" t="str">
        <f>TIM[[#This Row],[To]]</f>
        <v>TEW7 RMU</v>
      </c>
      <c r="BK29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0.25in² Al PILC STAS</v>
      </c>
      <c r="BL291" s="9">
        <f>TIM[[#This Row],[Voltage]]</f>
        <v>11</v>
      </c>
    </row>
    <row r="292" spans="1:64" ht="15" customHeight="1" x14ac:dyDescent="0.25">
      <c r="A292" s="14" t="str">
        <f>CONCATENATE(TIM[[#This Row],[Supply Level]],TIM[[#This Row],[Station/Feeder]],TIM[[#This Row],[Voltage]])</f>
        <v>DistributionFeederCB12_High St11</v>
      </c>
      <c r="B292" s="14" t="str">
        <f>CONCATENATE(TIM[[#This Row],[Supply Level]],TIM[[#This Row],[Station/Feeder]],TIM[[#This Row],[Equipment ID]],TIM[[#This Row],[Voltage]],TIM[[#This Row],[Device type]])</f>
        <v>DistributionFeederCB12_High StNST-CB1211Protection</v>
      </c>
      <c r="C292" s="14" t="s">
        <v>1276</v>
      </c>
      <c r="D292" s="11" t="s">
        <v>194</v>
      </c>
      <c r="E292" s="6" t="s">
        <v>243</v>
      </c>
      <c r="F292" s="6" t="s">
        <v>1012</v>
      </c>
      <c r="G292" s="27">
        <v>1</v>
      </c>
      <c r="H292" s="7" t="s">
        <v>2376</v>
      </c>
      <c r="I292" s="7" t="s">
        <v>2282</v>
      </c>
      <c r="J292" s="7" t="s">
        <v>15</v>
      </c>
      <c r="K292" s="49" t="s">
        <v>791</v>
      </c>
      <c r="L292" s="49" t="s">
        <v>1423</v>
      </c>
      <c r="M292" s="8">
        <v>11</v>
      </c>
      <c r="N292" s="9">
        <v>1250</v>
      </c>
      <c r="O292" s="9">
        <f t="shared" si="397"/>
        <v>23.815698604072061</v>
      </c>
      <c r="P292" s="9">
        <v>1250</v>
      </c>
      <c r="Q292" s="9">
        <f t="shared" si="398"/>
        <v>23.815698604072061</v>
      </c>
      <c r="R292" s="9">
        <v>1250</v>
      </c>
      <c r="S292" s="9">
        <f t="shared" si="399"/>
        <v>23.815698604072061</v>
      </c>
      <c r="T292" s="9" t="s">
        <v>0</v>
      </c>
      <c r="U292" s="9" t="str">
        <f t="shared" si="400"/>
        <v>-</v>
      </c>
      <c r="V292" s="9" t="s">
        <v>0</v>
      </c>
      <c r="W292" s="9" t="str">
        <f t="shared" si="401"/>
        <v>-</v>
      </c>
      <c r="X292" s="9">
        <f>VLOOKUP(TIM[[#This Row],[Equipment ID]],AEL_Protection_Data[#All],12,0)</f>
        <v>304</v>
      </c>
      <c r="Y292" s="9">
        <f t="shared" si="402"/>
        <v>5.7919779005103251</v>
      </c>
      <c r="Z292" s="9" t="s">
        <v>0</v>
      </c>
      <c r="AA292" s="9" t="str">
        <f t="shared" si="403"/>
        <v>-</v>
      </c>
      <c r="AB292" s="9">
        <v>800</v>
      </c>
      <c r="AC292" s="9">
        <f t="shared" si="404"/>
        <v>15.242047106606121</v>
      </c>
      <c r="AD292" s="9">
        <v>800</v>
      </c>
      <c r="AE292" s="12">
        <f t="shared" si="405"/>
        <v>15.242047106606121</v>
      </c>
      <c r="AF292" s="9" t="s">
        <v>0</v>
      </c>
      <c r="AG292" s="9" t="s">
        <v>0</v>
      </c>
      <c r="AH292" s="9" t="s">
        <v>0</v>
      </c>
      <c r="AI292" s="9" t="s">
        <v>0</v>
      </c>
      <c r="AJ292" s="32" t="s">
        <v>0</v>
      </c>
      <c r="AK292" s="9" t="s">
        <v>0</v>
      </c>
      <c r="AL292" s="32" t="s">
        <v>0</v>
      </c>
      <c r="AM292" s="9" t="s">
        <v>0</v>
      </c>
      <c r="AN292" s="32" t="s">
        <v>0</v>
      </c>
      <c r="AO292" s="9" t="s">
        <v>0</v>
      </c>
      <c r="AP292" s="9" t="s">
        <v>0</v>
      </c>
      <c r="AQ292" s="32" t="s">
        <v>0</v>
      </c>
      <c r="AR292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92" s="9" t="str">
        <f t="shared" si="406"/>
        <v>-</v>
      </c>
      <c r="AT292" s="9">
        <f>IF(RIGHT(TIM[[#This Row],[Device type]],7)="Winding","-",TIM[[#This Row],[Cont Winter MVA]])</f>
        <v>23.815698604072061</v>
      </c>
      <c r="AU292" s="9">
        <f>IF(RIGHT(TIM[[#This Row],[Device type]],7)="Winding","-",TIM[[#This Row],[Cont Shoulder MVA]])</f>
        <v>23.815698604072061</v>
      </c>
      <c r="AV292" s="9">
        <f>IF(RIGHT(TIM[[#This Row],[Device type]],7)="Winding","-",TIM[[#This Row],[Cont Summer MVA]])</f>
        <v>23.815698604072061</v>
      </c>
      <c r="AW292" s="9" t="str">
        <f>TIM[[#This Row],[24 Hr Winter MVA]]</f>
        <v>-</v>
      </c>
      <c r="AX292" s="9" t="str">
        <f>TIM[[#This Row],[24 Hr Summer MVA]]</f>
        <v>-</v>
      </c>
      <c r="AY292" s="9">
        <f>TIM[[#This Row],[Forwards MVA]]</f>
        <v>5.7919779005103251</v>
      </c>
      <c r="AZ292" s="9">
        <f>TIM[[#This Row],[Relay MVA]]</f>
        <v>15.242047106606121</v>
      </c>
      <c r="BA292" s="9">
        <f>TIM[[#This Row],[CT MVA]]</f>
        <v>15.242047106606121</v>
      </c>
      <c r="BB292" s="9" t="str">
        <f>TIM[[#This Row],[Derating MVA]]</f>
        <v>-</v>
      </c>
      <c r="BC292" s="9" t="str">
        <f>TIM[[#This Row],[Station/Feeder]]&amp;TIM[[#This Row],[Lowest MVA]]</f>
        <v>CB12_High St5.79197790051033</v>
      </c>
      <c r="BD292" s="9" t="str">
        <f>CONCATENATE(TIM[[#This Row],[Supply Level]],TIM[[#This Row],[Station/Feeder]],TIM[[#This Row],[Voltage]],TIM[[#This Row],[Lowest A-No PTX]])</f>
        <v>DistributionFeederCB12_High St11304</v>
      </c>
      <c r="BE292" s="9" t="str">
        <f>CONCATENATE(TIM[[#This Row],[Supply Level]],TIM[[#This Row],[Station/Feeder]],TIM[[#This Row],[Voltage]],TIM[[#This Row],[Lowest A-PTX]])</f>
        <v>DistributionFeederCB12_High St11304</v>
      </c>
      <c r="BF292" s="9">
        <f>IFERROR(IF(MIN(TIM[[#This Row],[Summ Cont Winter A]:[Cable Derating]])=0,"",MIN(TIM[[#This Row],[Summ Cont Winter A]:[Cable Derating]])),"")</f>
        <v>5.7919779005103251</v>
      </c>
      <c r="BG292" s="9">
        <f>IFERROR(TIM[[#This Row],[Lowest MVA]]*1000/(TIM[[#This Row],[Voltage]]*SQRT(3)),"")</f>
        <v>304</v>
      </c>
      <c r="BH292" s="9">
        <f t="shared" si="385"/>
        <v>304</v>
      </c>
      <c r="BI292" s="9" t="str">
        <f>TIM[[#This Row],[From]]</f>
        <v>11 kV Bus</v>
      </c>
      <c r="BJ292" s="9" t="str">
        <f>TIM[[#This Row],[To]]</f>
        <v>NST12</v>
      </c>
      <c r="BK29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Breaker-NST-CB12-Protection</v>
      </c>
      <c r="BL292" s="9">
        <f>TIM[[#This Row],[Voltage]]</f>
        <v>11</v>
      </c>
    </row>
    <row r="293" spans="1:64" ht="15" customHeight="1" x14ac:dyDescent="0.25">
      <c r="A293" s="14" t="str">
        <f>CONCATENATE(TIM[[#This Row],[Supply Level]],TIM[[#This Row],[Station/Feeder]],TIM[[#This Row],[Voltage]])</f>
        <v>DistributionFeederCB12_High St11</v>
      </c>
      <c r="B293" s="14" t="str">
        <f>CONCATENATE(TIM[[#This Row],[Supply Level]],TIM[[#This Row],[Station/Feeder]],TIM[[#This Row],[Equipment ID]],TIM[[#This Row],[Voltage]],TIM[[#This Row],[Device type]])</f>
        <v>DistributionFeederCB12_High St3/1c 400mm² Al XLPE HPDE Screened11-</v>
      </c>
      <c r="C293" s="14" t="s">
        <v>1276</v>
      </c>
      <c r="D293" s="11" t="s">
        <v>194</v>
      </c>
      <c r="E293" s="6" t="s">
        <v>1012</v>
      </c>
      <c r="F293" s="6" t="s">
        <v>750</v>
      </c>
      <c r="G293" s="27">
        <v>2</v>
      </c>
      <c r="H293" s="7" t="s">
        <v>985</v>
      </c>
      <c r="I293" s="7" t="s">
        <v>986</v>
      </c>
      <c r="J293" s="7" t="s">
        <v>250</v>
      </c>
      <c r="K293" s="49" t="s">
        <v>0</v>
      </c>
      <c r="L293" s="49" t="s">
        <v>0</v>
      </c>
      <c r="M293" s="8">
        <v>11</v>
      </c>
      <c r="N293" s="9">
        <v>537</v>
      </c>
      <c r="O293" s="9">
        <f t="shared" si="397"/>
        <v>10.231224120309358</v>
      </c>
      <c r="P293" s="9">
        <v>537</v>
      </c>
      <c r="Q293" s="9">
        <f t="shared" si="398"/>
        <v>10.231224120309358</v>
      </c>
      <c r="R293" s="9">
        <v>537</v>
      </c>
      <c r="S293" s="9">
        <f t="shared" si="399"/>
        <v>10.231224120309358</v>
      </c>
      <c r="T293" s="9" t="s">
        <v>0</v>
      </c>
      <c r="U293" s="9" t="str">
        <f t="shared" si="400"/>
        <v>-</v>
      </c>
      <c r="V293" s="9" t="s">
        <v>0</v>
      </c>
      <c r="W293" s="9" t="str">
        <f t="shared" si="401"/>
        <v>-</v>
      </c>
      <c r="X293" s="9" t="s">
        <v>0</v>
      </c>
      <c r="Y293" s="9" t="str">
        <f t="shared" si="402"/>
        <v>-</v>
      </c>
      <c r="Z293" s="9" t="s">
        <v>0</v>
      </c>
      <c r="AA293" s="9" t="str">
        <f t="shared" si="403"/>
        <v>-</v>
      </c>
      <c r="AB293" s="9" t="s">
        <v>0</v>
      </c>
      <c r="AC293" s="9" t="str">
        <f t="shared" si="404"/>
        <v>-</v>
      </c>
      <c r="AD293" s="9" t="s">
        <v>0</v>
      </c>
      <c r="AE293" s="12" t="str">
        <f t="shared" si="405"/>
        <v>-</v>
      </c>
      <c r="AF293" s="159" t="s">
        <v>713</v>
      </c>
      <c r="AG293" s="9" t="s">
        <v>0</v>
      </c>
      <c r="AH293" s="9">
        <v>184</v>
      </c>
      <c r="AI293" s="9">
        <v>0.93</v>
      </c>
      <c r="AJ293" s="32">
        <v>1.01</v>
      </c>
      <c r="AK293" s="9">
        <v>18.5</v>
      </c>
      <c r="AL293" s="32">
        <v>0.97199999999999998</v>
      </c>
      <c r="AM293" s="9">
        <v>1.2</v>
      </c>
      <c r="AN293" s="32">
        <v>1</v>
      </c>
      <c r="AO293" s="9">
        <v>4</v>
      </c>
      <c r="AP293" s="9">
        <v>0.54</v>
      </c>
      <c r="AQ293" s="32">
        <v>0.82</v>
      </c>
      <c r="AR293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432.29058480000003</v>
      </c>
      <c r="AS293" s="9">
        <f t="shared" si="406"/>
        <v>8.2362418215798847</v>
      </c>
      <c r="AT293" s="9">
        <f>IF(RIGHT(TIM[[#This Row],[Device type]],7)="Winding","-",TIM[[#This Row],[Cont Winter MVA]])</f>
        <v>10.231224120309358</v>
      </c>
      <c r="AU293" s="9">
        <f>IF(RIGHT(TIM[[#This Row],[Device type]],7)="Winding","-",TIM[[#This Row],[Cont Shoulder MVA]])</f>
        <v>10.231224120309358</v>
      </c>
      <c r="AV293" s="9">
        <f>IF(RIGHT(TIM[[#This Row],[Device type]],7)="Winding","-",TIM[[#This Row],[Cont Summer MVA]])</f>
        <v>10.231224120309358</v>
      </c>
      <c r="AW293" s="9" t="str">
        <f>TIM[[#This Row],[24 Hr Winter MVA]]</f>
        <v>-</v>
      </c>
      <c r="AX293" s="9" t="str">
        <f>TIM[[#This Row],[24 Hr Summer MVA]]</f>
        <v>-</v>
      </c>
      <c r="AY293" s="9" t="str">
        <f>TIM[[#This Row],[Forwards MVA]]</f>
        <v>-</v>
      </c>
      <c r="AZ293" s="9" t="str">
        <f>TIM[[#This Row],[Relay MVA]]</f>
        <v>-</v>
      </c>
      <c r="BA293" s="9" t="str">
        <f>TIM[[#This Row],[CT MVA]]</f>
        <v>-</v>
      </c>
      <c r="BB293" s="9">
        <f>TIM[[#This Row],[Derating MVA]]</f>
        <v>8.2362418215798847</v>
      </c>
      <c r="BC293" s="9" t="str">
        <f>TIM[[#This Row],[Station/Feeder]]&amp;TIM[[#This Row],[Lowest MVA]]</f>
        <v>CB12_High St8.23624182157988</v>
      </c>
      <c r="BD293" s="9" t="str">
        <f>CONCATENATE(TIM[[#This Row],[Supply Level]],TIM[[#This Row],[Station/Feeder]],TIM[[#This Row],[Voltage]],TIM[[#This Row],[Lowest A-No PTX]])</f>
        <v>DistributionFeederCB12_High St11432.2905848</v>
      </c>
      <c r="BE293" s="9" t="str">
        <f>CONCATENATE(TIM[[#This Row],[Supply Level]],TIM[[#This Row],[Station/Feeder]],TIM[[#This Row],[Voltage]],TIM[[#This Row],[Lowest A-PTX]])</f>
        <v>DistributionFeederCB12_High St11432.2905848</v>
      </c>
      <c r="BF293" s="9">
        <f>IFERROR(IF(MIN(TIM[[#This Row],[Summ Cont Winter A]:[Cable Derating]])=0,"",MIN(TIM[[#This Row],[Summ Cont Winter A]:[Cable Derating]])),"")</f>
        <v>8.2362418215798847</v>
      </c>
      <c r="BG293" s="9">
        <f>IFERROR(TIM[[#This Row],[Lowest MVA]]*1000/(TIM[[#This Row],[Voltage]]*SQRT(3)),"")</f>
        <v>432.29058479999998</v>
      </c>
      <c r="BH293" s="9">
        <f t="shared" si="385"/>
        <v>432.29058480000003</v>
      </c>
      <c r="BI293" s="9" t="str">
        <f>TIM[[#This Row],[From]]</f>
        <v>NST12</v>
      </c>
      <c r="BJ293" s="9" t="str">
        <f>TIM[[#This Row],[To]]</f>
        <v>Joint</v>
      </c>
      <c r="BK29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HPDE Screened</v>
      </c>
      <c r="BL293" s="9">
        <f>TIM[[#This Row],[Voltage]]</f>
        <v>11</v>
      </c>
    </row>
    <row r="294" spans="1:64" ht="15" customHeight="1" x14ac:dyDescent="0.25">
      <c r="A294" s="14" t="str">
        <f>CONCATENATE(TIM[[#This Row],[Supply Level]],TIM[[#This Row],[Station/Feeder]],TIM[[#This Row],[Voltage]])</f>
        <v>DistributionFeederCB12_High St11</v>
      </c>
      <c r="B294" s="14" t="str">
        <f>CONCATENATE(TIM[[#This Row],[Supply Level]],TIM[[#This Row],[Station/Feeder]],TIM[[#This Row],[Equipment ID]],TIM[[#This Row],[Voltage]],TIM[[#This Row],[Device type]])</f>
        <v>DistributionFeederCB12_High St3c 185mm²  Al PILC SWA11-</v>
      </c>
      <c r="C294" s="14" t="s">
        <v>1276</v>
      </c>
      <c r="D294" s="11" t="s">
        <v>194</v>
      </c>
      <c r="E294" s="6" t="s">
        <v>750</v>
      </c>
      <c r="F294" s="6" t="s">
        <v>750</v>
      </c>
      <c r="G294" s="27">
        <v>3</v>
      </c>
      <c r="H294" s="7" t="s">
        <v>985</v>
      </c>
      <c r="I294" s="7" t="s">
        <v>1013</v>
      </c>
      <c r="J294" s="7" t="s">
        <v>250</v>
      </c>
      <c r="K294" s="49" t="s">
        <v>0</v>
      </c>
      <c r="L294" s="49" t="s">
        <v>0</v>
      </c>
      <c r="M294" s="8">
        <v>11</v>
      </c>
      <c r="N294" s="9">
        <v>315</v>
      </c>
      <c r="O294" s="9">
        <f t="shared" si="397"/>
        <v>6.0015560482261598</v>
      </c>
      <c r="P294" s="9">
        <v>315</v>
      </c>
      <c r="Q294" s="9">
        <f t="shared" si="398"/>
        <v>6.0015560482261598</v>
      </c>
      <c r="R294" s="9">
        <v>315</v>
      </c>
      <c r="S294" s="9">
        <f t="shared" si="399"/>
        <v>6.0015560482261598</v>
      </c>
      <c r="T294" s="9" t="s">
        <v>0</v>
      </c>
      <c r="U294" s="9" t="str">
        <f t="shared" si="400"/>
        <v>-</v>
      </c>
      <c r="V294" s="9" t="s">
        <v>0</v>
      </c>
      <c r="W294" s="9" t="str">
        <f t="shared" si="401"/>
        <v>-</v>
      </c>
      <c r="X294" s="9" t="s">
        <v>0</v>
      </c>
      <c r="Y294" s="9" t="str">
        <f t="shared" si="402"/>
        <v>-</v>
      </c>
      <c r="Z294" s="9" t="s">
        <v>0</v>
      </c>
      <c r="AA294" s="9" t="str">
        <f t="shared" si="403"/>
        <v>-</v>
      </c>
      <c r="AB294" s="9" t="s">
        <v>0</v>
      </c>
      <c r="AC294" s="9" t="str">
        <f t="shared" si="404"/>
        <v>-</v>
      </c>
      <c r="AD294" s="9" t="s">
        <v>0</v>
      </c>
      <c r="AE294" s="12" t="str">
        <f t="shared" si="405"/>
        <v>-</v>
      </c>
      <c r="AF294" s="160" t="s">
        <v>716</v>
      </c>
      <c r="AG294" s="9" t="s">
        <v>0</v>
      </c>
      <c r="AH294" s="9">
        <v>324.3</v>
      </c>
      <c r="AI294" s="9">
        <v>1</v>
      </c>
      <c r="AJ294" s="32">
        <v>1</v>
      </c>
      <c r="AK294" s="9">
        <v>18.5</v>
      </c>
      <c r="AL294" s="32">
        <v>0.95199999999999996</v>
      </c>
      <c r="AM294" s="9">
        <v>1.2</v>
      </c>
      <c r="AN294" s="32">
        <v>1</v>
      </c>
      <c r="AO294" s="9">
        <v>4</v>
      </c>
      <c r="AP294" s="9">
        <v>0.54</v>
      </c>
      <c r="AQ294" s="32">
        <v>0.82</v>
      </c>
      <c r="AR294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245.90159999999997</v>
      </c>
      <c r="AS294" s="9">
        <f t="shared" si="406"/>
        <v>4.6850547134872684</v>
      </c>
      <c r="AT294" s="9">
        <f>IF(RIGHT(TIM[[#This Row],[Device type]],7)="Winding","-",TIM[[#This Row],[Cont Winter MVA]])</f>
        <v>6.0015560482261598</v>
      </c>
      <c r="AU294" s="9">
        <f>IF(RIGHT(TIM[[#This Row],[Device type]],7)="Winding","-",TIM[[#This Row],[Cont Shoulder MVA]])</f>
        <v>6.0015560482261598</v>
      </c>
      <c r="AV294" s="9">
        <f>IF(RIGHT(TIM[[#This Row],[Device type]],7)="Winding","-",TIM[[#This Row],[Cont Summer MVA]])</f>
        <v>6.0015560482261598</v>
      </c>
      <c r="AW294" s="9" t="str">
        <f>TIM[[#This Row],[24 Hr Winter MVA]]</f>
        <v>-</v>
      </c>
      <c r="AX294" s="9" t="str">
        <f>TIM[[#This Row],[24 Hr Summer MVA]]</f>
        <v>-</v>
      </c>
      <c r="AY294" s="9" t="str">
        <f>TIM[[#This Row],[Forwards MVA]]</f>
        <v>-</v>
      </c>
      <c r="AZ294" s="9" t="str">
        <f>TIM[[#This Row],[Relay MVA]]</f>
        <v>-</v>
      </c>
      <c r="BA294" s="9" t="str">
        <f>TIM[[#This Row],[CT MVA]]</f>
        <v>-</v>
      </c>
      <c r="BB294" s="9">
        <f>TIM[[#This Row],[Derating MVA]]</f>
        <v>4.6850547134872684</v>
      </c>
      <c r="BC294" s="9" t="str">
        <f>TIM[[#This Row],[Station/Feeder]]&amp;TIM[[#This Row],[Lowest MVA]]</f>
        <v>CB12_High St4.68505471348727</v>
      </c>
      <c r="BD294" s="9" t="str">
        <f>CONCATENATE(TIM[[#This Row],[Supply Level]],TIM[[#This Row],[Station/Feeder]],TIM[[#This Row],[Voltage]],TIM[[#This Row],[Lowest A-No PTX]])</f>
        <v>DistributionFeederCB12_High St11245.9016</v>
      </c>
      <c r="BE294" s="9" t="str">
        <f>CONCATENATE(TIM[[#This Row],[Supply Level]],TIM[[#This Row],[Station/Feeder]],TIM[[#This Row],[Voltage]],TIM[[#This Row],[Lowest A-PTX]])</f>
        <v>DistributionFeederCB12_High St11245.9016</v>
      </c>
      <c r="BF294" s="9">
        <f>IFERROR(IF(MIN(TIM[[#This Row],[Summ Cont Winter A]:[Cable Derating]])=0,"",MIN(TIM[[#This Row],[Summ Cont Winter A]:[Cable Derating]])),"")</f>
        <v>4.6850547134872684</v>
      </c>
      <c r="BG294" s="9">
        <f>IFERROR(TIM[[#This Row],[Lowest MVA]]*1000/(TIM[[#This Row],[Voltage]]*SQRT(3)),"")</f>
        <v>245.90159999999997</v>
      </c>
      <c r="BH294" s="9">
        <f t="shared" si="385"/>
        <v>245.90159999999997</v>
      </c>
      <c r="BI294" s="9" t="str">
        <f>TIM[[#This Row],[From]]</f>
        <v>Joint</v>
      </c>
      <c r="BJ294" s="9" t="str">
        <f>TIM[[#This Row],[To]]</f>
        <v>Joint</v>
      </c>
      <c r="BK29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 Al PILC SWA</v>
      </c>
      <c r="BL294" s="9">
        <f>TIM[[#This Row],[Voltage]]</f>
        <v>11</v>
      </c>
    </row>
    <row r="295" spans="1:64" ht="15" customHeight="1" x14ac:dyDescent="0.25">
      <c r="A295" s="14" t="str">
        <f>CONCATENATE(TIM[[#This Row],[Supply Level]],TIM[[#This Row],[Station/Feeder]],TIM[[#This Row],[Voltage]])</f>
        <v>DistributionFeederCB12_High St11</v>
      </c>
      <c r="B295" s="14" t="str">
        <f>CONCATENATE(TIM[[#This Row],[Supply Level]],TIM[[#This Row],[Station/Feeder]],TIM[[#This Row],[Equipment ID]],TIM[[#This Row],[Voltage]],TIM[[#This Row],[Device type]])</f>
        <v>DistributionFeederCB12_High St3c 0.25in² Al PILC SWA11-</v>
      </c>
      <c r="C295" s="14" t="s">
        <v>1276</v>
      </c>
      <c r="D295" s="11" t="s">
        <v>194</v>
      </c>
      <c r="E295" s="6" t="s">
        <v>750</v>
      </c>
      <c r="F295" s="6" t="s">
        <v>750</v>
      </c>
      <c r="G295" s="27">
        <v>4</v>
      </c>
      <c r="H295" s="7" t="s">
        <v>985</v>
      </c>
      <c r="I295" s="7" t="s">
        <v>955</v>
      </c>
      <c r="J295" s="7" t="s">
        <v>250</v>
      </c>
      <c r="K295" s="49" t="s">
        <v>0</v>
      </c>
      <c r="L295" s="49" t="s">
        <v>0</v>
      </c>
      <c r="M295" s="8">
        <v>11</v>
      </c>
      <c r="N295" s="9">
        <v>265</v>
      </c>
      <c r="O295" s="9">
        <f t="shared" si="397"/>
        <v>5.0489281040632772</v>
      </c>
      <c r="P295" s="9">
        <v>265</v>
      </c>
      <c r="Q295" s="9">
        <f t="shared" si="398"/>
        <v>5.0489281040632772</v>
      </c>
      <c r="R295" s="9">
        <v>265</v>
      </c>
      <c r="S295" s="9">
        <f t="shared" si="399"/>
        <v>5.0489281040632772</v>
      </c>
      <c r="T295" s="9" t="s">
        <v>0</v>
      </c>
      <c r="U295" s="9" t="str">
        <f t="shared" si="400"/>
        <v>-</v>
      </c>
      <c r="V295" s="9" t="s">
        <v>0</v>
      </c>
      <c r="W295" s="9" t="str">
        <f t="shared" si="401"/>
        <v>-</v>
      </c>
      <c r="X295" s="9" t="s">
        <v>0</v>
      </c>
      <c r="Y295" s="9" t="str">
        <f t="shared" si="402"/>
        <v>-</v>
      </c>
      <c r="Z295" s="9" t="s">
        <v>0</v>
      </c>
      <c r="AA295" s="9" t="str">
        <f t="shared" si="403"/>
        <v>-</v>
      </c>
      <c r="AB295" s="9" t="s">
        <v>0</v>
      </c>
      <c r="AC295" s="9" t="str">
        <f t="shared" si="404"/>
        <v>-</v>
      </c>
      <c r="AD295" s="9" t="s">
        <v>0</v>
      </c>
      <c r="AE295" s="12" t="str">
        <f t="shared" si="405"/>
        <v>-</v>
      </c>
      <c r="AF295" s="159" t="s">
        <v>716</v>
      </c>
      <c r="AG295" s="9" t="s">
        <v>0</v>
      </c>
      <c r="AH295" s="9">
        <v>42</v>
      </c>
      <c r="AI295" s="9">
        <v>1</v>
      </c>
      <c r="AJ295" s="32">
        <v>1</v>
      </c>
      <c r="AK295" s="9">
        <v>18.5</v>
      </c>
      <c r="AL295" s="32">
        <v>0.95199999999999996</v>
      </c>
      <c r="AM295" s="9">
        <v>1.2</v>
      </c>
      <c r="AN295" s="32">
        <v>1</v>
      </c>
      <c r="AO295" s="9">
        <v>4</v>
      </c>
      <c r="AP295" s="9">
        <v>0.54</v>
      </c>
      <c r="AQ295" s="32">
        <v>0.82</v>
      </c>
      <c r="AR295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206.86959999999996</v>
      </c>
      <c r="AS295" s="9">
        <f t="shared" si="406"/>
        <v>3.9413952351559556</v>
      </c>
      <c r="AT295" s="9">
        <f>IF(RIGHT(TIM[[#This Row],[Device type]],7)="Winding","-",TIM[[#This Row],[Cont Winter MVA]])</f>
        <v>5.0489281040632772</v>
      </c>
      <c r="AU295" s="9">
        <f>IF(RIGHT(TIM[[#This Row],[Device type]],7)="Winding","-",TIM[[#This Row],[Cont Shoulder MVA]])</f>
        <v>5.0489281040632772</v>
      </c>
      <c r="AV295" s="9">
        <f>IF(RIGHT(TIM[[#This Row],[Device type]],7)="Winding","-",TIM[[#This Row],[Cont Summer MVA]])</f>
        <v>5.0489281040632772</v>
      </c>
      <c r="AW295" s="9" t="str">
        <f>TIM[[#This Row],[24 Hr Winter MVA]]</f>
        <v>-</v>
      </c>
      <c r="AX295" s="9" t="str">
        <f>TIM[[#This Row],[24 Hr Summer MVA]]</f>
        <v>-</v>
      </c>
      <c r="AY295" s="9" t="str">
        <f>TIM[[#This Row],[Forwards MVA]]</f>
        <v>-</v>
      </c>
      <c r="AZ295" s="9" t="str">
        <f>TIM[[#This Row],[Relay MVA]]</f>
        <v>-</v>
      </c>
      <c r="BA295" s="9" t="str">
        <f>TIM[[#This Row],[CT MVA]]</f>
        <v>-</v>
      </c>
      <c r="BB295" s="9">
        <f>TIM[[#This Row],[Derating MVA]]</f>
        <v>3.9413952351559556</v>
      </c>
      <c r="BC295" s="9" t="str">
        <f>TIM[[#This Row],[Station/Feeder]]&amp;TIM[[#This Row],[Lowest MVA]]</f>
        <v>CB12_High St3.94139523515596</v>
      </c>
      <c r="BD295" s="9" t="str">
        <f>CONCATENATE(TIM[[#This Row],[Supply Level]],TIM[[#This Row],[Station/Feeder]],TIM[[#This Row],[Voltage]],TIM[[#This Row],[Lowest A-No PTX]])</f>
        <v>DistributionFeederCB12_High St11206.8696</v>
      </c>
      <c r="BE295" s="9" t="str">
        <f>CONCATENATE(TIM[[#This Row],[Supply Level]],TIM[[#This Row],[Station/Feeder]],TIM[[#This Row],[Voltage]],TIM[[#This Row],[Lowest A-PTX]])</f>
        <v>DistributionFeederCB12_High St11206.8696</v>
      </c>
      <c r="BF295" s="9">
        <f>IFERROR(IF(MIN(TIM[[#This Row],[Summ Cont Winter A]:[Cable Derating]])=0,"",MIN(TIM[[#This Row],[Summ Cont Winter A]:[Cable Derating]])),"")</f>
        <v>3.9413952351559556</v>
      </c>
      <c r="BG295" s="9">
        <f>IFERROR(TIM[[#This Row],[Lowest MVA]]*1000/(TIM[[#This Row],[Voltage]]*SQRT(3)),"")</f>
        <v>206.86959999999993</v>
      </c>
      <c r="BH295" s="9">
        <f t="shared" si="385"/>
        <v>206.86959999999996</v>
      </c>
      <c r="BI295" s="9" t="str">
        <f>TIM[[#This Row],[From]]</f>
        <v>Joint</v>
      </c>
      <c r="BJ295" s="9" t="str">
        <f>TIM[[#This Row],[To]]</f>
        <v>Joint</v>
      </c>
      <c r="BK29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0.25in² Al PILC SWA</v>
      </c>
      <c r="BL295" s="9">
        <f>TIM[[#This Row],[Voltage]]</f>
        <v>11</v>
      </c>
    </row>
    <row r="296" spans="1:64" ht="15" customHeight="1" x14ac:dyDescent="0.25">
      <c r="A296" s="14" t="str">
        <f>CONCATENATE(TIM[[#This Row],[Supply Level]],TIM[[#This Row],[Station/Feeder]],TIM[[#This Row],[Voltage]])</f>
        <v>DistributionFeederCB12_High St11</v>
      </c>
      <c r="B296" s="14" t="str">
        <f>CONCATENATE(TIM[[#This Row],[Supply Level]],TIM[[#This Row],[Station/Feeder]],TIM[[#This Row],[Equipment ID]],TIM[[#This Row],[Voltage]],TIM[[#This Row],[Device type]])</f>
        <v>DistributionFeederCB12_High St3c 185mm² Al XLPE11-</v>
      </c>
      <c r="C296" s="14" t="s">
        <v>1276</v>
      </c>
      <c r="D296" s="11" t="s">
        <v>194</v>
      </c>
      <c r="E296" s="6" t="s">
        <v>750</v>
      </c>
      <c r="F296" s="6" t="s">
        <v>1014</v>
      </c>
      <c r="G296" s="27">
        <v>5</v>
      </c>
      <c r="H296" s="7" t="s">
        <v>985</v>
      </c>
      <c r="I296" s="7" t="s">
        <v>1015</v>
      </c>
      <c r="J296" s="7" t="s">
        <v>250</v>
      </c>
      <c r="K296" s="49" t="s">
        <v>0</v>
      </c>
      <c r="L296" s="49" t="s">
        <v>0</v>
      </c>
      <c r="M296" s="8">
        <v>11</v>
      </c>
      <c r="N296" s="9">
        <v>367</v>
      </c>
      <c r="O296" s="9">
        <f t="shared" si="397"/>
        <v>6.9922891101555571</v>
      </c>
      <c r="P296" s="9">
        <v>367</v>
      </c>
      <c r="Q296" s="9">
        <f t="shared" si="398"/>
        <v>6.9922891101555571</v>
      </c>
      <c r="R296" s="9">
        <v>367</v>
      </c>
      <c r="S296" s="9">
        <f t="shared" si="399"/>
        <v>6.9922891101555571</v>
      </c>
      <c r="T296" s="9" t="s">
        <v>0</v>
      </c>
      <c r="U296" s="9" t="str">
        <f t="shared" si="400"/>
        <v>-</v>
      </c>
      <c r="V296" s="9" t="s">
        <v>0</v>
      </c>
      <c r="W296" s="9" t="str">
        <f t="shared" si="401"/>
        <v>-</v>
      </c>
      <c r="X296" s="9" t="s">
        <v>0</v>
      </c>
      <c r="Y296" s="9" t="str">
        <f t="shared" si="402"/>
        <v>-</v>
      </c>
      <c r="Z296" s="9" t="s">
        <v>0</v>
      </c>
      <c r="AA296" s="9" t="str">
        <f t="shared" si="403"/>
        <v>-</v>
      </c>
      <c r="AB296" s="9" t="s">
        <v>0</v>
      </c>
      <c r="AC296" s="9" t="str">
        <f t="shared" si="404"/>
        <v>-</v>
      </c>
      <c r="AD296" s="9" t="s">
        <v>0</v>
      </c>
      <c r="AE296" s="12" t="str">
        <f t="shared" si="405"/>
        <v>-</v>
      </c>
      <c r="AF296" s="160" t="s">
        <v>716</v>
      </c>
      <c r="AG296" s="9" t="s">
        <v>0</v>
      </c>
      <c r="AH296" s="9">
        <v>7</v>
      </c>
      <c r="AI296" s="9">
        <v>1</v>
      </c>
      <c r="AJ296" s="32">
        <v>1</v>
      </c>
      <c r="AK296" s="9">
        <v>18.5</v>
      </c>
      <c r="AL296" s="32">
        <v>0.97199999999999998</v>
      </c>
      <c r="AM296" s="9">
        <v>1.2</v>
      </c>
      <c r="AN296" s="32">
        <v>1</v>
      </c>
      <c r="AO296" s="9">
        <v>4</v>
      </c>
      <c r="AP296" s="9">
        <v>0.54</v>
      </c>
      <c r="AQ296" s="32">
        <v>0.82</v>
      </c>
      <c r="AR296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292.51367999999997</v>
      </c>
      <c r="AS296" s="9">
        <f t="shared" si="406"/>
        <v>5.5731341123583853</v>
      </c>
      <c r="AT296" s="9">
        <f>IF(RIGHT(TIM[[#This Row],[Device type]],7)="Winding","-",TIM[[#This Row],[Cont Winter MVA]])</f>
        <v>6.9922891101555571</v>
      </c>
      <c r="AU296" s="9">
        <f>IF(RIGHT(TIM[[#This Row],[Device type]],7)="Winding","-",TIM[[#This Row],[Cont Shoulder MVA]])</f>
        <v>6.9922891101555571</v>
      </c>
      <c r="AV296" s="9">
        <f>IF(RIGHT(TIM[[#This Row],[Device type]],7)="Winding","-",TIM[[#This Row],[Cont Summer MVA]])</f>
        <v>6.9922891101555571</v>
      </c>
      <c r="AW296" s="9" t="str">
        <f>TIM[[#This Row],[24 Hr Winter MVA]]</f>
        <v>-</v>
      </c>
      <c r="AX296" s="9" t="str">
        <f>TIM[[#This Row],[24 Hr Summer MVA]]</f>
        <v>-</v>
      </c>
      <c r="AY296" s="9" t="str">
        <f>TIM[[#This Row],[Forwards MVA]]</f>
        <v>-</v>
      </c>
      <c r="AZ296" s="9" t="str">
        <f>TIM[[#This Row],[Relay MVA]]</f>
        <v>-</v>
      </c>
      <c r="BA296" s="9" t="str">
        <f>TIM[[#This Row],[CT MVA]]</f>
        <v>-</v>
      </c>
      <c r="BB296" s="9">
        <f>TIM[[#This Row],[Derating MVA]]</f>
        <v>5.5731341123583853</v>
      </c>
      <c r="BC296" s="9" t="str">
        <f>TIM[[#This Row],[Station/Feeder]]&amp;TIM[[#This Row],[Lowest MVA]]</f>
        <v>CB12_High St5.57313411235839</v>
      </c>
      <c r="BD296" s="9" t="str">
        <f>CONCATENATE(TIM[[#This Row],[Supply Level]],TIM[[#This Row],[Station/Feeder]],TIM[[#This Row],[Voltage]],TIM[[#This Row],[Lowest A-No PTX]])</f>
        <v>DistributionFeederCB12_High St11292.51368</v>
      </c>
      <c r="BE296" s="9" t="str">
        <f>CONCATENATE(TIM[[#This Row],[Supply Level]],TIM[[#This Row],[Station/Feeder]],TIM[[#This Row],[Voltage]],TIM[[#This Row],[Lowest A-PTX]])</f>
        <v>DistributionFeederCB12_High St11292.51368</v>
      </c>
      <c r="BF296" s="9">
        <f>IFERROR(IF(MIN(TIM[[#This Row],[Summ Cont Winter A]:[Cable Derating]])=0,"",MIN(TIM[[#This Row],[Summ Cont Winter A]:[Cable Derating]])),"")</f>
        <v>5.5731341123583853</v>
      </c>
      <c r="BG296" s="9">
        <f>IFERROR(TIM[[#This Row],[Lowest MVA]]*1000/(TIM[[#This Row],[Voltage]]*SQRT(3)),"")</f>
        <v>292.51367999999997</v>
      </c>
      <c r="BH296" s="9">
        <f t="shared" si="385"/>
        <v>292.51367999999997</v>
      </c>
      <c r="BI296" s="9" t="str">
        <f>TIM[[#This Row],[From]]</f>
        <v>Joint</v>
      </c>
      <c r="BJ296" s="9" t="str">
        <f>TIM[[#This Row],[To]]</f>
        <v xml:space="preserve">TEW37 RMU </v>
      </c>
      <c r="BK29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XLPE</v>
      </c>
      <c r="BL296" s="9">
        <f>TIM[[#This Row],[Voltage]]</f>
        <v>11</v>
      </c>
    </row>
    <row r="297" spans="1:64" ht="15" customHeight="1" x14ac:dyDescent="0.25">
      <c r="A297" s="14" t="str">
        <f>CONCATENATE(TIM[[#This Row],[Supply Level]],TIM[[#This Row],[Station/Feeder]],TIM[[#This Row],[Voltage]])</f>
        <v>DistributionFeederCB13_Port 211</v>
      </c>
      <c r="B297" s="14" t="str">
        <f>CONCATENATE(TIM[[#This Row],[Supply Level]],TIM[[#This Row],[Station/Feeder]],TIM[[#This Row],[Equipment ID]],TIM[[#This Row],[Voltage]],TIM[[#This Row],[Device type]])</f>
        <v>DistributionFeederCB13_Port 2NST-CB1311Protection</v>
      </c>
      <c r="C297" s="14" t="s">
        <v>1276</v>
      </c>
      <c r="D297" s="11" t="s">
        <v>196</v>
      </c>
      <c r="E297" s="6" t="s">
        <v>243</v>
      </c>
      <c r="F297" s="6" t="s">
        <v>1016</v>
      </c>
      <c r="G297" s="27">
        <v>1</v>
      </c>
      <c r="H297" s="7" t="s">
        <v>2376</v>
      </c>
      <c r="I297" s="7" t="s">
        <v>2283</v>
      </c>
      <c r="J297" s="7" t="s">
        <v>15</v>
      </c>
      <c r="K297" s="49" t="s">
        <v>791</v>
      </c>
      <c r="L297" s="49" t="s">
        <v>1423</v>
      </c>
      <c r="M297" s="8">
        <v>11</v>
      </c>
      <c r="N297" s="9">
        <v>1250</v>
      </c>
      <c r="O297" s="9">
        <f t="shared" si="397"/>
        <v>23.815698604072061</v>
      </c>
      <c r="P297" s="9">
        <v>1250</v>
      </c>
      <c r="Q297" s="9">
        <f t="shared" si="398"/>
        <v>23.815698604072061</v>
      </c>
      <c r="R297" s="9">
        <v>1250</v>
      </c>
      <c r="S297" s="9">
        <f t="shared" si="399"/>
        <v>23.815698604072061</v>
      </c>
      <c r="T297" s="9" t="s">
        <v>0</v>
      </c>
      <c r="U297" s="9" t="str">
        <f t="shared" si="400"/>
        <v>-</v>
      </c>
      <c r="V297" s="9" t="s">
        <v>0</v>
      </c>
      <c r="W297" s="9" t="str">
        <f t="shared" si="401"/>
        <v>-</v>
      </c>
      <c r="X297" s="9">
        <f>VLOOKUP(TIM[[#This Row],[Equipment ID]],AEL_Protection_Data[#All],12,0)</f>
        <v>304</v>
      </c>
      <c r="Y297" s="9">
        <f t="shared" si="402"/>
        <v>5.7919779005103251</v>
      </c>
      <c r="Z297" s="9" t="s">
        <v>0</v>
      </c>
      <c r="AA297" s="9" t="str">
        <f t="shared" si="403"/>
        <v>-</v>
      </c>
      <c r="AB297" s="9">
        <v>800</v>
      </c>
      <c r="AC297" s="9">
        <f t="shared" si="404"/>
        <v>15.242047106606121</v>
      </c>
      <c r="AD297" s="9">
        <v>800</v>
      </c>
      <c r="AE297" s="12">
        <f t="shared" si="405"/>
        <v>15.242047106606121</v>
      </c>
      <c r="AF297" s="9" t="s">
        <v>0</v>
      </c>
      <c r="AG297" s="9" t="s">
        <v>0</v>
      </c>
      <c r="AH297" s="9" t="s">
        <v>0</v>
      </c>
      <c r="AI297" s="9" t="s">
        <v>0</v>
      </c>
      <c r="AJ297" s="32" t="s">
        <v>0</v>
      </c>
      <c r="AK297" s="9" t="s">
        <v>0</v>
      </c>
      <c r="AL297" s="32" t="s">
        <v>0</v>
      </c>
      <c r="AM297" s="9" t="s">
        <v>0</v>
      </c>
      <c r="AN297" s="32" t="s">
        <v>0</v>
      </c>
      <c r="AO297" s="9" t="s">
        <v>0</v>
      </c>
      <c r="AP297" s="9" t="s">
        <v>0</v>
      </c>
      <c r="AQ297" s="32" t="s">
        <v>0</v>
      </c>
      <c r="AR297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297" s="9" t="str">
        <f t="shared" si="406"/>
        <v>-</v>
      </c>
      <c r="AT297" s="9">
        <f>IF(RIGHT(TIM[[#This Row],[Device type]],7)="Winding","-",TIM[[#This Row],[Cont Winter MVA]])</f>
        <v>23.815698604072061</v>
      </c>
      <c r="AU297" s="9">
        <f>IF(RIGHT(TIM[[#This Row],[Device type]],7)="Winding","-",TIM[[#This Row],[Cont Shoulder MVA]])</f>
        <v>23.815698604072061</v>
      </c>
      <c r="AV297" s="9">
        <f>IF(RIGHT(TIM[[#This Row],[Device type]],7)="Winding","-",TIM[[#This Row],[Cont Summer MVA]])</f>
        <v>23.815698604072061</v>
      </c>
      <c r="AW297" s="9" t="str">
        <f>TIM[[#This Row],[24 Hr Winter MVA]]</f>
        <v>-</v>
      </c>
      <c r="AX297" s="9" t="str">
        <f>TIM[[#This Row],[24 Hr Summer MVA]]</f>
        <v>-</v>
      </c>
      <c r="AY297" s="9">
        <f>TIM[[#This Row],[Forwards MVA]]</f>
        <v>5.7919779005103251</v>
      </c>
      <c r="AZ297" s="9">
        <f>TIM[[#This Row],[Relay MVA]]</f>
        <v>15.242047106606121</v>
      </c>
      <c r="BA297" s="9">
        <f>TIM[[#This Row],[CT MVA]]</f>
        <v>15.242047106606121</v>
      </c>
      <c r="BB297" s="9" t="str">
        <f>TIM[[#This Row],[Derating MVA]]</f>
        <v>-</v>
      </c>
      <c r="BC297" s="9" t="str">
        <f>TIM[[#This Row],[Station/Feeder]]&amp;TIM[[#This Row],[Lowest MVA]]</f>
        <v>CB13_Port 25.79197790051033</v>
      </c>
      <c r="BD297" s="9" t="str">
        <f>CONCATENATE(TIM[[#This Row],[Supply Level]],TIM[[#This Row],[Station/Feeder]],TIM[[#This Row],[Voltage]],TIM[[#This Row],[Lowest A-No PTX]])</f>
        <v>DistributionFeederCB13_Port 211304</v>
      </c>
      <c r="BE297" s="9" t="str">
        <f>CONCATENATE(TIM[[#This Row],[Supply Level]],TIM[[#This Row],[Station/Feeder]],TIM[[#This Row],[Voltage]],TIM[[#This Row],[Lowest A-PTX]])</f>
        <v>DistributionFeederCB13_Port 211304</v>
      </c>
      <c r="BF297" s="9">
        <f>IFERROR(IF(MIN(TIM[[#This Row],[Summ Cont Winter A]:[Cable Derating]])=0,"",MIN(TIM[[#This Row],[Summ Cont Winter A]:[Cable Derating]])),"")</f>
        <v>5.7919779005103251</v>
      </c>
      <c r="BG297" s="9">
        <f>IFERROR(TIM[[#This Row],[Lowest MVA]]*1000/(TIM[[#This Row],[Voltage]]*SQRT(3)),"")</f>
        <v>304</v>
      </c>
      <c r="BH297" s="9">
        <f t="shared" si="385"/>
        <v>304</v>
      </c>
      <c r="BI297" s="9" t="str">
        <f>TIM[[#This Row],[From]]</f>
        <v>11 kV Bus</v>
      </c>
      <c r="BJ297" s="9" t="str">
        <f>TIM[[#This Row],[To]]</f>
        <v>NST13</v>
      </c>
      <c r="BK29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Breaker-NST-CB13-Protection</v>
      </c>
      <c r="BL297" s="9">
        <f>TIM[[#This Row],[Voltage]]</f>
        <v>11</v>
      </c>
    </row>
    <row r="298" spans="1:64" ht="15" customHeight="1" x14ac:dyDescent="0.25">
      <c r="A298" s="14" t="str">
        <f>CONCATENATE(TIM[[#This Row],[Supply Level]],TIM[[#This Row],[Station/Feeder]],TIM[[#This Row],[Voltage]])</f>
        <v>DistributionFeederCB13_Port 211</v>
      </c>
      <c r="B298" s="14" t="str">
        <f>CONCATENATE(TIM[[#This Row],[Supply Level]],TIM[[#This Row],[Station/Feeder]],TIM[[#This Row],[Equipment ID]],TIM[[#This Row],[Voltage]],TIM[[#This Row],[Device type]])</f>
        <v>DistributionFeederCB13_Port 23/1c 400mm² Al XLPE HPDE Screened11-</v>
      </c>
      <c r="C298" s="14" t="s">
        <v>1276</v>
      </c>
      <c r="D298" s="11" t="s">
        <v>196</v>
      </c>
      <c r="E298" s="6" t="s">
        <v>1016</v>
      </c>
      <c r="F298" s="6" t="s">
        <v>750</v>
      </c>
      <c r="G298" s="27">
        <v>2</v>
      </c>
      <c r="H298" s="7" t="s">
        <v>985</v>
      </c>
      <c r="I298" s="7" t="s">
        <v>986</v>
      </c>
      <c r="J298" s="7" t="s">
        <v>250</v>
      </c>
      <c r="K298" s="49" t="s">
        <v>0</v>
      </c>
      <c r="L298" s="49" t="s">
        <v>0</v>
      </c>
      <c r="M298" s="8">
        <v>11</v>
      </c>
      <c r="N298" s="9">
        <v>537</v>
      </c>
      <c r="O298" s="9">
        <f t="shared" si="397"/>
        <v>10.231224120309358</v>
      </c>
      <c r="P298" s="9">
        <v>537</v>
      </c>
      <c r="Q298" s="9">
        <f t="shared" si="398"/>
        <v>10.231224120309358</v>
      </c>
      <c r="R298" s="9">
        <v>537</v>
      </c>
      <c r="S298" s="9">
        <f t="shared" si="399"/>
        <v>10.231224120309358</v>
      </c>
      <c r="T298" s="9" t="s">
        <v>0</v>
      </c>
      <c r="U298" s="9" t="str">
        <f t="shared" si="400"/>
        <v>-</v>
      </c>
      <c r="V298" s="9" t="s">
        <v>0</v>
      </c>
      <c r="W298" s="9" t="str">
        <f t="shared" si="401"/>
        <v>-</v>
      </c>
      <c r="X298" s="9" t="s">
        <v>0</v>
      </c>
      <c r="Y298" s="9" t="str">
        <f t="shared" si="402"/>
        <v>-</v>
      </c>
      <c r="Z298" s="9" t="s">
        <v>0</v>
      </c>
      <c r="AA298" s="9" t="str">
        <f t="shared" si="403"/>
        <v>-</v>
      </c>
      <c r="AB298" s="9" t="s">
        <v>0</v>
      </c>
      <c r="AC298" s="9" t="str">
        <f t="shared" si="404"/>
        <v>-</v>
      </c>
      <c r="AD298" s="9" t="s">
        <v>0</v>
      </c>
      <c r="AE298" s="12" t="str">
        <f t="shared" si="405"/>
        <v>-</v>
      </c>
      <c r="AF298" s="160" t="s">
        <v>713</v>
      </c>
      <c r="AG298" s="9" t="s">
        <v>0</v>
      </c>
      <c r="AH298" s="9">
        <v>54.1</v>
      </c>
      <c r="AI298" s="9">
        <v>0.8</v>
      </c>
      <c r="AJ298" s="32">
        <v>1</v>
      </c>
      <c r="AK298" s="9">
        <v>18.5</v>
      </c>
      <c r="AL298" s="32">
        <v>0.97199999999999998</v>
      </c>
      <c r="AM298" s="9">
        <v>1.2</v>
      </c>
      <c r="AN298" s="32">
        <v>1</v>
      </c>
      <c r="AO298" s="9">
        <v>5</v>
      </c>
      <c r="AP298" s="9">
        <v>0.6</v>
      </c>
      <c r="AQ298" s="32">
        <v>0.81</v>
      </c>
      <c r="AR298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422.79084</v>
      </c>
      <c r="AS298" s="9">
        <f t="shared" si="406"/>
        <v>8.0552473744019633</v>
      </c>
      <c r="AT298" s="9">
        <f>IF(RIGHT(TIM[[#This Row],[Device type]],7)="Winding","-",TIM[[#This Row],[Cont Winter MVA]])</f>
        <v>10.231224120309358</v>
      </c>
      <c r="AU298" s="9">
        <f>IF(RIGHT(TIM[[#This Row],[Device type]],7)="Winding","-",TIM[[#This Row],[Cont Shoulder MVA]])</f>
        <v>10.231224120309358</v>
      </c>
      <c r="AV298" s="9">
        <f>IF(RIGHT(TIM[[#This Row],[Device type]],7)="Winding","-",TIM[[#This Row],[Cont Summer MVA]])</f>
        <v>10.231224120309358</v>
      </c>
      <c r="AW298" s="9" t="str">
        <f>TIM[[#This Row],[24 Hr Winter MVA]]</f>
        <v>-</v>
      </c>
      <c r="AX298" s="9" t="str">
        <f>TIM[[#This Row],[24 Hr Summer MVA]]</f>
        <v>-</v>
      </c>
      <c r="AY298" s="9" t="str">
        <f>TIM[[#This Row],[Forwards MVA]]</f>
        <v>-</v>
      </c>
      <c r="AZ298" s="9" t="str">
        <f>TIM[[#This Row],[Relay MVA]]</f>
        <v>-</v>
      </c>
      <c r="BA298" s="9" t="str">
        <f>TIM[[#This Row],[CT MVA]]</f>
        <v>-</v>
      </c>
      <c r="BB298" s="9">
        <f>TIM[[#This Row],[Derating MVA]]</f>
        <v>8.0552473744019633</v>
      </c>
      <c r="BC298" s="9" t="str">
        <f>TIM[[#This Row],[Station/Feeder]]&amp;TIM[[#This Row],[Lowest MVA]]</f>
        <v>CB13_Port 28.05524737440196</v>
      </c>
      <c r="BD298" s="9" t="str">
        <f>CONCATENATE(TIM[[#This Row],[Supply Level]],TIM[[#This Row],[Station/Feeder]],TIM[[#This Row],[Voltage]],TIM[[#This Row],[Lowest A-No PTX]])</f>
        <v>DistributionFeederCB13_Port 211422.79084</v>
      </c>
      <c r="BE298" s="9" t="str">
        <f>CONCATENATE(TIM[[#This Row],[Supply Level]],TIM[[#This Row],[Station/Feeder]],TIM[[#This Row],[Voltage]],TIM[[#This Row],[Lowest A-PTX]])</f>
        <v>DistributionFeederCB13_Port 211422.79084</v>
      </c>
      <c r="BF298" s="9">
        <f>IFERROR(IF(MIN(TIM[[#This Row],[Summ Cont Winter A]:[Cable Derating]])=0,"",MIN(TIM[[#This Row],[Summ Cont Winter A]:[Cable Derating]])),"")</f>
        <v>8.0552473744019633</v>
      </c>
      <c r="BG298" s="9">
        <f>IFERROR(TIM[[#This Row],[Lowest MVA]]*1000/(TIM[[#This Row],[Voltage]]*SQRT(3)),"")</f>
        <v>422.79084</v>
      </c>
      <c r="BH298" s="9">
        <f t="shared" si="385"/>
        <v>422.79084</v>
      </c>
      <c r="BI298" s="9" t="str">
        <f>TIM[[#This Row],[From]]</f>
        <v>NST13</v>
      </c>
      <c r="BJ298" s="9" t="str">
        <f>TIM[[#This Row],[To]]</f>
        <v>Joint</v>
      </c>
      <c r="BK29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HPDE Screened</v>
      </c>
      <c r="BL298" s="9">
        <f>TIM[[#This Row],[Voltage]]</f>
        <v>11</v>
      </c>
    </row>
    <row r="299" spans="1:64" ht="15" customHeight="1" x14ac:dyDescent="0.25">
      <c r="A299" s="14" t="str">
        <f>CONCATENATE(TIM[[#This Row],[Supply Level]],TIM[[#This Row],[Station/Feeder]],TIM[[#This Row],[Voltage]])</f>
        <v>DistributionFeederCB13_Port 211</v>
      </c>
      <c r="B299" s="14" t="str">
        <f>CONCATENATE(TIM[[#This Row],[Supply Level]],TIM[[#This Row],[Station/Feeder]],TIM[[#This Row],[Equipment ID]],TIM[[#This Row],[Voltage]],TIM[[#This Row],[Device type]])</f>
        <v>DistributionFeederCB13_Port 23c 300mm² Al XLPE MDPE11-</v>
      </c>
      <c r="C299" s="14" t="s">
        <v>1276</v>
      </c>
      <c r="D299" s="11" t="s">
        <v>196</v>
      </c>
      <c r="E299" s="6" t="s">
        <v>750</v>
      </c>
      <c r="F299" s="6" t="s">
        <v>1017</v>
      </c>
      <c r="G299" s="27">
        <v>3</v>
      </c>
      <c r="H299" s="7" t="s">
        <v>985</v>
      </c>
      <c r="I299" s="7" t="s">
        <v>829</v>
      </c>
      <c r="J299" s="7" t="s">
        <v>250</v>
      </c>
      <c r="K299" s="49" t="s">
        <v>0</v>
      </c>
      <c r="L299" s="49" t="s">
        <v>0</v>
      </c>
      <c r="M299" s="8">
        <v>11</v>
      </c>
      <c r="N299" s="9">
        <v>370</v>
      </c>
      <c r="O299" s="9">
        <f t="shared" si="397"/>
        <v>7.0494467868053299</v>
      </c>
      <c r="P299" s="9">
        <v>370</v>
      </c>
      <c r="Q299" s="9">
        <f t="shared" si="398"/>
        <v>7.0494467868053299</v>
      </c>
      <c r="R299" s="9">
        <v>370</v>
      </c>
      <c r="S299" s="9">
        <f t="shared" si="399"/>
        <v>7.0494467868053299</v>
      </c>
      <c r="T299" s="9" t="s">
        <v>0</v>
      </c>
      <c r="U299" s="9" t="str">
        <f t="shared" si="400"/>
        <v>-</v>
      </c>
      <c r="V299" s="9" t="s">
        <v>0</v>
      </c>
      <c r="W299" s="9" t="str">
        <f t="shared" si="401"/>
        <v>-</v>
      </c>
      <c r="X299" s="9" t="s">
        <v>0</v>
      </c>
      <c r="Y299" s="9" t="str">
        <f t="shared" si="402"/>
        <v>-</v>
      </c>
      <c r="Z299" s="9" t="s">
        <v>0</v>
      </c>
      <c r="AA299" s="9" t="str">
        <f t="shared" si="403"/>
        <v>-</v>
      </c>
      <c r="AB299" s="9" t="s">
        <v>0</v>
      </c>
      <c r="AC299" s="9" t="str">
        <f t="shared" si="404"/>
        <v>-</v>
      </c>
      <c r="AD299" s="9" t="s">
        <v>0</v>
      </c>
      <c r="AE299" s="12" t="str">
        <f t="shared" si="405"/>
        <v>-</v>
      </c>
      <c r="AF299" s="159" t="s">
        <v>716</v>
      </c>
      <c r="AG299" s="9" t="s">
        <v>0</v>
      </c>
      <c r="AH299" s="9">
        <v>1289.2</v>
      </c>
      <c r="AI299" s="9">
        <v>1.5</v>
      </c>
      <c r="AJ299" s="32">
        <v>0.95</v>
      </c>
      <c r="AK299" s="9">
        <v>18.5</v>
      </c>
      <c r="AL299" s="32">
        <v>0.97199999999999998</v>
      </c>
      <c r="AM299" s="9">
        <v>1.2</v>
      </c>
      <c r="AN299" s="32">
        <v>1</v>
      </c>
      <c r="AO299" s="9">
        <v>3</v>
      </c>
      <c r="AP299" s="9">
        <v>0.3</v>
      </c>
      <c r="AQ299" s="32">
        <v>0.8</v>
      </c>
      <c r="AR299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273.32639999999998</v>
      </c>
      <c r="AS299" s="9">
        <f t="shared" si="406"/>
        <v>5.2075673303488328</v>
      </c>
      <c r="AT299" s="9">
        <f>IF(RIGHT(TIM[[#This Row],[Device type]],7)="Winding","-",TIM[[#This Row],[Cont Winter MVA]])</f>
        <v>7.0494467868053299</v>
      </c>
      <c r="AU299" s="9">
        <f>IF(RIGHT(TIM[[#This Row],[Device type]],7)="Winding","-",TIM[[#This Row],[Cont Shoulder MVA]])</f>
        <v>7.0494467868053299</v>
      </c>
      <c r="AV299" s="9">
        <f>IF(RIGHT(TIM[[#This Row],[Device type]],7)="Winding","-",TIM[[#This Row],[Cont Summer MVA]])</f>
        <v>7.0494467868053299</v>
      </c>
      <c r="AW299" s="9" t="str">
        <f>TIM[[#This Row],[24 Hr Winter MVA]]</f>
        <v>-</v>
      </c>
      <c r="AX299" s="9" t="str">
        <f>TIM[[#This Row],[24 Hr Summer MVA]]</f>
        <v>-</v>
      </c>
      <c r="AY299" s="9" t="str">
        <f>TIM[[#This Row],[Forwards MVA]]</f>
        <v>-</v>
      </c>
      <c r="AZ299" s="9" t="str">
        <f>TIM[[#This Row],[Relay MVA]]</f>
        <v>-</v>
      </c>
      <c r="BA299" s="9" t="str">
        <f>TIM[[#This Row],[CT MVA]]</f>
        <v>-</v>
      </c>
      <c r="BB299" s="9">
        <f>TIM[[#This Row],[Derating MVA]]</f>
        <v>5.2075673303488328</v>
      </c>
      <c r="BC299" s="9" t="str">
        <f>TIM[[#This Row],[Station/Feeder]]&amp;TIM[[#This Row],[Lowest MVA]]</f>
        <v>CB13_Port 25.20756733034883</v>
      </c>
      <c r="BD299" s="9" t="str">
        <f>CONCATENATE(TIM[[#This Row],[Supply Level]],TIM[[#This Row],[Station/Feeder]],TIM[[#This Row],[Voltage]],TIM[[#This Row],[Lowest A-No PTX]])</f>
        <v>DistributionFeederCB13_Port 211273.3264</v>
      </c>
      <c r="BE299" s="9" t="str">
        <f>CONCATENATE(TIM[[#This Row],[Supply Level]],TIM[[#This Row],[Station/Feeder]],TIM[[#This Row],[Voltage]],TIM[[#This Row],[Lowest A-PTX]])</f>
        <v>DistributionFeederCB13_Port 211273.3264</v>
      </c>
      <c r="BF299" s="9">
        <f>IFERROR(IF(MIN(TIM[[#This Row],[Summ Cont Winter A]:[Cable Derating]])=0,"",MIN(TIM[[#This Row],[Summ Cont Winter A]:[Cable Derating]])),"")</f>
        <v>5.2075673303488328</v>
      </c>
      <c r="BG299" s="9">
        <f>IFERROR(TIM[[#This Row],[Lowest MVA]]*1000/(TIM[[#This Row],[Voltage]]*SQRT(3)),"")</f>
        <v>273.32639999999998</v>
      </c>
      <c r="BH299" s="9">
        <f t="shared" si="385"/>
        <v>273.32639999999998</v>
      </c>
      <c r="BI299" s="9" t="str">
        <f>TIM[[#This Row],[From]]</f>
        <v>Joint</v>
      </c>
      <c r="BJ299" s="9" t="str">
        <f>TIM[[#This Row],[To]]</f>
        <v xml:space="preserve">TEX50 RMU </v>
      </c>
      <c r="BK29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300mm² Al XLPE MDPE</v>
      </c>
      <c r="BL299" s="9">
        <f>TIM[[#This Row],[Voltage]]</f>
        <v>11</v>
      </c>
    </row>
    <row r="300" spans="1:64" ht="15" hidden="1" customHeight="1" x14ac:dyDescent="0.25">
      <c r="A300" s="6" t="str">
        <f>CONCATENATE(TIM[[#This Row],[Supply Level]],TIM[[#This Row],[Station/Feeder]],TIM[[#This Row],[Voltage]])</f>
        <v>SubTransmissionHNT_NST_SUBTRANS11</v>
      </c>
      <c r="B300" s="6" t="str">
        <f>CONCATENATE(TIM[[#This Row],[Supply Level]],TIM[[#This Row],[Station/Feeder]],TIM[[#This Row],[Equipment ID]],TIM[[#This Row],[Voltage]],TIM[[#This Row],[Device type]])</f>
        <v>SubTransmissionHNT_NST_SUBTRANSNST-CB1411Protection</v>
      </c>
      <c r="C300" s="6" t="s">
        <v>1245</v>
      </c>
      <c r="D300" s="11" t="s">
        <v>234</v>
      </c>
      <c r="E300" s="6" t="s">
        <v>998</v>
      </c>
      <c r="F300" s="6" t="s">
        <v>980</v>
      </c>
      <c r="G300" s="27" t="s">
        <v>0</v>
      </c>
      <c r="H300" s="7" t="s">
        <v>2376</v>
      </c>
      <c r="I300" s="7" t="s">
        <v>2284</v>
      </c>
      <c r="J300" s="7" t="s">
        <v>15</v>
      </c>
      <c r="K300" s="7" t="s">
        <v>791</v>
      </c>
      <c r="L300" s="7" t="s">
        <v>1423</v>
      </c>
      <c r="M300" s="8">
        <v>11</v>
      </c>
      <c r="N300" s="9">
        <v>1250</v>
      </c>
      <c r="O300" s="9">
        <f>IF(OR(N300="",N300="-"),"-",N300*$M300*SQRT(3)/1000)</f>
        <v>23.815698604072061</v>
      </c>
      <c r="P300" s="9">
        <v>1250</v>
      </c>
      <c r="Q300" s="9">
        <f>IF(OR(P300="",P300="-"),"-",P300*$M300*SQRT(3)/1000)</f>
        <v>23.815698604072061</v>
      </c>
      <c r="R300" s="9">
        <v>1250</v>
      </c>
      <c r="S300" s="9">
        <f>IF(OR(R300="",R300="-"),"-",R300*$M300*SQRT(3)/1000)</f>
        <v>23.815698604072061</v>
      </c>
      <c r="T300" s="9" t="s">
        <v>0</v>
      </c>
      <c r="U300" s="9" t="str">
        <f>IF(OR(T300="",T300="-"),"-",T300*$M300*SQRT(3)/1000)</f>
        <v>-</v>
      </c>
      <c r="V300" s="9" t="s">
        <v>0</v>
      </c>
      <c r="W300" s="9" t="str">
        <f>IF(OR(V300="",V300="-"),"-",V300*$M300*SQRT(3)/1000)</f>
        <v>-</v>
      </c>
      <c r="X300" s="9">
        <f>VLOOKUP(TIM[[#This Row],[Equipment ID]],AEL_Protection_Data[#All],12,0)</f>
        <v>400</v>
      </c>
      <c r="Y300" s="9">
        <f>IF(OR(X300="",X300="-"),"-",X300*$M300*SQRT(3)/1000)</f>
        <v>7.6210235533030604</v>
      </c>
      <c r="Z300" s="9" t="s">
        <v>0</v>
      </c>
      <c r="AA300" s="9" t="str">
        <f>IF(OR(Z300="",Z300="-"),"-",Z300*$M300*SQRT(3)/1000)</f>
        <v>-</v>
      </c>
      <c r="AB300" s="9">
        <v>800</v>
      </c>
      <c r="AC300" s="9">
        <f>IF(OR(AB300="",AB300="-"),"-",AB300*$M300*SQRT(3)/1000)</f>
        <v>15.242047106606121</v>
      </c>
      <c r="AD300" s="9">
        <v>800</v>
      </c>
      <c r="AE300" s="12">
        <f>IF(OR(AD300="",AD300="-"),"-",AD300*$M300*SQRT(3)/1000)</f>
        <v>15.242047106606121</v>
      </c>
      <c r="AF300" s="9" t="s">
        <v>0</v>
      </c>
      <c r="AG300" s="9" t="s">
        <v>0</v>
      </c>
      <c r="AH300" s="9" t="s">
        <v>0</v>
      </c>
      <c r="AI300" s="9" t="s">
        <v>0</v>
      </c>
      <c r="AJ300" s="32" t="s">
        <v>0</v>
      </c>
      <c r="AK300" s="9" t="s">
        <v>0</v>
      </c>
      <c r="AL300" s="32" t="s">
        <v>0</v>
      </c>
      <c r="AM300" s="9" t="s">
        <v>0</v>
      </c>
      <c r="AN300" s="32" t="s">
        <v>0</v>
      </c>
      <c r="AO300" s="9" t="s">
        <v>0</v>
      </c>
      <c r="AP300" s="9" t="s">
        <v>0</v>
      </c>
      <c r="AQ300" s="32" t="s">
        <v>0</v>
      </c>
      <c r="AR30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00" s="9" t="str">
        <f>IF(OR(AR300="",AR300="-"),"-",AR300*$M300*SQRT(3)/1000)</f>
        <v>-</v>
      </c>
      <c r="AT300" s="9">
        <f>IF(RIGHT(TIM[[#This Row],[Device type]],7)="Winding","-",TIM[[#This Row],[Cont Winter MVA]])</f>
        <v>23.815698604072061</v>
      </c>
      <c r="AU300" s="9">
        <f>IF(RIGHT(TIM[[#This Row],[Device type]],7)="Winding","-",TIM[[#This Row],[Cont Shoulder MVA]])</f>
        <v>23.815698604072061</v>
      </c>
      <c r="AV300" s="9">
        <f>IF(RIGHT(TIM[[#This Row],[Device type]],7)="Winding","-",TIM[[#This Row],[Cont Summer MVA]])</f>
        <v>23.815698604072061</v>
      </c>
      <c r="AW300" s="9" t="str">
        <f>TIM[[#This Row],[24 Hr Winter MVA]]</f>
        <v>-</v>
      </c>
      <c r="AX300" s="9" t="str">
        <f>TIM[[#This Row],[24 Hr Summer MVA]]</f>
        <v>-</v>
      </c>
      <c r="AY300" s="9">
        <f>TIM[[#This Row],[Forwards MVA]]</f>
        <v>7.6210235533030604</v>
      </c>
      <c r="AZ300" s="9">
        <f>TIM[[#This Row],[Relay MVA]]</f>
        <v>15.242047106606121</v>
      </c>
      <c r="BA300" s="9">
        <f>TIM[[#This Row],[CT MVA]]</f>
        <v>15.242047106606121</v>
      </c>
      <c r="BB300" s="9" t="str">
        <f>TIM[[#This Row],[Derating MVA]]</f>
        <v>-</v>
      </c>
      <c r="BC300" s="9" t="str">
        <f>TIM[[#This Row],[Station/Feeder]]&amp;TIM[[#This Row],[Lowest MVA]]</f>
        <v>HNT_NST_SUBTRANS7.62102355330306</v>
      </c>
      <c r="BD300" s="9" t="str">
        <f>CONCATENATE(TIM[[#This Row],[Supply Level]],TIM[[#This Row],[Station/Feeder]],TIM[[#This Row],[Voltage]],TIM[[#This Row],[Lowest A-No PTX]])</f>
        <v>SubTransmissionHNT_NST_SUBTRANS11400</v>
      </c>
      <c r="BE300" s="9" t="str">
        <f>CONCATENATE(TIM[[#This Row],[Supply Level]],TIM[[#This Row],[Station/Feeder]],TIM[[#This Row],[Voltage]],TIM[[#This Row],[Lowest A-PTX]])</f>
        <v>SubTransmissionHNT_NST_SUBTRANS11400</v>
      </c>
      <c r="BF300" s="9">
        <f>IFERROR(IF(MIN(TIM[[#This Row],[Summ Cont Winter A]:[Cable Derating]])=0,"",MIN(TIM[[#This Row],[Summ Cont Winter A]:[Cable Derating]])),"")</f>
        <v>7.6210235533030604</v>
      </c>
      <c r="BG300" s="9">
        <f>IFERROR(TIM[[#This Row],[Lowest MVA]]*1000/(TIM[[#This Row],[Voltage]]*SQRT(3)),"")</f>
        <v>400</v>
      </c>
      <c r="BH300" s="9">
        <f t="shared" si="385"/>
        <v>400</v>
      </c>
      <c r="BI300" s="9" t="str">
        <f>TIM[[#This Row],[From]]</f>
        <v>Hunt</v>
      </c>
      <c r="BJ300" s="9" t="str">
        <f>TIM[[#This Row],[To]]</f>
        <v>NST14</v>
      </c>
      <c r="BK30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Breaker-NST-CB14-Protection</v>
      </c>
      <c r="BL300" s="9">
        <f>TIM[[#This Row],[Voltage]]</f>
        <v>11</v>
      </c>
    </row>
    <row r="301" spans="1:64" ht="15" hidden="1" customHeight="1" x14ac:dyDescent="0.25">
      <c r="A301" s="6" t="str">
        <f>CONCATENATE(TIM[[#This Row],[Supply Level]],TIM[[#This Row],[Station/Feeder]],TIM[[#This Row],[Voltage]])</f>
        <v>SubTransmissionTIM_NST_SUBTRANS11</v>
      </c>
      <c r="B301" s="6" t="str">
        <f>CONCATENATE(TIM[[#This Row],[Supply Level]],TIM[[#This Row],[Station/Feeder]],TIM[[#This Row],[Equipment ID]],TIM[[#This Row],[Voltage]],TIM[[#This Row],[Device type]])</f>
        <v>SubTransmissionTIM_NST_SUBTRANSNST-CB3611Protection</v>
      </c>
      <c r="C301" s="6" t="s">
        <v>1245</v>
      </c>
      <c r="D301" s="11" t="s">
        <v>93</v>
      </c>
      <c r="E301" s="6" t="s">
        <v>997</v>
      </c>
      <c r="F301" s="6" t="s">
        <v>878</v>
      </c>
      <c r="G301" s="27">
        <v>3</v>
      </c>
      <c r="H301" s="7" t="s">
        <v>2376</v>
      </c>
      <c r="I301" s="7" t="s">
        <v>2285</v>
      </c>
      <c r="J301" s="7" t="s">
        <v>15</v>
      </c>
      <c r="K301" s="7" t="s">
        <v>791</v>
      </c>
      <c r="L301" s="7" t="s">
        <v>1423</v>
      </c>
      <c r="M301" s="8">
        <v>11</v>
      </c>
      <c r="N301" s="9">
        <v>2500</v>
      </c>
      <c r="O301" s="9">
        <f>IF(OR(N301="",N301="-"),"-",N301*$M301*SQRT(3)/1000)</f>
        <v>47.631397208144122</v>
      </c>
      <c r="P301" s="9">
        <v>2500</v>
      </c>
      <c r="Q301" s="9">
        <f>IF(OR(P301="",P301="-"),"-",P301*$M301*SQRT(3)/1000)</f>
        <v>47.631397208144122</v>
      </c>
      <c r="R301" s="9">
        <v>2500</v>
      </c>
      <c r="S301" s="9">
        <f>IF(OR(R301="",R301="-"),"-",R301*$M301*SQRT(3)/1000)</f>
        <v>47.631397208144122</v>
      </c>
      <c r="T301" s="9" t="s">
        <v>0</v>
      </c>
      <c r="U301" s="9" t="str">
        <f>IF(OR(T301="",T301="-"),"-",T301*$M301*SQRT(3)/1000)</f>
        <v>-</v>
      </c>
      <c r="V301" s="9" t="s">
        <v>0</v>
      </c>
      <c r="W301" s="9" t="str">
        <f>IF(OR(V301="",V301="-"),"-",V301*$M301*SQRT(3)/1000)</f>
        <v>-</v>
      </c>
      <c r="X301" s="9">
        <f>VLOOKUP(TIM[[#This Row],[Equipment ID]],AEL_Protection_Data[#All],12,0)</f>
        <v>1188</v>
      </c>
      <c r="Y301" s="9">
        <f>IF(OR(X301="",X301="-"),"-",X301*$M301*SQRT(3)/1000)</f>
        <v>22.634439953310089</v>
      </c>
      <c r="Z301" s="9" t="s">
        <v>0</v>
      </c>
      <c r="AA301" s="9" t="str">
        <f>IF(OR(Z301="",Z301="-"),"-",Z301*$M301*SQRT(3)/1000)</f>
        <v>-</v>
      </c>
      <c r="AB301" s="9">
        <v>1200</v>
      </c>
      <c r="AC301" s="9">
        <f>IF(OR(AB301="",AB301="-"),"-",AB301*$M301*SQRT(3)/1000)</f>
        <v>22.86307065990918</v>
      </c>
      <c r="AD301" s="9">
        <v>1200</v>
      </c>
      <c r="AE301" s="12">
        <f>IF(OR(AD301="",AD301="-"),"-",AD301*$M301*SQRT(3)/1000)</f>
        <v>22.86307065990918</v>
      </c>
      <c r="AF301" s="9" t="s">
        <v>0</v>
      </c>
      <c r="AG301" s="9" t="s">
        <v>0</v>
      </c>
      <c r="AH301" s="9" t="s">
        <v>0</v>
      </c>
      <c r="AI301" s="9" t="s">
        <v>0</v>
      </c>
      <c r="AJ301" s="32" t="s">
        <v>0</v>
      </c>
      <c r="AK301" s="9" t="s">
        <v>0</v>
      </c>
      <c r="AL301" s="32" t="s">
        <v>0</v>
      </c>
      <c r="AM301" s="9" t="s">
        <v>0</v>
      </c>
      <c r="AN301" s="32" t="s">
        <v>0</v>
      </c>
      <c r="AO301" s="9" t="s">
        <v>0</v>
      </c>
      <c r="AP301" s="9" t="s">
        <v>0</v>
      </c>
      <c r="AQ301" s="32" t="s">
        <v>0</v>
      </c>
      <c r="AR30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01" s="9" t="str">
        <f>IF(OR(AR301="",AR301="-"),"-",AR301*$M301*SQRT(3)/1000)</f>
        <v>-</v>
      </c>
      <c r="AT301" s="9">
        <f>IF(RIGHT(TIM[[#This Row],[Device type]],7)="Winding","-",TIM[[#This Row],[Cont Winter MVA]])</f>
        <v>47.631397208144122</v>
      </c>
      <c r="AU301" s="9">
        <f>IF(RIGHT(TIM[[#This Row],[Device type]],7)="Winding","-",TIM[[#This Row],[Cont Shoulder MVA]])</f>
        <v>47.631397208144122</v>
      </c>
      <c r="AV301" s="9">
        <f>IF(RIGHT(TIM[[#This Row],[Device type]],7)="Winding","-",TIM[[#This Row],[Cont Summer MVA]])</f>
        <v>47.631397208144122</v>
      </c>
      <c r="AW301" s="9" t="str">
        <f>TIM[[#This Row],[24 Hr Winter MVA]]</f>
        <v>-</v>
      </c>
      <c r="AX301" s="9" t="str">
        <f>TIM[[#This Row],[24 Hr Summer MVA]]</f>
        <v>-</v>
      </c>
      <c r="AY301" s="9">
        <f>TIM[[#This Row],[Forwards MVA]]</f>
        <v>22.634439953310089</v>
      </c>
      <c r="AZ301" s="9">
        <f>TIM[[#This Row],[Relay MVA]]</f>
        <v>22.86307065990918</v>
      </c>
      <c r="BA301" s="9">
        <f>TIM[[#This Row],[CT MVA]]</f>
        <v>22.86307065990918</v>
      </c>
      <c r="BB301" s="9" t="str">
        <f>TIM[[#This Row],[Derating MVA]]</f>
        <v>-</v>
      </c>
      <c r="BC301" s="9" t="str">
        <f>TIM[[#This Row],[Station/Feeder]]&amp;TIM[[#This Row],[Lowest MVA]]</f>
        <v>TIM_NST_SUBTRANS22.6344399533101</v>
      </c>
      <c r="BD301" s="9" t="str">
        <f>CONCATENATE(TIM[[#This Row],[Supply Level]],TIM[[#This Row],[Station/Feeder]],TIM[[#This Row],[Voltage]],TIM[[#This Row],[Lowest A-No PTX]])</f>
        <v>SubTransmissionTIM_NST_SUBTRANS111188</v>
      </c>
      <c r="BE301" s="9" t="str">
        <f>CONCATENATE(TIM[[#This Row],[Supply Level]],TIM[[#This Row],[Station/Feeder]],TIM[[#This Row],[Voltage]],TIM[[#This Row],[Lowest A-PTX]])</f>
        <v>SubTransmissionTIM_NST_SUBTRANS111188</v>
      </c>
      <c r="BF301" s="9">
        <f>IFERROR(IF(MIN(TIM[[#This Row],[Summ Cont Winter A]:[Cable Derating]])=0,"",MIN(TIM[[#This Row],[Summ Cont Winter A]:[Cable Derating]])),"")</f>
        <v>22.634439953310089</v>
      </c>
      <c r="BG301" s="9">
        <f>IFERROR(TIM[[#This Row],[Lowest MVA]]*1000/(TIM[[#This Row],[Voltage]]*SQRT(3)),"")</f>
        <v>1188</v>
      </c>
      <c r="BH301" s="9">
        <f t="shared" si="385"/>
        <v>1188</v>
      </c>
      <c r="BI301" s="9" t="str">
        <f>TIM[[#This Row],[From]]</f>
        <v>Timaru</v>
      </c>
      <c r="BJ301" s="9" t="str">
        <f>TIM[[#This Row],[To]]</f>
        <v>NST36</v>
      </c>
      <c r="BK30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Breaker-NST-CB36-Protection</v>
      </c>
      <c r="BL301" s="9">
        <f>TIM[[#This Row],[Voltage]]</f>
        <v>11</v>
      </c>
    </row>
    <row r="302" spans="1:64" ht="15" hidden="1" customHeight="1" x14ac:dyDescent="0.25">
      <c r="A302" s="6" t="str">
        <f>CONCATENATE(TIM[[#This Row],[Supply Level]],TIM[[#This Row],[Station/Feeder]],TIM[[#This Row],[Voltage]])</f>
        <v>SubTransmissionGRM_NST_SUBTRANS11</v>
      </c>
      <c r="B302" s="6" t="str">
        <f>CONCATENATE(TIM[[#This Row],[Supply Level]],TIM[[#This Row],[Station/Feeder]],TIM[[#This Row],[Equipment ID]],TIM[[#This Row],[Voltage]],TIM[[#This Row],[Device type]])</f>
        <v>SubTransmissionGRM_NST_SUBTRANSNST-CB1511Protection</v>
      </c>
      <c r="C302" s="6" t="s">
        <v>1245</v>
      </c>
      <c r="D302" s="11" t="s">
        <v>994</v>
      </c>
      <c r="E302" s="6" t="s">
        <v>995</v>
      </c>
      <c r="F302" s="6" t="s">
        <v>940</v>
      </c>
      <c r="G302" s="27" t="s">
        <v>0</v>
      </c>
      <c r="H302" s="7" t="s">
        <v>2376</v>
      </c>
      <c r="I302" s="7" t="s">
        <v>2286</v>
      </c>
      <c r="J302" s="7" t="s">
        <v>15</v>
      </c>
      <c r="K302" s="7" t="s">
        <v>791</v>
      </c>
      <c r="L302" s="7" t="s">
        <v>1423</v>
      </c>
      <c r="M302" s="8">
        <v>11</v>
      </c>
      <c r="N302" s="9">
        <v>1250</v>
      </c>
      <c r="O302" s="9">
        <f>IF(OR(N302="",N302="-"),"-",N302*$M302*SQRT(3)/1000)</f>
        <v>23.815698604072061</v>
      </c>
      <c r="P302" s="9">
        <v>1250</v>
      </c>
      <c r="Q302" s="9">
        <f>IF(OR(P302="",P302="-"),"-",P302*$M302*SQRT(3)/1000)</f>
        <v>23.815698604072061</v>
      </c>
      <c r="R302" s="9">
        <v>1250</v>
      </c>
      <c r="S302" s="9">
        <f>IF(OR(R302="",R302="-"),"-",R302*$M302*SQRT(3)/1000)</f>
        <v>23.815698604072061</v>
      </c>
      <c r="T302" s="9" t="s">
        <v>0</v>
      </c>
      <c r="U302" s="9" t="str">
        <f>IF(OR(T302="",T302="-"),"-",T302*$M302*SQRT(3)/1000)</f>
        <v>-</v>
      </c>
      <c r="V302" s="9" t="s">
        <v>0</v>
      </c>
      <c r="W302" s="9" t="str">
        <f>IF(OR(V302="",V302="-"),"-",V302*$M302*SQRT(3)/1000)</f>
        <v>-</v>
      </c>
      <c r="X302" s="9">
        <f>VLOOKUP(TIM[[#This Row],[Equipment ID]],AEL_Protection_Data[#All],12,0)</f>
        <v>400</v>
      </c>
      <c r="Y302" s="9">
        <f>IF(OR(X302="",X302="-"),"-",X302*$M302*SQRT(3)/1000)</f>
        <v>7.6210235533030604</v>
      </c>
      <c r="Z302" s="9" t="s">
        <v>0</v>
      </c>
      <c r="AA302" s="9" t="str">
        <f>IF(OR(Z302="",Z302="-"),"-",Z302*$M302*SQRT(3)/1000)</f>
        <v>-</v>
      </c>
      <c r="AB302" s="9">
        <v>800</v>
      </c>
      <c r="AC302" s="9">
        <f>IF(OR(AB302="",AB302="-"),"-",AB302*$M302*SQRT(3)/1000)</f>
        <v>15.242047106606121</v>
      </c>
      <c r="AD302" s="9">
        <v>800</v>
      </c>
      <c r="AE302" s="12">
        <f>IF(OR(AD302="",AD302="-"),"-",AD302*$M302*SQRT(3)/1000)</f>
        <v>15.242047106606121</v>
      </c>
      <c r="AF302" s="9" t="s">
        <v>0</v>
      </c>
      <c r="AG302" s="9" t="s">
        <v>0</v>
      </c>
      <c r="AH302" s="9" t="s">
        <v>0</v>
      </c>
      <c r="AI302" s="9" t="s">
        <v>0</v>
      </c>
      <c r="AJ302" s="32" t="s">
        <v>0</v>
      </c>
      <c r="AK302" s="9" t="s">
        <v>0</v>
      </c>
      <c r="AL302" s="32" t="s">
        <v>0</v>
      </c>
      <c r="AM302" s="9" t="s">
        <v>0</v>
      </c>
      <c r="AN302" s="32" t="s">
        <v>0</v>
      </c>
      <c r="AO302" s="9" t="s">
        <v>0</v>
      </c>
      <c r="AP302" s="9" t="s">
        <v>0</v>
      </c>
      <c r="AQ302" s="32" t="s">
        <v>0</v>
      </c>
      <c r="AR302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02" s="9" t="str">
        <f>IF(OR(AR302="",AR302="-"),"-",AR302*$M302*SQRT(3)/1000)</f>
        <v>-</v>
      </c>
      <c r="AT302" s="9">
        <f>IF(RIGHT(TIM[[#This Row],[Device type]],7)="Winding","-",TIM[[#This Row],[Cont Winter MVA]])</f>
        <v>23.815698604072061</v>
      </c>
      <c r="AU302" s="9">
        <f>IF(RIGHT(TIM[[#This Row],[Device type]],7)="Winding","-",TIM[[#This Row],[Cont Shoulder MVA]])</f>
        <v>23.815698604072061</v>
      </c>
      <c r="AV302" s="9">
        <f>IF(RIGHT(TIM[[#This Row],[Device type]],7)="Winding","-",TIM[[#This Row],[Cont Summer MVA]])</f>
        <v>23.815698604072061</v>
      </c>
      <c r="AW302" s="9" t="str">
        <f>TIM[[#This Row],[24 Hr Winter MVA]]</f>
        <v>-</v>
      </c>
      <c r="AX302" s="9" t="str">
        <f>TIM[[#This Row],[24 Hr Summer MVA]]</f>
        <v>-</v>
      </c>
      <c r="AY302" s="9">
        <f>TIM[[#This Row],[Forwards MVA]]</f>
        <v>7.6210235533030604</v>
      </c>
      <c r="AZ302" s="9">
        <f>TIM[[#This Row],[Relay MVA]]</f>
        <v>15.242047106606121</v>
      </c>
      <c r="BA302" s="9">
        <f>TIM[[#This Row],[CT MVA]]</f>
        <v>15.242047106606121</v>
      </c>
      <c r="BB302" s="9" t="str">
        <f>TIM[[#This Row],[Derating MVA]]</f>
        <v>-</v>
      </c>
      <c r="BC302" s="9" t="str">
        <f>TIM[[#This Row],[Station/Feeder]]&amp;TIM[[#This Row],[Lowest MVA]]</f>
        <v>GRM_NST_SUBTRANS7.62102355330306</v>
      </c>
      <c r="BD302" s="9" t="str">
        <f>CONCATENATE(TIM[[#This Row],[Supply Level]],TIM[[#This Row],[Station/Feeder]],TIM[[#This Row],[Voltage]],TIM[[#This Row],[Lowest A-No PTX]])</f>
        <v>SubTransmissionGRM_NST_SUBTRANS11400</v>
      </c>
      <c r="BE302" s="9" t="str">
        <f>CONCATENATE(TIM[[#This Row],[Supply Level]],TIM[[#This Row],[Station/Feeder]],TIM[[#This Row],[Voltage]],TIM[[#This Row],[Lowest A-PTX]])</f>
        <v>SubTransmissionGRM_NST_SUBTRANS11400</v>
      </c>
      <c r="BF302" s="9">
        <f>IFERROR(IF(MIN(TIM[[#This Row],[Summ Cont Winter A]:[Cable Derating]])=0,"",MIN(TIM[[#This Row],[Summ Cont Winter A]:[Cable Derating]])),"")</f>
        <v>7.6210235533030604</v>
      </c>
      <c r="BG302" s="9">
        <f>IFERROR(TIM[[#This Row],[Lowest MVA]]*1000/(TIM[[#This Row],[Voltage]]*SQRT(3)),"")</f>
        <v>400</v>
      </c>
      <c r="BH302" s="9">
        <f t="shared" si="385"/>
        <v>400</v>
      </c>
      <c r="BI302" s="9" t="str">
        <f>TIM[[#This Row],[From]]</f>
        <v>Grasmere</v>
      </c>
      <c r="BJ302" s="9" t="str">
        <f>TIM[[#This Row],[To]]</f>
        <v>NST15</v>
      </c>
      <c r="BK30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Breaker-NST-CB15-Protection</v>
      </c>
      <c r="BL302" s="9">
        <f>TIM[[#This Row],[Voltage]]</f>
        <v>11</v>
      </c>
    </row>
    <row r="303" spans="1:64" ht="15" customHeight="1" x14ac:dyDescent="0.25">
      <c r="A303" s="14" t="str">
        <f>CONCATENATE(TIM[[#This Row],[Supply Level]],TIM[[#This Row],[Station/Feeder]],TIM[[#This Row],[Voltage]])</f>
        <v>DistributionFeederCB16_Victoria St11</v>
      </c>
      <c r="B303" s="14" t="str">
        <f>CONCATENATE(TIM[[#This Row],[Supply Level]],TIM[[#This Row],[Station/Feeder]],TIM[[#This Row],[Equipment ID]],TIM[[#This Row],[Voltage]],TIM[[#This Row],[Device type]])</f>
        <v>DistributionFeederCB16_Victoria StNST-CB1611Protection</v>
      </c>
      <c r="C303" s="14" t="s">
        <v>1276</v>
      </c>
      <c r="D303" s="11" t="s">
        <v>198</v>
      </c>
      <c r="E303" s="6" t="s">
        <v>243</v>
      </c>
      <c r="F303" s="6" t="s">
        <v>1018</v>
      </c>
      <c r="G303" s="27">
        <v>1</v>
      </c>
      <c r="H303" s="7" t="s">
        <v>2376</v>
      </c>
      <c r="I303" s="7" t="s">
        <v>2287</v>
      </c>
      <c r="J303" s="7" t="s">
        <v>15</v>
      </c>
      <c r="K303" s="49" t="s">
        <v>791</v>
      </c>
      <c r="L303" s="49" t="s">
        <v>1423</v>
      </c>
      <c r="M303" s="8">
        <v>11</v>
      </c>
      <c r="N303" s="9">
        <v>1250</v>
      </c>
      <c r="O303" s="9">
        <f t="shared" si="397"/>
        <v>23.815698604072061</v>
      </c>
      <c r="P303" s="9">
        <v>1250</v>
      </c>
      <c r="Q303" s="9">
        <f t="shared" si="398"/>
        <v>23.815698604072061</v>
      </c>
      <c r="R303" s="9">
        <v>1250</v>
      </c>
      <c r="S303" s="9">
        <f t="shared" si="399"/>
        <v>23.815698604072061</v>
      </c>
      <c r="T303" s="9" t="s">
        <v>0</v>
      </c>
      <c r="U303" s="9" t="str">
        <f t="shared" si="400"/>
        <v>-</v>
      </c>
      <c r="V303" s="9" t="s">
        <v>0</v>
      </c>
      <c r="W303" s="9" t="str">
        <f t="shared" si="401"/>
        <v>-</v>
      </c>
      <c r="X303" s="9">
        <f>VLOOKUP(TIM[[#This Row],[Equipment ID]],AEL_Protection_Data[#All],12,0)</f>
        <v>304</v>
      </c>
      <c r="Y303" s="9">
        <f t="shared" si="402"/>
        <v>5.7919779005103251</v>
      </c>
      <c r="Z303" s="9" t="s">
        <v>0</v>
      </c>
      <c r="AA303" s="9" t="str">
        <f t="shared" si="403"/>
        <v>-</v>
      </c>
      <c r="AB303" s="9">
        <v>800</v>
      </c>
      <c r="AC303" s="9">
        <f t="shared" si="404"/>
        <v>15.242047106606121</v>
      </c>
      <c r="AD303" s="9">
        <v>800</v>
      </c>
      <c r="AE303" s="12">
        <f t="shared" si="405"/>
        <v>15.242047106606121</v>
      </c>
      <c r="AF303" s="9" t="s">
        <v>0</v>
      </c>
      <c r="AG303" s="9" t="s">
        <v>0</v>
      </c>
      <c r="AH303" s="9" t="s">
        <v>0</v>
      </c>
      <c r="AI303" s="9" t="s">
        <v>0</v>
      </c>
      <c r="AJ303" s="32" t="s">
        <v>0</v>
      </c>
      <c r="AK303" s="9" t="s">
        <v>0</v>
      </c>
      <c r="AL303" s="32" t="s">
        <v>0</v>
      </c>
      <c r="AM303" s="9" t="s">
        <v>0</v>
      </c>
      <c r="AN303" s="32" t="s">
        <v>0</v>
      </c>
      <c r="AO303" s="9" t="s">
        <v>0</v>
      </c>
      <c r="AP303" s="9" t="s">
        <v>0</v>
      </c>
      <c r="AQ303" s="32" t="s">
        <v>0</v>
      </c>
      <c r="AR303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03" s="9" t="str">
        <f t="shared" si="406"/>
        <v>-</v>
      </c>
      <c r="AT303" s="9">
        <f>IF(RIGHT(TIM[[#This Row],[Device type]],7)="Winding","-",TIM[[#This Row],[Cont Winter MVA]])</f>
        <v>23.815698604072061</v>
      </c>
      <c r="AU303" s="9">
        <f>IF(RIGHT(TIM[[#This Row],[Device type]],7)="Winding","-",TIM[[#This Row],[Cont Shoulder MVA]])</f>
        <v>23.815698604072061</v>
      </c>
      <c r="AV303" s="9">
        <f>IF(RIGHT(TIM[[#This Row],[Device type]],7)="Winding","-",TIM[[#This Row],[Cont Summer MVA]])</f>
        <v>23.815698604072061</v>
      </c>
      <c r="AW303" s="9" t="str">
        <f>TIM[[#This Row],[24 Hr Winter MVA]]</f>
        <v>-</v>
      </c>
      <c r="AX303" s="9" t="str">
        <f>TIM[[#This Row],[24 Hr Summer MVA]]</f>
        <v>-</v>
      </c>
      <c r="AY303" s="9">
        <f>TIM[[#This Row],[Forwards MVA]]</f>
        <v>5.7919779005103251</v>
      </c>
      <c r="AZ303" s="9">
        <f>TIM[[#This Row],[Relay MVA]]</f>
        <v>15.242047106606121</v>
      </c>
      <c r="BA303" s="9">
        <f>TIM[[#This Row],[CT MVA]]</f>
        <v>15.242047106606121</v>
      </c>
      <c r="BB303" s="9" t="str">
        <f>TIM[[#This Row],[Derating MVA]]</f>
        <v>-</v>
      </c>
      <c r="BC303" s="9" t="str">
        <f>TIM[[#This Row],[Station/Feeder]]&amp;TIM[[#This Row],[Lowest MVA]]</f>
        <v>CB16_Victoria St5.79197790051033</v>
      </c>
      <c r="BD303" s="9" t="str">
        <f>CONCATENATE(TIM[[#This Row],[Supply Level]],TIM[[#This Row],[Station/Feeder]],TIM[[#This Row],[Voltage]],TIM[[#This Row],[Lowest A-No PTX]])</f>
        <v>DistributionFeederCB16_Victoria St11304</v>
      </c>
      <c r="BE303" s="9" t="str">
        <f>CONCATENATE(TIM[[#This Row],[Supply Level]],TIM[[#This Row],[Station/Feeder]],TIM[[#This Row],[Voltage]],TIM[[#This Row],[Lowest A-PTX]])</f>
        <v>DistributionFeederCB16_Victoria St11304</v>
      </c>
      <c r="BF303" s="9">
        <f>IFERROR(IF(MIN(TIM[[#This Row],[Summ Cont Winter A]:[Cable Derating]])=0,"",MIN(TIM[[#This Row],[Summ Cont Winter A]:[Cable Derating]])),"")</f>
        <v>5.7919779005103251</v>
      </c>
      <c r="BG303" s="9">
        <f>IFERROR(TIM[[#This Row],[Lowest MVA]]*1000/(TIM[[#This Row],[Voltage]]*SQRT(3)),"")</f>
        <v>304</v>
      </c>
      <c r="BH303" s="9">
        <f t="shared" si="385"/>
        <v>304</v>
      </c>
      <c r="BI303" s="9" t="str">
        <f>TIM[[#This Row],[From]]</f>
        <v>11 kV Bus</v>
      </c>
      <c r="BJ303" s="9" t="str">
        <f>TIM[[#This Row],[To]]</f>
        <v>NST16</v>
      </c>
      <c r="BK30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Breaker-NST-CB16-Protection</v>
      </c>
      <c r="BL303" s="9">
        <f>TIM[[#This Row],[Voltage]]</f>
        <v>11</v>
      </c>
    </row>
    <row r="304" spans="1:64" ht="15" customHeight="1" x14ac:dyDescent="0.25">
      <c r="A304" s="14" t="str">
        <f>CONCATENATE(TIM[[#This Row],[Supply Level]],TIM[[#This Row],[Station/Feeder]],TIM[[#This Row],[Voltage]])</f>
        <v>DistributionFeederCB16_Victoria St11</v>
      </c>
      <c r="B304" s="14" t="str">
        <f>CONCATENATE(TIM[[#This Row],[Supply Level]],TIM[[#This Row],[Station/Feeder]],TIM[[#This Row],[Equipment ID]],TIM[[#This Row],[Voltage]],TIM[[#This Row],[Device type]])</f>
        <v>DistributionFeederCB16_Victoria St3/1c 400mm² Al XLPE HPDE Screened11-</v>
      </c>
      <c r="C304" s="14" t="s">
        <v>1276</v>
      </c>
      <c r="D304" s="11" t="s">
        <v>198</v>
      </c>
      <c r="E304" s="6" t="s">
        <v>1018</v>
      </c>
      <c r="F304" s="6" t="s">
        <v>750</v>
      </c>
      <c r="G304" s="27">
        <v>2</v>
      </c>
      <c r="H304" s="7" t="s">
        <v>985</v>
      </c>
      <c r="I304" s="7" t="s">
        <v>986</v>
      </c>
      <c r="J304" s="7" t="s">
        <v>250</v>
      </c>
      <c r="K304" s="49" t="s">
        <v>0</v>
      </c>
      <c r="L304" s="49" t="s">
        <v>0</v>
      </c>
      <c r="M304" s="8">
        <v>11</v>
      </c>
      <c r="N304" s="9">
        <v>537</v>
      </c>
      <c r="O304" s="9">
        <f t="shared" si="397"/>
        <v>10.231224120309358</v>
      </c>
      <c r="P304" s="9">
        <v>537</v>
      </c>
      <c r="Q304" s="9">
        <f t="shared" si="398"/>
        <v>10.231224120309358</v>
      </c>
      <c r="R304" s="9">
        <v>537</v>
      </c>
      <c r="S304" s="9">
        <f t="shared" si="399"/>
        <v>10.231224120309358</v>
      </c>
      <c r="T304" s="9" t="s">
        <v>0</v>
      </c>
      <c r="U304" s="9" t="str">
        <f t="shared" si="400"/>
        <v>-</v>
      </c>
      <c r="V304" s="9" t="s">
        <v>0</v>
      </c>
      <c r="W304" s="9" t="str">
        <f t="shared" si="401"/>
        <v>-</v>
      </c>
      <c r="X304" s="9" t="s">
        <v>0</v>
      </c>
      <c r="Y304" s="9" t="str">
        <f t="shared" si="402"/>
        <v>-</v>
      </c>
      <c r="Z304" s="9" t="s">
        <v>0</v>
      </c>
      <c r="AA304" s="9" t="str">
        <f t="shared" si="403"/>
        <v>-</v>
      </c>
      <c r="AB304" s="9" t="s">
        <v>0</v>
      </c>
      <c r="AC304" s="9" t="str">
        <f t="shared" si="404"/>
        <v>-</v>
      </c>
      <c r="AD304" s="9" t="s">
        <v>0</v>
      </c>
      <c r="AE304" s="12" t="str">
        <f t="shared" si="405"/>
        <v>-</v>
      </c>
      <c r="AF304" s="160" t="s">
        <v>713</v>
      </c>
      <c r="AG304" s="9" t="s">
        <v>0</v>
      </c>
      <c r="AH304" s="9">
        <v>194.2</v>
      </c>
      <c r="AI304" s="9">
        <v>0.8</v>
      </c>
      <c r="AJ304" s="32">
        <v>1</v>
      </c>
      <c r="AK304" s="9">
        <v>18.5</v>
      </c>
      <c r="AL304" s="32">
        <v>0.97199999999999998</v>
      </c>
      <c r="AM304" s="9">
        <v>1.2</v>
      </c>
      <c r="AN304" s="32">
        <v>1</v>
      </c>
      <c r="AO304" s="9">
        <v>5</v>
      </c>
      <c r="AP304" s="9">
        <v>0.6</v>
      </c>
      <c r="AQ304" s="32">
        <v>0.81</v>
      </c>
      <c r="AR304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422.79084</v>
      </c>
      <c r="AS304" s="9">
        <f t="shared" si="406"/>
        <v>8.0552473744019633</v>
      </c>
      <c r="AT304" s="9">
        <f>IF(RIGHT(TIM[[#This Row],[Device type]],7)="Winding","-",TIM[[#This Row],[Cont Winter MVA]])</f>
        <v>10.231224120309358</v>
      </c>
      <c r="AU304" s="9">
        <f>IF(RIGHT(TIM[[#This Row],[Device type]],7)="Winding","-",TIM[[#This Row],[Cont Shoulder MVA]])</f>
        <v>10.231224120309358</v>
      </c>
      <c r="AV304" s="9">
        <f>IF(RIGHT(TIM[[#This Row],[Device type]],7)="Winding","-",TIM[[#This Row],[Cont Summer MVA]])</f>
        <v>10.231224120309358</v>
      </c>
      <c r="AW304" s="9" t="str">
        <f>TIM[[#This Row],[24 Hr Winter MVA]]</f>
        <v>-</v>
      </c>
      <c r="AX304" s="9" t="str">
        <f>TIM[[#This Row],[24 Hr Summer MVA]]</f>
        <v>-</v>
      </c>
      <c r="AY304" s="9" t="str">
        <f>TIM[[#This Row],[Forwards MVA]]</f>
        <v>-</v>
      </c>
      <c r="AZ304" s="9" t="str">
        <f>TIM[[#This Row],[Relay MVA]]</f>
        <v>-</v>
      </c>
      <c r="BA304" s="9" t="str">
        <f>TIM[[#This Row],[CT MVA]]</f>
        <v>-</v>
      </c>
      <c r="BB304" s="9">
        <f>TIM[[#This Row],[Derating MVA]]</f>
        <v>8.0552473744019633</v>
      </c>
      <c r="BC304" s="9" t="str">
        <f>TIM[[#This Row],[Station/Feeder]]&amp;TIM[[#This Row],[Lowest MVA]]</f>
        <v>CB16_Victoria St8.05524737440196</v>
      </c>
      <c r="BD304" s="9" t="str">
        <f>CONCATENATE(TIM[[#This Row],[Supply Level]],TIM[[#This Row],[Station/Feeder]],TIM[[#This Row],[Voltage]],TIM[[#This Row],[Lowest A-No PTX]])</f>
        <v>DistributionFeederCB16_Victoria St11422.79084</v>
      </c>
      <c r="BE304" s="9" t="str">
        <f>CONCATENATE(TIM[[#This Row],[Supply Level]],TIM[[#This Row],[Station/Feeder]],TIM[[#This Row],[Voltage]],TIM[[#This Row],[Lowest A-PTX]])</f>
        <v>DistributionFeederCB16_Victoria St11422.79084</v>
      </c>
      <c r="BF304" s="9">
        <f>IFERROR(IF(MIN(TIM[[#This Row],[Summ Cont Winter A]:[Cable Derating]])=0,"",MIN(TIM[[#This Row],[Summ Cont Winter A]:[Cable Derating]])),"")</f>
        <v>8.0552473744019633</v>
      </c>
      <c r="BG304" s="9">
        <f>IFERROR(TIM[[#This Row],[Lowest MVA]]*1000/(TIM[[#This Row],[Voltage]]*SQRT(3)),"")</f>
        <v>422.79084</v>
      </c>
      <c r="BH304" s="9">
        <f t="shared" si="385"/>
        <v>422.79084</v>
      </c>
      <c r="BI304" s="9" t="str">
        <f>TIM[[#This Row],[From]]</f>
        <v>NST16</v>
      </c>
      <c r="BJ304" s="9" t="str">
        <f>TIM[[#This Row],[To]]</f>
        <v>Joint</v>
      </c>
      <c r="BK30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HPDE Screened</v>
      </c>
      <c r="BL304" s="9">
        <f>TIM[[#This Row],[Voltage]]</f>
        <v>11</v>
      </c>
    </row>
    <row r="305" spans="1:64" ht="15" customHeight="1" x14ac:dyDescent="0.25">
      <c r="A305" s="14" t="str">
        <f>CONCATENATE(TIM[[#This Row],[Supply Level]],TIM[[#This Row],[Station/Feeder]],TIM[[#This Row],[Voltage]])</f>
        <v>DistributionFeederCB16_Victoria St11</v>
      </c>
      <c r="B305" s="14" t="str">
        <f>CONCATENATE(TIM[[#This Row],[Supply Level]],TIM[[#This Row],[Station/Feeder]],TIM[[#This Row],[Equipment ID]],TIM[[#This Row],[Voltage]],TIM[[#This Row],[Device type]])</f>
        <v>DistributionFeederCB16_Victoria St3c 185mm² Al PILC SWAS11-</v>
      </c>
      <c r="C305" s="14" t="s">
        <v>1276</v>
      </c>
      <c r="D305" s="11" t="s">
        <v>198</v>
      </c>
      <c r="E305" s="6" t="s">
        <v>750</v>
      </c>
      <c r="F305" s="6" t="s">
        <v>1019</v>
      </c>
      <c r="G305" s="27">
        <v>3</v>
      </c>
      <c r="H305" s="7" t="s">
        <v>985</v>
      </c>
      <c r="I305" s="7" t="s">
        <v>913</v>
      </c>
      <c r="J305" s="7" t="s">
        <v>250</v>
      </c>
      <c r="K305" s="49" t="s">
        <v>0</v>
      </c>
      <c r="L305" s="49" t="s">
        <v>0</v>
      </c>
      <c r="M305" s="8">
        <v>11</v>
      </c>
      <c r="N305" s="9">
        <v>315</v>
      </c>
      <c r="O305" s="9">
        <f t="shared" si="397"/>
        <v>6.0015560482261598</v>
      </c>
      <c r="P305" s="9">
        <v>315</v>
      </c>
      <c r="Q305" s="9">
        <f t="shared" si="398"/>
        <v>6.0015560482261598</v>
      </c>
      <c r="R305" s="9">
        <v>315</v>
      </c>
      <c r="S305" s="9">
        <f t="shared" si="399"/>
        <v>6.0015560482261598</v>
      </c>
      <c r="T305" s="9" t="s">
        <v>0</v>
      </c>
      <c r="U305" s="9" t="str">
        <f t="shared" si="400"/>
        <v>-</v>
      </c>
      <c r="V305" s="9" t="s">
        <v>0</v>
      </c>
      <c r="W305" s="9" t="str">
        <f t="shared" si="401"/>
        <v>-</v>
      </c>
      <c r="X305" s="9" t="s">
        <v>0</v>
      </c>
      <c r="Y305" s="9" t="str">
        <f t="shared" si="402"/>
        <v>-</v>
      </c>
      <c r="Z305" s="9" t="s">
        <v>0</v>
      </c>
      <c r="AA305" s="9" t="str">
        <f t="shared" si="403"/>
        <v>-</v>
      </c>
      <c r="AB305" s="9" t="s">
        <v>0</v>
      </c>
      <c r="AC305" s="9" t="str">
        <f t="shared" si="404"/>
        <v>-</v>
      </c>
      <c r="AD305" s="9" t="s">
        <v>0</v>
      </c>
      <c r="AE305" s="12" t="str">
        <f t="shared" si="405"/>
        <v>-</v>
      </c>
      <c r="AF305" s="159" t="s">
        <v>716</v>
      </c>
      <c r="AG305" s="9" t="s">
        <v>0</v>
      </c>
      <c r="AH305" s="9">
        <v>119.3</v>
      </c>
      <c r="AI305" s="9">
        <v>0.78</v>
      </c>
      <c r="AJ305" s="32">
        <v>1</v>
      </c>
      <c r="AK305" s="9">
        <v>18.5</v>
      </c>
      <c r="AL305" s="32">
        <v>0.95199999999999996</v>
      </c>
      <c r="AM305" s="9">
        <v>1.2</v>
      </c>
      <c r="AN305" s="32">
        <v>1</v>
      </c>
      <c r="AO305" s="9">
        <v>5</v>
      </c>
      <c r="AP305" s="9" t="s">
        <v>2983</v>
      </c>
      <c r="AQ305" s="32">
        <v>0.7</v>
      </c>
      <c r="AR305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209.91599999999997</v>
      </c>
      <c r="AS305" s="9">
        <f t="shared" si="406"/>
        <v>3.9994369505379117</v>
      </c>
      <c r="AT305" s="9">
        <f>IF(RIGHT(TIM[[#This Row],[Device type]],7)="Winding","-",TIM[[#This Row],[Cont Winter MVA]])</f>
        <v>6.0015560482261598</v>
      </c>
      <c r="AU305" s="9">
        <f>IF(RIGHT(TIM[[#This Row],[Device type]],7)="Winding","-",TIM[[#This Row],[Cont Shoulder MVA]])</f>
        <v>6.0015560482261598</v>
      </c>
      <c r="AV305" s="9">
        <f>IF(RIGHT(TIM[[#This Row],[Device type]],7)="Winding","-",TIM[[#This Row],[Cont Summer MVA]])</f>
        <v>6.0015560482261598</v>
      </c>
      <c r="AW305" s="9" t="str">
        <f>TIM[[#This Row],[24 Hr Winter MVA]]</f>
        <v>-</v>
      </c>
      <c r="AX305" s="9" t="str">
        <f>TIM[[#This Row],[24 Hr Summer MVA]]</f>
        <v>-</v>
      </c>
      <c r="AY305" s="9" t="str">
        <f>TIM[[#This Row],[Forwards MVA]]</f>
        <v>-</v>
      </c>
      <c r="AZ305" s="9" t="str">
        <f>TIM[[#This Row],[Relay MVA]]</f>
        <v>-</v>
      </c>
      <c r="BA305" s="9" t="str">
        <f>TIM[[#This Row],[CT MVA]]</f>
        <v>-</v>
      </c>
      <c r="BB305" s="9">
        <f>TIM[[#This Row],[Derating MVA]]</f>
        <v>3.9994369505379117</v>
      </c>
      <c r="BC305" s="9" t="str">
        <f>TIM[[#This Row],[Station/Feeder]]&amp;TIM[[#This Row],[Lowest MVA]]</f>
        <v>CB16_Victoria St3.99943695053791</v>
      </c>
      <c r="BD305" s="9" t="str">
        <f>CONCATENATE(TIM[[#This Row],[Supply Level]],TIM[[#This Row],[Station/Feeder]],TIM[[#This Row],[Voltage]],TIM[[#This Row],[Lowest A-No PTX]])</f>
        <v>DistributionFeederCB16_Victoria St11209.916</v>
      </c>
      <c r="BE305" s="9" t="str">
        <f>CONCATENATE(TIM[[#This Row],[Supply Level]],TIM[[#This Row],[Station/Feeder]],TIM[[#This Row],[Voltage]],TIM[[#This Row],[Lowest A-PTX]])</f>
        <v>DistributionFeederCB16_Victoria St11209.916</v>
      </c>
      <c r="BF305" s="9">
        <f>IFERROR(IF(MIN(TIM[[#This Row],[Summ Cont Winter A]:[Cable Derating]])=0,"",MIN(TIM[[#This Row],[Summ Cont Winter A]:[Cable Derating]])),"")</f>
        <v>3.9994369505379117</v>
      </c>
      <c r="BG305" s="9">
        <f>IFERROR(TIM[[#This Row],[Lowest MVA]]*1000/(TIM[[#This Row],[Voltage]]*SQRT(3)),"")</f>
        <v>209.91599999999994</v>
      </c>
      <c r="BH305" s="9">
        <f t="shared" si="385"/>
        <v>209.91599999999997</v>
      </c>
      <c r="BI305" s="9" t="str">
        <f>TIM[[#This Row],[From]]</f>
        <v>Joint</v>
      </c>
      <c r="BJ305" s="9" t="str">
        <f>TIM[[#This Row],[To]]</f>
        <v xml:space="preserve">TEP12 RMU </v>
      </c>
      <c r="BK30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185mm² Al PILC SWAS</v>
      </c>
      <c r="BL305" s="9">
        <f>TIM[[#This Row],[Voltage]]</f>
        <v>11</v>
      </c>
    </row>
    <row r="306" spans="1:64" ht="15" customHeight="1" x14ac:dyDescent="0.25">
      <c r="A306" s="14" t="str">
        <f>CONCATENATE(TIM[[#This Row],[Supply Level]],TIM[[#This Row],[Station/Feeder]],TIM[[#This Row],[Voltage]])</f>
        <v>DistributionFeederCB17_Stafford St11</v>
      </c>
      <c r="B306" s="14" t="str">
        <f>CONCATENATE(TIM[[#This Row],[Supply Level]],TIM[[#This Row],[Station/Feeder]],TIM[[#This Row],[Equipment ID]],TIM[[#This Row],[Voltage]],TIM[[#This Row],[Device type]])</f>
        <v>DistributionFeederCB17_Stafford StNST-CB1711Protection</v>
      </c>
      <c r="C306" s="14" t="s">
        <v>1276</v>
      </c>
      <c r="D306" s="11" t="s">
        <v>200</v>
      </c>
      <c r="E306" s="6" t="s">
        <v>243</v>
      </c>
      <c r="F306" s="6" t="s">
        <v>1020</v>
      </c>
      <c r="G306" s="27">
        <v>1</v>
      </c>
      <c r="H306" s="7" t="s">
        <v>2376</v>
      </c>
      <c r="I306" s="7" t="s">
        <v>2337</v>
      </c>
      <c r="J306" s="7" t="s">
        <v>15</v>
      </c>
      <c r="K306" s="49" t="s">
        <v>791</v>
      </c>
      <c r="L306" s="49" t="s">
        <v>1423</v>
      </c>
      <c r="M306" s="8">
        <v>11</v>
      </c>
      <c r="N306" s="9">
        <v>1250</v>
      </c>
      <c r="O306" s="9">
        <f t="shared" si="397"/>
        <v>23.815698604072061</v>
      </c>
      <c r="P306" s="9">
        <v>1250</v>
      </c>
      <c r="Q306" s="9">
        <f t="shared" si="398"/>
        <v>23.815698604072061</v>
      </c>
      <c r="R306" s="9">
        <v>1250</v>
      </c>
      <c r="S306" s="9">
        <f t="shared" si="399"/>
        <v>23.815698604072061</v>
      </c>
      <c r="T306" s="9" t="s">
        <v>0</v>
      </c>
      <c r="U306" s="9" t="str">
        <f t="shared" si="400"/>
        <v>-</v>
      </c>
      <c r="V306" s="9" t="s">
        <v>0</v>
      </c>
      <c r="W306" s="9" t="str">
        <f t="shared" si="401"/>
        <v>-</v>
      </c>
      <c r="X306" s="9">
        <f>VLOOKUP(TIM[[#This Row],[Equipment ID]],AEL_Protection_Data[#All],12,0)</f>
        <v>200</v>
      </c>
      <c r="Y306" s="9">
        <f t="shared" si="402"/>
        <v>3.8105117766515302</v>
      </c>
      <c r="Z306" s="9" t="s">
        <v>0</v>
      </c>
      <c r="AA306" s="9" t="str">
        <f t="shared" si="403"/>
        <v>-</v>
      </c>
      <c r="AB306" s="9">
        <v>800</v>
      </c>
      <c r="AC306" s="9">
        <f t="shared" si="404"/>
        <v>15.242047106606121</v>
      </c>
      <c r="AD306" s="9">
        <v>800</v>
      </c>
      <c r="AE306" s="12">
        <f t="shared" si="405"/>
        <v>15.242047106606121</v>
      </c>
      <c r="AF306" s="9" t="s">
        <v>0</v>
      </c>
      <c r="AG306" s="9" t="s">
        <v>0</v>
      </c>
      <c r="AH306" s="9" t="s">
        <v>0</v>
      </c>
      <c r="AI306" s="9" t="s">
        <v>0</v>
      </c>
      <c r="AJ306" s="32" t="s">
        <v>0</v>
      </c>
      <c r="AK306" s="9" t="s">
        <v>0</v>
      </c>
      <c r="AL306" s="32" t="s">
        <v>0</v>
      </c>
      <c r="AM306" s="9" t="s">
        <v>0</v>
      </c>
      <c r="AN306" s="32" t="s">
        <v>0</v>
      </c>
      <c r="AO306" s="9" t="s">
        <v>0</v>
      </c>
      <c r="AP306" s="9" t="s">
        <v>0</v>
      </c>
      <c r="AQ306" s="32" t="s">
        <v>0</v>
      </c>
      <c r="AR306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06" s="9" t="str">
        <f t="shared" si="406"/>
        <v>-</v>
      </c>
      <c r="AT306" s="9">
        <f>IF(RIGHT(TIM[[#This Row],[Device type]],7)="Winding","-",TIM[[#This Row],[Cont Winter MVA]])</f>
        <v>23.815698604072061</v>
      </c>
      <c r="AU306" s="9">
        <f>IF(RIGHT(TIM[[#This Row],[Device type]],7)="Winding","-",TIM[[#This Row],[Cont Shoulder MVA]])</f>
        <v>23.815698604072061</v>
      </c>
      <c r="AV306" s="9">
        <f>IF(RIGHT(TIM[[#This Row],[Device type]],7)="Winding","-",TIM[[#This Row],[Cont Summer MVA]])</f>
        <v>23.815698604072061</v>
      </c>
      <c r="AW306" s="9" t="str">
        <f>TIM[[#This Row],[24 Hr Winter MVA]]</f>
        <v>-</v>
      </c>
      <c r="AX306" s="9" t="str">
        <f>TIM[[#This Row],[24 Hr Summer MVA]]</f>
        <v>-</v>
      </c>
      <c r="AY306" s="9">
        <f>TIM[[#This Row],[Forwards MVA]]</f>
        <v>3.8105117766515302</v>
      </c>
      <c r="AZ306" s="9">
        <f>TIM[[#This Row],[Relay MVA]]</f>
        <v>15.242047106606121</v>
      </c>
      <c r="BA306" s="9">
        <f>TIM[[#This Row],[CT MVA]]</f>
        <v>15.242047106606121</v>
      </c>
      <c r="BB306" s="9" t="str">
        <f>TIM[[#This Row],[Derating MVA]]</f>
        <v>-</v>
      </c>
      <c r="BC306" s="9" t="str">
        <f>TIM[[#This Row],[Station/Feeder]]&amp;TIM[[#This Row],[Lowest MVA]]</f>
        <v>CB17_Stafford St3.81051177665153</v>
      </c>
      <c r="BD306" s="9" t="str">
        <f>CONCATENATE(TIM[[#This Row],[Supply Level]],TIM[[#This Row],[Station/Feeder]],TIM[[#This Row],[Voltage]],TIM[[#This Row],[Lowest A-No PTX]])</f>
        <v>DistributionFeederCB17_Stafford St11200</v>
      </c>
      <c r="BE306" s="9" t="str">
        <f>CONCATENATE(TIM[[#This Row],[Supply Level]],TIM[[#This Row],[Station/Feeder]],TIM[[#This Row],[Voltage]],TIM[[#This Row],[Lowest A-PTX]])</f>
        <v>DistributionFeederCB17_Stafford St11200</v>
      </c>
      <c r="BF306" s="9">
        <f>IFERROR(IF(MIN(TIM[[#This Row],[Summ Cont Winter A]:[Cable Derating]])=0,"",MIN(TIM[[#This Row],[Summ Cont Winter A]:[Cable Derating]])),"")</f>
        <v>3.8105117766515302</v>
      </c>
      <c r="BG306" s="9">
        <f>IFERROR(TIM[[#This Row],[Lowest MVA]]*1000/(TIM[[#This Row],[Voltage]]*SQRT(3)),"")</f>
        <v>200</v>
      </c>
      <c r="BH306" s="9">
        <f t="shared" si="385"/>
        <v>200</v>
      </c>
      <c r="BI306" s="9" t="str">
        <f>TIM[[#This Row],[From]]</f>
        <v>11 kV Bus</v>
      </c>
      <c r="BJ306" s="9" t="str">
        <f>TIM[[#This Row],[To]]</f>
        <v xml:space="preserve">NST17 </v>
      </c>
      <c r="BK30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Breaker-NST-CB17-Protection</v>
      </c>
      <c r="BL306" s="9">
        <f>TIM[[#This Row],[Voltage]]</f>
        <v>11</v>
      </c>
    </row>
    <row r="307" spans="1:64" ht="15" customHeight="1" x14ac:dyDescent="0.25">
      <c r="A307" s="14" t="str">
        <f>CONCATENATE(TIM[[#This Row],[Supply Level]],TIM[[#This Row],[Station/Feeder]],TIM[[#This Row],[Voltage]])</f>
        <v>DistributionFeederCB17_Stafford St11</v>
      </c>
      <c r="B307" s="14" t="str">
        <f>CONCATENATE(TIM[[#This Row],[Supply Level]],TIM[[#This Row],[Station/Feeder]],TIM[[#This Row],[Equipment ID]],TIM[[#This Row],[Voltage]],TIM[[#This Row],[Device type]])</f>
        <v>DistributionFeederCB17_Stafford St3/1c 400mm² Al XLPE HPDE Screened11-</v>
      </c>
      <c r="C307" s="14" t="s">
        <v>1276</v>
      </c>
      <c r="D307" s="11" t="s">
        <v>200</v>
      </c>
      <c r="E307" s="6" t="s">
        <v>1020</v>
      </c>
      <c r="F307" s="6" t="s">
        <v>750</v>
      </c>
      <c r="G307" s="27">
        <v>2</v>
      </c>
      <c r="H307" s="7" t="s">
        <v>888</v>
      </c>
      <c r="I307" s="7" t="s">
        <v>986</v>
      </c>
      <c r="J307" s="7" t="s">
        <v>250</v>
      </c>
      <c r="K307" s="49" t="s">
        <v>0</v>
      </c>
      <c r="L307" s="49" t="s">
        <v>0</v>
      </c>
      <c r="M307" s="8">
        <v>11</v>
      </c>
      <c r="N307" s="9">
        <v>537</v>
      </c>
      <c r="O307" s="9">
        <f t="shared" si="397"/>
        <v>10.231224120309358</v>
      </c>
      <c r="P307" s="9">
        <v>537</v>
      </c>
      <c r="Q307" s="9">
        <f t="shared" si="398"/>
        <v>10.231224120309358</v>
      </c>
      <c r="R307" s="9">
        <v>537</v>
      </c>
      <c r="S307" s="9">
        <f t="shared" si="399"/>
        <v>10.231224120309358</v>
      </c>
      <c r="T307" s="9" t="s">
        <v>0</v>
      </c>
      <c r="U307" s="9" t="str">
        <f t="shared" si="400"/>
        <v>-</v>
      </c>
      <c r="V307" s="9" t="s">
        <v>0</v>
      </c>
      <c r="W307" s="9" t="str">
        <f t="shared" si="401"/>
        <v>-</v>
      </c>
      <c r="X307" s="9" t="s">
        <v>0</v>
      </c>
      <c r="Y307" s="9" t="str">
        <f t="shared" si="402"/>
        <v>-</v>
      </c>
      <c r="Z307" s="9" t="s">
        <v>0</v>
      </c>
      <c r="AA307" s="9" t="str">
        <f t="shared" si="403"/>
        <v>-</v>
      </c>
      <c r="AB307" s="9" t="s">
        <v>0</v>
      </c>
      <c r="AC307" s="9" t="str">
        <f t="shared" si="404"/>
        <v>-</v>
      </c>
      <c r="AD307" s="9" t="s">
        <v>0</v>
      </c>
      <c r="AE307" s="12" t="str">
        <f t="shared" si="405"/>
        <v>-</v>
      </c>
      <c r="AF307" s="159" t="s">
        <v>713</v>
      </c>
      <c r="AG307" s="9" t="s">
        <v>0</v>
      </c>
      <c r="AH307" s="9">
        <v>187.9</v>
      </c>
      <c r="AI307" s="9">
        <v>0.9</v>
      </c>
      <c r="AJ307" s="32">
        <v>1.01</v>
      </c>
      <c r="AK307" s="9">
        <v>18.5</v>
      </c>
      <c r="AL307" s="32">
        <v>0.97199999999999998</v>
      </c>
      <c r="AM307" s="9">
        <v>1.2</v>
      </c>
      <c r="AN307" s="32">
        <v>1</v>
      </c>
      <c r="AO307" s="9">
        <v>4</v>
      </c>
      <c r="AP307" s="9">
        <v>0.54</v>
      </c>
      <c r="AQ307" s="32">
        <v>0.82</v>
      </c>
      <c r="AR307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432.29058480000003</v>
      </c>
      <c r="AS307" s="9">
        <f t="shared" si="406"/>
        <v>8.2362418215798847</v>
      </c>
      <c r="AT307" s="9">
        <f>IF(RIGHT(TIM[[#This Row],[Device type]],7)="Winding","-",TIM[[#This Row],[Cont Winter MVA]])</f>
        <v>10.231224120309358</v>
      </c>
      <c r="AU307" s="9">
        <f>IF(RIGHT(TIM[[#This Row],[Device type]],7)="Winding","-",TIM[[#This Row],[Cont Shoulder MVA]])</f>
        <v>10.231224120309358</v>
      </c>
      <c r="AV307" s="9">
        <f>IF(RIGHT(TIM[[#This Row],[Device type]],7)="Winding","-",TIM[[#This Row],[Cont Summer MVA]])</f>
        <v>10.231224120309358</v>
      </c>
      <c r="AW307" s="9" t="str">
        <f>TIM[[#This Row],[24 Hr Winter MVA]]</f>
        <v>-</v>
      </c>
      <c r="AX307" s="9" t="str">
        <f>TIM[[#This Row],[24 Hr Summer MVA]]</f>
        <v>-</v>
      </c>
      <c r="AY307" s="9" t="str">
        <f>TIM[[#This Row],[Forwards MVA]]</f>
        <v>-</v>
      </c>
      <c r="AZ307" s="9" t="str">
        <f>TIM[[#This Row],[Relay MVA]]</f>
        <v>-</v>
      </c>
      <c r="BA307" s="9" t="str">
        <f>TIM[[#This Row],[CT MVA]]</f>
        <v>-</v>
      </c>
      <c r="BB307" s="9">
        <f>TIM[[#This Row],[Derating MVA]]</f>
        <v>8.2362418215798847</v>
      </c>
      <c r="BC307" s="9" t="str">
        <f>TIM[[#This Row],[Station/Feeder]]&amp;TIM[[#This Row],[Lowest MVA]]</f>
        <v>CB17_Stafford St8.23624182157988</v>
      </c>
      <c r="BD307" s="9" t="str">
        <f>CONCATENATE(TIM[[#This Row],[Supply Level]],TIM[[#This Row],[Station/Feeder]],TIM[[#This Row],[Voltage]],TIM[[#This Row],[Lowest A-No PTX]])</f>
        <v>DistributionFeederCB17_Stafford St11432.2905848</v>
      </c>
      <c r="BE307" s="9" t="str">
        <f>CONCATENATE(TIM[[#This Row],[Supply Level]],TIM[[#This Row],[Station/Feeder]],TIM[[#This Row],[Voltage]],TIM[[#This Row],[Lowest A-PTX]])</f>
        <v>DistributionFeederCB17_Stafford St11432.2905848</v>
      </c>
      <c r="BF307" s="9">
        <f>IFERROR(IF(MIN(TIM[[#This Row],[Summ Cont Winter A]:[Cable Derating]])=0,"",MIN(TIM[[#This Row],[Summ Cont Winter A]:[Cable Derating]])),"")</f>
        <v>8.2362418215798847</v>
      </c>
      <c r="BG307" s="9">
        <f>IFERROR(TIM[[#This Row],[Lowest MVA]]*1000/(TIM[[#This Row],[Voltage]]*SQRT(3)),"")</f>
        <v>432.29058479999998</v>
      </c>
      <c r="BH307" s="9">
        <f t="shared" si="385"/>
        <v>432.29058480000003</v>
      </c>
      <c r="BI307" s="9" t="str">
        <f>TIM[[#This Row],[From]]</f>
        <v xml:space="preserve">NST17 </v>
      </c>
      <c r="BJ307" s="9" t="str">
        <f>TIM[[#This Row],[To]]</f>
        <v>Joint</v>
      </c>
      <c r="BK30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HPDE Screened</v>
      </c>
      <c r="BL307" s="9">
        <f>TIM[[#This Row],[Voltage]]</f>
        <v>11</v>
      </c>
    </row>
    <row r="308" spans="1:64" ht="15" customHeight="1" x14ac:dyDescent="0.25">
      <c r="A308" s="14" t="str">
        <f>CONCATENATE(TIM[[#This Row],[Supply Level]],TIM[[#This Row],[Station/Feeder]],TIM[[#This Row],[Voltage]])</f>
        <v>DistributionFeederCB17_Stafford St11</v>
      </c>
      <c r="B308" s="14" t="str">
        <f>CONCATENATE(TIM[[#This Row],[Supply Level]],TIM[[#This Row],[Station/Feeder]],TIM[[#This Row],[Equipment ID]],TIM[[#This Row],[Voltage]],TIM[[#This Row],[Device type]])</f>
        <v>DistributionFeederCB17_Stafford St3c 0.15in² Cu PILC SWA11-</v>
      </c>
      <c r="C308" s="14" t="s">
        <v>1276</v>
      </c>
      <c r="D308" s="11" t="s">
        <v>200</v>
      </c>
      <c r="E308" s="6" t="s">
        <v>750</v>
      </c>
      <c r="F308" s="6" t="s">
        <v>750</v>
      </c>
      <c r="G308" s="27">
        <v>3</v>
      </c>
      <c r="H308" s="7" t="s">
        <v>985</v>
      </c>
      <c r="I308" s="7" t="s">
        <v>1021</v>
      </c>
      <c r="J308" s="7" t="s">
        <v>250</v>
      </c>
      <c r="K308" s="49" t="s">
        <v>0</v>
      </c>
      <c r="L308" s="49" t="s">
        <v>0</v>
      </c>
      <c r="M308" s="8">
        <v>11</v>
      </c>
      <c r="N308" s="9">
        <v>221</v>
      </c>
      <c r="O308" s="9">
        <f t="shared" si="397"/>
        <v>4.2106155131999401</v>
      </c>
      <c r="P308" s="9">
        <v>221</v>
      </c>
      <c r="Q308" s="9">
        <f t="shared" si="398"/>
        <v>4.2106155131999401</v>
      </c>
      <c r="R308" s="9">
        <v>221</v>
      </c>
      <c r="S308" s="9">
        <f t="shared" si="399"/>
        <v>4.2106155131999401</v>
      </c>
      <c r="T308" s="9" t="s">
        <v>0</v>
      </c>
      <c r="U308" s="9" t="str">
        <f t="shared" si="400"/>
        <v>-</v>
      </c>
      <c r="V308" s="9" t="s">
        <v>0</v>
      </c>
      <c r="W308" s="9" t="str">
        <f t="shared" si="401"/>
        <v>-</v>
      </c>
      <c r="X308" s="9" t="s">
        <v>0</v>
      </c>
      <c r="Y308" s="9" t="str">
        <f t="shared" si="402"/>
        <v>-</v>
      </c>
      <c r="Z308" s="9" t="s">
        <v>0</v>
      </c>
      <c r="AA308" s="9" t="str">
        <f t="shared" si="403"/>
        <v>-</v>
      </c>
      <c r="AB308" s="9" t="s">
        <v>0</v>
      </c>
      <c r="AC308" s="9" t="str">
        <f t="shared" si="404"/>
        <v>-</v>
      </c>
      <c r="AD308" s="9" t="s">
        <v>0</v>
      </c>
      <c r="AE308" s="12" t="str">
        <f t="shared" si="405"/>
        <v>-</v>
      </c>
      <c r="AF308" s="160" t="s">
        <v>716</v>
      </c>
      <c r="AG308" s="9" t="s">
        <v>0</v>
      </c>
      <c r="AH308" s="9">
        <v>239.7</v>
      </c>
      <c r="AI308" s="9">
        <v>1</v>
      </c>
      <c r="AJ308" s="32">
        <v>1</v>
      </c>
      <c r="AK308" s="9">
        <v>18.5</v>
      </c>
      <c r="AL308" s="32">
        <v>0.95199999999999996</v>
      </c>
      <c r="AM308" s="9">
        <v>1.2</v>
      </c>
      <c r="AN308" s="32">
        <v>1</v>
      </c>
      <c r="AO308" s="9">
        <v>4</v>
      </c>
      <c r="AP308" s="9">
        <v>0.54</v>
      </c>
      <c r="AQ308" s="32">
        <v>0.82</v>
      </c>
      <c r="AR308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172.52143999999998</v>
      </c>
      <c r="AS308" s="9">
        <f t="shared" si="406"/>
        <v>3.2869748942244015</v>
      </c>
      <c r="AT308" s="9">
        <f>IF(RIGHT(TIM[[#This Row],[Device type]],7)="Winding","-",TIM[[#This Row],[Cont Winter MVA]])</f>
        <v>4.2106155131999401</v>
      </c>
      <c r="AU308" s="9">
        <f>IF(RIGHT(TIM[[#This Row],[Device type]],7)="Winding","-",TIM[[#This Row],[Cont Shoulder MVA]])</f>
        <v>4.2106155131999401</v>
      </c>
      <c r="AV308" s="9">
        <f>IF(RIGHT(TIM[[#This Row],[Device type]],7)="Winding","-",TIM[[#This Row],[Cont Summer MVA]])</f>
        <v>4.2106155131999401</v>
      </c>
      <c r="AW308" s="9" t="str">
        <f>TIM[[#This Row],[24 Hr Winter MVA]]</f>
        <v>-</v>
      </c>
      <c r="AX308" s="9" t="str">
        <f>TIM[[#This Row],[24 Hr Summer MVA]]</f>
        <v>-</v>
      </c>
      <c r="AY308" s="9" t="str">
        <f>TIM[[#This Row],[Forwards MVA]]</f>
        <v>-</v>
      </c>
      <c r="AZ308" s="9" t="str">
        <f>TIM[[#This Row],[Relay MVA]]</f>
        <v>-</v>
      </c>
      <c r="BA308" s="9" t="str">
        <f>TIM[[#This Row],[CT MVA]]</f>
        <v>-</v>
      </c>
      <c r="BB308" s="9">
        <f>TIM[[#This Row],[Derating MVA]]</f>
        <v>3.2869748942244015</v>
      </c>
      <c r="BC308" s="9" t="str">
        <f>TIM[[#This Row],[Station/Feeder]]&amp;TIM[[#This Row],[Lowest MVA]]</f>
        <v>CB17_Stafford St3.2869748942244</v>
      </c>
      <c r="BD308" s="9" t="str">
        <f>CONCATENATE(TIM[[#This Row],[Supply Level]],TIM[[#This Row],[Station/Feeder]],TIM[[#This Row],[Voltage]],TIM[[#This Row],[Lowest A-No PTX]])</f>
        <v>DistributionFeederCB17_Stafford St11172.52144</v>
      </c>
      <c r="BE308" s="9" t="str">
        <f>CONCATENATE(TIM[[#This Row],[Supply Level]],TIM[[#This Row],[Station/Feeder]],TIM[[#This Row],[Voltage]],TIM[[#This Row],[Lowest A-PTX]])</f>
        <v>DistributionFeederCB17_Stafford St11172.52144</v>
      </c>
      <c r="BF308" s="9">
        <f>IFERROR(IF(MIN(TIM[[#This Row],[Summ Cont Winter A]:[Cable Derating]])=0,"",MIN(TIM[[#This Row],[Summ Cont Winter A]:[Cable Derating]])),"")</f>
        <v>3.2869748942244015</v>
      </c>
      <c r="BG308" s="9">
        <f>IFERROR(TIM[[#This Row],[Lowest MVA]]*1000/(TIM[[#This Row],[Voltage]]*SQRT(3)),"")</f>
        <v>172.52143999999998</v>
      </c>
      <c r="BH308" s="9">
        <f t="shared" si="385"/>
        <v>172.52143999999998</v>
      </c>
      <c r="BI308" s="9" t="str">
        <f>TIM[[#This Row],[From]]</f>
        <v>Joint</v>
      </c>
      <c r="BJ308" s="9" t="str">
        <f>TIM[[#This Row],[To]]</f>
        <v>Joint</v>
      </c>
      <c r="BK30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0.15in² Cu PILC SWA</v>
      </c>
      <c r="BL308" s="9">
        <f>TIM[[#This Row],[Voltage]]</f>
        <v>11</v>
      </c>
    </row>
    <row r="309" spans="1:64" ht="15" customHeight="1" x14ac:dyDescent="0.25">
      <c r="A309" s="14" t="str">
        <f>CONCATENATE(TIM[[#This Row],[Supply Level]],TIM[[#This Row],[Station/Feeder]],TIM[[#This Row],[Voltage]])</f>
        <v>DistributionFeederCB17_Stafford St11</v>
      </c>
      <c r="B309" s="14" t="str">
        <f>CONCATENATE(TIM[[#This Row],[Supply Level]],TIM[[#This Row],[Station/Feeder]],TIM[[#This Row],[Equipment ID]],TIM[[#This Row],[Voltage]],TIM[[#This Row],[Device type]])</f>
        <v>DistributionFeederCB17_Stafford St3c 0.25in² Al PILC DSTAS11-</v>
      </c>
      <c r="C309" s="14" t="s">
        <v>1276</v>
      </c>
      <c r="D309" s="11" t="s">
        <v>200</v>
      </c>
      <c r="E309" s="6" t="s">
        <v>750</v>
      </c>
      <c r="F309" s="6" t="s">
        <v>750</v>
      </c>
      <c r="G309" s="27">
        <v>4</v>
      </c>
      <c r="H309" s="7" t="s">
        <v>985</v>
      </c>
      <c r="I309" s="7" t="s">
        <v>1022</v>
      </c>
      <c r="J309" s="7" t="s">
        <v>250</v>
      </c>
      <c r="K309" s="49" t="s">
        <v>0</v>
      </c>
      <c r="L309" s="49" t="s">
        <v>0</v>
      </c>
      <c r="M309" s="8">
        <v>11</v>
      </c>
      <c r="N309" s="9">
        <v>280</v>
      </c>
      <c r="O309" s="9">
        <f t="shared" si="397"/>
        <v>5.334716487312142</v>
      </c>
      <c r="P309" s="9">
        <v>280</v>
      </c>
      <c r="Q309" s="9">
        <f t="shared" si="398"/>
        <v>5.334716487312142</v>
      </c>
      <c r="R309" s="9">
        <v>280</v>
      </c>
      <c r="S309" s="9">
        <f t="shared" si="399"/>
        <v>5.334716487312142</v>
      </c>
      <c r="T309" s="9" t="s">
        <v>0</v>
      </c>
      <c r="U309" s="9" t="str">
        <f t="shared" si="400"/>
        <v>-</v>
      </c>
      <c r="V309" s="9" t="s">
        <v>0</v>
      </c>
      <c r="W309" s="9" t="str">
        <f t="shared" si="401"/>
        <v>-</v>
      </c>
      <c r="X309" s="9" t="s">
        <v>0</v>
      </c>
      <c r="Y309" s="9" t="str">
        <f t="shared" si="402"/>
        <v>-</v>
      </c>
      <c r="Z309" s="9" t="s">
        <v>0</v>
      </c>
      <c r="AA309" s="9" t="str">
        <f t="shared" si="403"/>
        <v>-</v>
      </c>
      <c r="AB309" s="9" t="s">
        <v>0</v>
      </c>
      <c r="AC309" s="9" t="str">
        <f t="shared" si="404"/>
        <v>-</v>
      </c>
      <c r="AD309" s="9" t="s">
        <v>0</v>
      </c>
      <c r="AE309" s="12" t="str">
        <f t="shared" si="405"/>
        <v>-</v>
      </c>
      <c r="AF309" s="159" t="s">
        <v>716</v>
      </c>
      <c r="AG309" s="9" t="s">
        <v>0</v>
      </c>
      <c r="AH309" s="9">
        <v>397.3</v>
      </c>
      <c r="AI309" s="9">
        <v>1</v>
      </c>
      <c r="AJ309" s="32">
        <v>1</v>
      </c>
      <c r="AK309" s="9">
        <v>18.5</v>
      </c>
      <c r="AL309" s="32">
        <v>0.95199999999999996</v>
      </c>
      <c r="AM309" s="9">
        <v>1.2</v>
      </c>
      <c r="AN309" s="32">
        <v>1</v>
      </c>
      <c r="AO309" s="9">
        <v>4</v>
      </c>
      <c r="AP309" s="9">
        <v>0.54</v>
      </c>
      <c r="AQ309" s="32">
        <v>0.82</v>
      </c>
      <c r="AR309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218.57919999999996</v>
      </c>
      <c r="AS309" s="9">
        <f t="shared" si="406"/>
        <v>4.1644930786553491</v>
      </c>
      <c r="AT309" s="9">
        <f>IF(RIGHT(TIM[[#This Row],[Device type]],7)="Winding","-",TIM[[#This Row],[Cont Winter MVA]])</f>
        <v>5.334716487312142</v>
      </c>
      <c r="AU309" s="9">
        <f>IF(RIGHT(TIM[[#This Row],[Device type]],7)="Winding","-",TIM[[#This Row],[Cont Shoulder MVA]])</f>
        <v>5.334716487312142</v>
      </c>
      <c r="AV309" s="9">
        <f>IF(RIGHT(TIM[[#This Row],[Device type]],7)="Winding","-",TIM[[#This Row],[Cont Summer MVA]])</f>
        <v>5.334716487312142</v>
      </c>
      <c r="AW309" s="9" t="str">
        <f>TIM[[#This Row],[24 Hr Winter MVA]]</f>
        <v>-</v>
      </c>
      <c r="AX309" s="9" t="str">
        <f>TIM[[#This Row],[24 Hr Summer MVA]]</f>
        <v>-</v>
      </c>
      <c r="AY309" s="9" t="str">
        <f>TIM[[#This Row],[Forwards MVA]]</f>
        <v>-</v>
      </c>
      <c r="AZ309" s="9" t="str">
        <f>TIM[[#This Row],[Relay MVA]]</f>
        <v>-</v>
      </c>
      <c r="BA309" s="9" t="str">
        <f>TIM[[#This Row],[CT MVA]]</f>
        <v>-</v>
      </c>
      <c r="BB309" s="9">
        <f>TIM[[#This Row],[Derating MVA]]</f>
        <v>4.1644930786553491</v>
      </c>
      <c r="BC309" s="9" t="str">
        <f>TIM[[#This Row],[Station/Feeder]]&amp;TIM[[#This Row],[Lowest MVA]]</f>
        <v>CB17_Stafford St4.16449307865535</v>
      </c>
      <c r="BD309" s="9" t="str">
        <f>CONCATENATE(TIM[[#This Row],[Supply Level]],TIM[[#This Row],[Station/Feeder]],TIM[[#This Row],[Voltage]],TIM[[#This Row],[Lowest A-No PTX]])</f>
        <v>DistributionFeederCB17_Stafford St11218.5792</v>
      </c>
      <c r="BE309" s="9" t="str">
        <f>CONCATENATE(TIM[[#This Row],[Supply Level]],TIM[[#This Row],[Station/Feeder]],TIM[[#This Row],[Voltage]],TIM[[#This Row],[Lowest A-PTX]])</f>
        <v>DistributionFeederCB17_Stafford St11218.5792</v>
      </c>
      <c r="BF309" s="9">
        <f>IFERROR(IF(MIN(TIM[[#This Row],[Summ Cont Winter A]:[Cable Derating]])=0,"",MIN(TIM[[#This Row],[Summ Cont Winter A]:[Cable Derating]])),"")</f>
        <v>4.1644930786553491</v>
      </c>
      <c r="BG309" s="9">
        <f>IFERROR(TIM[[#This Row],[Lowest MVA]]*1000/(TIM[[#This Row],[Voltage]]*SQRT(3)),"")</f>
        <v>218.57919999999996</v>
      </c>
      <c r="BH309" s="9">
        <f t="shared" si="385"/>
        <v>218.57919999999996</v>
      </c>
      <c r="BI309" s="9" t="str">
        <f>TIM[[#This Row],[From]]</f>
        <v>Joint</v>
      </c>
      <c r="BJ309" s="9" t="str">
        <f>TIM[[#This Row],[To]]</f>
        <v>Joint</v>
      </c>
      <c r="BK30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0.25in² Al PILC DSTAS</v>
      </c>
      <c r="BL309" s="9">
        <f>TIM[[#This Row],[Voltage]]</f>
        <v>11</v>
      </c>
    </row>
    <row r="310" spans="1:64" ht="15" customHeight="1" x14ac:dyDescent="0.25">
      <c r="A310" s="14" t="str">
        <f>CONCATENATE(TIM[[#This Row],[Supply Level]],TIM[[#This Row],[Station/Feeder]],TIM[[#This Row],[Voltage]])</f>
        <v>DistributionFeederCB17_Stafford St11</v>
      </c>
      <c r="B310" s="14" t="str">
        <f>CONCATENATE(TIM[[#This Row],[Supply Level]],TIM[[#This Row],[Station/Feeder]],TIM[[#This Row],[Equipment ID]],TIM[[#This Row],[Voltage]],TIM[[#This Row],[Device type]])</f>
        <v>DistributionFeederCB17_Stafford St3c 0.075in² Cu PILC STAS11-</v>
      </c>
      <c r="C310" s="14" t="s">
        <v>1276</v>
      </c>
      <c r="D310" s="11" t="s">
        <v>200</v>
      </c>
      <c r="E310" s="6" t="s">
        <v>750</v>
      </c>
      <c r="F310" s="6" t="s">
        <v>750</v>
      </c>
      <c r="G310" s="27">
        <v>5</v>
      </c>
      <c r="H310" s="6" t="s">
        <v>985</v>
      </c>
      <c r="I310" s="7" t="s">
        <v>1023</v>
      </c>
      <c r="J310" s="7" t="s">
        <v>250</v>
      </c>
      <c r="K310" s="49" t="s">
        <v>0</v>
      </c>
      <c r="L310" s="49" t="s">
        <v>0</v>
      </c>
      <c r="M310" s="8">
        <v>11</v>
      </c>
      <c r="N310" s="9">
        <v>174</v>
      </c>
      <c r="O310" s="9">
        <f t="shared" si="397"/>
        <v>3.3151452456868311</v>
      </c>
      <c r="P310" s="9">
        <v>174</v>
      </c>
      <c r="Q310" s="9">
        <f t="shared" si="398"/>
        <v>3.3151452456868311</v>
      </c>
      <c r="R310" s="9">
        <v>174</v>
      </c>
      <c r="S310" s="9">
        <f t="shared" si="399"/>
        <v>3.3151452456868311</v>
      </c>
      <c r="T310" s="9" t="s">
        <v>0</v>
      </c>
      <c r="U310" s="9" t="str">
        <f t="shared" si="400"/>
        <v>-</v>
      </c>
      <c r="V310" s="9" t="s">
        <v>0</v>
      </c>
      <c r="W310" s="9" t="str">
        <f t="shared" si="401"/>
        <v>-</v>
      </c>
      <c r="X310" s="9" t="s">
        <v>0</v>
      </c>
      <c r="Y310" s="9" t="str">
        <f t="shared" si="402"/>
        <v>-</v>
      </c>
      <c r="Z310" s="9" t="s">
        <v>0</v>
      </c>
      <c r="AA310" s="9" t="str">
        <f t="shared" si="403"/>
        <v>-</v>
      </c>
      <c r="AB310" s="9" t="s">
        <v>0</v>
      </c>
      <c r="AC310" s="9" t="str">
        <f t="shared" si="404"/>
        <v>-</v>
      </c>
      <c r="AD310" s="9" t="s">
        <v>0</v>
      </c>
      <c r="AE310" s="12" t="str">
        <f t="shared" si="405"/>
        <v>-</v>
      </c>
      <c r="AF310" s="160" t="s">
        <v>716</v>
      </c>
      <c r="AG310" s="9" t="s">
        <v>0</v>
      </c>
      <c r="AH310" s="9">
        <v>118</v>
      </c>
      <c r="AI310" s="9">
        <v>1</v>
      </c>
      <c r="AJ310" s="32">
        <v>1</v>
      </c>
      <c r="AK310" s="9">
        <v>18.5</v>
      </c>
      <c r="AL310" s="32">
        <v>0.95199999999999996</v>
      </c>
      <c r="AM310" s="9">
        <v>1.2</v>
      </c>
      <c r="AN310" s="32">
        <v>1</v>
      </c>
      <c r="AO310" s="9">
        <v>4</v>
      </c>
      <c r="AP310" s="9">
        <v>0.54</v>
      </c>
      <c r="AQ310" s="32">
        <v>0.82</v>
      </c>
      <c r="AR310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135.83135999999999</v>
      </c>
      <c r="AS310" s="9">
        <f t="shared" si="406"/>
        <v>2.5879349845929673</v>
      </c>
      <c r="AT310" s="9">
        <f>IF(RIGHT(TIM[[#This Row],[Device type]],7)="Winding","-",TIM[[#This Row],[Cont Winter MVA]])</f>
        <v>3.3151452456868311</v>
      </c>
      <c r="AU310" s="9">
        <f>IF(RIGHT(TIM[[#This Row],[Device type]],7)="Winding","-",TIM[[#This Row],[Cont Shoulder MVA]])</f>
        <v>3.3151452456868311</v>
      </c>
      <c r="AV310" s="9">
        <f>IF(RIGHT(TIM[[#This Row],[Device type]],7)="Winding","-",TIM[[#This Row],[Cont Summer MVA]])</f>
        <v>3.3151452456868311</v>
      </c>
      <c r="AW310" s="9" t="str">
        <f>TIM[[#This Row],[24 Hr Winter MVA]]</f>
        <v>-</v>
      </c>
      <c r="AX310" s="9" t="str">
        <f>TIM[[#This Row],[24 Hr Summer MVA]]</f>
        <v>-</v>
      </c>
      <c r="AY310" s="9" t="str">
        <f>TIM[[#This Row],[Forwards MVA]]</f>
        <v>-</v>
      </c>
      <c r="AZ310" s="9" t="str">
        <f>TIM[[#This Row],[Relay MVA]]</f>
        <v>-</v>
      </c>
      <c r="BA310" s="9" t="str">
        <f>TIM[[#This Row],[CT MVA]]</f>
        <v>-</v>
      </c>
      <c r="BB310" s="9">
        <f>TIM[[#This Row],[Derating MVA]]</f>
        <v>2.5879349845929673</v>
      </c>
      <c r="BC310" s="9" t="str">
        <f>TIM[[#This Row],[Station/Feeder]]&amp;TIM[[#This Row],[Lowest MVA]]</f>
        <v>CB17_Stafford St2.58793498459297</v>
      </c>
      <c r="BD310" s="9" t="str">
        <f>CONCATENATE(TIM[[#This Row],[Supply Level]],TIM[[#This Row],[Station/Feeder]],TIM[[#This Row],[Voltage]],TIM[[#This Row],[Lowest A-No PTX]])</f>
        <v>DistributionFeederCB17_Stafford St11135.83136</v>
      </c>
      <c r="BE310" s="9" t="str">
        <f>CONCATENATE(TIM[[#This Row],[Supply Level]],TIM[[#This Row],[Station/Feeder]],TIM[[#This Row],[Voltage]],TIM[[#This Row],[Lowest A-PTX]])</f>
        <v>DistributionFeederCB17_Stafford St11135.83136</v>
      </c>
      <c r="BF310" s="9">
        <f>IFERROR(IF(MIN(TIM[[#This Row],[Summ Cont Winter A]:[Cable Derating]])=0,"",MIN(TIM[[#This Row],[Summ Cont Winter A]:[Cable Derating]])),"")</f>
        <v>2.5879349845929673</v>
      </c>
      <c r="BG310" s="9">
        <f>IFERROR(TIM[[#This Row],[Lowest MVA]]*1000/(TIM[[#This Row],[Voltage]]*SQRT(3)),"")</f>
        <v>135.83135999999999</v>
      </c>
      <c r="BH310" s="9">
        <f t="shared" si="385"/>
        <v>135.83135999999999</v>
      </c>
      <c r="BI310" s="9" t="str">
        <f>TIM[[#This Row],[From]]</f>
        <v>Joint</v>
      </c>
      <c r="BJ310" s="9" t="str">
        <f>TIM[[#This Row],[To]]</f>
        <v>Joint</v>
      </c>
      <c r="BK31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0.075in² Cu PILC STAS</v>
      </c>
      <c r="BL310" s="9">
        <f>TIM[[#This Row],[Voltage]]</f>
        <v>11</v>
      </c>
    </row>
    <row r="311" spans="1:64" ht="15" customHeight="1" x14ac:dyDescent="0.25">
      <c r="A311" s="14" t="str">
        <f>CONCATENATE(TIM[[#This Row],[Supply Level]],TIM[[#This Row],[Station/Feeder]],TIM[[#This Row],[Voltage]])</f>
        <v>DistributionFeederCB17_Stafford St11</v>
      </c>
      <c r="B311" s="14" t="str">
        <f>CONCATENATE(TIM[[#This Row],[Supply Level]],TIM[[#This Row],[Station/Feeder]],TIM[[#This Row],[Equipment ID]],TIM[[#This Row],[Voltage]],TIM[[#This Row],[Device type]])</f>
        <v>DistributionFeederCB17_Stafford St3c 0.25in² Cu PILC STAS11-</v>
      </c>
      <c r="C311" s="14" t="s">
        <v>1276</v>
      </c>
      <c r="D311" s="11" t="s">
        <v>200</v>
      </c>
      <c r="E311" s="6" t="s">
        <v>750</v>
      </c>
      <c r="F311" s="6" t="s">
        <v>1024</v>
      </c>
      <c r="G311" s="27">
        <v>6</v>
      </c>
      <c r="H311" s="6" t="s">
        <v>985</v>
      </c>
      <c r="I311" s="7" t="s">
        <v>1025</v>
      </c>
      <c r="J311" s="7" t="s">
        <v>250</v>
      </c>
      <c r="K311" s="49" t="s">
        <v>0</v>
      </c>
      <c r="L311" s="49" t="s">
        <v>0</v>
      </c>
      <c r="M311" s="8">
        <v>11</v>
      </c>
      <c r="N311" s="9">
        <v>340</v>
      </c>
      <c r="O311" s="9">
        <f t="shared" si="397"/>
        <v>6.4778700203076003</v>
      </c>
      <c r="P311" s="9">
        <v>340</v>
      </c>
      <c r="Q311" s="9">
        <f t="shared" si="398"/>
        <v>6.4778700203076003</v>
      </c>
      <c r="R311" s="9">
        <v>340</v>
      </c>
      <c r="S311" s="9">
        <f t="shared" si="399"/>
        <v>6.4778700203076003</v>
      </c>
      <c r="T311" s="9" t="s">
        <v>0</v>
      </c>
      <c r="U311" s="9" t="str">
        <f t="shared" si="400"/>
        <v>-</v>
      </c>
      <c r="V311" s="9" t="s">
        <v>0</v>
      </c>
      <c r="W311" s="9" t="str">
        <f t="shared" si="401"/>
        <v>-</v>
      </c>
      <c r="X311" s="9" t="s">
        <v>0</v>
      </c>
      <c r="Y311" s="9" t="str">
        <f t="shared" si="402"/>
        <v>-</v>
      </c>
      <c r="Z311" s="9" t="s">
        <v>0</v>
      </c>
      <c r="AA311" s="9" t="str">
        <f t="shared" si="403"/>
        <v>-</v>
      </c>
      <c r="AB311" s="9" t="s">
        <v>0</v>
      </c>
      <c r="AC311" s="9" t="str">
        <f t="shared" si="404"/>
        <v>-</v>
      </c>
      <c r="AD311" s="9" t="s">
        <v>0</v>
      </c>
      <c r="AE311" s="12" t="str">
        <f t="shared" si="405"/>
        <v>-</v>
      </c>
      <c r="AF311" s="159" t="s">
        <v>716</v>
      </c>
      <c r="AG311" s="9" t="s">
        <v>0</v>
      </c>
      <c r="AH311" s="9">
        <v>30.799999999999997</v>
      </c>
      <c r="AI311" s="9">
        <v>1</v>
      </c>
      <c r="AJ311" s="32">
        <v>1</v>
      </c>
      <c r="AK311" s="9">
        <v>18.5</v>
      </c>
      <c r="AL311" s="32">
        <v>0.95199999999999996</v>
      </c>
      <c r="AM311" s="9">
        <v>1.2</v>
      </c>
      <c r="AN311" s="32">
        <v>1</v>
      </c>
      <c r="AO311" s="9">
        <v>4</v>
      </c>
      <c r="AP311" s="9">
        <v>0.54</v>
      </c>
      <c r="AQ311" s="32">
        <v>0.82</v>
      </c>
      <c r="AR311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265.41759999999994</v>
      </c>
      <c r="AS311" s="9">
        <f t="shared" si="406"/>
        <v>5.0568844526529242</v>
      </c>
      <c r="AT311" s="9">
        <f>IF(RIGHT(TIM[[#This Row],[Device type]],7)="Winding","-",TIM[[#This Row],[Cont Winter MVA]])</f>
        <v>6.4778700203076003</v>
      </c>
      <c r="AU311" s="9">
        <f>IF(RIGHT(TIM[[#This Row],[Device type]],7)="Winding","-",TIM[[#This Row],[Cont Shoulder MVA]])</f>
        <v>6.4778700203076003</v>
      </c>
      <c r="AV311" s="9">
        <f>IF(RIGHT(TIM[[#This Row],[Device type]],7)="Winding","-",TIM[[#This Row],[Cont Summer MVA]])</f>
        <v>6.4778700203076003</v>
      </c>
      <c r="AW311" s="9" t="str">
        <f>TIM[[#This Row],[24 Hr Winter MVA]]</f>
        <v>-</v>
      </c>
      <c r="AX311" s="9" t="str">
        <f>TIM[[#This Row],[24 Hr Summer MVA]]</f>
        <v>-</v>
      </c>
      <c r="AY311" s="9" t="str">
        <f>TIM[[#This Row],[Forwards MVA]]</f>
        <v>-</v>
      </c>
      <c r="AZ311" s="9" t="str">
        <f>TIM[[#This Row],[Relay MVA]]</f>
        <v>-</v>
      </c>
      <c r="BA311" s="9" t="str">
        <f>TIM[[#This Row],[CT MVA]]</f>
        <v>-</v>
      </c>
      <c r="BB311" s="9">
        <f>TIM[[#This Row],[Derating MVA]]</f>
        <v>5.0568844526529242</v>
      </c>
      <c r="BC311" s="9" t="str">
        <f>TIM[[#This Row],[Station/Feeder]]&amp;TIM[[#This Row],[Lowest MVA]]</f>
        <v>CB17_Stafford St5.05688445265292</v>
      </c>
      <c r="BD311" s="9" t="str">
        <f>CONCATENATE(TIM[[#This Row],[Supply Level]],TIM[[#This Row],[Station/Feeder]],TIM[[#This Row],[Voltage]],TIM[[#This Row],[Lowest A-No PTX]])</f>
        <v>DistributionFeederCB17_Stafford St11265.4176</v>
      </c>
      <c r="BE311" s="9" t="str">
        <f>CONCATENATE(TIM[[#This Row],[Supply Level]],TIM[[#This Row],[Station/Feeder]],TIM[[#This Row],[Voltage]],TIM[[#This Row],[Lowest A-PTX]])</f>
        <v>DistributionFeederCB17_Stafford St11265.4176</v>
      </c>
      <c r="BF311" s="9">
        <f>IFERROR(IF(MIN(TIM[[#This Row],[Summ Cont Winter A]:[Cable Derating]])=0,"",MIN(TIM[[#This Row],[Summ Cont Winter A]:[Cable Derating]])),"")</f>
        <v>5.0568844526529242</v>
      </c>
      <c r="BG311" s="9">
        <f>IFERROR(TIM[[#This Row],[Lowest MVA]]*1000/(TIM[[#This Row],[Voltage]]*SQRT(3)),"")</f>
        <v>265.41759999999988</v>
      </c>
      <c r="BH311" s="9">
        <f t="shared" si="385"/>
        <v>265.41759999999994</v>
      </c>
      <c r="BI311" s="9" t="str">
        <f>TIM[[#This Row],[From]]</f>
        <v>Joint</v>
      </c>
      <c r="BJ311" s="9" t="str">
        <f>TIM[[#This Row],[To]]</f>
        <v xml:space="preserve">TEW13 RMU </v>
      </c>
      <c r="BK31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0.25in² Cu PILC STAS</v>
      </c>
      <c r="BL311" s="9">
        <f>TIM[[#This Row],[Voltage]]</f>
        <v>11</v>
      </c>
    </row>
    <row r="312" spans="1:64" ht="15" customHeight="1" x14ac:dyDescent="0.25">
      <c r="A312" s="14" t="str">
        <f>CONCATENATE(TIM[[#This Row],[Supply Level]],TIM[[#This Row],[Station/Feeder]],TIM[[#This Row],[Voltage]])</f>
        <v>DistributionFeederCB18_Redruth 211</v>
      </c>
      <c r="B312" s="14" t="str">
        <f>CONCATENATE(TIM[[#This Row],[Supply Level]],TIM[[#This Row],[Station/Feeder]],TIM[[#This Row],[Equipment ID]],TIM[[#This Row],[Voltage]],TIM[[#This Row],[Device type]])</f>
        <v>DistributionFeederCB18_Redruth 2NST-CB1811Protection</v>
      </c>
      <c r="C312" s="14" t="s">
        <v>1276</v>
      </c>
      <c r="D312" s="11" t="s">
        <v>201</v>
      </c>
      <c r="E312" s="6" t="s">
        <v>243</v>
      </c>
      <c r="F312" s="6" t="s">
        <v>1026</v>
      </c>
      <c r="G312" s="27">
        <v>1</v>
      </c>
      <c r="H312" s="6" t="s">
        <v>2376</v>
      </c>
      <c r="I312" s="7" t="s">
        <v>2338</v>
      </c>
      <c r="J312" s="7" t="s">
        <v>15</v>
      </c>
      <c r="K312" s="49" t="s">
        <v>791</v>
      </c>
      <c r="L312" s="49" t="s">
        <v>1423</v>
      </c>
      <c r="M312" s="8">
        <v>11</v>
      </c>
      <c r="N312" s="9">
        <v>1250</v>
      </c>
      <c r="O312" s="9">
        <f t="shared" si="397"/>
        <v>23.815698604072061</v>
      </c>
      <c r="P312" s="9">
        <v>1250</v>
      </c>
      <c r="Q312" s="9">
        <f t="shared" si="398"/>
        <v>23.815698604072061</v>
      </c>
      <c r="R312" s="9">
        <v>1250</v>
      </c>
      <c r="S312" s="9">
        <f t="shared" si="399"/>
        <v>23.815698604072061</v>
      </c>
      <c r="T312" s="9" t="s">
        <v>0</v>
      </c>
      <c r="U312" s="9" t="str">
        <f t="shared" si="400"/>
        <v>-</v>
      </c>
      <c r="V312" s="9" t="s">
        <v>0</v>
      </c>
      <c r="W312" s="9" t="str">
        <f t="shared" si="401"/>
        <v>-</v>
      </c>
      <c r="X312" s="9">
        <f>VLOOKUP(TIM[[#This Row],[Equipment ID]],AEL_Protection_Data[#All],12,0)</f>
        <v>304</v>
      </c>
      <c r="Y312" s="9">
        <f t="shared" si="402"/>
        <v>5.7919779005103251</v>
      </c>
      <c r="Z312" s="9" t="s">
        <v>0</v>
      </c>
      <c r="AA312" s="9" t="str">
        <f t="shared" si="403"/>
        <v>-</v>
      </c>
      <c r="AB312" s="9">
        <v>800</v>
      </c>
      <c r="AC312" s="9">
        <f t="shared" si="404"/>
        <v>15.242047106606121</v>
      </c>
      <c r="AD312" s="9">
        <v>800</v>
      </c>
      <c r="AE312" s="12">
        <f t="shared" si="405"/>
        <v>15.242047106606121</v>
      </c>
      <c r="AF312" s="9" t="s">
        <v>0</v>
      </c>
      <c r="AG312" s="9" t="s">
        <v>0</v>
      </c>
      <c r="AH312" s="9" t="s">
        <v>0</v>
      </c>
      <c r="AI312" s="9" t="s">
        <v>0</v>
      </c>
      <c r="AJ312" s="32" t="s">
        <v>0</v>
      </c>
      <c r="AK312" s="9" t="s">
        <v>0</v>
      </c>
      <c r="AL312" s="32" t="s">
        <v>0</v>
      </c>
      <c r="AM312" s="9" t="s">
        <v>0</v>
      </c>
      <c r="AN312" s="32" t="s">
        <v>0</v>
      </c>
      <c r="AO312" s="9" t="s">
        <v>0</v>
      </c>
      <c r="AP312" s="9" t="s">
        <v>0</v>
      </c>
      <c r="AQ312" s="32" t="s">
        <v>0</v>
      </c>
      <c r="AR312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12" s="9" t="str">
        <f t="shared" si="406"/>
        <v>-</v>
      </c>
      <c r="AT312" s="9">
        <f>IF(RIGHT(TIM[[#This Row],[Device type]],7)="Winding","-",TIM[[#This Row],[Cont Winter MVA]])</f>
        <v>23.815698604072061</v>
      </c>
      <c r="AU312" s="9">
        <f>IF(RIGHT(TIM[[#This Row],[Device type]],7)="Winding","-",TIM[[#This Row],[Cont Shoulder MVA]])</f>
        <v>23.815698604072061</v>
      </c>
      <c r="AV312" s="9">
        <f>IF(RIGHT(TIM[[#This Row],[Device type]],7)="Winding","-",TIM[[#This Row],[Cont Summer MVA]])</f>
        <v>23.815698604072061</v>
      </c>
      <c r="AW312" s="9" t="str">
        <f>TIM[[#This Row],[24 Hr Winter MVA]]</f>
        <v>-</v>
      </c>
      <c r="AX312" s="9" t="str">
        <f>TIM[[#This Row],[24 Hr Summer MVA]]</f>
        <v>-</v>
      </c>
      <c r="AY312" s="9">
        <f>TIM[[#This Row],[Forwards MVA]]</f>
        <v>5.7919779005103251</v>
      </c>
      <c r="AZ312" s="9">
        <f>TIM[[#This Row],[Relay MVA]]</f>
        <v>15.242047106606121</v>
      </c>
      <c r="BA312" s="9">
        <f>TIM[[#This Row],[CT MVA]]</f>
        <v>15.242047106606121</v>
      </c>
      <c r="BB312" s="9" t="str">
        <f>TIM[[#This Row],[Derating MVA]]</f>
        <v>-</v>
      </c>
      <c r="BC312" s="9" t="str">
        <f>TIM[[#This Row],[Station/Feeder]]&amp;TIM[[#This Row],[Lowest MVA]]</f>
        <v>CB18_Redruth 25.79197790051033</v>
      </c>
      <c r="BD312" s="9" t="str">
        <f>CONCATENATE(TIM[[#This Row],[Supply Level]],TIM[[#This Row],[Station/Feeder]],TIM[[#This Row],[Voltage]],TIM[[#This Row],[Lowest A-No PTX]])</f>
        <v>DistributionFeederCB18_Redruth 211304</v>
      </c>
      <c r="BE312" s="9" t="str">
        <f>CONCATENATE(TIM[[#This Row],[Supply Level]],TIM[[#This Row],[Station/Feeder]],TIM[[#This Row],[Voltage]],TIM[[#This Row],[Lowest A-PTX]])</f>
        <v>DistributionFeederCB18_Redruth 211304</v>
      </c>
      <c r="BF312" s="9">
        <f>IFERROR(IF(MIN(TIM[[#This Row],[Summ Cont Winter A]:[Cable Derating]])=0,"",MIN(TIM[[#This Row],[Summ Cont Winter A]:[Cable Derating]])),"")</f>
        <v>5.7919779005103251</v>
      </c>
      <c r="BG312" s="9">
        <f>IFERROR(TIM[[#This Row],[Lowest MVA]]*1000/(TIM[[#This Row],[Voltage]]*SQRT(3)),"")</f>
        <v>304</v>
      </c>
      <c r="BH312" s="9">
        <f t="shared" si="385"/>
        <v>304</v>
      </c>
      <c r="BI312" s="9" t="str">
        <f>TIM[[#This Row],[From]]</f>
        <v>11 kV Bus</v>
      </c>
      <c r="BJ312" s="9" t="str">
        <f>TIM[[#This Row],[To]]</f>
        <v xml:space="preserve">NST18 </v>
      </c>
      <c r="BK31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Breaker-NST-CB18-Protection</v>
      </c>
      <c r="BL312" s="9">
        <f>TIM[[#This Row],[Voltage]]</f>
        <v>11</v>
      </c>
    </row>
    <row r="313" spans="1:64" ht="15" customHeight="1" x14ac:dyDescent="0.25">
      <c r="A313" s="14" t="str">
        <f>CONCATENATE(TIM[[#This Row],[Supply Level]],TIM[[#This Row],[Station/Feeder]],TIM[[#This Row],[Voltage]])</f>
        <v>DistributionFeederCB18_Redruth 211</v>
      </c>
      <c r="B313" s="14" t="str">
        <f>CONCATENATE(TIM[[#This Row],[Supply Level]],TIM[[#This Row],[Station/Feeder]],TIM[[#This Row],[Equipment ID]],TIM[[#This Row],[Voltage]],TIM[[#This Row],[Device type]])</f>
        <v>DistributionFeederCB18_Redruth 23/1c 400mm² Al XLPE HPDE Screened11-</v>
      </c>
      <c r="C313" s="14" t="s">
        <v>1276</v>
      </c>
      <c r="D313" s="11" t="s">
        <v>201</v>
      </c>
      <c r="E313" s="6" t="s">
        <v>1026</v>
      </c>
      <c r="F313" s="6" t="s">
        <v>750</v>
      </c>
      <c r="G313" s="27">
        <v>2</v>
      </c>
      <c r="H313" s="6" t="s">
        <v>985</v>
      </c>
      <c r="I313" s="7" t="s">
        <v>986</v>
      </c>
      <c r="J313" s="7" t="s">
        <v>250</v>
      </c>
      <c r="K313" s="49" t="s">
        <v>0</v>
      </c>
      <c r="L313" s="49" t="s">
        <v>0</v>
      </c>
      <c r="M313" s="8">
        <v>11</v>
      </c>
      <c r="N313" s="9">
        <v>537</v>
      </c>
      <c r="O313" s="9">
        <f t="shared" si="397"/>
        <v>10.231224120309358</v>
      </c>
      <c r="P313" s="9">
        <v>537</v>
      </c>
      <c r="Q313" s="9">
        <f t="shared" si="398"/>
        <v>10.231224120309358</v>
      </c>
      <c r="R313" s="9">
        <v>537</v>
      </c>
      <c r="S313" s="9">
        <f t="shared" si="399"/>
        <v>10.231224120309358</v>
      </c>
      <c r="T313" s="9" t="s">
        <v>0</v>
      </c>
      <c r="U313" s="9" t="str">
        <f t="shared" si="400"/>
        <v>-</v>
      </c>
      <c r="V313" s="9" t="s">
        <v>0</v>
      </c>
      <c r="W313" s="9" t="str">
        <f t="shared" si="401"/>
        <v>-</v>
      </c>
      <c r="X313" s="9" t="s">
        <v>0</v>
      </c>
      <c r="Y313" s="9" t="str">
        <f t="shared" si="402"/>
        <v>-</v>
      </c>
      <c r="Z313" s="9" t="s">
        <v>0</v>
      </c>
      <c r="AA313" s="9" t="str">
        <f t="shared" si="403"/>
        <v>-</v>
      </c>
      <c r="AB313" s="9" t="s">
        <v>0</v>
      </c>
      <c r="AC313" s="9" t="str">
        <f t="shared" si="404"/>
        <v>-</v>
      </c>
      <c r="AD313" s="9" t="s">
        <v>0</v>
      </c>
      <c r="AE313" s="12" t="str">
        <f t="shared" si="405"/>
        <v>-</v>
      </c>
      <c r="AF313" s="159" t="s">
        <v>713</v>
      </c>
      <c r="AG313" s="9" t="s">
        <v>0</v>
      </c>
      <c r="AH313" s="9">
        <v>217.5</v>
      </c>
      <c r="AI313" s="9">
        <v>0.8</v>
      </c>
      <c r="AJ313" s="32">
        <v>1</v>
      </c>
      <c r="AK313" s="9">
        <v>18.5</v>
      </c>
      <c r="AL313" s="32">
        <v>0.97199999999999998</v>
      </c>
      <c r="AM313" s="9">
        <v>1.2</v>
      </c>
      <c r="AN313" s="32">
        <v>1</v>
      </c>
      <c r="AO313" s="9">
        <v>5</v>
      </c>
      <c r="AP313" s="9">
        <v>0.6</v>
      </c>
      <c r="AQ313" s="32">
        <v>0.81</v>
      </c>
      <c r="AR313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422.79084</v>
      </c>
      <c r="AS313" s="9">
        <f t="shared" si="406"/>
        <v>8.0552473744019633</v>
      </c>
      <c r="AT313" s="9">
        <f>IF(RIGHT(TIM[[#This Row],[Device type]],7)="Winding","-",TIM[[#This Row],[Cont Winter MVA]])</f>
        <v>10.231224120309358</v>
      </c>
      <c r="AU313" s="9">
        <f>IF(RIGHT(TIM[[#This Row],[Device type]],7)="Winding","-",TIM[[#This Row],[Cont Shoulder MVA]])</f>
        <v>10.231224120309358</v>
      </c>
      <c r="AV313" s="9">
        <f>IF(RIGHT(TIM[[#This Row],[Device type]],7)="Winding","-",TIM[[#This Row],[Cont Summer MVA]])</f>
        <v>10.231224120309358</v>
      </c>
      <c r="AW313" s="9" t="str">
        <f>TIM[[#This Row],[24 Hr Winter MVA]]</f>
        <v>-</v>
      </c>
      <c r="AX313" s="9" t="str">
        <f>TIM[[#This Row],[24 Hr Summer MVA]]</f>
        <v>-</v>
      </c>
      <c r="AY313" s="9" t="str">
        <f>TIM[[#This Row],[Forwards MVA]]</f>
        <v>-</v>
      </c>
      <c r="AZ313" s="9" t="str">
        <f>TIM[[#This Row],[Relay MVA]]</f>
        <v>-</v>
      </c>
      <c r="BA313" s="9" t="str">
        <f>TIM[[#This Row],[CT MVA]]</f>
        <v>-</v>
      </c>
      <c r="BB313" s="9">
        <f>TIM[[#This Row],[Derating MVA]]</f>
        <v>8.0552473744019633</v>
      </c>
      <c r="BC313" s="9" t="str">
        <f>TIM[[#This Row],[Station/Feeder]]&amp;TIM[[#This Row],[Lowest MVA]]</f>
        <v>CB18_Redruth 28.05524737440196</v>
      </c>
      <c r="BD313" s="9" t="str">
        <f>CONCATENATE(TIM[[#This Row],[Supply Level]],TIM[[#This Row],[Station/Feeder]],TIM[[#This Row],[Voltage]],TIM[[#This Row],[Lowest A-No PTX]])</f>
        <v>DistributionFeederCB18_Redruth 211422.79084</v>
      </c>
      <c r="BE313" s="9" t="str">
        <f>CONCATENATE(TIM[[#This Row],[Supply Level]],TIM[[#This Row],[Station/Feeder]],TIM[[#This Row],[Voltage]],TIM[[#This Row],[Lowest A-PTX]])</f>
        <v>DistributionFeederCB18_Redruth 211422.79084</v>
      </c>
      <c r="BF313" s="9">
        <f>IFERROR(IF(MIN(TIM[[#This Row],[Summ Cont Winter A]:[Cable Derating]])=0,"",MIN(TIM[[#This Row],[Summ Cont Winter A]:[Cable Derating]])),"")</f>
        <v>8.0552473744019633</v>
      </c>
      <c r="BG313" s="9">
        <f>IFERROR(TIM[[#This Row],[Lowest MVA]]*1000/(TIM[[#This Row],[Voltage]]*SQRT(3)),"")</f>
        <v>422.79084</v>
      </c>
      <c r="BH313" s="9">
        <f t="shared" si="385"/>
        <v>422.79084</v>
      </c>
      <c r="BI313" s="9" t="str">
        <f>TIM[[#This Row],[From]]</f>
        <v xml:space="preserve">NST18 </v>
      </c>
      <c r="BJ313" s="9" t="str">
        <f>TIM[[#This Row],[To]]</f>
        <v>Joint</v>
      </c>
      <c r="BK31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HPDE Screened</v>
      </c>
      <c r="BL313" s="9">
        <f>TIM[[#This Row],[Voltage]]</f>
        <v>11</v>
      </c>
    </row>
    <row r="314" spans="1:64" ht="15" customHeight="1" x14ac:dyDescent="0.25">
      <c r="A314" s="6" t="str">
        <f>CONCATENATE(TIM[[#This Row],[Supply Level]],TIM[[#This Row],[Station/Feeder]],TIM[[#This Row],[Voltage]])</f>
        <v>DistributionFeederCB18_Redruth 211</v>
      </c>
      <c r="B314" s="6" t="str">
        <f>CONCATENATE(TIM[[#This Row],[Supply Level]],TIM[[#This Row],[Station/Feeder]],TIM[[#This Row],[Equipment ID]],TIM[[#This Row],[Voltage]],TIM[[#This Row],[Device type]])</f>
        <v>DistributionFeederCB18_Redruth 23c 300mm² Al XLPE CWS MDPE11-</v>
      </c>
      <c r="C314" s="6" t="s">
        <v>1276</v>
      </c>
      <c r="D314" s="6" t="s">
        <v>201</v>
      </c>
      <c r="E314" s="6" t="s">
        <v>750</v>
      </c>
      <c r="F314" s="6" t="s">
        <v>1027</v>
      </c>
      <c r="G314" s="8">
        <v>3</v>
      </c>
      <c r="H314" s="6" t="s">
        <v>985</v>
      </c>
      <c r="I314" s="6" t="s">
        <v>2982</v>
      </c>
      <c r="J314" s="6" t="s">
        <v>250</v>
      </c>
      <c r="K314" s="6" t="s">
        <v>0</v>
      </c>
      <c r="L314" s="6" t="s">
        <v>0</v>
      </c>
      <c r="M314" s="8">
        <v>11</v>
      </c>
      <c r="N314" s="9">
        <v>370</v>
      </c>
      <c r="O314" s="9">
        <f t="shared" ref="O314" si="407">IF(OR(N314="",N314="-"),"-",N314*$M314*SQRT(3)/1000)</f>
        <v>7.0494467868053299</v>
      </c>
      <c r="P314" s="9">
        <v>370</v>
      </c>
      <c r="Q314" s="9">
        <f t="shared" ref="Q314" si="408">IF(OR(P314="",P314="-"),"-",P314*$M314*SQRT(3)/1000)</f>
        <v>7.0494467868053299</v>
      </c>
      <c r="R314" s="9">
        <v>370</v>
      </c>
      <c r="S314" s="9">
        <f t="shared" ref="S314" si="409">IF(OR(R314="",R314="-"),"-",R314*$M314*SQRT(3)/1000)</f>
        <v>7.0494467868053299</v>
      </c>
      <c r="T314" s="9" t="s">
        <v>0</v>
      </c>
      <c r="U314" s="9" t="str">
        <f t="shared" ref="U314" si="410">IF(OR(T314="",T314="-"),"-",T314*$M314*SQRT(3)/1000)</f>
        <v>-</v>
      </c>
      <c r="V314" s="9" t="s">
        <v>0</v>
      </c>
      <c r="W314" s="9" t="str">
        <f t="shared" ref="W314" si="411">IF(OR(V314="",V314="-"),"-",V314*$M314*SQRT(3)/1000)</f>
        <v>-</v>
      </c>
      <c r="X314" s="9" t="s">
        <v>0</v>
      </c>
      <c r="Y314" s="9" t="str">
        <f t="shared" ref="Y314" si="412">IF(OR(X314="",X314="-"),"-",X314*$M314*SQRT(3)/1000)</f>
        <v>-</v>
      </c>
      <c r="Z314" s="9" t="s">
        <v>0</v>
      </c>
      <c r="AA314" s="9" t="str">
        <f t="shared" ref="AA314" si="413">IF(OR(Z314="",Z314="-"),"-",Z314*$M314*SQRT(3)/1000)</f>
        <v>-</v>
      </c>
      <c r="AB314" s="9" t="s">
        <v>0</v>
      </c>
      <c r="AC314" s="9" t="str">
        <f t="shared" ref="AC314" si="414">IF(OR(AB314="",AB314="-"),"-",AB314*$M314*SQRT(3)/1000)</f>
        <v>-</v>
      </c>
      <c r="AD314" s="9" t="s">
        <v>0</v>
      </c>
      <c r="AE314" s="9" t="str">
        <f t="shared" ref="AE314" si="415">IF(OR(AD314="",AD314="-"),"-",AD314*$M314*SQRT(3)/1000)</f>
        <v>-</v>
      </c>
      <c r="AF314" s="159" t="s">
        <v>716</v>
      </c>
      <c r="AG314" s="9" t="s">
        <v>344</v>
      </c>
      <c r="AH314" s="9">
        <v>2194.6</v>
      </c>
      <c r="AI314" s="9">
        <v>0.78</v>
      </c>
      <c r="AJ314" s="43">
        <v>1</v>
      </c>
      <c r="AK314" s="9">
        <v>18.5</v>
      </c>
      <c r="AL314" s="43">
        <v>0.97199999999999998</v>
      </c>
      <c r="AM314" s="9">
        <v>1.2</v>
      </c>
      <c r="AN314" s="43">
        <v>1</v>
      </c>
      <c r="AO314" s="9">
        <v>4</v>
      </c>
      <c r="AP314" s="9">
        <v>0.45</v>
      </c>
      <c r="AQ314" s="43">
        <v>0.76</v>
      </c>
      <c r="AR314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273.32640000000004</v>
      </c>
      <c r="AS314" s="9">
        <f t="shared" ref="AS314" si="416">IF(OR(AR314="",AR314="-"),"-",AR314*$M314*SQRT(3)/1000)</f>
        <v>5.2075673303488346</v>
      </c>
      <c r="AT314" s="9">
        <f>IF(RIGHT(TIM[[#This Row],[Device type]],7)="Winding","-",TIM[[#This Row],[Cont Winter MVA]])</f>
        <v>7.0494467868053299</v>
      </c>
      <c r="AU314" s="9">
        <f>IF(RIGHT(TIM[[#This Row],[Device type]],7)="Winding","-",TIM[[#This Row],[Cont Shoulder MVA]])</f>
        <v>7.0494467868053299</v>
      </c>
      <c r="AV314" s="9">
        <f>IF(RIGHT(TIM[[#This Row],[Device type]],7)="Winding","-",TIM[[#This Row],[Cont Summer MVA]])</f>
        <v>7.0494467868053299</v>
      </c>
      <c r="AW314" s="9" t="str">
        <f>TIM[[#This Row],[24 Hr Winter MVA]]</f>
        <v>-</v>
      </c>
      <c r="AX314" s="9" t="str">
        <f>TIM[[#This Row],[24 Hr Summer MVA]]</f>
        <v>-</v>
      </c>
      <c r="AY314" s="9" t="str">
        <f>TIM[[#This Row],[Forwards MVA]]</f>
        <v>-</v>
      </c>
      <c r="AZ314" s="9" t="str">
        <f>TIM[[#This Row],[Relay MVA]]</f>
        <v>-</v>
      </c>
      <c r="BA314" s="9" t="str">
        <f>TIM[[#This Row],[CT MVA]]</f>
        <v>-</v>
      </c>
      <c r="BB314" s="9">
        <f>TIM[[#This Row],[Derating MVA]]</f>
        <v>5.2075673303488346</v>
      </c>
      <c r="BC314" s="9" t="str">
        <f>TIM[[#This Row],[Station/Feeder]]&amp;TIM[[#This Row],[Lowest MVA]]</f>
        <v>CB18_Redruth 25.20756733034883</v>
      </c>
      <c r="BD314" s="9" t="str">
        <f>CONCATENATE(TIM[[#This Row],[Supply Level]],TIM[[#This Row],[Station/Feeder]],TIM[[#This Row],[Voltage]],TIM[[#This Row],[Lowest A-No PTX]])</f>
        <v>DistributionFeederCB18_Redruth 211273.3264</v>
      </c>
      <c r="BE314" s="9" t="str">
        <f>CONCATENATE(TIM[[#This Row],[Supply Level]],TIM[[#This Row],[Station/Feeder]],TIM[[#This Row],[Voltage]],TIM[[#This Row],[Lowest A-PTX]])</f>
        <v>DistributionFeederCB18_Redruth 211273.3264</v>
      </c>
      <c r="BF314" s="9">
        <f>IFERROR(IF(MIN(TIM[[#This Row],[Summ Cont Winter A]:[Cable Derating]])=0,"",MIN(TIM[[#This Row],[Summ Cont Winter A]:[Cable Derating]])),"")</f>
        <v>5.2075673303488346</v>
      </c>
      <c r="BG314" s="9">
        <f>IFERROR(TIM[[#This Row],[Lowest MVA]]*1000/(TIM[[#This Row],[Voltage]]*SQRT(3)),"")</f>
        <v>273.32640000000004</v>
      </c>
      <c r="BH314" s="9">
        <f t="shared" si="385"/>
        <v>273.32640000000004</v>
      </c>
      <c r="BI314" s="9" t="str">
        <f>TIM[[#This Row],[From]]</f>
        <v>Joint</v>
      </c>
      <c r="BJ314" s="9" t="str">
        <f>TIM[[#This Row],[To]]</f>
        <v>L783 RMU</v>
      </c>
      <c r="BK31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300mm² Al XLPE CWS MDPE</v>
      </c>
      <c r="BL314" s="9">
        <f>TIM[[#This Row],[Voltage]]</f>
        <v>11</v>
      </c>
    </row>
    <row r="315" spans="1:64" ht="15.75" customHeight="1" thickBot="1" x14ac:dyDescent="0.3">
      <c r="A315" s="14" t="str">
        <f>CONCATENATE(TIM[[#This Row],[Supply Level]],TIM[[#This Row],[Station/Feeder]],TIM[[#This Row],[Voltage]])</f>
        <v>DistributionFeederNST11</v>
      </c>
      <c r="B315" s="14" t="str">
        <f>CONCATENATE(TIM[[#This Row],[Supply Level]],TIM[[#This Row],[Station/Feeder]],TIM[[#This Row],[Equipment ID]],TIM[[#This Row],[Voltage]],TIM[[#This Row],[Device type]])</f>
        <v>DistributionFeederNST11-</v>
      </c>
      <c r="C315" s="14" t="s">
        <v>1276</v>
      </c>
      <c r="D315" s="11" t="s">
        <v>162</v>
      </c>
      <c r="E315" s="6" t="s">
        <v>243</v>
      </c>
      <c r="F315" s="6" t="s">
        <v>243</v>
      </c>
      <c r="G315" s="27">
        <v>0</v>
      </c>
      <c r="H315" s="6" t="s">
        <v>1359</v>
      </c>
      <c r="I315" s="7"/>
      <c r="J315" s="7" t="s">
        <v>1358</v>
      </c>
      <c r="K315" s="49" t="s">
        <v>0</v>
      </c>
      <c r="L315" s="49" t="s">
        <v>0</v>
      </c>
      <c r="M315" s="15">
        <v>11</v>
      </c>
      <c r="N315" s="9">
        <v>3000</v>
      </c>
      <c r="O315" s="9">
        <f t="shared" si="397"/>
        <v>57.157676649772945</v>
      </c>
      <c r="P315" s="9">
        <v>3000</v>
      </c>
      <c r="Q315" s="9">
        <f t="shared" si="398"/>
        <v>57.157676649772945</v>
      </c>
      <c r="R315" s="9">
        <v>3000</v>
      </c>
      <c r="S315" s="9">
        <f t="shared" si="399"/>
        <v>57.157676649772945</v>
      </c>
      <c r="T315" s="9" t="s">
        <v>0</v>
      </c>
      <c r="U315" s="9" t="str">
        <f t="shared" si="400"/>
        <v>-</v>
      </c>
      <c r="V315" s="9" t="s">
        <v>0</v>
      </c>
      <c r="W315" s="9" t="str">
        <f t="shared" si="401"/>
        <v>-</v>
      </c>
      <c r="X315" s="9" t="s">
        <v>0</v>
      </c>
      <c r="Y315" s="9" t="str">
        <f t="shared" si="402"/>
        <v>-</v>
      </c>
      <c r="Z315" s="9" t="s">
        <v>0</v>
      </c>
      <c r="AA315" s="9" t="str">
        <f t="shared" si="403"/>
        <v>-</v>
      </c>
      <c r="AB315" s="9" t="s">
        <v>0</v>
      </c>
      <c r="AC315" s="9" t="str">
        <f t="shared" si="404"/>
        <v>-</v>
      </c>
      <c r="AD315" s="9" t="s">
        <v>0</v>
      </c>
      <c r="AE315" s="12" t="str">
        <f t="shared" si="405"/>
        <v>-</v>
      </c>
      <c r="AF315" s="160" t="s">
        <v>0</v>
      </c>
      <c r="AG315" s="9" t="s">
        <v>0</v>
      </c>
      <c r="AH315" s="16" t="s">
        <v>0</v>
      </c>
      <c r="AI315" s="9" t="s">
        <v>0</v>
      </c>
      <c r="AJ315" s="32" t="s">
        <v>0</v>
      </c>
      <c r="AK315" s="9" t="s">
        <v>0</v>
      </c>
      <c r="AL315" s="32" t="s">
        <v>0</v>
      </c>
      <c r="AM315" s="9" t="s">
        <v>0</v>
      </c>
      <c r="AN315" s="32" t="s">
        <v>0</v>
      </c>
      <c r="AO315" s="9" t="s">
        <v>0</v>
      </c>
      <c r="AP315" s="9" t="s">
        <v>0</v>
      </c>
      <c r="AQ315" s="32" t="s">
        <v>0</v>
      </c>
      <c r="AR315" s="16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15" s="9" t="str">
        <f t="shared" si="406"/>
        <v>-</v>
      </c>
      <c r="AT315" s="155">
        <f>IF(RIGHT(TIM[[#This Row],[Device type]],7)="Winding","-",TIM[[#This Row],[Cont Winter MVA]])</f>
        <v>57.157676649772945</v>
      </c>
      <c r="AU315" s="155">
        <f>IF(RIGHT(TIM[[#This Row],[Device type]],7)="Winding","-",TIM[[#This Row],[Cont Shoulder MVA]])</f>
        <v>57.157676649772945</v>
      </c>
      <c r="AV315" s="155">
        <f>IF(RIGHT(TIM[[#This Row],[Device type]],7)="Winding","-",TIM[[#This Row],[Cont Summer MVA]])</f>
        <v>57.157676649772945</v>
      </c>
      <c r="AW315" s="155" t="str">
        <f>TIM[[#This Row],[24 Hr Winter MVA]]</f>
        <v>-</v>
      </c>
      <c r="AX315" s="155" t="str">
        <f>TIM[[#This Row],[24 Hr Summer MVA]]</f>
        <v>-</v>
      </c>
      <c r="AY315" s="155" t="str">
        <f>TIM[[#This Row],[Forwards MVA]]</f>
        <v>-</v>
      </c>
      <c r="AZ315" s="155" t="str">
        <f>TIM[[#This Row],[Relay MVA]]</f>
        <v>-</v>
      </c>
      <c r="BA315" s="155" t="str">
        <f>TIM[[#This Row],[CT MVA]]</f>
        <v>-</v>
      </c>
      <c r="BB315" s="155" t="str">
        <f>TIM[[#This Row],[Derating MVA]]</f>
        <v>-</v>
      </c>
      <c r="BC315" s="155" t="str">
        <f>TIM[[#This Row],[Station/Feeder]]&amp;TIM[[#This Row],[Lowest MVA]]</f>
        <v>NST57.1576766497729</v>
      </c>
      <c r="BD315" s="155" t="str">
        <f>CONCATENATE(TIM[[#This Row],[Supply Level]],TIM[[#This Row],[Station/Feeder]],TIM[[#This Row],[Voltage]],TIM[[#This Row],[Lowest A-No PTX]])</f>
        <v>DistributionFeederNST113000</v>
      </c>
      <c r="BE315" s="155" t="str">
        <f>CONCATENATE(TIM[[#This Row],[Supply Level]],TIM[[#This Row],[Station/Feeder]],TIM[[#This Row],[Voltage]],TIM[[#This Row],[Lowest A-PTX]])</f>
        <v>DistributionFeederNST113000</v>
      </c>
      <c r="BF315" s="155">
        <f>IFERROR(IF(MIN(TIM[[#This Row],[Summ Cont Winter A]:[Cable Derating]])=0,"",MIN(TIM[[#This Row],[Summ Cont Winter A]:[Cable Derating]])),"")</f>
        <v>57.157676649772945</v>
      </c>
      <c r="BG315" s="155">
        <f>IFERROR(TIM[[#This Row],[Lowest MVA]]*1000/(TIM[[#This Row],[Voltage]]*SQRT(3)),"")</f>
        <v>3000</v>
      </c>
      <c r="BH315" s="155">
        <f t="shared" si="385"/>
        <v>3000</v>
      </c>
      <c r="BI315" s="155" t="str">
        <f>TIM[[#This Row],[From]]</f>
        <v>11 kV Bus</v>
      </c>
      <c r="BJ315" s="155" t="str">
        <f>TIM[[#This Row],[To]]</f>
        <v>11 kV Bus</v>
      </c>
      <c r="BK315" s="155" t="str">
        <f>IF(TIM[[#This Row],[Device type]]="-",TIM[[#This Row],[Equipment Type]]&amp;"-"&amp;TIM[[#This Row],[Equipment ID]],TIM[[#This Row],[Equipment Type]]&amp;"-"&amp;TIM[[#This Row],[Equipment ID]]&amp;"-"&amp;TIM[[#This Row],[Device type]])</f>
        <v>Switchboard-</v>
      </c>
      <c r="BL315" s="155">
        <f>TIM[[#This Row],[Voltage]]</f>
        <v>11</v>
      </c>
    </row>
    <row r="316" spans="1:64" ht="15.75" hidden="1" customHeight="1" thickBot="1" x14ac:dyDescent="0.3">
      <c r="A316" s="202" t="str">
        <f>CONCATENATE(TIM[[#This Row],[Supply Level]],TIM[[#This Row],[Station/Feeder]],TIM[[#This Row],[Voltage]])</f>
        <v>---</v>
      </c>
      <c r="B316" s="202" t="str">
        <f>CONCATENATE(TIM[[#This Row],[Supply Level]],TIM[[#This Row],[Station/Feeder]],TIM[[#This Row],[Equipment ID]],TIM[[#This Row],[Voltage]],TIM[[#This Row],[Device type]])</f>
        <v>-----</v>
      </c>
      <c r="C316" s="202" t="s">
        <v>0</v>
      </c>
      <c r="D316" s="161" t="s">
        <v>0</v>
      </c>
      <c r="E316" s="162" t="s">
        <v>0</v>
      </c>
      <c r="F316" s="162" t="s">
        <v>0</v>
      </c>
      <c r="G316" s="163" t="s">
        <v>0</v>
      </c>
      <c r="H316" s="187" t="s">
        <v>0</v>
      </c>
      <c r="I316" s="187" t="s">
        <v>0</v>
      </c>
      <c r="J316" s="187" t="s">
        <v>0</v>
      </c>
      <c r="K316" s="187" t="s">
        <v>0</v>
      </c>
      <c r="L316" s="187" t="s">
        <v>0</v>
      </c>
      <c r="M316" s="165" t="s">
        <v>0</v>
      </c>
      <c r="N316" s="164" t="s">
        <v>0</v>
      </c>
      <c r="O316" s="164" t="str">
        <f>IF(OR(N316="",N316="-"),"-",N316*$M316*SQRT(3)/1000)</f>
        <v>-</v>
      </c>
      <c r="P316" s="164" t="s">
        <v>0</v>
      </c>
      <c r="Q316" s="164" t="str">
        <f>IF(OR(P316="",P316="-"),"-",P316*$M316*SQRT(3)/1000)</f>
        <v>-</v>
      </c>
      <c r="R316" s="164" t="s">
        <v>0</v>
      </c>
      <c r="S316" s="164" t="str">
        <f>IF(OR(R316="",R316="-"),"-",R316*$M316*SQRT(3)/1000)</f>
        <v>-</v>
      </c>
      <c r="T316" s="164" t="s">
        <v>0</v>
      </c>
      <c r="U316" s="164" t="str">
        <f>IF(OR(T316="",T316="-"),"-",T316*$M316*SQRT(3)/1000)</f>
        <v>-</v>
      </c>
      <c r="V316" s="164" t="s">
        <v>0</v>
      </c>
      <c r="W316" s="164" t="str">
        <f>IF(OR(V316="",V316="-"),"-",V316*$M316*SQRT(3)/1000)</f>
        <v>-</v>
      </c>
      <c r="X316" s="164" t="s">
        <v>0</v>
      </c>
      <c r="Y316" s="164" t="str">
        <f>IF(OR(X316="",X316="-"),"-",X316*$M316*SQRT(3)/1000)</f>
        <v>-</v>
      </c>
      <c r="Z316" s="164" t="s">
        <v>0</v>
      </c>
      <c r="AA316" s="164" t="str">
        <f>IF(OR(Z316="",Z316="-"),"-",Z316*$M316*SQRT(3)/1000)</f>
        <v>-</v>
      </c>
      <c r="AB316" s="164" t="s">
        <v>0</v>
      </c>
      <c r="AC316" s="164" t="str">
        <f>IF(OR(AB316="",AB316="-"),"-",AB316*$M316*SQRT(3)/1000)</f>
        <v>-</v>
      </c>
      <c r="AD316" s="164" t="s">
        <v>0</v>
      </c>
      <c r="AE316" s="166" t="str">
        <f>IF(OR(AD316="",AD316="-"),"-",AD316*$M316*SQRT(3)/1000)</f>
        <v>-</v>
      </c>
      <c r="AF316" s="164" t="s">
        <v>0</v>
      </c>
      <c r="AG316" s="164" t="s">
        <v>0</v>
      </c>
      <c r="AH316" s="164" t="s">
        <v>0</v>
      </c>
      <c r="AI316" s="164" t="s">
        <v>0</v>
      </c>
      <c r="AJ316" s="167" t="s">
        <v>0</v>
      </c>
      <c r="AK316" s="164" t="s">
        <v>0</v>
      </c>
      <c r="AL316" s="167" t="s">
        <v>0</v>
      </c>
      <c r="AM316" s="164" t="s">
        <v>0</v>
      </c>
      <c r="AN316" s="167" t="s">
        <v>0</v>
      </c>
      <c r="AO316" s="164" t="s">
        <v>0</v>
      </c>
      <c r="AP316" s="164" t="s">
        <v>0</v>
      </c>
      <c r="AQ316" s="167" t="s">
        <v>0</v>
      </c>
      <c r="AR316" s="164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16" s="164" t="str">
        <f>IF(OR(AR316="",AR316="-"),"-",AR316*$M316*SQRT(3)/1000)</f>
        <v>-</v>
      </c>
      <c r="AT316" s="185" t="str">
        <f>IF(RIGHT(TIM[[#This Row],[Device type]],7)="Winding","-",TIM[[#This Row],[Cont Winter MVA]])</f>
        <v>-</v>
      </c>
      <c r="AU316" s="185" t="str">
        <f>IF(RIGHT(TIM[[#This Row],[Device type]],7)="Winding","-",TIM[[#This Row],[Cont Shoulder MVA]])</f>
        <v>-</v>
      </c>
      <c r="AV316" s="185" t="str">
        <f>IF(RIGHT(TIM[[#This Row],[Device type]],7)="Winding","-",TIM[[#This Row],[Cont Summer MVA]])</f>
        <v>-</v>
      </c>
      <c r="AW316" s="185" t="str">
        <f>TIM[[#This Row],[24 Hr Winter MVA]]</f>
        <v>-</v>
      </c>
      <c r="AX316" s="185" t="str">
        <f>TIM[[#This Row],[24 Hr Summer MVA]]</f>
        <v>-</v>
      </c>
      <c r="AY316" s="185" t="str">
        <f>TIM[[#This Row],[Forwards MVA]]</f>
        <v>-</v>
      </c>
      <c r="AZ316" s="185" t="str">
        <f>TIM[[#This Row],[Relay MVA]]</f>
        <v>-</v>
      </c>
      <c r="BA316" s="185" t="str">
        <f>TIM[[#This Row],[CT MVA]]</f>
        <v>-</v>
      </c>
      <c r="BB316" s="185" t="str">
        <f>TIM[[#This Row],[Derating MVA]]</f>
        <v>-</v>
      </c>
      <c r="BC316" s="185" t="str">
        <f>TIM[[#This Row],[Station/Feeder]]&amp;TIM[[#This Row],[Lowest MVA]]</f>
        <v>-</v>
      </c>
      <c r="BD316" s="185" t="str">
        <f>CONCATENATE(TIM[[#This Row],[Supply Level]],TIM[[#This Row],[Station/Feeder]],TIM[[#This Row],[Voltage]],TIM[[#This Row],[Lowest A-No PTX]])</f>
        <v>---</v>
      </c>
      <c r="BE316" s="185" t="str">
        <f>CONCATENATE(TIM[[#This Row],[Supply Level]],TIM[[#This Row],[Station/Feeder]],TIM[[#This Row],[Voltage]],TIM[[#This Row],[Lowest A-PTX]])</f>
        <v>---</v>
      </c>
      <c r="BF316" s="185" t="str">
        <f>IFERROR(IF(MIN(TIM[[#This Row],[Summ Cont Winter A]:[Cable Derating]])=0,"",MIN(TIM[[#This Row],[Summ Cont Winter A]:[Cable Derating]])),"")</f>
        <v/>
      </c>
      <c r="BG316" s="185" t="str">
        <f>IFERROR(TIM[[#This Row],[Lowest MVA]]*1000/(TIM[[#This Row],[Voltage]]*SQRT(3)),"")</f>
        <v/>
      </c>
      <c r="BH316" s="185" t="str">
        <f t="shared" si="385"/>
        <v/>
      </c>
      <c r="BI316" s="185" t="str">
        <f>TIM[[#This Row],[From]]</f>
        <v>-</v>
      </c>
      <c r="BJ316" s="185" t="str">
        <f>TIM[[#This Row],[To]]</f>
        <v>-</v>
      </c>
      <c r="BK316" s="185" t="str">
        <f>IF(TIM[[#This Row],[Device type]]="-",TIM[[#This Row],[Equipment Type]]&amp;"-"&amp;TIM[[#This Row],[Equipment ID]],TIM[[#This Row],[Equipment Type]]&amp;"-"&amp;TIM[[#This Row],[Equipment ID]]&amp;"-"&amp;TIM[[#This Row],[Device type]])</f>
        <v>---</v>
      </c>
      <c r="BL316" s="185" t="str">
        <f>TIM[[#This Row],[Voltage]]</f>
        <v>-</v>
      </c>
    </row>
    <row r="317" spans="1:64" ht="15" hidden="1" customHeight="1" x14ac:dyDescent="0.3">
      <c r="A317" s="6" t="str">
        <f>CONCATENATE(TIM[[#This Row],[Supply Level]],TIM[[#This Row],[Station/Feeder]],TIM[[#This Row],[Voltage]])</f>
        <v>SubTransmissionATM11</v>
      </c>
      <c r="B317" s="6" t="str">
        <f>CONCATENATE(TIM[[#This Row],[Supply Level]],TIM[[#This Row],[Station/Feeder]],TIM[[#This Row],[Equipment ID]],TIM[[#This Row],[Voltage]],TIM[[#This Row],[Device type]])</f>
        <v>SubTransmissionATMTIM-CB273211Protection</v>
      </c>
      <c r="C317" s="6" t="s">
        <v>1245</v>
      </c>
      <c r="D317" s="11" t="s">
        <v>160</v>
      </c>
      <c r="E317" s="6" t="s">
        <v>243</v>
      </c>
      <c r="F317" s="6" t="s">
        <v>313</v>
      </c>
      <c r="G317" s="27">
        <v>1</v>
      </c>
      <c r="H317" s="39" t="s">
        <v>2358</v>
      </c>
      <c r="I317" s="7" t="s">
        <v>2227</v>
      </c>
      <c r="J317" s="7" t="s">
        <v>15</v>
      </c>
      <c r="K317" s="7" t="s">
        <v>1121</v>
      </c>
      <c r="L317" s="7" t="s">
        <v>1423</v>
      </c>
      <c r="M317" s="8">
        <v>11</v>
      </c>
      <c r="N317" s="9">
        <v>1250</v>
      </c>
      <c r="O317" s="9">
        <f t="shared" ref="O317" si="417">IF(OR(N317="",N317="-"),"-",N317*$M317*SQRT(3)/1000)</f>
        <v>23.815698604072061</v>
      </c>
      <c r="P317" s="9">
        <v>1250</v>
      </c>
      <c r="Q317" s="9">
        <f t="shared" ref="Q317" si="418">IF(OR(P317="",P317="-"),"-",P317*$M317*SQRT(3)/1000)</f>
        <v>23.815698604072061</v>
      </c>
      <c r="R317" s="9">
        <v>1250</v>
      </c>
      <c r="S317" s="9">
        <f t="shared" ref="S317" si="419">IF(OR(R317="",R317="-"),"-",R317*$M317*SQRT(3)/1000)</f>
        <v>23.815698604072061</v>
      </c>
      <c r="T317" s="16" t="s">
        <v>0</v>
      </c>
      <c r="U317" s="9" t="str">
        <f t="shared" ref="U317" si="420">IF(OR(T317="",T317="-"),"-",T317*$M317*SQRT(3)/1000)</f>
        <v>-</v>
      </c>
      <c r="V317" s="16" t="s">
        <v>0</v>
      </c>
      <c r="W317" s="9" t="str">
        <f t="shared" ref="W317" si="421">IF(OR(V317="",V317="-"),"-",V317*$M317*SQRT(3)/1000)</f>
        <v>-</v>
      </c>
      <c r="X317" s="9">
        <f>VLOOKUP(TIM[[#This Row],[Equipment ID]],AEL_Protection_Data[#All],12,0)</f>
        <v>1068</v>
      </c>
      <c r="Y317" s="9">
        <f t="shared" ref="Y317" si="422">IF(OR(X317="",X317="-"),"-",X317*$M317*SQRT(3)/1000)</f>
        <v>20.348132887319171</v>
      </c>
      <c r="Z317" s="16">
        <v>976</v>
      </c>
      <c r="AA317" s="9">
        <f t="shared" ref="AA317:AA318" si="423">IF(OR(Z317="",Z317="-"),"-",Z317*$M317*SQRT(3)/1000)</f>
        <v>18.595297470059464</v>
      </c>
      <c r="AB317" s="16">
        <v>3600</v>
      </c>
      <c r="AC317" s="9">
        <f t="shared" ref="AC317:AC318" si="424">IF(OR(AB317="",AB317="-"),"-",AB317*$M317*SQRT(3)/1000)</f>
        <v>68.589211979727537</v>
      </c>
      <c r="AD317" s="9">
        <v>2400</v>
      </c>
      <c r="AE317" s="12">
        <f t="shared" ref="AE317:AE318" si="425">IF(OR(AD317="",AD317="-"),"-",AD317*$M317*SQRT(3)/1000)</f>
        <v>45.72614131981836</v>
      </c>
      <c r="AF317" s="9" t="s">
        <v>0</v>
      </c>
      <c r="AG317" s="9" t="s">
        <v>0</v>
      </c>
      <c r="AH317" s="15" t="s">
        <v>0</v>
      </c>
      <c r="AI317" s="9" t="s">
        <v>0</v>
      </c>
      <c r="AJ317" s="32" t="s">
        <v>0</v>
      </c>
      <c r="AK317" s="9" t="s">
        <v>0</v>
      </c>
      <c r="AL317" s="32" t="s">
        <v>0</v>
      </c>
      <c r="AM317" s="9" t="s">
        <v>0</v>
      </c>
      <c r="AN317" s="32" t="s">
        <v>0</v>
      </c>
      <c r="AO317" s="9" t="s">
        <v>0</v>
      </c>
      <c r="AP317" s="9" t="s">
        <v>0</v>
      </c>
      <c r="AQ317" s="32" t="s">
        <v>0</v>
      </c>
      <c r="AR317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17" s="9" t="str">
        <f t="shared" ref="AS317" si="426">IF(OR(AR317="",AR317="-"),"-",AR317*$M317*SQRT(3)/1000)</f>
        <v>-</v>
      </c>
      <c r="AT317" s="9">
        <f>IF(RIGHT(TIM[[#This Row],[Device type]],7)="Winding","-",TIM[[#This Row],[Cont Winter MVA]])</f>
        <v>23.815698604072061</v>
      </c>
      <c r="AU317" s="9">
        <f>IF(RIGHT(TIM[[#This Row],[Device type]],7)="Winding","-",TIM[[#This Row],[Cont Shoulder MVA]])</f>
        <v>23.815698604072061</v>
      </c>
      <c r="AV317" s="9">
        <f>IF(RIGHT(TIM[[#This Row],[Device type]],7)="Winding","-",TIM[[#This Row],[Cont Summer MVA]])</f>
        <v>23.815698604072061</v>
      </c>
      <c r="AW317" s="9" t="str">
        <f>TIM[[#This Row],[24 Hr Winter MVA]]</f>
        <v>-</v>
      </c>
      <c r="AX317" s="9" t="str">
        <f>TIM[[#This Row],[24 Hr Summer MVA]]</f>
        <v>-</v>
      </c>
      <c r="AY317" s="9">
        <f>TIM[[#This Row],[Forwards MVA]]</f>
        <v>20.348132887319171</v>
      </c>
      <c r="AZ317" s="9">
        <f>TIM[[#This Row],[Relay MVA]]</f>
        <v>68.589211979727537</v>
      </c>
      <c r="BA317" s="9">
        <f>TIM[[#This Row],[CT MVA]]</f>
        <v>45.72614131981836</v>
      </c>
      <c r="BB317" s="9" t="str">
        <f>TIM[[#This Row],[Derating MVA]]</f>
        <v>-</v>
      </c>
      <c r="BC317" s="9" t="str">
        <f>TIM[[#This Row],[Station/Feeder]]&amp;TIM[[#This Row],[Lowest MVA]]</f>
        <v>ATM20.3481328873192</v>
      </c>
      <c r="BD317" s="9" t="str">
        <f>CONCATENATE(TIM[[#This Row],[Supply Level]],TIM[[#This Row],[Station/Feeder]],TIM[[#This Row],[Voltage]],TIM[[#This Row],[Lowest A-No PTX]])</f>
        <v>SubTransmissionATM111068</v>
      </c>
      <c r="BE317" s="9" t="str">
        <f>CONCATENATE(TIM[[#This Row],[Supply Level]],TIM[[#This Row],[Station/Feeder]],TIM[[#This Row],[Voltage]],TIM[[#This Row],[Lowest A-PTX]])</f>
        <v>SubTransmissionATM11976</v>
      </c>
      <c r="BF317" s="9">
        <f>IFERROR(IF(MIN(TIM[[#This Row],[Summ Cont Winter A]:[Cable Derating]])=0,"",MIN(TIM[[#This Row],[Summ Cont Winter A]:[Cable Derating]])),"")</f>
        <v>20.348132887319171</v>
      </c>
      <c r="BG317" s="9">
        <f>IFERROR(TIM[[#This Row],[Lowest MVA]]*1000/(TIM[[#This Row],[Voltage]]*SQRT(3)),"")</f>
        <v>1068</v>
      </c>
      <c r="BH317" s="9">
        <f t="shared" si="385"/>
        <v>976</v>
      </c>
      <c r="BI317" s="9" t="str">
        <f>TIM[[#This Row],[From]]</f>
        <v>11 kV Bus</v>
      </c>
      <c r="BJ317" s="9" t="str">
        <f>TIM[[#This Row],[To]]</f>
        <v>CB2732</v>
      </c>
      <c r="BK31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Breaker-TIM-CB2732-Protection</v>
      </c>
      <c r="BL317" s="9">
        <f>TIM[[#This Row],[Voltage]]</f>
        <v>11</v>
      </c>
    </row>
    <row r="318" spans="1:64" ht="15" hidden="1" customHeight="1" x14ac:dyDescent="0.3">
      <c r="A318" s="14" t="str">
        <f>CONCATENATE(TIM[[#This Row],[Supply Level]],TIM[[#This Row],[Station/Feeder]],TIM[[#This Row],[Voltage]])</f>
        <v>SubTransmissionATM11</v>
      </c>
      <c r="B318" s="14" t="str">
        <f>CONCATENATE(TIM[[#This Row],[Supply Level]],TIM[[#This Row],[Station/Feeder]],TIM[[#This Row],[Equipment ID]],TIM[[#This Row],[Voltage]],TIM[[#This Row],[Device type]])</f>
        <v>SubTransmissionATM2 x 3/1c 630mm² Cu 11-</v>
      </c>
      <c r="C318" s="14" t="s">
        <v>1245</v>
      </c>
      <c r="D318" s="13" t="s">
        <v>160</v>
      </c>
      <c r="E318" s="14" t="s">
        <v>313</v>
      </c>
      <c r="F318" s="14" t="s">
        <v>823</v>
      </c>
      <c r="G318" s="28">
        <v>2</v>
      </c>
      <c r="H318" s="39" t="s">
        <v>824</v>
      </c>
      <c r="I318" s="39" t="s">
        <v>825</v>
      </c>
      <c r="J318" s="39" t="s">
        <v>250</v>
      </c>
      <c r="K318" s="39" t="s">
        <v>0</v>
      </c>
      <c r="L318" s="39" t="s">
        <v>0</v>
      </c>
      <c r="M318" s="15">
        <v>11</v>
      </c>
      <c r="N318" s="16">
        <v>1600</v>
      </c>
      <c r="O318" s="16">
        <f>IF(OR(N318="",N318="-"),"-",N318*$M318*SQRT(3)/1000)</f>
        <v>30.484094213212241</v>
      </c>
      <c r="P318" s="16">
        <v>1600</v>
      </c>
      <c r="Q318" s="16">
        <f>IF(OR(P318="",P318="-"),"-",P318*$M318*SQRT(3)/1000)</f>
        <v>30.484094213212241</v>
      </c>
      <c r="R318" s="16">
        <v>1600</v>
      </c>
      <c r="S318" s="16">
        <f>IF(OR(R318="",R318="-"),"-",R318*$M318*SQRT(3)/1000)</f>
        <v>30.484094213212241</v>
      </c>
      <c r="T318" s="16" t="s">
        <v>0</v>
      </c>
      <c r="U318" s="16" t="str">
        <f>IF(OR(T318="",T318="-"),"-",T318*$M318*SQRT(3)/1000)</f>
        <v>-</v>
      </c>
      <c r="V318" s="16" t="s">
        <v>0</v>
      </c>
      <c r="W318" s="16" t="str">
        <f>IF(OR(V318="",V318="-"),"-",V318*$M318*SQRT(3)/1000)</f>
        <v>-</v>
      </c>
      <c r="X318" s="16" t="s">
        <v>0</v>
      </c>
      <c r="Y318" s="16" t="str">
        <f>IF(OR(X318="",X318="-"),"-",X318*$M318*SQRT(3)/1000)</f>
        <v>-</v>
      </c>
      <c r="Z318" s="16" t="s">
        <v>0</v>
      </c>
      <c r="AA318" s="16" t="str">
        <f t="shared" si="423"/>
        <v>-</v>
      </c>
      <c r="AB318" s="16" t="s">
        <v>0</v>
      </c>
      <c r="AC318" s="16" t="str">
        <f t="shared" si="424"/>
        <v>-</v>
      </c>
      <c r="AD318" s="16" t="s">
        <v>0</v>
      </c>
      <c r="AE318" s="17" t="str">
        <f t="shared" si="425"/>
        <v>-</v>
      </c>
      <c r="AF318" s="16" t="s">
        <v>826</v>
      </c>
      <c r="AG318" s="16" t="s">
        <v>0</v>
      </c>
      <c r="AH318" s="16">
        <v>87.2</v>
      </c>
      <c r="AI318" s="16">
        <v>1</v>
      </c>
      <c r="AJ318" s="127">
        <v>0.97</v>
      </c>
      <c r="AK318" s="16">
        <v>20</v>
      </c>
      <c r="AL318" s="127">
        <v>0.95</v>
      </c>
      <c r="AM318" s="16">
        <v>1.2</v>
      </c>
      <c r="AN318" s="127">
        <v>1</v>
      </c>
      <c r="AO318" s="16">
        <v>4</v>
      </c>
      <c r="AP318" s="16">
        <v>0.45</v>
      </c>
      <c r="AQ318" s="127">
        <v>0.76</v>
      </c>
      <c r="AR318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1120.5439999999999</v>
      </c>
      <c r="AS318" s="16">
        <f>IF(OR(AR318="",AR318="-"),"-",AR318*$M318*SQRT(3)/1000)</f>
        <v>21.349230541281056</v>
      </c>
      <c r="AT318" s="16">
        <f>IF(RIGHT(TIM[[#This Row],[Device type]],7)="Winding","-",TIM[[#This Row],[Cont Winter MVA]])</f>
        <v>30.484094213212241</v>
      </c>
      <c r="AU318" s="16">
        <f>IF(RIGHT(TIM[[#This Row],[Device type]],7)="Winding","-",TIM[[#This Row],[Cont Shoulder MVA]])</f>
        <v>30.484094213212241</v>
      </c>
      <c r="AV318" s="16">
        <f>IF(RIGHT(TIM[[#This Row],[Device type]],7)="Winding","-",TIM[[#This Row],[Cont Summer MVA]])</f>
        <v>30.484094213212241</v>
      </c>
      <c r="AW318" s="16" t="str">
        <f>TIM[[#This Row],[24 Hr Winter MVA]]</f>
        <v>-</v>
      </c>
      <c r="AX318" s="16" t="str">
        <f>TIM[[#This Row],[24 Hr Summer MVA]]</f>
        <v>-</v>
      </c>
      <c r="AY318" s="16" t="str">
        <f>TIM[[#This Row],[Forwards MVA]]</f>
        <v>-</v>
      </c>
      <c r="AZ318" s="16" t="str">
        <f>TIM[[#This Row],[Relay MVA]]</f>
        <v>-</v>
      </c>
      <c r="BA318" s="16" t="str">
        <f>TIM[[#This Row],[CT MVA]]</f>
        <v>-</v>
      </c>
      <c r="BB318" s="16">
        <f>TIM[[#This Row],[Derating MVA]]</f>
        <v>21.349230541281056</v>
      </c>
      <c r="BC318" s="16" t="str">
        <f>TIM[[#This Row],[Station/Feeder]]&amp;TIM[[#This Row],[Lowest MVA]]</f>
        <v>ATM21.3492305412811</v>
      </c>
      <c r="BD318" s="16" t="str">
        <f>CONCATENATE(TIM[[#This Row],[Supply Level]],TIM[[#This Row],[Station/Feeder]],TIM[[#This Row],[Voltage]],TIM[[#This Row],[Lowest A-No PTX]])</f>
        <v>SubTransmissionATM111120.544</v>
      </c>
      <c r="BE318" s="16" t="str">
        <f>CONCATENATE(TIM[[#This Row],[Supply Level]],TIM[[#This Row],[Station/Feeder]],TIM[[#This Row],[Voltage]],TIM[[#This Row],[Lowest A-PTX]])</f>
        <v>SubTransmissionATM111120.544</v>
      </c>
      <c r="BF318" s="16">
        <f>IFERROR(IF(MIN(TIM[[#This Row],[Summ Cont Winter A]:[Cable Derating]])=0,"",MIN(TIM[[#This Row],[Summ Cont Winter A]:[Cable Derating]])),"")</f>
        <v>21.349230541281056</v>
      </c>
      <c r="BG318" s="16">
        <f>IFERROR(TIM[[#This Row],[Lowest MVA]]*1000/(TIM[[#This Row],[Voltage]]*SQRT(3)),"")</f>
        <v>1120.5439999999999</v>
      </c>
      <c r="BH318" s="16">
        <f t="shared" si="385"/>
        <v>1120.5439999999999</v>
      </c>
      <c r="BI318" s="16" t="str">
        <f>TIM[[#This Row],[From]]</f>
        <v>CB2732</v>
      </c>
      <c r="BJ318" s="16" t="str">
        <f>TIM[[#This Row],[To]]</f>
        <v>B774/T1</v>
      </c>
      <c r="BK318" s="16" t="str">
        <f>IF(TIM[[#This Row],[Device type]]="-",TIM[[#This Row],[Equipment Type]]&amp;"-"&amp;TIM[[#This Row],[Equipment ID]],TIM[[#This Row],[Equipment Type]]&amp;"-"&amp;TIM[[#This Row],[Equipment ID]]&amp;"-"&amp;TIM[[#This Row],[Device type]])</f>
        <v xml:space="preserve">Cable-2 x 3/1c 630mm² Cu </v>
      </c>
      <c r="BL318" s="16">
        <f>TIM[[#This Row],[Voltage]]</f>
        <v>11</v>
      </c>
    </row>
    <row r="319" spans="1:64" ht="15.75" hidden="1" thickBot="1" x14ac:dyDescent="0.3">
      <c r="A319" s="6" t="str">
        <f>CONCATENATE(TIM[[#This Row],[Supply Level]],TIM[[#This Row],[Station/Feeder]],TIM[[#This Row],[Voltage]])</f>
        <v>ZoneSubstationATM33</v>
      </c>
      <c r="B319" s="6" t="str">
        <f>CONCATENATE(TIM[[#This Row],[Supply Level]],TIM[[#This Row],[Station/Feeder]],TIM[[#This Row],[Equipment ID]],TIM[[#This Row],[Voltage]],TIM[[#This Row],[Device type]])</f>
        <v>ZoneSubstationATMB774/T133HV Winding</v>
      </c>
      <c r="C319" s="6" t="s">
        <v>1246</v>
      </c>
      <c r="D319" s="11" t="s">
        <v>160</v>
      </c>
      <c r="E319" s="6" t="s">
        <v>313</v>
      </c>
      <c r="F319" s="6" t="s">
        <v>823</v>
      </c>
      <c r="G319" s="27">
        <v>1</v>
      </c>
      <c r="H319" s="7" t="s">
        <v>1028</v>
      </c>
      <c r="I319" s="7" t="s">
        <v>823</v>
      </c>
      <c r="J319" s="7" t="s">
        <v>19</v>
      </c>
      <c r="K319" s="7" t="s">
        <v>0</v>
      </c>
      <c r="L319" s="7" t="s">
        <v>36</v>
      </c>
      <c r="M319" s="8">
        <v>33</v>
      </c>
      <c r="N319" s="9">
        <f>25000/(TIM[[#This Row],[Voltage]]*SQRT(3))</f>
        <v>437.38656756789834</v>
      </c>
      <c r="O319" s="9">
        <f t="shared" si="0"/>
        <v>25</v>
      </c>
      <c r="P319" s="9" t="s">
        <v>0</v>
      </c>
      <c r="Q319" s="9" t="str">
        <f t="shared" si="1"/>
        <v>-</v>
      </c>
      <c r="R319" s="9" t="s">
        <v>0</v>
      </c>
      <c r="S319" s="9" t="str">
        <f t="shared" si="2"/>
        <v>-</v>
      </c>
      <c r="T319" s="9" t="s">
        <v>0</v>
      </c>
      <c r="U319" s="9" t="str">
        <f t="shared" si="3"/>
        <v>-</v>
      </c>
      <c r="V319" s="9" t="s">
        <v>0</v>
      </c>
      <c r="W319" s="9" t="str">
        <f t="shared" si="4"/>
        <v>-</v>
      </c>
      <c r="X319" s="9" t="s">
        <v>0</v>
      </c>
      <c r="Y319" s="9" t="str">
        <f t="shared" si="5"/>
        <v>-</v>
      </c>
      <c r="Z319" s="9" t="s">
        <v>0</v>
      </c>
      <c r="AA319" s="9" t="str">
        <f t="shared" si="6"/>
        <v>-</v>
      </c>
      <c r="AB319" s="9" t="s">
        <v>0</v>
      </c>
      <c r="AC319" s="9" t="str">
        <f t="shared" si="7"/>
        <v>-</v>
      </c>
      <c r="AD319" s="9" t="s">
        <v>0</v>
      </c>
      <c r="AE319" s="12" t="str">
        <f t="shared" si="8"/>
        <v>-</v>
      </c>
      <c r="AF319" s="9" t="s">
        <v>0</v>
      </c>
      <c r="AG319" s="9" t="s">
        <v>0</v>
      </c>
      <c r="AH319" s="8" t="s">
        <v>0</v>
      </c>
      <c r="AI319" s="9" t="s">
        <v>0</v>
      </c>
      <c r="AJ319" s="43" t="s">
        <v>0</v>
      </c>
      <c r="AK319" s="9" t="s">
        <v>0</v>
      </c>
      <c r="AL319" s="43" t="s">
        <v>0</v>
      </c>
      <c r="AM319" s="9" t="s">
        <v>0</v>
      </c>
      <c r="AN319" s="43" t="s">
        <v>0</v>
      </c>
      <c r="AO319" s="9" t="s">
        <v>0</v>
      </c>
      <c r="AP319" s="9" t="s">
        <v>0</v>
      </c>
      <c r="AQ319" s="43" t="s">
        <v>0</v>
      </c>
      <c r="AR319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19" s="9" t="str">
        <f t="shared" si="9"/>
        <v>-</v>
      </c>
      <c r="AT319" s="9" t="str">
        <f>IF(RIGHT(TIM[[#This Row],[Device type]],7)="Winding","-",TIM[[#This Row],[Cont Winter MVA]])</f>
        <v>-</v>
      </c>
      <c r="AU319" s="9" t="str">
        <f>IF(RIGHT(TIM[[#This Row],[Device type]],7)="Winding","-",TIM[[#This Row],[Cont Shoulder MVA]])</f>
        <v>-</v>
      </c>
      <c r="AV319" s="9" t="str">
        <f>IF(RIGHT(TIM[[#This Row],[Device type]],7)="Winding","-",TIM[[#This Row],[Cont Summer MVA]])</f>
        <v>-</v>
      </c>
      <c r="AW319" s="9" t="str">
        <f>TIM[[#This Row],[24 Hr Winter MVA]]</f>
        <v>-</v>
      </c>
      <c r="AX319" s="9" t="str">
        <f>TIM[[#This Row],[24 Hr Summer MVA]]</f>
        <v>-</v>
      </c>
      <c r="AY319" s="9" t="str">
        <f>TIM[[#This Row],[Forwards MVA]]</f>
        <v>-</v>
      </c>
      <c r="AZ319" s="9" t="str">
        <f>TIM[[#This Row],[Relay MVA]]</f>
        <v>-</v>
      </c>
      <c r="BA319" s="9" t="str">
        <f>TIM[[#This Row],[CT MVA]]</f>
        <v>-</v>
      </c>
      <c r="BB319" s="9" t="str">
        <f>TIM[[#This Row],[Derating MVA]]</f>
        <v>-</v>
      </c>
      <c r="BC319" s="9" t="str">
        <f>TIM[[#This Row],[Station/Feeder]]&amp;TIM[[#This Row],[Lowest MVA]]</f>
        <v>ATM</v>
      </c>
      <c r="BD319" s="9" t="str">
        <f>CONCATENATE(TIM[[#This Row],[Supply Level]],TIM[[#This Row],[Station/Feeder]],TIM[[#This Row],[Voltage]],TIM[[#This Row],[Lowest A-No PTX]])</f>
        <v>ZoneSubstationATM33</v>
      </c>
      <c r="BE319" s="9" t="str">
        <f>CONCATENATE(TIM[[#This Row],[Supply Level]],TIM[[#This Row],[Station/Feeder]],TIM[[#This Row],[Voltage]],TIM[[#This Row],[Lowest A-PTX]])</f>
        <v>ZoneSubstationATM33437.386567567898</v>
      </c>
      <c r="BF319" s="9" t="str">
        <f>IFERROR(IF(MIN(TIM[[#This Row],[Summ Cont Winter A]:[Cable Derating]])=0,"",MIN(TIM[[#This Row],[Summ Cont Winter A]:[Cable Derating]])),"")</f>
        <v/>
      </c>
      <c r="BG319" s="9" t="str">
        <f>IFERROR(TIM[[#This Row],[Lowest MVA]]*1000/(TIM[[#This Row],[Voltage]]*SQRT(3)),"")</f>
        <v/>
      </c>
      <c r="BH319" s="9">
        <f t="shared" si="385"/>
        <v>437.38656756789834</v>
      </c>
      <c r="BI319" s="9" t="str">
        <f>TIM[[#This Row],[From]]</f>
        <v>CB2732</v>
      </c>
      <c r="BJ319" s="9" t="str">
        <f>TIM[[#This Row],[To]]</f>
        <v>B774/T1</v>
      </c>
      <c r="BK31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Transformer-B774/T1-HV Winding</v>
      </c>
      <c r="BL319" s="9">
        <f>TIM[[#This Row],[Voltage]]</f>
        <v>33</v>
      </c>
    </row>
    <row r="320" spans="1:64" ht="15.75" hidden="1" thickBot="1" x14ac:dyDescent="0.3">
      <c r="A320" s="6" t="str">
        <f>CONCATENATE(TIM[[#This Row],[Supply Level]],TIM[[#This Row],[Station/Feeder]],TIM[[#This Row],[Voltage]])</f>
        <v>ZoneSubstationATM11</v>
      </c>
      <c r="B320" s="6" t="str">
        <f>CONCATENATE(TIM[[#This Row],[Supply Level]],TIM[[#This Row],[Station/Feeder]],TIM[[#This Row],[Equipment ID]],TIM[[#This Row],[Voltage]],TIM[[#This Row],[Device type]])</f>
        <v>ZoneSubstationATMB774/T111LV Winding</v>
      </c>
      <c r="C320" s="6" t="s">
        <v>1246</v>
      </c>
      <c r="D320" s="6" t="s">
        <v>160</v>
      </c>
      <c r="E320" s="6" t="s">
        <v>313</v>
      </c>
      <c r="F320" s="6" t="s">
        <v>823</v>
      </c>
      <c r="G320" s="27">
        <v>1</v>
      </c>
      <c r="H320" s="7" t="s">
        <v>1028</v>
      </c>
      <c r="I320" s="7" t="s">
        <v>823</v>
      </c>
      <c r="J320" s="7" t="s">
        <v>19</v>
      </c>
      <c r="K320" s="7" t="s">
        <v>0</v>
      </c>
      <c r="L320" s="7" t="s">
        <v>37</v>
      </c>
      <c r="M320" s="8">
        <v>11</v>
      </c>
      <c r="N320" s="9">
        <f>25000/(TIM[[#This Row],[Voltage]]*SQRT(3))</f>
        <v>1312.1597027036951</v>
      </c>
      <c r="O320" s="9">
        <f t="shared" si="0"/>
        <v>25</v>
      </c>
      <c r="P320" s="9" t="s">
        <v>0</v>
      </c>
      <c r="Q320" s="9" t="str">
        <f t="shared" si="1"/>
        <v>-</v>
      </c>
      <c r="R320" s="9" t="s">
        <v>0</v>
      </c>
      <c r="S320" s="9" t="str">
        <f t="shared" si="2"/>
        <v>-</v>
      </c>
      <c r="T320" s="9" t="s">
        <v>0</v>
      </c>
      <c r="U320" s="9" t="str">
        <f t="shared" si="3"/>
        <v>-</v>
      </c>
      <c r="V320" s="9" t="s">
        <v>0</v>
      </c>
      <c r="W320" s="9" t="str">
        <f t="shared" si="4"/>
        <v>-</v>
      </c>
      <c r="X320" s="9" t="s">
        <v>0</v>
      </c>
      <c r="Y320" s="9" t="str">
        <f t="shared" si="5"/>
        <v>-</v>
      </c>
      <c r="Z320" s="9" t="s">
        <v>0</v>
      </c>
      <c r="AA320" s="9" t="str">
        <f t="shared" si="6"/>
        <v>-</v>
      </c>
      <c r="AB320" s="9" t="s">
        <v>0</v>
      </c>
      <c r="AC320" s="9" t="str">
        <f t="shared" si="7"/>
        <v>-</v>
      </c>
      <c r="AD320" s="9" t="s">
        <v>0</v>
      </c>
      <c r="AE320" s="12" t="str">
        <f t="shared" si="8"/>
        <v>-</v>
      </c>
      <c r="AF320" s="29" t="s">
        <v>0</v>
      </c>
      <c r="AG320" s="29" t="s">
        <v>0</v>
      </c>
      <c r="AH320" s="8" t="s">
        <v>0</v>
      </c>
      <c r="AI320" s="29" t="s">
        <v>0</v>
      </c>
      <c r="AJ320" s="32" t="s">
        <v>0</v>
      </c>
      <c r="AK320" s="29" t="s">
        <v>0</v>
      </c>
      <c r="AL320" s="32" t="s">
        <v>0</v>
      </c>
      <c r="AM320" s="29" t="s">
        <v>0</v>
      </c>
      <c r="AN320" s="32" t="s">
        <v>0</v>
      </c>
      <c r="AO320" s="29" t="s">
        <v>0</v>
      </c>
      <c r="AP320" s="29" t="s">
        <v>0</v>
      </c>
      <c r="AQ320" s="32" t="s">
        <v>0</v>
      </c>
      <c r="AR32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20" s="9" t="str">
        <f t="shared" si="9"/>
        <v>-</v>
      </c>
      <c r="AT320" s="9" t="str">
        <f>IF(RIGHT(TIM[[#This Row],[Device type]],7)="Winding","-",TIM[[#This Row],[Cont Winter MVA]])</f>
        <v>-</v>
      </c>
      <c r="AU320" s="9" t="str">
        <f>IF(RIGHT(TIM[[#This Row],[Device type]],7)="Winding","-",TIM[[#This Row],[Cont Shoulder MVA]])</f>
        <v>-</v>
      </c>
      <c r="AV320" s="9" t="str">
        <f>IF(RIGHT(TIM[[#This Row],[Device type]],7)="Winding","-",TIM[[#This Row],[Cont Summer MVA]])</f>
        <v>-</v>
      </c>
      <c r="AW320" s="9" t="str">
        <f>TIM[[#This Row],[24 Hr Winter MVA]]</f>
        <v>-</v>
      </c>
      <c r="AX320" s="9" t="str">
        <f>TIM[[#This Row],[24 Hr Summer MVA]]</f>
        <v>-</v>
      </c>
      <c r="AY320" s="9" t="str">
        <f>TIM[[#This Row],[Forwards MVA]]</f>
        <v>-</v>
      </c>
      <c r="AZ320" s="9" t="str">
        <f>TIM[[#This Row],[Relay MVA]]</f>
        <v>-</v>
      </c>
      <c r="BA320" s="9" t="str">
        <f>TIM[[#This Row],[CT MVA]]</f>
        <v>-</v>
      </c>
      <c r="BB320" s="9" t="str">
        <f>TIM[[#This Row],[Derating MVA]]</f>
        <v>-</v>
      </c>
      <c r="BC320" s="9" t="str">
        <f>TIM[[#This Row],[Station/Feeder]]&amp;TIM[[#This Row],[Lowest MVA]]</f>
        <v>ATM</v>
      </c>
      <c r="BD320" s="9" t="str">
        <f>CONCATENATE(TIM[[#This Row],[Supply Level]],TIM[[#This Row],[Station/Feeder]],TIM[[#This Row],[Voltage]],TIM[[#This Row],[Lowest A-No PTX]])</f>
        <v>ZoneSubstationATM11</v>
      </c>
      <c r="BE320" s="9" t="str">
        <f>CONCATENATE(TIM[[#This Row],[Supply Level]],TIM[[#This Row],[Station/Feeder]],TIM[[#This Row],[Voltage]],TIM[[#This Row],[Lowest A-PTX]])</f>
        <v>ZoneSubstationATM111312.1597027037</v>
      </c>
      <c r="BF320" s="9" t="str">
        <f>IFERROR(IF(MIN(TIM[[#This Row],[Summ Cont Winter A]:[Cable Derating]])=0,"",MIN(TIM[[#This Row],[Summ Cont Winter A]:[Cable Derating]])),"")</f>
        <v/>
      </c>
      <c r="BG320" s="9" t="str">
        <f>IFERROR(TIM[[#This Row],[Lowest MVA]]*1000/(TIM[[#This Row],[Voltage]]*SQRT(3)),"")</f>
        <v/>
      </c>
      <c r="BH320" s="9">
        <f t="shared" si="385"/>
        <v>1312.1597027036951</v>
      </c>
      <c r="BI320" s="9" t="str">
        <f>TIM[[#This Row],[From]]</f>
        <v>CB2732</v>
      </c>
      <c r="BJ320" s="9" t="str">
        <f>TIM[[#This Row],[To]]</f>
        <v>B774/T1</v>
      </c>
      <c r="BK32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Transformer-B774/T1-LV Winding</v>
      </c>
      <c r="BL320" s="9">
        <f>TIM[[#This Row],[Voltage]]</f>
        <v>11</v>
      </c>
    </row>
    <row r="321" spans="1:64" ht="15" hidden="1" customHeight="1" x14ac:dyDescent="0.3">
      <c r="A321" s="6" t="str">
        <f>CONCATENATE(TIM[[#This Row],[Supply Level]],TIM[[#This Row],[Station/Feeder]],TIM[[#This Row],[Voltage]])</f>
        <v>ZoneSubstationATM_233</v>
      </c>
      <c r="B321" s="6" t="str">
        <f>CONCATENATE(TIM[[#This Row],[Supply Level]],TIM[[#This Row],[Station/Feeder]],TIM[[#This Row],[Equipment ID]],TIM[[#This Row],[Voltage]],TIM[[#This Row],[Device type]])</f>
        <v>ZoneSubstationATM_2B774/T233HV Winding</v>
      </c>
      <c r="C321" s="6" t="s">
        <v>1246</v>
      </c>
      <c r="D321" s="11" t="s">
        <v>165</v>
      </c>
      <c r="E321" s="6" t="s">
        <v>862</v>
      </c>
      <c r="F321" s="6" t="s">
        <v>864</v>
      </c>
      <c r="G321" s="27">
        <v>1</v>
      </c>
      <c r="H321" s="7" t="s">
        <v>1028</v>
      </c>
      <c r="I321" s="7" t="s">
        <v>864</v>
      </c>
      <c r="J321" s="7" t="s">
        <v>19</v>
      </c>
      <c r="K321" s="7" t="s">
        <v>0</v>
      </c>
      <c r="L321" s="7" t="s">
        <v>36</v>
      </c>
      <c r="M321" s="8">
        <v>33</v>
      </c>
      <c r="N321" s="9">
        <f>25000/(TIM[[#This Row],[Voltage]]*SQRT(3))</f>
        <v>437.38656756789834</v>
      </c>
      <c r="O321" s="9">
        <f t="shared" si="0"/>
        <v>25</v>
      </c>
      <c r="P321" s="9" t="s">
        <v>0</v>
      </c>
      <c r="Q321" s="9" t="str">
        <f t="shared" si="1"/>
        <v>-</v>
      </c>
      <c r="R321" s="9" t="s">
        <v>0</v>
      </c>
      <c r="S321" s="9" t="str">
        <f t="shared" si="2"/>
        <v>-</v>
      </c>
      <c r="T321" s="9" t="s">
        <v>0</v>
      </c>
      <c r="U321" s="9" t="str">
        <f t="shared" si="3"/>
        <v>-</v>
      </c>
      <c r="V321" s="9" t="s">
        <v>0</v>
      </c>
      <c r="W321" s="9" t="str">
        <f t="shared" si="4"/>
        <v>-</v>
      </c>
      <c r="X321" s="9" t="s">
        <v>0</v>
      </c>
      <c r="Y321" s="9" t="str">
        <f t="shared" si="5"/>
        <v>-</v>
      </c>
      <c r="Z321" s="9" t="s">
        <v>0</v>
      </c>
      <c r="AA321" s="9" t="str">
        <f t="shared" si="6"/>
        <v>-</v>
      </c>
      <c r="AB321" s="9" t="s">
        <v>0</v>
      </c>
      <c r="AC321" s="9" t="str">
        <f t="shared" si="7"/>
        <v>-</v>
      </c>
      <c r="AD321" s="9" t="s">
        <v>0</v>
      </c>
      <c r="AE321" s="12" t="str">
        <f t="shared" si="8"/>
        <v>-</v>
      </c>
      <c r="AF321" s="9" t="s">
        <v>0</v>
      </c>
      <c r="AG321" s="9" t="s">
        <v>0</v>
      </c>
      <c r="AH321" s="8" t="s">
        <v>0</v>
      </c>
      <c r="AI321" s="9" t="s">
        <v>0</v>
      </c>
      <c r="AJ321" s="32" t="s">
        <v>0</v>
      </c>
      <c r="AK321" s="9" t="s">
        <v>0</v>
      </c>
      <c r="AL321" s="32" t="s">
        <v>0</v>
      </c>
      <c r="AM321" s="9" t="s">
        <v>0</v>
      </c>
      <c r="AN321" s="32" t="s">
        <v>0</v>
      </c>
      <c r="AO321" s="9" t="s">
        <v>0</v>
      </c>
      <c r="AP321" s="9" t="s">
        <v>0</v>
      </c>
      <c r="AQ321" s="32" t="s">
        <v>0</v>
      </c>
      <c r="AR32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21" s="9" t="str">
        <f t="shared" si="9"/>
        <v>-</v>
      </c>
      <c r="AT321" s="9" t="str">
        <f>IF(RIGHT(TIM[[#This Row],[Device type]],7)="Winding","-",TIM[[#This Row],[Cont Winter MVA]])</f>
        <v>-</v>
      </c>
      <c r="AU321" s="9" t="str">
        <f>IF(RIGHT(TIM[[#This Row],[Device type]],7)="Winding","-",TIM[[#This Row],[Cont Shoulder MVA]])</f>
        <v>-</v>
      </c>
      <c r="AV321" s="9" t="str">
        <f>IF(RIGHT(TIM[[#This Row],[Device type]],7)="Winding","-",TIM[[#This Row],[Cont Summer MVA]])</f>
        <v>-</v>
      </c>
      <c r="AW321" s="9" t="str">
        <f>TIM[[#This Row],[24 Hr Winter MVA]]</f>
        <v>-</v>
      </c>
      <c r="AX321" s="9" t="str">
        <f>TIM[[#This Row],[24 Hr Summer MVA]]</f>
        <v>-</v>
      </c>
      <c r="AY321" s="9" t="str">
        <f>TIM[[#This Row],[Forwards MVA]]</f>
        <v>-</v>
      </c>
      <c r="AZ321" s="9" t="str">
        <f>TIM[[#This Row],[Relay MVA]]</f>
        <v>-</v>
      </c>
      <c r="BA321" s="9" t="str">
        <f>TIM[[#This Row],[CT MVA]]</f>
        <v>-</v>
      </c>
      <c r="BB321" s="9" t="str">
        <f>TIM[[#This Row],[Derating MVA]]</f>
        <v>-</v>
      </c>
      <c r="BC321" s="9" t="str">
        <f>TIM[[#This Row],[Station/Feeder]]&amp;TIM[[#This Row],[Lowest MVA]]</f>
        <v>ATM_2</v>
      </c>
      <c r="BD321" s="9" t="str">
        <f>CONCATENATE(TIM[[#This Row],[Supply Level]],TIM[[#This Row],[Station/Feeder]],TIM[[#This Row],[Voltage]],TIM[[#This Row],[Lowest A-No PTX]])</f>
        <v>ZoneSubstationATM_233</v>
      </c>
      <c r="BE321" s="9" t="str">
        <f>CONCATENATE(TIM[[#This Row],[Supply Level]],TIM[[#This Row],[Station/Feeder]],TIM[[#This Row],[Voltage]],TIM[[#This Row],[Lowest A-PTX]])</f>
        <v>ZoneSubstationATM_233437.386567567898</v>
      </c>
      <c r="BF321" s="9" t="str">
        <f>IFERROR(IF(MIN(TIM[[#This Row],[Summ Cont Winter A]:[Cable Derating]])=0,"",MIN(TIM[[#This Row],[Summ Cont Winter A]:[Cable Derating]])),"")</f>
        <v/>
      </c>
      <c r="BG321" s="9" t="str">
        <f>IFERROR(TIM[[#This Row],[Lowest MVA]]*1000/(TIM[[#This Row],[Voltage]]*SQRT(3)),"")</f>
        <v/>
      </c>
      <c r="BH321" s="9">
        <f t="shared" si="385"/>
        <v>437.38656756789834</v>
      </c>
      <c r="BI321" s="9" t="str">
        <f>TIM[[#This Row],[From]]</f>
        <v>CB2922</v>
      </c>
      <c r="BJ321" s="9" t="str">
        <f>TIM[[#This Row],[To]]</f>
        <v>B774/T2</v>
      </c>
      <c r="BK32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Transformer-B774/T2-HV Winding</v>
      </c>
      <c r="BL321" s="9">
        <f>TIM[[#This Row],[Voltage]]</f>
        <v>33</v>
      </c>
    </row>
    <row r="322" spans="1:64" ht="15" hidden="1" customHeight="1" x14ac:dyDescent="0.3">
      <c r="A322" s="6" t="str">
        <f>CONCATENATE(TIM[[#This Row],[Supply Level]],TIM[[#This Row],[Station/Feeder]],TIM[[#This Row],[Voltage]])</f>
        <v>ZoneSubstationATM_211</v>
      </c>
      <c r="B322" s="6" t="str">
        <f>CONCATENATE(TIM[[#This Row],[Supply Level]],TIM[[#This Row],[Station/Feeder]],TIM[[#This Row],[Equipment ID]],TIM[[#This Row],[Voltage]],TIM[[#This Row],[Device type]])</f>
        <v>ZoneSubstationATM_2B774/T211LV Winding</v>
      </c>
      <c r="C322" s="6" t="s">
        <v>1246</v>
      </c>
      <c r="D322" s="11" t="s">
        <v>165</v>
      </c>
      <c r="E322" s="6" t="s">
        <v>862</v>
      </c>
      <c r="F322" s="6" t="s">
        <v>864</v>
      </c>
      <c r="G322" s="27">
        <v>1</v>
      </c>
      <c r="H322" s="7" t="s">
        <v>1028</v>
      </c>
      <c r="I322" s="7" t="s">
        <v>864</v>
      </c>
      <c r="J322" s="7" t="s">
        <v>19</v>
      </c>
      <c r="K322" s="7" t="s">
        <v>0</v>
      </c>
      <c r="L322" s="7" t="s">
        <v>37</v>
      </c>
      <c r="M322" s="8">
        <v>11</v>
      </c>
      <c r="N322" s="9">
        <f>25000/(TIM[[#This Row],[Voltage]]*SQRT(3))</f>
        <v>1312.1597027036951</v>
      </c>
      <c r="O322" s="9">
        <f t="shared" si="0"/>
        <v>25</v>
      </c>
      <c r="P322" s="9" t="s">
        <v>0</v>
      </c>
      <c r="Q322" s="9" t="str">
        <f t="shared" si="1"/>
        <v>-</v>
      </c>
      <c r="R322" s="9" t="s">
        <v>0</v>
      </c>
      <c r="S322" s="9" t="str">
        <f t="shared" si="2"/>
        <v>-</v>
      </c>
      <c r="T322" s="9" t="s">
        <v>0</v>
      </c>
      <c r="U322" s="9" t="str">
        <f t="shared" si="3"/>
        <v>-</v>
      </c>
      <c r="V322" s="9" t="s">
        <v>0</v>
      </c>
      <c r="W322" s="9" t="str">
        <f t="shared" si="4"/>
        <v>-</v>
      </c>
      <c r="X322" s="9" t="s">
        <v>0</v>
      </c>
      <c r="Y322" s="9" t="str">
        <f t="shared" si="5"/>
        <v>-</v>
      </c>
      <c r="Z322" s="9" t="s">
        <v>0</v>
      </c>
      <c r="AA322" s="9" t="str">
        <f t="shared" si="6"/>
        <v>-</v>
      </c>
      <c r="AB322" s="9" t="s">
        <v>0</v>
      </c>
      <c r="AC322" s="9" t="str">
        <f t="shared" si="7"/>
        <v>-</v>
      </c>
      <c r="AD322" s="9" t="s">
        <v>0</v>
      </c>
      <c r="AE322" s="12" t="str">
        <f t="shared" si="8"/>
        <v>-</v>
      </c>
      <c r="AF322" s="9" t="s">
        <v>0</v>
      </c>
      <c r="AG322" s="9" t="s">
        <v>0</v>
      </c>
      <c r="AH322" s="8" t="s">
        <v>0</v>
      </c>
      <c r="AI322" s="9" t="s">
        <v>0</v>
      </c>
      <c r="AJ322" s="32" t="s">
        <v>0</v>
      </c>
      <c r="AK322" s="9" t="s">
        <v>0</v>
      </c>
      <c r="AL322" s="32" t="s">
        <v>0</v>
      </c>
      <c r="AM322" s="9" t="s">
        <v>0</v>
      </c>
      <c r="AN322" s="32" t="s">
        <v>0</v>
      </c>
      <c r="AO322" s="9" t="s">
        <v>0</v>
      </c>
      <c r="AP322" s="9" t="s">
        <v>0</v>
      </c>
      <c r="AQ322" s="32" t="s">
        <v>0</v>
      </c>
      <c r="AR322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22" s="9" t="str">
        <f t="shared" si="9"/>
        <v>-</v>
      </c>
      <c r="AT322" s="9" t="str">
        <f>IF(RIGHT(TIM[[#This Row],[Device type]],7)="Winding","-",TIM[[#This Row],[Cont Winter MVA]])</f>
        <v>-</v>
      </c>
      <c r="AU322" s="9" t="str">
        <f>IF(RIGHT(TIM[[#This Row],[Device type]],7)="Winding","-",TIM[[#This Row],[Cont Shoulder MVA]])</f>
        <v>-</v>
      </c>
      <c r="AV322" s="9" t="str">
        <f>IF(RIGHT(TIM[[#This Row],[Device type]],7)="Winding","-",TIM[[#This Row],[Cont Summer MVA]])</f>
        <v>-</v>
      </c>
      <c r="AW322" s="9" t="str">
        <f>TIM[[#This Row],[24 Hr Winter MVA]]</f>
        <v>-</v>
      </c>
      <c r="AX322" s="9" t="str">
        <f>TIM[[#This Row],[24 Hr Summer MVA]]</f>
        <v>-</v>
      </c>
      <c r="AY322" s="9" t="str">
        <f>TIM[[#This Row],[Forwards MVA]]</f>
        <v>-</v>
      </c>
      <c r="AZ322" s="9" t="str">
        <f>TIM[[#This Row],[Relay MVA]]</f>
        <v>-</v>
      </c>
      <c r="BA322" s="9" t="str">
        <f>TIM[[#This Row],[CT MVA]]</f>
        <v>-</v>
      </c>
      <c r="BB322" s="9" t="str">
        <f>TIM[[#This Row],[Derating MVA]]</f>
        <v>-</v>
      </c>
      <c r="BC322" s="9" t="str">
        <f>TIM[[#This Row],[Station/Feeder]]&amp;TIM[[#This Row],[Lowest MVA]]</f>
        <v>ATM_2</v>
      </c>
      <c r="BD322" s="9" t="str">
        <f>CONCATENATE(TIM[[#This Row],[Supply Level]],TIM[[#This Row],[Station/Feeder]],TIM[[#This Row],[Voltage]],TIM[[#This Row],[Lowest A-No PTX]])</f>
        <v>ZoneSubstationATM_211</v>
      </c>
      <c r="BE322" s="9" t="str">
        <f>CONCATENATE(TIM[[#This Row],[Supply Level]],TIM[[#This Row],[Station/Feeder]],TIM[[#This Row],[Voltage]],TIM[[#This Row],[Lowest A-PTX]])</f>
        <v>ZoneSubstationATM_2111312.1597027037</v>
      </c>
      <c r="BF322" s="9" t="str">
        <f>IFERROR(IF(MIN(TIM[[#This Row],[Summ Cont Winter A]:[Cable Derating]])=0,"",MIN(TIM[[#This Row],[Summ Cont Winter A]:[Cable Derating]])),"")</f>
        <v/>
      </c>
      <c r="BG322" s="9" t="str">
        <f>IFERROR(TIM[[#This Row],[Lowest MVA]]*1000/(TIM[[#This Row],[Voltage]]*SQRT(3)),"")</f>
        <v/>
      </c>
      <c r="BH322" s="9">
        <f t="shared" si="385"/>
        <v>1312.1597027036951</v>
      </c>
      <c r="BI322" s="9" t="str">
        <f>TIM[[#This Row],[From]]</f>
        <v>CB2922</v>
      </c>
      <c r="BJ322" s="9" t="str">
        <f>TIM[[#This Row],[To]]</f>
        <v>B774/T2</v>
      </c>
      <c r="BK32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Transformer-B774/T2-LV Winding</v>
      </c>
      <c r="BL322" s="9">
        <f>TIM[[#This Row],[Voltage]]</f>
        <v>11</v>
      </c>
    </row>
    <row r="323" spans="1:64" ht="15" hidden="1" customHeight="1" x14ac:dyDescent="0.3">
      <c r="A323" s="6" t="str">
        <f>CONCATENATE(TIM[[#This Row],[Supply Level]],TIM[[#This Row],[Station/Feeder]],TIM[[#This Row],[Voltage]])</f>
        <v>ZoneSubstationATM33</v>
      </c>
      <c r="B323" s="6" t="str">
        <f>CONCATENATE(TIM[[#This Row],[Supply Level]],TIM[[#This Row],[Station/Feeder]],TIM[[#This Row],[Equipment ID]],TIM[[#This Row],[Voltage]],TIM[[#This Row],[Device type]])</f>
        <v>ZoneSubstationATML40533-</v>
      </c>
      <c r="C323" s="6" t="s">
        <v>1246</v>
      </c>
      <c r="D323" s="11" t="s">
        <v>160</v>
      </c>
      <c r="E323" s="6" t="s">
        <v>1029</v>
      </c>
      <c r="F323" s="6" t="s">
        <v>63</v>
      </c>
      <c r="G323" s="27">
        <v>2</v>
      </c>
      <c r="H323" s="7" t="s">
        <v>273</v>
      </c>
      <c r="I323" s="7" t="s">
        <v>1029</v>
      </c>
      <c r="J323" s="7" t="s">
        <v>729</v>
      </c>
      <c r="K323" s="7" t="s">
        <v>0</v>
      </c>
      <c r="L323" s="7" t="s">
        <v>0</v>
      </c>
      <c r="M323" s="8">
        <v>33</v>
      </c>
      <c r="N323" s="9" t="s">
        <v>0</v>
      </c>
      <c r="O323" s="9" t="str">
        <f t="shared" si="0"/>
        <v>-</v>
      </c>
      <c r="P323" s="9" t="s">
        <v>0</v>
      </c>
      <c r="Q323" s="9" t="str">
        <f t="shared" si="1"/>
        <v>-</v>
      </c>
      <c r="R323" s="9" t="s">
        <v>0</v>
      </c>
      <c r="S323" s="9" t="str">
        <f t="shared" si="2"/>
        <v>-</v>
      </c>
      <c r="T323" s="9" t="s">
        <v>0</v>
      </c>
      <c r="U323" s="9" t="str">
        <f t="shared" si="3"/>
        <v>-</v>
      </c>
      <c r="V323" s="9" t="s">
        <v>0</v>
      </c>
      <c r="W323" s="9" t="str">
        <f t="shared" si="4"/>
        <v>-</v>
      </c>
      <c r="X323" s="9" t="s">
        <v>0</v>
      </c>
      <c r="Y323" s="9" t="str">
        <f t="shared" si="5"/>
        <v>-</v>
      </c>
      <c r="Z323" s="9" t="s">
        <v>0</v>
      </c>
      <c r="AA323" s="9" t="str">
        <f t="shared" si="6"/>
        <v>-</v>
      </c>
      <c r="AB323" s="9" t="s">
        <v>0</v>
      </c>
      <c r="AC323" s="9" t="str">
        <f t="shared" si="7"/>
        <v>-</v>
      </c>
      <c r="AD323" s="9" t="s">
        <v>0</v>
      </c>
      <c r="AE323" s="12" t="str">
        <f t="shared" si="8"/>
        <v>-</v>
      </c>
      <c r="AF323" s="9" t="s">
        <v>0</v>
      </c>
      <c r="AG323" s="9" t="s">
        <v>0</v>
      </c>
      <c r="AH323" s="9" t="s">
        <v>0</v>
      </c>
      <c r="AI323" s="9" t="s">
        <v>0</v>
      </c>
      <c r="AJ323" s="32" t="s">
        <v>0</v>
      </c>
      <c r="AK323" s="9" t="s">
        <v>0</v>
      </c>
      <c r="AL323" s="32" t="s">
        <v>0</v>
      </c>
      <c r="AM323" s="9" t="s">
        <v>0</v>
      </c>
      <c r="AN323" s="32" t="s">
        <v>0</v>
      </c>
      <c r="AO323" s="9" t="s">
        <v>0</v>
      </c>
      <c r="AP323" s="9" t="s">
        <v>0</v>
      </c>
      <c r="AQ323" s="32" t="s">
        <v>0</v>
      </c>
      <c r="AR323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23" s="9" t="str">
        <f t="shared" si="9"/>
        <v>-</v>
      </c>
      <c r="AT323" s="9" t="str">
        <f>IF(RIGHT(TIM[[#This Row],[Device type]],7)="Winding","-",TIM[[#This Row],[Cont Winter MVA]])</f>
        <v>-</v>
      </c>
      <c r="AU323" s="9" t="str">
        <f>IF(RIGHT(TIM[[#This Row],[Device type]],7)="Winding","-",TIM[[#This Row],[Cont Shoulder MVA]])</f>
        <v>-</v>
      </c>
      <c r="AV323" s="9" t="str">
        <f>IF(RIGHT(TIM[[#This Row],[Device type]],7)="Winding","-",TIM[[#This Row],[Cont Summer MVA]])</f>
        <v>-</v>
      </c>
      <c r="AW323" s="9" t="str">
        <f>TIM[[#This Row],[24 Hr Winter MVA]]</f>
        <v>-</v>
      </c>
      <c r="AX323" s="9" t="str">
        <f>TIM[[#This Row],[24 Hr Summer MVA]]</f>
        <v>-</v>
      </c>
      <c r="AY323" s="9" t="str">
        <f>TIM[[#This Row],[Forwards MVA]]</f>
        <v>-</v>
      </c>
      <c r="AZ323" s="9" t="str">
        <f>TIM[[#This Row],[Relay MVA]]</f>
        <v>-</v>
      </c>
      <c r="BA323" s="9" t="str">
        <f>TIM[[#This Row],[CT MVA]]</f>
        <v>-</v>
      </c>
      <c r="BB323" s="9" t="str">
        <f>TIM[[#This Row],[Derating MVA]]</f>
        <v>-</v>
      </c>
      <c r="BC323" s="9" t="str">
        <f>TIM[[#This Row],[Station/Feeder]]&amp;TIM[[#This Row],[Lowest MVA]]</f>
        <v>ATM</v>
      </c>
      <c r="BD323" s="9" t="str">
        <f>CONCATENATE(TIM[[#This Row],[Supply Level]],TIM[[#This Row],[Station/Feeder]],TIM[[#This Row],[Voltage]],TIM[[#This Row],[Lowest A-No PTX]])</f>
        <v>ZoneSubstationATM33</v>
      </c>
      <c r="BE323" s="9" t="str">
        <f>CONCATENATE(TIM[[#This Row],[Supply Level]],TIM[[#This Row],[Station/Feeder]],TIM[[#This Row],[Voltage]],TIM[[#This Row],[Lowest A-PTX]])</f>
        <v>ZoneSubstationATM33</v>
      </c>
      <c r="BF323" s="9" t="str">
        <f>IFERROR(IF(MIN(TIM[[#This Row],[Summ Cont Winter A]:[Cable Derating]])=0,"",MIN(TIM[[#This Row],[Summ Cont Winter A]:[Cable Derating]])),"")</f>
        <v/>
      </c>
      <c r="BG323" s="9" t="str">
        <f>IFERROR(TIM[[#This Row],[Lowest MVA]]*1000/(TIM[[#This Row],[Voltage]]*SQRT(3)),"")</f>
        <v/>
      </c>
      <c r="BH323" s="9" t="str">
        <f t="shared" si="385"/>
        <v/>
      </c>
      <c r="BI323" s="9" t="str">
        <f>TIM[[#This Row],[From]]</f>
        <v>L405</v>
      </c>
      <c r="BJ323" s="9" t="str">
        <f>TIM[[#This Row],[To]]</f>
        <v>33 kV Bus</v>
      </c>
      <c r="BK32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Air Break Switch-L405</v>
      </c>
      <c r="BL323" s="9">
        <f>TIM[[#This Row],[Voltage]]</f>
        <v>33</v>
      </c>
    </row>
    <row r="324" spans="1:64" ht="15" hidden="1" customHeight="1" x14ac:dyDescent="0.3">
      <c r="A324" s="6" t="str">
        <f>CONCATENATE(TIM[[#This Row],[Supply Level]],TIM[[#This Row],[Station/Feeder]],TIM[[#This Row],[Voltage]])</f>
        <v>SubTransmissionATM33</v>
      </c>
      <c r="B324" s="6" t="str">
        <f>CONCATENATE(TIM[[#This Row],[Supply Level]],TIM[[#This Row],[Station/Feeder]],TIM[[#This Row],[Equipment ID]],TIM[[#This Row],[Voltage]],TIM[[#This Row],[Device type]])</f>
        <v>SubTransmissionATMATM-L41333Protection</v>
      </c>
      <c r="C324" s="6" t="s">
        <v>1245</v>
      </c>
      <c r="D324" s="11" t="s">
        <v>160</v>
      </c>
      <c r="E324" s="6" t="s">
        <v>63</v>
      </c>
      <c r="F324" s="6" t="s">
        <v>1030</v>
      </c>
      <c r="G324" s="27">
        <v>3</v>
      </c>
      <c r="H324" s="7" t="s">
        <v>274</v>
      </c>
      <c r="I324" s="7" t="s">
        <v>2419</v>
      </c>
      <c r="J324" s="7" t="s">
        <v>15</v>
      </c>
      <c r="K324" s="7" t="s">
        <v>1118</v>
      </c>
      <c r="L324" s="7" t="s">
        <v>1423</v>
      </c>
      <c r="M324" s="8">
        <v>33</v>
      </c>
      <c r="N324" s="9" t="s">
        <v>0</v>
      </c>
      <c r="O324" s="9" t="str">
        <f t="shared" si="0"/>
        <v>-</v>
      </c>
      <c r="P324" s="9" t="s">
        <v>0</v>
      </c>
      <c r="Q324" s="9" t="str">
        <f t="shared" si="1"/>
        <v>-</v>
      </c>
      <c r="R324" s="9" t="s">
        <v>0</v>
      </c>
      <c r="S324" s="9" t="str">
        <f t="shared" si="2"/>
        <v>-</v>
      </c>
      <c r="T324" s="9" t="s">
        <v>0</v>
      </c>
      <c r="U324" s="9" t="str">
        <f t="shared" si="3"/>
        <v>-</v>
      </c>
      <c r="V324" s="9" t="s">
        <v>0</v>
      </c>
      <c r="W324" s="9" t="str">
        <f t="shared" si="4"/>
        <v>-</v>
      </c>
      <c r="X324" s="9">
        <v>240</v>
      </c>
      <c r="Y324" s="9">
        <f t="shared" si="5"/>
        <v>13.717842395945507</v>
      </c>
      <c r="Z324" s="9" t="s">
        <v>0</v>
      </c>
      <c r="AA324" s="9" t="str">
        <f t="shared" si="6"/>
        <v>-</v>
      </c>
      <c r="AB324" s="9">
        <v>240</v>
      </c>
      <c r="AC324" s="9">
        <f t="shared" si="7"/>
        <v>13.717842395945507</v>
      </c>
      <c r="AD324" s="9">
        <v>240</v>
      </c>
      <c r="AE324" s="12">
        <f t="shared" si="8"/>
        <v>13.717842395945507</v>
      </c>
      <c r="AF324" s="9" t="s">
        <v>0</v>
      </c>
      <c r="AG324" s="9" t="s">
        <v>0</v>
      </c>
      <c r="AH324" s="9" t="s">
        <v>0</v>
      </c>
      <c r="AI324" s="9" t="s">
        <v>0</v>
      </c>
      <c r="AJ324" s="32" t="s">
        <v>0</v>
      </c>
      <c r="AK324" s="9" t="s">
        <v>0</v>
      </c>
      <c r="AL324" s="32" t="s">
        <v>0</v>
      </c>
      <c r="AM324" s="9" t="s">
        <v>0</v>
      </c>
      <c r="AN324" s="32" t="s">
        <v>0</v>
      </c>
      <c r="AO324" s="9" t="s">
        <v>0</v>
      </c>
      <c r="AP324" s="9" t="s">
        <v>0</v>
      </c>
      <c r="AQ324" s="32" t="s">
        <v>0</v>
      </c>
      <c r="AR32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24" s="9" t="str">
        <f t="shared" si="9"/>
        <v>-</v>
      </c>
      <c r="AT324" s="9" t="str">
        <f>IF(RIGHT(TIM[[#This Row],[Device type]],7)="Winding","-",TIM[[#This Row],[Cont Winter MVA]])</f>
        <v>-</v>
      </c>
      <c r="AU324" s="9" t="str">
        <f>IF(RIGHT(TIM[[#This Row],[Device type]],7)="Winding","-",TIM[[#This Row],[Cont Shoulder MVA]])</f>
        <v>-</v>
      </c>
      <c r="AV324" s="9" t="str">
        <f>IF(RIGHT(TIM[[#This Row],[Device type]],7)="Winding","-",TIM[[#This Row],[Cont Summer MVA]])</f>
        <v>-</v>
      </c>
      <c r="AW324" s="9" t="str">
        <f>TIM[[#This Row],[24 Hr Winter MVA]]</f>
        <v>-</v>
      </c>
      <c r="AX324" s="9" t="str">
        <f>TIM[[#This Row],[24 Hr Summer MVA]]</f>
        <v>-</v>
      </c>
      <c r="AY324" s="9">
        <f>TIM[[#This Row],[Forwards MVA]]</f>
        <v>13.717842395945507</v>
      </c>
      <c r="AZ324" s="9">
        <f>TIM[[#This Row],[Relay MVA]]</f>
        <v>13.717842395945507</v>
      </c>
      <c r="BA324" s="9">
        <f>TIM[[#This Row],[CT MVA]]</f>
        <v>13.717842395945507</v>
      </c>
      <c r="BB324" s="9" t="str">
        <f>TIM[[#This Row],[Derating MVA]]</f>
        <v>-</v>
      </c>
      <c r="BC324" s="9" t="str">
        <f>TIM[[#This Row],[Station/Feeder]]&amp;TIM[[#This Row],[Lowest MVA]]</f>
        <v>ATM13.7178423959455</v>
      </c>
      <c r="BD324" s="9" t="str">
        <f>CONCATENATE(TIM[[#This Row],[Supply Level]],TIM[[#This Row],[Station/Feeder]],TIM[[#This Row],[Voltage]],TIM[[#This Row],[Lowest A-No PTX]])</f>
        <v>SubTransmissionATM33240</v>
      </c>
      <c r="BE324" s="9" t="str">
        <f>CONCATENATE(TIM[[#This Row],[Supply Level]],TIM[[#This Row],[Station/Feeder]],TIM[[#This Row],[Voltage]],TIM[[#This Row],[Lowest A-PTX]])</f>
        <v>SubTransmissionATM33240</v>
      </c>
      <c r="BF324" s="9">
        <f>IFERROR(IF(MIN(TIM[[#This Row],[Summ Cont Winter A]:[Cable Derating]])=0,"",MIN(TIM[[#This Row],[Summ Cont Winter A]:[Cable Derating]])),"")</f>
        <v>13.717842395945507</v>
      </c>
      <c r="BG324" s="9">
        <f>IFERROR(TIM[[#This Row],[Lowest MVA]]*1000/(TIM[[#This Row],[Voltage]]*SQRT(3)),"")</f>
        <v>240</v>
      </c>
      <c r="BH324" s="9">
        <f t="shared" si="385"/>
        <v>240</v>
      </c>
      <c r="BI324" s="9" t="str">
        <f>TIM[[#This Row],[From]]</f>
        <v>33 kV Bus</v>
      </c>
      <c r="BJ324" s="9" t="str">
        <f>TIM[[#This Row],[To]]</f>
        <v>CB L413</v>
      </c>
      <c r="BK32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Breaker-ATM-L413-Protection</v>
      </c>
      <c r="BL324" s="9">
        <f>TIM[[#This Row],[Voltage]]</f>
        <v>33</v>
      </c>
    </row>
    <row r="325" spans="1:64" ht="15" hidden="1" customHeight="1" x14ac:dyDescent="0.3">
      <c r="A325" s="6" t="str">
        <f>CONCATENATE(TIM[[#This Row],[Supply Level]],TIM[[#This Row],[Station/Feeder]],TIM[[#This Row],[Voltage]])</f>
        <v>SubTransmissionATM_211</v>
      </c>
      <c r="B325" s="6" t="str">
        <f>CONCATENATE(TIM[[#This Row],[Supply Level]],TIM[[#This Row],[Station/Feeder]],TIM[[#This Row],[Equipment ID]],TIM[[#This Row],[Voltage]],TIM[[#This Row],[Device type]])</f>
        <v>SubTransmissionATM_2TIM-CB292211Protection</v>
      </c>
      <c r="C325" s="6" t="s">
        <v>1245</v>
      </c>
      <c r="D325" s="11" t="s">
        <v>165</v>
      </c>
      <c r="E325" s="6" t="s">
        <v>243</v>
      </c>
      <c r="F325" s="6" t="s">
        <v>862</v>
      </c>
      <c r="G325" s="27">
        <v>1</v>
      </c>
      <c r="H325" s="7" t="s">
        <v>2368</v>
      </c>
      <c r="I325" s="7" t="s">
        <v>2237</v>
      </c>
      <c r="J325" s="7" t="s">
        <v>15</v>
      </c>
      <c r="K325" s="7" t="s">
        <v>1121</v>
      </c>
      <c r="L325" s="7" t="s">
        <v>1423</v>
      </c>
      <c r="M325" s="8">
        <v>11</v>
      </c>
      <c r="N325" s="9">
        <v>1250</v>
      </c>
      <c r="O325" s="9">
        <f t="shared" ref="O325:O326" si="427">IF(OR(N325="",N325="-"),"-",N325*$M325*SQRT(3)/1000)</f>
        <v>23.815698604072061</v>
      </c>
      <c r="P325" s="9">
        <v>1250</v>
      </c>
      <c r="Q325" s="9">
        <f t="shared" ref="Q325:Q326" si="428">IF(OR(P325="",P325="-"),"-",P325*$M325*SQRT(3)/1000)</f>
        <v>23.815698604072061</v>
      </c>
      <c r="R325" s="9">
        <v>1250</v>
      </c>
      <c r="S325" s="9">
        <f t="shared" ref="S325:S326" si="429">IF(OR(R325="",R325="-"),"-",R325*$M325*SQRT(3)/1000)</f>
        <v>23.815698604072061</v>
      </c>
      <c r="T325" s="9" t="s">
        <v>0</v>
      </c>
      <c r="U325" s="9" t="str">
        <f t="shared" ref="U325:U326" si="430">IF(OR(T325="",T325="-"),"-",T325*$M325*SQRT(3)/1000)</f>
        <v>-</v>
      </c>
      <c r="V325" s="9" t="s">
        <v>0</v>
      </c>
      <c r="W325" s="9" t="str">
        <f t="shared" ref="W325:W326" si="431">IF(OR(V325="",V325="-"),"-",V325*$M325*SQRT(3)/1000)</f>
        <v>-</v>
      </c>
      <c r="X325" s="9">
        <f>VLOOKUP(TIM[[#This Row],[Equipment ID]],AEL_Protection_Data[#All],12,0)</f>
        <v>1068</v>
      </c>
      <c r="Y325" s="9">
        <f t="shared" si="5"/>
        <v>20.348132887319171</v>
      </c>
      <c r="Z325" s="9">
        <v>976</v>
      </c>
      <c r="AA325" s="9">
        <f t="shared" si="6"/>
        <v>18.595297470059464</v>
      </c>
      <c r="AB325" s="9">
        <v>3600</v>
      </c>
      <c r="AC325" s="9">
        <f t="shared" si="7"/>
        <v>68.589211979727537</v>
      </c>
      <c r="AD325" s="9">
        <v>2400</v>
      </c>
      <c r="AE325" s="12">
        <f t="shared" si="8"/>
        <v>45.72614131981836</v>
      </c>
      <c r="AF325" s="29" t="s">
        <v>0</v>
      </c>
      <c r="AG325" s="29" t="s">
        <v>0</v>
      </c>
      <c r="AH325" s="8" t="s">
        <v>0</v>
      </c>
      <c r="AI325" s="29" t="s">
        <v>0</v>
      </c>
      <c r="AJ325" s="32" t="s">
        <v>0</v>
      </c>
      <c r="AK325" s="29" t="s">
        <v>0</v>
      </c>
      <c r="AL325" s="32" t="s">
        <v>0</v>
      </c>
      <c r="AM325" s="29" t="s">
        <v>0</v>
      </c>
      <c r="AN325" s="32" t="s">
        <v>0</v>
      </c>
      <c r="AO325" s="29" t="s">
        <v>0</v>
      </c>
      <c r="AP325" s="29" t="s">
        <v>0</v>
      </c>
      <c r="AQ325" s="32" t="s">
        <v>0</v>
      </c>
      <c r="AR325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25" s="9" t="str">
        <f t="shared" ref="AS325" si="432">IF(OR(AR325="",AR325="-"),"-",AR325*$M325*SQRT(3)/1000)</f>
        <v>-</v>
      </c>
      <c r="AT325" s="9">
        <f>IF(RIGHT(TIM[[#This Row],[Device type]],7)="Winding","-",TIM[[#This Row],[Cont Winter MVA]])</f>
        <v>23.815698604072061</v>
      </c>
      <c r="AU325" s="9">
        <f>IF(RIGHT(TIM[[#This Row],[Device type]],7)="Winding","-",TIM[[#This Row],[Cont Shoulder MVA]])</f>
        <v>23.815698604072061</v>
      </c>
      <c r="AV325" s="9">
        <f>IF(RIGHT(TIM[[#This Row],[Device type]],7)="Winding","-",TIM[[#This Row],[Cont Summer MVA]])</f>
        <v>23.815698604072061</v>
      </c>
      <c r="AW325" s="9" t="str">
        <f>TIM[[#This Row],[24 Hr Winter MVA]]</f>
        <v>-</v>
      </c>
      <c r="AX325" s="9" t="str">
        <f>TIM[[#This Row],[24 Hr Summer MVA]]</f>
        <v>-</v>
      </c>
      <c r="AY325" s="9">
        <f>TIM[[#This Row],[Forwards MVA]]</f>
        <v>20.348132887319171</v>
      </c>
      <c r="AZ325" s="9">
        <f>TIM[[#This Row],[Relay MVA]]</f>
        <v>68.589211979727537</v>
      </c>
      <c r="BA325" s="9">
        <f>TIM[[#This Row],[CT MVA]]</f>
        <v>45.72614131981836</v>
      </c>
      <c r="BB325" s="9" t="str">
        <f>TIM[[#This Row],[Derating MVA]]</f>
        <v>-</v>
      </c>
      <c r="BC325" s="9" t="str">
        <f>TIM[[#This Row],[Station/Feeder]]&amp;TIM[[#This Row],[Lowest MVA]]</f>
        <v>ATM_220.3481328873192</v>
      </c>
      <c r="BD325" s="9" t="str">
        <f>CONCATENATE(TIM[[#This Row],[Supply Level]],TIM[[#This Row],[Station/Feeder]],TIM[[#This Row],[Voltage]],TIM[[#This Row],[Lowest A-No PTX]])</f>
        <v>SubTransmissionATM_2111068</v>
      </c>
      <c r="BE325" s="9" t="str">
        <f>CONCATENATE(TIM[[#This Row],[Supply Level]],TIM[[#This Row],[Station/Feeder]],TIM[[#This Row],[Voltage]],TIM[[#This Row],[Lowest A-PTX]])</f>
        <v>SubTransmissionATM_211976</v>
      </c>
      <c r="BF325" s="9">
        <f>IFERROR(IF(MIN(TIM[[#This Row],[Summ Cont Winter A]:[Cable Derating]])=0,"",MIN(TIM[[#This Row],[Summ Cont Winter A]:[Cable Derating]])),"")</f>
        <v>20.348132887319171</v>
      </c>
      <c r="BG325" s="9">
        <f>IFERROR(TIM[[#This Row],[Lowest MVA]]*1000/(TIM[[#This Row],[Voltage]]*SQRT(3)),"")</f>
        <v>1068</v>
      </c>
      <c r="BH325" s="9">
        <f t="shared" si="385"/>
        <v>976</v>
      </c>
      <c r="BI325" s="9" t="str">
        <f>TIM[[#This Row],[From]]</f>
        <v>11 kV Bus</v>
      </c>
      <c r="BJ325" s="9" t="str">
        <f>TIM[[#This Row],[To]]</f>
        <v>CB2922</v>
      </c>
      <c r="BK32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Breaker-TIM-CB2922-Protection</v>
      </c>
      <c r="BL325" s="9">
        <f>TIM[[#This Row],[Voltage]]</f>
        <v>11</v>
      </c>
    </row>
    <row r="326" spans="1:64" ht="15" hidden="1" customHeight="1" x14ac:dyDescent="0.3">
      <c r="A326" s="6" t="str">
        <f>CONCATENATE(TIM[[#This Row],[Supply Level]],TIM[[#This Row],[Station/Feeder]],TIM[[#This Row],[Voltage]])</f>
        <v>SubTransmissionATM_211</v>
      </c>
      <c r="B326" s="6" t="str">
        <f>CONCATENATE(TIM[[#This Row],[Supply Level]],TIM[[#This Row],[Station/Feeder]],TIM[[#This Row],[Equipment ID]],TIM[[#This Row],[Voltage]],TIM[[#This Row],[Device type]])</f>
        <v>SubTransmissionATM_22 x 3/1c 630mm² Cu 11-</v>
      </c>
      <c r="C326" s="6" t="s">
        <v>1245</v>
      </c>
      <c r="D326" s="11" t="s">
        <v>165</v>
      </c>
      <c r="E326" s="6" t="s">
        <v>862</v>
      </c>
      <c r="F326" s="6" t="s">
        <v>864</v>
      </c>
      <c r="G326" s="27">
        <v>2</v>
      </c>
      <c r="H326" s="7" t="s">
        <v>824</v>
      </c>
      <c r="I326" s="7" t="s">
        <v>825</v>
      </c>
      <c r="J326" s="7" t="s">
        <v>250</v>
      </c>
      <c r="K326" s="7" t="s">
        <v>0</v>
      </c>
      <c r="L326" s="7" t="s">
        <v>0</v>
      </c>
      <c r="M326" s="8">
        <v>11</v>
      </c>
      <c r="N326" s="9">
        <v>1600</v>
      </c>
      <c r="O326" s="9">
        <f t="shared" si="427"/>
        <v>30.484094213212241</v>
      </c>
      <c r="P326" s="9">
        <v>1600</v>
      </c>
      <c r="Q326" s="9">
        <f t="shared" si="428"/>
        <v>30.484094213212241</v>
      </c>
      <c r="R326" s="9">
        <v>1600</v>
      </c>
      <c r="S326" s="9">
        <f t="shared" si="429"/>
        <v>30.484094213212241</v>
      </c>
      <c r="T326" s="9" t="s">
        <v>0</v>
      </c>
      <c r="U326" s="9" t="str">
        <f t="shared" si="430"/>
        <v>-</v>
      </c>
      <c r="V326" s="9" t="s">
        <v>0</v>
      </c>
      <c r="W326" s="9" t="str">
        <f t="shared" si="431"/>
        <v>-</v>
      </c>
      <c r="X326" s="9" t="s">
        <v>0</v>
      </c>
      <c r="Y326" s="9" t="str">
        <f>IF(OR(X326="",X326="-"),"-",X326*$M326*SQRT(3)/1000)</f>
        <v>-</v>
      </c>
      <c r="Z326" s="9" t="s">
        <v>0</v>
      </c>
      <c r="AA326" s="9" t="str">
        <f>IF(OR(Z326="",Z326="-"),"-",Z326*$M326*SQRT(3)/1000)</f>
        <v>-</v>
      </c>
      <c r="AB326" s="9" t="s">
        <v>0</v>
      </c>
      <c r="AC326" s="9" t="str">
        <f>IF(OR(AB326="",AB326="-"),"-",AB326*$M326*SQRT(3)/1000)</f>
        <v>-</v>
      </c>
      <c r="AD326" s="9" t="s">
        <v>0</v>
      </c>
      <c r="AE326" s="12" t="str">
        <f>IF(OR(AD326="",AD326="-"),"-",AD326*$M326*SQRT(3)/1000)</f>
        <v>-</v>
      </c>
      <c r="AF326" s="159" t="s">
        <v>826</v>
      </c>
      <c r="AG326" s="9" t="s">
        <v>0</v>
      </c>
      <c r="AH326" s="9">
        <v>96.9</v>
      </c>
      <c r="AI326" s="9">
        <v>1</v>
      </c>
      <c r="AJ326" s="32">
        <v>0.97</v>
      </c>
      <c r="AK326" s="9">
        <v>20</v>
      </c>
      <c r="AL326" s="32">
        <v>0.95</v>
      </c>
      <c r="AM326" s="9">
        <v>1.2</v>
      </c>
      <c r="AN326" s="32">
        <v>1</v>
      </c>
      <c r="AO326" s="9">
        <v>4</v>
      </c>
      <c r="AP326" s="9">
        <v>0.45</v>
      </c>
      <c r="AQ326" s="32">
        <v>0.76</v>
      </c>
      <c r="AR326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1120.5439999999999</v>
      </c>
      <c r="AS326" s="9">
        <f>IF(OR(AR326="",AR326="-"),"-",AR326*$M326*SQRT(3)/1000)</f>
        <v>21.349230541281056</v>
      </c>
      <c r="AT326" s="9">
        <f>IF(RIGHT(TIM[[#This Row],[Device type]],7)="Winding","-",TIM[[#This Row],[Cont Winter MVA]])</f>
        <v>30.484094213212241</v>
      </c>
      <c r="AU326" s="9">
        <f>IF(RIGHT(TIM[[#This Row],[Device type]],7)="Winding","-",TIM[[#This Row],[Cont Shoulder MVA]])</f>
        <v>30.484094213212241</v>
      </c>
      <c r="AV326" s="9">
        <f>IF(RIGHT(TIM[[#This Row],[Device type]],7)="Winding","-",TIM[[#This Row],[Cont Summer MVA]])</f>
        <v>30.484094213212241</v>
      </c>
      <c r="AW326" s="9" t="str">
        <f>TIM[[#This Row],[24 Hr Winter MVA]]</f>
        <v>-</v>
      </c>
      <c r="AX326" s="9" t="str">
        <f>TIM[[#This Row],[24 Hr Summer MVA]]</f>
        <v>-</v>
      </c>
      <c r="AY326" s="9" t="str">
        <f>TIM[[#This Row],[Forwards MVA]]</f>
        <v>-</v>
      </c>
      <c r="AZ326" s="9" t="str">
        <f>TIM[[#This Row],[Relay MVA]]</f>
        <v>-</v>
      </c>
      <c r="BA326" s="9" t="str">
        <f>TIM[[#This Row],[CT MVA]]</f>
        <v>-</v>
      </c>
      <c r="BB326" s="9">
        <f>TIM[[#This Row],[Derating MVA]]</f>
        <v>21.349230541281056</v>
      </c>
      <c r="BC326" s="9" t="str">
        <f>TIM[[#This Row],[Station/Feeder]]&amp;TIM[[#This Row],[Lowest MVA]]</f>
        <v>ATM_221.3492305412811</v>
      </c>
      <c r="BD326" s="9" t="str">
        <f>CONCATENATE(TIM[[#This Row],[Supply Level]],TIM[[#This Row],[Station/Feeder]],TIM[[#This Row],[Voltage]],TIM[[#This Row],[Lowest A-No PTX]])</f>
        <v>SubTransmissionATM_2111120.544</v>
      </c>
      <c r="BE326" s="9" t="str">
        <f>CONCATENATE(TIM[[#This Row],[Supply Level]],TIM[[#This Row],[Station/Feeder]],TIM[[#This Row],[Voltage]],TIM[[#This Row],[Lowest A-PTX]])</f>
        <v>SubTransmissionATM_2111120.544</v>
      </c>
      <c r="BF326" s="9">
        <f>IFERROR(IF(MIN(TIM[[#This Row],[Summ Cont Winter A]:[Cable Derating]])=0,"",MIN(TIM[[#This Row],[Summ Cont Winter A]:[Cable Derating]])),"")</f>
        <v>21.349230541281056</v>
      </c>
      <c r="BG326" s="9">
        <f>IFERROR(TIM[[#This Row],[Lowest MVA]]*1000/(TIM[[#This Row],[Voltage]]*SQRT(3)),"")</f>
        <v>1120.5439999999999</v>
      </c>
      <c r="BH326" s="9">
        <f t="shared" si="385"/>
        <v>1120.5439999999999</v>
      </c>
      <c r="BI326" s="9" t="str">
        <f>TIM[[#This Row],[From]]</f>
        <v>CB2922</v>
      </c>
      <c r="BJ326" s="9" t="str">
        <f>TIM[[#This Row],[To]]</f>
        <v>B774/T2</v>
      </c>
      <c r="BK32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 xml:space="preserve">Cable-2 x 3/1c 630mm² Cu </v>
      </c>
      <c r="BL326" s="9">
        <f>TIM[[#This Row],[Voltage]]</f>
        <v>11</v>
      </c>
    </row>
    <row r="327" spans="1:64" ht="15" hidden="1" customHeight="1" x14ac:dyDescent="0.3">
      <c r="A327" s="6" t="str">
        <f>CONCATENATE(TIM[[#This Row],[Supply Level]],TIM[[#This Row],[Station/Feeder]],TIM[[#This Row],[Voltage]])</f>
        <v>ZoneSubstationATM_233</v>
      </c>
      <c r="B327" s="6" t="str">
        <f>CONCATENATE(TIM[[#This Row],[Supply Level]],TIM[[#This Row],[Station/Feeder]],TIM[[#This Row],[Equipment ID]],TIM[[#This Row],[Voltage]],TIM[[#This Row],[Device type]])</f>
        <v>ZoneSubstationATM_2L406 33-</v>
      </c>
      <c r="C327" s="6" t="s">
        <v>1246</v>
      </c>
      <c r="D327" s="11" t="s">
        <v>165</v>
      </c>
      <c r="E327" s="6" t="s">
        <v>1031</v>
      </c>
      <c r="F327" s="6" t="s">
        <v>63</v>
      </c>
      <c r="G327" s="27">
        <v>2</v>
      </c>
      <c r="H327" s="7" t="s">
        <v>273</v>
      </c>
      <c r="I327" s="7" t="s">
        <v>1032</v>
      </c>
      <c r="J327" s="7" t="s">
        <v>729</v>
      </c>
      <c r="K327" s="7" t="s">
        <v>0</v>
      </c>
      <c r="L327" s="7" t="s">
        <v>0</v>
      </c>
      <c r="M327" s="8">
        <v>33</v>
      </c>
      <c r="N327" s="9" t="s">
        <v>0</v>
      </c>
      <c r="O327" s="9" t="str">
        <f t="shared" si="0"/>
        <v>-</v>
      </c>
      <c r="P327" s="9" t="s">
        <v>0</v>
      </c>
      <c r="Q327" s="9" t="str">
        <f t="shared" si="1"/>
        <v>-</v>
      </c>
      <c r="R327" s="9" t="s">
        <v>0</v>
      </c>
      <c r="S327" s="9" t="str">
        <f t="shared" si="2"/>
        <v>-</v>
      </c>
      <c r="T327" s="9" t="s">
        <v>0</v>
      </c>
      <c r="U327" s="9" t="str">
        <f t="shared" si="3"/>
        <v>-</v>
      </c>
      <c r="V327" s="9" t="s">
        <v>0</v>
      </c>
      <c r="W327" s="9" t="str">
        <f t="shared" si="4"/>
        <v>-</v>
      </c>
      <c r="X327" s="9" t="s">
        <v>0</v>
      </c>
      <c r="Y327" s="9" t="str">
        <f t="shared" si="5"/>
        <v>-</v>
      </c>
      <c r="Z327" s="9" t="s">
        <v>0</v>
      </c>
      <c r="AA327" s="9" t="str">
        <f t="shared" si="6"/>
        <v>-</v>
      </c>
      <c r="AB327" s="9" t="s">
        <v>0</v>
      </c>
      <c r="AC327" s="9" t="str">
        <f t="shared" si="7"/>
        <v>-</v>
      </c>
      <c r="AD327" s="9" t="s">
        <v>0</v>
      </c>
      <c r="AE327" s="12" t="str">
        <f t="shared" si="8"/>
        <v>-</v>
      </c>
      <c r="AF327" s="9" t="s">
        <v>0</v>
      </c>
      <c r="AG327" s="9" t="s">
        <v>0</v>
      </c>
      <c r="AH327" s="9" t="s">
        <v>0</v>
      </c>
      <c r="AI327" s="9" t="s">
        <v>0</v>
      </c>
      <c r="AJ327" s="32" t="s">
        <v>0</v>
      </c>
      <c r="AK327" s="9" t="s">
        <v>0</v>
      </c>
      <c r="AL327" s="32" t="s">
        <v>0</v>
      </c>
      <c r="AM327" s="9" t="s">
        <v>0</v>
      </c>
      <c r="AN327" s="32" t="s">
        <v>0</v>
      </c>
      <c r="AO327" s="9" t="s">
        <v>0</v>
      </c>
      <c r="AP327" s="9" t="s">
        <v>0</v>
      </c>
      <c r="AQ327" s="32" t="s">
        <v>0</v>
      </c>
      <c r="AR327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27" s="9" t="str">
        <f t="shared" si="9"/>
        <v>-</v>
      </c>
      <c r="AT327" s="9" t="str">
        <f>IF(RIGHT(TIM[[#This Row],[Device type]],7)="Winding","-",TIM[[#This Row],[Cont Winter MVA]])</f>
        <v>-</v>
      </c>
      <c r="AU327" s="9" t="str">
        <f>IF(RIGHT(TIM[[#This Row],[Device type]],7)="Winding","-",TIM[[#This Row],[Cont Shoulder MVA]])</f>
        <v>-</v>
      </c>
      <c r="AV327" s="9" t="str">
        <f>IF(RIGHT(TIM[[#This Row],[Device type]],7)="Winding","-",TIM[[#This Row],[Cont Summer MVA]])</f>
        <v>-</v>
      </c>
      <c r="AW327" s="9" t="str">
        <f>TIM[[#This Row],[24 Hr Winter MVA]]</f>
        <v>-</v>
      </c>
      <c r="AX327" s="9" t="str">
        <f>TIM[[#This Row],[24 Hr Summer MVA]]</f>
        <v>-</v>
      </c>
      <c r="AY327" s="9" t="str">
        <f>TIM[[#This Row],[Forwards MVA]]</f>
        <v>-</v>
      </c>
      <c r="AZ327" s="9" t="str">
        <f>TIM[[#This Row],[Relay MVA]]</f>
        <v>-</v>
      </c>
      <c r="BA327" s="9" t="str">
        <f>TIM[[#This Row],[CT MVA]]</f>
        <v>-</v>
      </c>
      <c r="BB327" s="9" t="str">
        <f>TIM[[#This Row],[Derating MVA]]</f>
        <v>-</v>
      </c>
      <c r="BC327" s="9" t="str">
        <f>TIM[[#This Row],[Station/Feeder]]&amp;TIM[[#This Row],[Lowest MVA]]</f>
        <v>ATM_2</v>
      </c>
      <c r="BD327" s="9" t="str">
        <f>CONCATENATE(TIM[[#This Row],[Supply Level]],TIM[[#This Row],[Station/Feeder]],TIM[[#This Row],[Voltage]],TIM[[#This Row],[Lowest A-No PTX]])</f>
        <v>ZoneSubstationATM_233</v>
      </c>
      <c r="BE327" s="9" t="str">
        <f>CONCATENATE(TIM[[#This Row],[Supply Level]],TIM[[#This Row],[Station/Feeder]],TIM[[#This Row],[Voltage]],TIM[[#This Row],[Lowest A-PTX]])</f>
        <v>ZoneSubstationATM_233</v>
      </c>
      <c r="BF327" s="9" t="str">
        <f>IFERROR(IF(MIN(TIM[[#This Row],[Summ Cont Winter A]:[Cable Derating]])=0,"",MIN(TIM[[#This Row],[Summ Cont Winter A]:[Cable Derating]])),"")</f>
        <v/>
      </c>
      <c r="BG327" s="9" t="str">
        <f>IFERROR(TIM[[#This Row],[Lowest MVA]]*1000/(TIM[[#This Row],[Voltage]]*SQRT(3)),"")</f>
        <v/>
      </c>
      <c r="BH327" s="9" t="str">
        <f t="shared" si="385"/>
        <v/>
      </c>
      <c r="BI327" s="9" t="str">
        <f>TIM[[#This Row],[From]]</f>
        <v>L406</v>
      </c>
      <c r="BJ327" s="9" t="str">
        <f>TIM[[#This Row],[To]]</f>
        <v>33 kV Bus</v>
      </c>
      <c r="BK32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 xml:space="preserve">Air Break Switch-L406 </v>
      </c>
      <c r="BL327" s="9">
        <f>TIM[[#This Row],[Voltage]]</f>
        <v>33</v>
      </c>
    </row>
    <row r="328" spans="1:64" ht="15" hidden="1" customHeight="1" x14ac:dyDescent="0.3">
      <c r="A328" s="6" t="str">
        <f>CONCATENATE(TIM[[#This Row],[Supply Level]],TIM[[#This Row],[Station/Feeder]],TIM[[#This Row],[Voltage]])</f>
        <v>SubTransmissionATM_233</v>
      </c>
      <c r="B328" s="6" t="str">
        <f>CONCATENATE(TIM[[#This Row],[Supply Level]],TIM[[#This Row],[Station/Feeder]],TIM[[#This Row],[Equipment ID]],TIM[[#This Row],[Voltage]],TIM[[#This Row],[Device type]])</f>
        <v>SubTransmissionATM_2ATM-L41833Protection</v>
      </c>
      <c r="C328" s="6" t="s">
        <v>1245</v>
      </c>
      <c r="D328" s="11" t="s">
        <v>165</v>
      </c>
      <c r="E328" s="6" t="s">
        <v>63</v>
      </c>
      <c r="F328" s="6" t="s">
        <v>1033</v>
      </c>
      <c r="G328" s="27">
        <v>3</v>
      </c>
      <c r="H328" s="7" t="s">
        <v>274</v>
      </c>
      <c r="I328" s="7" t="s">
        <v>2420</v>
      </c>
      <c r="J328" s="7" t="s">
        <v>15</v>
      </c>
      <c r="K328" s="7" t="s">
        <v>1118</v>
      </c>
      <c r="L328" s="7" t="s">
        <v>1423</v>
      </c>
      <c r="M328" s="8">
        <v>33</v>
      </c>
      <c r="N328" s="9">
        <v>800</v>
      </c>
      <c r="O328" s="9">
        <f t="shared" si="0"/>
        <v>45.72614131981836</v>
      </c>
      <c r="P328" s="9" t="s">
        <v>0</v>
      </c>
      <c r="Q328" s="9" t="str">
        <f t="shared" si="1"/>
        <v>-</v>
      </c>
      <c r="R328" s="9">
        <v>800</v>
      </c>
      <c r="S328" s="9">
        <f t="shared" si="2"/>
        <v>45.72614131981836</v>
      </c>
      <c r="T328" s="9" t="s">
        <v>0</v>
      </c>
      <c r="U328" s="9" t="str">
        <f t="shared" si="3"/>
        <v>-</v>
      </c>
      <c r="V328" s="9" t="s">
        <v>0</v>
      </c>
      <c r="W328" s="9" t="str">
        <f t="shared" si="4"/>
        <v>-</v>
      </c>
      <c r="X328" s="9">
        <v>240</v>
      </c>
      <c r="Y328" s="9">
        <f t="shared" si="5"/>
        <v>13.717842395945507</v>
      </c>
      <c r="Z328" s="9" t="s">
        <v>0</v>
      </c>
      <c r="AA328" s="9" t="str">
        <f t="shared" si="6"/>
        <v>-</v>
      </c>
      <c r="AB328" s="9">
        <v>240</v>
      </c>
      <c r="AC328" s="9">
        <f t="shared" si="7"/>
        <v>13.717842395945507</v>
      </c>
      <c r="AD328" s="9">
        <v>240</v>
      </c>
      <c r="AE328" s="12">
        <f t="shared" si="8"/>
        <v>13.717842395945507</v>
      </c>
      <c r="AF328" s="9" t="s">
        <v>0</v>
      </c>
      <c r="AG328" s="9" t="s">
        <v>0</v>
      </c>
      <c r="AH328" s="9" t="s">
        <v>0</v>
      </c>
      <c r="AI328" s="9" t="s">
        <v>0</v>
      </c>
      <c r="AJ328" s="32" t="s">
        <v>0</v>
      </c>
      <c r="AK328" s="9" t="s">
        <v>0</v>
      </c>
      <c r="AL328" s="32" t="s">
        <v>0</v>
      </c>
      <c r="AM328" s="9" t="s">
        <v>0</v>
      </c>
      <c r="AN328" s="32" t="s">
        <v>0</v>
      </c>
      <c r="AO328" s="9" t="s">
        <v>0</v>
      </c>
      <c r="AP328" s="9" t="s">
        <v>0</v>
      </c>
      <c r="AQ328" s="32" t="s">
        <v>0</v>
      </c>
      <c r="AR328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28" s="9" t="str">
        <f t="shared" si="9"/>
        <v>-</v>
      </c>
      <c r="AT328" s="9">
        <f>IF(RIGHT(TIM[[#This Row],[Device type]],7)="Winding","-",TIM[[#This Row],[Cont Winter MVA]])</f>
        <v>45.72614131981836</v>
      </c>
      <c r="AU328" s="9" t="str">
        <f>IF(RIGHT(TIM[[#This Row],[Device type]],7)="Winding","-",TIM[[#This Row],[Cont Shoulder MVA]])</f>
        <v>-</v>
      </c>
      <c r="AV328" s="9">
        <f>IF(RIGHT(TIM[[#This Row],[Device type]],7)="Winding","-",TIM[[#This Row],[Cont Summer MVA]])</f>
        <v>45.72614131981836</v>
      </c>
      <c r="AW328" s="9" t="str">
        <f>TIM[[#This Row],[24 Hr Winter MVA]]</f>
        <v>-</v>
      </c>
      <c r="AX328" s="9" t="str">
        <f>TIM[[#This Row],[24 Hr Summer MVA]]</f>
        <v>-</v>
      </c>
      <c r="AY328" s="9">
        <f>TIM[[#This Row],[Forwards MVA]]</f>
        <v>13.717842395945507</v>
      </c>
      <c r="AZ328" s="9">
        <f>TIM[[#This Row],[Relay MVA]]</f>
        <v>13.717842395945507</v>
      </c>
      <c r="BA328" s="9">
        <f>TIM[[#This Row],[CT MVA]]</f>
        <v>13.717842395945507</v>
      </c>
      <c r="BB328" s="9" t="str">
        <f>TIM[[#This Row],[Derating MVA]]</f>
        <v>-</v>
      </c>
      <c r="BC328" s="9" t="str">
        <f>TIM[[#This Row],[Station/Feeder]]&amp;TIM[[#This Row],[Lowest MVA]]</f>
        <v>ATM_213.7178423959455</v>
      </c>
      <c r="BD328" s="9" t="str">
        <f>CONCATENATE(TIM[[#This Row],[Supply Level]],TIM[[#This Row],[Station/Feeder]],TIM[[#This Row],[Voltage]],TIM[[#This Row],[Lowest A-No PTX]])</f>
        <v>SubTransmissionATM_233240</v>
      </c>
      <c r="BE328" s="9" t="str">
        <f>CONCATENATE(TIM[[#This Row],[Supply Level]],TIM[[#This Row],[Station/Feeder]],TIM[[#This Row],[Voltage]],TIM[[#This Row],[Lowest A-PTX]])</f>
        <v>SubTransmissionATM_233240</v>
      </c>
      <c r="BF328" s="9">
        <f>IFERROR(IF(MIN(TIM[[#This Row],[Summ Cont Winter A]:[Cable Derating]])=0,"",MIN(TIM[[#This Row],[Summ Cont Winter A]:[Cable Derating]])),"")</f>
        <v>13.717842395945507</v>
      </c>
      <c r="BG328" s="9">
        <f>IFERROR(TIM[[#This Row],[Lowest MVA]]*1000/(TIM[[#This Row],[Voltage]]*SQRT(3)),"")</f>
        <v>240</v>
      </c>
      <c r="BH328" s="9">
        <f t="shared" si="385"/>
        <v>240</v>
      </c>
      <c r="BI328" s="9" t="str">
        <f>TIM[[#This Row],[From]]</f>
        <v>33 kV Bus</v>
      </c>
      <c r="BJ328" s="9" t="str">
        <f>TIM[[#This Row],[To]]</f>
        <v>CB L418</v>
      </c>
      <c r="BK32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Breaker-ATM-L418-Protection</v>
      </c>
      <c r="BL328" s="9">
        <f>TIM[[#This Row],[Voltage]]</f>
        <v>33</v>
      </c>
    </row>
    <row r="329" spans="1:64" ht="15" hidden="1" customHeight="1" thickBot="1" x14ac:dyDescent="0.3">
      <c r="A329" s="14" t="str">
        <f>CONCATENATE(TIM[[#This Row],[Supply Level]],TIM[[#This Row],[Station/Feeder]],TIM[[#This Row],[Voltage]])</f>
        <v>SubTransmissionATM_233</v>
      </c>
      <c r="B329" s="14" t="str">
        <f>CONCATENATE(TIM[[#This Row],[Supply Level]],TIM[[#This Row],[Station/Feeder]],TIM[[#This Row],[Equipment ID]],TIM[[#This Row],[Voltage]],TIM[[#This Row],[Device type]])</f>
        <v>SubTransmissionATM_2ATM-L26933Protection</v>
      </c>
      <c r="C329" s="14" t="s">
        <v>1245</v>
      </c>
      <c r="D329" s="13" t="s">
        <v>165</v>
      </c>
      <c r="E329" s="14" t="s">
        <v>63</v>
      </c>
      <c r="F329" s="14" t="s">
        <v>1034</v>
      </c>
      <c r="G329" s="28">
        <v>3</v>
      </c>
      <c r="H329" s="39" t="s">
        <v>274</v>
      </c>
      <c r="I329" s="39" t="s">
        <v>2421</v>
      </c>
      <c r="J329" s="39" t="s">
        <v>15</v>
      </c>
      <c r="K329" s="39" t="s">
        <v>1118</v>
      </c>
      <c r="L329" s="39" t="s">
        <v>1423</v>
      </c>
      <c r="M329" s="15">
        <v>33</v>
      </c>
      <c r="N329" s="16">
        <v>800</v>
      </c>
      <c r="O329" s="16">
        <f t="shared" si="0"/>
        <v>45.72614131981836</v>
      </c>
      <c r="P329" s="16" t="s">
        <v>0</v>
      </c>
      <c r="Q329" s="16" t="str">
        <f t="shared" si="1"/>
        <v>-</v>
      </c>
      <c r="R329" s="16">
        <v>800</v>
      </c>
      <c r="S329" s="16">
        <f t="shared" si="2"/>
        <v>45.72614131981836</v>
      </c>
      <c r="T329" s="16" t="s">
        <v>0</v>
      </c>
      <c r="U329" s="16" t="str">
        <f t="shared" si="3"/>
        <v>-</v>
      </c>
      <c r="V329" s="16" t="s">
        <v>0</v>
      </c>
      <c r="W329" s="16" t="str">
        <f t="shared" si="4"/>
        <v>-</v>
      </c>
      <c r="X329" s="16">
        <v>240</v>
      </c>
      <c r="Y329" s="16">
        <f t="shared" si="5"/>
        <v>13.717842395945507</v>
      </c>
      <c r="Z329" s="16" t="s">
        <v>0</v>
      </c>
      <c r="AA329" s="16" t="str">
        <f t="shared" si="6"/>
        <v>-</v>
      </c>
      <c r="AB329" s="16">
        <v>240</v>
      </c>
      <c r="AC329" s="16">
        <f t="shared" si="7"/>
        <v>13.717842395945507</v>
      </c>
      <c r="AD329" s="16">
        <v>240</v>
      </c>
      <c r="AE329" s="17">
        <f t="shared" si="8"/>
        <v>13.717842395945507</v>
      </c>
      <c r="AF329" s="16" t="s">
        <v>0</v>
      </c>
      <c r="AG329" s="16" t="s">
        <v>0</v>
      </c>
      <c r="AH329" s="15" t="s">
        <v>0</v>
      </c>
      <c r="AI329" s="16" t="s">
        <v>0</v>
      </c>
      <c r="AJ329" s="127" t="s">
        <v>0</v>
      </c>
      <c r="AK329" s="16" t="s">
        <v>0</v>
      </c>
      <c r="AL329" s="127" t="s">
        <v>0</v>
      </c>
      <c r="AM329" s="16" t="s">
        <v>0</v>
      </c>
      <c r="AN329" s="127" t="s">
        <v>0</v>
      </c>
      <c r="AO329" s="16" t="s">
        <v>0</v>
      </c>
      <c r="AP329" s="16" t="s">
        <v>0</v>
      </c>
      <c r="AQ329" s="127" t="s">
        <v>0</v>
      </c>
      <c r="AR329" s="16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29" s="16" t="str">
        <f t="shared" si="9"/>
        <v>-</v>
      </c>
      <c r="AT329" s="155">
        <f>IF(RIGHT(TIM[[#This Row],[Device type]],7)="Winding","-",TIM[[#This Row],[Cont Winter MVA]])</f>
        <v>45.72614131981836</v>
      </c>
      <c r="AU329" s="155" t="str">
        <f>IF(RIGHT(TIM[[#This Row],[Device type]],7)="Winding","-",TIM[[#This Row],[Cont Shoulder MVA]])</f>
        <v>-</v>
      </c>
      <c r="AV329" s="155">
        <f>IF(RIGHT(TIM[[#This Row],[Device type]],7)="Winding","-",TIM[[#This Row],[Cont Summer MVA]])</f>
        <v>45.72614131981836</v>
      </c>
      <c r="AW329" s="155" t="str">
        <f>TIM[[#This Row],[24 Hr Winter MVA]]</f>
        <v>-</v>
      </c>
      <c r="AX329" s="155" t="str">
        <f>TIM[[#This Row],[24 Hr Summer MVA]]</f>
        <v>-</v>
      </c>
      <c r="AY329" s="155">
        <f>TIM[[#This Row],[Forwards MVA]]</f>
        <v>13.717842395945507</v>
      </c>
      <c r="AZ329" s="155">
        <f>TIM[[#This Row],[Relay MVA]]</f>
        <v>13.717842395945507</v>
      </c>
      <c r="BA329" s="155">
        <f>TIM[[#This Row],[CT MVA]]</f>
        <v>13.717842395945507</v>
      </c>
      <c r="BB329" s="155" t="str">
        <f>TIM[[#This Row],[Derating MVA]]</f>
        <v>-</v>
      </c>
      <c r="BC329" s="155" t="str">
        <f>TIM[[#This Row],[Station/Feeder]]&amp;TIM[[#This Row],[Lowest MVA]]</f>
        <v>ATM_213.7178423959455</v>
      </c>
      <c r="BD329" s="155" t="str">
        <f>CONCATENATE(TIM[[#This Row],[Supply Level]],TIM[[#This Row],[Station/Feeder]],TIM[[#This Row],[Voltage]],TIM[[#This Row],[Lowest A-No PTX]])</f>
        <v>SubTransmissionATM_233240</v>
      </c>
      <c r="BE329" s="155" t="str">
        <f>CONCATENATE(TIM[[#This Row],[Supply Level]],TIM[[#This Row],[Station/Feeder]],TIM[[#This Row],[Voltage]],TIM[[#This Row],[Lowest A-PTX]])</f>
        <v>SubTransmissionATM_233240</v>
      </c>
      <c r="BF329" s="155">
        <f>IFERROR(IF(MIN(TIM[[#This Row],[Summ Cont Winter A]:[Cable Derating]])=0,"",MIN(TIM[[#This Row],[Summ Cont Winter A]:[Cable Derating]])),"")</f>
        <v>13.717842395945507</v>
      </c>
      <c r="BG329" s="155">
        <f>IFERROR(TIM[[#This Row],[Lowest MVA]]*1000/(TIM[[#This Row],[Voltage]]*SQRT(3)),"")</f>
        <v>240</v>
      </c>
      <c r="BH329" s="155">
        <f t="shared" si="385"/>
        <v>240</v>
      </c>
      <c r="BI329" s="155" t="str">
        <f>TIM[[#This Row],[From]]</f>
        <v>33 kV Bus</v>
      </c>
      <c r="BJ329" s="155" t="str">
        <f>TIM[[#This Row],[To]]</f>
        <v>CB L269</v>
      </c>
      <c r="BK329" s="155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Breaker-ATM-L269-Protection</v>
      </c>
      <c r="BL329" s="155">
        <f>TIM[[#This Row],[Voltage]]</f>
        <v>33</v>
      </c>
    </row>
    <row r="330" spans="1:64" ht="15" hidden="1" customHeight="1" x14ac:dyDescent="0.3">
      <c r="A330" s="3" t="str">
        <f>CONCATENATE(TIM[[#This Row],[Supply Level]],TIM[[#This Row],[Station/Feeder]],TIM[[#This Row],[Voltage]],"T1")</f>
        <v>SubTransmissionL413_L418_Pareora33T1</v>
      </c>
      <c r="B330" s="3" t="str">
        <f>CONCATENATE(TIM[[#This Row],[Supply Level]],TIM[[#This Row],[Station/Feeder]],TIM[[#This Row],[Equipment ID]],TIM[[#This Row],[Voltage]],TIM[[#This Row],[Device type]])</f>
        <v>SubTransmissionL413_L418_PareoraDOG33-</v>
      </c>
      <c r="C330" s="3" t="s">
        <v>1245</v>
      </c>
      <c r="D330" s="10" t="s">
        <v>168</v>
      </c>
      <c r="E330" s="3" t="s">
        <v>1030</v>
      </c>
      <c r="F330" s="3" t="s">
        <v>1035</v>
      </c>
      <c r="G330" s="26">
        <v>1</v>
      </c>
      <c r="H330" s="186" t="s">
        <v>1289</v>
      </c>
      <c r="I330" s="38" t="s">
        <v>318</v>
      </c>
      <c r="J330" s="38" t="s">
        <v>69</v>
      </c>
      <c r="K330" s="38" t="s">
        <v>0</v>
      </c>
      <c r="L330" s="38" t="s">
        <v>0</v>
      </c>
      <c r="M330" s="4">
        <v>33</v>
      </c>
      <c r="N330" s="5">
        <v>343.69342642524197</v>
      </c>
      <c r="O330" s="5">
        <f t="shared" si="0"/>
        <v>19.644717734266511</v>
      </c>
      <c r="P330" s="5" t="s">
        <v>0</v>
      </c>
      <c r="Q330" s="5" t="str">
        <f t="shared" si="1"/>
        <v>-</v>
      </c>
      <c r="R330" s="5">
        <v>256.85852310343915</v>
      </c>
      <c r="S330" s="5">
        <f t="shared" si="2"/>
        <v>14.681436408284609</v>
      </c>
      <c r="T330" s="5" t="s">
        <v>0</v>
      </c>
      <c r="U330" s="5" t="str">
        <f t="shared" si="3"/>
        <v>-</v>
      </c>
      <c r="V330" s="5" t="s">
        <v>0</v>
      </c>
      <c r="W330" s="5" t="str">
        <f t="shared" si="4"/>
        <v>-</v>
      </c>
      <c r="X330" s="5" t="s">
        <v>0</v>
      </c>
      <c r="Y330" s="5" t="str">
        <f t="shared" si="5"/>
        <v>-</v>
      </c>
      <c r="Z330" s="5" t="s">
        <v>0</v>
      </c>
      <c r="AA330" s="5" t="str">
        <f t="shared" si="6"/>
        <v>-</v>
      </c>
      <c r="AB330" s="5" t="s">
        <v>0</v>
      </c>
      <c r="AC330" s="5" t="str">
        <f t="shared" si="7"/>
        <v>-</v>
      </c>
      <c r="AD330" s="5" t="s">
        <v>0</v>
      </c>
      <c r="AE330" s="158" t="str">
        <f t="shared" si="8"/>
        <v>-</v>
      </c>
      <c r="AF330" s="5" t="s">
        <v>0</v>
      </c>
      <c r="AG330" s="5" t="s">
        <v>0</v>
      </c>
      <c r="AH330" s="5">
        <v>32.700000000000003</v>
      </c>
      <c r="AI330" s="5" t="s">
        <v>0</v>
      </c>
      <c r="AJ330" s="139" t="s">
        <v>0</v>
      </c>
      <c r="AK330" s="5" t="s">
        <v>0</v>
      </c>
      <c r="AL330" s="139" t="s">
        <v>0</v>
      </c>
      <c r="AM330" s="5" t="s">
        <v>0</v>
      </c>
      <c r="AN330" s="139" t="s">
        <v>0</v>
      </c>
      <c r="AO330" s="5" t="s">
        <v>0</v>
      </c>
      <c r="AP330" s="5" t="s">
        <v>0</v>
      </c>
      <c r="AQ330" s="139" t="s">
        <v>0</v>
      </c>
      <c r="AR330" s="5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30" s="5" t="str">
        <f t="shared" si="9"/>
        <v>-</v>
      </c>
      <c r="AT330" s="29">
        <f>IF(RIGHT(TIM[[#This Row],[Device type]],7)="Winding","-",TIM[[#This Row],[Cont Winter MVA]])</f>
        <v>19.644717734266511</v>
      </c>
      <c r="AU330" s="29" t="str">
        <f>IF(RIGHT(TIM[[#This Row],[Device type]],7)="Winding","-",TIM[[#This Row],[Cont Shoulder MVA]])</f>
        <v>-</v>
      </c>
      <c r="AV330" s="29">
        <f>IF(RIGHT(TIM[[#This Row],[Device type]],7)="Winding","-",TIM[[#This Row],[Cont Summer MVA]])</f>
        <v>14.681436408284609</v>
      </c>
      <c r="AW330" s="29" t="str">
        <f>TIM[[#This Row],[24 Hr Winter MVA]]</f>
        <v>-</v>
      </c>
      <c r="AX330" s="29" t="str">
        <f>TIM[[#This Row],[24 Hr Summer MVA]]</f>
        <v>-</v>
      </c>
      <c r="AY330" s="29" t="str">
        <f>TIM[[#This Row],[Forwards MVA]]</f>
        <v>-</v>
      </c>
      <c r="AZ330" s="29" t="str">
        <f>TIM[[#This Row],[Relay MVA]]</f>
        <v>-</v>
      </c>
      <c r="BA330" s="29" t="str">
        <f>TIM[[#This Row],[CT MVA]]</f>
        <v>-</v>
      </c>
      <c r="BB330" s="29" t="str">
        <f>TIM[[#This Row],[Derating MVA]]</f>
        <v>-</v>
      </c>
      <c r="BC330" s="29" t="str">
        <f>TIM[[#This Row],[Station/Feeder]]&amp;TIM[[#This Row],[Lowest MVA]]</f>
        <v>L413_L418_Pareora14.6814364082846</v>
      </c>
      <c r="BD330" s="29" t="str">
        <f>CONCATENATE(TIM[[#This Row],[Supply Level]],TIM[[#This Row],[Station/Feeder]],TIM[[#This Row],[Voltage]],TIM[[#This Row],[Lowest A-No PTX]])</f>
        <v>SubTransmissionL413_L418_Pareora33256.858523103439</v>
      </c>
      <c r="BE330" s="29" t="str">
        <f>CONCATENATE(TIM[[#This Row],[Supply Level]],TIM[[#This Row],[Station/Feeder]],TIM[[#This Row],[Voltage]],TIM[[#This Row],[Lowest A-PTX]])</f>
        <v>SubTransmissionL413_L418_Pareora33256.858523103439</v>
      </c>
      <c r="BF330" s="29">
        <f>IFERROR(IF(MIN(TIM[[#This Row],[Summ Cont Winter A]:[Cable Derating]])=0,"",MIN(TIM[[#This Row],[Summ Cont Winter A]:[Cable Derating]])),"")</f>
        <v>14.681436408284609</v>
      </c>
      <c r="BG330" s="29">
        <f>IFERROR(TIM[[#This Row],[Lowest MVA]]*1000/(TIM[[#This Row],[Voltage]]*SQRT(3)),"")</f>
        <v>256.85852310343915</v>
      </c>
      <c r="BH330" s="29">
        <f t="shared" si="385"/>
        <v>256.85852310343915</v>
      </c>
      <c r="BI330" s="29" t="str">
        <f>TIM[[#This Row],[From]]</f>
        <v>CB L413</v>
      </c>
      <c r="BJ330" s="29" t="str">
        <f>TIM[[#This Row],[To]]</f>
        <v>Pole 03575</v>
      </c>
      <c r="BK330" s="2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Line-DOG</v>
      </c>
      <c r="BL330" s="29">
        <f>TIM[[#This Row],[Voltage]]</f>
        <v>33</v>
      </c>
    </row>
    <row r="331" spans="1:64" ht="15" hidden="1" customHeight="1" x14ac:dyDescent="0.3">
      <c r="A331" s="6" t="str">
        <f>CONCATENATE(TIM[[#This Row],[Supply Level]],TIM[[#This Row],[Station/Feeder]],TIM[[#This Row],[Voltage]],"T1")</f>
        <v>SubTransmissionL413_L418_Pareora33T1</v>
      </c>
      <c r="B331" s="6" t="str">
        <f>CONCATENATE(TIM[[#This Row],[Supply Level]],TIM[[#This Row],[Station/Feeder]],TIM[[#This Row],[Equipment ID]],TIM[[#This Row],[Voltage]],TIM[[#This Row],[Device type]])</f>
        <v>SubTransmissionL413_L418_PareoraQuail33-</v>
      </c>
      <c r="C331" s="6" t="s">
        <v>1245</v>
      </c>
      <c r="D331" s="11" t="s">
        <v>168</v>
      </c>
      <c r="E331" s="6" t="s">
        <v>1035</v>
      </c>
      <c r="F331" s="6" t="s">
        <v>1036</v>
      </c>
      <c r="G331" s="27">
        <v>2</v>
      </c>
      <c r="H331" s="7" t="s">
        <v>1289</v>
      </c>
      <c r="I331" s="7" t="s">
        <v>1478</v>
      </c>
      <c r="J331" s="7" t="s">
        <v>69</v>
      </c>
      <c r="K331" s="7" t="s">
        <v>0</v>
      </c>
      <c r="L331" s="7" t="s">
        <v>0</v>
      </c>
      <c r="M331" s="8">
        <v>33</v>
      </c>
      <c r="N331" s="9">
        <v>250.58233772128858</v>
      </c>
      <c r="O331" s="9">
        <f t="shared" si="0"/>
        <v>14.322704233617616</v>
      </c>
      <c r="P331" s="9" t="s">
        <v>0</v>
      </c>
      <c r="Q331" s="9" t="str">
        <f t="shared" si="1"/>
        <v>-</v>
      </c>
      <c r="R331" s="9">
        <v>196.6</v>
      </c>
      <c r="S331" s="9">
        <f t="shared" si="2"/>
        <v>11.237199229345363</v>
      </c>
      <c r="T331" s="9" t="s">
        <v>0</v>
      </c>
      <c r="U331" s="9" t="str">
        <f t="shared" si="3"/>
        <v>-</v>
      </c>
      <c r="V331" s="9" t="s">
        <v>0</v>
      </c>
      <c r="W331" s="9" t="str">
        <f t="shared" si="4"/>
        <v>-</v>
      </c>
      <c r="X331" s="9" t="s">
        <v>0</v>
      </c>
      <c r="Y331" s="9" t="str">
        <f t="shared" si="5"/>
        <v>-</v>
      </c>
      <c r="Z331" s="9" t="s">
        <v>0</v>
      </c>
      <c r="AA331" s="9" t="str">
        <f t="shared" si="6"/>
        <v>-</v>
      </c>
      <c r="AB331" s="9" t="s">
        <v>0</v>
      </c>
      <c r="AC331" s="9" t="str">
        <f t="shared" si="7"/>
        <v>-</v>
      </c>
      <c r="AD331" s="9" t="s">
        <v>0</v>
      </c>
      <c r="AE331" s="12" t="str">
        <f t="shared" si="8"/>
        <v>-</v>
      </c>
      <c r="AF331" s="9" t="s">
        <v>0</v>
      </c>
      <c r="AG331" s="9" t="s">
        <v>0</v>
      </c>
      <c r="AH331" s="9">
        <v>1123.9000000000001</v>
      </c>
      <c r="AI331" s="9" t="s">
        <v>0</v>
      </c>
      <c r="AJ331" s="32" t="s">
        <v>0</v>
      </c>
      <c r="AK331" s="9" t="s">
        <v>0</v>
      </c>
      <c r="AL331" s="32" t="s">
        <v>0</v>
      </c>
      <c r="AM331" s="9" t="s">
        <v>0</v>
      </c>
      <c r="AN331" s="32" t="s">
        <v>0</v>
      </c>
      <c r="AO331" s="9" t="s">
        <v>0</v>
      </c>
      <c r="AP331" s="9" t="s">
        <v>0</v>
      </c>
      <c r="AQ331" s="32" t="s">
        <v>0</v>
      </c>
      <c r="AR33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31" s="9" t="str">
        <f t="shared" si="9"/>
        <v>-</v>
      </c>
      <c r="AT331" s="9">
        <f>IF(RIGHT(TIM[[#This Row],[Device type]],7)="Winding","-",TIM[[#This Row],[Cont Winter MVA]])</f>
        <v>14.322704233617616</v>
      </c>
      <c r="AU331" s="9" t="str">
        <f>IF(RIGHT(TIM[[#This Row],[Device type]],7)="Winding","-",TIM[[#This Row],[Cont Shoulder MVA]])</f>
        <v>-</v>
      </c>
      <c r="AV331" s="9">
        <f>IF(RIGHT(TIM[[#This Row],[Device type]],7)="Winding","-",TIM[[#This Row],[Cont Summer MVA]])</f>
        <v>11.237199229345363</v>
      </c>
      <c r="AW331" s="9" t="str">
        <f>TIM[[#This Row],[24 Hr Winter MVA]]</f>
        <v>-</v>
      </c>
      <c r="AX331" s="9" t="str">
        <f>TIM[[#This Row],[24 Hr Summer MVA]]</f>
        <v>-</v>
      </c>
      <c r="AY331" s="9" t="str">
        <f>TIM[[#This Row],[Forwards MVA]]</f>
        <v>-</v>
      </c>
      <c r="AZ331" s="9" t="str">
        <f>TIM[[#This Row],[Relay MVA]]</f>
        <v>-</v>
      </c>
      <c r="BA331" s="9" t="str">
        <f>TIM[[#This Row],[CT MVA]]</f>
        <v>-</v>
      </c>
      <c r="BB331" s="9" t="str">
        <f>TIM[[#This Row],[Derating MVA]]</f>
        <v>-</v>
      </c>
      <c r="BC331" s="9" t="str">
        <f>TIM[[#This Row],[Station/Feeder]]&amp;TIM[[#This Row],[Lowest MVA]]</f>
        <v>L413_L418_Pareora11.2371992293454</v>
      </c>
      <c r="BD331" s="9" t="str">
        <f>CONCATENATE(TIM[[#This Row],[Supply Level]],TIM[[#This Row],[Station/Feeder]],TIM[[#This Row],[Voltage]],TIM[[#This Row],[Lowest A-No PTX]])</f>
        <v>SubTransmissionL413_L418_Pareora33196.6</v>
      </c>
      <c r="BE331" s="9" t="str">
        <f>CONCATENATE(TIM[[#This Row],[Supply Level]],TIM[[#This Row],[Station/Feeder]],TIM[[#This Row],[Voltage]],TIM[[#This Row],[Lowest A-PTX]])</f>
        <v>SubTransmissionL413_L418_Pareora33196.6</v>
      </c>
      <c r="BF331" s="9">
        <f>IFERROR(IF(MIN(TIM[[#This Row],[Summ Cont Winter A]:[Cable Derating]])=0,"",MIN(TIM[[#This Row],[Summ Cont Winter A]:[Cable Derating]])),"")</f>
        <v>11.237199229345363</v>
      </c>
      <c r="BG331" s="9">
        <f>IFERROR(TIM[[#This Row],[Lowest MVA]]*1000/(TIM[[#This Row],[Voltage]]*SQRT(3)),"")</f>
        <v>196.60000000000002</v>
      </c>
      <c r="BH331" s="9">
        <f t="shared" si="385"/>
        <v>196.6</v>
      </c>
      <c r="BI331" s="9" t="str">
        <f>TIM[[#This Row],[From]]</f>
        <v>Pole 03575</v>
      </c>
      <c r="BJ331" s="9" t="str">
        <f>TIM[[#This Row],[To]]</f>
        <v>Pole 51637</v>
      </c>
      <c r="BK33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Line-Quail</v>
      </c>
      <c r="BL331" s="9">
        <f>TIM[[#This Row],[Voltage]]</f>
        <v>33</v>
      </c>
    </row>
    <row r="332" spans="1:64" ht="15" hidden="1" customHeight="1" x14ac:dyDescent="0.3">
      <c r="A332" s="6" t="str">
        <f>CONCATENATE(TIM[[#This Row],[Supply Level]],TIM[[#This Row],[Station/Feeder]],TIM[[#This Row],[Voltage]],"T1")</f>
        <v>SubTransmissionL413_L418_Pareora33T1</v>
      </c>
      <c r="B332" s="6" t="str">
        <f>CONCATENATE(TIM[[#This Row],[Supply Level]],TIM[[#This Row],[Station/Feeder]],TIM[[#This Row],[Equipment ID]],TIM[[#This Row],[Voltage]],TIM[[#This Row],[Device type]])</f>
        <v>SubTransmissionL413_L418_Pareora3/1c 630mm² AL XLPE33-</v>
      </c>
      <c r="C332" s="6" t="s">
        <v>1245</v>
      </c>
      <c r="D332" s="11" t="s">
        <v>168</v>
      </c>
      <c r="E332" s="6" t="s">
        <v>1036</v>
      </c>
      <c r="F332" s="6" t="s">
        <v>750</v>
      </c>
      <c r="G332" s="27">
        <v>3</v>
      </c>
      <c r="H332" s="7" t="s">
        <v>888</v>
      </c>
      <c r="I332" s="7" t="s">
        <v>1037</v>
      </c>
      <c r="J332" s="7" t="s">
        <v>250</v>
      </c>
      <c r="K332" s="7" t="s">
        <v>0</v>
      </c>
      <c r="L332" s="7" t="s">
        <v>0</v>
      </c>
      <c r="M332" s="8">
        <v>33</v>
      </c>
      <c r="N332" s="9">
        <v>664</v>
      </c>
      <c r="O332" s="9">
        <f t="shared" si="0"/>
        <v>37.952697295449241</v>
      </c>
      <c r="P332" s="9">
        <v>664</v>
      </c>
      <c r="Q332" s="9">
        <f t="shared" si="1"/>
        <v>37.952697295449241</v>
      </c>
      <c r="R332" s="9">
        <v>664</v>
      </c>
      <c r="S332" s="9">
        <f t="shared" si="2"/>
        <v>37.952697295449241</v>
      </c>
      <c r="T332" s="9" t="s">
        <v>0</v>
      </c>
      <c r="U332" s="9" t="str">
        <f t="shared" si="3"/>
        <v>-</v>
      </c>
      <c r="V332" s="9" t="s">
        <v>0</v>
      </c>
      <c r="W332" s="9" t="str">
        <f t="shared" si="4"/>
        <v>-</v>
      </c>
      <c r="X332" s="9" t="s">
        <v>0</v>
      </c>
      <c r="Y332" s="9" t="str">
        <f t="shared" si="5"/>
        <v>-</v>
      </c>
      <c r="Z332" s="9" t="s">
        <v>0</v>
      </c>
      <c r="AA332" s="9" t="str">
        <f t="shared" si="6"/>
        <v>-</v>
      </c>
      <c r="AB332" s="9" t="s">
        <v>0</v>
      </c>
      <c r="AC332" s="9" t="str">
        <f t="shared" si="7"/>
        <v>-</v>
      </c>
      <c r="AD332" s="9" t="s">
        <v>0</v>
      </c>
      <c r="AE332" s="12" t="str">
        <f t="shared" si="8"/>
        <v>-</v>
      </c>
      <c r="AF332" s="9" t="s">
        <v>713</v>
      </c>
      <c r="AG332" s="9" t="s">
        <v>265</v>
      </c>
      <c r="AH332" s="9">
        <v>781.6</v>
      </c>
      <c r="AI332" s="9">
        <v>1.3</v>
      </c>
      <c r="AJ332" s="32">
        <v>0.96</v>
      </c>
      <c r="AK332" s="9">
        <v>20</v>
      </c>
      <c r="AL332" s="32">
        <v>0.97</v>
      </c>
      <c r="AM332" s="9">
        <v>1.2</v>
      </c>
      <c r="AN332" s="32">
        <v>1</v>
      </c>
      <c r="AO332" s="9">
        <v>3</v>
      </c>
      <c r="AP332" s="9">
        <v>0.7</v>
      </c>
      <c r="AQ332" s="32">
        <v>0.9</v>
      </c>
      <c r="AR332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556.48511999999994</v>
      </c>
      <c r="AS332" s="9">
        <f t="shared" si="9"/>
        <v>31.807396549370097</v>
      </c>
      <c r="AT332" s="9">
        <f>IF(RIGHT(TIM[[#This Row],[Device type]],7)="Winding","-",TIM[[#This Row],[Cont Winter MVA]])</f>
        <v>37.952697295449241</v>
      </c>
      <c r="AU332" s="9">
        <f>IF(RIGHT(TIM[[#This Row],[Device type]],7)="Winding","-",TIM[[#This Row],[Cont Shoulder MVA]])</f>
        <v>37.952697295449241</v>
      </c>
      <c r="AV332" s="9">
        <f>IF(RIGHT(TIM[[#This Row],[Device type]],7)="Winding","-",TIM[[#This Row],[Cont Summer MVA]])</f>
        <v>37.952697295449241</v>
      </c>
      <c r="AW332" s="9" t="str">
        <f>TIM[[#This Row],[24 Hr Winter MVA]]</f>
        <v>-</v>
      </c>
      <c r="AX332" s="9" t="str">
        <f>TIM[[#This Row],[24 Hr Summer MVA]]</f>
        <v>-</v>
      </c>
      <c r="AY332" s="9" t="str">
        <f>TIM[[#This Row],[Forwards MVA]]</f>
        <v>-</v>
      </c>
      <c r="AZ332" s="9" t="str">
        <f>TIM[[#This Row],[Relay MVA]]</f>
        <v>-</v>
      </c>
      <c r="BA332" s="9" t="str">
        <f>TIM[[#This Row],[CT MVA]]</f>
        <v>-</v>
      </c>
      <c r="BB332" s="9">
        <f>TIM[[#This Row],[Derating MVA]]</f>
        <v>31.807396549370097</v>
      </c>
      <c r="BC332" s="9" t="str">
        <f>TIM[[#This Row],[Station/Feeder]]&amp;TIM[[#This Row],[Lowest MVA]]</f>
        <v>L413_L418_Pareora31.8073965493701</v>
      </c>
      <c r="BD332" s="9" t="str">
        <f>CONCATENATE(TIM[[#This Row],[Supply Level]],TIM[[#This Row],[Station/Feeder]],TIM[[#This Row],[Voltage]],TIM[[#This Row],[Lowest A-No PTX]])</f>
        <v>SubTransmissionL413_L418_Pareora33556.48512</v>
      </c>
      <c r="BE332" s="9" t="str">
        <f>CONCATENATE(TIM[[#This Row],[Supply Level]],TIM[[#This Row],[Station/Feeder]],TIM[[#This Row],[Voltage]],TIM[[#This Row],[Lowest A-PTX]])</f>
        <v>SubTransmissionL413_L418_Pareora33556.48512</v>
      </c>
      <c r="BF332" s="9">
        <f>IFERROR(IF(MIN(TIM[[#This Row],[Summ Cont Winter A]:[Cable Derating]])=0,"",MIN(TIM[[#This Row],[Summ Cont Winter A]:[Cable Derating]])),"")</f>
        <v>31.807396549370097</v>
      </c>
      <c r="BG332" s="9">
        <f>IFERROR(TIM[[#This Row],[Lowest MVA]]*1000/(TIM[[#This Row],[Voltage]]*SQRT(3)),"")</f>
        <v>556.48512000000005</v>
      </c>
      <c r="BH332" s="9">
        <f t="shared" si="385"/>
        <v>556.48511999999994</v>
      </c>
      <c r="BI332" s="9" t="str">
        <f>TIM[[#This Row],[From]]</f>
        <v>Pole 51637</v>
      </c>
      <c r="BJ332" s="9" t="str">
        <f>TIM[[#This Row],[To]]</f>
        <v>Joint</v>
      </c>
      <c r="BK33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630mm² AL XLPE</v>
      </c>
      <c r="BL332" s="9">
        <f>TIM[[#This Row],[Voltage]]</f>
        <v>33</v>
      </c>
    </row>
    <row r="333" spans="1:64" ht="15" hidden="1" customHeight="1" x14ac:dyDescent="0.3">
      <c r="A333" s="6" t="str">
        <f>CONCATENATE(TIM[[#This Row],[Supply Level]],TIM[[#This Row],[Station/Feeder]],TIM[[#This Row],[Voltage]],"T1")</f>
        <v>SubTransmissionL413_L418_Pareora33T1</v>
      </c>
      <c r="B333" s="6" t="str">
        <f>CONCATENATE(TIM[[#This Row],[Supply Level]],TIM[[#This Row],[Station/Feeder]],TIM[[#This Row],[Equipment ID]],TIM[[#This Row],[Voltage]],TIM[[#This Row],[Device type]])</f>
        <v>SubTransmissionL413_L418_Pareora3/1c 400mm² AL XLPE33-</v>
      </c>
      <c r="C333" s="6" t="s">
        <v>1245</v>
      </c>
      <c r="D333" s="11" t="s">
        <v>168</v>
      </c>
      <c r="E333" s="6" t="s">
        <v>750</v>
      </c>
      <c r="F333" s="6" t="s">
        <v>750</v>
      </c>
      <c r="G333" s="27">
        <v>4</v>
      </c>
      <c r="H333" s="7" t="s">
        <v>888</v>
      </c>
      <c r="I333" s="7" t="s">
        <v>1038</v>
      </c>
      <c r="J333" s="7" t="s">
        <v>250</v>
      </c>
      <c r="K333" s="7" t="s">
        <v>0</v>
      </c>
      <c r="L333" s="7" t="s">
        <v>0</v>
      </c>
      <c r="M333" s="8">
        <v>33</v>
      </c>
      <c r="N333" s="9">
        <v>537</v>
      </c>
      <c r="O333" s="9">
        <f t="shared" si="0"/>
        <v>30.693672360928073</v>
      </c>
      <c r="P333" s="9">
        <v>537</v>
      </c>
      <c r="Q333" s="9">
        <f t="shared" si="1"/>
        <v>30.693672360928073</v>
      </c>
      <c r="R333" s="9">
        <v>537</v>
      </c>
      <c r="S333" s="9">
        <f t="shared" si="2"/>
        <v>30.693672360928073</v>
      </c>
      <c r="T333" s="9" t="s">
        <v>0</v>
      </c>
      <c r="U333" s="9" t="str">
        <f t="shared" si="3"/>
        <v>-</v>
      </c>
      <c r="V333" s="9" t="s">
        <v>0</v>
      </c>
      <c r="W333" s="9" t="str">
        <f t="shared" si="4"/>
        <v>-</v>
      </c>
      <c r="X333" s="9" t="s">
        <v>0</v>
      </c>
      <c r="Y333" s="9" t="str">
        <f t="shared" si="5"/>
        <v>-</v>
      </c>
      <c r="Z333" s="9" t="s">
        <v>0</v>
      </c>
      <c r="AA333" s="9" t="str">
        <f t="shared" si="6"/>
        <v>-</v>
      </c>
      <c r="AB333" s="9" t="s">
        <v>0</v>
      </c>
      <c r="AC333" s="9" t="str">
        <f t="shared" si="7"/>
        <v>-</v>
      </c>
      <c r="AD333" s="9" t="s">
        <v>0</v>
      </c>
      <c r="AE333" s="12" t="str">
        <f t="shared" si="8"/>
        <v>-</v>
      </c>
      <c r="AF333" s="9" t="s">
        <v>713</v>
      </c>
      <c r="AG333" s="9" t="s">
        <v>265</v>
      </c>
      <c r="AH333" s="9">
        <v>23.4</v>
      </c>
      <c r="AI333" s="9">
        <v>1.1000000000000001</v>
      </c>
      <c r="AJ333" s="32">
        <v>0.97</v>
      </c>
      <c r="AK333" s="9">
        <v>20</v>
      </c>
      <c r="AL333" s="32">
        <v>0.97</v>
      </c>
      <c r="AM333" s="9">
        <v>1.2</v>
      </c>
      <c r="AN333" s="32">
        <v>1</v>
      </c>
      <c r="AO333" s="9">
        <v>4</v>
      </c>
      <c r="AP333" s="9">
        <v>0.55000000000000004</v>
      </c>
      <c r="AQ333" s="32">
        <v>0.79</v>
      </c>
      <c r="AR333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399.15800700000005</v>
      </c>
      <c r="AS333" s="9">
        <f t="shared" si="9"/>
        <v>22.814944296273811</v>
      </c>
      <c r="AT333" s="9">
        <f>IF(RIGHT(TIM[[#This Row],[Device type]],7)="Winding","-",TIM[[#This Row],[Cont Winter MVA]])</f>
        <v>30.693672360928073</v>
      </c>
      <c r="AU333" s="9">
        <f>IF(RIGHT(TIM[[#This Row],[Device type]],7)="Winding","-",TIM[[#This Row],[Cont Shoulder MVA]])</f>
        <v>30.693672360928073</v>
      </c>
      <c r="AV333" s="9">
        <f>IF(RIGHT(TIM[[#This Row],[Device type]],7)="Winding","-",TIM[[#This Row],[Cont Summer MVA]])</f>
        <v>30.693672360928073</v>
      </c>
      <c r="AW333" s="9" t="str">
        <f>TIM[[#This Row],[24 Hr Winter MVA]]</f>
        <v>-</v>
      </c>
      <c r="AX333" s="9" t="str">
        <f>TIM[[#This Row],[24 Hr Summer MVA]]</f>
        <v>-</v>
      </c>
      <c r="AY333" s="9" t="str">
        <f>TIM[[#This Row],[Forwards MVA]]</f>
        <v>-</v>
      </c>
      <c r="AZ333" s="9" t="str">
        <f>TIM[[#This Row],[Relay MVA]]</f>
        <v>-</v>
      </c>
      <c r="BA333" s="9" t="str">
        <f>TIM[[#This Row],[CT MVA]]</f>
        <v>-</v>
      </c>
      <c r="BB333" s="9">
        <f>TIM[[#This Row],[Derating MVA]]</f>
        <v>22.814944296273811</v>
      </c>
      <c r="BC333" s="9" t="str">
        <f>TIM[[#This Row],[Station/Feeder]]&amp;TIM[[#This Row],[Lowest MVA]]</f>
        <v>L413_L418_Pareora22.8149442962738</v>
      </c>
      <c r="BD333" s="9" t="str">
        <f>CONCATENATE(TIM[[#This Row],[Supply Level]],TIM[[#This Row],[Station/Feeder]],TIM[[#This Row],[Voltage]],TIM[[#This Row],[Lowest A-No PTX]])</f>
        <v>SubTransmissionL413_L418_Pareora33399.158007</v>
      </c>
      <c r="BE333" s="9" t="str">
        <f>CONCATENATE(TIM[[#This Row],[Supply Level]],TIM[[#This Row],[Station/Feeder]],TIM[[#This Row],[Voltage]],TIM[[#This Row],[Lowest A-PTX]])</f>
        <v>SubTransmissionL413_L418_Pareora33399.158007</v>
      </c>
      <c r="BF333" s="9">
        <f>IFERROR(IF(MIN(TIM[[#This Row],[Summ Cont Winter A]:[Cable Derating]])=0,"",MIN(TIM[[#This Row],[Summ Cont Winter A]:[Cable Derating]])),"")</f>
        <v>22.814944296273811</v>
      </c>
      <c r="BG333" s="9">
        <f>IFERROR(TIM[[#This Row],[Lowest MVA]]*1000/(TIM[[#This Row],[Voltage]]*SQRT(3)),"")</f>
        <v>399.15800700000005</v>
      </c>
      <c r="BH333" s="9">
        <f t="shared" si="385"/>
        <v>399.15800700000005</v>
      </c>
      <c r="BI333" s="9" t="str">
        <f>TIM[[#This Row],[From]]</f>
        <v>Joint</v>
      </c>
      <c r="BJ333" s="9" t="str">
        <f>TIM[[#This Row],[To]]</f>
        <v>Joint</v>
      </c>
      <c r="BK33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</v>
      </c>
      <c r="BL333" s="9">
        <f>TIM[[#This Row],[Voltage]]</f>
        <v>33</v>
      </c>
    </row>
    <row r="334" spans="1:64" ht="15" hidden="1" customHeight="1" x14ac:dyDescent="0.3">
      <c r="A334" s="6" t="str">
        <f>CONCATENATE(TIM[[#This Row],[Supply Level]],TIM[[#This Row],[Station/Feeder]],TIM[[#This Row],[Voltage]],"T1")</f>
        <v>SubTransmissionL413_L418_Pareora33T1</v>
      </c>
      <c r="B334" s="6" t="str">
        <f>CONCATENATE(TIM[[#This Row],[Supply Level]],TIM[[#This Row],[Station/Feeder]],TIM[[#This Row],[Equipment ID]],TIM[[#This Row],[Voltage]],TIM[[#This Row],[Device type]])</f>
        <v>SubTransmissionL413_L418_PareoraIODINE33-</v>
      </c>
      <c r="C334" s="6" t="s">
        <v>1245</v>
      </c>
      <c r="D334" s="11" t="s">
        <v>168</v>
      </c>
      <c r="E334" s="6" t="s">
        <v>1039</v>
      </c>
      <c r="F334" s="6" t="s">
        <v>1040</v>
      </c>
      <c r="G334" s="27">
        <v>6</v>
      </c>
      <c r="H334" s="7" t="s">
        <v>1289</v>
      </c>
      <c r="I334" s="7" t="s">
        <v>329</v>
      </c>
      <c r="J334" s="7" t="s">
        <v>69</v>
      </c>
      <c r="K334" s="7" t="s">
        <v>0</v>
      </c>
      <c r="L334" s="7" t="s">
        <v>0</v>
      </c>
      <c r="M334" s="8">
        <v>33</v>
      </c>
      <c r="N334" s="9">
        <v>368.60397632070425</v>
      </c>
      <c r="O334" s="9">
        <f t="shared" si="0"/>
        <v>21.068546890359379</v>
      </c>
      <c r="P334" s="9" t="s">
        <v>0</v>
      </c>
      <c r="Q334" s="9" t="str">
        <f t="shared" si="1"/>
        <v>-</v>
      </c>
      <c r="R334" s="9">
        <v>275.38648791159613</v>
      </c>
      <c r="S334" s="9">
        <f t="shared" si="2"/>
        <v>15.740451829767617</v>
      </c>
      <c r="T334" s="9" t="s">
        <v>0</v>
      </c>
      <c r="U334" s="9" t="str">
        <f t="shared" si="3"/>
        <v>-</v>
      </c>
      <c r="V334" s="9" t="s">
        <v>0</v>
      </c>
      <c r="W334" s="9" t="str">
        <f t="shared" si="4"/>
        <v>-</v>
      </c>
      <c r="X334" s="9" t="s">
        <v>0</v>
      </c>
      <c r="Y334" s="9" t="str">
        <f t="shared" si="5"/>
        <v>-</v>
      </c>
      <c r="Z334" s="9" t="s">
        <v>0</v>
      </c>
      <c r="AA334" s="9" t="str">
        <f t="shared" si="6"/>
        <v>-</v>
      </c>
      <c r="AB334" s="9" t="s">
        <v>0</v>
      </c>
      <c r="AC334" s="9" t="str">
        <f t="shared" si="7"/>
        <v>-</v>
      </c>
      <c r="AD334" s="9" t="s">
        <v>0</v>
      </c>
      <c r="AE334" s="12" t="str">
        <f t="shared" si="8"/>
        <v>-</v>
      </c>
      <c r="AF334" s="9" t="s">
        <v>0</v>
      </c>
      <c r="AG334" s="9" t="s">
        <v>0</v>
      </c>
      <c r="AH334" s="9">
        <v>2531.7000000000003</v>
      </c>
      <c r="AI334" s="9" t="s">
        <v>0</v>
      </c>
      <c r="AJ334" s="32" t="s">
        <v>0</v>
      </c>
      <c r="AK334" s="9" t="s">
        <v>0</v>
      </c>
      <c r="AL334" s="32" t="s">
        <v>0</v>
      </c>
      <c r="AM334" s="9" t="s">
        <v>0</v>
      </c>
      <c r="AN334" s="32" t="s">
        <v>0</v>
      </c>
      <c r="AO334" s="9" t="s">
        <v>0</v>
      </c>
      <c r="AP334" s="9" t="s">
        <v>0</v>
      </c>
      <c r="AQ334" s="32" t="s">
        <v>0</v>
      </c>
      <c r="AR33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34" s="9" t="str">
        <f t="shared" si="9"/>
        <v>-</v>
      </c>
      <c r="AT334" s="9">
        <f>IF(RIGHT(TIM[[#This Row],[Device type]],7)="Winding","-",TIM[[#This Row],[Cont Winter MVA]])</f>
        <v>21.068546890359379</v>
      </c>
      <c r="AU334" s="9" t="str">
        <f>IF(RIGHT(TIM[[#This Row],[Device type]],7)="Winding","-",TIM[[#This Row],[Cont Shoulder MVA]])</f>
        <v>-</v>
      </c>
      <c r="AV334" s="9">
        <f>IF(RIGHT(TIM[[#This Row],[Device type]],7)="Winding","-",TIM[[#This Row],[Cont Summer MVA]])</f>
        <v>15.740451829767617</v>
      </c>
      <c r="AW334" s="9" t="str">
        <f>TIM[[#This Row],[24 Hr Winter MVA]]</f>
        <v>-</v>
      </c>
      <c r="AX334" s="9" t="str">
        <f>TIM[[#This Row],[24 Hr Summer MVA]]</f>
        <v>-</v>
      </c>
      <c r="AY334" s="9" t="str">
        <f>TIM[[#This Row],[Forwards MVA]]</f>
        <v>-</v>
      </c>
      <c r="AZ334" s="9" t="str">
        <f>TIM[[#This Row],[Relay MVA]]</f>
        <v>-</v>
      </c>
      <c r="BA334" s="9" t="str">
        <f>TIM[[#This Row],[CT MVA]]</f>
        <v>-</v>
      </c>
      <c r="BB334" s="9" t="str">
        <f>TIM[[#This Row],[Derating MVA]]</f>
        <v>-</v>
      </c>
      <c r="BC334" s="9" t="str">
        <f>TIM[[#This Row],[Station/Feeder]]&amp;TIM[[#This Row],[Lowest MVA]]</f>
        <v>L413_L418_Pareora15.7404518297676</v>
      </c>
      <c r="BD334" s="9" t="str">
        <f>CONCATENATE(TIM[[#This Row],[Supply Level]],TIM[[#This Row],[Station/Feeder]],TIM[[#This Row],[Voltage]],TIM[[#This Row],[Lowest A-No PTX]])</f>
        <v>SubTransmissionL413_L418_Pareora33275.386487911596</v>
      </c>
      <c r="BE334" s="9" t="str">
        <f>CONCATENATE(TIM[[#This Row],[Supply Level]],TIM[[#This Row],[Station/Feeder]],TIM[[#This Row],[Voltage]],TIM[[#This Row],[Lowest A-PTX]])</f>
        <v>SubTransmissionL413_L418_Pareora33275.386487911596</v>
      </c>
      <c r="BF334" s="9">
        <f>IFERROR(IF(MIN(TIM[[#This Row],[Summ Cont Winter A]:[Cable Derating]])=0,"",MIN(TIM[[#This Row],[Summ Cont Winter A]:[Cable Derating]])),"")</f>
        <v>15.740451829767617</v>
      </c>
      <c r="BG334" s="9">
        <f>IFERROR(TIM[[#This Row],[Lowest MVA]]*1000/(TIM[[#This Row],[Voltage]]*SQRT(3)),"")</f>
        <v>275.38648791159613</v>
      </c>
      <c r="BH334" s="9">
        <f t="shared" si="385"/>
        <v>275.38648791159613</v>
      </c>
      <c r="BI334" s="9" t="str">
        <f>TIM[[#This Row],[From]]</f>
        <v xml:space="preserve">Pole 22553 </v>
      </c>
      <c r="BJ334" s="9" t="str">
        <f>TIM[[#This Row],[To]]</f>
        <v>Pole 25018</v>
      </c>
      <c r="BK33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Line-IODINE</v>
      </c>
      <c r="BL334" s="9">
        <f>TIM[[#This Row],[Voltage]]</f>
        <v>33</v>
      </c>
    </row>
    <row r="335" spans="1:64" ht="15.75" hidden="1" customHeight="1" x14ac:dyDescent="0.3">
      <c r="A335" s="6" t="str">
        <f>CONCATENATE(TIM[[#This Row],[Supply Level]],TIM[[#This Row],[Station/Feeder]],TIM[[#This Row],[Voltage]],"T1")</f>
        <v>SubTransmissionL413_L418_Pareora33T1</v>
      </c>
      <c r="B335" s="6" t="str">
        <f>CONCATENATE(TIM[[#This Row],[Supply Level]],TIM[[#This Row],[Station/Feeder]],TIM[[#This Row],[Equipment ID]],TIM[[#This Row],[Voltage]],TIM[[#This Row],[Device type]])</f>
        <v>SubTransmissionL413_L418_Pareora70mm² Cu33-</v>
      </c>
      <c r="C335" s="6" t="s">
        <v>1245</v>
      </c>
      <c r="D335" s="11" t="s">
        <v>168</v>
      </c>
      <c r="E335" s="6" t="s">
        <v>1040</v>
      </c>
      <c r="F335" s="6" t="s">
        <v>1041</v>
      </c>
      <c r="G335" s="27">
        <v>7</v>
      </c>
      <c r="H335" s="7" t="s">
        <v>1289</v>
      </c>
      <c r="I335" s="7" t="s">
        <v>972</v>
      </c>
      <c r="J335" s="7" t="s">
        <v>69</v>
      </c>
      <c r="K335" s="7" t="s">
        <v>0</v>
      </c>
      <c r="L335" s="7" t="s">
        <v>0</v>
      </c>
      <c r="M335" s="8">
        <v>33</v>
      </c>
      <c r="N335" s="9">
        <v>327.51524876181145</v>
      </c>
      <c r="O335" s="9">
        <f>IF(OR(N335="",N335="-"),"-",N335*$M335*SQRT(3)/1000)</f>
        <v>18.720010686597568</v>
      </c>
      <c r="P335" s="9" t="s">
        <v>0</v>
      </c>
      <c r="Q335" s="9" t="str">
        <f>IF(OR(P335="",P335="-"),"-",P335*$M335*SQRT(3)/1000)</f>
        <v>-</v>
      </c>
      <c r="R335" s="9">
        <v>246.70525579161995</v>
      </c>
      <c r="S335" s="9">
        <f>IF(OR(R335="",R335="-"),"-",R335*$M335*SQRT(3)/1000)</f>
        <v>14.101099238336937</v>
      </c>
      <c r="T335" s="9" t="s">
        <v>0</v>
      </c>
      <c r="U335" s="9" t="str">
        <f t="shared" si="3"/>
        <v>-</v>
      </c>
      <c r="V335" s="9" t="s">
        <v>0</v>
      </c>
      <c r="W335" s="9" t="str">
        <f t="shared" si="4"/>
        <v>-</v>
      </c>
      <c r="X335" s="9" t="s">
        <v>0</v>
      </c>
      <c r="Y335" s="9" t="str">
        <f t="shared" si="5"/>
        <v>-</v>
      </c>
      <c r="Z335" s="9" t="s">
        <v>0</v>
      </c>
      <c r="AA335" s="9" t="str">
        <f t="shared" si="6"/>
        <v>-</v>
      </c>
      <c r="AB335" s="9" t="s">
        <v>0</v>
      </c>
      <c r="AC335" s="9" t="str">
        <f t="shared" si="7"/>
        <v>-</v>
      </c>
      <c r="AD335" s="9" t="s">
        <v>0</v>
      </c>
      <c r="AE335" s="12" t="str">
        <f t="shared" si="8"/>
        <v>-</v>
      </c>
      <c r="AF335" s="9" t="s">
        <v>0</v>
      </c>
      <c r="AG335" s="9" t="s">
        <v>0</v>
      </c>
      <c r="AH335" s="9">
        <v>385.8</v>
      </c>
      <c r="AI335" s="9" t="s">
        <v>0</v>
      </c>
      <c r="AJ335" s="32" t="s">
        <v>0</v>
      </c>
      <c r="AK335" s="9" t="s">
        <v>0</v>
      </c>
      <c r="AL335" s="32" t="s">
        <v>0</v>
      </c>
      <c r="AM335" s="9" t="s">
        <v>0</v>
      </c>
      <c r="AN335" s="32" t="s">
        <v>0</v>
      </c>
      <c r="AO335" s="9" t="s">
        <v>0</v>
      </c>
      <c r="AP335" s="9" t="s">
        <v>0</v>
      </c>
      <c r="AQ335" s="32" t="s">
        <v>0</v>
      </c>
      <c r="AR335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35" s="9" t="str">
        <f t="shared" si="9"/>
        <v>-</v>
      </c>
      <c r="AT335" s="9">
        <f>IF(RIGHT(TIM[[#This Row],[Device type]],7)="Winding","-",TIM[[#This Row],[Cont Winter MVA]])</f>
        <v>18.720010686597568</v>
      </c>
      <c r="AU335" s="9" t="str">
        <f>IF(RIGHT(TIM[[#This Row],[Device type]],7)="Winding","-",TIM[[#This Row],[Cont Shoulder MVA]])</f>
        <v>-</v>
      </c>
      <c r="AV335" s="9">
        <f>IF(RIGHT(TIM[[#This Row],[Device type]],7)="Winding","-",TIM[[#This Row],[Cont Summer MVA]])</f>
        <v>14.101099238336937</v>
      </c>
      <c r="AW335" s="9" t="str">
        <f>TIM[[#This Row],[24 Hr Winter MVA]]</f>
        <v>-</v>
      </c>
      <c r="AX335" s="9" t="str">
        <f>TIM[[#This Row],[24 Hr Summer MVA]]</f>
        <v>-</v>
      </c>
      <c r="AY335" s="9" t="str">
        <f>TIM[[#This Row],[Forwards MVA]]</f>
        <v>-</v>
      </c>
      <c r="AZ335" s="9" t="str">
        <f>TIM[[#This Row],[Relay MVA]]</f>
        <v>-</v>
      </c>
      <c r="BA335" s="9" t="str">
        <f>TIM[[#This Row],[CT MVA]]</f>
        <v>-</v>
      </c>
      <c r="BB335" s="9" t="str">
        <f>TIM[[#This Row],[Derating MVA]]</f>
        <v>-</v>
      </c>
      <c r="BC335" s="9" t="str">
        <f>TIM[[#This Row],[Station/Feeder]]&amp;TIM[[#This Row],[Lowest MVA]]</f>
        <v>L413_L418_Pareora14.1010992383369</v>
      </c>
      <c r="BD335" s="9" t="str">
        <f>CONCATENATE(TIM[[#This Row],[Supply Level]],TIM[[#This Row],[Station/Feeder]],TIM[[#This Row],[Voltage]],TIM[[#This Row],[Lowest A-No PTX]])</f>
        <v>SubTransmissionL413_L418_Pareora33246.70525579162</v>
      </c>
      <c r="BE335" s="9" t="str">
        <f>CONCATENATE(TIM[[#This Row],[Supply Level]],TIM[[#This Row],[Station/Feeder]],TIM[[#This Row],[Voltage]],TIM[[#This Row],[Lowest A-PTX]])</f>
        <v>SubTransmissionL413_L418_Pareora33246.70525579162</v>
      </c>
      <c r="BF335" s="9">
        <f>IFERROR(IF(MIN(TIM[[#This Row],[Summ Cont Winter A]:[Cable Derating]])=0,"",MIN(TIM[[#This Row],[Summ Cont Winter A]:[Cable Derating]])),"")</f>
        <v>14.101099238336937</v>
      </c>
      <c r="BG335" s="9">
        <f>IFERROR(TIM[[#This Row],[Lowest MVA]]*1000/(TIM[[#This Row],[Voltage]]*SQRT(3)),"")</f>
        <v>246.70525579161995</v>
      </c>
      <c r="BH335" s="9">
        <f t="shared" si="385"/>
        <v>246.70525579161995</v>
      </c>
      <c r="BI335" s="9" t="str">
        <f>TIM[[#This Row],[From]]</f>
        <v>Pole 25018</v>
      </c>
      <c r="BJ335" s="9" t="str">
        <f>TIM[[#This Row],[To]]</f>
        <v>Pole 51464</v>
      </c>
      <c r="BK33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Line-70mm² Cu</v>
      </c>
      <c r="BL335" s="9">
        <f>TIM[[#This Row],[Voltage]]</f>
        <v>33</v>
      </c>
    </row>
    <row r="336" spans="1:64" ht="15" hidden="1" customHeight="1" x14ac:dyDescent="0.3">
      <c r="A336" s="6" t="str">
        <f>CONCATENATE(TIM[[#This Row],[Supply Level]],TIM[[#This Row],[Station/Feeder]],TIM[[#This Row],[Voltage]],"T1")</f>
        <v>SubTransmissionL413_L418_Pareora33T1</v>
      </c>
      <c r="B336" s="6" t="str">
        <f>CONCATENATE(TIM[[#This Row],[Supply Level]],TIM[[#This Row],[Station/Feeder]],TIM[[#This Row],[Equipment ID]],TIM[[#This Row],[Voltage]],TIM[[#This Row],[Device type]])</f>
        <v>SubTransmissionL413_L418_PareoraIODINE33-</v>
      </c>
      <c r="C336" s="6" t="s">
        <v>1245</v>
      </c>
      <c r="D336" s="11" t="s">
        <v>168</v>
      </c>
      <c r="E336" s="6" t="s">
        <v>1041</v>
      </c>
      <c r="F336" s="6" t="s">
        <v>1042</v>
      </c>
      <c r="G336" s="27">
        <v>8</v>
      </c>
      <c r="H336" s="7" t="s">
        <v>1289</v>
      </c>
      <c r="I336" s="7" t="s">
        <v>329</v>
      </c>
      <c r="J336" s="7" t="s">
        <v>69</v>
      </c>
      <c r="K336" s="7" t="s">
        <v>0</v>
      </c>
      <c r="L336" s="7" t="s">
        <v>0</v>
      </c>
      <c r="M336" s="8">
        <v>33</v>
      </c>
      <c r="N336" s="9">
        <v>368.60397632070425</v>
      </c>
      <c r="O336" s="9">
        <f t="shared" si="0"/>
        <v>21.068546890359379</v>
      </c>
      <c r="P336" s="9" t="s">
        <v>0</v>
      </c>
      <c r="Q336" s="9" t="str">
        <f t="shared" si="1"/>
        <v>-</v>
      </c>
      <c r="R336" s="9">
        <v>275.38648791159613</v>
      </c>
      <c r="S336" s="9">
        <f t="shared" si="2"/>
        <v>15.740451829767617</v>
      </c>
      <c r="T336" s="9" t="s">
        <v>0</v>
      </c>
      <c r="U336" s="9" t="str">
        <f t="shared" si="3"/>
        <v>-</v>
      </c>
      <c r="V336" s="9" t="s">
        <v>0</v>
      </c>
      <c r="W336" s="9" t="str">
        <f t="shared" si="4"/>
        <v>-</v>
      </c>
      <c r="X336" s="9" t="s">
        <v>0</v>
      </c>
      <c r="Y336" s="9" t="str">
        <f t="shared" si="5"/>
        <v>-</v>
      </c>
      <c r="Z336" s="9" t="s">
        <v>0</v>
      </c>
      <c r="AA336" s="9" t="str">
        <f t="shared" si="6"/>
        <v>-</v>
      </c>
      <c r="AB336" s="9" t="s">
        <v>0</v>
      </c>
      <c r="AC336" s="9" t="str">
        <f t="shared" si="7"/>
        <v>-</v>
      </c>
      <c r="AD336" s="9" t="s">
        <v>0</v>
      </c>
      <c r="AE336" s="12" t="str">
        <f t="shared" si="8"/>
        <v>-</v>
      </c>
      <c r="AF336" s="9" t="s">
        <v>0</v>
      </c>
      <c r="AG336" s="9" t="s">
        <v>0</v>
      </c>
      <c r="AH336" s="9">
        <v>11040.9</v>
      </c>
      <c r="AI336" s="9" t="s">
        <v>0</v>
      </c>
      <c r="AJ336" s="32" t="s">
        <v>0</v>
      </c>
      <c r="AK336" s="9" t="s">
        <v>0</v>
      </c>
      <c r="AL336" s="32" t="s">
        <v>0</v>
      </c>
      <c r="AM336" s="9" t="s">
        <v>0</v>
      </c>
      <c r="AN336" s="32" t="s">
        <v>0</v>
      </c>
      <c r="AO336" s="9" t="s">
        <v>0</v>
      </c>
      <c r="AP336" s="9" t="s">
        <v>0</v>
      </c>
      <c r="AQ336" s="32" t="s">
        <v>0</v>
      </c>
      <c r="AR336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36" s="9" t="str">
        <f t="shared" si="9"/>
        <v>-</v>
      </c>
      <c r="AT336" s="9">
        <f>IF(RIGHT(TIM[[#This Row],[Device type]],7)="Winding","-",TIM[[#This Row],[Cont Winter MVA]])</f>
        <v>21.068546890359379</v>
      </c>
      <c r="AU336" s="9" t="str">
        <f>IF(RIGHT(TIM[[#This Row],[Device type]],7)="Winding","-",TIM[[#This Row],[Cont Shoulder MVA]])</f>
        <v>-</v>
      </c>
      <c r="AV336" s="9">
        <f>IF(RIGHT(TIM[[#This Row],[Device type]],7)="Winding","-",TIM[[#This Row],[Cont Summer MVA]])</f>
        <v>15.740451829767617</v>
      </c>
      <c r="AW336" s="9" t="str">
        <f>TIM[[#This Row],[24 Hr Winter MVA]]</f>
        <v>-</v>
      </c>
      <c r="AX336" s="9" t="str">
        <f>TIM[[#This Row],[24 Hr Summer MVA]]</f>
        <v>-</v>
      </c>
      <c r="AY336" s="9" t="str">
        <f>TIM[[#This Row],[Forwards MVA]]</f>
        <v>-</v>
      </c>
      <c r="AZ336" s="9" t="str">
        <f>TIM[[#This Row],[Relay MVA]]</f>
        <v>-</v>
      </c>
      <c r="BA336" s="9" t="str">
        <f>TIM[[#This Row],[CT MVA]]</f>
        <v>-</v>
      </c>
      <c r="BB336" s="9" t="str">
        <f>TIM[[#This Row],[Derating MVA]]</f>
        <v>-</v>
      </c>
      <c r="BC336" s="9" t="str">
        <f>TIM[[#This Row],[Station/Feeder]]&amp;TIM[[#This Row],[Lowest MVA]]</f>
        <v>L413_L418_Pareora15.7404518297676</v>
      </c>
      <c r="BD336" s="9" t="str">
        <f>CONCATENATE(TIM[[#This Row],[Supply Level]],TIM[[#This Row],[Station/Feeder]],TIM[[#This Row],[Voltage]],TIM[[#This Row],[Lowest A-No PTX]])</f>
        <v>SubTransmissionL413_L418_Pareora33275.386487911596</v>
      </c>
      <c r="BE336" s="9" t="str">
        <f>CONCATENATE(TIM[[#This Row],[Supply Level]],TIM[[#This Row],[Station/Feeder]],TIM[[#This Row],[Voltage]],TIM[[#This Row],[Lowest A-PTX]])</f>
        <v>SubTransmissionL413_L418_Pareora33275.386487911596</v>
      </c>
      <c r="BF336" s="9">
        <f>IFERROR(IF(MIN(TIM[[#This Row],[Summ Cont Winter A]:[Cable Derating]])=0,"",MIN(TIM[[#This Row],[Summ Cont Winter A]:[Cable Derating]])),"")</f>
        <v>15.740451829767617</v>
      </c>
      <c r="BG336" s="9">
        <f>IFERROR(TIM[[#This Row],[Lowest MVA]]*1000/(TIM[[#This Row],[Voltage]]*SQRT(3)),"")</f>
        <v>275.38648791159613</v>
      </c>
      <c r="BH336" s="9">
        <f t="shared" si="385"/>
        <v>275.38648791159613</v>
      </c>
      <c r="BI336" s="9" t="str">
        <f>TIM[[#This Row],[From]]</f>
        <v>Pole 51464</v>
      </c>
      <c r="BJ336" s="9" t="str">
        <f>TIM[[#This Row],[To]]</f>
        <v xml:space="preserve">ABS L690 </v>
      </c>
      <c r="BK33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Line-IODINE</v>
      </c>
      <c r="BL336" s="9">
        <f>TIM[[#This Row],[Voltage]]</f>
        <v>33</v>
      </c>
    </row>
    <row r="337" spans="1:64" ht="15" hidden="1" customHeight="1" x14ac:dyDescent="0.3">
      <c r="A337" s="6" t="str">
        <f>CONCATENATE(TIM[[#This Row],[Supply Level]],TIM[[#This Row],[Station/Feeder]],TIM[[#This Row],[Voltage]],"T1")</f>
        <v>SubTransmissionL413_L418_Pareora33T1</v>
      </c>
      <c r="B337" s="6" t="str">
        <f>CONCATENATE(TIM[[#This Row],[Supply Level]],TIM[[#This Row],[Station/Feeder]],TIM[[#This Row],[Equipment ID]],TIM[[#This Row],[Voltage]],TIM[[#This Row],[Device type]])</f>
        <v>SubTransmissionL413_L418_Pareora3/1c 400mm² AL XLPE HDPE Screened33-</v>
      </c>
      <c r="C337" s="6" t="s">
        <v>1245</v>
      </c>
      <c r="D337" s="11" t="s">
        <v>168</v>
      </c>
      <c r="E337" s="6" t="s">
        <v>1042</v>
      </c>
      <c r="F337" s="6" t="s">
        <v>1043</v>
      </c>
      <c r="G337" s="27">
        <v>9</v>
      </c>
      <c r="H337" s="7" t="s">
        <v>1044</v>
      </c>
      <c r="I337" s="7" t="s">
        <v>819</v>
      </c>
      <c r="J337" s="7" t="s">
        <v>250</v>
      </c>
      <c r="K337" s="7" t="s">
        <v>0</v>
      </c>
      <c r="L337" s="7" t="s">
        <v>0</v>
      </c>
      <c r="M337" s="8">
        <v>33</v>
      </c>
      <c r="N337" s="9">
        <v>537</v>
      </c>
      <c r="O337" s="9">
        <f t="shared" si="0"/>
        <v>30.693672360928073</v>
      </c>
      <c r="P337" s="9">
        <v>537</v>
      </c>
      <c r="Q337" s="9">
        <f t="shared" si="1"/>
        <v>30.693672360928073</v>
      </c>
      <c r="R337" s="9">
        <v>537</v>
      </c>
      <c r="S337" s="9">
        <f t="shared" si="2"/>
        <v>30.693672360928073</v>
      </c>
      <c r="T337" s="9" t="s">
        <v>0</v>
      </c>
      <c r="U337" s="9" t="str">
        <f t="shared" si="3"/>
        <v>-</v>
      </c>
      <c r="V337" s="9" t="s">
        <v>0</v>
      </c>
      <c r="W337" s="9" t="str">
        <f t="shared" si="4"/>
        <v>-</v>
      </c>
      <c r="X337" s="9" t="s">
        <v>0</v>
      </c>
      <c r="Y337" s="9" t="str">
        <f t="shared" si="5"/>
        <v>-</v>
      </c>
      <c r="Z337" s="9" t="s">
        <v>0</v>
      </c>
      <c r="AA337" s="9" t="str">
        <f t="shared" si="6"/>
        <v>-</v>
      </c>
      <c r="AB337" s="9" t="s">
        <v>0</v>
      </c>
      <c r="AC337" s="9" t="str">
        <f t="shared" si="7"/>
        <v>-</v>
      </c>
      <c r="AD337" s="9" t="s">
        <v>0</v>
      </c>
      <c r="AE337" s="12" t="str">
        <f t="shared" si="8"/>
        <v>-</v>
      </c>
      <c r="AF337" s="9" t="s">
        <v>713</v>
      </c>
      <c r="AG337" s="9" t="s">
        <v>344</v>
      </c>
      <c r="AH337" s="9">
        <v>42.2</v>
      </c>
      <c r="AI337" s="9">
        <v>0.8</v>
      </c>
      <c r="AJ337" s="32">
        <v>1</v>
      </c>
      <c r="AK337" s="9">
        <v>20</v>
      </c>
      <c r="AL337" s="32">
        <v>0.97</v>
      </c>
      <c r="AM337" s="9">
        <v>1.2</v>
      </c>
      <c r="AN337" s="32">
        <v>1</v>
      </c>
      <c r="AO337" s="9">
        <v>1</v>
      </c>
      <c r="AP337" s="9">
        <v>0</v>
      </c>
      <c r="AQ337" s="32">
        <v>1</v>
      </c>
      <c r="AR337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520.89</v>
      </c>
      <c r="AS337" s="9">
        <f t="shared" si="9"/>
        <v>29.772862190100231</v>
      </c>
      <c r="AT337" s="9">
        <f>IF(RIGHT(TIM[[#This Row],[Device type]],7)="Winding","-",TIM[[#This Row],[Cont Winter MVA]])</f>
        <v>30.693672360928073</v>
      </c>
      <c r="AU337" s="9">
        <f>IF(RIGHT(TIM[[#This Row],[Device type]],7)="Winding","-",TIM[[#This Row],[Cont Shoulder MVA]])</f>
        <v>30.693672360928073</v>
      </c>
      <c r="AV337" s="9">
        <f>IF(RIGHT(TIM[[#This Row],[Device type]],7)="Winding","-",TIM[[#This Row],[Cont Summer MVA]])</f>
        <v>30.693672360928073</v>
      </c>
      <c r="AW337" s="9" t="str">
        <f>TIM[[#This Row],[24 Hr Winter MVA]]</f>
        <v>-</v>
      </c>
      <c r="AX337" s="9" t="str">
        <f>TIM[[#This Row],[24 Hr Summer MVA]]</f>
        <v>-</v>
      </c>
      <c r="AY337" s="9" t="str">
        <f>TIM[[#This Row],[Forwards MVA]]</f>
        <v>-</v>
      </c>
      <c r="AZ337" s="9" t="str">
        <f>TIM[[#This Row],[Relay MVA]]</f>
        <v>-</v>
      </c>
      <c r="BA337" s="9" t="str">
        <f>TIM[[#This Row],[CT MVA]]</f>
        <v>-</v>
      </c>
      <c r="BB337" s="9">
        <f>TIM[[#This Row],[Derating MVA]]</f>
        <v>29.772862190100231</v>
      </c>
      <c r="BC337" s="9" t="str">
        <f>TIM[[#This Row],[Station/Feeder]]&amp;TIM[[#This Row],[Lowest MVA]]</f>
        <v>L413_L418_Pareora29.7728621901002</v>
      </c>
      <c r="BD337" s="9" t="str">
        <f>CONCATENATE(TIM[[#This Row],[Supply Level]],TIM[[#This Row],[Station/Feeder]],TIM[[#This Row],[Voltage]],TIM[[#This Row],[Lowest A-No PTX]])</f>
        <v>SubTransmissionL413_L418_Pareora33520.89</v>
      </c>
      <c r="BE337" s="9" t="str">
        <f>CONCATENATE(TIM[[#This Row],[Supply Level]],TIM[[#This Row],[Station/Feeder]],TIM[[#This Row],[Voltage]],TIM[[#This Row],[Lowest A-PTX]])</f>
        <v>SubTransmissionL413_L418_Pareora33520.89</v>
      </c>
      <c r="BF337" s="9">
        <f>IFERROR(IF(MIN(TIM[[#This Row],[Summ Cont Winter A]:[Cable Derating]])=0,"",MIN(TIM[[#This Row],[Summ Cont Winter A]:[Cable Derating]])),"")</f>
        <v>29.772862190100231</v>
      </c>
      <c r="BG337" s="9">
        <f>IFERROR(TIM[[#This Row],[Lowest MVA]]*1000/(TIM[[#This Row],[Voltage]]*SQRT(3)),"")</f>
        <v>520.89</v>
      </c>
      <c r="BH337" s="9">
        <f t="shared" si="385"/>
        <v>520.89</v>
      </c>
      <c r="BI337" s="9" t="str">
        <f>TIM[[#This Row],[From]]</f>
        <v xml:space="preserve">ABS L690 </v>
      </c>
      <c r="BJ337" s="9" t="str">
        <f>TIM[[#This Row],[To]]</f>
        <v>CB 2332</v>
      </c>
      <c r="BK33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337" s="9">
        <f>TIM[[#This Row],[Voltage]]</f>
        <v>33</v>
      </c>
    </row>
    <row r="338" spans="1:64" ht="15" hidden="1" customHeight="1" x14ac:dyDescent="0.3">
      <c r="A338" s="14" t="str">
        <f>CONCATENATE(TIM[[#This Row],[Supply Level]],TIM[[#This Row],[Station/Feeder]],TIM[[#This Row],[Voltage]],"T1")</f>
        <v>SubTransmissionL413_L418_Pareora33T1</v>
      </c>
      <c r="B338" s="14" t="str">
        <f>CONCATENATE(TIM[[#This Row],[Supply Level]],TIM[[#This Row],[Station/Feeder]],TIM[[#This Row],[Equipment ID]],TIM[[#This Row],[Voltage]],TIM[[#This Row],[Device type]])</f>
        <v>SubTransmissionL413_L418_Pareora233433-</v>
      </c>
      <c r="C338" s="14" t="s">
        <v>1245</v>
      </c>
      <c r="D338" s="13" t="s">
        <v>168</v>
      </c>
      <c r="E338" s="14" t="s">
        <v>1043</v>
      </c>
      <c r="F338" s="39">
        <v>2334</v>
      </c>
      <c r="G338" s="28">
        <v>10</v>
      </c>
      <c r="H338" s="7" t="s">
        <v>273</v>
      </c>
      <c r="I338" s="39">
        <v>2334</v>
      </c>
      <c r="J338" s="39" t="s">
        <v>278</v>
      </c>
      <c r="K338" s="39" t="s">
        <v>0</v>
      </c>
      <c r="L338" s="39" t="s">
        <v>0</v>
      </c>
      <c r="M338" s="8">
        <v>33</v>
      </c>
      <c r="N338" s="16" t="s">
        <v>0</v>
      </c>
      <c r="O338" s="16" t="str">
        <f t="shared" si="0"/>
        <v>-</v>
      </c>
      <c r="P338" s="16" t="s">
        <v>0</v>
      </c>
      <c r="Q338" s="16" t="str">
        <f t="shared" si="1"/>
        <v>-</v>
      </c>
      <c r="R338" s="16" t="s">
        <v>0</v>
      </c>
      <c r="S338" s="16" t="str">
        <f t="shared" si="2"/>
        <v>-</v>
      </c>
      <c r="T338" s="16" t="s">
        <v>0</v>
      </c>
      <c r="U338" s="16" t="str">
        <f t="shared" si="3"/>
        <v>-</v>
      </c>
      <c r="V338" s="16" t="s">
        <v>0</v>
      </c>
      <c r="W338" s="16" t="str">
        <f t="shared" si="4"/>
        <v>-</v>
      </c>
      <c r="X338" s="16" t="s">
        <v>0</v>
      </c>
      <c r="Y338" s="16" t="str">
        <f t="shared" si="5"/>
        <v>-</v>
      </c>
      <c r="Z338" s="16" t="s">
        <v>0</v>
      </c>
      <c r="AA338" s="16" t="str">
        <f t="shared" si="6"/>
        <v>-</v>
      </c>
      <c r="AB338" s="16" t="s">
        <v>0</v>
      </c>
      <c r="AC338" s="16" t="str">
        <f t="shared" si="7"/>
        <v>-</v>
      </c>
      <c r="AD338" s="16" t="s">
        <v>0</v>
      </c>
      <c r="AE338" s="17" t="str">
        <f t="shared" si="8"/>
        <v>-</v>
      </c>
      <c r="AF338" s="16" t="s">
        <v>0</v>
      </c>
      <c r="AG338" s="16" t="s">
        <v>0</v>
      </c>
      <c r="AH338" s="16" t="s">
        <v>0</v>
      </c>
      <c r="AI338" s="16" t="s">
        <v>0</v>
      </c>
      <c r="AJ338" s="127" t="s">
        <v>0</v>
      </c>
      <c r="AK338" s="16" t="s">
        <v>0</v>
      </c>
      <c r="AL338" s="127" t="s">
        <v>0</v>
      </c>
      <c r="AM338" s="16" t="s">
        <v>0</v>
      </c>
      <c r="AN338" s="127" t="s">
        <v>0</v>
      </c>
      <c r="AO338" s="16" t="s">
        <v>0</v>
      </c>
      <c r="AP338" s="16" t="s">
        <v>0</v>
      </c>
      <c r="AQ338" s="127" t="s">
        <v>0</v>
      </c>
      <c r="AR338" s="16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38" s="16" t="str">
        <f t="shared" si="9"/>
        <v>-</v>
      </c>
      <c r="AT338" s="9" t="str">
        <f>IF(RIGHT(TIM[[#This Row],[Device type]],7)="Winding","-",TIM[[#This Row],[Cont Winter MVA]])</f>
        <v>-</v>
      </c>
      <c r="AU338" s="9" t="str">
        <f>IF(RIGHT(TIM[[#This Row],[Device type]],7)="Winding","-",TIM[[#This Row],[Cont Shoulder MVA]])</f>
        <v>-</v>
      </c>
      <c r="AV338" s="9" t="str">
        <f>IF(RIGHT(TIM[[#This Row],[Device type]],7)="Winding","-",TIM[[#This Row],[Cont Summer MVA]])</f>
        <v>-</v>
      </c>
      <c r="AW338" s="9" t="str">
        <f>TIM[[#This Row],[24 Hr Winter MVA]]</f>
        <v>-</v>
      </c>
      <c r="AX338" s="9" t="str">
        <f>TIM[[#This Row],[24 Hr Summer MVA]]</f>
        <v>-</v>
      </c>
      <c r="AY338" s="9" t="str">
        <f>TIM[[#This Row],[Forwards MVA]]</f>
        <v>-</v>
      </c>
      <c r="AZ338" s="9" t="str">
        <f>TIM[[#This Row],[Relay MVA]]</f>
        <v>-</v>
      </c>
      <c r="BA338" s="9" t="str">
        <f>TIM[[#This Row],[CT MVA]]</f>
        <v>-</v>
      </c>
      <c r="BB338" s="9" t="str">
        <f>TIM[[#This Row],[Derating MVA]]</f>
        <v>-</v>
      </c>
      <c r="BC338" s="9" t="str">
        <f>TIM[[#This Row],[Station/Feeder]]&amp;TIM[[#This Row],[Lowest MVA]]</f>
        <v>L413_L418_Pareora</v>
      </c>
      <c r="BD338" s="9" t="str">
        <f>CONCATENATE(TIM[[#This Row],[Supply Level]],TIM[[#This Row],[Station/Feeder]],TIM[[#This Row],[Voltage]],TIM[[#This Row],[Lowest A-No PTX]])</f>
        <v>SubTransmissionL413_L418_Pareora33</v>
      </c>
      <c r="BE338" s="9" t="str">
        <f>CONCATENATE(TIM[[#This Row],[Supply Level]],TIM[[#This Row],[Station/Feeder]],TIM[[#This Row],[Voltage]],TIM[[#This Row],[Lowest A-PTX]])</f>
        <v>SubTransmissionL413_L418_Pareora33</v>
      </c>
      <c r="BF338" s="9" t="str">
        <f>IFERROR(IF(MIN(TIM[[#This Row],[Summ Cont Winter A]:[Cable Derating]])=0,"",MIN(TIM[[#This Row],[Summ Cont Winter A]:[Cable Derating]])),"")</f>
        <v/>
      </c>
      <c r="BG338" s="9" t="str">
        <f>IFERROR(TIM[[#This Row],[Lowest MVA]]*1000/(TIM[[#This Row],[Voltage]]*SQRT(3)),"")</f>
        <v/>
      </c>
      <c r="BH338" s="9" t="str">
        <f t="shared" si="385"/>
        <v/>
      </c>
      <c r="BI338" s="9" t="str">
        <f>TIM[[#This Row],[From]]</f>
        <v>CB 2332</v>
      </c>
      <c r="BJ338" s="9">
        <f>TIM[[#This Row],[To]]</f>
        <v>2334</v>
      </c>
      <c r="BK33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Switch-2334</v>
      </c>
      <c r="BL338" s="9">
        <f>TIM[[#This Row],[Voltage]]</f>
        <v>33</v>
      </c>
    </row>
    <row r="339" spans="1:64" ht="15" hidden="1" customHeight="1" thickBot="1" x14ac:dyDescent="0.3">
      <c r="A339" s="14" t="str">
        <f>CONCATENATE(TIM[[#This Row],[Supply Level]],TIM[[#This Row],[Station/Feeder]],TIM[[#This Row],[Voltage]],"T1")</f>
        <v>SubTransmissionL413_L418_Pareora33T1</v>
      </c>
      <c r="B339" s="14" t="str">
        <f>CONCATENATE(TIM[[#This Row],[Supply Level]],TIM[[#This Row],[Station/Feeder]],TIM[[#This Row],[Equipment ID]],TIM[[#This Row],[Voltage]],TIM[[#This Row],[Device type]])</f>
        <v>SubTransmissionL413_L418_PareoraPAR-CB233233-</v>
      </c>
      <c r="C339" s="14" t="s">
        <v>1245</v>
      </c>
      <c r="D339" s="13" t="s">
        <v>168</v>
      </c>
      <c r="E339" s="14" t="s">
        <v>1043</v>
      </c>
      <c r="F339" s="6" t="s">
        <v>63</v>
      </c>
      <c r="G339" s="27">
        <v>11</v>
      </c>
      <c r="H339" s="39" t="s">
        <v>743</v>
      </c>
      <c r="I339" s="7" t="s">
        <v>2288</v>
      </c>
      <c r="J339" s="7" t="s">
        <v>15</v>
      </c>
      <c r="K339" s="7" t="s">
        <v>0</v>
      </c>
      <c r="L339" s="7" t="s">
        <v>0</v>
      </c>
      <c r="M339" s="8">
        <v>33</v>
      </c>
      <c r="N339" s="9" t="s">
        <v>0</v>
      </c>
      <c r="O339" s="9" t="str">
        <f>IF(OR(N339="",N339="-"),"-",N339*$M339*SQRT(3)/1000)</f>
        <v>-</v>
      </c>
      <c r="P339" s="9" t="s">
        <v>0</v>
      </c>
      <c r="Q339" s="9" t="str">
        <f>IF(OR(P339="",P339="-"),"-",P339*$M339*SQRT(3)/1000)</f>
        <v>-</v>
      </c>
      <c r="R339" s="9" t="s">
        <v>0</v>
      </c>
      <c r="S339" s="9" t="str">
        <f>IF(OR(R339="",R339="-"),"-",R339*$M339*SQRT(3)/1000)</f>
        <v>-</v>
      </c>
      <c r="T339" s="9" t="s">
        <v>0</v>
      </c>
      <c r="U339" s="9" t="str">
        <f>IF(OR(T339="",T339="-"),"-",T339*$M339*SQRT(3)/1000)</f>
        <v>-</v>
      </c>
      <c r="V339" s="9" t="s">
        <v>0</v>
      </c>
      <c r="W339" s="9" t="str">
        <f>IF(OR(V339="",V339="-"),"-",V339*$M339*SQRT(3)/1000)</f>
        <v>-</v>
      </c>
      <c r="X339" s="9">
        <f>VLOOKUP(TIM[[#This Row],[Equipment ID]],AEL_Protection_Data[#All],12,0)</f>
        <v>320</v>
      </c>
      <c r="Y339" s="9">
        <f>IF(OR(X339="",X339="-"),"-",X339*$M339*SQRT(3)/1000)</f>
        <v>18.290456527927343</v>
      </c>
      <c r="Z339" s="9" t="s">
        <v>0</v>
      </c>
      <c r="AA339" s="9" t="str">
        <f>IF(OR(Z339="",Z339="-"),"-",Z339*$M339*SQRT(3)/1000)</f>
        <v>-</v>
      </c>
      <c r="AB339" s="9" t="s">
        <v>0</v>
      </c>
      <c r="AC339" s="9" t="str">
        <f>IF(OR(AB339="",AB339="-"),"-",AB339*$M339*SQRT(3)/1000)</f>
        <v>-</v>
      </c>
      <c r="AD339" s="9">
        <v>400</v>
      </c>
      <c r="AE339" s="12">
        <f>IF(OR(AD339="",AD339="-"),"-",AD339*$M339*SQRT(3)/1000)</f>
        <v>22.86307065990918</v>
      </c>
      <c r="AF339" s="155" t="s">
        <v>0</v>
      </c>
      <c r="AG339" s="155" t="s">
        <v>0</v>
      </c>
      <c r="AH339" s="9" t="s">
        <v>0</v>
      </c>
      <c r="AI339" s="155" t="s">
        <v>0</v>
      </c>
      <c r="AJ339" s="175" t="s">
        <v>0</v>
      </c>
      <c r="AK339" s="155" t="s">
        <v>0</v>
      </c>
      <c r="AL339" s="175" t="s">
        <v>0</v>
      </c>
      <c r="AM339" s="155" t="s">
        <v>0</v>
      </c>
      <c r="AN339" s="175" t="s">
        <v>0</v>
      </c>
      <c r="AO339" s="155" t="s">
        <v>0</v>
      </c>
      <c r="AP339" s="155" t="s">
        <v>0</v>
      </c>
      <c r="AQ339" s="175" t="s">
        <v>0</v>
      </c>
      <c r="AR339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39" s="9" t="str">
        <f>IF(OR(AR339="",AR339="-"),"-",AR339*$M339*SQRT(3)/1000)</f>
        <v>-</v>
      </c>
      <c r="AT339" s="155" t="str">
        <f>IF(RIGHT(TIM[[#This Row],[Device type]],7)="Winding","-",TIM[[#This Row],[Cont Winter MVA]])</f>
        <v>-</v>
      </c>
      <c r="AU339" s="155" t="str">
        <f>IF(RIGHT(TIM[[#This Row],[Device type]],7)="Winding","-",TIM[[#This Row],[Cont Shoulder MVA]])</f>
        <v>-</v>
      </c>
      <c r="AV339" s="155" t="str">
        <f>IF(RIGHT(TIM[[#This Row],[Device type]],7)="Winding","-",TIM[[#This Row],[Cont Summer MVA]])</f>
        <v>-</v>
      </c>
      <c r="AW339" s="155" t="str">
        <f>TIM[[#This Row],[24 Hr Winter MVA]]</f>
        <v>-</v>
      </c>
      <c r="AX339" s="155" t="str">
        <f>TIM[[#This Row],[24 Hr Summer MVA]]</f>
        <v>-</v>
      </c>
      <c r="AY339" s="155">
        <f>TIM[[#This Row],[Forwards MVA]]</f>
        <v>18.290456527927343</v>
      </c>
      <c r="AZ339" s="155" t="str">
        <f>TIM[[#This Row],[Relay MVA]]</f>
        <v>-</v>
      </c>
      <c r="BA339" s="155">
        <f>TIM[[#This Row],[CT MVA]]</f>
        <v>22.86307065990918</v>
      </c>
      <c r="BB339" s="155" t="str">
        <f>TIM[[#This Row],[Derating MVA]]</f>
        <v>-</v>
      </c>
      <c r="BC339" s="155" t="str">
        <f>TIM[[#This Row],[Station/Feeder]]&amp;TIM[[#This Row],[Lowest MVA]]</f>
        <v>L413_L418_Pareora18.2904565279273</v>
      </c>
      <c r="BD339" s="155" t="str">
        <f>CONCATENATE(TIM[[#This Row],[Supply Level]],TIM[[#This Row],[Station/Feeder]],TIM[[#This Row],[Voltage]],TIM[[#This Row],[Lowest A-No PTX]])</f>
        <v>SubTransmissionL413_L418_Pareora33320</v>
      </c>
      <c r="BE339" s="155" t="str">
        <f>CONCATENATE(TIM[[#This Row],[Supply Level]],TIM[[#This Row],[Station/Feeder]],TIM[[#This Row],[Voltage]],TIM[[#This Row],[Lowest A-PTX]])</f>
        <v>SubTransmissionL413_L418_Pareora33320</v>
      </c>
      <c r="BF339" s="155">
        <f>IFERROR(IF(MIN(TIM[[#This Row],[Summ Cont Winter A]:[Cable Derating]])=0,"",MIN(TIM[[#This Row],[Summ Cont Winter A]:[Cable Derating]])),"")</f>
        <v>18.290456527927343</v>
      </c>
      <c r="BG339" s="155">
        <f>IFERROR(TIM[[#This Row],[Lowest MVA]]*1000/(TIM[[#This Row],[Voltage]]*SQRT(3)),"")</f>
        <v>320.00000000000006</v>
      </c>
      <c r="BH339" s="155">
        <f t="shared" si="385"/>
        <v>320</v>
      </c>
      <c r="BI339" s="155" t="str">
        <f>TIM[[#This Row],[From]]</f>
        <v>CB 2332</v>
      </c>
      <c r="BJ339" s="155" t="str">
        <f>TIM[[#This Row],[To]]</f>
        <v>33 kV Bus</v>
      </c>
      <c r="BK339" s="155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Breaker-PAR-CB2332</v>
      </c>
      <c r="BL339" s="155">
        <f>TIM[[#This Row],[Voltage]]</f>
        <v>33</v>
      </c>
    </row>
    <row r="340" spans="1:64" ht="15" hidden="1" customHeight="1" x14ac:dyDescent="0.3">
      <c r="A340" s="3" t="str">
        <f>CONCATENATE(TIM[[#This Row],[Supply Level]],TIM[[#This Row],[Station/Feeder]],TIM[[#This Row],[Voltage]],"T2")</f>
        <v>SubTransmissionL413_L418_Pareora33T2</v>
      </c>
      <c r="B340" s="3" t="str">
        <f>CONCATENATE(TIM[[#This Row],[Supply Level]],TIM[[#This Row],[Station/Feeder]],TIM[[#This Row],[Equipment ID]],TIM[[#This Row],[Voltage]],TIM[[#This Row],[Device type]])</f>
        <v>SubTransmissionL413_L418_PareoraDOG33-</v>
      </c>
      <c r="C340" s="3" t="s">
        <v>1245</v>
      </c>
      <c r="D340" s="10" t="s">
        <v>168</v>
      </c>
      <c r="E340" s="173" t="s">
        <v>1033</v>
      </c>
      <c r="F340" s="3" t="s">
        <v>1045</v>
      </c>
      <c r="G340" s="26">
        <v>1</v>
      </c>
      <c r="H340" s="38" t="s">
        <v>1289</v>
      </c>
      <c r="I340" s="38" t="s">
        <v>318</v>
      </c>
      <c r="J340" s="38" t="s">
        <v>69</v>
      </c>
      <c r="K340" s="38" t="s">
        <v>0</v>
      </c>
      <c r="L340" s="38" t="s">
        <v>0</v>
      </c>
      <c r="M340" s="4">
        <v>33</v>
      </c>
      <c r="N340" s="5">
        <v>343.69342642524197</v>
      </c>
      <c r="O340" s="5">
        <f t="shared" si="0"/>
        <v>19.644717734266511</v>
      </c>
      <c r="P340" s="5" t="s">
        <v>0</v>
      </c>
      <c r="Q340" s="5" t="str">
        <f t="shared" si="1"/>
        <v>-</v>
      </c>
      <c r="R340" s="5">
        <v>256.85852310343915</v>
      </c>
      <c r="S340" s="5">
        <f t="shared" si="2"/>
        <v>14.681436408284609</v>
      </c>
      <c r="T340" s="5" t="s">
        <v>0</v>
      </c>
      <c r="U340" s="5" t="str">
        <f t="shared" si="3"/>
        <v>-</v>
      </c>
      <c r="V340" s="5" t="s">
        <v>0</v>
      </c>
      <c r="W340" s="5" t="str">
        <f t="shared" si="4"/>
        <v>-</v>
      </c>
      <c r="X340" s="5" t="s">
        <v>0</v>
      </c>
      <c r="Y340" s="5" t="str">
        <f t="shared" si="5"/>
        <v>-</v>
      </c>
      <c r="Z340" s="5" t="s">
        <v>0</v>
      </c>
      <c r="AA340" s="5" t="str">
        <f t="shared" si="6"/>
        <v>-</v>
      </c>
      <c r="AB340" s="5" t="s">
        <v>0</v>
      </c>
      <c r="AC340" s="5" t="str">
        <f t="shared" si="7"/>
        <v>-</v>
      </c>
      <c r="AD340" s="5" t="s">
        <v>0</v>
      </c>
      <c r="AE340" s="158" t="str">
        <f t="shared" si="8"/>
        <v>-</v>
      </c>
      <c r="AF340" s="5" t="s">
        <v>0</v>
      </c>
      <c r="AG340" s="5" t="s">
        <v>0</v>
      </c>
      <c r="AH340" s="5">
        <v>31.7</v>
      </c>
      <c r="AI340" s="5" t="s">
        <v>0</v>
      </c>
      <c r="AJ340" s="139" t="s">
        <v>0</v>
      </c>
      <c r="AK340" s="5" t="s">
        <v>0</v>
      </c>
      <c r="AL340" s="139" t="s">
        <v>0</v>
      </c>
      <c r="AM340" s="5" t="s">
        <v>0</v>
      </c>
      <c r="AN340" s="139" t="s">
        <v>0</v>
      </c>
      <c r="AO340" s="5" t="s">
        <v>0</v>
      </c>
      <c r="AP340" s="5" t="s">
        <v>0</v>
      </c>
      <c r="AQ340" s="139" t="s">
        <v>0</v>
      </c>
      <c r="AR340" s="5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40" s="5" t="str">
        <f t="shared" si="9"/>
        <v>-</v>
      </c>
      <c r="AT340" s="29">
        <f>IF(RIGHT(TIM[[#This Row],[Device type]],7)="Winding","-",TIM[[#This Row],[Cont Winter MVA]])</f>
        <v>19.644717734266511</v>
      </c>
      <c r="AU340" s="29" t="str">
        <f>IF(RIGHT(TIM[[#This Row],[Device type]],7)="Winding","-",TIM[[#This Row],[Cont Shoulder MVA]])</f>
        <v>-</v>
      </c>
      <c r="AV340" s="29">
        <f>IF(RIGHT(TIM[[#This Row],[Device type]],7)="Winding","-",TIM[[#This Row],[Cont Summer MVA]])</f>
        <v>14.681436408284609</v>
      </c>
      <c r="AW340" s="29" t="str">
        <f>TIM[[#This Row],[24 Hr Winter MVA]]</f>
        <v>-</v>
      </c>
      <c r="AX340" s="29" t="str">
        <f>TIM[[#This Row],[24 Hr Summer MVA]]</f>
        <v>-</v>
      </c>
      <c r="AY340" s="29" t="str">
        <f>TIM[[#This Row],[Forwards MVA]]</f>
        <v>-</v>
      </c>
      <c r="AZ340" s="29" t="str">
        <f>TIM[[#This Row],[Relay MVA]]</f>
        <v>-</v>
      </c>
      <c r="BA340" s="29" t="str">
        <f>TIM[[#This Row],[CT MVA]]</f>
        <v>-</v>
      </c>
      <c r="BB340" s="29" t="str">
        <f>TIM[[#This Row],[Derating MVA]]</f>
        <v>-</v>
      </c>
      <c r="BC340" s="29" t="str">
        <f>TIM[[#This Row],[Station/Feeder]]&amp;TIM[[#This Row],[Lowest MVA]]</f>
        <v>L413_L418_Pareora14.6814364082846</v>
      </c>
      <c r="BD340" s="29" t="str">
        <f>CONCATENATE(TIM[[#This Row],[Supply Level]],TIM[[#This Row],[Station/Feeder]],TIM[[#This Row],[Voltage]],TIM[[#This Row],[Lowest A-No PTX]])</f>
        <v>SubTransmissionL413_L418_Pareora33256.858523103439</v>
      </c>
      <c r="BE340" s="29" t="str">
        <f>CONCATENATE(TIM[[#This Row],[Supply Level]],TIM[[#This Row],[Station/Feeder]],TIM[[#This Row],[Voltage]],TIM[[#This Row],[Lowest A-PTX]])</f>
        <v>SubTransmissionL413_L418_Pareora33256.858523103439</v>
      </c>
      <c r="BF340" s="29">
        <f>IFERROR(IF(MIN(TIM[[#This Row],[Summ Cont Winter A]:[Cable Derating]])=0,"",MIN(TIM[[#This Row],[Summ Cont Winter A]:[Cable Derating]])),"")</f>
        <v>14.681436408284609</v>
      </c>
      <c r="BG340" s="29">
        <f>IFERROR(TIM[[#This Row],[Lowest MVA]]*1000/(TIM[[#This Row],[Voltage]]*SQRT(3)),"")</f>
        <v>256.85852310343915</v>
      </c>
      <c r="BH340" s="29">
        <f t="shared" si="385"/>
        <v>256.85852310343915</v>
      </c>
      <c r="BI340" s="29" t="str">
        <f>TIM[[#This Row],[From]]</f>
        <v>CB L418</v>
      </c>
      <c r="BJ340" s="29" t="str">
        <f>TIM[[#This Row],[To]]</f>
        <v>Pole 03576</v>
      </c>
      <c r="BK340" s="2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Line-DOG</v>
      </c>
      <c r="BL340" s="29">
        <f>TIM[[#This Row],[Voltage]]</f>
        <v>33</v>
      </c>
    </row>
    <row r="341" spans="1:64" ht="15" hidden="1" customHeight="1" x14ac:dyDescent="0.3">
      <c r="A341" s="6" t="str">
        <f>CONCATENATE(TIM[[#This Row],[Supply Level]],TIM[[#This Row],[Station/Feeder]],TIM[[#This Row],[Voltage]],"T2")</f>
        <v>SubTransmissionL413_L418_Pareora33T2</v>
      </c>
      <c r="B341" s="6" t="str">
        <f>CONCATENATE(TIM[[#This Row],[Supply Level]],TIM[[#This Row],[Station/Feeder]],TIM[[#This Row],[Equipment ID]],TIM[[#This Row],[Voltage]],TIM[[#This Row],[Device type]])</f>
        <v>SubTransmissionL413_L418_PareoraMINK33-</v>
      </c>
      <c r="C341" s="6" t="s">
        <v>1245</v>
      </c>
      <c r="D341" s="11" t="s">
        <v>168</v>
      </c>
      <c r="E341" s="6" t="s">
        <v>1045</v>
      </c>
      <c r="F341" s="6" t="s">
        <v>1036</v>
      </c>
      <c r="G341" s="27">
        <v>2</v>
      </c>
      <c r="H341" s="7" t="s">
        <v>1289</v>
      </c>
      <c r="I341" s="7" t="s">
        <v>282</v>
      </c>
      <c r="J341" s="7" t="s">
        <v>69</v>
      </c>
      <c r="K341" s="7" t="s">
        <v>0</v>
      </c>
      <c r="L341" s="7" t="s">
        <v>0</v>
      </c>
      <c r="M341" s="8">
        <v>33</v>
      </c>
      <c r="N341" s="9">
        <v>250.58233772128858</v>
      </c>
      <c r="O341" s="9">
        <f t="shared" si="0"/>
        <v>14.322704233617616</v>
      </c>
      <c r="P341" s="9" t="s">
        <v>0</v>
      </c>
      <c r="Q341" s="9" t="str">
        <f t="shared" si="1"/>
        <v>-</v>
      </c>
      <c r="R341" s="9">
        <v>188.62660722014468</v>
      </c>
      <c r="S341" s="9">
        <f t="shared" si="2"/>
        <v>10.781458623032757</v>
      </c>
      <c r="T341" s="9" t="s">
        <v>0</v>
      </c>
      <c r="U341" s="9" t="str">
        <f t="shared" si="3"/>
        <v>-</v>
      </c>
      <c r="V341" s="9" t="s">
        <v>0</v>
      </c>
      <c r="W341" s="9" t="str">
        <f t="shared" si="4"/>
        <v>-</v>
      </c>
      <c r="X341" s="9" t="s">
        <v>0</v>
      </c>
      <c r="Y341" s="9" t="str">
        <f t="shared" si="5"/>
        <v>-</v>
      </c>
      <c r="Z341" s="9" t="s">
        <v>0</v>
      </c>
      <c r="AA341" s="9" t="str">
        <f t="shared" si="6"/>
        <v>-</v>
      </c>
      <c r="AB341" s="9" t="s">
        <v>0</v>
      </c>
      <c r="AC341" s="9" t="str">
        <f t="shared" si="7"/>
        <v>-</v>
      </c>
      <c r="AD341" s="9" t="s">
        <v>0</v>
      </c>
      <c r="AE341" s="12" t="str">
        <f t="shared" si="8"/>
        <v>-</v>
      </c>
      <c r="AF341" s="9" t="s">
        <v>0</v>
      </c>
      <c r="AG341" s="9" t="s">
        <v>0</v>
      </c>
      <c r="AH341" s="9">
        <v>1123.8</v>
      </c>
      <c r="AI341" s="9" t="s">
        <v>0</v>
      </c>
      <c r="AJ341" s="32" t="s">
        <v>0</v>
      </c>
      <c r="AK341" s="9" t="s">
        <v>0</v>
      </c>
      <c r="AL341" s="32" t="s">
        <v>0</v>
      </c>
      <c r="AM341" s="9" t="s">
        <v>0</v>
      </c>
      <c r="AN341" s="32" t="s">
        <v>0</v>
      </c>
      <c r="AO341" s="9" t="s">
        <v>0</v>
      </c>
      <c r="AP341" s="9" t="s">
        <v>0</v>
      </c>
      <c r="AQ341" s="32" t="s">
        <v>0</v>
      </c>
      <c r="AR34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41" s="9" t="str">
        <f t="shared" si="9"/>
        <v>-</v>
      </c>
      <c r="AT341" s="9">
        <f>IF(RIGHT(TIM[[#This Row],[Device type]],7)="Winding","-",TIM[[#This Row],[Cont Winter MVA]])</f>
        <v>14.322704233617616</v>
      </c>
      <c r="AU341" s="9" t="str">
        <f>IF(RIGHT(TIM[[#This Row],[Device type]],7)="Winding","-",TIM[[#This Row],[Cont Shoulder MVA]])</f>
        <v>-</v>
      </c>
      <c r="AV341" s="9">
        <f>IF(RIGHT(TIM[[#This Row],[Device type]],7)="Winding","-",TIM[[#This Row],[Cont Summer MVA]])</f>
        <v>10.781458623032757</v>
      </c>
      <c r="AW341" s="9" t="str">
        <f>TIM[[#This Row],[24 Hr Winter MVA]]</f>
        <v>-</v>
      </c>
      <c r="AX341" s="9" t="str">
        <f>TIM[[#This Row],[24 Hr Summer MVA]]</f>
        <v>-</v>
      </c>
      <c r="AY341" s="9" t="str">
        <f>TIM[[#This Row],[Forwards MVA]]</f>
        <v>-</v>
      </c>
      <c r="AZ341" s="9" t="str">
        <f>TIM[[#This Row],[Relay MVA]]</f>
        <v>-</v>
      </c>
      <c r="BA341" s="9" t="str">
        <f>TIM[[#This Row],[CT MVA]]</f>
        <v>-</v>
      </c>
      <c r="BB341" s="9" t="str">
        <f>TIM[[#This Row],[Derating MVA]]</f>
        <v>-</v>
      </c>
      <c r="BC341" s="9" t="str">
        <f>TIM[[#This Row],[Station/Feeder]]&amp;TIM[[#This Row],[Lowest MVA]]</f>
        <v>L413_L418_Pareora10.7814586230328</v>
      </c>
      <c r="BD341" s="9" t="str">
        <f>CONCATENATE(TIM[[#This Row],[Supply Level]],TIM[[#This Row],[Station/Feeder]],TIM[[#This Row],[Voltage]],TIM[[#This Row],[Lowest A-No PTX]])</f>
        <v>SubTransmissionL413_L418_Pareora33188.626607220145</v>
      </c>
      <c r="BE341" s="9" t="str">
        <f>CONCATENATE(TIM[[#This Row],[Supply Level]],TIM[[#This Row],[Station/Feeder]],TIM[[#This Row],[Voltage]],TIM[[#This Row],[Lowest A-PTX]])</f>
        <v>SubTransmissionL413_L418_Pareora33188.626607220145</v>
      </c>
      <c r="BF341" s="9">
        <f>IFERROR(IF(MIN(TIM[[#This Row],[Summ Cont Winter A]:[Cable Derating]])=0,"",MIN(TIM[[#This Row],[Summ Cont Winter A]:[Cable Derating]])),"")</f>
        <v>10.781458623032757</v>
      </c>
      <c r="BG341" s="9">
        <f>IFERROR(TIM[[#This Row],[Lowest MVA]]*1000/(TIM[[#This Row],[Voltage]]*SQRT(3)),"")</f>
        <v>188.62660722014468</v>
      </c>
      <c r="BH341" s="9">
        <f t="shared" si="385"/>
        <v>188.62660722014468</v>
      </c>
      <c r="BI341" s="9" t="str">
        <f>TIM[[#This Row],[From]]</f>
        <v>Pole 03576</v>
      </c>
      <c r="BJ341" s="9" t="str">
        <f>TIM[[#This Row],[To]]</f>
        <v>Pole 51637</v>
      </c>
      <c r="BK34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Line-MINK</v>
      </c>
      <c r="BL341" s="9">
        <f>TIM[[#This Row],[Voltage]]</f>
        <v>33</v>
      </c>
    </row>
    <row r="342" spans="1:64" ht="15" hidden="1" customHeight="1" x14ac:dyDescent="0.3">
      <c r="A342" s="6" t="str">
        <f>CONCATENATE(TIM[[#This Row],[Supply Level]],TIM[[#This Row],[Station/Feeder]],TIM[[#This Row],[Voltage]],"T2")</f>
        <v>SubTransmissionL413_L418_Pareora33T2</v>
      </c>
      <c r="B342" s="6" t="str">
        <f>CONCATENATE(TIM[[#This Row],[Supply Level]],TIM[[#This Row],[Station/Feeder]],TIM[[#This Row],[Equipment ID]],TIM[[#This Row],[Voltage]],TIM[[#This Row],[Device type]])</f>
        <v>SubTransmissionL413_L418_Pareora3/1c 630mm² AL XLPE33-</v>
      </c>
      <c r="C342" s="6" t="s">
        <v>1245</v>
      </c>
      <c r="D342" s="11" t="s">
        <v>168</v>
      </c>
      <c r="E342" s="6" t="s">
        <v>1036</v>
      </c>
      <c r="F342" s="6" t="s">
        <v>750</v>
      </c>
      <c r="G342" s="27">
        <v>3</v>
      </c>
      <c r="H342" s="7" t="s">
        <v>888</v>
      </c>
      <c r="I342" s="7" t="s">
        <v>1037</v>
      </c>
      <c r="J342" s="7" t="s">
        <v>250</v>
      </c>
      <c r="K342" s="7" t="s">
        <v>0</v>
      </c>
      <c r="L342" s="7" t="s">
        <v>0</v>
      </c>
      <c r="M342" s="8">
        <v>33</v>
      </c>
      <c r="N342" s="9">
        <v>664</v>
      </c>
      <c r="O342" s="9">
        <f t="shared" si="0"/>
        <v>37.952697295449241</v>
      </c>
      <c r="P342" s="9">
        <v>664</v>
      </c>
      <c r="Q342" s="9">
        <f t="shared" si="1"/>
        <v>37.952697295449241</v>
      </c>
      <c r="R342" s="9">
        <v>664</v>
      </c>
      <c r="S342" s="9">
        <f t="shared" si="2"/>
        <v>37.952697295449241</v>
      </c>
      <c r="T342" s="9" t="s">
        <v>0</v>
      </c>
      <c r="U342" s="9" t="str">
        <f t="shared" si="3"/>
        <v>-</v>
      </c>
      <c r="V342" s="9" t="s">
        <v>0</v>
      </c>
      <c r="W342" s="9" t="str">
        <f t="shared" si="4"/>
        <v>-</v>
      </c>
      <c r="X342" s="9" t="s">
        <v>0</v>
      </c>
      <c r="Y342" s="9" t="str">
        <f t="shared" si="5"/>
        <v>-</v>
      </c>
      <c r="Z342" s="9" t="s">
        <v>0</v>
      </c>
      <c r="AA342" s="9" t="str">
        <f t="shared" si="6"/>
        <v>-</v>
      </c>
      <c r="AB342" s="9" t="s">
        <v>0</v>
      </c>
      <c r="AC342" s="9" t="str">
        <f t="shared" si="7"/>
        <v>-</v>
      </c>
      <c r="AD342" s="9" t="s">
        <v>0</v>
      </c>
      <c r="AE342" s="12" t="str">
        <f t="shared" si="8"/>
        <v>-</v>
      </c>
      <c r="AF342" s="9" t="s">
        <v>713</v>
      </c>
      <c r="AG342" s="9" t="s">
        <v>265</v>
      </c>
      <c r="AH342" s="9">
        <v>349.2</v>
      </c>
      <c r="AI342" s="9">
        <v>1.3</v>
      </c>
      <c r="AJ342" s="32">
        <v>0.96</v>
      </c>
      <c r="AK342" s="9">
        <v>20</v>
      </c>
      <c r="AL342" s="32">
        <v>0.97</v>
      </c>
      <c r="AM342" s="9">
        <v>1.2</v>
      </c>
      <c r="AN342" s="32">
        <v>1</v>
      </c>
      <c r="AO342" s="9">
        <v>3</v>
      </c>
      <c r="AP342" s="9">
        <v>0.7</v>
      </c>
      <c r="AQ342" s="32">
        <v>0.9</v>
      </c>
      <c r="AR342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556.48511999999994</v>
      </c>
      <c r="AS342" s="9">
        <f t="shared" si="9"/>
        <v>31.807396549370097</v>
      </c>
      <c r="AT342" s="9">
        <f>IF(RIGHT(TIM[[#This Row],[Device type]],7)="Winding","-",TIM[[#This Row],[Cont Winter MVA]])</f>
        <v>37.952697295449241</v>
      </c>
      <c r="AU342" s="9">
        <f>IF(RIGHT(TIM[[#This Row],[Device type]],7)="Winding","-",TIM[[#This Row],[Cont Shoulder MVA]])</f>
        <v>37.952697295449241</v>
      </c>
      <c r="AV342" s="9">
        <f>IF(RIGHT(TIM[[#This Row],[Device type]],7)="Winding","-",TIM[[#This Row],[Cont Summer MVA]])</f>
        <v>37.952697295449241</v>
      </c>
      <c r="AW342" s="9" t="str">
        <f>TIM[[#This Row],[24 Hr Winter MVA]]</f>
        <v>-</v>
      </c>
      <c r="AX342" s="9" t="str">
        <f>TIM[[#This Row],[24 Hr Summer MVA]]</f>
        <v>-</v>
      </c>
      <c r="AY342" s="9" t="str">
        <f>TIM[[#This Row],[Forwards MVA]]</f>
        <v>-</v>
      </c>
      <c r="AZ342" s="9" t="str">
        <f>TIM[[#This Row],[Relay MVA]]</f>
        <v>-</v>
      </c>
      <c r="BA342" s="9" t="str">
        <f>TIM[[#This Row],[CT MVA]]</f>
        <v>-</v>
      </c>
      <c r="BB342" s="9">
        <f>TIM[[#This Row],[Derating MVA]]</f>
        <v>31.807396549370097</v>
      </c>
      <c r="BC342" s="9" t="str">
        <f>TIM[[#This Row],[Station/Feeder]]&amp;TIM[[#This Row],[Lowest MVA]]</f>
        <v>L413_L418_Pareora31.8073965493701</v>
      </c>
      <c r="BD342" s="9" t="str">
        <f>CONCATENATE(TIM[[#This Row],[Supply Level]],TIM[[#This Row],[Station/Feeder]],TIM[[#This Row],[Voltage]],TIM[[#This Row],[Lowest A-No PTX]])</f>
        <v>SubTransmissionL413_L418_Pareora33556.48512</v>
      </c>
      <c r="BE342" s="9" t="str">
        <f>CONCATENATE(TIM[[#This Row],[Supply Level]],TIM[[#This Row],[Station/Feeder]],TIM[[#This Row],[Voltage]],TIM[[#This Row],[Lowest A-PTX]])</f>
        <v>SubTransmissionL413_L418_Pareora33556.48512</v>
      </c>
      <c r="BF342" s="9">
        <f>IFERROR(IF(MIN(TIM[[#This Row],[Summ Cont Winter A]:[Cable Derating]])=0,"",MIN(TIM[[#This Row],[Summ Cont Winter A]:[Cable Derating]])),"")</f>
        <v>31.807396549370097</v>
      </c>
      <c r="BG342" s="9">
        <f>IFERROR(TIM[[#This Row],[Lowest MVA]]*1000/(TIM[[#This Row],[Voltage]]*SQRT(3)),"")</f>
        <v>556.48512000000005</v>
      </c>
      <c r="BH342" s="9">
        <f t="shared" si="385"/>
        <v>556.48511999999994</v>
      </c>
      <c r="BI342" s="9" t="str">
        <f>TIM[[#This Row],[From]]</f>
        <v>Pole 51637</v>
      </c>
      <c r="BJ342" s="9" t="str">
        <f>TIM[[#This Row],[To]]</f>
        <v>Joint</v>
      </c>
      <c r="BK34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630mm² AL XLPE</v>
      </c>
      <c r="BL342" s="9">
        <f>TIM[[#This Row],[Voltage]]</f>
        <v>33</v>
      </c>
    </row>
    <row r="343" spans="1:64" ht="15" hidden="1" customHeight="1" x14ac:dyDescent="0.3">
      <c r="A343" s="6" t="str">
        <f>CONCATENATE(TIM[[#This Row],[Supply Level]],TIM[[#This Row],[Station/Feeder]],TIM[[#This Row],[Voltage]],"T2")</f>
        <v>SubTransmissionL413_L418_Pareora33T2</v>
      </c>
      <c r="B343" s="6" t="str">
        <f>CONCATENATE(TIM[[#This Row],[Supply Level]],TIM[[#This Row],[Station/Feeder]],TIM[[#This Row],[Equipment ID]],TIM[[#This Row],[Voltage]],TIM[[#This Row],[Device type]])</f>
        <v>SubTransmissionL413_L418_Pareora3/1c 630mm² AL XLPE33-</v>
      </c>
      <c r="C343" s="6" t="s">
        <v>1245</v>
      </c>
      <c r="D343" s="11" t="s">
        <v>168</v>
      </c>
      <c r="E343" s="6" t="s">
        <v>750</v>
      </c>
      <c r="F343" s="6" t="s">
        <v>750</v>
      </c>
      <c r="G343" s="27">
        <v>4</v>
      </c>
      <c r="H343" s="7" t="s">
        <v>888</v>
      </c>
      <c r="I343" s="7" t="s">
        <v>1037</v>
      </c>
      <c r="J343" s="7" t="s">
        <v>250</v>
      </c>
      <c r="K343" s="7" t="s">
        <v>0</v>
      </c>
      <c r="L343" s="7" t="s">
        <v>0</v>
      </c>
      <c r="M343" s="8">
        <v>33</v>
      </c>
      <c r="N343" s="9">
        <v>664</v>
      </c>
      <c r="O343" s="9">
        <f t="shared" si="0"/>
        <v>37.952697295449241</v>
      </c>
      <c r="P343" s="9">
        <v>664</v>
      </c>
      <c r="Q343" s="9">
        <f t="shared" si="1"/>
        <v>37.952697295449241</v>
      </c>
      <c r="R343" s="9">
        <v>664</v>
      </c>
      <c r="S343" s="9">
        <f t="shared" si="2"/>
        <v>37.952697295449241</v>
      </c>
      <c r="T343" s="9" t="s">
        <v>0</v>
      </c>
      <c r="U343" s="9" t="str">
        <f t="shared" si="3"/>
        <v>-</v>
      </c>
      <c r="V343" s="9" t="s">
        <v>0</v>
      </c>
      <c r="W343" s="9" t="str">
        <f t="shared" si="4"/>
        <v>-</v>
      </c>
      <c r="X343" s="9" t="s">
        <v>0</v>
      </c>
      <c r="Y343" s="9" t="str">
        <f t="shared" si="5"/>
        <v>-</v>
      </c>
      <c r="Z343" s="9" t="s">
        <v>0</v>
      </c>
      <c r="AA343" s="9" t="str">
        <f t="shared" si="6"/>
        <v>-</v>
      </c>
      <c r="AB343" s="9" t="s">
        <v>0</v>
      </c>
      <c r="AC343" s="9" t="str">
        <f t="shared" si="7"/>
        <v>-</v>
      </c>
      <c r="AD343" s="9" t="s">
        <v>0</v>
      </c>
      <c r="AE343" s="12" t="str">
        <f t="shared" si="8"/>
        <v>-</v>
      </c>
      <c r="AF343" s="9" t="s">
        <v>713</v>
      </c>
      <c r="AG343" s="9" t="s">
        <v>265</v>
      </c>
      <c r="AH343" s="9">
        <v>432.2</v>
      </c>
      <c r="AI343" s="9">
        <v>1.3</v>
      </c>
      <c r="AJ343" s="32">
        <v>0.96</v>
      </c>
      <c r="AK343" s="9">
        <v>20</v>
      </c>
      <c r="AL343" s="32">
        <v>0.97</v>
      </c>
      <c r="AM343" s="9">
        <v>1.2</v>
      </c>
      <c r="AN343" s="32">
        <v>1</v>
      </c>
      <c r="AO343" s="9">
        <v>3</v>
      </c>
      <c r="AP343" s="9">
        <v>0.7</v>
      </c>
      <c r="AQ343" s="32">
        <v>0.9</v>
      </c>
      <c r="AR343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556.48511999999994</v>
      </c>
      <c r="AS343" s="9">
        <f t="shared" si="9"/>
        <v>31.807396549370097</v>
      </c>
      <c r="AT343" s="9">
        <f>IF(RIGHT(TIM[[#This Row],[Device type]],7)="Winding","-",TIM[[#This Row],[Cont Winter MVA]])</f>
        <v>37.952697295449241</v>
      </c>
      <c r="AU343" s="9">
        <f>IF(RIGHT(TIM[[#This Row],[Device type]],7)="Winding","-",TIM[[#This Row],[Cont Shoulder MVA]])</f>
        <v>37.952697295449241</v>
      </c>
      <c r="AV343" s="9">
        <f>IF(RIGHT(TIM[[#This Row],[Device type]],7)="Winding","-",TIM[[#This Row],[Cont Summer MVA]])</f>
        <v>37.952697295449241</v>
      </c>
      <c r="AW343" s="9" t="str">
        <f>TIM[[#This Row],[24 Hr Winter MVA]]</f>
        <v>-</v>
      </c>
      <c r="AX343" s="9" t="str">
        <f>TIM[[#This Row],[24 Hr Summer MVA]]</f>
        <v>-</v>
      </c>
      <c r="AY343" s="9" t="str">
        <f>TIM[[#This Row],[Forwards MVA]]</f>
        <v>-</v>
      </c>
      <c r="AZ343" s="9" t="str">
        <f>TIM[[#This Row],[Relay MVA]]</f>
        <v>-</v>
      </c>
      <c r="BA343" s="9" t="str">
        <f>TIM[[#This Row],[CT MVA]]</f>
        <v>-</v>
      </c>
      <c r="BB343" s="9">
        <f>TIM[[#This Row],[Derating MVA]]</f>
        <v>31.807396549370097</v>
      </c>
      <c r="BC343" s="9" t="str">
        <f>TIM[[#This Row],[Station/Feeder]]&amp;TIM[[#This Row],[Lowest MVA]]</f>
        <v>L413_L418_Pareora31.8073965493701</v>
      </c>
      <c r="BD343" s="9" t="str">
        <f>CONCATENATE(TIM[[#This Row],[Supply Level]],TIM[[#This Row],[Station/Feeder]],TIM[[#This Row],[Voltage]],TIM[[#This Row],[Lowest A-No PTX]])</f>
        <v>SubTransmissionL413_L418_Pareora33556.48512</v>
      </c>
      <c r="BE343" s="9" t="str">
        <f>CONCATENATE(TIM[[#This Row],[Supply Level]],TIM[[#This Row],[Station/Feeder]],TIM[[#This Row],[Voltage]],TIM[[#This Row],[Lowest A-PTX]])</f>
        <v>SubTransmissionL413_L418_Pareora33556.48512</v>
      </c>
      <c r="BF343" s="9">
        <f>IFERROR(IF(MIN(TIM[[#This Row],[Summ Cont Winter A]:[Cable Derating]])=0,"",MIN(TIM[[#This Row],[Summ Cont Winter A]:[Cable Derating]])),"")</f>
        <v>31.807396549370097</v>
      </c>
      <c r="BG343" s="9">
        <f>IFERROR(TIM[[#This Row],[Lowest MVA]]*1000/(TIM[[#This Row],[Voltage]]*SQRT(3)),"")</f>
        <v>556.48512000000005</v>
      </c>
      <c r="BH343" s="9">
        <f t="shared" si="385"/>
        <v>556.48511999999994</v>
      </c>
      <c r="BI343" s="9" t="str">
        <f>TIM[[#This Row],[From]]</f>
        <v>Joint</v>
      </c>
      <c r="BJ343" s="9" t="str">
        <f>TIM[[#This Row],[To]]</f>
        <v>Joint</v>
      </c>
      <c r="BK34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630mm² AL XLPE</v>
      </c>
      <c r="BL343" s="9">
        <f>TIM[[#This Row],[Voltage]]</f>
        <v>33</v>
      </c>
    </row>
    <row r="344" spans="1:64" ht="15" hidden="1" customHeight="1" x14ac:dyDescent="0.3">
      <c r="A344" s="6" t="str">
        <f>CONCATENATE(TIM[[#This Row],[Supply Level]],TIM[[#This Row],[Station/Feeder]],TIM[[#This Row],[Voltage]],"T2")</f>
        <v>SubTransmissionL413_L418_Pareora33T2</v>
      </c>
      <c r="B344" s="6" t="str">
        <f>CONCATENATE(TIM[[#This Row],[Supply Level]],TIM[[#This Row],[Station/Feeder]],TIM[[#This Row],[Equipment ID]],TIM[[#This Row],[Voltage]],TIM[[#This Row],[Device type]])</f>
        <v>SubTransmissionL413_L418_Pareora3/1c 400mm² AL XLPE33-</v>
      </c>
      <c r="C344" s="6" t="s">
        <v>1245</v>
      </c>
      <c r="D344" s="11" t="s">
        <v>168</v>
      </c>
      <c r="E344" s="6" t="s">
        <v>750</v>
      </c>
      <c r="F344" s="6" t="s">
        <v>1046</v>
      </c>
      <c r="G344" s="27">
        <v>5</v>
      </c>
      <c r="H344" s="7" t="s">
        <v>888</v>
      </c>
      <c r="I344" s="7" t="s">
        <v>1038</v>
      </c>
      <c r="J344" s="7" t="s">
        <v>250</v>
      </c>
      <c r="K344" s="7" t="s">
        <v>0</v>
      </c>
      <c r="L344" s="7" t="s">
        <v>0</v>
      </c>
      <c r="M344" s="8">
        <v>33</v>
      </c>
      <c r="N344" s="9">
        <v>537</v>
      </c>
      <c r="O344" s="9">
        <f t="shared" si="0"/>
        <v>30.693672360928073</v>
      </c>
      <c r="P344" s="9">
        <v>537</v>
      </c>
      <c r="Q344" s="9">
        <f t="shared" si="1"/>
        <v>30.693672360928073</v>
      </c>
      <c r="R344" s="9">
        <v>537</v>
      </c>
      <c r="S344" s="9">
        <f t="shared" si="2"/>
        <v>30.693672360928073</v>
      </c>
      <c r="T344" s="9" t="s">
        <v>0</v>
      </c>
      <c r="U344" s="9" t="str">
        <f t="shared" si="3"/>
        <v>-</v>
      </c>
      <c r="V344" s="9" t="s">
        <v>0</v>
      </c>
      <c r="W344" s="9" t="str">
        <f t="shared" si="4"/>
        <v>-</v>
      </c>
      <c r="X344" s="9" t="s">
        <v>0</v>
      </c>
      <c r="Y344" s="9" t="str">
        <f t="shared" si="5"/>
        <v>-</v>
      </c>
      <c r="Z344" s="9" t="s">
        <v>0</v>
      </c>
      <c r="AA344" s="9" t="str">
        <f t="shared" si="6"/>
        <v>-</v>
      </c>
      <c r="AB344" s="9" t="s">
        <v>0</v>
      </c>
      <c r="AC344" s="9" t="str">
        <f t="shared" si="7"/>
        <v>-</v>
      </c>
      <c r="AD344" s="9" t="s">
        <v>0</v>
      </c>
      <c r="AE344" s="12" t="str">
        <f t="shared" si="8"/>
        <v>-</v>
      </c>
      <c r="AF344" s="9" t="s">
        <v>713</v>
      </c>
      <c r="AG344" s="9" t="s">
        <v>265</v>
      </c>
      <c r="AH344" s="9">
        <v>23.4</v>
      </c>
      <c r="AI344" s="9">
        <v>1.1000000000000001</v>
      </c>
      <c r="AJ344" s="32">
        <v>0.97</v>
      </c>
      <c r="AK344" s="9">
        <v>20</v>
      </c>
      <c r="AL344" s="32">
        <v>0.97</v>
      </c>
      <c r="AM344" s="9">
        <v>1.2</v>
      </c>
      <c r="AN344" s="32">
        <v>1</v>
      </c>
      <c r="AO344" s="9">
        <v>4</v>
      </c>
      <c r="AP344" s="9">
        <v>0.55000000000000004</v>
      </c>
      <c r="AQ344" s="32">
        <v>0.79</v>
      </c>
      <c r="AR344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399.15800700000005</v>
      </c>
      <c r="AS344" s="9">
        <f t="shared" si="9"/>
        <v>22.814944296273811</v>
      </c>
      <c r="AT344" s="9">
        <f>IF(RIGHT(TIM[[#This Row],[Device type]],7)="Winding","-",TIM[[#This Row],[Cont Winter MVA]])</f>
        <v>30.693672360928073</v>
      </c>
      <c r="AU344" s="9">
        <f>IF(RIGHT(TIM[[#This Row],[Device type]],7)="Winding","-",TIM[[#This Row],[Cont Shoulder MVA]])</f>
        <v>30.693672360928073</v>
      </c>
      <c r="AV344" s="9">
        <f>IF(RIGHT(TIM[[#This Row],[Device type]],7)="Winding","-",TIM[[#This Row],[Cont Summer MVA]])</f>
        <v>30.693672360928073</v>
      </c>
      <c r="AW344" s="9" t="str">
        <f>TIM[[#This Row],[24 Hr Winter MVA]]</f>
        <v>-</v>
      </c>
      <c r="AX344" s="9" t="str">
        <f>TIM[[#This Row],[24 Hr Summer MVA]]</f>
        <v>-</v>
      </c>
      <c r="AY344" s="9" t="str">
        <f>TIM[[#This Row],[Forwards MVA]]</f>
        <v>-</v>
      </c>
      <c r="AZ344" s="9" t="str">
        <f>TIM[[#This Row],[Relay MVA]]</f>
        <v>-</v>
      </c>
      <c r="BA344" s="9" t="str">
        <f>TIM[[#This Row],[CT MVA]]</f>
        <v>-</v>
      </c>
      <c r="BB344" s="9">
        <f>TIM[[#This Row],[Derating MVA]]</f>
        <v>22.814944296273811</v>
      </c>
      <c r="BC344" s="9" t="str">
        <f>TIM[[#This Row],[Station/Feeder]]&amp;TIM[[#This Row],[Lowest MVA]]</f>
        <v>L413_L418_Pareora22.8149442962738</v>
      </c>
      <c r="BD344" s="9" t="str">
        <f>CONCATENATE(TIM[[#This Row],[Supply Level]],TIM[[#This Row],[Station/Feeder]],TIM[[#This Row],[Voltage]],TIM[[#This Row],[Lowest A-No PTX]])</f>
        <v>SubTransmissionL413_L418_Pareora33399.158007</v>
      </c>
      <c r="BE344" s="9" t="str">
        <f>CONCATENATE(TIM[[#This Row],[Supply Level]],TIM[[#This Row],[Station/Feeder]],TIM[[#This Row],[Voltage]],TIM[[#This Row],[Lowest A-PTX]])</f>
        <v>SubTransmissionL413_L418_Pareora33399.158007</v>
      </c>
      <c r="BF344" s="9">
        <f>IFERROR(IF(MIN(TIM[[#This Row],[Summ Cont Winter A]:[Cable Derating]])=0,"",MIN(TIM[[#This Row],[Summ Cont Winter A]:[Cable Derating]])),"")</f>
        <v>22.814944296273811</v>
      </c>
      <c r="BG344" s="9">
        <f>IFERROR(TIM[[#This Row],[Lowest MVA]]*1000/(TIM[[#This Row],[Voltage]]*SQRT(3)),"")</f>
        <v>399.15800700000005</v>
      </c>
      <c r="BH344" s="9">
        <f t="shared" si="385"/>
        <v>399.15800700000005</v>
      </c>
      <c r="BI344" s="9" t="str">
        <f>TIM[[#This Row],[From]]</f>
        <v>Joint</v>
      </c>
      <c r="BJ344" s="9" t="str">
        <f>TIM[[#This Row],[To]]</f>
        <v>Joint (VIC LB210)</v>
      </c>
      <c r="BK34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</v>
      </c>
      <c r="BL344" s="9">
        <f>TIM[[#This Row],[Voltage]]</f>
        <v>33</v>
      </c>
    </row>
    <row r="345" spans="1:64" ht="15" hidden="1" customHeight="1" x14ac:dyDescent="0.3">
      <c r="A345" s="6" t="str">
        <f>CONCATENATE(TIM[[#This Row],[Supply Level]],TIM[[#This Row],[Station/Feeder]],TIM[[#This Row],[Voltage]],"T2")</f>
        <v>SubTransmissionL413_L418_Pareora33T2</v>
      </c>
      <c r="B345" s="6" t="str">
        <f>CONCATENATE(TIM[[#This Row],[Supply Level]],TIM[[#This Row],[Station/Feeder]],TIM[[#This Row],[Equipment ID]],TIM[[#This Row],[Voltage]],TIM[[#This Row],[Device type]])</f>
        <v>SubTransmissionL413_L418_PareoraQUAIL33-</v>
      </c>
      <c r="C345" s="6" t="s">
        <v>1245</v>
      </c>
      <c r="D345" s="11" t="s">
        <v>168</v>
      </c>
      <c r="E345" s="6" t="s">
        <v>1047</v>
      </c>
      <c r="F345" s="6" t="s">
        <v>1048</v>
      </c>
      <c r="G345" s="27">
        <v>8</v>
      </c>
      <c r="H345" s="7" t="s">
        <v>1289</v>
      </c>
      <c r="I345" s="7" t="s">
        <v>1286</v>
      </c>
      <c r="J345" s="7" t="s">
        <v>69</v>
      </c>
      <c r="K345" s="7" t="s">
        <v>0</v>
      </c>
      <c r="L345" s="7" t="s">
        <v>0</v>
      </c>
      <c r="M345" s="8">
        <v>33</v>
      </c>
      <c r="N345" s="9">
        <v>260.87631421392967</v>
      </c>
      <c r="O345" s="9">
        <f t="shared" ref="O345" si="433">IF(OR(N345="",N345="-"),"-",N345*$M345*SQRT(3)/1000)</f>
        <v>14.911084013424361</v>
      </c>
      <c r="P345" s="9" t="s">
        <v>0</v>
      </c>
      <c r="Q345" s="9" t="str">
        <f t="shared" ref="Q345" si="434">IF(OR(P345="",P345="-"),"-",P345*$M345*SQRT(3)/1000)</f>
        <v>-</v>
      </c>
      <c r="R345" s="9">
        <v>196.20654018018305</v>
      </c>
      <c r="S345" s="9">
        <f t="shared" si="2"/>
        <v>11.214709980189586</v>
      </c>
      <c r="T345" s="9" t="s">
        <v>0</v>
      </c>
      <c r="U345" s="9" t="str">
        <f t="shared" si="3"/>
        <v>-</v>
      </c>
      <c r="V345" s="9" t="s">
        <v>0</v>
      </c>
      <c r="W345" s="9" t="str">
        <f t="shared" si="4"/>
        <v>-</v>
      </c>
      <c r="X345" s="9" t="s">
        <v>0</v>
      </c>
      <c r="Y345" s="9" t="str">
        <f t="shared" si="5"/>
        <v>-</v>
      </c>
      <c r="Z345" s="9" t="s">
        <v>0</v>
      </c>
      <c r="AA345" s="9" t="str">
        <f t="shared" si="6"/>
        <v>-</v>
      </c>
      <c r="AB345" s="9" t="s">
        <v>0</v>
      </c>
      <c r="AC345" s="9" t="str">
        <f t="shared" si="7"/>
        <v>-</v>
      </c>
      <c r="AD345" s="9" t="s">
        <v>0</v>
      </c>
      <c r="AE345" s="12" t="str">
        <f t="shared" si="8"/>
        <v>-</v>
      </c>
      <c r="AF345" s="9" t="s">
        <v>0</v>
      </c>
      <c r="AG345" s="9" t="s">
        <v>0</v>
      </c>
      <c r="AH345" s="9">
        <v>634.20000000000005</v>
      </c>
      <c r="AI345" s="9" t="s">
        <v>0</v>
      </c>
      <c r="AJ345" s="32" t="s">
        <v>0</v>
      </c>
      <c r="AK345" s="9" t="s">
        <v>0</v>
      </c>
      <c r="AL345" s="32" t="s">
        <v>0</v>
      </c>
      <c r="AM345" s="9" t="s">
        <v>0</v>
      </c>
      <c r="AN345" s="32" t="s">
        <v>0</v>
      </c>
      <c r="AO345" s="9" t="s">
        <v>0</v>
      </c>
      <c r="AP345" s="9" t="s">
        <v>0</v>
      </c>
      <c r="AQ345" s="32" t="s">
        <v>0</v>
      </c>
      <c r="AR345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45" s="9" t="str">
        <f t="shared" si="9"/>
        <v>-</v>
      </c>
      <c r="AT345" s="9">
        <f>IF(RIGHT(TIM[[#This Row],[Device type]],7)="Winding","-",TIM[[#This Row],[Cont Winter MVA]])</f>
        <v>14.911084013424361</v>
      </c>
      <c r="AU345" s="9" t="str">
        <f>IF(RIGHT(TIM[[#This Row],[Device type]],7)="Winding","-",TIM[[#This Row],[Cont Shoulder MVA]])</f>
        <v>-</v>
      </c>
      <c r="AV345" s="9">
        <f>IF(RIGHT(TIM[[#This Row],[Device type]],7)="Winding","-",TIM[[#This Row],[Cont Summer MVA]])</f>
        <v>11.214709980189586</v>
      </c>
      <c r="AW345" s="9" t="str">
        <f>TIM[[#This Row],[24 Hr Winter MVA]]</f>
        <v>-</v>
      </c>
      <c r="AX345" s="9" t="str">
        <f>TIM[[#This Row],[24 Hr Summer MVA]]</f>
        <v>-</v>
      </c>
      <c r="AY345" s="9" t="str">
        <f>TIM[[#This Row],[Forwards MVA]]</f>
        <v>-</v>
      </c>
      <c r="AZ345" s="9" t="str">
        <f>TIM[[#This Row],[Relay MVA]]</f>
        <v>-</v>
      </c>
      <c r="BA345" s="9" t="str">
        <f>TIM[[#This Row],[CT MVA]]</f>
        <v>-</v>
      </c>
      <c r="BB345" s="9" t="str">
        <f>TIM[[#This Row],[Derating MVA]]</f>
        <v>-</v>
      </c>
      <c r="BC345" s="9" t="str">
        <f>TIM[[#This Row],[Station/Feeder]]&amp;TIM[[#This Row],[Lowest MVA]]</f>
        <v>L413_L418_Pareora11.2147099801896</v>
      </c>
      <c r="BD345" s="9" t="str">
        <f>CONCATENATE(TIM[[#This Row],[Supply Level]],TIM[[#This Row],[Station/Feeder]],TIM[[#This Row],[Voltage]],TIM[[#This Row],[Lowest A-No PTX]])</f>
        <v>SubTransmissionL413_L418_Pareora33196.206540180183</v>
      </c>
      <c r="BE345" s="9" t="str">
        <f>CONCATENATE(TIM[[#This Row],[Supply Level]],TIM[[#This Row],[Station/Feeder]],TIM[[#This Row],[Voltage]],TIM[[#This Row],[Lowest A-PTX]])</f>
        <v>SubTransmissionL413_L418_Pareora33196.206540180183</v>
      </c>
      <c r="BF345" s="9">
        <f>IFERROR(IF(MIN(TIM[[#This Row],[Summ Cont Winter A]:[Cable Derating]])=0,"",MIN(TIM[[#This Row],[Summ Cont Winter A]:[Cable Derating]])),"")</f>
        <v>11.214709980189586</v>
      </c>
      <c r="BG345" s="9">
        <f>IFERROR(TIM[[#This Row],[Lowest MVA]]*1000/(TIM[[#This Row],[Voltage]]*SQRT(3)),"")</f>
        <v>196.20654018018305</v>
      </c>
      <c r="BH345" s="9">
        <f t="shared" si="385"/>
        <v>196.20654018018305</v>
      </c>
      <c r="BI345" s="9" t="str">
        <f>TIM[[#This Row],[From]]</f>
        <v>Pole 01408</v>
      </c>
      <c r="BJ345" s="9" t="str">
        <f>TIM[[#This Row],[To]]</f>
        <v>Pole 01401</v>
      </c>
      <c r="BK34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Line-QUAIL</v>
      </c>
      <c r="BL345" s="9">
        <f>TIM[[#This Row],[Voltage]]</f>
        <v>33</v>
      </c>
    </row>
    <row r="346" spans="1:64" ht="15" hidden="1" customHeight="1" x14ac:dyDescent="0.3">
      <c r="A346" s="6" t="str">
        <f>CONCATENATE(TIM[[#This Row],[Supply Level]],TIM[[#This Row],[Station/Feeder]],TIM[[#This Row],[Voltage]],"T2")</f>
        <v>SubTransmissionL413_L418_Pareora33T2</v>
      </c>
      <c r="B346" s="6" t="str">
        <f>CONCATENATE(TIM[[#This Row],[Supply Level]],TIM[[#This Row],[Station/Feeder]],TIM[[#This Row],[Equipment ID]],TIM[[#This Row],[Voltage]],TIM[[#This Row],[Device type]])</f>
        <v>SubTransmissionL413_L418_Pareora70mm² Cu33-</v>
      </c>
      <c r="C346" s="6" t="s">
        <v>1245</v>
      </c>
      <c r="D346" s="11" t="s">
        <v>168</v>
      </c>
      <c r="E346" s="6" t="s">
        <v>1048</v>
      </c>
      <c r="F346" s="6" t="s">
        <v>1049</v>
      </c>
      <c r="G346" s="27">
        <v>9</v>
      </c>
      <c r="H346" s="7" t="s">
        <v>1289</v>
      </c>
      <c r="I346" s="7" t="s">
        <v>972</v>
      </c>
      <c r="J346" s="7" t="s">
        <v>69</v>
      </c>
      <c r="K346" s="7" t="s">
        <v>0</v>
      </c>
      <c r="L346" s="7" t="s">
        <v>0</v>
      </c>
      <c r="M346" s="8">
        <v>33</v>
      </c>
      <c r="N346" s="9">
        <v>327.51524876181145</v>
      </c>
      <c r="O346" s="9">
        <f>IF(OR(N346="",N346="-"),"-",N346*$M346*SQRT(3)/1000)</f>
        <v>18.720010686597568</v>
      </c>
      <c r="P346" s="9" t="s">
        <v>0</v>
      </c>
      <c r="Q346" s="9" t="str">
        <f>IF(OR(P346="",P346="-"),"-",P346*$M346*SQRT(3)/1000)</f>
        <v>-</v>
      </c>
      <c r="R346" s="9">
        <v>246.70525579161995</v>
      </c>
      <c r="S346" s="9">
        <f>IF(OR(R346="",R346="-"),"-",R346*$M346*SQRT(3)/1000)</f>
        <v>14.101099238336937</v>
      </c>
      <c r="T346" s="9" t="s">
        <v>0</v>
      </c>
      <c r="U346" s="9" t="str">
        <f t="shared" si="3"/>
        <v>-</v>
      </c>
      <c r="V346" s="9" t="s">
        <v>0</v>
      </c>
      <c r="W346" s="9" t="str">
        <f t="shared" si="4"/>
        <v>-</v>
      </c>
      <c r="X346" s="9" t="s">
        <v>0</v>
      </c>
      <c r="Y346" s="9" t="str">
        <f t="shared" si="5"/>
        <v>-</v>
      </c>
      <c r="Z346" s="9" t="s">
        <v>0</v>
      </c>
      <c r="AA346" s="9" t="str">
        <f t="shared" si="6"/>
        <v>-</v>
      </c>
      <c r="AB346" s="9" t="s">
        <v>0</v>
      </c>
      <c r="AC346" s="9" t="str">
        <f t="shared" si="7"/>
        <v>-</v>
      </c>
      <c r="AD346" s="9" t="s">
        <v>0</v>
      </c>
      <c r="AE346" s="12" t="str">
        <f t="shared" si="8"/>
        <v>-</v>
      </c>
      <c r="AF346" s="9" t="s">
        <v>0</v>
      </c>
      <c r="AG346" s="9" t="s">
        <v>0</v>
      </c>
      <c r="AH346" s="9">
        <v>59.8</v>
      </c>
      <c r="AI346" s="9" t="s">
        <v>0</v>
      </c>
      <c r="AJ346" s="32" t="s">
        <v>0</v>
      </c>
      <c r="AK346" s="9" t="s">
        <v>0</v>
      </c>
      <c r="AL346" s="32" t="s">
        <v>0</v>
      </c>
      <c r="AM346" s="9" t="s">
        <v>0</v>
      </c>
      <c r="AN346" s="32" t="s">
        <v>0</v>
      </c>
      <c r="AO346" s="9" t="s">
        <v>0</v>
      </c>
      <c r="AP346" s="9" t="s">
        <v>0</v>
      </c>
      <c r="AQ346" s="32" t="s">
        <v>0</v>
      </c>
      <c r="AR346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46" s="9" t="str">
        <f t="shared" si="9"/>
        <v>-</v>
      </c>
      <c r="AT346" s="9">
        <f>IF(RIGHT(TIM[[#This Row],[Device type]],7)="Winding","-",TIM[[#This Row],[Cont Winter MVA]])</f>
        <v>18.720010686597568</v>
      </c>
      <c r="AU346" s="9" t="str">
        <f>IF(RIGHT(TIM[[#This Row],[Device type]],7)="Winding","-",TIM[[#This Row],[Cont Shoulder MVA]])</f>
        <v>-</v>
      </c>
      <c r="AV346" s="9">
        <f>IF(RIGHT(TIM[[#This Row],[Device type]],7)="Winding","-",TIM[[#This Row],[Cont Summer MVA]])</f>
        <v>14.101099238336937</v>
      </c>
      <c r="AW346" s="9" t="str">
        <f>TIM[[#This Row],[24 Hr Winter MVA]]</f>
        <v>-</v>
      </c>
      <c r="AX346" s="9" t="str">
        <f>TIM[[#This Row],[24 Hr Summer MVA]]</f>
        <v>-</v>
      </c>
      <c r="AY346" s="9" t="str">
        <f>TIM[[#This Row],[Forwards MVA]]</f>
        <v>-</v>
      </c>
      <c r="AZ346" s="9" t="str">
        <f>TIM[[#This Row],[Relay MVA]]</f>
        <v>-</v>
      </c>
      <c r="BA346" s="9" t="str">
        <f>TIM[[#This Row],[CT MVA]]</f>
        <v>-</v>
      </c>
      <c r="BB346" s="9" t="str">
        <f>TIM[[#This Row],[Derating MVA]]</f>
        <v>-</v>
      </c>
      <c r="BC346" s="9" t="str">
        <f>TIM[[#This Row],[Station/Feeder]]&amp;TIM[[#This Row],[Lowest MVA]]</f>
        <v>L413_L418_Pareora14.1010992383369</v>
      </c>
      <c r="BD346" s="9" t="str">
        <f>CONCATENATE(TIM[[#This Row],[Supply Level]],TIM[[#This Row],[Station/Feeder]],TIM[[#This Row],[Voltage]],TIM[[#This Row],[Lowest A-No PTX]])</f>
        <v>SubTransmissionL413_L418_Pareora33246.70525579162</v>
      </c>
      <c r="BE346" s="9" t="str">
        <f>CONCATENATE(TIM[[#This Row],[Supply Level]],TIM[[#This Row],[Station/Feeder]],TIM[[#This Row],[Voltage]],TIM[[#This Row],[Lowest A-PTX]])</f>
        <v>SubTransmissionL413_L418_Pareora33246.70525579162</v>
      </c>
      <c r="BF346" s="9">
        <f>IFERROR(IF(MIN(TIM[[#This Row],[Summ Cont Winter A]:[Cable Derating]])=0,"",MIN(TIM[[#This Row],[Summ Cont Winter A]:[Cable Derating]])),"")</f>
        <v>14.101099238336937</v>
      </c>
      <c r="BG346" s="9">
        <f>IFERROR(TIM[[#This Row],[Lowest MVA]]*1000/(TIM[[#This Row],[Voltage]]*SQRT(3)),"")</f>
        <v>246.70525579161995</v>
      </c>
      <c r="BH346" s="9">
        <f t="shared" ref="BH346:BH415" si="435">IF(MIN(N346,P346,R346,T346,V346,X346,Z346,AB346,AD346,AR346)=0,"",MIN(N346,P346,R346,T346,V346,X346,Z346,AB346,AD346,AR346))</f>
        <v>246.70525579161995</v>
      </c>
      <c r="BI346" s="9" t="str">
        <f>TIM[[#This Row],[From]]</f>
        <v>Pole 01401</v>
      </c>
      <c r="BJ346" s="9" t="str">
        <f>TIM[[#This Row],[To]]</f>
        <v>Pole 01402</v>
      </c>
      <c r="BK34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Line-70mm² Cu</v>
      </c>
      <c r="BL346" s="9">
        <f>TIM[[#This Row],[Voltage]]</f>
        <v>33</v>
      </c>
    </row>
    <row r="347" spans="1:64" ht="15" hidden="1" customHeight="1" x14ac:dyDescent="0.3">
      <c r="A347" s="6" t="str">
        <f>CONCATENATE(TIM[[#This Row],[Supply Level]],TIM[[#This Row],[Station/Feeder]],TIM[[#This Row],[Voltage]],"T2")</f>
        <v>SubTransmissionL413_L418_Pareora33T2</v>
      </c>
      <c r="B347" s="6" t="str">
        <f>CONCATENATE(TIM[[#This Row],[Supply Level]],TIM[[#This Row],[Station/Feeder]],TIM[[#This Row],[Equipment ID]],TIM[[#This Row],[Voltage]],TIM[[#This Row],[Device type]])</f>
        <v>SubTransmissionL413_L418_PareoraDOG33-</v>
      </c>
      <c r="C347" s="6" t="s">
        <v>1245</v>
      </c>
      <c r="D347" s="11" t="s">
        <v>168</v>
      </c>
      <c r="E347" s="6" t="s">
        <v>1049</v>
      </c>
      <c r="F347" s="6" t="s">
        <v>1050</v>
      </c>
      <c r="G347" s="27">
        <v>10</v>
      </c>
      <c r="H347" s="7" t="s">
        <v>1289</v>
      </c>
      <c r="I347" s="7" t="s">
        <v>318</v>
      </c>
      <c r="J347" s="7" t="s">
        <v>69</v>
      </c>
      <c r="K347" s="7" t="s">
        <v>0</v>
      </c>
      <c r="L347" s="7" t="s">
        <v>0</v>
      </c>
      <c r="M347" s="8">
        <v>33</v>
      </c>
      <c r="N347" s="9">
        <v>343.69342642524197</v>
      </c>
      <c r="O347" s="9">
        <f t="shared" si="0"/>
        <v>19.644717734266511</v>
      </c>
      <c r="P347" s="9" t="s">
        <v>0</v>
      </c>
      <c r="Q347" s="9" t="str">
        <f t="shared" si="1"/>
        <v>-</v>
      </c>
      <c r="R347" s="9">
        <v>256.85852310343915</v>
      </c>
      <c r="S347" s="9">
        <f t="shared" si="2"/>
        <v>14.681436408284609</v>
      </c>
      <c r="T347" s="9" t="s">
        <v>0</v>
      </c>
      <c r="U347" s="9" t="str">
        <f t="shared" si="3"/>
        <v>-</v>
      </c>
      <c r="V347" s="9" t="s">
        <v>0</v>
      </c>
      <c r="W347" s="9" t="str">
        <f t="shared" si="4"/>
        <v>-</v>
      </c>
      <c r="X347" s="9" t="s">
        <v>0</v>
      </c>
      <c r="Y347" s="9" t="str">
        <f t="shared" si="5"/>
        <v>-</v>
      </c>
      <c r="Z347" s="9" t="s">
        <v>0</v>
      </c>
      <c r="AA347" s="9" t="str">
        <f t="shared" si="6"/>
        <v>-</v>
      </c>
      <c r="AB347" s="9" t="s">
        <v>0</v>
      </c>
      <c r="AC347" s="9" t="str">
        <f t="shared" si="7"/>
        <v>-</v>
      </c>
      <c r="AD347" s="9" t="s">
        <v>0</v>
      </c>
      <c r="AE347" s="12" t="str">
        <f t="shared" si="8"/>
        <v>-</v>
      </c>
      <c r="AF347" s="9" t="s">
        <v>0</v>
      </c>
      <c r="AG347" s="9" t="s">
        <v>0</v>
      </c>
      <c r="AH347" s="9">
        <v>201.7</v>
      </c>
      <c r="AI347" s="9" t="s">
        <v>0</v>
      </c>
      <c r="AJ347" s="32" t="s">
        <v>0</v>
      </c>
      <c r="AK347" s="9" t="s">
        <v>0</v>
      </c>
      <c r="AL347" s="32" t="s">
        <v>0</v>
      </c>
      <c r="AM347" s="9" t="s">
        <v>0</v>
      </c>
      <c r="AN347" s="32" t="s">
        <v>0</v>
      </c>
      <c r="AO347" s="9" t="s">
        <v>0</v>
      </c>
      <c r="AP347" s="9" t="s">
        <v>0</v>
      </c>
      <c r="AQ347" s="32" t="s">
        <v>0</v>
      </c>
      <c r="AR347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47" s="9" t="str">
        <f t="shared" si="9"/>
        <v>-</v>
      </c>
      <c r="AT347" s="9">
        <f>IF(RIGHT(TIM[[#This Row],[Device type]],7)="Winding","-",TIM[[#This Row],[Cont Winter MVA]])</f>
        <v>19.644717734266511</v>
      </c>
      <c r="AU347" s="9" t="str">
        <f>IF(RIGHT(TIM[[#This Row],[Device type]],7)="Winding","-",TIM[[#This Row],[Cont Shoulder MVA]])</f>
        <v>-</v>
      </c>
      <c r="AV347" s="9">
        <f>IF(RIGHT(TIM[[#This Row],[Device type]],7)="Winding","-",TIM[[#This Row],[Cont Summer MVA]])</f>
        <v>14.681436408284609</v>
      </c>
      <c r="AW347" s="9" t="str">
        <f>TIM[[#This Row],[24 Hr Winter MVA]]</f>
        <v>-</v>
      </c>
      <c r="AX347" s="9" t="str">
        <f>TIM[[#This Row],[24 Hr Summer MVA]]</f>
        <v>-</v>
      </c>
      <c r="AY347" s="9" t="str">
        <f>TIM[[#This Row],[Forwards MVA]]</f>
        <v>-</v>
      </c>
      <c r="AZ347" s="9" t="str">
        <f>TIM[[#This Row],[Relay MVA]]</f>
        <v>-</v>
      </c>
      <c r="BA347" s="9" t="str">
        <f>TIM[[#This Row],[CT MVA]]</f>
        <v>-</v>
      </c>
      <c r="BB347" s="9" t="str">
        <f>TIM[[#This Row],[Derating MVA]]</f>
        <v>-</v>
      </c>
      <c r="BC347" s="9" t="str">
        <f>TIM[[#This Row],[Station/Feeder]]&amp;TIM[[#This Row],[Lowest MVA]]</f>
        <v>L413_L418_Pareora14.6814364082846</v>
      </c>
      <c r="BD347" s="9" t="str">
        <f>CONCATENATE(TIM[[#This Row],[Supply Level]],TIM[[#This Row],[Station/Feeder]],TIM[[#This Row],[Voltage]],TIM[[#This Row],[Lowest A-No PTX]])</f>
        <v>SubTransmissionL413_L418_Pareora33256.858523103439</v>
      </c>
      <c r="BE347" s="9" t="str">
        <f>CONCATENATE(TIM[[#This Row],[Supply Level]],TIM[[#This Row],[Station/Feeder]],TIM[[#This Row],[Voltage]],TIM[[#This Row],[Lowest A-PTX]])</f>
        <v>SubTransmissionL413_L418_Pareora33256.858523103439</v>
      </c>
      <c r="BF347" s="9">
        <f>IFERROR(IF(MIN(TIM[[#This Row],[Summ Cont Winter A]:[Cable Derating]])=0,"",MIN(TIM[[#This Row],[Summ Cont Winter A]:[Cable Derating]])),"")</f>
        <v>14.681436408284609</v>
      </c>
      <c r="BG347" s="9">
        <f>IFERROR(TIM[[#This Row],[Lowest MVA]]*1000/(TIM[[#This Row],[Voltage]]*SQRT(3)),"")</f>
        <v>256.85852310343915</v>
      </c>
      <c r="BH347" s="9">
        <f t="shared" si="435"/>
        <v>256.85852310343915</v>
      </c>
      <c r="BI347" s="9" t="str">
        <f>TIM[[#This Row],[From]]</f>
        <v>Pole 01402</v>
      </c>
      <c r="BJ347" s="9" t="str">
        <f>TIM[[#This Row],[To]]</f>
        <v>Pole 03523</v>
      </c>
      <c r="BK34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Line-DOG</v>
      </c>
      <c r="BL347" s="9">
        <f>TIM[[#This Row],[Voltage]]</f>
        <v>33</v>
      </c>
    </row>
    <row r="348" spans="1:64" ht="15" hidden="1" customHeight="1" x14ac:dyDescent="0.3">
      <c r="A348" s="6" t="str">
        <f>CONCATENATE(TIM[[#This Row],[Supply Level]],TIM[[#This Row],[Station/Feeder]],TIM[[#This Row],[Voltage]],"T2")</f>
        <v>SubTransmissionL413_L418_Pareora33T2</v>
      </c>
      <c r="B348" s="6" t="str">
        <f>CONCATENATE(TIM[[#This Row],[Supply Level]],TIM[[#This Row],[Station/Feeder]],TIM[[#This Row],[Equipment ID]],TIM[[#This Row],[Voltage]],TIM[[#This Row],[Device type]])</f>
        <v>SubTransmissionL413_L418_Pareora70mm² Cu33-</v>
      </c>
      <c r="C348" s="6" t="s">
        <v>1245</v>
      </c>
      <c r="D348" s="11" t="s">
        <v>168</v>
      </c>
      <c r="E348" s="6" t="s">
        <v>1050</v>
      </c>
      <c r="F348" s="6" t="s">
        <v>1051</v>
      </c>
      <c r="G348" s="27">
        <v>11</v>
      </c>
      <c r="H348" s="7" t="s">
        <v>1289</v>
      </c>
      <c r="I348" s="7" t="s">
        <v>972</v>
      </c>
      <c r="J348" s="7" t="s">
        <v>69</v>
      </c>
      <c r="K348" s="7" t="s">
        <v>0</v>
      </c>
      <c r="L348" s="7" t="s">
        <v>0</v>
      </c>
      <c r="M348" s="8">
        <v>33</v>
      </c>
      <c r="N348" s="9">
        <v>327.51524876181145</v>
      </c>
      <c r="O348" s="9">
        <f>IF(OR(N348="",N348="-"),"-",N348*$M348*SQRT(3)/1000)</f>
        <v>18.720010686597568</v>
      </c>
      <c r="P348" s="9" t="s">
        <v>0</v>
      </c>
      <c r="Q348" s="9" t="str">
        <f>IF(OR(P348="",P348="-"),"-",P348*$M348*SQRT(3)/1000)</f>
        <v>-</v>
      </c>
      <c r="R348" s="9">
        <v>246.70525579161995</v>
      </c>
      <c r="S348" s="9">
        <f>IF(OR(R348="",R348="-"),"-",R348*$M348*SQRT(3)/1000)</f>
        <v>14.101099238336937</v>
      </c>
      <c r="T348" s="9" t="s">
        <v>0</v>
      </c>
      <c r="U348" s="9" t="str">
        <f t="shared" si="3"/>
        <v>-</v>
      </c>
      <c r="V348" s="9" t="s">
        <v>0</v>
      </c>
      <c r="W348" s="9" t="str">
        <f t="shared" si="4"/>
        <v>-</v>
      </c>
      <c r="X348" s="9" t="s">
        <v>0</v>
      </c>
      <c r="Y348" s="9" t="str">
        <f t="shared" si="5"/>
        <v>-</v>
      </c>
      <c r="Z348" s="9" t="s">
        <v>0</v>
      </c>
      <c r="AA348" s="9" t="str">
        <f t="shared" si="6"/>
        <v>-</v>
      </c>
      <c r="AB348" s="9" t="s">
        <v>0</v>
      </c>
      <c r="AC348" s="9" t="str">
        <f t="shared" si="7"/>
        <v>-</v>
      </c>
      <c r="AD348" s="9" t="s">
        <v>0</v>
      </c>
      <c r="AE348" s="12" t="str">
        <f t="shared" si="8"/>
        <v>-</v>
      </c>
      <c r="AF348" s="9" t="s">
        <v>0</v>
      </c>
      <c r="AG348" s="9" t="s">
        <v>0</v>
      </c>
      <c r="AH348" s="9">
        <v>62.5</v>
      </c>
      <c r="AI348" s="9" t="s">
        <v>0</v>
      </c>
      <c r="AJ348" s="32" t="s">
        <v>0</v>
      </c>
      <c r="AK348" s="9" t="s">
        <v>0</v>
      </c>
      <c r="AL348" s="32" t="s">
        <v>0</v>
      </c>
      <c r="AM348" s="9" t="s">
        <v>0</v>
      </c>
      <c r="AN348" s="32" t="s">
        <v>0</v>
      </c>
      <c r="AO348" s="9" t="s">
        <v>0</v>
      </c>
      <c r="AP348" s="9" t="s">
        <v>0</v>
      </c>
      <c r="AQ348" s="32" t="s">
        <v>0</v>
      </c>
      <c r="AR348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48" s="9" t="str">
        <f t="shared" si="9"/>
        <v>-</v>
      </c>
      <c r="AT348" s="9">
        <f>IF(RIGHT(TIM[[#This Row],[Device type]],7)="Winding","-",TIM[[#This Row],[Cont Winter MVA]])</f>
        <v>18.720010686597568</v>
      </c>
      <c r="AU348" s="9" t="str">
        <f>IF(RIGHT(TIM[[#This Row],[Device type]],7)="Winding","-",TIM[[#This Row],[Cont Shoulder MVA]])</f>
        <v>-</v>
      </c>
      <c r="AV348" s="9">
        <f>IF(RIGHT(TIM[[#This Row],[Device type]],7)="Winding","-",TIM[[#This Row],[Cont Summer MVA]])</f>
        <v>14.101099238336937</v>
      </c>
      <c r="AW348" s="9" t="str">
        <f>TIM[[#This Row],[24 Hr Winter MVA]]</f>
        <v>-</v>
      </c>
      <c r="AX348" s="9" t="str">
        <f>TIM[[#This Row],[24 Hr Summer MVA]]</f>
        <v>-</v>
      </c>
      <c r="AY348" s="9" t="str">
        <f>TIM[[#This Row],[Forwards MVA]]</f>
        <v>-</v>
      </c>
      <c r="AZ348" s="9" t="str">
        <f>TIM[[#This Row],[Relay MVA]]</f>
        <v>-</v>
      </c>
      <c r="BA348" s="9" t="str">
        <f>TIM[[#This Row],[CT MVA]]</f>
        <v>-</v>
      </c>
      <c r="BB348" s="9" t="str">
        <f>TIM[[#This Row],[Derating MVA]]</f>
        <v>-</v>
      </c>
      <c r="BC348" s="9" t="str">
        <f>TIM[[#This Row],[Station/Feeder]]&amp;TIM[[#This Row],[Lowest MVA]]</f>
        <v>L413_L418_Pareora14.1010992383369</v>
      </c>
      <c r="BD348" s="9" t="str">
        <f>CONCATENATE(TIM[[#This Row],[Supply Level]],TIM[[#This Row],[Station/Feeder]],TIM[[#This Row],[Voltage]],TIM[[#This Row],[Lowest A-No PTX]])</f>
        <v>SubTransmissionL413_L418_Pareora33246.70525579162</v>
      </c>
      <c r="BE348" s="9" t="str">
        <f>CONCATENATE(TIM[[#This Row],[Supply Level]],TIM[[#This Row],[Station/Feeder]],TIM[[#This Row],[Voltage]],TIM[[#This Row],[Lowest A-PTX]])</f>
        <v>SubTransmissionL413_L418_Pareora33246.70525579162</v>
      </c>
      <c r="BF348" s="9">
        <f>IFERROR(IF(MIN(TIM[[#This Row],[Summ Cont Winter A]:[Cable Derating]])=0,"",MIN(TIM[[#This Row],[Summ Cont Winter A]:[Cable Derating]])),"")</f>
        <v>14.101099238336937</v>
      </c>
      <c r="BG348" s="9">
        <f>IFERROR(TIM[[#This Row],[Lowest MVA]]*1000/(TIM[[#This Row],[Voltage]]*SQRT(3)),"")</f>
        <v>246.70525579161995</v>
      </c>
      <c r="BH348" s="9">
        <f t="shared" si="435"/>
        <v>246.70525579161995</v>
      </c>
      <c r="BI348" s="9" t="str">
        <f>TIM[[#This Row],[From]]</f>
        <v>Pole 03523</v>
      </c>
      <c r="BJ348" s="9" t="str">
        <f>TIM[[#This Row],[To]]</f>
        <v>Pole 03522</v>
      </c>
      <c r="BK34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Line-70mm² Cu</v>
      </c>
      <c r="BL348" s="9">
        <f>TIM[[#This Row],[Voltage]]</f>
        <v>33</v>
      </c>
    </row>
    <row r="349" spans="1:64" ht="15.75" hidden="1" customHeight="1" x14ac:dyDescent="0.3">
      <c r="A349" s="6" t="str">
        <f>CONCATENATE(TIM[[#This Row],[Supply Level]],TIM[[#This Row],[Station/Feeder]],TIM[[#This Row],[Voltage]],"T2")</f>
        <v>SubTransmissionL413_L418_Pareora33T2</v>
      </c>
      <c r="B349" s="6" t="str">
        <f>CONCATENATE(TIM[[#This Row],[Supply Level]],TIM[[#This Row],[Station/Feeder]],TIM[[#This Row],[Equipment ID]],TIM[[#This Row],[Voltage]],TIM[[#This Row],[Device type]])</f>
        <v>SubTransmissionL413_L418_PareoraQUAIL33-</v>
      </c>
      <c r="C349" s="6" t="s">
        <v>1245</v>
      </c>
      <c r="D349" s="11" t="s">
        <v>168</v>
      </c>
      <c r="E349" s="6" t="s">
        <v>1051</v>
      </c>
      <c r="F349" s="6" t="s">
        <v>1052</v>
      </c>
      <c r="G349" s="27">
        <v>12</v>
      </c>
      <c r="H349" s="7" t="s">
        <v>1289</v>
      </c>
      <c r="I349" s="7" t="s">
        <v>1286</v>
      </c>
      <c r="J349" s="7" t="s">
        <v>69</v>
      </c>
      <c r="K349" s="7" t="s">
        <v>0</v>
      </c>
      <c r="L349" s="7" t="s">
        <v>0</v>
      </c>
      <c r="M349" s="8">
        <v>33</v>
      </c>
      <c r="N349" s="9">
        <v>260.87631421392967</v>
      </c>
      <c r="O349" s="9">
        <f t="shared" si="0"/>
        <v>14.911084013424361</v>
      </c>
      <c r="P349" s="9" t="s">
        <v>0</v>
      </c>
      <c r="Q349" s="9" t="str">
        <f t="shared" si="1"/>
        <v>-</v>
      </c>
      <c r="R349" s="9">
        <v>196.20654018018305</v>
      </c>
      <c r="S349" s="9">
        <f t="shared" si="2"/>
        <v>11.214709980189586</v>
      </c>
      <c r="T349" s="9" t="s">
        <v>0</v>
      </c>
      <c r="U349" s="9" t="str">
        <f t="shared" si="3"/>
        <v>-</v>
      </c>
      <c r="V349" s="9" t="s">
        <v>0</v>
      </c>
      <c r="W349" s="9" t="str">
        <f t="shared" si="4"/>
        <v>-</v>
      </c>
      <c r="X349" s="9" t="s">
        <v>0</v>
      </c>
      <c r="Y349" s="9" t="str">
        <f t="shared" si="5"/>
        <v>-</v>
      </c>
      <c r="Z349" s="9" t="s">
        <v>0</v>
      </c>
      <c r="AA349" s="9" t="str">
        <f t="shared" si="6"/>
        <v>-</v>
      </c>
      <c r="AB349" s="9" t="s">
        <v>0</v>
      </c>
      <c r="AC349" s="9" t="str">
        <f t="shared" si="7"/>
        <v>-</v>
      </c>
      <c r="AD349" s="9" t="s">
        <v>0</v>
      </c>
      <c r="AE349" s="12" t="str">
        <f t="shared" si="8"/>
        <v>-</v>
      </c>
      <c r="AF349" s="9" t="s">
        <v>0</v>
      </c>
      <c r="AG349" s="9" t="s">
        <v>0</v>
      </c>
      <c r="AH349" s="9">
        <v>876.2</v>
      </c>
      <c r="AI349" s="9" t="s">
        <v>0</v>
      </c>
      <c r="AJ349" s="32" t="s">
        <v>0</v>
      </c>
      <c r="AK349" s="9" t="s">
        <v>0</v>
      </c>
      <c r="AL349" s="32" t="s">
        <v>0</v>
      </c>
      <c r="AM349" s="9" t="s">
        <v>0</v>
      </c>
      <c r="AN349" s="32" t="s">
        <v>0</v>
      </c>
      <c r="AO349" s="9" t="s">
        <v>0</v>
      </c>
      <c r="AP349" s="9" t="s">
        <v>0</v>
      </c>
      <c r="AQ349" s="32" t="s">
        <v>0</v>
      </c>
      <c r="AR349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49" s="9" t="str">
        <f t="shared" si="9"/>
        <v>-</v>
      </c>
      <c r="AT349" s="9">
        <f>IF(RIGHT(TIM[[#This Row],[Device type]],7)="Winding","-",TIM[[#This Row],[Cont Winter MVA]])</f>
        <v>14.911084013424361</v>
      </c>
      <c r="AU349" s="9" t="str">
        <f>IF(RIGHT(TIM[[#This Row],[Device type]],7)="Winding","-",TIM[[#This Row],[Cont Shoulder MVA]])</f>
        <v>-</v>
      </c>
      <c r="AV349" s="9">
        <f>IF(RIGHT(TIM[[#This Row],[Device type]],7)="Winding","-",TIM[[#This Row],[Cont Summer MVA]])</f>
        <v>11.214709980189586</v>
      </c>
      <c r="AW349" s="9" t="str">
        <f>TIM[[#This Row],[24 Hr Winter MVA]]</f>
        <v>-</v>
      </c>
      <c r="AX349" s="9" t="str">
        <f>TIM[[#This Row],[24 Hr Summer MVA]]</f>
        <v>-</v>
      </c>
      <c r="AY349" s="9" t="str">
        <f>TIM[[#This Row],[Forwards MVA]]</f>
        <v>-</v>
      </c>
      <c r="AZ349" s="9" t="str">
        <f>TIM[[#This Row],[Relay MVA]]</f>
        <v>-</v>
      </c>
      <c r="BA349" s="9" t="str">
        <f>TIM[[#This Row],[CT MVA]]</f>
        <v>-</v>
      </c>
      <c r="BB349" s="9" t="str">
        <f>TIM[[#This Row],[Derating MVA]]</f>
        <v>-</v>
      </c>
      <c r="BC349" s="9" t="str">
        <f>TIM[[#This Row],[Station/Feeder]]&amp;TIM[[#This Row],[Lowest MVA]]</f>
        <v>L413_L418_Pareora11.2147099801896</v>
      </c>
      <c r="BD349" s="9" t="str">
        <f>CONCATENATE(TIM[[#This Row],[Supply Level]],TIM[[#This Row],[Station/Feeder]],TIM[[#This Row],[Voltage]],TIM[[#This Row],[Lowest A-No PTX]])</f>
        <v>SubTransmissionL413_L418_Pareora33196.206540180183</v>
      </c>
      <c r="BE349" s="9" t="str">
        <f>CONCATENATE(TIM[[#This Row],[Supply Level]],TIM[[#This Row],[Station/Feeder]],TIM[[#This Row],[Voltage]],TIM[[#This Row],[Lowest A-PTX]])</f>
        <v>SubTransmissionL413_L418_Pareora33196.206540180183</v>
      </c>
      <c r="BF349" s="9">
        <f>IFERROR(IF(MIN(TIM[[#This Row],[Summ Cont Winter A]:[Cable Derating]])=0,"",MIN(TIM[[#This Row],[Summ Cont Winter A]:[Cable Derating]])),"")</f>
        <v>11.214709980189586</v>
      </c>
      <c r="BG349" s="9">
        <f>IFERROR(TIM[[#This Row],[Lowest MVA]]*1000/(TIM[[#This Row],[Voltage]]*SQRT(3)),"")</f>
        <v>196.20654018018305</v>
      </c>
      <c r="BH349" s="9">
        <f t="shared" si="435"/>
        <v>196.20654018018305</v>
      </c>
      <c r="BI349" s="9" t="str">
        <f>TIM[[#This Row],[From]]</f>
        <v>Pole 03522</v>
      </c>
      <c r="BJ349" s="9" t="str">
        <f>TIM[[#This Row],[To]]</f>
        <v>Pole 03558</v>
      </c>
      <c r="BK34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Line-QUAIL</v>
      </c>
      <c r="BL349" s="9">
        <f>TIM[[#This Row],[Voltage]]</f>
        <v>33</v>
      </c>
    </row>
    <row r="350" spans="1:64" ht="15" hidden="1" customHeight="1" x14ac:dyDescent="0.3">
      <c r="A350" s="6" t="str">
        <f>CONCATENATE(TIM[[#This Row],[Supply Level]],TIM[[#This Row],[Station/Feeder]],TIM[[#This Row],[Voltage]],"T2")</f>
        <v>SubTransmissionL413_L418_Pareora33T2</v>
      </c>
      <c r="B350" s="6" t="str">
        <f>CONCATENATE(TIM[[#This Row],[Supply Level]],TIM[[#This Row],[Station/Feeder]],TIM[[#This Row],[Equipment ID]],TIM[[#This Row],[Voltage]],TIM[[#This Row],[Device type]])</f>
        <v>SubTransmissionL413_L418_PareoraIODINE33-</v>
      </c>
      <c r="C350" s="6" t="s">
        <v>1245</v>
      </c>
      <c r="D350" s="11" t="s">
        <v>168</v>
      </c>
      <c r="E350" s="6" t="s">
        <v>1052</v>
      </c>
      <c r="F350" s="6" t="s">
        <v>1053</v>
      </c>
      <c r="G350" s="27">
        <v>13</v>
      </c>
      <c r="H350" s="7" t="s">
        <v>1289</v>
      </c>
      <c r="I350" s="7" t="s">
        <v>329</v>
      </c>
      <c r="J350" s="7" t="s">
        <v>69</v>
      </c>
      <c r="K350" s="7" t="s">
        <v>0</v>
      </c>
      <c r="L350" s="7" t="s">
        <v>0</v>
      </c>
      <c r="M350" s="8">
        <v>33</v>
      </c>
      <c r="N350" s="9">
        <v>368.60397632070425</v>
      </c>
      <c r="O350" s="9">
        <f t="shared" si="0"/>
        <v>21.068546890359379</v>
      </c>
      <c r="P350" s="9" t="s">
        <v>0</v>
      </c>
      <c r="Q350" s="9" t="str">
        <f t="shared" si="1"/>
        <v>-</v>
      </c>
      <c r="R350" s="9">
        <v>275.38648791159613</v>
      </c>
      <c r="S350" s="9">
        <f t="shared" si="2"/>
        <v>15.740451829767617</v>
      </c>
      <c r="T350" s="9" t="s">
        <v>0</v>
      </c>
      <c r="U350" s="9" t="str">
        <f t="shared" si="3"/>
        <v>-</v>
      </c>
      <c r="V350" s="9" t="s">
        <v>0</v>
      </c>
      <c r="W350" s="9" t="str">
        <f t="shared" si="4"/>
        <v>-</v>
      </c>
      <c r="X350" s="9" t="s">
        <v>0</v>
      </c>
      <c r="Y350" s="9" t="str">
        <f t="shared" si="5"/>
        <v>-</v>
      </c>
      <c r="Z350" s="9" t="s">
        <v>0</v>
      </c>
      <c r="AA350" s="9" t="str">
        <f t="shared" si="6"/>
        <v>-</v>
      </c>
      <c r="AB350" s="9" t="s">
        <v>0</v>
      </c>
      <c r="AC350" s="9" t="str">
        <f t="shared" si="7"/>
        <v>-</v>
      </c>
      <c r="AD350" s="9" t="s">
        <v>0</v>
      </c>
      <c r="AE350" s="12" t="str">
        <f t="shared" si="8"/>
        <v>-</v>
      </c>
      <c r="AF350" s="9" t="s">
        <v>0</v>
      </c>
      <c r="AG350" s="9" t="s">
        <v>0</v>
      </c>
      <c r="AH350" s="9">
        <v>11769.8</v>
      </c>
      <c r="AI350" s="9" t="s">
        <v>0</v>
      </c>
      <c r="AJ350" s="32" t="s">
        <v>0</v>
      </c>
      <c r="AK350" s="9" t="s">
        <v>0</v>
      </c>
      <c r="AL350" s="32" t="s">
        <v>0</v>
      </c>
      <c r="AM350" s="9" t="s">
        <v>0</v>
      </c>
      <c r="AN350" s="32" t="s">
        <v>0</v>
      </c>
      <c r="AO350" s="9" t="s">
        <v>0</v>
      </c>
      <c r="AP350" s="9" t="s">
        <v>0</v>
      </c>
      <c r="AQ350" s="32" t="s">
        <v>0</v>
      </c>
      <c r="AR35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50" s="9" t="str">
        <f t="shared" si="9"/>
        <v>-</v>
      </c>
      <c r="AT350" s="9">
        <f>IF(RIGHT(TIM[[#This Row],[Device type]],7)="Winding","-",TIM[[#This Row],[Cont Winter MVA]])</f>
        <v>21.068546890359379</v>
      </c>
      <c r="AU350" s="9" t="str">
        <f>IF(RIGHT(TIM[[#This Row],[Device type]],7)="Winding","-",TIM[[#This Row],[Cont Shoulder MVA]])</f>
        <v>-</v>
      </c>
      <c r="AV350" s="9">
        <f>IF(RIGHT(TIM[[#This Row],[Device type]],7)="Winding","-",TIM[[#This Row],[Cont Summer MVA]])</f>
        <v>15.740451829767617</v>
      </c>
      <c r="AW350" s="9" t="str">
        <f>TIM[[#This Row],[24 Hr Winter MVA]]</f>
        <v>-</v>
      </c>
      <c r="AX350" s="9" t="str">
        <f>TIM[[#This Row],[24 Hr Summer MVA]]</f>
        <v>-</v>
      </c>
      <c r="AY350" s="9" t="str">
        <f>TIM[[#This Row],[Forwards MVA]]</f>
        <v>-</v>
      </c>
      <c r="AZ350" s="9" t="str">
        <f>TIM[[#This Row],[Relay MVA]]</f>
        <v>-</v>
      </c>
      <c r="BA350" s="9" t="str">
        <f>TIM[[#This Row],[CT MVA]]</f>
        <v>-</v>
      </c>
      <c r="BB350" s="9" t="str">
        <f>TIM[[#This Row],[Derating MVA]]</f>
        <v>-</v>
      </c>
      <c r="BC350" s="9" t="str">
        <f>TIM[[#This Row],[Station/Feeder]]&amp;TIM[[#This Row],[Lowest MVA]]</f>
        <v>L413_L418_Pareora15.7404518297676</v>
      </c>
      <c r="BD350" s="9" t="str">
        <f>CONCATENATE(TIM[[#This Row],[Supply Level]],TIM[[#This Row],[Station/Feeder]],TIM[[#This Row],[Voltage]],TIM[[#This Row],[Lowest A-No PTX]])</f>
        <v>SubTransmissionL413_L418_Pareora33275.386487911596</v>
      </c>
      <c r="BE350" s="9" t="str">
        <f>CONCATENATE(TIM[[#This Row],[Supply Level]],TIM[[#This Row],[Station/Feeder]],TIM[[#This Row],[Voltage]],TIM[[#This Row],[Lowest A-PTX]])</f>
        <v>SubTransmissionL413_L418_Pareora33275.386487911596</v>
      </c>
      <c r="BF350" s="9">
        <f>IFERROR(IF(MIN(TIM[[#This Row],[Summ Cont Winter A]:[Cable Derating]])=0,"",MIN(TIM[[#This Row],[Summ Cont Winter A]:[Cable Derating]])),"")</f>
        <v>15.740451829767617</v>
      </c>
      <c r="BG350" s="9">
        <f>IFERROR(TIM[[#This Row],[Lowest MVA]]*1000/(TIM[[#This Row],[Voltage]]*SQRT(3)),"")</f>
        <v>275.38648791159613</v>
      </c>
      <c r="BH350" s="9">
        <f t="shared" si="435"/>
        <v>275.38648791159613</v>
      </c>
      <c r="BI350" s="9" t="str">
        <f>TIM[[#This Row],[From]]</f>
        <v>Pole 03558</v>
      </c>
      <c r="BJ350" s="9" t="str">
        <f>TIM[[#This Row],[To]]</f>
        <v>Pole 50498</v>
      </c>
      <c r="BK35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Line-IODINE</v>
      </c>
      <c r="BL350" s="9">
        <f>TIM[[#This Row],[Voltage]]</f>
        <v>33</v>
      </c>
    </row>
    <row r="351" spans="1:64" ht="15" hidden="1" customHeight="1" x14ac:dyDescent="0.3">
      <c r="A351" s="6" t="str">
        <f>CONCATENATE(TIM[[#This Row],[Supply Level]],TIM[[#This Row],[Station/Feeder]],TIM[[#This Row],[Voltage]],"T2")</f>
        <v>SubTransmissionL413_L418_Pareora33T2</v>
      </c>
      <c r="B351" s="6" t="str">
        <f>CONCATENATE(TIM[[#This Row],[Supply Level]],TIM[[#This Row],[Station/Feeder]],TIM[[#This Row],[Equipment ID]],TIM[[#This Row],[Voltage]],TIM[[#This Row],[Device type]])</f>
        <v>SubTransmissionL413_L418_Pareora3/1c 400mm² AL XLPE HDPE Screened33-</v>
      </c>
      <c r="C351" s="6" t="s">
        <v>1245</v>
      </c>
      <c r="D351" s="11" t="s">
        <v>168</v>
      </c>
      <c r="E351" s="6" t="s">
        <v>1054</v>
      </c>
      <c r="F351" s="6" t="s">
        <v>1055</v>
      </c>
      <c r="G351" s="27">
        <v>14</v>
      </c>
      <c r="H351" s="7" t="s">
        <v>1044</v>
      </c>
      <c r="I351" s="7" t="s">
        <v>819</v>
      </c>
      <c r="J351" s="7" t="s">
        <v>250</v>
      </c>
      <c r="K351" s="7" t="s">
        <v>0</v>
      </c>
      <c r="L351" s="7" t="s">
        <v>0</v>
      </c>
      <c r="M351" s="8">
        <v>33</v>
      </c>
      <c r="N351" s="9">
        <v>537</v>
      </c>
      <c r="O351" s="9">
        <f t="shared" si="0"/>
        <v>30.693672360928073</v>
      </c>
      <c r="P351" s="9">
        <v>537</v>
      </c>
      <c r="Q351" s="9">
        <f t="shared" si="1"/>
        <v>30.693672360928073</v>
      </c>
      <c r="R351" s="9">
        <v>537</v>
      </c>
      <c r="S351" s="9">
        <f t="shared" si="2"/>
        <v>30.693672360928073</v>
      </c>
      <c r="T351" s="9" t="s">
        <v>0</v>
      </c>
      <c r="U351" s="9" t="str">
        <f t="shared" si="3"/>
        <v>-</v>
      </c>
      <c r="V351" s="9" t="s">
        <v>0</v>
      </c>
      <c r="W351" s="9" t="str">
        <f t="shared" si="4"/>
        <v>-</v>
      </c>
      <c r="X351" s="9" t="s">
        <v>0</v>
      </c>
      <c r="Y351" s="9" t="str">
        <f t="shared" si="5"/>
        <v>-</v>
      </c>
      <c r="Z351" s="9" t="s">
        <v>0</v>
      </c>
      <c r="AA351" s="9" t="str">
        <f t="shared" si="6"/>
        <v>-</v>
      </c>
      <c r="AB351" s="9" t="s">
        <v>0</v>
      </c>
      <c r="AC351" s="9" t="str">
        <f t="shared" si="7"/>
        <v>-</v>
      </c>
      <c r="AD351" s="9" t="s">
        <v>0</v>
      </c>
      <c r="AE351" s="12" t="str">
        <f t="shared" si="8"/>
        <v>-</v>
      </c>
      <c r="AF351" s="9" t="s">
        <v>713</v>
      </c>
      <c r="AG351" s="9" t="s">
        <v>344</v>
      </c>
      <c r="AH351" s="9">
        <v>36.6</v>
      </c>
      <c r="AI351" s="9">
        <v>0.6</v>
      </c>
      <c r="AJ351" s="32">
        <v>1.02</v>
      </c>
      <c r="AK351" s="9">
        <v>20</v>
      </c>
      <c r="AL351" s="32">
        <v>0.97</v>
      </c>
      <c r="AM351" s="9">
        <v>1.2</v>
      </c>
      <c r="AN351" s="32">
        <v>1</v>
      </c>
      <c r="AO351" s="9">
        <v>3</v>
      </c>
      <c r="AP351" s="9">
        <v>0.3</v>
      </c>
      <c r="AQ351" s="32">
        <v>0.8</v>
      </c>
      <c r="AR351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425.04624000000001</v>
      </c>
      <c r="AS351" s="9">
        <f t="shared" si="9"/>
        <v>24.294655547121788</v>
      </c>
      <c r="AT351" s="9">
        <f>IF(RIGHT(TIM[[#This Row],[Device type]],7)="Winding","-",TIM[[#This Row],[Cont Winter MVA]])</f>
        <v>30.693672360928073</v>
      </c>
      <c r="AU351" s="9">
        <f>IF(RIGHT(TIM[[#This Row],[Device type]],7)="Winding","-",TIM[[#This Row],[Cont Shoulder MVA]])</f>
        <v>30.693672360928073</v>
      </c>
      <c r="AV351" s="9">
        <f>IF(RIGHT(TIM[[#This Row],[Device type]],7)="Winding","-",TIM[[#This Row],[Cont Summer MVA]])</f>
        <v>30.693672360928073</v>
      </c>
      <c r="AW351" s="9" t="str">
        <f>TIM[[#This Row],[24 Hr Winter MVA]]</f>
        <v>-</v>
      </c>
      <c r="AX351" s="9" t="str">
        <f>TIM[[#This Row],[24 Hr Summer MVA]]</f>
        <v>-</v>
      </c>
      <c r="AY351" s="9" t="str">
        <f>TIM[[#This Row],[Forwards MVA]]</f>
        <v>-</v>
      </c>
      <c r="AZ351" s="9" t="str">
        <f>TIM[[#This Row],[Relay MVA]]</f>
        <v>-</v>
      </c>
      <c r="BA351" s="9" t="str">
        <f>TIM[[#This Row],[CT MVA]]</f>
        <v>-</v>
      </c>
      <c r="BB351" s="9">
        <f>TIM[[#This Row],[Derating MVA]]</f>
        <v>24.294655547121788</v>
      </c>
      <c r="BC351" s="9" t="str">
        <f>TIM[[#This Row],[Station/Feeder]]&amp;TIM[[#This Row],[Lowest MVA]]</f>
        <v>L413_L418_Pareora24.2946555471218</v>
      </c>
      <c r="BD351" s="9" t="str">
        <f>CONCATENATE(TIM[[#This Row],[Supply Level]],TIM[[#This Row],[Station/Feeder]],TIM[[#This Row],[Voltage]],TIM[[#This Row],[Lowest A-No PTX]])</f>
        <v>SubTransmissionL413_L418_Pareora33425.04624</v>
      </c>
      <c r="BE351" s="9" t="str">
        <f>CONCATENATE(TIM[[#This Row],[Supply Level]],TIM[[#This Row],[Station/Feeder]],TIM[[#This Row],[Voltage]],TIM[[#This Row],[Lowest A-PTX]])</f>
        <v>SubTransmissionL413_L418_Pareora33425.04624</v>
      </c>
      <c r="BF351" s="9">
        <f>IFERROR(IF(MIN(TIM[[#This Row],[Summ Cont Winter A]:[Cable Derating]])=0,"",MIN(TIM[[#This Row],[Summ Cont Winter A]:[Cable Derating]])),"")</f>
        <v>24.294655547121788</v>
      </c>
      <c r="BG351" s="9">
        <f>IFERROR(TIM[[#This Row],[Lowest MVA]]*1000/(TIM[[#This Row],[Voltage]]*SQRT(3)),"")</f>
        <v>425.04624000000001</v>
      </c>
      <c r="BH351" s="9">
        <f t="shared" si="435"/>
        <v>425.04624000000001</v>
      </c>
      <c r="BI351" s="9" t="str">
        <f>TIM[[#This Row],[From]]</f>
        <v>ABS L691</v>
      </c>
      <c r="BJ351" s="9" t="str">
        <f>TIM[[#This Row],[To]]</f>
        <v>CB 2382</v>
      </c>
      <c r="BK35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351" s="9">
        <f>TIM[[#This Row],[Voltage]]</f>
        <v>33</v>
      </c>
    </row>
    <row r="352" spans="1:64" ht="15.75" hidden="1" thickBot="1" x14ac:dyDescent="0.3">
      <c r="A352" s="6" t="str">
        <f>CONCATENATE(TIM[[#This Row],[Supply Level]],TIM[[#This Row],[Station/Feeder]],TIM[[#This Row],[Voltage]],"T2")</f>
        <v>SubTransmissionL413_L418_Pareora33T2</v>
      </c>
      <c r="B352" s="6" t="str">
        <f>CONCATENATE(TIM[[#This Row],[Supply Level]],TIM[[#This Row],[Station/Feeder]],TIM[[#This Row],[Equipment ID]],TIM[[#This Row],[Voltage]],TIM[[#This Row],[Device type]])</f>
        <v>SubTransmissionL413_L418_Pareora238433-</v>
      </c>
      <c r="C352" s="6" t="s">
        <v>1245</v>
      </c>
      <c r="D352" s="11" t="s">
        <v>168</v>
      </c>
      <c r="E352" s="6" t="s">
        <v>1055</v>
      </c>
      <c r="F352" s="7">
        <v>2384</v>
      </c>
      <c r="G352" s="27">
        <v>15</v>
      </c>
      <c r="H352" s="7" t="s">
        <v>273</v>
      </c>
      <c r="I352" s="7">
        <v>2384</v>
      </c>
      <c r="J352" s="7" t="s">
        <v>278</v>
      </c>
      <c r="K352" s="7" t="s">
        <v>0</v>
      </c>
      <c r="L352" s="7" t="s">
        <v>0</v>
      </c>
      <c r="M352" s="8">
        <v>33</v>
      </c>
      <c r="N352" s="9" t="s">
        <v>0</v>
      </c>
      <c r="O352" s="9" t="str">
        <f t="shared" si="0"/>
        <v>-</v>
      </c>
      <c r="P352" s="9" t="s">
        <v>0</v>
      </c>
      <c r="Q352" s="9" t="str">
        <f t="shared" si="1"/>
        <v>-</v>
      </c>
      <c r="R352" s="9" t="s">
        <v>0</v>
      </c>
      <c r="S352" s="9" t="str">
        <f t="shared" si="2"/>
        <v>-</v>
      </c>
      <c r="T352" s="9" t="s">
        <v>0</v>
      </c>
      <c r="U352" s="9" t="str">
        <f t="shared" si="3"/>
        <v>-</v>
      </c>
      <c r="V352" s="9" t="s">
        <v>0</v>
      </c>
      <c r="W352" s="9" t="str">
        <f t="shared" si="4"/>
        <v>-</v>
      </c>
      <c r="X352" s="9" t="s">
        <v>0</v>
      </c>
      <c r="Y352" s="9" t="str">
        <f t="shared" si="5"/>
        <v>-</v>
      </c>
      <c r="Z352" s="9" t="s">
        <v>0</v>
      </c>
      <c r="AA352" s="9" t="str">
        <f t="shared" si="6"/>
        <v>-</v>
      </c>
      <c r="AB352" s="9" t="s">
        <v>0</v>
      </c>
      <c r="AC352" s="9" t="str">
        <f t="shared" si="7"/>
        <v>-</v>
      </c>
      <c r="AD352" s="9" t="s">
        <v>0</v>
      </c>
      <c r="AE352" s="12" t="str">
        <f t="shared" si="8"/>
        <v>-</v>
      </c>
      <c r="AF352" s="9" t="s">
        <v>0</v>
      </c>
      <c r="AG352" s="9" t="s">
        <v>0</v>
      </c>
      <c r="AH352" s="9" t="s">
        <v>0</v>
      </c>
      <c r="AI352" s="9" t="s">
        <v>0</v>
      </c>
      <c r="AJ352" s="32" t="s">
        <v>0</v>
      </c>
      <c r="AK352" s="9" t="s">
        <v>0</v>
      </c>
      <c r="AL352" s="32" t="s">
        <v>0</v>
      </c>
      <c r="AM352" s="9" t="s">
        <v>0</v>
      </c>
      <c r="AN352" s="32" t="s">
        <v>0</v>
      </c>
      <c r="AO352" s="9" t="s">
        <v>0</v>
      </c>
      <c r="AP352" s="9" t="s">
        <v>0</v>
      </c>
      <c r="AQ352" s="32" t="s">
        <v>0</v>
      </c>
      <c r="AR352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52" s="9" t="str">
        <f t="shared" si="9"/>
        <v>-</v>
      </c>
      <c r="AT352" s="9" t="str">
        <f>IF(RIGHT(TIM[[#This Row],[Device type]],7)="Winding","-",TIM[[#This Row],[Cont Winter MVA]])</f>
        <v>-</v>
      </c>
      <c r="AU352" s="9" t="str">
        <f>IF(RIGHT(TIM[[#This Row],[Device type]],7)="Winding","-",TIM[[#This Row],[Cont Shoulder MVA]])</f>
        <v>-</v>
      </c>
      <c r="AV352" s="9" t="str">
        <f>IF(RIGHT(TIM[[#This Row],[Device type]],7)="Winding","-",TIM[[#This Row],[Cont Summer MVA]])</f>
        <v>-</v>
      </c>
      <c r="AW352" s="9" t="str">
        <f>TIM[[#This Row],[24 Hr Winter MVA]]</f>
        <v>-</v>
      </c>
      <c r="AX352" s="9" t="str">
        <f>TIM[[#This Row],[24 Hr Summer MVA]]</f>
        <v>-</v>
      </c>
      <c r="AY352" s="9" t="str">
        <f>TIM[[#This Row],[Forwards MVA]]</f>
        <v>-</v>
      </c>
      <c r="AZ352" s="9" t="str">
        <f>TIM[[#This Row],[Relay MVA]]</f>
        <v>-</v>
      </c>
      <c r="BA352" s="9" t="str">
        <f>TIM[[#This Row],[CT MVA]]</f>
        <v>-</v>
      </c>
      <c r="BB352" s="9" t="str">
        <f>TIM[[#This Row],[Derating MVA]]</f>
        <v>-</v>
      </c>
      <c r="BC352" s="9" t="str">
        <f>TIM[[#This Row],[Station/Feeder]]&amp;TIM[[#This Row],[Lowest MVA]]</f>
        <v>L413_L418_Pareora</v>
      </c>
      <c r="BD352" s="9" t="str">
        <f>CONCATENATE(TIM[[#This Row],[Supply Level]],TIM[[#This Row],[Station/Feeder]],TIM[[#This Row],[Voltage]],TIM[[#This Row],[Lowest A-No PTX]])</f>
        <v>SubTransmissionL413_L418_Pareora33</v>
      </c>
      <c r="BE352" s="9" t="str">
        <f>CONCATENATE(TIM[[#This Row],[Supply Level]],TIM[[#This Row],[Station/Feeder]],TIM[[#This Row],[Voltage]],TIM[[#This Row],[Lowest A-PTX]])</f>
        <v>SubTransmissionL413_L418_Pareora33</v>
      </c>
      <c r="BF352" s="9" t="str">
        <f>IFERROR(IF(MIN(TIM[[#This Row],[Summ Cont Winter A]:[Cable Derating]])=0,"",MIN(TIM[[#This Row],[Summ Cont Winter A]:[Cable Derating]])),"")</f>
        <v/>
      </c>
      <c r="BG352" s="9" t="str">
        <f>IFERROR(TIM[[#This Row],[Lowest MVA]]*1000/(TIM[[#This Row],[Voltage]]*SQRT(3)),"")</f>
        <v/>
      </c>
      <c r="BH352" s="9" t="str">
        <f t="shared" si="435"/>
        <v/>
      </c>
      <c r="BI352" s="9" t="str">
        <f>TIM[[#This Row],[From]]</f>
        <v>CB 2382</v>
      </c>
      <c r="BJ352" s="9">
        <f>TIM[[#This Row],[To]]</f>
        <v>2384</v>
      </c>
      <c r="BK35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Switch-2384</v>
      </c>
      <c r="BL352" s="9">
        <f>TIM[[#This Row],[Voltage]]</f>
        <v>33</v>
      </c>
    </row>
    <row r="353" spans="1:64" ht="15.75" hidden="1" thickBot="1" x14ac:dyDescent="0.3">
      <c r="A353" s="14" t="str">
        <f>CONCATENATE(TIM[[#This Row],[Supply Level]],TIM[[#This Row],[Station/Feeder]],TIM[[#This Row],[Voltage]],"T2")</f>
        <v>SubTransmissionL413_L418_Pareora33T2</v>
      </c>
      <c r="B353" s="14" t="str">
        <f>CONCATENATE(TIM[[#This Row],[Supply Level]],TIM[[#This Row],[Station/Feeder]],TIM[[#This Row],[Equipment ID]],TIM[[#This Row],[Voltage]],TIM[[#This Row],[Device type]])</f>
        <v>SubTransmissionL413_L418_PareoraPAR-CB238233-</v>
      </c>
      <c r="C353" s="14" t="s">
        <v>1245</v>
      </c>
      <c r="D353" s="13" t="s">
        <v>168</v>
      </c>
      <c r="E353" s="14" t="s">
        <v>1055</v>
      </c>
      <c r="F353" s="14" t="s">
        <v>63</v>
      </c>
      <c r="G353" s="28">
        <v>16</v>
      </c>
      <c r="H353" s="39" t="s">
        <v>743</v>
      </c>
      <c r="I353" s="39" t="s">
        <v>2289</v>
      </c>
      <c r="J353" s="39" t="s">
        <v>15</v>
      </c>
      <c r="K353" s="39" t="s">
        <v>0</v>
      </c>
      <c r="L353" s="39" t="s">
        <v>0</v>
      </c>
      <c r="M353" s="15">
        <v>33</v>
      </c>
      <c r="N353" s="16" t="s">
        <v>0</v>
      </c>
      <c r="O353" s="16" t="str">
        <f t="shared" si="0"/>
        <v>-</v>
      </c>
      <c r="P353" s="16" t="s">
        <v>0</v>
      </c>
      <c r="Q353" s="16" t="str">
        <f t="shared" si="1"/>
        <v>-</v>
      </c>
      <c r="R353" s="16" t="s">
        <v>0</v>
      </c>
      <c r="S353" s="16" t="str">
        <f t="shared" si="2"/>
        <v>-</v>
      </c>
      <c r="T353" s="16" t="s">
        <v>0</v>
      </c>
      <c r="U353" s="16" t="str">
        <f t="shared" si="3"/>
        <v>-</v>
      </c>
      <c r="V353" s="16" t="s">
        <v>0</v>
      </c>
      <c r="W353" s="16" t="str">
        <f t="shared" si="4"/>
        <v>-</v>
      </c>
      <c r="X353" s="16">
        <f>VLOOKUP(TIM[[#This Row],[Equipment ID]],AEL_Protection_Data[#All],12,0)</f>
        <v>320</v>
      </c>
      <c r="Y353" s="16">
        <v>18.3</v>
      </c>
      <c r="Z353" s="16" t="s">
        <v>0</v>
      </c>
      <c r="AA353" s="16" t="s">
        <v>0</v>
      </c>
      <c r="AB353" s="16" t="s">
        <v>0</v>
      </c>
      <c r="AC353" s="16" t="str">
        <f t="shared" si="7"/>
        <v>-</v>
      </c>
      <c r="AD353" s="16">
        <v>400</v>
      </c>
      <c r="AE353" s="17">
        <f t="shared" si="8"/>
        <v>22.86307065990918</v>
      </c>
      <c r="AF353" s="16" t="s">
        <v>0</v>
      </c>
      <c r="AG353" s="16" t="s">
        <v>0</v>
      </c>
      <c r="AH353" s="16" t="s">
        <v>0</v>
      </c>
      <c r="AI353" s="16" t="s">
        <v>0</v>
      </c>
      <c r="AJ353" s="127" t="s">
        <v>0</v>
      </c>
      <c r="AK353" s="16" t="s">
        <v>0</v>
      </c>
      <c r="AL353" s="127" t="s">
        <v>0</v>
      </c>
      <c r="AM353" s="16" t="s">
        <v>0</v>
      </c>
      <c r="AN353" s="127" t="s">
        <v>0</v>
      </c>
      <c r="AO353" s="16" t="s">
        <v>0</v>
      </c>
      <c r="AP353" s="16" t="s">
        <v>0</v>
      </c>
      <c r="AQ353" s="127" t="s">
        <v>0</v>
      </c>
      <c r="AR353" s="16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53" s="16" t="str">
        <f t="shared" si="9"/>
        <v>-</v>
      </c>
      <c r="AT353" s="155" t="str">
        <f>IF(RIGHT(TIM[[#This Row],[Device type]],7)="Winding","-",TIM[[#This Row],[Cont Winter MVA]])</f>
        <v>-</v>
      </c>
      <c r="AU353" s="155" t="str">
        <f>IF(RIGHT(TIM[[#This Row],[Device type]],7)="Winding","-",TIM[[#This Row],[Cont Shoulder MVA]])</f>
        <v>-</v>
      </c>
      <c r="AV353" s="155" t="str">
        <f>IF(RIGHT(TIM[[#This Row],[Device type]],7)="Winding","-",TIM[[#This Row],[Cont Summer MVA]])</f>
        <v>-</v>
      </c>
      <c r="AW353" s="155" t="str">
        <f>TIM[[#This Row],[24 Hr Winter MVA]]</f>
        <v>-</v>
      </c>
      <c r="AX353" s="155" t="str">
        <f>TIM[[#This Row],[24 Hr Summer MVA]]</f>
        <v>-</v>
      </c>
      <c r="AY353" s="155">
        <f>TIM[[#This Row],[Forwards MVA]]</f>
        <v>18.3</v>
      </c>
      <c r="AZ353" s="155" t="str">
        <f>TIM[[#This Row],[Relay MVA]]</f>
        <v>-</v>
      </c>
      <c r="BA353" s="155">
        <f>TIM[[#This Row],[CT MVA]]</f>
        <v>22.86307065990918</v>
      </c>
      <c r="BB353" s="155" t="str">
        <f>TIM[[#This Row],[Derating MVA]]</f>
        <v>-</v>
      </c>
      <c r="BC353" s="155" t="str">
        <f>TIM[[#This Row],[Station/Feeder]]&amp;TIM[[#This Row],[Lowest MVA]]</f>
        <v>L413_L418_Pareora18.3</v>
      </c>
      <c r="BD353" s="155" t="str">
        <f>CONCATENATE(TIM[[#This Row],[Supply Level]],TIM[[#This Row],[Station/Feeder]],TIM[[#This Row],[Voltage]],TIM[[#This Row],[Lowest A-No PTX]])</f>
        <v>SubTransmissionL413_L418_Pareora33320.166967459702</v>
      </c>
      <c r="BE353" s="155" t="str">
        <f>CONCATENATE(TIM[[#This Row],[Supply Level]],TIM[[#This Row],[Station/Feeder]],TIM[[#This Row],[Voltage]],TIM[[#This Row],[Lowest A-PTX]])</f>
        <v>SubTransmissionL413_L418_Pareora33320</v>
      </c>
      <c r="BF353" s="155">
        <f>IFERROR(IF(MIN(TIM[[#This Row],[Summ Cont Winter A]:[Cable Derating]])=0,"",MIN(TIM[[#This Row],[Summ Cont Winter A]:[Cable Derating]])),"")</f>
        <v>18.3</v>
      </c>
      <c r="BG353" s="155">
        <f>IFERROR(TIM[[#This Row],[Lowest MVA]]*1000/(TIM[[#This Row],[Voltage]]*SQRT(3)),"")</f>
        <v>320.1669674597016</v>
      </c>
      <c r="BH353" s="155">
        <f t="shared" si="435"/>
        <v>320</v>
      </c>
      <c r="BI353" s="155" t="str">
        <f>TIM[[#This Row],[From]]</f>
        <v>CB 2382</v>
      </c>
      <c r="BJ353" s="155" t="str">
        <f>TIM[[#This Row],[To]]</f>
        <v>33 kV Bus</v>
      </c>
      <c r="BK353" s="155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Breaker-PAR-CB2382</v>
      </c>
      <c r="BL353" s="155">
        <f>TIM[[#This Row],[Voltage]]</f>
        <v>33</v>
      </c>
    </row>
    <row r="354" spans="1:64" ht="15" hidden="1" customHeight="1" x14ac:dyDescent="0.3">
      <c r="A354" s="3" t="str">
        <f>CONCATENATE(TIM[[#This Row],[Supply Level]],TIM[[#This Row],[Station/Feeder]],TIM[[#This Row],[Voltage]],"T1")</f>
        <v>ZoneSubstationPAR33T1</v>
      </c>
      <c r="B354" s="3" t="str">
        <f>CONCATENATE(TIM[[#This Row],[Supply Level]],TIM[[#This Row],[Station/Feeder]],TIM[[#This Row],[Equipment ID]],TIM[[#This Row],[Voltage]],TIM[[#This Row],[Device type]])</f>
        <v>ZoneSubstationPARPAR-CB234233-</v>
      </c>
      <c r="C354" s="3" t="s">
        <v>1246</v>
      </c>
      <c r="D354" s="10" t="s">
        <v>202</v>
      </c>
      <c r="E354" s="3" t="s">
        <v>63</v>
      </c>
      <c r="F354" s="3" t="s">
        <v>243</v>
      </c>
      <c r="G354" s="26">
        <v>1</v>
      </c>
      <c r="H354" s="38" t="s">
        <v>2377</v>
      </c>
      <c r="I354" s="38" t="s">
        <v>2290</v>
      </c>
      <c r="J354" s="38" t="s">
        <v>15</v>
      </c>
      <c r="K354" s="38" t="s">
        <v>0</v>
      </c>
      <c r="L354" s="38" t="s">
        <v>0</v>
      </c>
      <c r="M354" s="4">
        <v>33</v>
      </c>
      <c r="N354" s="5" t="s">
        <v>0</v>
      </c>
      <c r="O354" s="5" t="str">
        <f t="shared" si="0"/>
        <v>-</v>
      </c>
      <c r="P354" s="5" t="s">
        <v>0</v>
      </c>
      <c r="Q354" s="5" t="str">
        <f t="shared" si="1"/>
        <v>-</v>
      </c>
      <c r="R354" s="5" t="s">
        <v>0</v>
      </c>
      <c r="S354" s="5" t="str">
        <f t="shared" si="2"/>
        <v>-</v>
      </c>
      <c r="T354" s="5" t="s">
        <v>0</v>
      </c>
      <c r="U354" s="5" t="str">
        <f t="shared" si="3"/>
        <v>-</v>
      </c>
      <c r="V354" s="5" t="s">
        <v>0</v>
      </c>
      <c r="W354" s="5" t="str">
        <f t="shared" si="4"/>
        <v>-</v>
      </c>
      <c r="X354" s="5">
        <f>VLOOKUP(TIM[[#This Row],[Equipment ID]],AEL_Protection_Data[#All],12,0)</f>
        <v>320</v>
      </c>
      <c r="Y354" s="5">
        <f t="shared" si="5"/>
        <v>18.290456527927343</v>
      </c>
      <c r="Z354" s="5" t="s">
        <v>0</v>
      </c>
      <c r="AA354" s="5" t="str">
        <f t="shared" si="6"/>
        <v>-</v>
      </c>
      <c r="AB354" s="5" t="s">
        <v>0</v>
      </c>
      <c r="AC354" s="5" t="str">
        <f t="shared" si="7"/>
        <v>-</v>
      </c>
      <c r="AD354" s="5">
        <v>400</v>
      </c>
      <c r="AE354" s="158">
        <f t="shared" si="8"/>
        <v>22.86307065990918</v>
      </c>
      <c r="AF354" s="5" t="s">
        <v>0</v>
      </c>
      <c r="AG354" s="5" t="s">
        <v>0</v>
      </c>
      <c r="AH354" s="5" t="s">
        <v>0</v>
      </c>
      <c r="AI354" s="5" t="s">
        <v>0</v>
      </c>
      <c r="AJ354" s="139" t="s">
        <v>0</v>
      </c>
      <c r="AK354" s="5" t="s">
        <v>0</v>
      </c>
      <c r="AL354" s="139" t="s">
        <v>0</v>
      </c>
      <c r="AM354" s="5" t="s">
        <v>0</v>
      </c>
      <c r="AN354" s="139" t="s">
        <v>0</v>
      </c>
      <c r="AO354" s="5" t="s">
        <v>0</v>
      </c>
      <c r="AP354" s="5" t="s">
        <v>0</v>
      </c>
      <c r="AQ354" s="139" t="s">
        <v>0</v>
      </c>
      <c r="AR354" s="5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54" s="5" t="str">
        <f t="shared" si="9"/>
        <v>-</v>
      </c>
      <c r="AT354" s="29" t="str">
        <f>IF(RIGHT(TIM[[#This Row],[Device type]],7)="Winding","-",TIM[[#This Row],[Cont Winter MVA]])</f>
        <v>-</v>
      </c>
      <c r="AU354" s="29" t="str">
        <f>IF(RIGHT(TIM[[#This Row],[Device type]],7)="Winding","-",TIM[[#This Row],[Cont Shoulder MVA]])</f>
        <v>-</v>
      </c>
      <c r="AV354" s="29" t="str">
        <f>IF(RIGHT(TIM[[#This Row],[Device type]],7)="Winding","-",TIM[[#This Row],[Cont Summer MVA]])</f>
        <v>-</v>
      </c>
      <c r="AW354" s="29" t="str">
        <f>TIM[[#This Row],[24 Hr Winter MVA]]</f>
        <v>-</v>
      </c>
      <c r="AX354" s="29" t="str">
        <f>TIM[[#This Row],[24 Hr Summer MVA]]</f>
        <v>-</v>
      </c>
      <c r="AY354" s="29">
        <f>TIM[[#This Row],[Forwards MVA]]</f>
        <v>18.290456527927343</v>
      </c>
      <c r="AZ354" s="29" t="str">
        <f>TIM[[#This Row],[Relay MVA]]</f>
        <v>-</v>
      </c>
      <c r="BA354" s="29">
        <f>TIM[[#This Row],[CT MVA]]</f>
        <v>22.86307065990918</v>
      </c>
      <c r="BB354" s="29" t="str">
        <f>TIM[[#This Row],[Derating MVA]]</f>
        <v>-</v>
      </c>
      <c r="BC354" s="29" t="str">
        <f>TIM[[#This Row],[Station/Feeder]]&amp;TIM[[#This Row],[Lowest MVA]]</f>
        <v>PAR18.2904565279273</v>
      </c>
      <c r="BD354" s="29" t="str">
        <f>CONCATENATE(TIM[[#This Row],[Supply Level]],TIM[[#This Row],[Station/Feeder]],TIM[[#This Row],[Voltage]],TIM[[#This Row],[Lowest A-No PTX]])</f>
        <v>ZoneSubstationPAR33320</v>
      </c>
      <c r="BE354" s="29" t="str">
        <f>CONCATENATE(TIM[[#This Row],[Supply Level]],TIM[[#This Row],[Station/Feeder]],TIM[[#This Row],[Voltage]],TIM[[#This Row],[Lowest A-PTX]])</f>
        <v>ZoneSubstationPAR33320</v>
      </c>
      <c r="BF354" s="29">
        <f>IFERROR(IF(MIN(TIM[[#This Row],[Summ Cont Winter A]:[Cable Derating]])=0,"",MIN(TIM[[#This Row],[Summ Cont Winter A]:[Cable Derating]])),"")</f>
        <v>18.290456527927343</v>
      </c>
      <c r="BG354" s="29">
        <f>IFERROR(TIM[[#This Row],[Lowest MVA]]*1000/(TIM[[#This Row],[Voltage]]*SQRT(3)),"")</f>
        <v>320.00000000000006</v>
      </c>
      <c r="BH354" s="29">
        <f t="shared" si="435"/>
        <v>320</v>
      </c>
      <c r="BI354" s="29" t="str">
        <f>TIM[[#This Row],[From]]</f>
        <v>33 kV Bus</v>
      </c>
      <c r="BJ354" s="29" t="str">
        <f>TIM[[#This Row],[To]]</f>
        <v>11 kV Bus</v>
      </c>
      <c r="BK354" s="2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Breaker-PAR-CB2342</v>
      </c>
      <c r="BL354" s="29">
        <f>TIM[[#This Row],[Voltage]]</f>
        <v>33</v>
      </c>
    </row>
    <row r="355" spans="1:64" ht="15" hidden="1" customHeight="1" x14ac:dyDescent="0.3">
      <c r="A355" s="6" t="str">
        <f>CONCATENATE(TIM[[#This Row],[Supply Level]],TIM[[#This Row],[Station/Feeder]],TIM[[#This Row],[Voltage]],"T1")</f>
        <v>ZoneSubstationPAR33T1</v>
      </c>
      <c r="B355" s="6" t="str">
        <f>CONCATENATE(TIM[[#This Row],[Supply Level]],TIM[[#This Row],[Station/Feeder]],TIM[[#This Row],[Equipment ID]],TIM[[#This Row],[Voltage]],TIM[[#This Row],[Device type]])</f>
        <v>ZoneSubstationPAR3/1c 400mm² AL XLPE HDPE Screened33-</v>
      </c>
      <c r="C355" s="6" t="s">
        <v>1246</v>
      </c>
      <c r="D355" s="11" t="s">
        <v>202</v>
      </c>
      <c r="E355" s="6" t="s">
        <v>63</v>
      </c>
      <c r="F355" s="6" t="s">
        <v>243</v>
      </c>
      <c r="G355" s="27">
        <v>2</v>
      </c>
      <c r="H355" s="7" t="s">
        <v>1057</v>
      </c>
      <c r="I355" s="7" t="s">
        <v>819</v>
      </c>
      <c r="J355" s="7" t="s">
        <v>250</v>
      </c>
      <c r="K355" s="7" t="s">
        <v>0</v>
      </c>
      <c r="L355" s="7" t="s">
        <v>0</v>
      </c>
      <c r="M355" s="8">
        <v>33</v>
      </c>
      <c r="N355" s="9">
        <v>507</v>
      </c>
      <c r="O355" s="9">
        <f>IF(OR(N355="",N355="-"),"-",N355*$M355*SQRT(3)/1000)</f>
        <v>28.978942061434886</v>
      </c>
      <c r="P355" s="9">
        <v>507</v>
      </c>
      <c r="Q355" s="9">
        <f>IF(OR(P355="",P355="-"),"-",P355*$M355*SQRT(3)/1000)</f>
        <v>28.978942061434886</v>
      </c>
      <c r="R355" s="9">
        <v>507</v>
      </c>
      <c r="S355" s="9">
        <f>IF(OR(R355="",R355="-"),"-",R355*$M355*SQRT(3)/1000)</f>
        <v>28.978942061434886</v>
      </c>
      <c r="T355" s="9" t="s">
        <v>0</v>
      </c>
      <c r="U355" s="9" t="str">
        <f>IF(OR(T355="",T355="-"),"-",T355*$M355*SQRT(3)/1000)</f>
        <v>-</v>
      </c>
      <c r="V355" s="9" t="s">
        <v>0</v>
      </c>
      <c r="W355" s="9" t="str">
        <f>IF(OR(V355="",V355="-"),"-",V355*$M355*SQRT(3)/1000)</f>
        <v>-</v>
      </c>
      <c r="X355" s="9" t="s">
        <v>0</v>
      </c>
      <c r="Y355" s="9" t="str">
        <f>IF(OR(X355="",X355="-"),"-",X355*$M355*SQRT(3)/1000)</f>
        <v>-</v>
      </c>
      <c r="Z355" s="9" t="s">
        <v>0</v>
      </c>
      <c r="AA355" s="9" t="str">
        <f>IF(OR(Z355="",Z355="-"),"-",Z355*$M355*SQRT(3)/1000)</f>
        <v>-</v>
      </c>
      <c r="AB355" s="9" t="s">
        <v>0</v>
      </c>
      <c r="AC355" s="9" t="str">
        <f>IF(OR(AB355="",AB355="-"),"-",AB355*$M355*SQRT(3)/1000)</f>
        <v>-</v>
      </c>
      <c r="AD355" s="9" t="s">
        <v>0</v>
      </c>
      <c r="AE355" s="12" t="str">
        <f>IF(OR(AD355="",AD355="-"),"-",AD355*$M355*SQRT(3)/1000)</f>
        <v>-</v>
      </c>
      <c r="AF355" s="9" t="s">
        <v>713</v>
      </c>
      <c r="AG355" s="9" t="s">
        <v>344</v>
      </c>
      <c r="AH355" s="9">
        <v>20.6</v>
      </c>
      <c r="AI355" s="9">
        <v>1.1399999999999999</v>
      </c>
      <c r="AJ355" s="32">
        <v>0.97</v>
      </c>
      <c r="AK355" s="9">
        <v>15</v>
      </c>
      <c r="AL355" s="32">
        <v>1</v>
      </c>
      <c r="AM355" s="9">
        <v>1.2</v>
      </c>
      <c r="AN355" s="32">
        <v>1</v>
      </c>
      <c r="AO355" s="9">
        <v>1</v>
      </c>
      <c r="AP355" s="9">
        <v>0</v>
      </c>
      <c r="AQ355" s="32">
        <v>1</v>
      </c>
      <c r="AR355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491.78999999999996</v>
      </c>
      <c r="AS355" s="9">
        <f>IF(OR(AR355="",AR355="-"),"-",AR355*$M355*SQRT(3)/1000)</f>
        <v>28.109573799591839</v>
      </c>
      <c r="AT355" s="9">
        <f>IF(RIGHT(TIM[[#This Row],[Device type]],7)="Winding","-",TIM[[#This Row],[Cont Winter MVA]])</f>
        <v>28.978942061434886</v>
      </c>
      <c r="AU355" s="9">
        <f>IF(RIGHT(TIM[[#This Row],[Device type]],7)="Winding","-",TIM[[#This Row],[Cont Shoulder MVA]])</f>
        <v>28.978942061434886</v>
      </c>
      <c r="AV355" s="9">
        <f>IF(RIGHT(TIM[[#This Row],[Device type]],7)="Winding","-",TIM[[#This Row],[Cont Summer MVA]])</f>
        <v>28.978942061434886</v>
      </c>
      <c r="AW355" s="9" t="str">
        <f>TIM[[#This Row],[24 Hr Winter MVA]]</f>
        <v>-</v>
      </c>
      <c r="AX355" s="9" t="str">
        <f>TIM[[#This Row],[24 Hr Summer MVA]]</f>
        <v>-</v>
      </c>
      <c r="AY355" s="9" t="str">
        <f>TIM[[#This Row],[Forwards MVA]]</f>
        <v>-</v>
      </c>
      <c r="AZ355" s="9" t="str">
        <f>TIM[[#This Row],[Relay MVA]]</f>
        <v>-</v>
      </c>
      <c r="BA355" s="9" t="str">
        <f>TIM[[#This Row],[CT MVA]]</f>
        <v>-</v>
      </c>
      <c r="BB355" s="9">
        <f>TIM[[#This Row],[Derating MVA]]</f>
        <v>28.109573799591839</v>
      </c>
      <c r="BC355" s="9" t="str">
        <f>TIM[[#This Row],[Station/Feeder]]&amp;TIM[[#This Row],[Lowest MVA]]</f>
        <v>PAR28.1095737995918</v>
      </c>
      <c r="BD355" s="9" t="str">
        <f>CONCATENATE(TIM[[#This Row],[Supply Level]],TIM[[#This Row],[Station/Feeder]],TIM[[#This Row],[Voltage]],TIM[[#This Row],[Lowest A-No PTX]])</f>
        <v>ZoneSubstationPAR33491.79</v>
      </c>
      <c r="BE355" s="9" t="str">
        <f>CONCATENATE(TIM[[#This Row],[Supply Level]],TIM[[#This Row],[Station/Feeder]],TIM[[#This Row],[Voltage]],TIM[[#This Row],[Lowest A-PTX]])</f>
        <v>ZoneSubstationPAR33491.79</v>
      </c>
      <c r="BF355" s="9">
        <f>IFERROR(IF(MIN(TIM[[#This Row],[Summ Cont Winter A]:[Cable Derating]])=0,"",MIN(TIM[[#This Row],[Summ Cont Winter A]:[Cable Derating]])),"")</f>
        <v>28.109573799591839</v>
      </c>
      <c r="BG355" s="9">
        <f>IFERROR(TIM[[#This Row],[Lowest MVA]]*1000/(TIM[[#This Row],[Voltage]]*SQRT(3)),"")</f>
        <v>491.79</v>
      </c>
      <c r="BH355" s="9">
        <f t="shared" si="435"/>
        <v>491.78999999999996</v>
      </c>
      <c r="BI355" s="9" t="str">
        <f>TIM[[#This Row],[From]]</f>
        <v>33 kV Bus</v>
      </c>
      <c r="BJ355" s="9" t="str">
        <f>TIM[[#This Row],[To]]</f>
        <v>11 kV Bus</v>
      </c>
      <c r="BK35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355" s="9">
        <f>TIM[[#This Row],[Voltage]]</f>
        <v>33</v>
      </c>
    </row>
    <row r="356" spans="1:64" ht="15" hidden="1" customHeight="1" x14ac:dyDescent="0.3">
      <c r="A356" s="6" t="str">
        <f>CONCATENATE(TIM[[#This Row],[Supply Level]],TIM[[#This Row],[Station/Feeder]],TIM[[#This Row],[Voltage]],"T1")</f>
        <v>ZoneSubstationPAR33T1</v>
      </c>
      <c r="B356" s="6" t="str">
        <f>CONCATENATE(TIM[[#This Row],[Supply Level]],TIM[[#This Row],[Station/Feeder]],TIM[[#This Row],[Equipment ID]],TIM[[#This Row],[Voltage]],TIM[[#This Row],[Device type]])</f>
        <v>ZoneSubstationPARB712/T133HV Winding</v>
      </c>
      <c r="C356" s="6" t="s">
        <v>1246</v>
      </c>
      <c r="D356" s="11" t="s">
        <v>202</v>
      </c>
      <c r="E356" s="6" t="s">
        <v>63</v>
      </c>
      <c r="F356" s="6" t="s">
        <v>243</v>
      </c>
      <c r="G356" s="27">
        <v>3</v>
      </c>
      <c r="H356" s="7" t="s">
        <v>1056</v>
      </c>
      <c r="I356" s="7" t="s">
        <v>1058</v>
      </c>
      <c r="J356" s="7" t="s">
        <v>19</v>
      </c>
      <c r="K356" s="7" t="s">
        <v>0</v>
      </c>
      <c r="L356" s="7" t="s">
        <v>36</v>
      </c>
      <c r="M356" s="8">
        <v>33</v>
      </c>
      <c r="N356" s="9">
        <f>15000/(TIM[[#This Row],[Voltage]]*SQRT(3))</f>
        <v>262.43194054073899</v>
      </c>
      <c r="O356" s="9">
        <f t="shared" si="0"/>
        <v>14.999999999999998</v>
      </c>
      <c r="P356" s="9" t="s">
        <v>0</v>
      </c>
      <c r="Q356" s="9" t="str">
        <f t="shared" si="1"/>
        <v>-</v>
      </c>
      <c r="R356" s="9" t="s">
        <v>0</v>
      </c>
      <c r="S356" s="9" t="str">
        <f t="shared" si="2"/>
        <v>-</v>
      </c>
      <c r="T356" s="9" t="s">
        <v>0</v>
      </c>
      <c r="U356" s="9" t="str">
        <f t="shared" si="3"/>
        <v>-</v>
      </c>
      <c r="V356" s="9" t="s">
        <v>0</v>
      </c>
      <c r="W356" s="9" t="str">
        <f t="shared" si="4"/>
        <v>-</v>
      </c>
      <c r="X356" s="9" t="s">
        <v>0</v>
      </c>
      <c r="Y356" s="9" t="str">
        <f t="shared" si="5"/>
        <v>-</v>
      </c>
      <c r="Z356" s="9" t="s">
        <v>0</v>
      </c>
      <c r="AA356" s="9" t="str">
        <f t="shared" si="6"/>
        <v>-</v>
      </c>
      <c r="AB356" s="9" t="s">
        <v>0</v>
      </c>
      <c r="AC356" s="9" t="str">
        <f t="shared" si="7"/>
        <v>-</v>
      </c>
      <c r="AD356" s="9" t="s">
        <v>0</v>
      </c>
      <c r="AE356" s="12" t="str">
        <f t="shared" si="8"/>
        <v>-</v>
      </c>
      <c r="AF356" s="9" t="s">
        <v>0</v>
      </c>
      <c r="AG356" s="9" t="s">
        <v>0</v>
      </c>
      <c r="AH356" s="9" t="s">
        <v>0</v>
      </c>
      <c r="AI356" s="9" t="s">
        <v>0</v>
      </c>
      <c r="AJ356" s="32" t="s">
        <v>0</v>
      </c>
      <c r="AK356" s="9" t="s">
        <v>0</v>
      </c>
      <c r="AL356" s="32" t="s">
        <v>0</v>
      </c>
      <c r="AM356" s="9" t="s">
        <v>0</v>
      </c>
      <c r="AN356" s="32" t="s">
        <v>0</v>
      </c>
      <c r="AO356" s="9" t="s">
        <v>0</v>
      </c>
      <c r="AP356" s="9" t="s">
        <v>0</v>
      </c>
      <c r="AQ356" s="32" t="s">
        <v>0</v>
      </c>
      <c r="AR356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56" s="9" t="str">
        <f t="shared" si="9"/>
        <v>-</v>
      </c>
      <c r="AT356" s="9" t="str">
        <f>IF(RIGHT(TIM[[#This Row],[Device type]],7)="Winding","-",TIM[[#This Row],[Cont Winter MVA]])</f>
        <v>-</v>
      </c>
      <c r="AU356" s="9" t="str">
        <f>IF(RIGHT(TIM[[#This Row],[Device type]],7)="Winding","-",TIM[[#This Row],[Cont Shoulder MVA]])</f>
        <v>-</v>
      </c>
      <c r="AV356" s="9" t="str">
        <f>IF(RIGHT(TIM[[#This Row],[Device type]],7)="Winding","-",TIM[[#This Row],[Cont Summer MVA]])</f>
        <v>-</v>
      </c>
      <c r="AW356" s="9" t="str">
        <f>TIM[[#This Row],[24 Hr Winter MVA]]</f>
        <v>-</v>
      </c>
      <c r="AX356" s="9" t="str">
        <f>TIM[[#This Row],[24 Hr Summer MVA]]</f>
        <v>-</v>
      </c>
      <c r="AY356" s="9" t="str">
        <f>TIM[[#This Row],[Forwards MVA]]</f>
        <v>-</v>
      </c>
      <c r="AZ356" s="9" t="str">
        <f>TIM[[#This Row],[Relay MVA]]</f>
        <v>-</v>
      </c>
      <c r="BA356" s="9" t="str">
        <f>TIM[[#This Row],[CT MVA]]</f>
        <v>-</v>
      </c>
      <c r="BB356" s="9" t="str">
        <f>TIM[[#This Row],[Derating MVA]]</f>
        <v>-</v>
      </c>
      <c r="BC356" s="9" t="str">
        <f>TIM[[#This Row],[Station/Feeder]]&amp;TIM[[#This Row],[Lowest MVA]]</f>
        <v>PAR</v>
      </c>
      <c r="BD356" s="9" t="str">
        <f>CONCATENATE(TIM[[#This Row],[Supply Level]],TIM[[#This Row],[Station/Feeder]],TIM[[#This Row],[Voltage]],TIM[[#This Row],[Lowest A-No PTX]])</f>
        <v>ZoneSubstationPAR33</v>
      </c>
      <c r="BE356" s="9" t="str">
        <f>CONCATENATE(TIM[[#This Row],[Supply Level]],TIM[[#This Row],[Station/Feeder]],TIM[[#This Row],[Voltage]],TIM[[#This Row],[Lowest A-PTX]])</f>
        <v>ZoneSubstationPAR33262.431940540739</v>
      </c>
      <c r="BF356" s="9" t="str">
        <f>IFERROR(IF(MIN(TIM[[#This Row],[Summ Cont Winter A]:[Cable Derating]])=0,"",MIN(TIM[[#This Row],[Summ Cont Winter A]:[Cable Derating]])),"")</f>
        <v/>
      </c>
      <c r="BG356" s="9" t="str">
        <f>IFERROR(TIM[[#This Row],[Lowest MVA]]*1000/(TIM[[#This Row],[Voltage]]*SQRT(3)),"")</f>
        <v/>
      </c>
      <c r="BH356" s="9">
        <f t="shared" si="435"/>
        <v>262.43194054073899</v>
      </c>
      <c r="BI356" s="9" t="str">
        <f>TIM[[#This Row],[From]]</f>
        <v>33 kV Bus</v>
      </c>
      <c r="BJ356" s="9" t="str">
        <f>TIM[[#This Row],[To]]</f>
        <v>11 kV Bus</v>
      </c>
      <c r="BK35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Transformer-B712/T1-HV Winding</v>
      </c>
      <c r="BL356" s="9">
        <f>TIM[[#This Row],[Voltage]]</f>
        <v>33</v>
      </c>
    </row>
    <row r="357" spans="1:64" ht="15" hidden="1" customHeight="1" x14ac:dyDescent="0.3">
      <c r="A357" s="6" t="str">
        <f>CONCATENATE(TIM[[#This Row],[Supply Level]],TIM[[#This Row],[Station/Feeder]],TIM[[#This Row],[Voltage]],"T1")</f>
        <v>ZoneSubstationPAR11.22T1</v>
      </c>
      <c r="B357" s="6" t="str">
        <f>CONCATENATE(TIM[[#This Row],[Supply Level]],TIM[[#This Row],[Station/Feeder]],TIM[[#This Row],[Equipment ID]],TIM[[#This Row],[Voltage]],TIM[[#This Row],[Device type]])</f>
        <v>ZoneSubstationPARB712/T111.22LV Winding</v>
      </c>
      <c r="C357" s="6" t="s">
        <v>1246</v>
      </c>
      <c r="D357" s="11" t="s">
        <v>202</v>
      </c>
      <c r="E357" s="6" t="s">
        <v>63</v>
      </c>
      <c r="F357" s="6" t="s">
        <v>243</v>
      </c>
      <c r="G357" s="27">
        <v>3</v>
      </c>
      <c r="H357" s="7" t="s">
        <v>1056</v>
      </c>
      <c r="I357" s="7" t="s">
        <v>1058</v>
      </c>
      <c r="J357" s="7" t="s">
        <v>19</v>
      </c>
      <c r="K357" s="7" t="s">
        <v>0</v>
      </c>
      <c r="L357" s="7" t="s">
        <v>37</v>
      </c>
      <c r="M357" s="8">
        <v>11.22</v>
      </c>
      <c r="N357" s="9">
        <f>15000/(TIM[[#This Row],[Voltage]]*SQRT(3))</f>
        <v>771.85864864923235</v>
      </c>
      <c r="O357" s="9">
        <f t="shared" si="0"/>
        <v>15.000000000000002</v>
      </c>
      <c r="P357" s="9" t="s">
        <v>0</v>
      </c>
      <c r="Q357" s="9" t="str">
        <f t="shared" si="1"/>
        <v>-</v>
      </c>
      <c r="R357" s="9" t="s">
        <v>0</v>
      </c>
      <c r="S357" s="9" t="str">
        <f t="shared" si="2"/>
        <v>-</v>
      </c>
      <c r="T357" s="9" t="s">
        <v>0</v>
      </c>
      <c r="U357" s="9" t="str">
        <f t="shared" si="3"/>
        <v>-</v>
      </c>
      <c r="V357" s="9" t="s">
        <v>0</v>
      </c>
      <c r="W357" s="9" t="str">
        <f t="shared" si="4"/>
        <v>-</v>
      </c>
      <c r="X357" s="9" t="s">
        <v>0</v>
      </c>
      <c r="Y357" s="9" t="str">
        <f t="shared" si="5"/>
        <v>-</v>
      </c>
      <c r="Z357" s="9" t="s">
        <v>0</v>
      </c>
      <c r="AA357" s="9" t="str">
        <f t="shared" si="6"/>
        <v>-</v>
      </c>
      <c r="AB357" s="9" t="s">
        <v>0</v>
      </c>
      <c r="AC357" s="9" t="str">
        <f t="shared" si="7"/>
        <v>-</v>
      </c>
      <c r="AD357" s="9" t="s">
        <v>0</v>
      </c>
      <c r="AE357" s="12" t="str">
        <f t="shared" si="8"/>
        <v>-</v>
      </c>
      <c r="AF357" s="9" t="s">
        <v>0</v>
      </c>
      <c r="AG357" s="9" t="s">
        <v>0</v>
      </c>
      <c r="AH357" s="9" t="s">
        <v>0</v>
      </c>
      <c r="AI357" s="9" t="s">
        <v>0</v>
      </c>
      <c r="AJ357" s="32" t="s">
        <v>0</v>
      </c>
      <c r="AK357" s="9" t="s">
        <v>0</v>
      </c>
      <c r="AL357" s="32" t="s">
        <v>0</v>
      </c>
      <c r="AM357" s="9" t="s">
        <v>0</v>
      </c>
      <c r="AN357" s="32" t="s">
        <v>0</v>
      </c>
      <c r="AO357" s="9" t="s">
        <v>0</v>
      </c>
      <c r="AP357" s="9" t="s">
        <v>0</v>
      </c>
      <c r="AQ357" s="32" t="s">
        <v>0</v>
      </c>
      <c r="AR357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57" s="9" t="str">
        <f t="shared" si="9"/>
        <v>-</v>
      </c>
      <c r="AT357" s="9" t="str">
        <f>IF(RIGHT(TIM[[#This Row],[Device type]],7)="Winding","-",TIM[[#This Row],[Cont Winter MVA]])</f>
        <v>-</v>
      </c>
      <c r="AU357" s="9" t="str">
        <f>IF(RIGHT(TIM[[#This Row],[Device type]],7)="Winding","-",TIM[[#This Row],[Cont Shoulder MVA]])</f>
        <v>-</v>
      </c>
      <c r="AV357" s="9" t="str">
        <f>IF(RIGHT(TIM[[#This Row],[Device type]],7)="Winding","-",TIM[[#This Row],[Cont Summer MVA]])</f>
        <v>-</v>
      </c>
      <c r="AW357" s="9" t="str">
        <f>TIM[[#This Row],[24 Hr Winter MVA]]</f>
        <v>-</v>
      </c>
      <c r="AX357" s="9" t="str">
        <f>TIM[[#This Row],[24 Hr Summer MVA]]</f>
        <v>-</v>
      </c>
      <c r="AY357" s="9" t="str">
        <f>TIM[[#This Row],[Forwards MVA]]</f>
        <v>-</v>
      </c>
      <c r="AZ357" s="9" t="str">
        <f>TIM[[#This Row],[Relay MVA]]</f>
        <v>-</v>
      </c>
      <c r="BA357" s="9" t="str">
        <f>TIM[[#This Row],[CT MVA]]</f>
        <v>-</v>
      </c>
      <c r="BB357" s="9" t="str">
        <f>TIM[[#This Row],[Derating MVA]]</f>
        <v>-</v>
      </c>
      <c r="BC357" s="9" t="str">
        <f>TIM[[#This Row],[Station/Feeder]]&amp;TIM[[#This Row],[Lowest MVA]]</f>
        <v>PAR</v>
      </c>
      <c r="BD357" s="9" t="str">
        <f>CONCATENATE(TIM[[#This Row],[Supply Level]],TIM[[#This Row],[Station/Feeder]],TIM[[#This Row],[Voltage]],TIM[[#This Row],[Lowest A-No PTX]])</f>
        <v>ZoneSubstationPAR11.22</v>
      </c>
      <c r="BE357" s="9" t="str">
        <f>CONCATENATE(TIM[[#This Row],[Supply Level]],TIM[[#This Row],[Station/Feeder]],TIM[[#This Row],[Voltage]],TIM[[#This Row],[Lowest A-PTX]])</f>
        <v>ZoneSubstationPAR11.22771.858648649232</v>
      </c>
      <c r="BF357" s="9" t="str">
        <f>IFERROR(IF(MIN(TIM[[#This Row],[Summ Cont Winter A]:[Cable Derating]])=0,"",MIN(TIM[[#This Row],[Summ Cont Winter A]:[Cable Derating]])),"")</f>
        <v/>
      </c>
      <c r="BG357" s="9" t="str">
        <f>IFERROR(TIM[[#This Row],[Lowest MVA]]*1000/(TIM[[#This Row],[Voltage]]*SQRT(3)),"")</f>
        <v/>
      </c>
      <c r="BH357" s="9">
        <f t="shared" si="435"/>
        <v>771.85864864923235</v>
      </c>
      <c r="BI357" s="9" t="str">
        <f>TIM[[#This Row],[From]]</f>
        <v>33 kV Bus</v>
      </c>
      <c r="BJ357" s="9" t="str">
        <f>TIM[[#This Row],[To]]</f>
        <v>11 kV Bus</v>
      </c>
      <c r="BK35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Transformer-B712/T1-LV Winding</v>
      </c>
      <c r="BL357" s="9">
        <f>TIM[[#This Row],[Voltage]]</f>
        <v>11.22</v>
      </c>
    </row>
    <row r="358" spans="1:64" ht="15" hidden="1" customHeight="1" x14ac:dyDescent="0.3">
      <c r="A358" s="6" t="str">
        <f>CONCATENATE(TIM[[#This Row],[Supply Level]],TIM[[#This Row],[Station/Feeder]],TIM[[#This Row],[Voltage]],"T1")</f>
        <v>ZoneSubstationPAR11.22T1</v>
      </c>
      <c r="B358" s="6" t="str">
        <f>CONCATENATE(TIM[[#This Row],[Supply Level]],TIM[[#This Row],[Station/Feeder]],TIM[[#This Row],[Equipment ID]],TIM[[#This Row],[Voltage]],TIM[[#This Row],[Device type]])</f>
        <v>ZoneSubstationPARPAR-CB3511.22-</v>
      </c>
      <c r="C358" s="6" t="s">
        <v>1246</v>
      </c>
      <c r="D358" s="11" t="s">
        <v>202</v>
      </c>
      <c r="E358" s="6" t="s">
        <v>63</v>
      </c>
      <c r="F358" s="6" t="s">
        <v>243</v>
      </c>
      <c r="G358" s="27">
        <v>4</v>
      </c>
      <c r="H358" s="7" t="s">
        <v>2378</v>
      </c>
      <c r="I358" s="7" t="s">
        <v>2291</v>
      </c>
      <c r="J358" s="7" t="s">
        <v>15</v>
      </c>
      <c r="K358" s="7" t="s">
        <v>0</v>
      </c>
      <c r="L358" s="7" t="s">
        <v>0</v>
      </c>
      <c r="M358" s="8">
        <v>11.22</v>
      </c>
      <c r="N358" s="9">
        <v>1250</v>
      </c>
      <c r="O358" s="9">
        <f t="shared" si="0"/>
        <v>24.292012576153503</v>
      </c>
      <c r="P358" s="9">
        <v>1250</v>
      </c>
      <c r="Q358" s="9">
        <f t="shared" si="1"/>
        <v>24.292012576153503</v>
      </c>
      <c r="R358" s="9">
        <v>1250</v>
      </c>
      <c r="S358" s="9">
        <f t="shared" si="2"/>
        <v>24.292012576153503</v>
      </c>
      <c r="T358" s="9" t="s">
        <v>0</v>
      </c>
      <c r="U358" s="9" t="str">
        <f t="shared" si="3"/>
        <v>-</v>
      </c>
      <c r="V358" s="9" t="s">
        <v>0</v>
      </c>
      <c r="W358" s="9" t="str">
        <f t="shared" si="4"/>
        <v>-</v>
      </c>
      <c r="X358" s="9">
        <f>VLOOKUP(TIM[[#This Row],[Equipment ID]],AEL_Protection_Data[#All],12,0)</f>
        <v>950</v>
      </c>
      <c r="Y358" s="9">
        <f t="shared" si="5"/>
        <v>18.461929557876662</v>
      </c>
      <c r="Z358" s="9" t="s">
        <v>0</v>
      </c>
      <c r="AA358" s="9" t="str">
        <f t="shared" si="6"/>
        <v>-</v>
      </c>
      <c r="AB358" s="9" t="s">
        <v>0</v>
      </c>
      <c r="AC358" s="9" t="str">
        <f t="shared" si="7"/>
        <v>-</v>
      </c>
      <c r="AD358" s="9" t="s">
        <v>0</v>
      </c>
      <c r="AE358" s="12" t="str">
        <f t="shared" si="8"/>
        <v>-</v>
      </c>
      <c r="AF358" s="9" t="s">
        <v>0</v>
      </c>
      <c r="AG358" s="9" t="s">
        <v>0</v>
      </c>
      <c r="AH358" s="9" t="s">
        <v>0</v>
      </c>
      <c r="AI358" s="9" t="s">
        <v>0</v>
      </c>
      <c r="AJ358" s="32" t="s">
        <v>0</v>
      </c>
      <c r="AK358" s="9" t="s">
        <v>0</v>
      </c>
      <c r="AL358" s="32" t="s">
        <v>0</v>
      </c>
      <c r="AM358" s="9" t="s">
        <v>0</v>
      </c>
      <c r="AN358" s="32" t="s">
        <v>0</v>
      </c>
      <c r="AO358" s="9" t="s">
        <v>0</v>
      </c>
      <c r="AP358" s="9" t="s">
        <v>0</v>
      </c>
      <c r="AQ358" s="32" t="s">
        <v>0</v>
      </c>
      <c r="AR358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58" s="9" t="str">
        <f t="shared" si="9"/>
        <v>-</v>
      </c>
      <c r="AT358" s="9">
        <f>IF(RIGHT(TIM[[#This Row],[Device type]],7)="Winding","-",TIM[[#This Row],[Cont Winter MVA]])</f>
        <v>24.292012576153503</v>
      </c>
      <c r="AU358" s="9">
        <f>IF(RIGHT(TIM[[#This Row],[Device type]],7)="Winding","-",TIM[[#This Row],[Cont Shoulder MVA]])</f>
        <v>24.292012576153503</v>
      </c>
      <c r="AV358" s="9">
        <f>IF(RIGHT(TIM[[#This Row],[Device type]],7)="Winding","-",TIM[[#This Row],[Cont Summer MVA]])</f>
        <v>24.292012576153503</v>
      </c>
      <c r="AW358" s="9" t="str">
        <f>TIM[[#This Row],[24 Hr Winter MVA]]</f>
        <v>-</v>
      </c>
      <c r="AX358" s="9" t="str">
        <f>TIM[[#This Row],[24 Hr Summer MVA]]</f>
        <v>-</v>
      </c>
      <c r="AY358" s="9">
        <f>TIM[[#This Row],[Forwards MVA]]</f>
        <v>18.461929557876662</v>
      </c>
      <c r="AZ358" s="9" t="str">
        <f>TIM[[#This Row],[Relay MVA]]</f>
        <v>-</v>
      </c>
      <c r="BA358" s="9" t="str">
        <f>TIM[[#This Row],[CT MVA]]</f>
        <v>-</v>
      </c>
      <c r="BB358" s="9" t="str">
        <f>TIM[[#This Row],[Derating MVA]]</f>
        <v>-</v>
      </c>
      <c r="BC358" s="9" t="str">
        <f>TIM[[#This Row],[Station/Feeder]]&amp;TIM[[#This Row],[Lowest MVA]]</f>
        <v>PAR18.4619295578767</v>
      </c>
      <c r="BD358" s="9" t="str">
        <f>CONCATENATE(TIM[[#This Row],[Supply Level]],TIM[[#This Row],[Station/Feeder]],TIM[[#This Row],[Voltage]],TIM[[#This Row],[Lowest A-No PTX]])</f>
        <v>ZoneSubstationPAR11.22950</v>
      </c>
      <c r="BE358" s="9" t="str">
        <f>CONCATENATE(TIM[[#This Row],[Supply Level]],TIM[[#This Row],[Station/Feeder]],TIM[[#This Row],[Voltage]],TIM[[#This Row],[Lowest A-PTX]])</f>
        <v>ZoneSubstationPAR11.22950</v>
      </c>
      <c r="BF358" s="9">
        <f>IFERROR(IF(MIN(TIM[[#This Row],[Summ Cont Winter A]:[Cable Derating]])=0,"",MIN(TIM[[#This Row],[Summ Cont Winter A]:[Cable Derating]])),"")</f>
        <v>18.461929557876662</v>
      </c>
      <c r="BG358" s="9">
        <f>IFERROR(TIM[[#This Row],[Lowest MVA]]*1000/(TIM[[#This Row],[Voltage]]*SQRT(3)),"")</f>
        <v>950</v>
      </c>
      <c r="BH358" s="9">
        <f t="shared" si="435"/>
        <v>950</v>
      </c>
      <c r="BI358" s="9" t="str">
        <f>TIM[[#This Row],[From]]</f>
        <v>33 kV Bus</v>
      </c>
      <c r="BJ358" s="9" t="str">
        <f>TIM[[#This Row],[To]]</f>
        <v>11 kV Bus</v>
      </c>
      <c r="BK35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Breaker-PAR-CB35</v>
      </c>
      <c r="BL358" s="9">
        <f>TIM[[#This Row],[Voltage]]</f>
        <v>11.22</v>
      </c>
    </row>
    <row r="359" spans="1:64" ht="15.75" hidden="1" thickBot="1" x14ac:dyDescent="0.3">
      <c r="A359" s="6" t="str">
        <f>CONCATENATE(TIM[[#This Row],[Supply Level]],TIM[[#This Row],[Station/Feeder]],TIM[[#This Row],[Voltage]],"T1")</f>
        <v>ZoneSubstationPAR11.22T1</v>
      </c>
      <c r="B359" s="6" t="str">
        <f>CONCATENATE(TIM[[#This Row],[Supply Level]],TIM[[#This Row],[Station/Feeder]],TIM[[#This Row],[Equipment ID]],TIM[[#This Row],[Voltage]],TIM[[#This Row],[Device type]])</f>
        <v>ZoneSubstationPAR2 x 3/1c 400mm² AL XLPE HDPE Screened11.22-</v>
      </c>
      <c r="C359" s="6" t="s">
        <v>1246</v>
      </c>
      <c r="D359" s="11" t="s">
        <v>202</v>
      </c>
      <c r="E359" s="6" t="s">
        <v>63</v>
      </c>
      <c r="F359" s="6" t="s">
        <v>243</v>
      </c>
      <c r="G359" s="27">
        <v>5</v>
      </c>
      <c r="H359" s="7" t="s">
        <v>1059</v>
      </c>
      <c r="I359" s="7" t="s">
        <v>1060</v>
      </c>
      <c r="J359" s="7" t="s">
        <v>250</v>
      </c>
      <c r="K359" s="7" t="s">
        <v>0</v>
      </c>
      <c r="L359" s="7" t="s">
        <v>0</v>
      </c>
      <c r="M359" s="8">
        <v>11.22</v>
      </c>
      <c r="N359" s="9">
        <v>1074</v>
      </c>
      <c r="O359" s="9">
        <f>IF(OR(N359="",N359="-"),"-",N359*$M359*SQRT(3)/1000)</f>
        <v>20.87169720543109</v>
      </c>
      <c r="P359" s="9">
        <v>1074</v>
      </c>
      <c r="Q359" s="9">
        <f>IF(OR(P359="",P359="-"),"-",P359*$M359*SQRT(3)/1000)</f>
        <v>20.87169720543109</v>
      </c>
      <c r="R359" s="9">
        <v>1074</v>
      </c>
      <c r="S359" s="9">
        <f>IF(OR(R359="",R359="-"),"-",R359*$M359*SQRT(3)/1000)</f>
        <v>20.87169720543109</v>
      </c>
      <c r="T359" s="9" t="s">
        <v>0</v>
      </c>
      <c r="U359" s="9" t="str">
        <f>IF(OR(T359="",T359="-"),"-",T359*$M359*SQRT(3)/1000)</f>
        <v>-</v>
      </c>
      <c r="V359" s="9" t="s">
        <v>0</v>
      </c>
      <c r="W359" s="9" t="str">
        <f>IF(OR(V359="",V359="-"),"-",V359*$M359*SQRT(3)/1000)</f>
        <v>-</v>
      </c>
      <c r="X359" s="9" t="s">
        <v>0</v>
      </c>
      <c r="Y359" s="9" t="str">
        <f>IF(OR(X359="",X359="-"),"-",X359*$M359*SQRT(3)/1000)</f>
        <v>-</v>
      </c>
      <c r="Z359" s="9" t="s">
        <v>0</v>
      </c>
      <c r="AA359" s="9" t="str">
        <f>IF(OR(Z359="",Z359="-"),"-",Z359*$M359*SQRT(3)/1000)</f>
        <v>-</v>
      </c>
      <c r="AB359" s="9" t="s">
        <v>0</v>
      </c>
      <c r="AC359" s="9" t="str">
        <f>IF(OR(AB359="",AB359="-"),"-",AB359*$M359*SQRT(3)/1000)</f>
        <v>-</v>
      </c>
      <c r="AD359" s="9" t="s">
        <v>0</v>
      </c>
      <c r="AE359" s="12" t="str">
        <f>IF(OR(AD359="",AD359="-"),"-",AD359*$M359*SQRT(3)/1000)</f>
        <v>-</v>
      </c>
      <c r="AF359" s="9" t="s">
        <v>1061</v>
      </c>
      <c r="AG359" s="9" t="s">
        <v>265</v>
      </c>
      <c r="AH359" s="9">
        <v>28.3</v>
      </c>
      <c r="AI359" s="9">
        <v>1.05</v>
      </c>
      <c r="AJ359" s="32">
        <v>0.97</v>
      </c>
      <c r="AK359" s="9">
        <v>15</v>
      </c>
      <c r="AL359" s="32">
        <v>1</v>
      </c>
      <c r="AM359" s="9">
        <v>1.2</v>
      </c>
      <c r="AN359" s="32">
        <v>1</v>
      </c>
      <c r="AO359" s="9">
        <v>2</v>
      </c>
      <c r="AP359" s="9">
        <v>0.2</v>
      </c>
      <c r="AQ359" s="32">
        <v>0.83</v>
      </c>
      <c r="AR359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864.67739999999992</v>
      </c>
      <c r="AS359" s="9">
        <f>IF(OR(AR359="",AR359="-"),"-",AR359*$M359*SQRT(3)/1000)</f>
        <v>16.803803420092567</v>
      </c>
      <c r="AT359" s="9">
        <f>IF(RIGHT(TIM[[#This Row],[Device type]],7)="Winding","-",TIM[[#This Row],[Cont Winter MVA]])</f>
        <v>20.87169720543109</v>
      </c>
      <c r="AU359" s="9">
        <f>IF(RIGHT(TIM[[#This Row],[Device type]],7)="Winding","-",TIM[[#This Row],[Cont Shoulder MVA]])</f>
        <v>20.87169720543109</v>
      </c>
      <c r="AV359" s="9">
        <f>IF(RIGHT(TIM[[#This Row],[Device type]],7)="Winding","-",TIM[[#This Row],[Cont Summer MVA]])</f>
        <v>20.87169720543109</v>
      </c>
      <c r="AW359" s="9" t="str">
        <f>TIM[[#This Row],[24 Hr Winter MVA]]</f>
        <v>-</v>
      </c>
      <c r="AX359" s="9" t="str">
        <f>TIM[[#This Row],[24 Hr Summer MVA]]</f>
        <v>-</v>
      </c>
      <c r="AY359" s="9" t="str">
        <f>TIM[[#This Row],[Forwards MVA]]</f>
        <v>-</v>
      </c>
      <c r="AZ359" s="9" t="str">
        <f>TIM[[#This Row],[Relay MVA]]</f>
        <v>-</v>
      </c>
      <c r="BA359" s="9" t="str">
        <f>TIM[[#This Row],[CT MVA]]</f>
        <v>-</v>
      </c>
      <c r="BB359" s="9">
        <f>TIM[[#This Row],[Derating MVA]]</f>
        <v>16.803803420092567</v>
      </c>
      <c r="BC359" s="9" t="str">
        <f>TIM[[#This Row],[Station/Feeder]]&amp;TIM[[#This Row],[Lowest MVA]]</f>
        <v>PAR16.8038034200926</v>
      </c>
      <c r="BD359" s="9" t="str">
        <f>CONCATENATE(TIM[[#This Row],[Supply Level]],TIM[[#This Row],[Station/Feeder]],TIM[[#This Row],[Voltage]],TIM[[#This Row],[Lowest A-No PTX]])</f>
        <v>ZoneSubstationPAR11.22864.6774</v>
      </c>
      <c r="BE359" s="9" t="str">
        <f>CONCATENATE(TIM[[#This Row],[Supply Level]],TIM[[#This Row],[Station/Feeder]],TIM[[#This Row],[Voltage]],TIM[[#This Row],[Lowest A-PTX]])</f>
        <v>ZoneSubstationPAR11.22864.6774</v>
      </c>
      <c r="BF359" s="9">
        <f>IFERROR(IF(MIN(TIM[[#This Row],[Summ Cont Winter A]:[Cable Derating]])=0,"",MIN(TIM[[#This Row],[Summ Cont Winter A]:[Cable Derating]])),"")</f>
        <v>16.803803420092567</v>
      </c>
      <c r="BG359" s="9">
        <f>IFERROR(TIM[[#This Row],[Lowest MVA]]*1000/(TIM[[#This Row],[Voltage]]*SQRT(3)),"")</f>
        <v>864.67739999999992</v>
      </c>
      <c r="BH359" s="9">
        <f t="shared" si="435"/>
        <v>864.67739999999992</v>
      </c>
      <c r="BI359" s="9" t="str">
        <f>TIM[[#This Row],[From]]</f>
        <v>33 kV Bus</v>
      </c>
      <c r="BJ359" s="9" t="str">
        <f>TIM[[#This Row],[To]]</f>
        <v>11 kV Bus</v>
      </c>
      <c r="BK35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Cable-2 x 3/1c 400mm² AL XLPE HDPE Screened</v>
      </c>
      <c r="BL359" s="9">
        <f>TIM[[#This Row],[Voltage]]</f>
        <v>11.22</v>
      </c>
    </row>
    <row r="360" spans="1:64" ht="15.75" hidden="1" thickBot="1" x14ac:dyDescent="0.3">
      <c r="A360" s="6" t="str">
        <f>CONCATENATE(TIM[[#This Row],[Supply Level]],TIM[[#This Row],[Station/Feeder]],TIM[[#This Row],[Voltage]],"T1")</f>
        <v>ZoneSubstationPAR33T1</v>
      </c>
      <c r="B360" s="6" t="str">
        <f>CONCATENATE(TIM[[#This Row],[Supply Level]],TIM[[#This Row],[Station/Feeder]],TIM[[#This Row],[Equipment ID]],TIM[[#This Row],[Voltage]],TIM[[#This Row],[Device type]])</f>
        <v>ZoneSubstationPAR3/1c 400mm² AL XLPE HDPE Screened33-</v>
      </c>
      <c r="C360" s="6" t="s">
        <v>1246</v>
      </c>
      <c r="D360" s="11" t="s">
        <v>202</v>
      </c>
      <c r="E360" s="6" t="s">
        <v>63</v>
      </c>
      <c r="F360" s="6" t="s">
        <v>63</v>
      </c>
      <c r="G360" s="27">
        <v>6</v>
      </c>
      <c r="H360" s="7" t="s">
        <v>1059</v>
      </c>
      <c r="I360" s="7" t="s">
        <v>819</v>
      </c>
      <c r="J360" s="7" t="s">
        <v>250</v>
      </c>
      <c r="K360" s="7" t="s">
        <v>0</v>
      </c>
      <c r="L360" s="7" t="s">
        <v>0</v>
      </c>
      <c r="M360" s="8">
        <v>33</v>
      </c>
      <c r="N360" s="9">
        <v>507</v>
      </c>
      <c r="O360" s="9">
        <f t="shared" si="0"/>
        <v>28.978942061434886</v>
      </c>
      <c r="P360" s="9">
        <v>507</v>
      </c>
      <c r="Q360" s="9">
        <f t="shared" si="1"/>
        <v>28.978942061434886</v>
      </c>
      <c r="R360" s="9">
        <v>507</v>
      </c>
      <c r="S360" s="9">
        <f t="shared" si="2"/>
        <v>28.978942061434886</v>
      </c>
      <c r="T360" s="9" t="s">
        <v>0</v>
      </c>
      <c r="U360" s="9" t="str">
        <f t="shared" si="3"/>
        <v>-</v>
      </c>
      <c r="V360" s="9" t="s">
        <v>0</v>
      </c>
      <c r="W360" s="9" t="str">
        <f t="shared" si="4"/>
        <v>-</v>
      </c>
      <c r="X360" s="9" t="s">
        <v>0</v>
      </c>
      <c r="Y360" s="9" t="str">
        <f t="shared" si="5"/>
        <v>-</v>
      </c>
      <c r="Z360" s="9" t="s">
        <v>0</v>
      </c>
      <c r="AA360" s="9" t="str">
        <f t="shared" si="6"/>
        <v>-</v>
      </c>
      <c r="AB360" s="9" t="s">
        <v>0</v>
      </c>
      <c r="AC360" s="9" t="str">
        <f t="shared" si="7"/>
        <v>-</v>
      </c>
      <c r="AD360" s="9" t="s">
        <v>0</v>
      </c>
      <c r="AE360" s="12" t="str">
        <f t="shared" si="8"/>
        <v>-</v>
      </c>
      <c r="AF360" s="9" t="s">
        <v>713</v>
      </c>
      <c r="AG360" s="9" t="s">
        <v>265</v>
      </c>
      <c r="AH360" s="9">
        <v>16</v>
      </c>
      <c r="AI360" s="9">
        <v>1.1000000000000001</v>
      </c>
      <c r="AJ360" s="32">
        <v>0.97</v>
      </c>
      <c r="AK360" s="9">
        <v>15</v>
      </c>
      <c r="AL360" s="32">
        <v>1</v>
      </c>
      <c r="AM360" s="9">
        <v>1.2</v>
      </c>
      <c r="AN360" s="32">
        <v>1</v>
      </c>
      <c r="AO360" s="9">
        <v>1</v>
      </c>
      <c r="AP360" s="9">
        <v>0</v>
      </c>
      <c r="AQ360" s="32">
        <v>1</v>
      </c>
      <c r="AR360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491.78999999999996</v>
      </c>
      <c r="AS360" s="9">
        <f t="shared" si="9"/>
        <v>28.109573799591839</v>
      </c>
      <c r="AT360" s="9">
        <f>IF(RIGHT(TIM[[#This Row],[Device type]],7)="Winding","-",TIM[[#This Row],[Cont Winter MVA]])</f>
        <v>28.978942061434886</v>
      </c>
      <c r="AU360" s="9">
        <f>IF(RIGHT(TIM[[#This Row],[Device type]],7)="Winding","-",TIM[[#This Row],[Cont Shoulder MVA]])</f>
        <v>28.978942061434886</v>
      </c>
      <c r="AV360" s="9">
        <f>IF(RIGHT(TIM[[#This Row],[Device type]],7)="Winding","-",TIM[[#This Row],[Cont Summer MVA]])</f>
        <v>28.978942061434886</v>
      </c>
      <c r="AW360" s="9" t="str">
        <f>TIM[[#This Row],[24 Hr Winter MVA]]</f>
        <v>-</v>
      </c>
      <c r="AX360" s="9" t="str">
        <f>TIM[[#This Row],[24 Hr Summer MVA]]</f>
        <v>-</v>
      </c>
      <c r="AY360" s="9" t="str">
        <f>TIM[[#This Row],[Forwards MVA]]</f>
        <v>-</v>
      </c>
      <c r="AZ360" s="9" t="str">
        <f>TIM[[#This Row],[Relay MVA]]</f>
        <v>-</v>
      </c>
      <c r="BA360" s="9" t="str">
        <f>TIM[[#This Row],[CT MVA]]</f>
        <v>-</v>
      </c>
      <c r="BB360" s="9">
        <f>TIM[[#This Row],[Derating MVA]]</f>
        <v>28.109573799591839</v>
      </c>
      <c r="BC360" s="9" t="str">
        <f>TIM[[#This Row],[Station/Feeder]]&amp;TIM[[#This Row],[Lowest MVA]]</f>
        <v>PAR28.1095737995918</v>
      </c>
      <c r="BD360" s="9" t="str">
        <f>CONCATENATE(TIM[[#This Row],[Supply Level]],TIM[[#This Row],[Station/Feeder]],TIM[[#This Row],[Voltage]],TIM[[#This Row],[Lowest A-No PTX]])</f>
        <v>ZoneSubstationPAR33491.79</v>
      </c>
      <c r="BE360" s="9" t="str">
        <f>CONCATENATE(TIM[[#This Row],[Supply Level]],TIM[[#This Row],[Station/Feeder]],TIM[[#This Row],[Voltage]],TIM[[#This Row],[Lowest A-PTX]])</f>
        <v>ZoneSubstationPAR33491.79</v>
      </c>
      <c r="BF360" s="9">
        <f>IFERROR(IF(MIN(TIM[[#This Row],[Summ Cont Winter A]:[Cable Derating]])=0,"",MIN(TIM[[#This Row],[Summ Cont Winter A]:[Cable Derating]])),"")</f>
        <v>28.109573799591839</v>
      </c>
      <c r="BG360" s="9">
        <f>IFERROR(TIM[[#This Row],[Lowest MVA]]*1000/(TIM[[#This Row],[Voltage]]*SQRT(3)),"")</f>
        <v>491.79</v>
      </c>
      <c r="BH360" s="9">
        <f t="shared" si="435"/>
        <v>491.78999999999996</v>
      </c>
      <c r="BI360" s="9" t="str">
        <f>TIM[[#This Row],[From]]</f>
        <v>33 kV Bus</v>
      </c>
      <c r="BJ360" s="9" t="str">
        <f>TIM[[#This Row],[To]]</f>
        <v>33 kV Bus</v>
      </c>
      <c r="BK36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360" s="9">
        <f>TIM[[#This Row],[Voltage]]</f>
        <v>33</v>
      </c>
    </row>
    <row r="361" spans="1:64" ht="15" hidden="1" customHeight="1" x14ac:dyDescent="0.3">
      <c r="A361" s="6" t="str">
        <f>CONCATENATE(TIM[[#This Row],[Supply Level]],TIM[[#This Row],[Station/Feeder]],TIM[[#This Row],[Voltage]],"T2")</f>
        <v>ZoneSubstationPAR33T2</v>
      </c>
      <c r="B361" s="6" t="str">
        <f>CONCATENATE(TIM[[#This Row],[Supply Level]],TIM[[#This Row],[Station/Feeder]],TIM[[#This Row],[Equipment ID]],TIM[[#This Row],[Voltage]],TIM[[#This Row],[Device type]])</f>
        <v>ZoneSubstationPARPAR-CB237233-</v>
      </c>
      <c r="C361" s="6" t="s">
        <v>1246</v>
      </c>
      <c r="D361" s="11" t="s">
        <v>202</v>
      </c>
      <c r="E361" s="6" t="s">
        <v>63</v>
      </c>
      <c r="F361" s="6" t="s">
        <v>243</v>
      </c>
      <c r="G361" s="27">
        <v>1</v>
      </c>
      <c r="H361" s="7" t="s">
        <v>707</v>
      </c>
      <c r="I361" s="7" t="s">
        <v>2292</v>
      </c>
      <c r="J361" s="7" t="s">
        <v>15</v>
      </c>
      <c r="K361" s="7" t="s">
        <v>0</v>
      </c>
      <c r="L361" s="7" t="s">
        <v>0</v>
      </c>
      <c r="M361" s="8">
        <v>33</v>
      </c>
      <c r="N361" s="9" t="s">
        <v>0</v>
      </c>
      <c r="O361" s="9" t="str">
        <f t="shared" si="0"/>
        <v>-</v>
      </c>
      <c r="P361" s="9" t="s">
        <v>0</v>
      </c>
      <c r="Q361" s="9" t="str">
        <f t="shared" si="1"/>
        <v>-</v>
      </c>
      <c r="R361" s="9" t="s">
        <v>0</v>
      </c>
      <c r="S361" s="9" t="str">
        <f t="shared" si="2"/>
        <v>-</v>
      </c>
      <c r="T361" s="9" t="s">
        <v>0</v>
      </c>
      <c r="U361" s="9" t="str">
        <f t="shared" si="3"/>
        <v>-</v>
      </c>
      <c r="V361" s="9" t="s">
        <v>0</v>
      </c>
      <c r="W361" s="9" t="str">
        <f t="shared" si="4"/>
        <v>-</v>
      </c>
      <c r="X361" s="9">
        <f>VLOOKUP(TIM[[#This Row],[Equipment ID]],AEL_Protection_Data[#All],12,0)</f>
        <v>320</v>
      </c>
      <c r="Y361" s="9">
        <f t="shared" si="5"/>
        <v>18.290456527927343</v>
      </c>
      <c r="Z361" s="9" t="s">
        <v>0</v>
      </c>
      <c r="AA361" s="9" t="str">
        <f t="shared" si="6"/>
        <v>-</v>
      </c>
      <c r="AB361" s="9" t="s">
        <v>0</v>
      </c>
      <c r="AC361" s="9" t="str">
        <f t="shared" si="7"/>
        <v>-</v>
      </c>
      <c r="AD361" s="9">
        <v>400</v>
      </c>
      <c r="AE361" s="12">
        <f t="shared" si="8"/>
        <v>22.86307065990918</v>
      </c>
      <c r="AF361" s="9" t="s">
        <v>0</v>
      </c>
      <c r="AG361" s="9" t="s">
        <v>0</v>
      </c>
      <c r="AH361" s="9" t="s">
        <v>0</v>
      </c>
      <c r="AI361" s="9" t="s">
        <v>0</v>
      </c>
      <c r="AJ361" s="32" t="s">
        <v>0</v>
      </c>
      <c r="AK361" s="9" t="s">
        <v>0</v>
      </c>
      <c r="AL361" s="32" t="s">
        <v>0</v>
      </c>
      <c r="AM361" s="9" t="s">
        <v>0</v>
      </c>
      <c r="AN361" s="32" t="s">
        <v>0</v>
      </c>
      <c r="AO361" s="9" t="s">
        <v>0</v>
      </c>
      <c r="AP361" s="9" t="s">
        <v>0</v>
      </c>
      <c r="AQ361" s="32" t="s">
        <v>0</v>
      </c>
      <c r="AR36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61" s="9" t="str">
        <f t="shared" si="9"/>
        <v>-</v>
      </c>
      <c r="AT361" s="9" t="str">
        <f>IF(RIGHT(TIM[[#This Row],[Device type]],7)="Winding","-",TIM[[#This Row],[Cont Winter MVA]])</f>
        <v>-</v>
      </c>
      <c r="AU361" s="9" t="str">
        <f>IF(RIGHT(TIM[[#This Row],[Device type]],7)="Winding","-",TIM[[#This Row],[Cont Shoulder MVA]])</f>
        <v>-</v>
      </c>
      <c r="AV361" s="9" t="str">
        <f>IF(RIGHT(TIM[[#This Row],[Device type]],7)="Winding","-",TIM[[#This Row],[Cont Summer MVA]])</f>
        <v>-</v>
      </c>
      <c r="AW361" s="9" t="str">
        <f>TIM[[#This Row],[24 Hr Winter MVA]]</f>
        <v>-</v>
      </c>
      <c r="AX361" s="9" t="str">
        <f>TIM[[#This Row],[24 Hr Summer MVA]]</f>
        <v>-</v>
      </c>
      <c r="AY361" s="9">
        <f>TIM[[#This Row],[Forwards MVA]]</f>
        <v>18.290456527927343</v>
      </c>
      <c r="AZ361" s="9" t="str">
        <f>TIM[[#This Row],[Relay MVA]]</f>
        <v>-</v>
      </c>
      <c r="BA361" s="9">
        <f>TIM[[#This Row],[CT MVA]]</f>
        <v>22.86307065990918</v>
      </c>
      <c r="BB361" s="9" t="str">
        <f>TIM[[#This Row],[Derating MVA]]</f>
        <v>-</v>
      </c>
      <c r="BC361" s="9" t="str">
        <f>TIM[[#This Row],[Station/Feeder]]&amp;TIM[[#This Row],[Lowest MVA]]</f>
        <v>PAR18.2904565279273</v>
      </c>
      <c r="BD361" s="9" t="str">
        <f>CONCATENATE(TIM[[#This Row],[Supply Level]],TIM[[#This Row],[Station/Feeder]],TIM[[#This Row],[Voltage]],TIM[[#This Row],[Lowest A-No PTX]])</f>
        <v>ZoneSubstationPAR33320</v>
      </c>
      <c r="BE361" s="9" t="str">
        <f>CONCATENATE(TIM[[#This Row],[Supply Level]],TIM[[#This Row],[Station/Feeder]],TIM[[#This Row],[Voltage]],TIM[[#This Row],[Lowest A-PTX]])</f>
        <v>ZoneSubstationPAR33320</v>
      </c>
      <c r="BF361" s="9">
        <f>IFERROR(IF(MIN(TIM[[#This Row],[Summ Cont Winter A]:[Cable Derating]])=0,"",MIN(TIM[[#This Row],[Summ Cont Winter A]:[Cable Derating]])),"")</f>
        <v>18.290456527927343</v>
      </c>
      <c r="BG361" s="9">
        <f>IFERROR(TIM[[#This Row],[Lowest MVA]]*1000/(TIM[[#This Row],[Voltage]]*SQRT(3)),"")</f>
        <v>320.00000000000006</v>
      </c>
      <c r="BH361" s="9">
        <f t="shared" si="435"/>
        <v>320</v>
      </c>
      <c r="BI361" s="9" t="str">
        <f>TIM[[#This Row],[From]]</f>
        <v>33 kV Bus</v>
      </c>
      <c r="BJ361" s="9" t="str">
        <f>TIM[[#This Row],[To]]</f>
        <v>11 kV Bus</v>
      </c>
      <c r="BK36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Breaker-PAR-CB2372</v>
      </c>
      <c r="BL361" s="9">
        <f>TIM[[#This Row],[Voltage]]</f>
        <v>33</v>
      </c>
    </row>
    <row r="362" spans="1:64" ht="15.75" hidden="1" customHeight="1" x14ac:dyDescent="0.3">
      <c r="A362" s="6" t="str">
        <f>CONCATENATE(TIM[[#This Row],[Supply Level]],TIM[[#This Row],[Station/Feeder]],TIM[[#This Row],[Voltage]],"T2")</f>
        <v>ZoneSubstationPAR33T2</v>
      </c>
      <c r="B362" s="6" t="str">
        <f>CONCATENATE(TIM[[#This Row],[Supply Level]],TIM[[#This Row],[Station/Feeder]],TIM[[#This Row],[Equipment ID]],TIM[[#This Row],[Voltage]],TIM[[#This Row],[Device type]])</f>
        <v>ZoneSubstationPAR3/1c 400mm² AL XLPE HDPE Screened33-</v>
      </c>
      <c r="C362" s="6" t="s">
        <v>1246</v>
      </c>
      <c r="D362" s="11" t="s">
        <v>202</v>
      </c>
      <c r="E362" s="6" t="s">
        <v>63</v>
      </c>
      <c r="F362" s="6" t="s">
        <v>243</v>
      </c>
      <c r="G362" s="27">
        <v>2</v>
      </c>
      <c r="H362" s="7" t="s">
        <v>1057</v>
      </c>
      <c r="I362" s="7" t="s">
        <v>819</v>
      </c>
      <c r="J362" s="7" t="s">
        <v>250</v>
      </c>
      <c r="K362" s="7" t="s">
        <v>0</v>
      </c>
      <c r="L362" s="7" t="s">
        <v>0</v>
      </c>
      <c r="M362" s="8">
        <v>33</v>
      </c>
      <c r="N362" s="9">
        <v>507</v>
      </c>
      <c r="O362" s="9">
        <f t="shared" si="0"/>
        <v>28.978942061434886</v>
      </c>
      <c r="P362" s="9">
        <v>507</v>
      </c>
      <c r="Q362" s="9">
        <f t="shared" si="1"/>
        <v>28.978942061434886</v>
      </c>
      <c r="R362" s="9">
        <v>507</v>
      </c>
      <c r="S362" s="9">
        <f t="shared" si="2"/>
        <v>28.978942061434886</v>
      </c>
      <c r="T362" s="9" t="s">
        <v>0</v>
      </c>
      <c r="U362" s="9" t="str">
        <f t="shared" si="3"/>
        <v>-</v>
      </c>
      <c r="V362" s="9" t="s">
        <v>0</v>
      </c>
      <c r="W362" s="9" t="str">
        <f t="shared" si="4"/>
        <v>-</v>
      </c>
      <c r="X362" s="9" t="s">
        <v>0</v>
      </c>
      <c r="Y362" s="9" t="str">
        <f t="shared" si="5"/>
        <v>-</v>
      </c>
      <c r="Z362" s="9" t="s">
        <v>0</v>
      </c>
      <c r="AA362" s="9" t="str">
        <f t="shared" si="6"/>
        <v>-</v>
      </c>
      <c r="AB362" s="9" t="s">
        <v>0</v>
      </c>
      <c r="AC362" s="9" t="str">
        <f t="shared" si="7"/>
        <v>-</v>
      </c>
      <c r="AD362" s="9" t="s">
        <v>0</v>
      </c>
      <c r="AE362" s="12" t="str">
        <f t="shared" si="8"/>
        <v>-</v>
      </c>
      <c r="AF362" s="9" t="s">
        <v>713</v>
      </c>
      <c r="AG362" s="9" t="s">
        <v>344</v>
      </c>
      <c r="AH362" s="9">
        <v>19.399999999999999</v>
      </c>
      <c r="AI362" s="9">
        <v>1.1000000000000001</v>
      </c>
      <c r="AJ362" s="32">
        <v>0.97</v>
      </c>
      <c r="AK362" s="9">
        <v>15</v>
      </c>
      <c r="AL362" s="32">
        <v>1</v>
      </c>
      <c r="AM362" s="9">
        <v>1.2</v>
      </c>
      <c r="AN362" s="32">
        <v>1</v>
      </c>
      <c r="AO362" s="9">
        <v>1</v>
      </c>
      <c r="AP362" s="9">
        <v>0</v>
      </c>
      <c r="AQ362" s="32">
        <v>1</v>
      </c>
      <c r="AR362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491.78999999999996</v>
      </c>
      <c r="AS362" s="9">
        <f t="shared" si="9"/>
        <v>28.109573799591839</v>
      </c>
      <c r="AT362" s="9">
        <f>IF(RIGHT(TIM[[#This Row],[Device type]],7)="Winding","-",TIM[[#This Row],[Cont Winter MVA]])</f>
        <v>28.978942061434886</v>
      </c>
      <c r="AU362" s="9">
        <f>IF(RIGHT(TIM[[#This Row],[Device type]],7)="Winding","-",TIM[[#This Row],[Cont Shoulder MVA]])</f>
        <v>28.978942061434886</v>
      </c>
      <c r="AV362" s="9">
        <f>IF(RIGHT(TIM[[#This Row],[Device type]],7)="Winding","-",TIM[[#This Row],[Cont Summer MVA]])</f>
        <v>28.978942061434886</v>
      </c>
      <c r="AW362" s="9" t="str">
        <f>TIM[[#This Row],[24 Hr Winter MVA]]</f>
        <v>-</v>
      </c>
      <c r="AX362" s="9" t="str">
        <f>TIM[[#This Row],[24 Hr Summer MVA]]</f>
        <v>-</v>
      </c>
      <c r="AY362" s="9" t="str">
        <f>TIM[[#This Row],[Forwards MVA]]</f>
        <v>-</v>
      </c>
      <c r="AZ362" s="9" t="str">
        <f>TIM[[#This Row],[Relay MVA]]</f>
        <v>-</v>
      </c>
      <c r="BA362" s="9" t="str">
        <f>TIM[[#This Row],[CT MVA]]</f>
        <v>-</v>
      </c>
      <c r="BB362" s="9">
        <f>TIM[[#This Row],[Derating MVA]]</f>
        <v>28.109573799591839</v>
      </c>
      <c r="BC362" s="9" t="str">
        <f>TIM[[#This Row],[Station/Feeder]]&amp;TIM[[#This Row],[Lowest MVA]]</f>
        <v>PAR28.1095737995918</v>
      </c>
      <c r="BD362" s="9" t="str">
        <f>CONCATENATE(TIM[[#This Row],[Supply Level]],TIM[[#This Row],[Station/Feeder]],TIM[[#This Row],[Voltage]],TIM[[#This Row],[Lowest A-No PTX]])</f>
        <v>ZoneSubstationPAR33491.79</v>
      </c>
      <c r="BE362" s="9" t="str">
        <f>CONCATENATE(TIM[[#This Row],[Supply Level]],TIM[[#This Row],[Station/Feeder]],TIM[[#This Row],[Voltage]],TIM[[#This Row],[Lowest A-PTX]])</f>
        <v>ZoneSubstationPAR33491.79</v>
      </c>
      <c r="BF362" s="9">
        <f>IFERROR(IF(MIN(TIM[[#This Row],[Summ Cont Winter A]:[Cable Derating]])=0,"",MIN(TIM[[#This Row],[Summ Cont Winter A]:[Cable Derating]])),"")</f>
        <v>28.109573799591839</v>
      </c>
      <c r="BG362" s="9">
        <f>IFERROR(TIM[[#This Row],[Lowest MVA]]*1000/(TIM[[#This Row],[Voltage]]*SQRT(3)),"")</f>
        <v>491.79</v>
      </c>
      <c r="BH362" s="9">
        <f t="shared" si="435"/>
        <v>491.78999999999996</v>
      </c>
      <c r="BI362" s="9" t="str">
        <f>TIM[[#This Row],[From]]</f>
        <v>33 kV Bus</v>
      </c>
      <c r="BJ362" s="9" t="str">
        <f>TIM[[#This Row],[To]]</f>
        <v>11 kV Bus</v>
      </c>
      <c r="BK36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362" s="9">
        <f>TIM[[#This Row],[Voltage]]</f>
        <v>33</v>
      </c>
    </row>
    <row r="363" spans="1:64" ht="15" hidden="1" customHeight="1" x14ac:dyDescent="0.3">
      <c r="A363" s="6" t="str">
        <f>CONCATENATE(TIM[[#This Row],[Supply Level]],TIM[[#This Row],[Station/Feeder]],TIM[[#This Row],[Voltage]],"T2")</f>
        <v>ZoneSubstationPAR33T2</v>
      </c>
      <c r="B363" s="6" t="str">
        <f>CONCATENATE(TIM[[#This Row],[Supply Level]],TIM[[#This Row],[Station/Feeder]],TIM[[#This Row],[Equipment ID]],TIM[[#This Row],[Voltage]],TIM[[#This Row],[Device type]])</f>
        <v>ZoneSubstationPARB712/T233HV Winding</v>
      </c>
      <c r="C363" s="6" t="s">
        <v>1246</v>
      </c>
      <c r="D363" s="11" t="s">
        <v>202</v>
      </c>
      <c r="E363" s="6" t="s">
        <v>63</v>
      </c>
      <c r="F363" s="6" t="s">
        <v>243</v>
      </c>
      <c r="G363" s="27">
        <v>3</v>
      </c>
      <c r="H363" s="7" t="s">
        <v>1059</v>
      </c>
      <c r="I363" s="7" t="s">
        <v>1062</v>
      </c>
      <c r="J363" s="7" t="s">
        <v>19</v>
      </c>
      <c r="K363" s="7" t="s">
        <v>0</v>
      </c>
      <c r="L363" s="7" t="s">
        <v>36</v>
      </c>
      <c r="M363" s="8">
        <v>33</v>
      </c>
      <c r="N363" s="9">
        <f>15000/(TIM[[#This Row],[Voltage]]*SQRT(3))</f>
        <v>262.43194054073899</v>
      </c>
      <c r="O363" s="9">
        <f t="shared" si="0"/>
        <v>14.999999999999998</v>
      </c>
      <c r="P363" s="9" t="s">
        <v>0</v>
      </c>
      <c r="Q363" s="9" t="str">
        <f t="shared" si="1"/>
        <v>-</v>
      </c>
      <c r="R363" s="9" t="s">
        <v>0</v>
      </c>
      <c r="S363" s="9" t="str">
        <f t="shared" si="2"/>
        <v>-</v>
      </c>
      <c r="T363" s="9" t="s">
        <v>0</v>
      </c>
      <c r="U363" s="9" t="str">
        <f t="shared" si="3"/>
        <v>-</v>
      </c>
      <c r="V363" s="9" t="s">
        <v>0</v>
      </c>
      <c r="W363" s="9" t="str">
        <f t="shared" si="4"/>
        <v>-</v>
      </c>
      <c r="X363" s="9" t="s">
        <v>0</v>
      </c>
      <c r="Y363" s="9" t="str">
        <f t="shared" si="5"/>
        <v>-</v>
      </c>
      <c r="Z363" s="9" t="s">
        <v>0</v>
      </c>
      <c r="AA363" s="9" t="str">
        <f t="shared" si="6"/>
        <v>-</v>
      </c>
      <c r="AB363" s="9" t="s">
        <v>0</v>
      </c>
      <c r="AC363" s="9" t="str">
        <f t="shared" si="7"/>
        <v>-</v>
      </c>
      <c r="AD363" s="9" t="s">
        <v>0</v>
      </c>
      <c r="AE363" s="12" t="str">
        <f t="shared" si="8"/>
        <v>-</v>
      </c>
      <c r="AF363" s="9" t="s">
        <v>0</v>
      </c>
      <c r="AG363" s="9" t="s">
        <v>0</v>
      </c>
      <c r="AH363" s="9" t="s">
        <v>0</v>
      </c>
      <c r="AI363" s="9" t="s">
        <v>0</v>
      </c>
      <c r="AJ363" s="32" t="s">
        <v>0</v>
      </c>
      <c r="AK363" s="9" t="s">
        <v>0</v>
      </c>
      <c r="AL363" s="32" t="s">
        <v>0</v>
      </c>
      <c r="AM363" s="9" t="s">
        <v>0</v>
      </c>
      <c r="AN363" s="32" t="s">
        <v>0</v>
      </c>
      <c r="AO363" s="9" t="s">
        <v>0</v>
      </c>
      <c r="AP363" s="9" t="s">
        <v>0</v>
      </c>
      <c r="AQ363" s="32" t="s">
        <v>0</v>
      </c>
      <c r="AR363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63" s="9" t="str">
        <f t="shared" si="9"/>
        <v>-</v>
      </c>
      <c r="AT363" s="9" t="str">
        <f>IF(RIGHT(TIM[[#This Row],[Device type]],7)="Winding","-",TIM[[#This Row],[Cont Winter MVA]])</f>
        <v>-</v>
      </c>
      <c r="AU363" s="9" t="str">
        <f>IF(RIGHT(TIM[[#This Row],[Device type]],7)="Winding","-",TIM[[#This Row],[Cont Shoulder MVA]])</f>
        <v>-</v>
      </c>
      <c r="AV363" s="9" t="str">
        <f>IF(RIGHT(TIM[[#This Row],[Device type]],7)="Winding","-",TIM[[#This Row],[Cont Summer MVA]])</f>
        <v>-</v>
      </c>
      <c r="AW363" s="9" t="str">
        <f>TIM[[#This Row],[24 Hr Winter MVA]]</f>
        <v>-</v>
      </c>
      <c r="AX363" s="9" t="str">
        <f>TIM[[#This Row],[24 Hr Summer MVA]]</f>
        <v>-</v>
      </c>
      <c r="AY363" s="9" t="str">
        <f>TIM[[#This Row],[Forwards MVA]]</f>
        <v>-</v>
      </c>
      <c r="AZ363" s="9" t="str">
        <f>TIM[[#This Row],[Relay MVA]]</f>
        <v>-</v>
      </c>
      <c r="BA363" s="9" t="str">
        <f>TIM[[#This Row],[CT MVA]]</f>
        <v>-</v>
      </c>
      <c r="BB363" s="9" t="str">
        <f>TIM[[#This Row],[Derating MVA]]</f>
        <v>-</v>
      </c>
      <c r="BC363" s="9" t="str">
        <f>TIM[[#This Row],[Station/Feeder]]&amp;TIM[[#This Row],[Lowest MVA]]</f>
        <v>PAR</v>
      </c>
      <c r="BD363" s="9" t="str">
        <f>CONCATENATE(TIM[[#This Row],[Supply Level]],TIM[[#This Row],[Station/Feeder]],TIM[[#This Row],[Voltage]],TIM[[#This Row],[Lowest A-No PTX]])</f>
        <v>ZoneSubstationPAR33</v>
      </c>
      <c r="BE363" s="9" t="str">
        <f>CONCATENATE(TIM[[#This Row],[Supply Level]],TIM[[#This Row],[Station/Feeder]],TIM[[#This Row],[Voltage]],TIM[[#This Row],[Lowest A-PTX]])</f>
        <v>ZoneSubstationPAR33262.431940540739</v>
      </c>
      <c r="BF363" s="9" t="str">
        <f>IFERROR(IF(MIN(TIM[[#This Row],[Summ Cont Winter A]:[Cable Derating]])=0,"",MIN(TIM[[#This Row],[Summ Cont Winter A]:[Cable Derating]])),"")</f>
        <v/>
      </c>
      <c r="BG363" s="9" t="str">
        <f>IFERROR(TIM[[#This Row],[Lowest MVA]]*1000/(TIM[[#This Row],[Voltage]]*SQRT(3)),"")</f>
        <v/>
      </c>
      <c r="BH363" s="9">
        <f t="shared" si="435"/>
        <v>262.43194054073899</v>
      </c>
      <c r="BI363" s="9" t="str">
        <f>TIM[[#This Row],[From]]</f>
        <v>33 kV Bus</v>
      </c>
      <c r="BJ363" s="9" t="str">
        <f>TIM[[#This Row],[To]]</f>
        <v>11 kV Bus</v>
      </c>
      <c r="BK36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Transformer-B712/T2-HV Winding</v>
      </c>
      <c r="BL363" s="9">
        <f>TIM[[#This Row],[Voltage]]</f>
        <v>33</v>
      </c>
    </row>
    <row r="364" spans="1:64" ht="15" hidden="1" customHeight="1" x14ac:dyDescent="0.3">
      <c r="A364" s="6" t="str">
        <f>CONCATENATE(TIM[[#This Row],[Supply Level]],TIM[[#This Row],[Station/Feeder]],TIM[[#This Row],[Voltage]],"T2")</f>
        <v>ZoneSubstationPAR11.22T2</v>
      </c>
      <c r="B364" s="6" t="str">
        <f>CONCATENATE(TIM[[#This Row],[Supply Level]],TIM[[#This Row],[Station/Feeder]],TIM[[#This Row],[Equipment ID]],TIM[[#This Row],[Voltage]],TIM[[#This Row],[Device type]])</f>
        <v>ZoneSubstationPARB712/T211.22LV Winding</v>
      </c>
      <c r="C364" s="6" t="s">
        <v>1246</v>
      </c>
      <c r="D364" s="11" t="s">
        <v>202</v>
      </c>
      <c r="E364" s="6" t="s">
        <v>63</v>
      </c>
      <c r="F364" s="6" t="s">
        <v>243</v>
      </c>
      <c r="G364" s="27">
        <v>4</v>
      </c>
      <c r="H364" s="7" t="s">
        <v>1059</v>
      </c>
      <c r="I364" s="7" t="s">
        <v>1062</v>
      </c>
      <c r="J364" s="7" t="s">
        <v>19</v>
      </c>
      <c r="K364" s="7" t="s">
        <v>0</v>
      </c>
      <c r="L364" s="7" t="s">
        <v>37</v>
      </c>
      <c r="M364" s="8">
        <f t="shared" ref="M364:M366" si="436">11*1.02</f>
        <v>11.22</v>
      </c>
      <c r="N364" s="9">
        <f>15000/(TIM[[#This Row],[Voltage]]*SQRT(3))</f>
        <v>771.85864864923235</v>
      </c>
      <c r="O364" s="9">
        <f t="shared" si="0"/>
        <v>15.000000000000002</v>
      </c>
      <c r="P364" s="9" t="s">
        <v>0</v>
      </c>
      <c r="Q364" s="9" t="str">
        <f t="shared" si="1"/>
        <v>-</v>
      </c>
      <c r="R364" s="9" t="s">
        <v>0</v>
      </c>
      <c r="S364" s="9" t="str">
        <f t="shared" si="2"/>
        <v>-</v>
      </c>
      <c r="T364" s="9" t="s">
        <v>0</v>
      </c>
      <c r="U364" s="9" t="str">
        <f t="shared" si="3"/>
        <v>-</v>
      </c>
      <c r="V364" s="9" t="s">
        <v>0</v>
      </c>
      <c r="W364" s="9" t="str">
        <f t="shared" si="4"/>
        <v>-</v>
      </c>
      <c r="X364" s="9" t="s">
        <v>0</v>
      </c>
      <c r="Y364" s="9" t="str">
        <f t="shared" si="5"/>
        <v>-</v>
      </c>
      <c r="Z364" s="9" t="s">
        <v>0</v>
      </c>
      <c r="AA364" s="9" t="str">
        <f t="shared" si="6"/>
        <v>-</v>
      </c>
      <c r="AB364" s="9" t="s">
        <v>0</v>
      </c>
      <c r="AC364" s="9" t="str">
        <f t="shared" si="7"/>
        <v>-</v>
      </c>
      <c r="AD364" s="9" t="s">
        <v>0</v>
      </c>
      <c r="AE364" s="12" t="str">
        <f t="shared" si="8"/>
        <v>-</v>
      </c>
      <c r="AF364" s="9" t="s">
        <v>0</v>
      </c>
      <c r="AG364" s="9" t="s">
        <v>0</v>
      </c>
      <c r="AH364" s="9" t="s">
        <v>0</v>
      </c>
      <c r="AI364" s="9" t="s">
        <v>0</v>
      </c>
      <c r="AJ364" s="32" t="s">
        <v>0</v>
      </c>
      <c r="AK364" s="9" t="s">
        <v>0</v>
      </c>
      <c r="AL364" s="32" t="s">
        <v>0</v>
      </c>
      <c r="AM364" s="9" t="s">
        <v>0</v>
      </c>
      <c r="AN364" s="32" t="s">
        <v>0</v>
      </c>
      <c r="AO364" s="9" t="s">
        <v>0</v>
      </c>
      <c r="AP364" s="9" t="s">
        <v>0</v>
      </c>
      <c r="AQ364" s="32" t="s">
        <v>0</v>
      </c>
      <c r="AR36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64" s="9" t="str">
        <f t="shared" si="9"/>
        <v>-</v>
      </c>
      <c r="AT364" s="9" t="str">
        <f>IF(RIGHT(TIM[[#This Row],[Device type]],7)="Winding","-",TIM[[#This Row],[Cont Winter MVA]])</f>
        <v>-</v>
      </c>
      <c r="AU364" s="9" t="str">
        <f>IF(RIGHT(TIM[[#This Row],[Device type]],7)="Winding","-",TIM[[#This Row],[Cont Shoulder MVA]])</f>
        <v>-</v>
      </c>
      <c r="AV364" s="9" t="str">
        <f>IF(RIGHT(TIM[[#This Row],[Device type]],7)="Winding","-",TIM[[#This Row],[Cont Summer MVA]])</f>
        <v>-</v>
      </c>
      <c r="AW364" s="9" t="str">
        <f>TIM[[#This Row],[24 Hr Winter MVA]]</f>
        <v>-</v>
      </c>
      <c r="AX364" s="9" t="str">
        <f>TIM[[#This Row],[24 Hr Summer MVA]]</f>
        <v>-</v>
      </c>
      <c r="AY364" s="9" t="str">
        <f>TIM[[#This Row],[Forwards MVA]]</f>
        <v>-</v>
      </c>
      <c r="AZ364" s="9" t="str">
        <f>TIM[[#This Row],[Relay MVA]]</f>
        <v>-</v>
      </c>
      <c r="BA364" s="9" t="str">
        <f>TIM[[#This Row],[CT MVA]]</f>
        <v>-</v>
      </c>
      <c r="BB364" s="9" t="str">
        <f>TIM[[#This Row],[Derating MVA]]</f>
        <v>-</v>
      </c>
      <c r="BC364" s="9" t="str">
        <f>TIM[[#This Row],[Station/Feeder]]&amp;TIM[[#This Row],[Lowest MVA]]</f>
        <v>PAR</v>
      </c>
      <c r="BD364" s="9" t="str">
        <f>CONCATENATE(TIM[[#This Row],[Supply Level]],TIM[[#This Row],[Station/Feeder]],TIM[[#This Row],[Voltage]],TIM[[#This Row],[Lowest A-No PTX]])</f>
        <v>ZoneSubstationPAR11.22</v>
      </c>
      <c r="BE364" s="9" t="str">
        <f>CONCATENATE(TIM[[#This Row],[Supply Level]],TIM[[#This Row],[Station/Feeder]],TIM[[#This Row],[Voltage]],TIM[[#This Row],[Lowest A-PTX]])</f>
        <v>ZoneSubstationPAR11.22771.858648649232</v>
      </c>
      <c r="BF364" s="9" t="str">
        <f>IFERROR(IF(MIN(TIM[[#This Row],[Summ Cont Winter A]:[Cable Derating]])=0,"",MIN(TIM[[#This Row],[Summ Cont Winter A]:[Cable Derating]])),"")</f>
        <v/>
      </c>
      <c r="BG364" s="9" t="str">
        <f>IFERROR(TIM[[#This Row],[Lowest MVA]]*1000/(TIM[[#This Row],[Voltage]]*SQRT(3)),"")</f>
        <v/>
      </c>
      <c r="BH364" s="9">
        <f t="shared" si="435"/>
        <v>771.85864864923235</v>
      </c>
      <c r="BI364" s="9" t="str">
        <f>TIM[[#This Row],[From]]</f>
        <v>33 kV Bus</v>
      </c>
      <c r="BJ364" s="9" t="str">
        <f>TIM[[#This Row],[To]]</f>
        <v>11 kV Bus</v>
      </c>
      <c r="BK36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Transformer-B712/T2-LV Winding</v>
      </c>
      <c r="BL364" s="9">
        <f>TIM[[#This Row],[Voltage]]</f>
        <v>11.22</v>
      </c>
    </row>
    <row r="365" spans="1:64" ht="15" hidden="1" customHeight="1" x14ac:dyDescent="0.3">
      <c r="A365" s="6" t="str">
        <f>CONCATENATE(TIM[[#This Row],[Supply Level]],TIM[[#This Row],[Station/Feeder]],TIM[[#This Row],[Voltage]],"T2")</f>
        <v>ZoneSubstationPAR11.22T2</v>
      </c>
      <c r="B365" s="6" t="str">
        <f>CONCATENATE(TIM[[#This Row],[Supply Level]],TIM[[#This Row],[Station/Feeder]],TIM[[#This Row],[Equipment ID]],TIM[[#This Row],[Voltage]],TIM[[#This Row],[Device type]])</f>
        <v>ZoneSubstationPARPAR-CB3611.22-</v>
      </c>
      <c r="C365" s="6" t="s">
        <v>1246</v>
      </c>
      <c r="D365" s="11" t="s">
        <v>202</v>
      </c>
      <c r="E365" s="6" t="s">
        <v>63</v>
      </c>
      <c r="F365" s="6" t="s">
        <v>243</v>
      </c>
      <c r="G365" s="27">
        <v>5</v>
      </c>
      <c r="H365" s="7" t="s">
        <v>707</v>
      </c>
      <c r="I365" s="7" t="s">
        <v>2293</v>
      </c>
      <c r="J365" s="7" t="s">
        <v>15</v>
      </c>
      <c r="K365" s="7" t="s">
        <v>0</v>
      </c>
      <c r="L365" s="7" t="s">
        <v>0</v>
      </c>
      <c r="M365" s="8">
        <f t="shared" si="436"/>
        <v>11.22</v>
      </c>
      <c r="N365" s="9">
        <v>1250</v>
      </c>
      <c r="O365" s="9">
        <f t="shared" si="0"/>
        <v>24.292012576153503</v>
      </c>
      <c r="P365" s="9">
        <v>1250</v>
      </c>
      <c r="Q365" s="9">
        <f t="shared" si="1"/>
        <v>24.292012576153503</v>
      </c>
      <c r="R365" s="9">
        <v>1250</v>
      </c>
      <c r="S365" s="9">
        <f t="shared" si="2"/>
        <v>24.292012576153503</v>
      </c>
      <c r="T365" s="9" t="s">
        <v>0</v>
      </c>
      <c r="U365" s="9" t="str">
        <f t="shared" si="3"/>
        <v>-</v>
      </c>
      <c r="V365" s="9" t="s">
        <v>0</v>
      </c>
      <c r="W365" s="9" t="str">
        <f t="shared" si="4"/>
        <v>-</v>
      </c>
      <c r="X365" s="9">
        <f>VLOOKUP(TIM[[#This Row],[Equipment ID]],AEL_Protection_Data[#All],12,0)</f>
        <v>950</v>
      </c>
      <c r="Y365" s="9">
        <f t="shared" si="5"/>
        <v>18.461929557876662</v>
      </c>
      <c r="Z365" s="9" t="s">
        <v>0</v>
      </c>
      <c r="AA365" s="9" t="str">
        <f t="shared" si="6"/>
        <v>-</v>
      </c>
      <c r="AB365" s="9" t="s">
        <v>0</v>
      </c>
      <c r="AC365" s="9" t="str">
        <f t="shared" si="7"/>
        <v>-</v>
      </c>
      <c r="AD365" s="9" t="s">
        <v>0</v>
      </c>
      <c r="AE365" s="12" t="str">
        <f t="shared" si="8"/>
        <v>-</v>
      </c>
      <c r="AF365" s="9" t="s">
        <v>0</v>
      </c>
      <c r="AG365" s="9" t="s">
        <v>0</v>
      </c>
      <c r="AH365" s="9" t="s">
        <v>0</v>
      </c>
      <c r="AI365" s="9" t="s">
        <v>0</v>
      </c>
      <c r="AJ365" s="32" t="s">
        <v>0</v>
      </c>
      <c r="AK365" s="9" t="s">
        <v>0</v>
      </c>
      <c r="AL365" s="32" t="s">
        <v>0</v>
      </c>
      <c r="AM365" s="9" t="s">
        <v>0</v>
      </c>
      <c r="AN365" s="32" t="s">
        <v>0</v>
      </c>
      <c r="AO365" s="9" t="s">
        <v>0</v>
      </c>
      <c r="AP365" s="9" t="s">
        <v>0</v>
      </c>
      <c r="AQ365" s="32" t="s">
        <v>0</v>
      </c>
      <c r="AR365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65" s="9" t="str">
        <f t="shared" si="9"/>
        <v>-</v>
      </c>
      <c r="AT365" s="9">
        <f>IF(RIGHT(TIM[[#This Row],[Device type]],7)="Winding","-",TIM[[#This Row],[Cont Winter MVA]])</f>
        <v>24.292012576153503</v>
      </c>
      <c r="AU365" s="9">
        <f>IF(RIGHT(TIM[[#This Row],[Device type]],7)="Winding","-",TIM[[#This Row],[Cont Shoulder MVA]])</f>
        <v>24.292012576153503</v>
      </c>
      <c r="AV365" s="9">
        <f>IF(RIGHT(TIM[[#This Row],[Device type]],7)="Winding","-",TIM[[#This Row],[Cont Summer MVA]])</f>
        <v>24.292012576153503</v>
      </c>
      <c r="AW365" s="9" t="str">
        <f>TIM[[#This Row],[24 Hr Winter MVA]]</f>
        <v>-</v>
      </c>
      <c r="AX365" s="9" t="str">
        <f>TIM[[#This Row],[24 Hr Summer MVA]]</f>
        <v>-</v>
      </c>
      <c r="AY365" s="9">
        <f>TIM[[#This Row],[Forwards MVA]]</f>
        <v>18.461929557876662</v>
      </c>
      <c r="AZ365" s="9" t="str">
        <f>TIM[[#This Row],[Relay MVA]]</f>
        <v>-</v>
      </c>
      <c r="BA365" s="9" t="str">
        <f>TIM[[#This Row],[CT MVA]]</f>
        <v>-</v>
      </c>
      <c r="BB365" s="9" t="str">
        <f>TIM[[#This Row],[Derating MVA]]</f>
        <v>-</v>
      </c>
      <c r="BC365" s="9" t="str">
        <f>TIM[[#This Row],[Station/Feeder]]&amp;TIM[[#This Row],[Lowest MVA]]</f>
        <v>PAR18.4619295578767</v>
      </c>
      <c r="BD365" s="9" t="str">
        <f>CONCATENATE(TIM[[#This Row],[Supply Level]],TIM[[#This Row],[Station/Feeder]],TIM[[#This Row],[Voltage]],TIM[[#This Row],[Lowest A-No PTX]])</f>
        <v>ZoneSubstationPAR11.22950</v>
      </c>
      <c r="BE365" s="9" t="str">
        <f>CONCATENATE(TIM[[#This Row],[Supply Level]],TIM[[#This Row],[Station/Feeder]],TIM[[#This Row],[Voltage]],TIM[[#This Row],[Lowest A-PTX]])</f>
        <v>ZoneSubstationPAR11.22950</v>
      </c>
      <c r="BF365" s="9">
        <f>IFERROR(IF(MIN(TIM[[#This Row],[Summ Cont Winter A]:[Cable Derating]])=0,"",MIN(TIM[[#This Row],[Summ Cont Winter A]:[Cable Derating]])),"")</f>
        <v>18.461929557876662</v>
      </c>
      <c r="BG365" s="9">
        <f>IFERROR(TIM[[#This Row],[Lowest MVA]]*1000/(TIM[[#This Row],[Voltage]]*SQRT(3)),"")</f>
        <v>950</v>
      </c>
      <c r="BH365" s="9">
        <f t="shared" si="435"/>
        <v>950</v>
      </c>
      <c r="BI365" s="9" t="str">
        <f>TIM[[#This Row],[From]]</f>
        <v>33 kV Bus</v>
      </c>
      <c r="BJ365" s="9" t="str">
        <f>TIM[[#This Row],[To]]</f>
        <v>11 kV Bus</v>
      </c>
      <c r="BK36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Breaker-PAR-CB36</v>
      </c>
      <c r="BL365" s="9">
        <f>TIM[[#This Row],[Voltage]]</f>
        <v>11.22</v>
      </c>
    </row>
    <row r="366" spans="1:64" ht="15" hidden="1" customHeight="1" thickBot="1" x14ac:dyDescent="0.3">
      <c r="A366" s="14" t="str">
        <f>CONCATENATE(TIM[[#This Row],[Supply Level]],TIM[[#This Row],[Station/Feeder]],TIM[[#This Row],[Voltage]],"T2")</f>
        <v>ZoneSubstationPAR11.22T2</v>
      </c>
      <c r="B366" s="14" t="str">
        <f>CONCATENATE(TIM[[#This Row],[Supply Level]],TIM[[#This Row],[Station/Feeder]],TIM[[#This Row],[Equipment ID]],TIM[[#This Row],[Voltage]],TIM[[#This Row],[Device type]])</f>
        <v>ZoneSubstationPAR2 x 3/1c 400mm² AL XLPE HDPE Screened11.22-</v>
      </c>
      <c r="C366" s="14" t="s">
        <v>1246</v>
      </c>
      <c r="D366" s="13" t="s">
        <v>202</v>
      </c>
      <c r="E366" s="14" t="s">
        <v>63</v>
      </c>
      <c r="F366" s="14" t="s">
        <v>243</v>
      </c>
      <c r="G366" s="28">
        <v>6</v>
      </c>
      <c r="H366" s="39" t="s">
        <v>1059</v>
      </c>
      <c r="I366" s="39" t="s">
        <v>1060</v>
      </c>
      <c r="J366" s="39" t="s">
        <v>250</v>
      </c>
      <c r="K366" s="39" t="s">
        <v>0</v>
      </c>
      <c r="L366" s="39" t="s">
        <v>0</v>
      </c>
      <c r="M366" s="15">
        <f t="shared" si="436"/>
        <v>11.22</v>
      </c>
      <c r="N366" s="16">
        <v>1074</v>
      </c>
      <c r="O366" s="16">
        <f t="shared" si="0"/>
        <v>20.87169720543109</v>
      </c>
      <c r="P366" s="16">
        <v>1074</v>
      </c>
      <c r="Q366" s="16">
        <f t="shared" si="1"/>
        <v>20.87169720543109</v>
      </c>
      <c r="R366" s="16">
        <v>1074</v>
      </c>
      <c r="S366" s="16">
        <f t="shared" si="2"/>
        <v>20.87169720543109</v>
      </c>
      <c r="T366" s="16" t="s">
        <v>0</v>
      </c>
      <c r="U366" s="16" t="str">
        <f t="shared" si="3"/>
        <v>-</v>
      </c>
      <c r="V366" s="16" t="s">
        <v>0</v>
      </c>
      <c r="W366" s="16" t="str">
        <f t="shared" si="4"/>
        <v>-</v>
      </c>
      <c r="X366" s="16" t="s">
        <v>0</v>
      </c>
      <c r="Y366" s="16" t="str">
        <f t="shared" si="5"/>
        <v>-</v>
      </c>
      <c r="Z366" s="16" t="s">
        <v>0</v>
      </c>
      <c r="AA366" s="16" t="str">
        <f t="shared" si="6"/>
        <v>-</v>
      </c>
      <c r="AB366" s="16" t="s">
        <v>0</v>
      </c>
      <c r="AC366" s="16" t="str">
        <f t="shared" si="7"/>
        <v>-</v>
      </c>
      <c r="AD366" s="16" t="s">
        <v>0</v>
      </c>
      <c r="AE366" s="17" t="str">
        <f t="shared" si="8"/>
        <v>-</v>
      </c>
      <c r="AF366" s="16" t="s">
        <v>1061</v>
      </c>
      <c r="AG366" s="16" t="s">
        <v>265</v>
      </c>
      <c r="AH366" s="16">
        <v>35.9</v>
      </c>
      <c r="AI366" s="16">
        <v>0.92</v>
      </c>
      <c r="AJ366" s="127">
        <v>0.93</v>
      </c>
      <c r="AK366" s="16">
        <v>15</v>
      </c>
      <c r="AL366" s="127">
        <v>1</v>
      </c>
      <c r="AM366" s="16">
        <v>1.2</v>
      </c>
      <c r="AN366" s="127">
        <v>1</v>
      </c>
      <c r="AO366" s="16">
        <v>2</v>
      </c>
      <c r="AP366" s="16">
        <v>0.3</v>
      </c>
      <c r="AQ366" s="127">
        <v>0.85</v>
      </c>
      <c r="AR366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848.99699999999996</v>
      </c>
      <c r="AS366" s="16">
        <f t="shared" si="9"/>
        <v>16.499076640893275</v>
      </c>
      <c r="AT366" s="155">
        <f>IF(RIGHT(TIM[[#This Row],[Device type]],7)="Winding","-",TIM[[#This Row],[Cont Winter MVA]])</f>
        <v>20.87169720543109</v>
      </c>
      <c r="AU366" s="155">
        <f>IF(RIGHT(TIM[[#This Row],[Device type]],7)="Winding","-",TIM[[#This Row],[Cont Shoulder MVA]])</f>
        <v>20.87169720543109</v>
      </c>
      <c r="AV366" s="155">
        <f>IF(RIGHT(TIM[[#This Row],[Device type]],7)="Winding","-",TIM[[#This Row],[Cont Summer MVA]])</f>
        <v>20.87169720543109</v>
      </c>
      <c r="AW366" s="155" t="str">
        <f>TIM[[#This Row],[24 Hr Winter MVA]]</f>
        <v>-</v>
      </c>
      <c r="AX366" s="155" t="str">
        <f>TIM[[#This Row],[24 Hr Summer MVA]]</f>
        <v>-</v>
      </c>
      <c r="AY366" s="155" t="str">
        <f>TIM[[#This Row],[Forwards MVA]]</f>
        <v>-</v>
      </c>
      <c r="AZ366" s="155" t="str">
        <f>TIM[[#This Row],[Relay MVA]]</f>
        <v>-</v>
      </c>
      <c r="BA366" s="155" t="str">
        <f>TIM[[#This Row],[CT MVA]]</f>
        <v>-</v>
      </c>
      <c r="BB366" s="155">
        <f>TIM[[#This Row],[Derating MVA]]</f>
        <v>16.499076640893275</v>
      </c>
      <c r="BC366" s="155" t="str">
        <f>TIM[[#This Row],[Station/Feeder]]&amp;TIM[[#This Row],[Lowest MVA]]</f>
        <v>PAR16.4990766408933</v>
      </c>
      <c r="BD366" s="155" t="str">
        <f>CONCATENATE(TIM[[#This Row],[Supply Level]],TIM[[#This Row],[Station/Feeder]],TIM[[#This Row],[Voltage]],TIM[[#This Row],[Lowest A-No PTX]])</f>
        <v>ZoneSubstationPAR11.22848.997</v>
      </c>
      <c r="BE366" s="155" t="str">
        <f>CONCATENATE(TIM[[#This Row],[Supply Level]],TIM[[#This Row],[Station/Feeder]],TIM[[#This Row],[Voltage]],TIM[[#This Row],[Lowest A-PTX]])</f>
        <v>ZoneSubstationPAR11.22848.997</v>
      </c>
      <c r="BF366" s="155">
        <f>IFERROR(IF(MIN(TIM[[#This Row],[Summ Cont Winter A]:[Cable Derating]])=0,"",MIN(TIM[[#This Row],[Summ Cont Winter A]:[Cable Derating]])),"")</f>
        <v>16.499076640893275</v>
      </c>
      <c r="BG366" s="155">
        <f>IFERROR(TIM[[#This Row],[Lowest MVA]]*1000/(TIM[[#This Row],[Voltage]]*SQRT(3)),"")</f>
        <v>848.99699999999996</v>
      </c>
      <c r="BH366" s="155">
        <f t="shared" si="435"/>
        <v>848.99699999999996</v>
      </c>
      <c r="BI366" s="155" t="str">
        <f>TIM[[#This Row],[From]]</f>
        <v>33 kV Bus</v>
      </c>
      <c r="BJ366" s="155" t="str">
        <f>TIM[[#This Row],[To]]</f>
        <v>11 kV Bus</v>
      </c>
      <c r="BK366" s="155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Cable-2 x 3/1c 400mm² AL XLPE HDPE Screened</v>
      </c>
      <c r="BL366" s="155">
        <f>TIM[[#This Row],[Voltage]]</f>
        <v>11.22</v>
      </c>
    </row>
    <row r="367" spans="1:64" ht="15" customHeight="1" x14ac:dyDescent="0.25">
      <c r="A367" s="3" t="str">
        <f>CONCATENATE(TIM[[#This Row],[Supply Level]],TIM[[#This Row],[Station/Feeder]],TIM[[#This Row],[Voltage]])</f>
        <v>DistributionFeederCB3_Works No. 111.22</v>
      </c>
      <c r="B367" s="3" t="str">
        <f>CONCATENATE(TIM[[#This Row],[Supply Level]],TIM[[#This Row],[Station/Feeder]],TIM[[#This Row],[Equipment ID]],TIM[[#This Row],[Voltage]],TIM[[#This Row],[Device type]])</f>
        <v>DistributionFeederCB3_Works No. 1PAR-CB311.22Protection</v>
      </c>
      <c r="C367" s="3" t="s">
        <v>1276</v>
      </c>
      <c r="D367" s="176" t="s">
        <v>2853</v>
      </c>
      <c r="E367" s="173" t="s">
        <v>243</v>
      </c>
      <c r="F367" s="3" t="s">
        <v>1063</v>
      </c>
      <c r="G367" s="26">
        <v>1</v>
      </c>
      <c r="H367" s="38" t="s">
        <v>707</v>
      </c>
      <c r="I367" s="38" t="s">
        <v>2294</v>
      </c>
      <c r="J367" s="38" t="s">
        <v>15</v>
      </c>
      <c r="K367" s="38" t="s">
        <v>1314</v>
      </c>
      <c r="L367" s="38" t="s">
        <v>1423</v>
      </c>
      <c r="M367" s="4">
        <f>11*1.02</f>
        <v>11.22</v>
      </c>
      <c r="N367" s="5">
        <v>630</v>
      </c>
      <c r="O367" s="5">
        <f t="shared" si="0"/>
        <v>12.243174338381367</v>
      </c>
      <c r="P367" s="5">
        <v>630</v>
      </c>
      <c r="Q367" s="5">
        <f t="shared" si="1"/>
        <v>12.243174338381367</v>
      </c>
      <c r="R367" s="5">
        <v>630</v>
      </c>
      <c r="S367" s="5">
        <f t="shared" si="2"/>
        <v>12.243174338381367</v>
      </c>
      <c r="T367" s="5" t="s">
        <v>0</v>
      </c>
      <c r="U367" s="5" t="str">
        <f t="shared" si="3"/>
        <v>-</v>
      </c>
      <c r="V367" s="5" t="s">
        <v>0</v>
      </c>
      <c r="W367" s="5" t="str">
        <f t="shared" si="4"/>
        <v>-</v>
      </c>
      <c r="X367" s="5">
        <f>VLOOKUP(TIM[[#This Row],[Equipment ID]],AEL_Protection_Data[#All],12,0)</f>
        <v>300</v>
      </c>
      <c r="Y367" s="5">
        <f t="shared" si="5"/>
        <v>5.8300830182768406</v>
      </c>
      <c r="Z367" s="5" t="s">
        <v>0</v>
      </c>
      <c r="AA367" s="5" t="str">
        <f t="shared" si="6"/>
        <v>-</v>
      </c>
      <c r="AB367" s="5" t="s">
        <v>0</v>
      </c>
      <c r="AC367" s="5" t="str">
        <f t="shared" si="7"/>
        <v>-</v>
      </c>
      <c r="AD367" s="5">
        <v>300</v>
      </c>
      <c r="AE367" s="158">
        <f t="shared" si="8"/>
        <v>5.8300830182768406</v>
      </c>
      <c r="AF367" s="5" t="s">
        <v>0</v>
      </c>
      <c r="AG367" s="5" t="s">
        <v>0</v>
      </c>
      <c r="AH367" s="5" t="s">
        <v>0</v>
      </c>
      <c r="AI367" s="5" t="s">
        <v>0</v>
      </c>
      <c r="AJ367" s="139" t="s">
        <v>0</v>
      </c>
      <c r="AK367" s="5" t="s">
        <v>0</v>
      </c>
      <c r="AL367" s="139" t="s">
        <v>0</v>
      </c>
      <c r="AM367" s="5" t="s">
        <v>0</v>
      </c>
      <c r="AN367" s="139" t="s">
        <v>0</v>
      </c>
      <c r="AO367" s="5" t="s">
        <v>0</v>
      </c>
      <c r="AP367" s="5" t="s">
        <v>0</v>
      </c>
      <c r="AQ367" s="139" t="s">
        <v>0</v>
      </c>
      <c r="AR367" s="5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67" s="5" t="str">
        <f t="shared" si="9"/>
        <v>-</v>
      </c>
      <c r="AT367" s="29">
        <f>IF(RIGHT(TIM[[#This Row],[Device type]],7)="Winding","-",TIM[[#This Row],[Cont Winter MVA]])</f>
        <v>12.243174338381367</v>
      </c>
      <c r="AU367" s="29">
        <f>IF(RIGHT(TIM[[#This Row],[Device type]],7)="Winding","-",TIM[[#This Row],[Cont Shoulder MVA]])</f>
        <v>12.243174338381367</v>
      </c>
      <c r="AV367" s="29">
        <f>IF(RIGHT(TIM[[#This Row],[Device type]],7)="Winding","-",TIM[[#This Row],[Cont Summer MVA]])</f>
        <v>12.243174338381367</v>
      </c>
      <c r="AW367" s="29" t="str">
        <f>TIM[[#This Row],[24 Hr Winter MVA]]</f>
        <v>-</v>
      </c>
      <c r="AX367" s="29" t="str">
        <f>TIM[[#This Row],[24 Hr Summer MVA]]</f>
        <v>-</v>
      </c>
      <c r="AY367" s="29">
        <f>TIM[[#This Row],[Forwards MVA]]</f>
        <v>5.8300830182768406</v>
      </c>
      <c r="AZ367" s="29" t="str">
        <f>TIM[[#This Row],[Relay MVA]]</f>
        <v>-</v>
      </c>
      <c r="BA367" s="29">
        <f>TIM[[#This Row],[CT MVA]]</f>
        <v>5.8300830182768406</v>
      </c>
      <c r="BB367" s="29" t="str">
        <f>TIM[[#This Row],[Derating MVA]]</f>
        <v>-</v>
      </c>
      <c r="BC367" s="29" t="str">
        <f>TIM[[#This Row],[Station/Feeder]]&amp;TIM[[#This Row],[Lowest MVA]]</f>
        <v>CB3_Works No. 15.83008301827684</v>
      </c>
      <c r="BD367" s="29" t="str">
        <f>CONCATENATE(TIM[[#This Row],[Supply Level]],TIM[[#This Row],[Station/Feeder]],TIM[[#This Row],[Voltage]],TIM[[#This Row],[Lowest A-No PTX]])</f>
        <v>DistributionFeederCB3_Works No. 111.22300</v>
      </c>
      <c r="BE367" s="29" t="str">
        <f>CONCATENATE(TIM[[#This Row],[Supply Level]],TIM[[#This Row],[Station/Feeder]],TIM[[#This Row],[Voltage]],TIM[[#This Row],[Lowest A-PTX]])</f>
        <v>DistributionFeederCB3_Works No. 111.22300</v>
      </c>
      <c r="BF367" s="29">
        <f>IFERROR(IF(MIN(TIM[[#This Row],[Summ Cont Winter A]:[Cable Derating]])=0,"",MIN(TIM[[#This Row],[Summ Cont Winter A]:[Cable Derating]])),"")</f>
        <v>5.8300830182768406</v>
      </c>
      <c r="BG367" s="29">
        <f>IFERROR(TIM[[#This Row],[Lowest MVA]]*1000/(TIM[[#This Row],[Voltage]]*SQRT(3)),"")</f>
        <v>300</v>
      </c>
      <c r="BH367" s="29">
        <f t="shared" si="435"/>
        <v>300</v>
      </c>
      <c r="BI367" s="29" t="str">
        <f>TIM[[#This Row],[From]]</f>
        <v>11 kV Bus</v>
      </c>
      <c r="BJ367" s="29" t="str">
        <f>TIM[[#This Row],[To]]</f>
        <v>PAR3</v>
      </c>
      <c r="BK367" s="2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Breaker-PAR-CB3-Protection</v>
      </c>
      <c r="BL367" s="29">
        <f>TIM[[#This Row],[Voltage]]</f>
        <v>11.22</v>
      </c>
    </row>
    <row r="368" spans="1:64" ht="15" customHeight="1" x14ac:dyDescent="0.25">
      <c r="A368" s="6" t="str">
        <f>CONCATENATE(TIM[[#This Row],[Supply Level]],TIM[[#This Row],[Station/Feeder]],TIM[[#This Row],[Voltage]])</f>
        <v>DistributionFeederCB3_Works No. 111.22</v>
      </c>
      <c r="B368" s="6" t="str">
        <f>CONCATENATE(TIM[[#This Row],[Supply Level]],TIM[[#This Row],[Station/Feeder]],TIM[[#This Row],[Equipment ID]],TIM[[#This Row],[Voltage]],TIM[[#This Row],[Device type]])</f>
        <v>DistributionFeederCB3_Works No. 13c 240mm²  AL PILC DSTA11.22-</v>
      </c>
      <c r="C368" s="6" t="s">
        <v>1276</v>
      </c>
      <c r="D368" s="6" t="s">
        <v>2853</v>
      </c>
      <c r="E368" s="6" t="s">
        <v>1063</v>
      </c>
      <c r="F368" s="6" t="s">
        <v>1064</v>
      </c>
      <c r="G368" s="27">
        <v>2</v>
      </c>
      <c r="H368" s="7" t="s">
        <v>707</v>
      </c>
      <c r="I368" s="7" t="s">
        <v>1065</v>
      </c>
      <c r="J368" s="7" t="s">
        <v>250</v>
      </c>
      <c r="K368" s="7" t="s">
        <v>0</v>
      </c>
      <c r="L368" s="7" t="s">
        <v>0</v>
      </c>
      <c r="M368" s="8">
        <f t="shared" ref="M368:M383" si="437">11*1.02</f>
        <v>11.22</v>
      </c>
      <c r="N368" s="9">
        <v>345</v>
      </c>
      <c r="O368" s="9">
        <f t="shared" si="0"/>
        <v>6.7045954710183668</v>
      </c>
      <c r="P368" s="9">
        <v>345</v>
      </c>
      <c r="Q368" s="9">
        <f t="shared" si="1"/>
        <v>6.7045954710183668</v>
      </c>
      <c r="R368" s="9">
        <v>345</v>
      </c>
      <c r="S368" s="9">
        <f t="shared" si="2"/>
        <v>6.7045954710183668</v>
      </c>
      <c r="T368" s="9" t="s">
        <v>0</v>
      </c>
      <c r="U368" s="9" t="str">
        <f t="shared" si="3"/>
        <v>-</v>
      </c>
      <c r="V368" s="9" t="s">
        <v>0</v>
      </c>
      <c r="W368" s="9" t="str">
        <f t="shared" si="4"/>
        <v>-</v>
      </c>
      <c r="X368" s="9" t="s">
        <v>0</v>
      </c>
      <c r="Y368" s="9" t="str">
        <f t="shared" si="5"/>
        <v>-</v>
      </c>
      <c r="Z368" s="9" t="s">
        <v>0</v>
      </c>
      <c r="AA368" s="9" t="str">
        <f t="shared" si="6"/>
        <v>-</v>
      </c>
      <c r="AB368" s="9" t="s">
        <v>0</v>
      </c>
      <c r="AC368" s="9" t="str">
        <f t="shared" si="7"/>
        <v>-</v>
      </c>
      <c r="AD368" s="9" t="s">
        <v>0</v>
      </c>
      <c r="AE368" s="12" t="str">
        <f t="shared" si="8"/>
        <v>-</v>
      </c>
      <c r="AF368" s="9">
        <v>3</v>
      </c>
      <c r="AG368" s="9" t="s">
        <v>0</v>
      </c>
      <c r="AH368" s="9">
        <v>334.6</v>
      </c>
      <c r="AI368" s="9">
        <v>0.82</v>
      </c>
      <c r="AJ368" s="32">
        <v>1</v>
      </c>
      <c r="AK368" s="9">
        <v>20</v>
      </c>
      <c r="AL368" s="32">
        <v>0.95</v>
      </c>
      <c r="AM368" s="9">
        <v>1.2</v>
      </c>
      <c r="AN368" s="32">
        <v>1</v>
      </c>
      <c r="AO368" s="9">
        <v>2</v>
      </c>
      <c r="AP368" s="9">
        <v>0.65</v>
      </c>
      <c r="AQ368" s="32">
        <v>0.92</v>
      </c>
      <c r="AR368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301.52999999999997</v>
      </c>
      <c r="AS368" s="9">
        <f t="shared" si="9"/>
        <v>5.8598164416700529</v>
      </c>
      <c r="AT368" s="9">
        <f>IF(RIGHT(TIM[[#This Row],[Device type]],7)="Winding","-",TIM[[#This Row],[Cont Winter MVA]])</f>
        <v>6.7045954710183668</v>
      </c>
      <c r="AU368" s="9">
        <f>IF(RIGHT(TIM[[#This Row],[Device type]],7)="Winding","-",TIM[[#This Row],[Cont Shoulder MVA]])</f>
        <v>6.7045954710183668</v>
      </c>
      <c r="AV368" s="9">
        <f>IF(RIGHT(TIM[[#This Row],[Device type]],7)="Winding","-",TIM[[#This Row],[Cont Summer MVA]])</f>
        <v>6.7045954710183668</v>
      </c>
      <c r="AW368" s="9" t="str">
        <f>TIM[[#This Row],[24 Hr Winter MVA]]</f>
        <v>-</v>
      </c>
      <c r="AX368" s="9" t="str">
        <f>TIM[[#This Row],[24 Hr Summer MVA]]</f>
        <v>-</v>
      </c>
      <c r="AY368" s="9" t="str">
        <f>TIM[[#This Row],[Forwards MVA]]</f>
        <v>-</v>
      </c>
      <c r="AZ368" s="9" t="str">
        <f>TIM[[#This Row],[Relay MVA]]</f>
        <v>-</v>
      </c>
      <c r="BA368" s="9" t="str">
        <f>TIM[[#This Row],[CT MVA]]</f>
        <v>-</v>
      </c>
      <c r="BB368" s="9">
        <f>TIM[[#This Row],[Derating MVA]]</f>
        <v>5.8598164416700529</v>
      </c>
      <c r="BC368" s="9" t="str">
        <f>TIM[[#This Row],[Station/Feeder]]&amp;TIM[[#This Row],[Lowest MVA]]</f>
        <v>CB3_Works No. 15.85981644167005</v>
      </c>
      <c r="BD368" s="9" t="str">
        <f>CONCATENATE(TIM[[#This Row],[Supply Level]],TIM[[#This Row],[Station/Feeder]],TIM[[#This Row],[Voltage]],TIM[[#This Row],[Lowest A-No PTX]])</f>
        <v>DistributionFeederCB3_Works No. 111.22301.53</v>
      </c>
      <c r="BE368" s="9" t="str">
        <f>CONCATENATE(TIM[[#This Row],[Supply Level]],TIM[[#This Row],[Station/Feeder]],TIM[[#This Row],[Voltage]],TIM[[#This Row],[Lowest A-PTX]])</f>
        <v>DistributionFeederCB3_Works No. 111.22301.53</v>
      </c>
      <c r="BF368" s="9">
        <f>IFERROR(IF(MIN(TIM[[#This Row],[Summ Cont Winter A]:[Cable Derating]])=0,"",MIN(TIM[[#This Row],[Summ Cont Winter A]:[Cable Derating]])),"")</f>
        <v>5.8598164416700529</v>
      </c>
      <c r="BG368" s="9">
        <f>IFERROR(TIM[[#This Row],[Lowest MVA]]*1000/(TIM[[#This Row],[Voltage]]*SQRT(3)),"")</f>
        <v>301.53000000000003</v>
      </c>
      <c r="BH368" s="9">
        <f t="shared" si="435"/>
        <v>301.52999999999997</v>
      </c>
      <c r="BI368" s="9" t="str">
        <f>TIM[[#This Row],[From]]</f>
        <v>PAR3</v>
      </c>
      <c r="BJ368" s="9" t="str">
        <f>TIM[[#This Row],[To]]</f>
        <v>No.1 RMU</v>
      </c>
      <c r="BK36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240mm²  AL PILC DSTA</v>
      </c>
      <c r="BL368" s="9">
        <f>TIM[[#This Row],[Voltage]]</f>
        <v>11.22</v>
      </c>
    </row>
    <row r="369" spans="1:64" ht="15" customHeight="1" x14ac:dyDescent="0.25">
      <c r="A369" s="6" t="str">
        <f>CONCATENATE(TIM[[#This Row],[Supply Level]],TIM[[#This Row],[Station/Feeder]],TIM[[#This Row],[Voltage]])</f>
        <v>DistributionFeederCB4_St Andrews11.22</v>
      </c>
      <c r="B369" s="6" t="str">
        <f>CONCATENATE(TIM[[#This Row],[Supply Level]],TIM[[#This Row],[Station/Feeder]],TIM[[#This Row],[Equipment ID]],TIM[[#This Row],[Voltage]],TIM[[#This Row],[Device type]])</f>
        <v>DistributionFeederCB4_St AndrewsPAR-CB411.22Protection</v>
      </c>
      <c r="C369" s="6" t="s">
        <v>1276</v>
      </c>
      <c r="D369" s="11" t="s">
        <v>208</v>
      </c>
      <c r="E369" s="6" t="s">
        <v>243</v>
      </c>
      <c r="F369" s="6" t="s">
        <v>1066</v>
      </c>
      <c r="G369" s="27">
        <v>1</v>
      </c>
      <c r="H369" s="7" t="s">
        <v>707</v>
      </c>
      <c r="I369" s="7" t="s">
        <v>2295</v>
      </c>
      <c r="J369" s="7" t="s">
        <v>15</v>
      </c>
      <c r="K369" s="7" t="s">
        <v>1314</v>
      </c>
      <c r="L369" s="7" t="s">
        <v>1423</v>
      </c>
      <c r="M369" s="8">
        <f t="shared" si="437"/>
        <v>11.22</v>
      </c>
      <c r="N369" s="9">
        <v>630</v>
      </c>
      <c r="O369" s="9">
        <f t="shared" si="0"/>
        <v>12.243174338381367</v>
      </c>
      <c r="P369" s="9">
        <v>630</v>
      </c>
      <c r="Q369" s="9">
        <f t="shared" si="1"/>
        <v>12.243174338381367</v>
      </c>
      <c r="R369" s="9">
        <v>630</v>
      </c>
      <c r="S369" s="9">
        <f t="shared" si="2"/>
        <v>12.243174338381367</v>
      </c>
      <c r="T369" s="9" t="s">
        <v>0</v>
      </c>
      <c r="U369" s="9" t="str">
        <f t="shared" si="3"/>
        <v>-</v>
      </c>
      <c r="V369" s="9" t="s">
        <v>0</v>
      </c>
      <c r="W369" s="9" t="str">
        <f t="shared" si="4"/>
        <v>-</v>
      </c>
      <c r="X369" s="9">
        <f>VLOOKUP(TIM[[#This Row],[Equipment ID]],AEL_Protection_Data[#All],12,0)</f>
        <v>252</v>
      </c>
      <c r="Y369" s="9">
        <f t="shared" si="5"/>
        <v>4.8972697353525465</v>
      </c>
      <c r="Z369" s="9" t="s">
        <v>0</v>
      </c>
      <c r="AA369" s="9" t="str">
        <f t="shared" si="6"/>
        <v>-</v>
      </c>
      <c r="AB369" s="9" t="s">
        <v>0</v>
      </c>
      <c r="AC369" s="9" t="str">
        <f t="shared" si="7"/>
        <v>-</v>
      </c>
      <c r="AD369" s="9">
        <v>600</v>
      </c>
      <c r="AE369" s="12">
        <f t="shared" si="8"/>
        <v>11.660166036553681</v>
      </c>
      <c r="AF369" s="9" t="s">
        <v>0</v>
      </c>
      <c r="AG369" s="9" t="s">
        <v>0</v>
      </c>
      <c r="AH369" s="9" t="s">
        <v>0</v>
      </c>
      <c r="AI369" s="9" t="s">
        <v>0</v>
      </c>
      <c r="AJ369" s="32" t="s">
        <v>0</v>
      </c>
      <c r="AK369" s="9" t="s">
        <v>0</v>
      </c>
      <c r="AL369" s="32">
        <v>0.95</v>
      </c>
      <c r="AM369" s="9" t="s">
        <v>0</v>
      </c>
      <c r="AN369" s="32" t="s">
        <v>0</v>
      </c>
      <c r="AO369" s="9" t="s">
        <v>0</v>
      </c>
      <c r="AP369" s="9" t="s">
        <v>0</v>
      </c>
      <c r="AQ369" s="32" t="s">
        <v>0</v>
      </c>
      <c r="AR369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69" s="9" t="str">
        <f t="shared" si="9"/>
        <v>-</v>
      </c>
      <c r="AT369" s="9">
        <f>IF(RIGHT(TIM[[#This Row],[Device type]],7)="Winding","-",TIM[[#This Row],[Cont Winter MVA]])</f>
        <v>12.243174338381367</v>
      </c>
      <c r="AU369" s="9">
        <f>IF(RIGHT(TIM[[#This Row],[Device type]],7)="Winding","-",TIM[[#This Row],[Cont Shoulder MVA]])</f>
        <v>12.243174338381367</v>
      </c>
      <c r="AV369" s="9">
        <f>IF(RIGHT(TIM[[#This Row],[Device type]],7)="Winding","-",TIM[[#This Row],[Cont Summer MVA]])</f>
        <v>12.243174338381367</v>
      </c>
      <c r="AW369" s="9" t="str">
        <f>TIM[[#This Row],[24 Hr Winter MVA]]</f>
        <v>-</v>
      </c>
      <c r="AX369" s="9" t="str">
        <f>TIM[[#This Row],[24 Hr Summer MVA]]</f>
        <v>-</v>
      </c>
      <c r="AY369" s="9">
        <f>TIM[[#This Row],[Forwards MVA]]</f>
        <v>4.8972697353525465</v>
      </c>
      <c r="AZ369" s="9" t="str">
        <f>TIM[[#This Row],[Relay MVA]]</f>
        <v>-</v>
      </c>
      <c r="BA369" s="9">
        <f>TIM[[#This Row],[CT MVA]]</f>
        <v>11.660166036553681</v>
      </c>
      <c r="BB369" s="9" t="str">
        <f>TIM[[#This Row],[Derating MVA]]</f>
        <v>-</v>
      </c>
      <c r="BC369" s="9" t="str">
        <f>TIM[[#This Row],[Station/Feeder]]&amp;TIM[[#This Row],[Lowest MVA]]</f>
        <v>CB4_St Andrews4.89726973535255</v>
      </c>
      <c r="BD369" s="9" t="str">
        <f>CONCATENATE(TIM[[#This Row],[Supply Level]],TIM[[#This Row],[Station/Feeder]],TIM[[#This Row],[Voltage]],TIM[[#This Row],[Lowest A-No PTX]])</f>
        <v>DistributionFeederCB4_St Andrews11.22252</v>
      </c>
      <c r="BE369" s="9" t="str">
        <f>CONCATENATE(TIM[[#This Row],[Supply Level]],TIM[[#This Row],[Station/Feeder]],TIM[[#This Row],[Voltage]],TIM[[#This Row],[Lowest A-PTX]])</f>
        <v>DistributionFeederCB4_St Andrews11.22252</v>
      </c>
      <c r="BF369" s="9">
        <f>IFERROR(IF(MIN(TIM[[#This Row],[Summ Cont Winter A]:[Cable Derating]])=0,"",MIN(TIM[[#This Row],[Summ Cont Winter A]:[Cable Derating]])),"")</f>
        <v>4.8972697353525465</v>
      </c>
      <c r="BG369" s="9">
        <f>IFERROR(TIM[[#This Row],[Lowest MVA]]*1000/(TIM[[#This Row],[Voltage]]*SQRT(3)),"")</f>
        <v>252</v>
      </c>
      <c r="BH369" s="9">
        <f t="shared" si="435"/>
        <v>252</v>
      </c>
      <c r="BI369" s="9" t="str">
        <f>TIM[[#This Row],[From]]</f>
        <v>11 kV Bus</v>
      </c>
      <c r="BJ369" s="9" t="str">
        <f>TIM[[#This Row],[To]]</f>
        <v>PAR4</v>
      </c>
      <c r="BK36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Breaker-PAR-CB4-Protection</v>
      </c>
      <c r="BL369" s="9">
        <f>TIM[[#This Row],[Voltage]]</f>
        <v>11.22</v>
      </c>
    </row>
    <row r="370" spans="1:64" ht="15" customHeight="1" x14ac:dyDescent="0.25">
      <c r="A370" s="6" t="str">
        <f>CONCATENATE(TIM[[#This Row],[Supply Level]],TIM[[#This Row],[Station/Feeder]],TIM[[#This Row],[Voltage]])</f>
        <v>DistributionFeederCB4_St Andrews11.22</v>
      </c>
      <c r="B370" s="6" t="str">
        <f>CONCATENATE(TIM[[#This Row],[Supply Level]],TIM[[#This Row],[Station/Feeder]],TIM[[#This Row],[Equipment ID]],TIM[[#This Row],[Voltage]],TIM[[#This Row],[Device type]])</f>
        <v>DistributionFeederCB4_St Andrews3c 300mm² AL XLPE CWS MDPE11.22-</v>
      </c>
      <c r="C370" s="6" t="s">
        <v>1276</v>
      </c>
      <c r="D370" s="11" t="s">
        <v>208</v>
      </c>
      <c r="E370" s="6" t="s">
        <v>1066</v>
      </c>
      <c r="F370" s="6" t="s">
        <v>1067</v>
      </c>
      <c r="G370" s="27">
        <v>2</v>
      </c>
      <c r="H370" s="7" t="s">
        <v>707</v>
      </c>
      <c r="I370" s="7" t="s">
        <v>715</v>
      </c>
      <c r="J370" s="7" t="s">
        <v>250</v>
      </c>
      <c r="K370" s="7" t="s">
        <v>0</v>
      </c>
      <c r="L370" s="7" t="s">
        <v>0</v>
      </c>
      <c r="M370" s="8">
        <f t="shared" si="437"/>
        <v>11.22</v>
      </c>
      <c r="N370" s="9">
        <v>476</v>
      </c>
      <c r="O370" s="9">
        <f t="shared" si="0"/>
        <v>9.2503983889992547</v>
      </c>
      <c r="P370" s="9">
        <v>476</v>
      </c>
      <c r="Q370" s="9">
        <f t="shared" si="1"/>
        <v>9.2503983889992547</v>
      </c>
      <c r="R370" s="9">
        <v>476</v>
      </c>
      <c r="S370" s="9">
        <f t="shared" si="2"/>
        <v>9.2503983889992547</v>
      </c>
      <c r="T370" s="9" t="s">
        <v>0</v>
      </c>
      <c r="U370" s="9" t="str">
        <f t="shared" si="3"/>
        <v>-</v>
      </c>
      <c r="V370" s="9" t="s">
        <v>0</v>
      </c>
      <c r="W370" s="9" t="str">
        <f t="shared" si="4"/>
        <v>-</v>
      </c>
      <c r="X370" s="9" t="s">
        <v>0</v>
      </c>
      <c r="Y370" s="9" t="str">
        <f t="shared" si="5"/>
        <v>-</v>
      </c>
      <c r="Z370" s="9" t="s">
        <v>0</v>
      </c>
      <c r="AA370" s="9" t="str">
        <f t="shared" si="6"/>
        <v>-</v>
      </c>
      <c r="AB370" s="9" t="s">
        <v>0</v>
      </c>
      <c r="AC370" s="9" t="str">
        <f t="shared" si="7"/>
        <v>-</v>
      </c>
      <c r="AD370" s="9" t="s">
        <v>0</v>
      </c>
      <c r="AE370" s="12" t="str">
        <f t="shared" si="8"/>
        <v>-</v>
      </c>
      <c r="AF370" s="9">
        <v>3</v>
      </c>
      <c r="AG370" s="9" t="s">
        <v>0</v>
      </c>
      <c r="AH370" s="9">
        <v>129.9</v>
      </c>
      <c r="AI370" s="9">
        <v>0.4</v>
      </c>
      <c r="AJ370" s="32">
        <v>1</v>
      </c>
      <c r="AK370" s="9">
        <v>20</v>
      </c>
      <c r="AL370" s="32">
        <v>0.97</v>
      </c>
      <c r="AM370" s="9">
        <v>1.2</v>
      </c>
      <c r="AN370" s="32">
        <v>1</v>
      </c>
      <c r="AO370" s="9">
        <v>3</v>
      </c>
      <c r="AP370" s="9">
        <v>0.4</v>
      </c>
      <c r="AQ370" s="32">
        <v>0.82</v>
      </c>
      <c r="AR370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378.61039999999997</v>
      </c>
      <c r="AS370" s="9">
        <f t="shared" si="9"/>
        <v>7.3577668786100068</v>
      </c>
      <c r="AT370" s="9">
        <f>IF(RIGHT(TIM[[#This Row],[Device type]],7)="Winding","-",TIM[[#This Row],[Cont Winter MVA]])</f>
        <v>9.2503983889992547</v>
      </c>
      <c r="AU370" s="9">
        <f>IF(RIGHT(TIM[[#This Row],[Device type]],7)="Winding","-",TIM[[#This Row],[Cont Shoulder MVA]])</f>
        <v>9.2503983889992547</v>
      </c>
      <c r="AV370" s="9">
        <f>IF(RIGHT(TIM[[#This Row],[Device type]],7)="Winding","-",TIM[[#This Row],[Cont Summer MVA]])</f>
        <v>9.2503983889992547</v>
      </c>
      <c r="AW370" s="9" t="str">
        <f>TIM[[#This Row],[24 Hr Winter MVA]]</f>
        <v>-</v>
      </c>
      <c r="AX370" s="9" t="str">
        <f>TIM[[#This Row],[24 Hr Summer MVA]]</f>
        <v>-</v>
      </c>
      <c r="AY370" s="9" t="str">
        <f>TIM[[#This Row],[Forwards MVA]]</f>
        <v>-</v>
      </c>
      <c r="AZ370" s="9" t="str">
        <f>TIM[[#This Row],[Relay MVA]]</f>
        <v>-</v>
      </c>
      <c r="BA370" s="9" t="str">
        <f>TIM[[#This Row],[CT MVA]]</f>
        <v>-</v>
      </c>
      <c r="BB370" s="9">
        <f>TIM[[#This Row],[Derating MVA]]</f>
        <v>7.3577668786100068</v>
      </c>
      <c r="BC370" s="9" t="str">
        <f>TIM[[#This Row],[Station/Feeder]]&amp;TIM[[#This Row],[Lowest MVA]]</f>
        <v>CB4_St Andrews7.35776687861001</v>
      </c>
      <c r="BD370" s="9" t="str">
        <f>CONCATENATE(TIM[[#This Row],[Supply Level]],TIM[[#This Row],[Station/Feeder]],TIM[[#This Row],[Voltage]],TIM[[#This Row],[Lowest A-No PTX]])</f>
        <v>DistributionFeederCB4_St Andrews11.22378.6104</v>
      </c>
      <c r="BE370" s="9" t="str">
        <f>CONCATENATE(TIM[[#This Row],[Supply Level]],TIM[[#This Row],[Station/Feeder]],TIM[[#This Row],[Voltage]],TIM[[#This Row],[Lowest A-PTX]])</f>
        <v>DistributionFeederCB4_St Andrews11.22378.6104</v>
      </c>
      <c r="BF370" s="9">
        <f>IFERROR(IF(MIN(TIM[[#This Row],[Summ Cont Winter A]:[Cable Derating]])=0,"",MIN(TIM[[#This Row],[Summ Cont Winter A]:[Cable Derating]])),"")</f>
        <v>7.3577668786100068</v>
      </c>
      <c r="BG370" s="9">
        <f>IFERROR(TIM[[#This Row],[Lowest MVA]]*1000/(TIM[[#This Row],[Voltage]]*SQRT(3)),"")</f>
        <v>378.61039999999997</v>
      </c>
      <c r="BH370" s="9">
        <f t="shared" si="435"/>
        <v>378.61039999999997</v>
      </c>
      <c r="BI370" s="9" t="str">
        <f>TIM[[#This Row],[From]]</f>
        <v>PAR4</v>
      </c>
      <c r="BJ370" s="9" t="str">
        <f>TIM[[#This Row],[To]]</f>
        <v>L572 Link</v>
      </c>
      <c r="BK37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300mm² AL XLPE CWS MDPE</v>
      </c>
      <c r="BL370" s="9">
        <f>TIM[[#This Row],[Voltage]]</f>
        <v>11.22</v>
      </c>
    </row>
    <row r="371" spans="1:64" ht="15" customHeight="1" x14ac:dyDescent="0.25">
      <c r="A371" s="6" t="str">
        <f>CONCATENATE(TIM[[#This Row],[Supply Level]],TIM[[#This Row],[Station/Feeder]],TIM[[#This Row],[Voltage]])</f>
        <v>DistributionFeederCB4_St Andrews11.22</v>
      </c>
      <c r="B371" s="6" t="str">
        <f>CONCATENATE(TIM[[#This Row],[Supply Level]],TIM[[#This Row],[Station/Feeder]],TIM[[#This Row],[Equipment ID]],TIM[[#This Row],[Voltage]],TIM[[#This Row],[Device type]])</f>
        <v>DistributionFeederCB4_St AndrewsDOG11.22-</v>
      </c>
      <c r="C371" s="6" t="s">
        <v>1276</v>
      </c>
      <c r="D371" s="11" t="s">
        <v>208</v>
      </c>
      <c r="E371" s="6" t="s">
        <v>1067</v>
      </c>
      <c r="F371" s="6" t="s">
        <v>1068</v>
      </c>
      <c r="G371" s="27">
        <v>3</v>
      </c>
      <c r="H371" s="7" t="s">
        <v>707</v>
      </c>
      <c r="I371" s="7" t="s">
        <v>318</v>
      </c>
      <c r="J371" s="7" t="s">
        <v>69</v>
      </c>
      <c r="K371" s="7" t="s">
        <v>0</v>
      </c>
      <c r="L371" s="7" t="s">
        <v>0</v>
      </c>
      <c r="M371" s="8">
        <f t="shared" si="437"/>
        <v>11.22</v>
      </c>
      <c r="N371" s="9">
        <v>343.69342642524197</v>
      </c>
      <c r="O371" s="9">
        <f t="shared" si="0"/>
        <v>6.679204029650613</v>
      </c>
      <c r="P371" s="9" t="s">
        <v>0</v>
      </c>
      <c r="Q371" s="9" t="str">
        <f t="shared" si="1"/>
        <v>-</v>
      </c>
      <c r="R371" s="9">
        <v>256.85852310343915</v>
      </c>
      <c r="S371" s="9">
        <f t="shared" si="2"/>
        <v>4.9916883788167672</v>
      </c>
      <c r="T371" s="9" t="s">
        <v>0</v>
      </c>
      <c r="U371" s="9" t="str">
        <f t="shared" si="3"/>
        <v>-</v>
      </c>
      <c r="V371" s="9" t="s">
        <v>0</v>
      </c>
      <c r="W371" s="9" t="str">
        <f t="shared" si="4"/>
        <v>-</v>
      </c>
      <c r="X371" s="9" t="s">
        <v>0</v>
      </c>
      <c r="Y371" s="9" t="str">
        <f t="shared" si="5"/>
        <v>-</v>
      </c>
      <c r="Z371" s="9" t="s">
        <v>0</v>
      </c>
      <c r="AA371" s="9" t="str">
        <f t="shared" si="6"/>
        <v>-</v>
      </c>
      <c r="AB371" s="9" t="s">
        <v>0</v>
      </c>
      <c r="AC371" s="9" t="str">
        <f t="shared" si="7"/>
        <v>-</v>
      </c>
      <c r="AD371" s="9" t="s">
        <v>0</v>
      </c>
      <c r="AE371" s="12" t="str">
        <f t="shared" si="8"/>
        <v>-</v>
      </c>
      <c r="AF371" s="9" t="s">
        <v>0</v>
      </c>
      <c r="AG371" s="9" t="s">
        <v>0</v>
      </c>
      <c r="AH371" s="9">
        <v>1232.8</v>
      </c>
      <c r="AI371" s="9" t="s">
        <v>0</v>
      </c>
      <c r="AJ371" s="32" t="s">
        <v>0</v>
      </c>
      <c r="AK371" s="9" t="s">
        <v>0</v>
      </c>
      <c r="AL371" s="32">
        <v>0.95</v>
      </c>
      <c r="AM371" s="9" t="s">
        <v>0</v>
      </c>
      <c r="AN371" s="32" t="s">
        <v>0</v>
      </c>
      <c r="AO371" s="9" t="s">
        <v>0</v>
      </c>
      <c r="AP371" s="9" t="s">
        <v>0</v>
      </c>
      <c r="AQ371" s="32" t="s">
        <v>0</v>
      </c>
      <c r="AR37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71" s="9" t="str">
        <f t="shared" si="9"/>
        <v>-</v>
      </c>
      <c r="AT371" s="9">
        <f>IF(RIGHT(TIM[[#This Row],[Device type]],7)="Winding","-",TIM[[#This Row],[Cont Winter MVA]])</f>
        <v>6.679204029650613</v>
      </c>
      <c r="AU371" s="9" t="str">
        <f>IF(RIGHT(TIM[[#This Row],[Device type]],7)="Winding","-",TIM[[#This Row],[Cont Shoulder MVA]])</f>
        <v>-</v>
      </c>
      <c r="AV371" s="9">
        <f>IF(RIGHT(TIM[[#This Row],[Device type]],7)="Winding","-",TIM[[#This Row],[Cont Summer MVA]])</f>
        <v>4.9916883788167672</v>
      </c>
      <c r="AW371" s="9" t="str">
        <f>TIM[[#This Row],[24 Hr Winter MVA]]</f>
        <v>-</v>
      </c>
      <c r="AX371" s="9" t="str">
        <f>TIM[[#This Row],[24 Hr Summer MVA]]</f>
        <v>-</v>
      </c>
      <c r="AY371" s="9" t="str">
        <f>TIM[[#This Row],[Forwards MVA]]</f>
        <v>-</v>
      </c>
      <c r="AZ371" s="9" t="str">
        <f>TIM[[#This Row],[Relay MVA]]</f>
        <v>-</v>
      </c>
      <c r="BA371" s="9" t="str">
        <f>TIM[[#This Row],[CT MVA]]</f>
        <v>-</v>
      </c>
      <c r="BB371" s="9" t="str">
        <f>TIM[[#This Row],[Derating MVA]]</f>
        <v>-</v>
      </c>
      <c r="BC371" s="9" t="str">
        <f>TIM[[#This Row],[Station/Feeder]]&amp;TIM[[#This Row],[Lowest MVA]]</f>
        <v>CB4_St Andrews4.99168837881677</v>
      </c>
      <c r="BD371" s="9" t="str">
        <f>CONCATENATE(TIM[[#This Row],[Supply Level]],TIM[[#This Row],[Station/Feeder]],TIM[[#This Row],[Voltage]],TIM[[#This Row],[Lowest A-No PTX]])</f>
        <v>DistributionFeederCB4_St Andrews11.22256.858523103439</v>
      </c>
      <c r="BE371" s="9" t="str">
        <f>CONCATENATE(TIM[[#This Row],[Supply Level]],TIM[[#This Row],[Station/Feeder]],TIM[[#This Row],[Voltage]],TIM[[#This Row],[Lowest A-PTX]])</f>
        <v>DistributionFeederCB4_St Andrews11.22256.858523103439</v>
      </c>
      <c r="BF371" s="9">
        <f>IFERROR(IF(MIN(TIM[[#This Row],[Summ Cont Winter A]:[Cable Derating]])=0,"",MIN(TIM[[#This Row],[Summ Cont Winter A]:[Cable Derating]])),"")</f>
        <v>4.9916883788167672</v>
      </c>
      <c r="BG371" s="9">
        <f>IFERROR(TIM[[#This Row],[Lowest MVA]]*1000/(TIM[[#This Row],[Voltage]]*SQRT(3)),"")</f>
        <v>256.85852310343915</v>
      </c>
      <c r="BH371" s="9">
        <f t="shared" si="435"/>
        <v>256.85852310343915</v>
      </c>
      <c r="BI371" s="9" t="str">
        <f>TIM[[#This Row],[From]]</f>
        <v>L572 Link</v>
      </c>
      <c r="BJ371" s="9" t="str">
        <f>TIM[[#This Row],[To]]</f>
        <v>L570 ABS</v>
      </c>
      <c r="BK37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Line-DOG</v>
      </c>
      <c r="BL371" s="9">
        <f>TIM[[#This Row],[Voltage]]</f>
        <v>11.22</v>
      </c>
    </row>
    <row r="372" spans="1:64" ht="15" customHeight="1" x14ac:dyDescent="0.25">
      <c r="A372" s="6" t="str">
        <f>CONCATENATE(TIM[[#This Row],[Supply Level]],TIM[[#This Row],[Station/Feeder]],TIM[[#This Row],[Voltage]])</f>
        <v>DistributionFeederCB5_Works No. 211.22</v>
      </c>
      <c r="B372" s="6" t="str">
        <f>CONCATENATE(TIM[[#This Row],[Supply Level]],TIM[[#This Row],[Station/Feeder]],TIM[[#This Row],[Equipment ID]],TIM[[#This Row],[Voltage]],TIM[[#This Row],[Device type]])</f>
        <v>DistributionFeederCB5_Works No. 2PAR-CB511.22Protection</v>
      </c>
      <c r="C372" s="6" t="s">
        <v>1276</v>
      </c>
      <c r="D372" s="11" t="s">
        <v>2854</v>
      </c>
      <c r="E372" s="6" t="s">
        <v>243</v>
      </c>
      <c r="F372" s="6" t="s">
        <v>1069</v>
      </c>
      <c r="G372" s="27">
        <v>1</v>
      </c>
      <c r="H372" s="7" t="s">
        <v>707</v>
      </c>
      <c r="I372" s="7" t="s">
        <v>2296</v>
      </c>
      <c r="J372" s="7" t="s">
        <v>15</v>
      </c>
      <c r="K372" s="7" t="s">
        <v>1314</v>
      </c>
      <c r="L372" s="7" t="s">
        <v>1423</v>
      </c>
      <c r="M372" s="8">
        <f t="shared" si="437"/>
        <v>11.22</v>
      </c>
      <c r="N372" s="9">
        <v>630</v>
      </c>
      <c r="O372" s="9">
        <f t="shared" si="0"/>
        <v>12.243174338381367</v>
      </c>
      <c r="P372" s="9">
        <v>630</v>
      </c>
      <c r="Q372" s="9">
        <f t="shared" si="1"/>
        <v>12.243174338381367</v>
      </c>
      <c r="R372" s="9">
        <v>630</v>
      </c>
      <c r="S372" s="9">
        <f t="shared" si="2"/>
        <v>12.243174338381367</v>
      </c>
      <c r="T372" s="9" t="s">
        <v>0</v>
      </c>
      <c r="U372" s="9" t="str">
        <f t="shared" si="3"/>
        <v>-</v>
      </c>
      <c r="V372" s="9" t="s">
        <v>0</v>
      </c>
      <c r="W372" s="9" t="str">
        <f t="shared" si="4"/>
        <v>-</v>
      </c>
      <c r="X372" s="9">
        <f>VLOOKUP(TIM[[#This Row],[Equipment ID]],AEL_Protection_Data[#All],12,0)</f>
        <v>300</v>
      </c>
      <c r="Y372" s="9">
        <f t="shared" si="5"/>
        <v>5.8300830182768406</v>
      </c>
      <c r="Z372" s="9" t="s">
        <v>0</v>
      </c>
      <c r="AA372" s="9" t="str">
        <f t="shared" si="6"/>
        <v>-</v>
      </c>
      <c r="AB372" s="9" t="s">
        <v>0</v>
      </c>
      <c r="AC372" s="9" t="str">
        <f t="shared" si="7"/>
        <v>-</v>
      </c>
      <c r="AD372" s="9">
        <v>300</v>
      </c>
      <c r="AE372" s="12">
        <f t="shared" si="8"/>
        <v>5.8300830182768406</v>
      </c>
      <c r="AF372" s="9" t="s">
        <v>0</v>
      </c>
      <c r="AG372" s="9" t="s">
        <v>0</v>
      </c>
      <c r="AH372" s="9" t="s">
        <v>0</v>
      </c>
      <c r="AI372" s="9" t="s">
        <v>0</v>
      </c>
      <c r="AJ372" s="32" t="s">
        <v>0</v>
      </c>
      <c r="AK372" s="9" t="s">
        <v>0</v>
      </c>
      <c r="AL372" s="32">
        <v>0.95</v>
      </c>
      <c r="AM372" s="9" t="s">
        <v>0</v>
      </c>
      <c r="AN372" s="32" t="s">
        <v>0</v>
      </c>
      <c r="AO372" s="9" t="s">
        <v>0</v>
      </c>
      <c r="AP372" s="9" t="s">
        <v>0</v>
      </c>
      <c r="AQ372" s="32" t="s">
        <v>0</v>
      </c>
      <c r="AR372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72" s="9" t="str">
        <f t="shared" si="9"/>
        <v>-</v>
      </c>
      <c r="AT372" s="9">
        <f>IF(RIGHT(TIM[[#This Row],[Device type]],7)="Winding","-",TIM[[#This Row],[Cont Winter MVA]])</f>
        <v>12.243174338381367</v>
      </c>
      <c r="AU372" s="9">
        <f>IF(RIGHT(TIM[[#This Row],[Device type]],7)="Winding","-",TIM[[#This Row],[Cont Shoulder MVA]])</f>
        <v>12.243174338381367</v>
      </c>
      <c r="AV372" s="9">
        <f>IF(RIGHT(TIM[[#This Row],[Device type]],7)="Winding","-",TIM[[#This Row],[Cont Summer MVA]])</f>
        <v>12.243174338381367</v>
      </c>
      <c r="AW372" s="9" t="str">
        <f>TIM[[#This Row],[24 Hr Winter MVA]]</f>
        <v>-</v>
      </c>
      <c r="AX372" s="9" t="str">
        <f>TIM[[#This Row],[24 Hr Summer MVA]]</f>
        <v>-</v>
      </c>
      <c r="AY372" s="9">
        <f>TIM[[#This Row],[Forwards MVA]]</f>
        <v>5.8300830182768406</v>
      </c>
      <c r="AZ372" s="9" t="str">
        <f>TIM[[#This Row],[Relay MVA]]</f>
        <v>-</v>
      </c>
      <c r="BA372" s="9">
        <f>TIM[[#This Row],[CT MVA]]</f>
        <v>5.8300830182768406</v>
      </c>
      <c r="BB372" s="9" t="str">
        <f>TIM[[#This Row],[Derating MVA]]</f>
        <v>-</v>
      </c>
      <c r="BC372" s="9" t="str">
        <f>TIM[[#This Row],[Station/Feeder]]&amp;TIM[[#This Row],[Lowest MVA]]</f>
        <v>CB5_Works No. 25.83008301827684</v>
      </c>
      <c r="BD372" s="9" t="str">
        <f>CONCATENATE(TIM[[#This Row],[Supply Level]],TIM[[#This Row],[Station/Feeder]],TIM[[#This Row],[Voltage]],TIM[[#This Row],[Lowest A-No PTX]])</f>
        <v>DistributionFeederCB5_Works No. 211.22300</v>
      </c>
      <c r="BE372" s="9" t="str">
        <f>CONCATENATE(TIM[[#This Row],[Supply Level]],TIM[[#This Row],[Station/Feeder]],TIM[[#This Row],[Voltage]],TIM[[#This Row],[Lowest A-PTX]])</f>
        <v>DistributionFeederCB5_Works No. 211.22300</v>
      </c>
      <c r="BF372" s="9">
        <f>IFERROR(IF(MIN(TIM[[#This Row],[Summ Cont Winter A]:[Cable Derating]])=0,"",MIN(TIM[[#This Row],[Summ Cont Winter A]:[Cable Derating]])),"")</f>
        <v>5.8300830182768406</v>
      </c>
      <c r="BG372" s="9">
        <f>IFERROR(TIM[[#This Row],[Lowest MVA]]*1000/(TIM[[#This Row],[Voltage]]*SQRT(3)),"")</f>
        <v>300</v>
      </c>
      <c r="BH372" s="9">
        <f t="shared" si="435"/>
        <v>300</v>
      </c>
      <c r="BI372" s="9" t="str">
        <f>TIM[[#This Row],[From]]</f>
        <v>11 kV Bus</v>
      </c>
      <c r="BJ372" s="9" t="str">
        <f>TIM[[#This Row],[To]]</f>
        <v>PAR5</v>
      </c>
      <c r="BK37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Breaker-PAR-CB5-Protection</v>
      </c>
      <c r="BL372" s="9">
        <f>TIM[[#This Row],[Voltage]]</f>
        <v>11.22</v>
      </c>
    </row>
    <row r="373" spans="1:64" ht="15" customHeight="1" x14ac:dyDescent="0.25">
      <c r="A373" s="14" t="str">
        <f>CONCATENATE(TIM[[#This Row],[Supply Level]],TIM[[#This Row],[Station/Feeder]],TIM[[#This Row],[Voltage]])</f>
        <v>DistributionFeederCB5_Works No. 211.22</v>
      </c>
      <c r="B373" s="14" t="str">
        <f>CONCATENATE(TIM[[#This Row],[Supply Level]],TIM[[#This Row],[Station/Feeder]],TIM[[#This Row],[Equipment ID]],TIM[[#This Row],[Voltage]],TIM[[#This Row],[Device type]])</f>
        <v>DistributionFeederCB5_Works No. 23c 240mm²  AL PILC DSTA11.22-</v>
      </c>
      <c r="C373" s="14" t="s">
        <v>1276</v>
      </c>
      <c r="D373" s="13" t="s">
        <v>2854</v>
      </c>
      <c r="E373" s="14" t="s">
        <v>1069</v>
      </c>
      <c r="F373" s="14" t="s">
        <v>1070</v>
      </c>
      <c r="G373" s="28">
        <v>2</v>
      </c>
      <c r="H373" s="7" t="s">
        <v>707</v>
      </c>
      <c r="I373" s="7" t="s">
        <v>1065</v>
      </c>
      <c r="J373" s="39" t="s">
        <v>250</v>
      </c>
      <c r="K373" s="7" t="s">
        <v>0</v>
      </c>
      <c r="L373" s="7" t="s">
        <v>0</v>
      </c>
      <c r="M373" s="15">
        <f t="shared" si="437"/>
        <v>11.22</v>
      </c>
      <c r="N373" s="16">
        <v>345</v>
      </c>
      <c r="O373" s="16">
        <f t="shared" si="0"/>
        <v>6.7045954710183668</v>
      </c>
      <c r="P373" s="16">
        <v>345</v>
      </c>
      <c r="Q373" s="16">
        <f t="shared" si="1"/>
        <v>6.7045954710183668</v>
      </c>
      <c r="R373" s="16">
        <v>345</v>
      </c>
      <c r="S373" s="16">
        <f t="shared" si="2"/>
        <v>6.7045954710183668</v>
      </c>
      <c r="T373" s="16" t="s">
        <v>0</v>
      </c>
      <c r="U373" s="16" t="str">
        <f t="shared" si="3"/>
        <v>-</v>
      </c>
      <c r="V373" s="16" t="s">
        <v>0</v>
      </c>
      <c r="W373" s="16" t="str">
        <f t="shared" si="4"/>
        <v>-</v>
      </c>
      <c r="X373" s="16" t="s">
        <v>0</v>
      </c>
      <c r="Y373" s="16" t="str">
        <f t="shared" si="5"/>
        <v>-</v>
      </c>
      <c r="Z373" s="16" t="s">
        <v>0</v>
      </c>
      <c r="AA373" s="16" t="str">
        <f t="shared" si="6"/>
        <v>-</v>
      </c>
      <c r="AB373" s="16" t="s">
        <v>0</v>
      </c>
      <c r="AC373" s="16" t="str">
        <f t="shared" si="7"/>
        <v>-</v>
      </c>
      <c r="AD373" s="16" t="s">
        <v>0</v>
      </c>
      <c r="AE373" s="17" t="str">
        <f t="shared" si="8"/>
        <v>-</v>
      </c>
      <c r="AF373" s="16">
        <v>3</v>
      </c>
      <c r="AG373" s="16" t="s">
        <v>0</v>
      </c>
      <c r="AH373" s="16">
        <v>334.6</v>
      </c>
      <c r="AI373" s="16">
        <v>0.82</v>
      </c>
      <c r="AJ373" s="127">
        <v>1</v>
      </c>
      <c r="AK373" s="16">
        <v>20</v>
      </c>
      <c r="AL373" s="127">
        <v>0.95</v>
      </c>
      <c r="AM373" s="16">
        <v>1.2</v>
      </c>
      <c r="AN373" s="127">
        <v>1</v>
      </c>
      <c r="AO373" s="16">
        <v>2</v>
      </c>
      <c r="AP373" s="16">
        <v>0.65</v>
      </c>
      <c r="AQ373" s="127">
        <v>0.92</v>
      </c>
      <c r="AR373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301.52999999999997</v>
      </c>
      <c r="AS373" s="16">
        <f t="shared" si="9"/>
        <v>5.8598164416700529</v>
      </c>
      <c r="AT373" s="9">
        <f>IF(RIGHT(TIM[[#This Row],[Device type]],7)="Winding","-",TIM[[#This Row],[Cont Winter MVA]])</f>
        <v>6.7045954710183668</v>
      </c>
      <c r="AU373" s="9">
        <f>IF(RIGHT(TIM[[#This Row],[Device type]],7)="Winding","-",TIM[[#This Row],[Cont Shoulder MVA]])</f>
        <v>6.7045954710183668</v>
      </c>
      <c r="AV373" s="9">
        <f>IF(RIGHT(TIM[[#This Row],[Device type]],7)="Winding","-",TIM[[#This Row],[Cont Summer MVA]])</f>
        <v>6.7045954710183668</v>
      </c>
      <c r="AW373" s="9" t="str">
        <f>TIM[[#This Row],[24 Hr Winter MVA]]</f>
        <v>-</v>
      </c>
      <c r="AX373" s="9" t="str">
        <f>TIM[[#This Row],[24 Hr Summer MVA]]</f>
        <v>-</v>
      </c>
      <c r="AY373" s="9" t="str">
        <f>TIM[[#This Row],[Forwards MVA]]</f>
        <v>-</v>
      </c>
      <c r="AZ373" s="9" t="str">
        <f>TIM[[#This Row],[Relay MVA]]</f>
        <v>-</v>
      </c>
      <c r="BA373" s="9" t="str">
        <f>TIM[[#This Row],[CT MVA]]</f>
        <v>-</v>
      </c>
      <c r="BB373" s="9">
        <f>TIM[[#This Row],[Derating MVA]]</f>
        <v>5.8598164416700529</v>
      </c>
      <c r="BC373" s="9" t="str">
        <f>TIM[[#This Row],[Station/Feeder]]&amp;TIM[[#This Row],[Lowest MVA]]</f>
        <v>CB5_Works No. 25.85981644167005</v>
      </c>
      <c r="BD373" s="9" t="str">
        <f>CONCATENATE(TIM[[#This Row],[Supply Level]],TIM[[#This Row],[Station/Feeder]],TIM[[#This Row],[Voltage]],TIM[[#This Row],[Lowest A-No PTX]])</f>
        <v>DistributionFeederCB5_Works No. 211.22301.53</v>
      </c>
      <c r="BE373" s="9" t="str">
        <f>CONCATENATE(TIM[[#This Row],[Supply Level]],TIM[[#This Row],[Station/Feeder]],TIM[[#This Row],[Voltage]],TIM[[#This Row],[Lowest A-PTX]])</f>
        <v>DistributionFeederCB5_Works No. 211.22301.53</v>
      </c>
      <c r="BF373" s="9">
        <f>IFERROR(IF(MIN(TIM[[#This Row],[Summ Cont Winter A]:[Cable Derating]])=0,"",MIN(TIM[[#This Row],[Summ Cont Winter A]:[Cable Derating]])),"")</f>
        <v>5.8598164416700529</v>
      </c>
      <c r="BG373" s="9">
        <f>IFERROR(TIM[[#This Row],[Lowest MVA]]*1000/(TIM[[#This Row],[Voltage]]*SQRT(3)),"")</f>
        <v>301.53000000000003</v>
      </c>
      <c r="BH373" s="9">
        <f t="shared" si="435"/>
        <v>301.52999999999997</v>
      </c>
      <c r="BI373" s="9" t="str">
        <f>TIM[[#This Row],[From]]</f>
        <v>PAR5</v>
      </c>
      <c r="BJ373" s="9" t="str">
        <f>TIM[[#This Row],[To]]</f>
        <v>No.2 RMU</v>
      </c>
      <c r="BK37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240mm²  AL PILC DSTA</v>
      </c>
      <c r="BL373" s="9">
        <f>TIM[[#This Row],[Voltage]]</f>
        <v>11.22</v>
      </c>
    </row>
    <row r="374" spans="1:64" ht="15" customHeight="1" x14ac:dyDescent="0.25">
      <c r="A374" s="6" t="str">
        <f>CONCATENATE(TIM[[#This Row],[Supply Level]],TIM[[#This Row],[Station/Feeder]],TIM[[#This Row],[Voltage]])</f>
        <v>DistributionFeederCB6_Normanby11.22</v>
      </c>
      <c r="B374" s="6" t="str">
        <f>CONCATENATE(TIM[[#This Row],[Supply Level]],TIM[[#This Row],[Station/Feeder]],TIM[[#This Row],[Equipment ID]],TIM[[#This Row],[Voltage]],TIM[[#This Row],[Device type]])</f>
        <v>DistributionFeederCB6_NormanbyPAR-CB611.22Protection</v>
      </c>
      <c r="C374" s="6" t="s">
        <v>1276</v>
      </c>
      <c r="D374" s="11" t="s">
        <v>214</v>
      </c>
      <c r="E374" s="6" t="s">
        <v>243</v>
      </c>
      <c r="F374" s="6" t="s">
        <v>1071</v>
      </c>
      <c r="G374" s="27">
        <v>1</v>
      </c>
      <c r="H374" s="7" t="s">
        <v>707</v>
      </c>
      <c r="I374" s="7" t="s">
        <v>2297</v>
      </c>
      <c r="J374" s="7" t="s">
        <v>15</v>
      </c>
      <c r="K374" s="7" t="s">
        <v>1314</v>
      </c>
      <c r="L374" s="7" t="s">
        <v>1423</v>
      </c>
      <c r="M374" s="8">
        <f t="shared" si="437"/>
        <v>11.22</v>
      </c>
      <c r="N374" s="9">
        <v>630</v>
      </c>
      <c r="O374" s="9">
        <f t="shared" si="0"/>
        <v>12.243174338381367</v>
      </c>
      <c r="P374" s="9">
        <v>630</v>
      </c>
      <c r="Q374" s="9">
        <f t="shared" si="1"/>
        <v>12.243174338381367</v>
      </c>
      <c r="R374" s="9">
        <v>630</v>
      </c>
      <c r="S374" s="9">
        <f t="shared" si="2"/>
        <v>12.243174338381367</v>
      </c>
      <c r="T374" s="9" t="s">
        <v>0</v>
      </c>
      <c r="U374" s="9" t="str">
        <f t="shared" si="3"/>
        <v>-</v>
      </c>
      <c r="V374" s="9" t="s">
        <v>0</v>
      </c>
      <c r="W374" s="9" t="str">
        <f t="shared" si="4"/>
        <v>-</v>
      </c>
      <c r="X374" s="9">
        <f>VLOOKUP(TIM[[#This Row],[Equipment ID]],AEL_Protection_Data[#All],12,0)</f>
        <v>252</v>
      </c>
      <c r="Y374" s="9">
        <f t="shared" si="5"/>
        <v>4.8972697353525465</v>
      </c>
      <c r="Z374" s="9" t="s">
        <v>0</v>
      </c>
      <c r="AA374" s="9" t="str">
        <f t="shared" si="6"/>
        <v>-</v>
      </c>
      <c r="AB374" s="9" t="s">
        <v>0</v>
      </c>
      <c r="AC374" s="9" t="str">
        <f t="shared" si="7"/>
        <v>-</v>
      </c>
      <c r="AD374" s="9">
        <v>600</v>
      </c>
      <c r="AE374" s="12">
        <f t="shared" si="8"/>
        <v>11.660166036553681</v>
      </c>
      <c r="AF374" s="9" t="s">
        <v>0</v>
      </c>
      <c r="AG374" s="9" t="s">
        <v>0</v>
      </c>
      <c r="AH374" s="9" t="s">
        <v>0</v>
      </c>
      <c r="AI374" s="9" t="s">
        <v>0</v>
      </c>
      <c r="AJ374" s="43" t="s">
        <v>0</v>
      </c>
      <c r="AK374" s="9" t="s">
        <v>0</v>
      </c>
      <c r="AL374" s="43">
        <v>0.95</v>
      </c>
      <c r="AM374" s="9" t="s">
        <v>0</v>
      </c>
      <c r="AN374" s="43" t="s">
        <v>0</v>
      </c>
      <c r="AO374" s="9" t="s">
        <v>0</v>
      </c>
      <c r="AP374" s="9" t="s">
        <v>0</v>
      </c>
      <c r="AQ374" s="43" t="s">
        <v>0</v>
      </c>
      <c r="AR37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74" s="9" t="str">
        <f t="shared" si="9"/>
        <v>-</v>
      </c>
      <c r="AT374" s="9">
        <f>IF(RIGHT(TIM[[#This Row],[Device type]],7)="Winding","-",TIM[[#This Row],[Cont Winter MVA]])</f>
        <v>12.243174338381367</v>
      </c>
      <c r="AU374" s="9">
        <f>IF(RIGHT(TIM[[#This Row],[Device type]],7)="Winding","-",TIM[[#This Row],[Cont Shoulder MVA]])</f>
        <v>12.243174338381367</v>
      </c>
      <c r="AV374" s="9">
        <f>IF(RIGHT(TIM[[#This Row],[Device type]],7)="Winding","-",TIM[[#This Row],[Cont Summer MVA]])</f>
        <v>12.243174338381367</v>
      </c>
      <c r="AW374" s="9" t="str">
        <f>TIM[[#This Row],[24 Hr Winter MVA]]</f>
        <v>-</v>
      </c>
      <c r="AX374" s="9" t="str">
        <f>TIM[[#This Row],[24 Hr Summer MVA]]</f>
        <v>-</v>
      </c>
      <c r="AY374" s="9">
        <f>TIM[[#This Row],[Forwards MVA]]</f>
        <v>4.8972697353525465</v>
      </c>
      <c r="AZ374" s="9" t="str">
        <f>TIM[[#This Row],[Relay MVA]]</f>
        <v>-</v>
      </c>
      <c r="BA374" s="9">
        <f>TIM[[#This Row],[CT MVA]]</f>
        <v>11.660166036553681</v>
      </c>
      <c r="BB374" s="9" t="str">
        <f>TIM[[#This Row],[Derating MVA]]</f>
        <v>-</v>
      </c>
      <c r="BC374" s="9" t="str">
        <f>TIM[[#This Row],[Station/Feeder]]&amp;TIM[[#This Row],[Lowest MVA]]</f>
        <v>CB6_Normanby4.89726973535255</v>
      </c>
      <c r="BD374" s="9" t="str">
        <f>CONCATENATE(TIM[[#This Row],[Supply Level]],TIM[[#This Row],[Station/Feeder]],TIM[[#This Row],[Voltage]],TIM[[#This Row],[Lowest A-No PTX]])</f>
        <v>DistributionFeederCB6_Normanby11.22252</v>
      </c>
      <c r="BE374" s="9" t="str">
        <f>CONCATENATE(TIM[[#This Row],[Supply Level]],TIM[[#This Row],[Station/Feeder]],TIM[[#This Row],[Voltage]],TIM[[#This Row],[Lowest A-PTX]])</f>
        <v>DistributionFeederCB6_Normanby11.22252</v>
      </c>
      <c r="BF374" s="9">
        <f>IFERROR(IF(MIN(TIM[[#This Row],[Summ Cont Winter A]:[Cable Derating]])=0,"",MIN(TIM[[#This Row],[Summ Cont Winter A]:[Cable Derating]])),"")</f>
        <v>4.8972697353525465</v>
      </c>
      <c r="BG374" s="9">
        <f>IFERROR(TIM[[#This Row],[Lowest MVA]]*1000/(TIM[[#This Row],[Voltage]]*SQRT(3)),"")</f>
        <v>252</v>
      </c>
      <c r="BH374" s="9">
        <f t="shared" si="435"/>
        <v>252</v>
      </c>
      <c r="BI374" s="9" t="str">
        <f>TIM[[#This Row],[From]]</f>
        <v>11 kV Bus</v>
      </c>
      <c r="BJ374" s="9" t="str">
        <f>TIM[[#This Row],[To]]</f>
        <v>PAR6</v>
      </c>
      <c r="BK37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Breaker-PAR-CB6-Protection</v>
      </c>
      <c r="BL374" s="9">
        <f>TIM[[#This Row],[Voltage]]</f>
        <v>11.22</v>
      </c>
    </row>
    <row r="375" spans="1:64" ht="15" customHeight="1" x14ac:dyDescent="0.25">
      <c r="A375" s="6" t="str">
        <f>CONCATENATE(TIM[[#This Row],[Supply Level]],TIM[[#This Row],[Station/Feeder]],TIM[[#This Row],[Voltage]])</f>
        <v>DistributionFeederCB6_Normanby11.22</v>
      </c>
      <c r="B375" s="6" t="str">
        <f>CONCATENATE(TIM[[#This Row],[Supply Level]],TIM[[#This Row],[Station/Feeder]],TIM[[#This Row],[Equipment ID]],TIM[[#This Row],[Voltage]],TIM[[#This Row],[Device type]])</f>
        <v>DistributionFeederCB6_Normanby3c 300mm² AL XLPE PVC11.22-</v>
      </c>
      <c r="C375" s="6" t="s">
        <v>1276</v>
      </c>
      <c r="D375" s="11" t="s">
        <v>214</v>
      </c>
      <c r="E375" s="6" t="s">
        <v>1072</v>
      </c>
      <c r="F375" s="6" t="s">
        <v>750</v>
      </c>
      <c r="G375" s="27">
        <v>2</v>
      </c>
      <c r="H375" s="7" t="s">
        <v>707</v>
      </c>
      <c r="I375" s="7" t="s">
        <v>1073</v>
      </c>
      <c r="J375" s="7" t="s">
        <v>250</v>
      </c>
      <c r="K375" s="7" t="s">
        <v>0</v>
      </c>
      <c r="L375" s="7" t="s">
        <v>0</v>
      </c>
      <c r="M375" s="8">
        <f t="shared" si="437"/>
        <v>11.22</v>
      </c>
      <c r="N375" s="9">
        <v>476</v>
      </c>
      <c r="O375" s="9">
        <f t="shared" si="0"/>
        <v>9.2503983889992547</v>
      </c>
      <c r="P375" s="9">
        <v>476</v>
      </c>
      <c r="Q375" s="9">
        <f t="shared" si="1"/>
        <v>9.2503983889992547</v>
      </c>
      <c r="R375" s="9">
        <v>476</v>
      </c>
      <c r="S375" s="9">
        <f t="shared" si="2"/>
        <v>9.2503983889992547</v>
      </c>
      <c r="T375" s="9" t="s">
        <v>0</v>
      </c>
      <c r="U375" s="9" t="str">
        <f t="shared" si="3"/>
        <v>-</v>
      </c>
      <c r="V375" s="9" t="s">
        <v>0</v>
      </c>
      <c r="W375" s="9" t="str">
        <f t="shared" si="4"/>
        <v>-</v>
      </c>
      <c r="X375" s="9" t="s">
        <v>0</v>
      </c>
      <c r="Y375" s="9" t="str">
        <f t="shared" si="5"/>
        <v>-</v>
      </c>
      <c r="Z375" s="9" t="s">
        <v>0</v>
      </c>
      <c r="AA375" s="9" t="str">
        <f t="shared" si="6"/>
        <v>-</v>
      </c>
      <c r="AB375" s="9" t="s">
        <v>0</v>
      </c>
      <c r="AC375" s="9" t="str">
        <f t="shared" si="7"/>
        <v>-</v>
      </c>
      <c r="AD375" s="9" t="s">
        <v>0</v>
      </c>
      <c r="AE375" s="12" t="str">
        <f t="shared" si="8"/>
        <v>-</v>
      </c>
      <c r="AF375" s="9">
        <v>3</v>
      </c>
      <c r="AG375" s="9" t="s">
        <v>0</v>
      </c>
      <c r="AH375" s="9" t="s">
        <v>0</v>
      </c>
      <c r="AI375" s="9">
        <v>0.4</v>
      </c>
      <c r="AJ375" s="32">
        <v>1</v>
      </c>
      <c r="AK375" s="9">
        <v>20</v>
      </c>
      <c r="AL375" s="32">
        <v>0.95</v>
      </c>
      <c r="AM375" s="9">
        <v>1.2</v>
      </c>
      <c r="AN375" s="32">
        <v>1</v>
      </c>
      <c r="AO375" s="9">
        <v>3</v>
      </c>
      <c r="AP375" s="9">
        <v>0.4</v>
      </c>
      <c r="AQ375" s="32">
        <v>0.82</v>
      </c>
      <c r="AR375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370.80399999999997</v>
      </c>
      <c r="AS375" s="9">
        <f t="shared" si="9"/>
        <v>7.2060603450304175</v>
      </c>
      <c r="AT375" s="9">
        <f>IF(RIGHT(TIM[[#This Row],[Device type]],7)="Winding","-",TIM[[#This Row],[Cont Winter MVA]])</f>
        <v>9.2503983889992547</v>
      </c>
      <c r="AU375" s="9">
        <f>IF(RIGHT(TIM[[#This Row],[Device type]],7)="Winding","-",TIM[[#This Row],[Cont Shoulder MVA]])</f>
        <v>9.2503983889992547</v>
      </c>
      <c r="AV375" s="9">
        <f>IF(RIGHT(TIM[[#This Row],[Device type]],7)="Winding","-",TIM[[#This Row],[Cont Summer MVA]])</f>
        <v>9.2503983889992547</v>
      </c>
      <c r="AW375" s="9" t="str">
        <f>TIM[[#This Row],[24 Hr Winter MVA]]</f>
        <v>-</v>
      </c>
      <c r="AX375" s="9" t="str">
        <f>TIM[[#This Row],[24 Hr Summer MVA]]</f>
        <v>-</v>
      </c>
      <c r="AY375" s="9" t="str">
        <f>TIM[[#This Row],[Forwards MVA]]</f>
        <v>-</v>
      </c>
      <c r="AZ375" s="9" t="str">
        <f>TIM[[#This Row],[Relay MVA]]</f>
        <v>-</v>
      </c>
      <c r="BA375" s="9" t="str">
        <f>TIM[[#This Row],[CT MVA]]</f>
        <v>-</v>
      </c>
      <c r="BB375" s="9">
        <f>TIM[[#This Row],[Derating MVA]]</f>
        <v>7.2060603450304175</v>
      </c>
      <c r="BC375" s="9" t="str">
        <f>TIM[[#This Row],[Station/Feeder]]&amp;TIM[[#This Row],[Lowest MVA]]</f>
        <v>CB6_Normanby7.20606034503042</v>
      </c>
      <c r="BD375" s="9" t="str">
        <f>CONCATENATE(TIM[[#This Row],[Supply Level]],TIM[[#This Row],[Station/Feeder]],TIM[[#This Row],[Voltage]],TIM[[#This Row],[Lowest A-No PTX]])</f>
        <v>DistributionFeederCB6_Normanby11.22370.804</v>
      </c>
      <c r="BE375" s="9" t="str">
        <f>CONCATENATE(TIM[[#This Row],[Supply Level]],TIM[[#This Row],[Station/Feeder]],TIM[[#This Row],[Voltage]],TIM[[#This Row],[Lowest A-PTX]])</f>
        <v>DistributionFeederCB6_Normanby11.22370.804</v>
      </c>
      <c r="BF375" s="9">
        <f>IFERROR(IF(MIN(TIM[[#This Row],[Summ Cont Winter A]:[Cable Derating]])=0,"",MIN(TIM[[#This Row],[Summ Cont Winter A]:[Cable Derating]])),"")</f>
        <v>7.2060603450304175</v>
      </c>
      <c r="BG375" s="9">
        <f>IFERROR(TIM[[#This Row],[Lowest MVA]]*1000/(TIM[[#This Row],[Voltage]]*SQRT(3)),"")</f>
        <v>370.80399999999997</v>
      </c>
      <c r="BH375" s="9">
        <f t="shared" si="435"/>
        <v>370.80399999999997</v>
      </c>
      <c r="BI375" s="9" t="str">
        <f>TIM[[#This Row],[From]]</f>
        <v xml:space="preserve">PAR6 </v>
      </c>
      <c r="BJ375" s="9" t="str">
        <f>TIM[[#This Row],[To]]</f>
        <v>Joint</v>
      </c>
      <c r="BK37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300mm² AL XLPE PVC</v>
      </c>
      <c r="BL375" s="9">
        <f>TIM[[#This Row],[Voltage]]</f>
        <v>11.22</v>
      </c>
    </row>
    <row r="376" spans="1:64" ht="15" customHeight="1" x14ac:dyDescent="0.25">
      <c r="A376" s="6" t="str">
        <f>CONCATENATE(TIM[[#This Row],[Supply Level]],TIM[[#This Row],[Station/Feeder]],TIM[[#This Row],[Voltage]])</f>
        <v>DistributionFeederCB6_Normanby11.22</v>
      </c>
      <c r="B376" s="6" t="str">
        <f>CONCATENATE(TIM[[#This Row],[Supply Level]],TIM[[#This Row],[Station/Feeder]],TIM[[#This Row],[Equipment ID]],TIM[[#This Row],[Voltage]],TIM[[#This Row],[Device type]])</f>
        <v>DistributionFeederCB6_Normanby3c 240mm²  AL PILC DSTA11.22-</v>
      </c>
      <c r="C376" s="6" t="s">
        <v>1276</v>
      </c>
      <c r="D376" s="11" t="s">
        <v>214</v>
      </c>
      <c r="E376" s="6" t="s">
        <v>750</v>
      </c>
      <c r="F376" s="6" t="s">
        <v>1074</v>
      </c>
      <c r="G376" s="27">
        <v>3</v>
      </c>
      <c r="H376" s="7" t="s">
        <v>707</v>
      </c>
      <c r="I376" s="7" t="s">
        <v>1065</v>
      </c>
      <c r="J376" s="7" t="s">
        <v>250</v>
      </c>
      <c r="K376" s="7" t="s">
        <v>0</v>
      </c>
      <c r="L376" s="7" t="s">
        <v>0</v>
      </c>
      <c r="M376" s="8">
        <f t="shared" si="437"/>
        <v>11.22</v>
      </c>
      <c r="N376" s="9">
        <v>345</v>
      </c>
      <c r="O376" s="9">
        <f t="shared" si="0"/>
        <v>6.7045954710183668</v>
      </c>
      <c r="P376" s="9">
        <v>345</v>
      </c>
      <c r="Q376" s="9">
        <f t="shared" si="1"/>
        <v>6.7045954710183668</v>
      </c>
      <c r="R376" s="9">
        <v>345</v>
      </c>
      <c r="S376" s="9">
        <f t="shared" si="2"/>
        <v>6.7045954710183668</v>
      </c>
      <c r="T376" s="9" t="s">
        <v>0</v>
      </c>
      <c r="U376" s="9" t="str">
        <f t="shared" si="3"/>
        <v>-</v>
      </c>
      <c r="V376" s="9" t="s">
        <v>0</v>
      </c>
      <c r="W376" s="9" t="str">
        <f t="shared" si="4"/>
        <v>-</v>
      </c>
      <c r="X376" s="9" t="s">
        <v>0</v>
      </c>
      <c r="Y376" s="9" t="str">
        <f t="shared" si="5"/>
        <v>-</v>
      </c>
      <c r="Z376" s="9" t="s">
        <v>0</v>
      </c>
      <c r="AA376" s="9" t="str">
        <f t="shared" si="6"/>
        <v>-</v>
      </c>
      <c r="AB376" s="9" t="s">
        <v>0</v>
      </c>
      <c r="AC376" s="9" t="str">
        <f t="shared" si="7"/>
        <v>-</v>
      </c>
      <c r="AD376" s="9" t="s">
        <v>0</v>
      </c>
      <c r="AE376" s="12" t="str">
        <f t="shared" si="8"/>
        <v>-</v>
      </c>
      <c r="AF376" s="9">
        <v>3</v>
      </c>
      <c r="AG376" s="9" t="s">
        <v>0</v>
      </c>
      <c r="AH376" s="9" t="s">
        <v>0</v>
      </c>
      <c r="AI376" s="9">
        <v>0.45</v>
      </c>
      <c r="AJ376" s="32">
        <v>1</v>
      </c>
      <c r="AK376" s="9">
        <v>20</v>
      </c>
      <c r="AL376" s="32">
        <v>0.95</v>
      </c>
      <c r="AM376" s="9">
        <v>1.2</v>
      </c>
      <c r="AN376" s="32">
        <v>1</v>
      </c>
      <c r="AO376" s="9">
        <v>1</v>
      </c>
      <c r="AP376" s="9">
        <v>1</v>
      </c>
      <c r="AQ376" s="32">
        <v>1</v>
      </c>
      <c r="AR376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327.75</v>
      </c>
      <c r="AS376" s="9">
        <f t="shared" si="9"/>
        <v>6.3693656974674484</v>
      </c>
      <c r="AT376" s="9">
        <f>IF(RIGHT(TIM[[#This Row],[Device type]],7)="Winding","-",TIM[[#This Row],[Cont Winter MVA]])</f>
        <v>6.7045954710183668</v>
      </c>
      <c r="AU376" s="9">
        <f>IF(RIGHT(TIM[[#This Row],[Device type]],7)="Winding","-",TIM[[#This Row],[Cont Shoulder MVA]])</f>
        <v>6.7045954710183668</v>
      </c>
      <c r="AV376" s="9">
        <f>IF(RIGHT(TIM[[#This Row],[Device type]],7)="Winding","-",TIM[[#This Row],[Cont Summer MVA]])</f>
        <v>6.7045954710183668</v>
      </c>
      <c r="AW376" s="9" t="str">
        <f>TIM[[#This Row],[24 Hr Winter MVA]]</f>
        <v>-</v>
      </c>
      <c r="AX376" s="9" t="str">
        <f>TIM[[#This Row],[24 Hr Summer MVA]]</f>
        <v>-</v>
      </c>
      <c r="AY376" s="9" t="str">
        <f>TIM[[#This Row],[Forwards MVA]]</f>
        <v>-</v>
      </c>
      <c r="AZ376" s="9" t="str">
        <f>TIM[[#This Row],[Relay MVA]]</f>
        <v>-</v>
      </c>
      <c r="BA376" s="9" t="str">
        <f>TIM[[#This Row],[CT MVA]]</f>
        <v>-</v>
      </c>
      <c r="BB376" s="9">
        <f>TIM[[#This Row],[Derating MVA]]</f>
        <v>6.3693656974674484</v>
      </c>
      <c r="BC376" s="9" t="str">
        <f>TIM[[#This Row],[Station/Feeder]]&amp;TIM[[#This Row],[Lowest MVA]]</f>
        <v>CB6_Normanby6.36936569746745</v>
      </c>
      <c r="BD376" s="9" t="str">
        <f>CONCATENATE(TIM[[#This Row],[Supply Level]],TIM[[#This Row],[Station/Feeder]],TIM[[#This Row],[Voltage]],TIM[[#This Row],[Lowest A-No PTX]])</f>
        <v>DistributionFeederCB6_Normanby11.22327.75</v>
      </c>
      <c r="BE376" s="9" t="str">
        <f>CONCATENATE(TIM[[#This Row],[Supply Level]],TIM[[#This Row],[Station/Feeder]],TIM[[#This Row],[Voltage]],TIM[[#This Row],[Lowest A-PTX]])</f>
        <v>DistributionFeederCB6_Normanby11.22327.75</v>
      </c>
      <c r="BF376" s="9">
        <f>IFERROR(IF(MIN(TIM[[#This Row],[Summ Cont Winter A]:[Cable Derating]])=0,"",MIN(TIM[[#This Row],[Summ Cont Winter A]:[Cable Derating]])),"")</f>
        <v>6.3693656974674484</v>
      </c>
      <c r="BG376" s="9">
        <f>IFERROR(TIM[[#This Row],[Lowest MVA]]*1000/(TIM[[#This Row],[Voltage]]*SQRT(3)),"")</f>
        <v>327.75</v>
      </c>
      <c r="BH376" s="9">
        <f t="shared" si="435"/>
        <v>327.75</v>
      </c>
      <c r="BI376" s="9" t="str">
        <f>TIM[[#This Row],[From]]</f>
        <v>Joint</v>
      </c>
      <c r="BJ376" s="9" t="str">
        <f>TIM[[#This Row],[To]]</f>
        <v xml:space="preserve">Link L179  </v>
      </c>
      <c r="BK37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240mm²  AL PILC DSTA</v>
      </c>
      <c r="BL376" s="9">
        <f>TIM[[#This Row],[Voltage]]</f>
        <v>11.22</v>
      </c>
    </row>
    <row r="377" spans="1:64" ht="15" customHeight="1" x14ac:dyDescent="0.25">
      <c r="A377" s="6" t="str">
        <f>CONCATENATE(TIM[[#This Row],[Supply Level]],TIM[[#This Row],[Station/Feeder]],TIM[[#This Row],[Voltage]])</f>
        <v>DistributionFeederCB6_Normanby11.22</v>
      </c>
      <c r="B377" s="6" t="str">
        <f>CONCATENATE(TIM[[#This Row],[Supply Level]],TIM[[#This Row],[Station/Feeder]],TIM[[#This Row],[Equipment ID]],TIM[[#This Row],[Voltage]],TIM[[#This Row],[Device type]])</f>
        <v>DistributionFeederCB6_NormanbyRANGO11.22-</v>
      </c>
      <c r="C377" s="6" t="s">
        <v>1276</v>
      </c>
      <c r="D377" s="11" t="s">
        <v>214</v>
      </c>
      <c r="E377" s="6" t="s">
        <v>1074</v>
      </c>
      <c r="F377" s="6" t="s">
        <v>1075</v>
      </c>
      <c r="G377" s="27">
        <v>4</v>
      </c>
      <c r="H377" s="7" t="s">
        <v>707</v>
      </c>
      <c r="I377" s="7" t="s">
        <v>1287</v>
      </c>
      <c r="J377" s="7" t="s">
        <v>69</v>
      </c>
      <c r="K377" s="7" t="s">
        <v>0</v>
      </c>
      <c r="L377" s="7" t="s">
        <v>0</v>
      </c>
      <c r="M377" s="8">
        <f t="shared" si="437"/>
        <v>11.22</v>
      </c>
      <c r="N377" s="9">
        <v>271.05818135010674</v>
      </c>
      <c r="O377" s="9">
        <f t="shared" si="0"/>
        <v>5.2676390001808713</v>
      </c>
      <c r="P377" s="9" t="s">
        <v>0</v>
      </c>
      <c r="Q377" s="9" t="str">
        <f t="shared" si="1"/>
        <v>-</v>
      </c>
      <c r="R377" s="9">
        <v>204.03986000083358</v>
      </c>
      <c r="S377" s="9">
        <f t="shared" si="2"/>
        <v>3.9652310761414795</v>
      </c>
      <c r="T377" s="9" t="s">
        <v>0</v>
      </c>
      <c r="U377" s="9" t="str">
        <f t="shared" si="3"/>
        <v>-</v>
      </c>
      <c r="V377" s="9" t="s">
        <v>0</v>
      </c>
      <c r="W377" s="9" t="str">
        <f t="shared" si="4"/>
        <v>-</v>
      </c>
      <c r="X377" s="9" t="s">
        <v>0</v>
      </c>
      <c r="Y377" s="9" t="str">
        <f t="shared" si="5"/>
        <v>-</v>
      </c>
      <c r="Z377" s="9" t="s">
        <v>0</v>
      </c>
      <c r="AA377" s="9" t="str">
        <f t="shared" si="6"/>
        <v>-</v>
      </c>
      <c r="AB377" s="9" t="s">
        <v>0</v>
      </c>
      <c r="AC377" s="9" t="str">
        <f t="shared" si="7"/>
        <v>-</v>
      </c>
      <c r="AD377" s="9" t="s">
        <v>0</v>
      </c>
      <c r="AE377" s="12" t="str">
        <f t="shared" si="8"/>
        <v>-</v>
      </c>
      <c r="AF377" s="9" t="s">
        <v>0</v>
      </c>
      <c r="AG377" s="9" t="s">
        <v>0</v>
      </c>
      <c r="AH377" s="9" t="s">
        <v>0</v>
      </c>
      <c r="AI377" s="9" t="s">
        <v>0</v>
      </c>
      <c r="AJ377" s="32" t="s">
        <v>0</v>
      </c>
      <c r="AK377" s="9" t="s">
        <v>0</v>
      </c>
      <c r="AL377" s="32">
        <v>0.95</v>
      </c>
      <c r="AM377" s="9" t="s">
        <v>0</v>
      </c>
      <c r="AN377" s="32" t="s">
        <v>0</v>
      </c>
      <c r="AO377" s="9" t="s">
        <v>0</v>
      </c>
      <c r="AP377" s="9" t="s">
        <v>0</v>
      </c>
      <c r="AQ377" s="32" t="s">
        <v>0</v>
      </c>
      <c r="AR377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77" s="9" t="str">
        <f t="shared" si="9"/>
        <v>-</v>
      </c>
      <c r="AT377" s="9">
        <f>IF(RIGHT(TIM[[#This Row],[Device type]],7)="Winding","-",TIM[[#This Row],[Cont Winter MVA]])</f>
        <v>5.2676390001808713</v>
      </c>
      <c r="AU377" s="9" t="str">
        <f>IF(RIGHT(TIM[[#This Row],[Device type]],7)="Winding","-",TIM[[#This Row],[Cont Shoulder MVA]])</f>
        <v>-</v>
      </c>
      <c r="AV377" s="9">
        <f>IF(RIGHT(TIM[[#This Row],[Device type]],7)="Winding","-",TIM[[#This Row],[Cont Summer MVA]])</f>
        <v>3.9652310761414795</v>
      </c>
      <c r="AW377" s="9" t="str">
        <f>TIM[[#This Row],[24 Hr Winter MVA]]</f>
        <v>-</v>
      </c>
      <c r="AX377" s="9" t="str">
        <f>TIM[[#This Row],[24 Hr Summer MVA]]</f>
        <v>-</v>
      </c>
      <c r="AY377" s="9" t="str">
        <f>TIM[[#This Row],[Forwards MVA]]</f>
        <v>-</v>
      </c>
      <c r="AZ377" s="9" t="str">
        <f>TIM[[#This Row],[Relay MVA]]</f>
        <v>-</v>
      </c>
      <c r="BA377" s="9" t="str">
        <f>TIM[[#This Row],[CT MVA]]</f>
        <v>-</v>
      </c>
      <c r="BB377" s="9" t="str">
        <f>TIM[[#This Row],[Derating MVA]]</f>
        <v>-</v>
      </c>
      <c r="BC377" s="9" t="str">
        <f>TIM[[#This Row],[Station/Feeder]]&amp;TIM[[#This Row],[Lowest MVA]]</f>
        <v>CB6_Normanby3.96523107614148</v>
      </c>
      <c r="BD377" s="9" t="str">
        <f>CONCATENATE(TIM[[#This Row],[Supply Level]],TIM[[#This Row],[Station/Feeder]],TIM[[#This Row],[Voltage]],TIM[[#This Row],[Lowest A-No PTX]])</f>
        <v>DistributionFeederCB6_Normanby11.22204.039860000834</v>
      </c>
      <c r="BE377" s="9" t="str">
        <f>CONCATENATE(TIM[[#This Row],[Supply Level]],TIM[[#This Row],[Station/Feeder]],TIM[[#This Row],[Voltage]],TIM[[#This Row],[Lowest A-PTX]])</f>
        <v>DistributionFeederCB6_Normanby11.22204.039860000834</v>
      </c>
      <c r="BF377" s="9">
        <f>IFERROR(IF(MIN(TIM[[#This Row],[Summ Cont Winter A]:[Cable Derating]])=0,"",MIN(TIM[[#This Row],[Summ Cont Winter A]:[Cable Derating]])),"")</f>
        <v>3.9652310761414795</v>
      </c>
      <c r="BG377" s="9">
        <f>IFERROR(TIM[[#This Row],[Lowest MVA]]*1000/(TIM[[#This Row],[Voltage]]*SQRT(3)),"")</f>
        <v>204.03986000083358</v>
      </c>
      <c r="BH377" s="9">
        <f t="shared" si="435"/>
        <v>204.03986000083358</v>
      </c>
      <c r="BI377" s="9" t="str">
        <f>TIM[[#This Row],[From]]</f>
        <v xml:space="preserve">Link L179  </v>
      </c>
      <c r="BJ377" s="9" t="str">
        <f>TIM[[#This Row],[To]]</f>
        <v>Pole 36354</v>
      </c>
      <c r="BK37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Line-RANGO</v>
      </c>
      <c r="BL377" s="9">
        <f>TIM[[#This Row],[Voltage]]</f>
        <v>11.22</v>
      </c>
    </row>
    <row r="378" spans="1:64" ht="15" customHeight="1" x14ac:dyDescent="0.25">
      <c r="A378" s="6" t="str">
        <f>CONCATENATE(TIM[[#This Row],[Supply Level]],TIM[[#This Row],[Station/Feeder]],TIM[[#This Row],[Voltage]])</f>
        <v>DistributionFeederCB7_Holmestation11.22</v>
      </c>
      <c r="B378" s="6" t="str">
        <f>CONCATENATE(TIM[[#This Row],[Supply Level]],TIM[[#This Row],[Station/Feeder]],TIM[[#This Row],[Equipment ID]],TIM[[#This Row],[Voltage]],TIM[[#This Row],[Device type]])</f>
        <v>DistributionFeederCB7_HolmestationPAR-CB711.22Protection</v>
      </c>
      <c r="C378" s="6" t="s">
        <v>1276</v>
      </c>
      <c r="D378" s="11" t="s">
        <v>217</v>
      </c>
      <c r="E378" s="6" t="s">
        <v>243</v>
      </c>
      <c r="F378" s="6" t="s">
        <v>1076</v>
      </c>
      <c r="G378" s="27">
        <v>1</v>
      </c>
      <c r="H378" s="7" t="s">
        <v>707</v>
      </c>
      <c r="I378" s="7" t="s">
        <v>2298</v>
      </c>
      <c r="J378" s="7" t="s">
        <v>15</v>
      </c>
      <c r="K378" s="7" t="s">
        <v>1314</v>
      </c>
      <c r="L378" s="7" t="s">
        <v>1423</v>
      </c>
      <c r="M378" s="8">
        <f t="shared" si="437"/>
        <v>11.22</v>
      </c>
      <c r="N378" s="9">
        <v>630</v>
      </c>
      <c r="O378" s="9">
        <f t="shared" si="0"/>
        <v>12.243174338381367</v>
      </c>
      <c r="P378" s="9">
        <v>630</v>
      </c>
      <c r="Q378" s="9">
        <f t="shared" si="1"/>
        <v>12.243174338381367</v>
      </c>
      <c r="R378" s="9">
        <v>630</v>
      </c>
      <c r="S378" s="9">
        <f t="shared" si="2"/>
        <v>12.243174338381367</v>
      </c>
      <c r="T378" s="9" t="s">
        <v>0</v>
      </c>
      <c r="U378" s="9" t="str">
        <f t="shared" si="3"/>
        <v>-</v>
      </c>
      <c r="V378" s="9" t="s">
        <v>0</v>
      </c>
      <c r="W378" s="9" t="str">
        <f t="shared" si="4"/>
        <v>-</v>
      </c>
      <c r="X378" s="9">
        <f>VLOOKUP(TIM[[#This Row],[Equipment ID]],AEL_Protection_Data[#All],12,0)</f>
        <v>252</v>
      </c>
      <c r="Y378" s="9">
        <f t="shared" si="5"/>
        <v>4.8972697353525465</v>
      </c>
      <c r="Z378" s="9" t="s">
        <v>0</v>
      </c>
      <c r="AA378" s="9" t="str">
        <f t="shared" si="6"/>
        <v>-</v>
      </c>
      <c r="AB378" s="9" t="s">
        <v>0</v>
      </c>
      <c r="AC378" s="9" t="str">
        <f t="shared" si="7"/>
        <v>-</v>
      </c>
      <c r="AD378" s="9">
        <v>600</v>
      </c>
      <c r="AE378" s="12">
        <f t="shared" si="8"/>
        <v>11.660166036553681</v>
      </c>
      <c r="AF378" s="9" t="s">
        <v>0</v>
      </c>
      <c r="AG378" s="9" t="s">
        <v>0</v>
      </c>
      <c r="AH378" s="9" t="s">
        <v>0</v>
      </c>
      <c r="AI378" s="9" t="s">
        <v>0</v>
      </c>
      <c r="AJ378" s="32" t="s">
        <v>0</v>
      </c>
      <c r="AK378" s="9" t="s">
        <v>0</v>
      </c>
      <c r="AL378" s="32">
        <v>0.95</v>
      </c>
      <c r="AM378" s="9" t="s">
        <v>0</v>
      </c>
      <c r="AN378" s="32" t="s">
        <v>0</v>
      </c>
      <c r="AO378" s="9" t="s">
        <v>0</v>
      </c>
      <c r="AP378" s="9" t="s">
        <v>0</v>
      </c>
      <c r="AQ378" s="32" t="s">
        <v>0</v>
      </c>
      <c r="AR378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78" s="9" t="str">
        <f t="shared" si="9"/>
        <v>-</v>
      </c>
      <c r="AT378" s="9">
        <f>IF(RIGHT(TIM[[#This Row],[Device type]],7)="Winding","-",TIM[[#This Row],[Cont Winter MVA]])</f>
        <v>12.243174338381367</v>
      </c>
      <c r="AU378" s="9">
        <f>IF(RIGHT(TIM[[#This Row],[Device type]],7)="Winding","-",TIM[[#This Row],[Cont Shoulder MVA]])</f>
        <v>12.243174338381367</v>
      </c>
      <c r="AV378" s="9">
        <f>IF(RIGHT(TIM[[#This Row],[Device type]],7)="Winding","-",TIM[[#This Row],[Cont Summer MVA]])</f>
        <v>12.243174338381367</v>
      </c>
      <c r="AW378" s="9" t="str">
        <f>TIM[[#This Row],[24 Hr Winter MVA]]</f>
        <v>-</v>
      </c>
      <c r="AX378" s="9" t="str">
        <f>TIM[[#This Row],[24 Hr Summer MVA]]</f>
        <v>-</v>
      </c>
      <c r="AY378" s="9">
        <f>TIM[[#This Row],[Forwards MVA]]</f>
        <v>4.8972697353525465</v>
      </c>
      <c r="AZ378" s="9" t="str">
        <f>TIM[[#This Row],[Relay MVA]]</f>
        <v>-</v>
      </c>
      <c r="BA378" s="9">
        <f>TIM[[#This Row],[CT MVA]]</f>
        <v>11.660166036553681</v>
      </c>
      <c r="BB378" s="9" t="str">
        <f>TIM[[#This Row],[Derating MVA]]</f>
        <v>-</v>
      </c>
      <c r="BC378" s="9" t="str">
        <f>TIM[[#This Row],[Station/Feeder]]&amp;TIM[[#This Row],[Lowest MVA]]</f>
        <v>CB7_Holmestation4.89726973535255</v>
      </c>
      <c r="BD378" s="9" t="str">
        <f>CONCATENATE(TIM[[#This Row],[Supply Level]],TIM[[#This Row],[Station/Feeder]],TIM[[#This Row],[Voltage]],TIM[[#This Row],[Lowest A-No PTX]])</f>
        <v>DistributionFeederCB7_Holmestation11.22252</v>
      </c>
      <c r="BE378" s="9" t="str">
        <f>CONCATENATE(TIM[[#This Row],[Supply Level]],TIM[[#This Row],[Station/Feeder]],TIM[[#This Row],[Voltage]],TIM[[#This Row],[Lowest A-PTX]])</f>
        <v>DistributionFeederCB7_Holmestation11.22252</v>
      </c>
      <c r="BF378" s="9">
        <f>IFERROR(IF(MIN(TIM[[#This Row],[Summ Cont Winter A]:[Cable Derating]])=0,"",MIN(TIM[[#This Row],[Summ Cont Winter A]:[Cable Derating]])),"")</f>
        <v>4.8972697353525465</v>
      </c>
      <c r="BG378" s="9">
        <f>IFERROR(TIM[[#This Row],[Lowest MVA]]*1000/(TIM[[#This Row],[Voltage]]*SQRT(3)),"")</f>
        <v>252</v>
      </c>
      <c r="BH378" s="9">
        <f t="shared" si="435"/>
        <v>252</v>
      </c>
      <c r="BI378" s="9" t="str">
        <f>TIM[[#This Row],[From]]</f>
        <v>11 kV Bus</v>
      </c>
      <c r="BJ378" s="9" t="str">
        <f>TIM[[#This Row],[To]]</f>
        <v>PAR7</v>
      </c>
      <c r="BK37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Breaker-PAR-CB7-Protection</v>
      </c>
      <c r="BL378" s="9">
        <f>TIM[[#This Row],[Voltage]]</f>
        <v>11.22</v>
      </c>
    </row>
    <row r="379" spans="1:64" ht="15.75" customHeight="1" x14ac:dyDescent="0.25">
      <c r="A379" s="6" t="str">
        <f>CONCATENATE(TIM[[#This Row],[Supply Level]],TIM[[#This Row],[Station/Feeder]],TIM[[#This Row],[Voltage]])</f>
        <v>DistributionFeederCB7_Holmestation11.22</v>
      </c>
      <c r="B379" s="6" t="str">
        <f>CONCATENATE(TIM[[#This Row],[Supply Level]],TIM[[#This Row],[Station/Feeder]],TIM[[#This Row],[Equipment ID]],TIM[[#This Row],[Voltage]],TIM[[#This Row],[Device type]])</f>
        <v>DistributionFeederCB7_Holmestation3c 300mm² AL XLPE PVC11.22-</v>
      </c>
      <c r="C379" s="6" t="s">
        <v>1276</v>
      </c>
      <c r="D379" s="11" t="s">
        <v>217</v>
      </c>
      <c r="E379" s="6" t="s">
        <v>1076</v>
      </c>
      <c r="F379" s="6" t="s">
        <v>750</v>
      </c>
      <c r="G379" s="27">
        <v>2</v>
      </c>
      <c r="H379" s="7" t="s">
        <v>1059</v>
      </c>
      <c r="I379" s="7" t="s">
        <v>1073</v>
      </c>
      <c r="J379" s="7" t="s">
        <v>250</v>
      </c>
      <c r="K379" s="7" t="s">
        <v>0</v>
      </c>
      <c r="L379" s="7" t="s">
        <v>0</v>
      </c>
      <c r="M379" s="8">
        <f t="shared" si="437"/>
        <v>11.22</v>
      </c>
      <c r="N379" s="9">
        <v>476</v>
      </c>
      <c r="O379" s="9">
        <f t="shared" si="0"/>
        <v>9.2503983889992547</v>
      </c>
      <c r="P379" s="9">
        <v>476</v>
      </c>
      <c r="Q379" s="9">
        <f t="shared" si="1"/>
        <v>9.2503983889992547</v>
      </c>
      <c r="R379" s="9">
        <v>476</v>
      </c>
      <c r="S379" s="9">
        <f t="shared" si="2"/>
        <v>9.2503983889992547</v>
      </c>
      <c r="T379" s="9" t="s">
        <v>0</v>
      </c>
      <c r="U379" s="9" t="str">
        <f t="shared" si="3"/>
        <v>-</v>
      </c>
      <c r="V379" s="9" t="s">
        <v>0</v>
      </c>
      <c r="W379" s="9" t="str">
        <f t="shared" si="4"/>
        <v>-</v>
      </c>
      <c r="X379" s="9" t="s">
        <v>0</v>
      </c>
      <c r="Y379" s="9" t="str">
        <f t="shared" si="5"/>
        <v>-</v>
      </c>
      <c r="Z379" s="9" t="s">
        <v>0</v>
      </c>
      <c r="AA379" s="9" t="str">
        <f t="shared" si="6"/>
        <v>-</v>
      </c>
      <c r="AB379" s="9" t="s">
        <v>0</v>
      </c>
      <c r="AC379" s="9" t="str">
        <f t="shared" si="7"/>
        <v>-</v>
      </c>
      <c r="AD379" s="9" t="s">
        <v>0</v>
      </c>
      <c r="AE379" s="12" t="str">
        <f t="shared" si="8"/>
        <v>-</v>
      </c>
      <c r="AF379" s="9">
        <v>3</v>
      </c>
      <c r="AG379" s="9" t="s">
        <v>0</v>
      </c>
      <c r="AH379" s="9">
        <v>9.1</v>
      </c>
      <c r="AI379" s="9">
        <v>0.4</v>
      </c>
      <c r="AJ379" s="32">
        <v>1</v>
      </c>
      <c r="AK379" s="9">
        <v>20</v>
      </c>
      <c r="AL379" s="32">
        <v>0.95</v>
      </c>
      <c r="AM379" s="9">
        <v>1.2</v>
      </c>
      <c r="AN379" s="32">
        <v>1</v>
      </c>
      <c r="AO379" s="9">
        <v>3</v>
      </c>
      <c r="AP379" s="9">
        <v>0.4</v>
      </c>
      <c r="AQ379" s="32">
        <v>0.82</v>
      </c>
      <c r="AR379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370.80399999999997</v>
      </c>
      <c r="AS379" s="9">
        <f t="shared" si="9"/>
        <v>7.2060603450304175</v>
      </c>
      <c r="AT379" s="9">
        <f>IF(RIGHT(TIM[[#This Row],[Device type]],7)="Winding","-",TIM[[#This Row],[Cont Winter MVA]])</f>
        <v>9.2503983889992547</v>
      </c>
      <c r="AU379" s="9">
        <f>IF(RIGHT(TIM[[#This Row],[Device type]],7)="Winding","-",TIM[[#This Row],[Cont Shoulder MVA]])</f>
        <v>9.2503983889992547</v>
      </c>
      <c r="AV379" s="9">
        <f>IF(RIGHT(TIM[[#This Row],[Device type]],7)="Winding","-",TIM[[#This Row],[Cont Summer MVA]])</f>
        <v>9.2503983889992547</v>
      </c>
      <c r="AW379" s="9" t="str">
        <f>TIM[[#This Row],[24 Hr Winter MVA]]</f>
        <v>-</v>
      </c>
      <c r="AX379" s="9" t="str">
        <f>TIM[[#This Row],[24 Hr Summer MVA]]</f>
        <v>-</v>
      </c>
      <c r="AY379" s="9" t="str">
        <f>TIM[[#This Row],[Forwards MVA]]</f>
        <v>-</v>
      </c>
      <c r="AZ379" s="9" t="str">
        <f>TIM[[#This Row],[Relay MVA]]</f>
        <v>-</v>
      </c>
      <c r="BA379" s="9" t="str">
        <f>TIM[[#This Row],[CT MVA]]</f>
        <v>-</v>
      </c>
      <c r="BB379" s="9">
        <f>TIM[[#This Row],[Derating MVA]]</f>
        <v>7.2060603450304175</v>
      </c>
      <c r="BC379" s="9" t="str">
        <f>TIM[[#This Row],[Station/Feeder]]&amp;TIM[[#This Row],[Lowest MVA]]</f>
        <v>CB7_Holmestation7.20606034503042</v>
      </c>
      <c r="BD379" s="9" t="str">
        <f>CONCATENATE(TIM[[#This Row],[Supply Level]],TIM[[#This Row],[Station/Feeder]],TIM[[#This Row],[Voltage]],TIM[[#This Row],[Lowest A-No PTX]])</f>
        <v>DistributionFeederCB7_Holmestation11.22370.804</v>
      </c>
      <c r="BE379" s="9" t="str">
        <f>CONCATENATE(TIM[[#This Row],[Supply Level]],TIM[[#This Row],[Station/Feeder]],TIM[[#This Row],[Voltage]],TIM[[#This Row],[Lowest A-PTX]])</f>
        <v>DistributionFeederCB7_Holmestation11.22370.804</v>
      </c>
      <c r="BF379" s="9">
        <f>IFERROR(IF(MIN(TIM[[#This Row],[Summ Cont Winter A]:[Cable Derating]])=0,"",MIN(TIM[[#This Row],[Summ Cont Winter A]:[Cable Derating]])),"")</f>
        <v>7.2060603450304175</v>
      </c>
      <c r="BG379" s="9">
        <f>IFERROR(TIM[[#This Row],[Lowest MVA]]*1000/(TIM[[#This Row],[Voltage]]*SQRT(3)),"")</f>
        <v>370.80399999999997</v>
      </c>
      <c r="BH379" s="9">
        <f t="shared" si="435"/>
        <v>370.80399999999997</v>
      </c>
      <c r="BI379" s="9" t="str">
        <f>TIM[[#This Row],[From]]</f>
        <v>PAR7</v>
      </c>
      <c r="BJ379" s="9" t="str">
        <f>TIM[[#This Row],[To]]</f>
        <v>Joint</v>
      </c>
      <c r="BK37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300mm² AL XLPE PVC</v>
      </c>
      <c r="BL379" s="9">
        <f>TIM[[#This Row],[Voltage]]</f>
        <v>11.22</v>
      </c>
    </row>
    <row r="380" spans="1:64" ht="15.75" customHeight="1" x14ac:dyDescent="0.25">
      <c r="A380" s="6" t="str">
        <f>CONCATENATE(TIM[[#This Row],[Supply Level]],TIM[[#This Row],[Station/Feeder]],TIM[[#This Row],[Voltage]])</f>
        <v>DistributionFeederCB7_Holmestation11.22</v>
      </c>
      <c r="B380" s="6" t="str">
        <f>CONCATENATE(TIM[[#This Row],[Supply Level]],TIM[[#This Row],[Station/Feeder]],TIM[[#This Row],[Equipment ID]],TIM[[#This Row],[Voltage]],TIM[[#This Row],[Device type]])</f>
        <v>DistributionFeederCB7_Holmestation3c 240mm²  AL PILC DSTA11.22-</v>
      </c>
      <c r="C380" s="6" t="s">
        <v>1276</v>
      </c>
      <c r="D380" s="11" t="s">
        <v>217</v>
      </c>
      <c r="E380" s="6" t="s">
        <v>750</v>
      </c>
      <c r="F380" s="6" t="s">
        <v>1077</v>
      </c>
      <c r="G380" s="27">
        <v>3</v>
      </c>
      <c r="H380" s="7" t="s">
        <v>1059</v>
      </c>
      <c r="I380" s="7" t="s">
        <v>1065</v>
      </c>
      <c r="J380" s="7" t="s">
        <v>250</v>
      </c>
      <c r="K380" s="7" t="s">
        <v>0</v>
      </c>
      <c r="L380" s="7" t="s">
        <v>0</v>
      </c>
      <c r="M380" s="8">
        <f t="shared" si="437"/>
        <v>11.22</v>
      </c>
      <c r="N380" s="9">
        <v>345</v>
      </c>
      <c r="O380" s="9">
        <f t="shared" si="0"/>
        <v>6.7045954710183668</v>
      </c>
      <c r="P380" s="9">
        <v>345</v>
      </c>
      <c r="Q380" s="9">
        <f t="shared" si="1"/>
        <v>6.7045954710183668</v>
      </c>
      <c r="R380" s="9">
        <v>345</v>
      </c>
      <c r="S380" s="9">
        <f t="shared" si="2"/>
        <v>6.7045954710183668</v>
      </c>
      <c r="T380" s="9" t="s">
        <v>0</v>
      </c>
      <c r="U380" s="9" t="str">
        <f t="shared" si="3"/>
        <v>-</v>
      </c>
      <c r="V380" s="9" t="s">
        <v>0</v>
      </c>
      <c r="W380" s="9" t="str">
        <f t="shared" si="4"/>
        <v>-</v>
      </c>
      <c r="X380" s="9" t="s">
        <v>0</v>
      </c>
      <c r="Y380" s="9" t="str">
        <f t="shared" si="5"/>
        <v>-</v>
      </c>
      <c r="Z380" s="9" t="s">
        <v>0</v>
      </c>
      <c r="AA380" s="9" t="str">
        <f t="shared" si="6"/>
        <v>-</v>
      </c>
      <c r="AB380" s="9" t="s">
        <v>0</v>
      </c>
      <c r="AC380" s="9" t="str">
        <f t="shared" si="7"/>
        <v>-</v>
      </c>
      <c r="AD380" s="9" t="s">
        <v>0</v>
      </c>
      <c r="AE380" s="12" t="str">
        <f t="shared" si="8"/>
        <v>-</v>
      </c>
      <c r="AF380" s="9">
        <v>3</v>
      </c>
      <c r="AG380" s="9" t="s">
        <v>0</v>
      </c>
      <c r="AH380" s="9" t="s">
        <v>0</v>
      </c>
      <c r="AI380" s="9">
        <v>0.45</v>
      </c>
      <c r="AJ380" s="32">
        <v>1</v>
      </c>
      <c r="AK380" s="9">
        <v>20</v>
      </c>
      <c r="AL380" s="32">
        <v>0.95</v>
      </c>
      <c r="AM380" s="9">
        <v>1.2</v>
      </c>
      <c r="AN380" s="32">
        <v>1</v>
      </c>
      <c r="AO380" s="9">
        <v>1</v>
      </c>
      <c r="AP380" s="9">
        <v>1</v>
      </c>
      <c r="AQ380" s="32">
        <v>1</v>
      </c>
      <c r="AR380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327.75</v>
      </c>
      <c r="AS380" s="9">
        <f t="shared" si="9"/>
        <v>6.3693656974674484</v>
      </c>
      <c r="AT380" s="9">
        <f>IF(RIGHT(TIM[[#This Row],[Device type]],7)="Winding","-",TIM[[#This Row],[Cont Winter MVA]])</f>
        <v>6.7045954710183668</v>
      </c>
      <c r="AU380" s="9">
        <f>IF(RIGHT(TIM[[#This Row],[Device type]],7)="Winding","-",TIM[[#This Row],[Cont Shoulder MVA]])</f>
        <v>6.7045954710183668</v>
      </c>
      <c r="AV380" s="9">
        <f>IF(RIGHT(TIM[[#This Row],[Device type]],7)="Winding","-",TIM[[#This Row],[Cont Summer MVA]])</f>
        <v>6.7045954710183668</v>
      </c>
      <c r="AW380" s="9" t="str">
        <f>TIM[[#This Row],[24 Hr Winter MVA]]</f>
        <v>-</v>
      </c>
      <c r="AX380" s="9" t="str">
        <f>TIM[[#This Row],[24 Hr Summer MVA]]</f>
        <v>-</v>
      </c>
      <c r="AY380" s="9" t="str">
        <f>TIM[[#This Row],[Forwards MVA]]</f>
        <v>-</v>
      </c>
      <c r="AZ380" s="9" t="str">
        <f>TIM[[#This Row],[Relay MVA]]</f>
        <v>-</v>
      </c>
      <c r="BA380" s="9" t="str">
        <f>TIM[[#This Row],[CT MVA]]</f>
        <v>-</v>
      </c>
      <c r="BB380" s="9">
        <f>TIM[[#This Row],[Derating MVA]]</f>
        <v>6.3693656974674484</v>
      </c>
      <c r="BC380" s="9" t="str">
        <f>TIM[[#This Row],[Station/Feeder]]&amp;TIM[[#This Row],[Lowest MVA]]</f>
        <v>CB7_Holmestation6.36936569746745</v>
      </c>
      <c r="BD380" s="9" t="str">
        <f>CONCATENATE(TIM[[#This Row],[Supply Level]],TIM[[#This Row],[Station/Feeder]],TIM[[#This Row],[Voltage]],TIM[[#This Row],[Lowest A-No PTX]])</f>
        <v>DistributionFeederCB7_Holmestation11.22327.75</v>
      </c>
      <c r="BE380" s="9" t="str">
        <f>CONCATENATE(TIM[[#This Row],[Supply Level]],TIM[[#This Row],[Station/Feeder]],TIM[[#This Row],[Voltage]],TIM[[#This Row],[Lowest A-PTX]])</f>
        <v>DistributionFeederCB7_Holmestation11.22327.75</v>
      </c>
      <c r="BF380" s="9">
        <f>IFERROR(IF(MIN(TIM[[#This Row],[Summ Cont Winter A]:[Cable Derating]])=0,"",MIN(TIM[[#This Row],[Summ Cont Winter A]:[Cable Derating]])),"")</f>
        <v>6.3693656974674484</v>
      </c>
      <c r="BG380" s="9">
        <f>IFERROR(TIM[[#This Row],[Lowest MVA]]*1000/(TIM[[#This Row],[Voltage]]*SQRT(3)),"")</f>
        <v>327.75</v>
      </c>
      <c r="BH380" s="9">
        <f t="shared" si="435"/>
        <v>327.75</v>
      </c>
      <c r="BI380" s="9" t="str">
        <f>TIM[[#This Row],[From]]</f>
        <v>Joint</v>
      </c>
      <c r="BJ380" s="9" t="str">
        <f>TIM[[#This Row],[To]]</f>
        <v>Link L174</v>
      </c>
      <c r="BK38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240mm²  AL PILC DSTA</v>
      </c>
      <c r="BL380" s="9">
        <f>TIM[[#This Row],[Voltage]]</f>
        <v>11.22</v>
      </c>
    </row>
    <row r="381" spans="1:64" ht="15" customHeight="1" x14ac:dyDescent="0.25">
      <c r="A381" s="6" t="str">
        <f>CONCATENATE(TIM[[#This Row],[Supply Level]],TIM[[#This Row],[Station/Feeder]],TIM[[#This Row],[Voltage]])</f>
        <v>DistributionFeederCB7_Holmestation11.22</v>
      </c>
      <c r="B381" s="6" t="str">
        <f>CONCATENATE(TIM[[#This Row],[Supply Level]],TIM[[#This Row],[Station/Feeder]],TIM[[#This Row],[Equipment ID]],TIM[[#This Row],[Voltage]],TIM[[#This Row],[Device type]])</f>
        <v>DistributionFeederCB7_HolmestationWeke11.22-</v>
      </c>
      <c r="C381" s="6" t="s">
        <v>1276</v>
      </c>
      <c r="D381" s="11" t="s">
        <v>217</v>
      </c>
      <c r="E381" s="6" t="s">
        <v>1077</v>
      </c>
      <c r="F381" s="6" t="s">
        <v>1078</v>
      </c>
      <c r="G381" s="27">
        <v>4</v>
      </c>
      <c r="H381" s="7" t="s">
        <v>1289</v>
      </c>
      <c r="I381" s="7" t="s">
        <v>1079</v>
      </c>
      <c r="J381" s="7" t="s">
        <v>69</v>
      </c>
      <c r="K381" s="7" t="s">
        <v>0</v>
      </c>
      <c r="L381" s="7" t="s">
        <v>0</v>
      </c>
      <c r="M381" s="8">
        <f t="shared" si="437"/>
        <v>11.22</v>
      </c>
      <c r="N381" s="9">
        <v>371.29505715211172</v>
      </c>
      <c r="O381" s="9">
        <f t="shared" si="0"/>
        <v>7.2156033582421859</v>
      </c>
      <c r="P381" s="9" t="s">
        <v>0</v>
      </c>
      <c r="Q381" s="9" t="str">
        <f t="shared" si="1"/>
        <v>-</v>
      </c>
      <c r="R381" s="9">
        <v>277.48055883569697</v>
      </c>
      <c r="S381" s="9">
        <f t="shared" si="2"/>
        <v>5.392448979899882</v>
      </c>
      <c r="T381" s="9" t="s">
        <v>0</v>
      </c>
      <c r="U381" s="9" t="str">
        <f t="shared" si="3"/>
        <v>-</v>
      </c>
      <c r="V381" s="9" t="s">
        <v>0</v>
      </c>
      <c r="W381" s="9" t="str">
        <f t="shared" si="4"/>
        <v>-</v>
      </c>
      <c r="X381" s="9" t="s">
        <v>0</v>
      </c>
      <c r="Y381" s="9" t="str">
        <f t="shared" si="5"/>
        <v>-</v>
      </c>
      <c r="Z381" s="9" t="s">
        <v>0</v>
      </c>
      <c r="AA381" s="9" t="str">
        <f t="shared" si="6"/>
        <v>-</v>
      </c>
      <c r="AB381" s="9" t="s">
        <v>0</v>
      </c>
      <c r="AC381" s="9" t="str">
        <f t="shared" si="7"/>
        <v>-</v>
      </c>
      <c r="AD381" s="9" t="s">
        <v>0</v>
      </c>
      <c r="AE381" s="12" t="str">
        <f t="shared" si="8"/>
        <v>-</v>
      </c>
      <c r="AF381" s="9" t="s">
        <v>0</v>
      </c>
      <c r="AG381" s="9" t="s">
        <v>0</v>
      </c>
      <c r="AH381" s="9">
        <v>144.5</v>
      </c>
      <c r="AI381" s="9" t="s">
        <v>0</v>
      </c>
      <c r="AJ381" s="32" t="s">
        <v>0</v>
      </c>
      <c r="AK381" s="9" t="s">
        <v>0</v>
      </c>
      <c r="AL381" s="32" t="s">
        <v>0</v>
      </c>
      <c r="AM381" s="9" t="s">
        <v>0</v>
      </c>
      <c r="AN381" s="32" t="s">
        <v>0</v>
      </c>
      <c r="AO381" s="9" t="s">
        <v>0</v>
      </c>
      <c r="AP381" s="9" t="s">
        <v>0</v>
      </c>
      <c r="AQ381" s="32" t="s">
        <v>0</v>
      </c>
      <c r="AR38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81" s="9" t="str">
        <f t="shared" si="9"/>
        <v>-</v>
      </c>
      <c r="AT381" s="9">
        <f>IF(RIGHT(TIM[[#This Row],[Device type]],7)="Winding","-",TIM[[#This Row],[Cont Winter MVA]])</f>
        <v>7.2156033582421859</v>
      </c>
      <c r="AU381" s="9" t="str">
        <f>IF(RIGHT(TIM[[#This Row],[Device type]],7)="Winding","-",TIM[[#This Row],[Cont Shoulder MVA]])</f>
        <v>-</v>
      </c>
      <c r="AV381" s="9">
        <f>IF(RIGHT(TIM[[#This Row],[Device type]],7)="Winding","-",TIM[[#This Row],[Cont Summer MVA]])</f>
        <v>5.392448979899882</v>
      </c>
      <c r="AW381" s="9" t="str">
        <f>TIM[[#This Row],[24 Hr Winter MVA]]</f>
        <v>-</v>
      </c>
      <c r="AX381" s="9" t="str">
        <f>TIM[[#This Row],[24 Hr Summer MVA]]</f>
        <v>-</v>
      </c>
      <c r="AY381" s="9" t="str">
        <f>TIM[[#This Row],[Forwards MVA]]</f>
        <v>-</v>
      </c>
      <c r="AZ381" s="9" t="str">
        <f>TIM[[#This Row],[Relay MVA]]</f>
        <v>-</v>
      </c>
      <c r="BA381" s="9" t="str">
        <f>TIM[[#This Row],[CT MVA]]</f>
        <v>-</v>
      </c>
      <c r="BB381" s="9" t="str">
        <f>TIM[[#This Row],[Derating MVA]]</f>
        <v>-</v>
      </c>
      <c r="BC381" s="9" t="str">
        <f>TIM[[#This Row],[Station/Feeder]]&amp;TIM[[#This Row],[Lowest MVA]]</f>
        <v>CB7_Holmestation5.39244897989988</v>
      </c>
      <c r="BD381" s="9" t="str">
        <f>CONCATENATE(TIM[[#This Row],[Supply Level]],TIM[[#This Row],[Station/Feeder]],TIM[[#This Row],[Voltage]],TIM[[#This Row],[Lowest A-No PTX]])</f>
        <v>DistributionFeederCB7_Holmestation11.22277.480558835697</v>
      </c>
      <c r="BE381" s="9" t="str">
        <f>CONCATENATE(TIM[[#This Row],[Supply Level]],TIM[[#This Row],[Station/Feeder]],TIM[[#This Row],[Voltage]],TIM[[#This Row],[Lowest A-PTX]])</f>
        <v>DistributionFeederCB7_Holmestation11.22277.480558835697</v>
      </c>
      <c r="BF381" s="9">
        <f>IFERROR(IF(MIN(TIM[[#This Row],[Summ Cont Winter A]:[Cable Derating]])=0,"",MIN(TIM[[#This Row],[Summ Cont Winter A]:[Cable Derating]])),"")</f>
        <v>5.392448979899882</v>
      </c>
      <c r="BG381" s="9">
        <f>IFERROR(TIM[[#This Row],[Lowest MVA]]*1000/(TIM[[#This Row],[Voltage]]*SQRT(3)),"")</f>
        <v>277.48055883569697</v>
      </c>
      <c r="BH381" s="9">
        <f t="shared" si="435"/>
        <v>277.48055883569697</v>
      </c>
      <c r="BI381" s="9" t="str">
        <f>TIM[[#This Row],[From]]</f>
        <v>Link L174</v>
      </c>
      <c r="BJ381" s="9" t="str">
        <f>TIM[[#This Row],[To]]</f>
        <v>Pole 41703</v>
      </c>
      <c r="BK38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Line-Weke</v>
      </c>
      <c r="BL381" s="9">
        <f>TIM[[#This Row],[Voltage]]</f>
        <v>11.22</v>
      </c>
    </row>
    <row r="382" spans="1:64" ht="15" customHeight="1" x14ac:dyDescent="0.25">
      <c r="A382" s="6" t="str">
        <f>CONCATENATE(TIM[[#This Row],[Supply Level]],TIM[[#This Row],[Station/Feeder]],TIM[[#This Row],[Voltage]])</f>
        <v>DistributionFeederCB7_Holmestation11.22</v>
      </c>
      <c r="B382" s="6" t="str">
        <f>CONCATENATE(TIM[[#This Row],[Supply Level]],TIM[[#This Row],[Station/Feeder]],TIM[[#This Row],[Equipment ID]],TIM[[#This Row],[Voltage]],TIM[[#This Row],[Device type]])</f>
        <v>DistributionFeederCB7_HolmestationDOG11.22-</v>
      </c>
      <c r="C382" s="6" t="s">
        <v>1276</v>
      </c>
      <c r="D382" s="11" t="s">
        <v>217</v>
      </c>
      <c r="E382" s="6" t="s">
        <v>1078</v>
      </c>
      <c r="F382" s="6" t="s">
        <v>1080</v>
      </c>
      <c r="G382" s="27">
        <v>5</v>
      </c>
      <c r="H382" s="7" t="s">
        <v>1289</v>
      </c>
      <c r="I382" s="7" t="s">
        <v>318</v>
      </c>
      <c r="J382" s="7" t="s">
        <v>69</v>
      </c>
      <c r="K382" s="7" t="s">
        <v>0</v>
      </c>
      <c r="L382" s="7" t="s">
        <v>0</v>
      </c>
      <c r="M382" s="8">
        <f t="shared" si="437"/>
        <v>11.22</v>
      </c>
      <c r="N382" s="9">
        <v>343.69342642524197</v>
      </c>
      <c r="O382" s="9">
        <f t="shared" si="0"/>
        <v>6.679204029650613</v>
      </c>
      <c r="P382" s="9" t="s">
        <v>0</v>
      </c>
      <c r="Q382" s="9" t="str">
        <f t="shared" si="1"/>
        <v>-</v>
      </c>
      <c r="R382" s="9">
        <v>256.85852310343915</v>
      </c>
      <c r="S382" s="9">
        <f t="shared" si="2"/>
        <v>4.9916883788167672</v>
      </c>
      <c r="T382" s="9" t="s">
        <v>0</v>
      </c>
      <c r="U382" s="9" t="str">
        <f t="shared" si="3"/>
        <v>-</v>
      </c>
      <c r="V382" s="9" t="s">
        <v>0</v>
      </c>
      <c r="W382" s="9" t="str">
        <f t="shared" si="4"/>
        <v>-</v>
      </c>
      <c r="X382" s="9" t="s">
        <v>0</v>
      </c>
      <c r="Y382" s="9" t="str">
        <f t="shared" si="5"/>
        <v>-</v>
      </c>
      <c r="Z382" s="9" t="s">
        <v>0</v>
      </c>
      <c r="AA382" s="9" t="str">
        <f t="shared" si="6"/>
        <v>-</v>
      </c>
      <c r="AB382" s="9" t="s">
        <v>0</v>
      </c>
      <c r="AC382" s="9" t="str">
        <f t="shared" si="7"/>
        <v>-</v>
      </c>
      <c r="AD382" s="9" t="s">
        <v>0</v>
      </c>
      <c r="AE382" s="12" t="str">
        <f t="shared" si="8"/>
        <v>-</v>
      </c>
      <c r="AF382" s="9" t="s">
        <v>0</v>
      </c>
      <c r="AG382" s="9" t="s">
        <v>0</v>
      </c>
      <c r="AH382" s="9">
        <v>1158.4000000000001</v>
      </c>
      <c r="AI382" s="9" t="s">
        <v>0</v>
      </c>
      <c r="AJ382" s="32" t="s">
        <v>0</v>
      </c>
      <c r="AK382" s="9" t="s">
        <v>0</v>
      </c>
      <c r="AL382" s="32" t="s">
        <v>0</v>
      </c>
      <c r="AM382" s="9" t="s">
        <v>0</v>
      </c>
      <c r="AN382" s="32" t="s">
        <v>0</v>
      </c>
      <c r="AO382" s="9" t="s">
        <v>0</v>
      </c>
      <c r="AP382" s="9" t="s">
        <v>0</v>
      </c>
      <c r="AQ382" s="32" t="s">
        <v>0</v>
      </c>
      <c r="AR382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82" s="9" t="str">
        <f t="shared" si="9"/>
        <v>-</v>
      </c>
      <c r="AT382" s="9">
        <f>IF(RIGHT(TIM[[#This Row],[Device type]],7)="Winding","-",TIM[[#This Row],[Cont Winter MVA]])</f>
        <v>6.679204029650613</v>
      </c>
      <c r="AU382" s="9" t="str">
        <f>IF(RIGHT(TIM[[#This Row],[Device type]],7)="Winding","-",TIM[[#This Row],[Cont Shoulder MVA]])</f>
        <v>-</v>
      </c>
      <c r="AV382" s="9">
        <f>IF(RIGHT(TIM[[#This Row],[Device type]],7)="Winding","-",TIM[[#This Row],[Cont Summer MVA]])</f>
        <v>4.9916883788167672</v>
      </c>
      <c r="AW382" s="9" t="str">
        <f>TIM[[#This Row],[24 Hr Winter MVA]]</f>
        <v>-</v>
      </c>
      <c r="AX382" s="9" t="str">
        <f>TIM[[#This Row],[24 Hr Summer MVA]]</f>
        <v>-</v>
      </c>
      <c r="AY382" s="9" t="str">
        <f>TIM[[#This Row],[Forwards MVA]]</f>
        <v>-</v>
      </c>
      <c r="AZ382" s="9" t="str">
        <f>TIM[[#This Row],[Relay MVA]]</f>
        <v>-</v>
      </c>
      <c r="BA382" s="9" t="str">
        <f>TIM[[#This Row],[CT MVA]]</f>
        <v>-</v>
      </c>
      <c r="BB382" s="9" t="str">
        <f>TIM[[#This Row],[Derating MVA]]</f>
        <v>-</v>
      </c>
      <c r="BC382" s="9" t="str">
        <f>TIM[[#This Row],[Station/Feeder]]&amp;TIM[[#This Row],[Lowest MVA]]</f>
        <v>CB7_Holmestation4.99168837881677</v>
      </c>
      <c r="BD382" s="9" t="str">
        <f>CONCATENATE(TIM[[#This Row],[Supply Level]],TIM[[#This Row],[Station/Feeder]],TIM[[#This Row],[Voltage]],TIM[[#This Row],[Lowest A-No PTX]])</f>
        <v>DistributionFeederCB7_Holmestation11.22256.858523103439</v>
      </c>
      <c r="BE382" s="9" t="str">
        <f>CONCATENATE(TIM[[#This Row],[Supply Level]],TIM[[#This Row],[Station/Feeder]],TIM[[#This Row],[Voltage]],TIM[[#This Row],[Lowest A-PTX]])</f>
        <v>DistributionFeederCB7_Holmestation11.22256.858523103439</v>
      </c>
      <c r="BF382" s="9">
        <f>IFERROR(IF(MIN(TIM[[#This Row],[Summ Cont Winter A]:[Cable Derating]])=0,"",MIN(TIM[[#This Row],[Summ Cont Winter A]:[Cable Derating]])),"")</f>
        <v>4.9916883788167672</v>
      </c>
      <c r="BG382" s="9">
        <f>IFERROR(TIM[[#This Row],[Lowest MVA]]*1000/(TIM[[#This Row],[Voltage]]*SQRT(3)),"")</f>
        <v>256.85852310343915</v>
      </c>
      <c r="BH382" s="9">
        <f t="shared" si="435"/>
        <v>256.85852310343915</v>
      </c>
      <c r="BI382" s="9" t="str">
        <f>TIM[[#This Row],[From]]</f>
        <v>Pole 41703</v>
      </c>
      <c r="BJ382" s="9" t="str">
        <f>TIM[[#This Row],[To]]</f>
        <v>L571</v>
      </c>
      <c r="BK38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Line-DOG</v>
      </c>
      <c r="BL382" s="9">
        <f>TIM[[#This Row],[Voltage]]</f>
        <v>11.22</v>
      </c>
    </row>
    <row r="383" spans="1:64" ht="15" customHeight="1" thickBot="1" x14ac:dyDescent="0.3">
      <c r="A383" s="6" t="str">
        <f>CONCATENATE(TIM[[#This Row],[Supply Level]],TIM[[#This Row],[Station/Feeder]],TIM[[#This Row],[Voltage]])</f>
        <v>DistributionFeederCB7_Holmestation11.22</v>
      </c>
      <c r="B383" s="6" t="str">
        <f>CONCATENATE(TIM[[#This Row],[Supply Level]],TIM[[#This Row],[Station/Feeder]],TIM[[#This Row],[Equipment ID]],TIM[[#This Row],[Voltage]],TIM[[#This Row],[Device type]])</f>
        <v>DistributionFeederCB7_HolmestationMINK11.22-</v>
      </c>
      <c r="C383" s="6" t="s">
        <v>1276</v>
      </c>
      <c r="D383" s="11" t="s">
        <v>217</v>
      </c>
      <c r="E383" s="6" t="s">
        <v>1080</v>
      </c>
      <c r="F383" s="6" t="s">
        <v>1081</v>
      </c>
      <c r="G383" s="27">
        <v>6</v>
      </c>
      <c r="H383" s="7" t="s">
        <v>1289</v>
      </c>
      <c r="I383" s="7" t="s">
        <v>282</v>
      </c>
      <c r="J383" s="7" t="s">
        <v>69</v>
      </c>
      <c r="K383" s="7" t="s">
        <v>0</v>
      </c>
      <c r="L383" s="7" t="s">
        <v>0</v>
      </c>
      <c r="M383" s="8">
        <f t="shared" si="437"/>
        <v>11.22</v>
      </c>
      <c r="N383" s="9">
        <v>250.58233772128858</v>
      </c>
      <c r="O383" s="9">
        <f t="shared" si="0"/>
        <v>4.8697194394299892</v>
      </c>
      <c r="P383" s="9" t="s">
        <v>0</v>
      </c>
      <c r="Q383" s="9" t="str">
        <f t="shared" si="1"/>
        <v>-</v>
      </c>
      <c r="R383" s="9">
        <v>188.62660722014468</v>
      </c>
      <c r="S383" s="9">
        <f t="shared" si="2"/>
        <v>3.6656959318311375</v>
      </c>
      <c r="T383" s="9" t="s">
        <v>0</v>
      </c>
      <c r="U383" s="9" t="str">
        <f t="shared" si="3"/>
        <v>-</v>
      </c>
      <c r="V383" s="9" t="s">
        <v>0</v>
      </c>
      <c r="W383" s="9" t="str">
        <f t="shared" si="4"/>
        <v>-</v>
      </c>
      <c r="X383" s="9" t="s">
        <v>0</v>
      </c>
      <c r="Y383" s="9" t="str">
        <f t="shared" si="5"/>
        <v>-</v>
      </c>
      <c r="Z383" s="9" t="s">
        <v>0</v>
      </c>
      <c r="AA383" s="9" t="str">
        <f t="shared" si="6"/>
        <v>-</v>
      </c>
      <c r="AB383" s="9" t="s">
        <v>0</v>
      </c>
      <c r="AC383" s="9" t="str">
        <f t="shared" si="7"/>
        <v>-</v>
      </c>
      <c r="AD383" s="9" t="s">
        <v>0</v>
      </c>
      <c r="AE383" s="12" t="str">
        <f t="shared" si="8"/>
        <v>-</v>
      </c>
      <c r="AF383" s="9" t="s">
        <v>0</v>
      </c>
      <c r="AG383" s="9" t="s">
        <v>0</v>
      </c>
      <c r="AH383" s="9">
        <v>29.22</v>
      </c>
      <c r="AI383" s="9" t="s">
        <v>0</v>
      </c>
      <c r="AJ383" s="32" t="s">
        <v>0</v>
      </c>
      <c r="AK383" s="9" t="s">
        <v>0</v>
      </c>
      <c r="AL383" s="32" t="s">
        <v>0</v>
      </c>
      <c r="AM383" s="9" t="s">
        <v>0</v>
      </c>
      <c r="AN383" s="32" t="s">
        <v>0</v>
      </c>
      <c r="AO383" s="9" t="s">
        <v>0</v>
      </c>
      <c r="AP383" s="9" t="s">
        <v>0</v>
      </c>
      <c r="AQ383" s="32" t="s">
        <v>0</v>
      </c>
      <c r="AR383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83" s="9" t="str">
        <f t="shared" si="9"/>
        <v>-</v>
      </c>
      <c r="AT383" s="155">
        <f>IF(RIGHT(TIM[[#This Row],[Device type]],7)="Winding","-",TIM[[#This Row],[Cont Winter MVA]])</f>
        <v>4.8697194394299892</v>
      </c>
      <c r="AU383" s="155" t="str">
        <f>IF(RIGHT(TIM[[#This Row],[Device type]],7)="Winding","-",TIM[[#This Row],[Cont Shoulder MVA]])</f>
        <v>-</v>
      </c>
      <c r="AV383" s="155">
        <f>IF(RIGHT(TIM[[#This Row],[Device type]],7)="Winding","-",TIM[[#This Row],[Cont Summer MVA]])</f>
        <v>3.6656959318311375</v>
      </c>
      <c r="AW383" s="155" t="str">
        <f>TIM[[#This Row],[24 Hr Winter MVA]]</f>
        <v>-</v>
      </c>
      <c r="AX383" s="155" t="str">
        <f>TIM[[#This Row],[24 Hr Summer MVA]]</f>
        <v>-</v>
      </c>
      <c r="AY383" s="155" t="str">
        <f>TIM[[#This Row],[Forwards MVA]]</f>
        <v>-</v>
      </c>
      <c r="AZ383" s="155" t="str">
        <f>TIM[[#This Row],[Relay MVA]]</f>
        <v>-</v>
      </c>
      <c r="BA383" s="155" t="str">
        <f>TIM[[#This Row],[CT MVA]]</f>
        <v>-</v>
      </c>
      <c r="BB383" s="155" t="str">
        <f>TIM[[#This Row],[Derating MVA]]</f>
        <v>-</v>
      </c>
      <c r="BC383" s="155" t="str">
        <f>TIM[[#This Row],[Station/Feeder]]&amp;TIM[[#This Row],[Lowest MVA]]</f>
        <v>CB7_Holmestation3.66569593183114</v>
      </c>
      <c r="BD383" s="155" t="str">
        <f>CONCATENATE(TIM[[#This Row],[Supply Level]],TIM[[#This Row],[Station/Feeder]],TIM[[#This Row],[Voltage]],TIM[[#This Row],[Lowest A-No PTX]])</f>
        <v>DistributionFeederCB7_Holmestation11.22188.626607220145</v>
      </c>
      <c r="BE383" s="155" t="str">
        <f>CONCATENATE(TIM[[#This Row],[Supply Level]],TIM[[#This Row],[Station/Feeder]],TIM[[#This Row],[Voltage]],TIM[[#This Row],[Lowest A-PTX]])</f>
        <v>DistributionFeederCB7_Holmestation11.22188.626607220145</v>
      </c>
      <c r="BF383" s="155">
        <f>IFERROR(IF(MIN(TIM[[#This Row],[Summ Cont Winter A]:[Cable Derating]])=0,"",MIN(TIM[[#This Row],[Summ Cont Winter A]:[Cable Derating]])),"")</f>
        <v>3.6656959318311375</v>
      </c>
      <c r="BG383" s="155">
        <f>IFERROR(TIM[[#This Row],[Lowest MVA]]*1000/(TIM[[#This Row],[Voltage]]*SQRT(3)),"")</f>
        <v>188.62660722014468</v>
      </c>
      <c r="BH383" s="155">
        <f t="shared" si="435"/>
        <v>188.62660722014468</v>
      </c>
      <c r="BI383" s="155" t="str">
        <f>TIM[[#This Row],[From]]</f>
        <v>L571</v>
      </c>
      <c r="BJ383" s="155" t="str">
        <f>TIM[[#This Row],[To]]</f>
        <v>Pole 43326</v>
      </c>
      <c r="BK383" s="155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Line-MINK</v>
      </c>
      <c r="BL383" s="155">
        <f>TIM[[#This Row],[Voltage]]</f>
        <v>11.22</v>
      </c>
    </row>
    <row r="384" spans="1:64" ht="15" hidden="1" customHeight="1" thickBot="1" x14ac:dyDescent="0.3">
      <c r="A384" s="202" t="str">
        <f>CONCATENATE(TIM[[#This Row],[Supply Level]],TIM[[#This Row],[Station/Feeder]],TIM[[#This Row],[Voltage]])</f>
        <v>---</v>
      </c>
      <c r="B384" s="202" t="str">
        <f>CONCATENATE(TIM[[#This Row],[Supply Level]],TIM[[#This Row],[Station/Feeder]],TIM[[#This Row],[Equipment ID]],TIM[[#This Row],[Voltage]],TIM[[#This Row],[Device type]])</f>
        <v>-----</v>
      </c>
      <c r="C384" s="202" t="s">
        <v>0</v>
      </c>
      <c r="D384" s="161" t="s">
        <v>0</v>
      </c>
      <c r="E384" s="162" t="s">
        <v>0</v>
      </c>
      <c r="F384" s="162" t="s">
        <v>0</v>
      </c>
      <c r="G384" s="163" t="s">
        <v>0</v>
      </c>
      <c r="H384" s="187" t="s">
        <v>0</v>
      </c>
      <c r="I384" s="187" t="s">
        <v>0</v>
      </c>
      <c r="J384" s="187" t="s">
        <v>0</v>
      </c>
      <c r="K384" s="187" t="s">
        <v>0</v>
      </c>
      <c r="L384" s="187" t="s">
        <v>0</v>
      </c>
      <c r="M384" s="165" t="s">
        <v>0</v>
      </c>
      <c r="N384" s="164" t="s">
        <v>0</v>
      </c>
      <c r="O384" s="164" t="str">
        <f t="shared" si="0"/>
        <v>-</v>
      </c>
      <c r="P384" s="164" t="s">
        <v>0</v>
      </c>
      <c r="Q384" s="164" t="str">
        <f t="shared" si="1"/>
        <v>-</v>
      </c>
      <c r="R384" s="164" t="s">
        <v>0</v>
      </c>
      <c r="S384" s="164" t="str">
        <f t="shared" si="2"/>
        <v>-</v>
      </c>
      <c r="T384" s="164" t="s">
        <v>0</v>
      </c>
      <c r="U384" s="164" t="str">
        <f t="shared" si="3"/>
        <v>-</v>
      </c>
      <c r="V384" s="164" t="s">
        <v>0</v>
      </c>
      <c r="W384" s="164" t="str">
        <f t="shared" si="4"/>
        <v>-</v>
      </c>
      <c r="X384" s="164" t="s">
        <v>0</v>
      </c>
      <c r="Y384" s="164" t="str">
        <f t="shared" si="5"/>
        <v>-</v>
      </c>
      <c r="Z384" s="164" t="s">
        <v>0</v>
      </c>
      <c r="AA384" s="164" t="str">
        <f t="shared" si="6"/>
        <v>-</v>
      </c>
      <c r="AB384" s="164" t="s">
        <v>0</v>
      </c>
      <c r="AC384" s="164" t="str">
        <f t="shared" si="7"/>
        <v>-</v>
      </c>
      <c r="AD384" s="164" t="s">
        <v>0</v>
      </c>
      <c r="AE384" s="166" t="str">
        <f t="shared" si="8"/>
        <v>-</v>
      </c>
      <c r="AF384" s="164" t="s">
        <v>0</v>
      </c>
      <c r="AG384" s="164" t="s">
        <v>0</v>
      </c>
      <c r="AH384" s="164" t="s">
        <v>0</v>
      </c>
      <c r="AI384" s="164" t="s">
        <v>0</v>
      </c>
      <c r="AJ384" s="167" t="s">
        <v>0</v>
      </c>
      <c r="AK384" s="164" t="s">
        <v>0</v>
      </c>
      <c r="AL384" s="167" t="s">
        <v>0</v>
      </c>
      <c r="AM384" s="164" t="s">
        <v>0</v>
      </c>
      <c r="AN384" s="167" t="s">
        <v>0</v>
      </c>
      <c r="AO384" s="164" t="s">
        <v>0</v>
      </c>
      <c r="AP384" s="164" t="s">
        <v>0</v>
      </c>
      <c r="AQ384" s="167" t="s">
        <v>0</v>
      </c>
      <c r="AR384" s="164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84" s="164" t="str">
        <f t="shared" si="9"/>
        <v>-</v>
      </c>
      <c r="AT384" s="185" t="str">
        <f>IF(RIGHT(TIM[[#This Row],[Device type]],7)="Winding","-",TIM[[#This Row],[Cont Winter MVA]])</f>
        <v>-</v>
      </c>
      <c r="AU384" s="185" t="str">
        <f>IF(RIGHT(TIM[[#This Row],[Device type]],7)="Winding","-",TIM[[#This Row],[Cont Shoulder MVA]])</f>
        <v>-</v>
      </c>
      <c r="AV384" s="185" t="str">
        <f>IF(RIGHT(TIM[[#This Row],[Device type]],7)="Winding","-",TIM[[#This Row],[Cont Summer MVA]])</f>
        <v>-</v>
      </c>
      <c r="AW384" s="185" t="str">
        <f>TIM[[#This Row],[24 Hr Winter MVA]]</f>
        <v>-</v>
      </c>
      <c r="AX384" s="185" t="str">
        <f>TIM[[#This Row],[24 Hr Summer MVA]]</f>
        <v>-</v>
      </c>
      <c r="AY384" s="185" t="str">
        <f>TIM[[#This Row],[Forwards MVA]]</f>
        <v>-</v>
      </c>
      <c r="AZ384" s="185" t="str">
        <f>TIM[[#This Row],[Relay MVA]]</f>
        <v>-</v>
      </c>
      <c r="BA384" s="185" t="str">
        <f>TIM[[#This Row],[CT MVA]]</f>
        <v>-</v>
      </c>
      <c r="BB384" s="185" t="str">
        <f>TIM[[#This Row],[Derating MVA]]</f>
        <v>-</v>
      </c>
      <c r="BC384" s="185" t="str">
        <f>TIM[[#This Row],[Station/Feeder]]&amp;TIM[[#This Row],[Lowest MVA]]</f>
        <v>-</v>
      </c>
      <c r="BD384" s="185" t="str">
        <f>CONCATENATE(TIM[[#This Row],[Supply Level]],TIM[[#This Row],[Station/Feeder]],TIM[[#This Row],[Voltage]],TIM[[#This Row],[Lowest A-No PTX]])</f>
        <v>---</v>
      </c>
      <c r="BE384" s="185" t="str">
        <f>CONCATENATE(TIM[[#This Row],[Supply Level]],TIM[[#This Row],[Station/Feeder]],TIM[[#This Row],[Voltage]],TIM[[#This Row],[Lowest A-PTX]])</f>
        <v>---</v>
      </c>
      <c r="BF384" s="185" t="str">
        <f>IFERROR(IF(MIN(TIM[[#This Row],[Summ Cont Winter A]:[Cable Derating]])=0,"",MIN(TIM[[#This Row],[Summ Cont Winter A]:[Cable Derating]])),"")</f>
        <v/>
      </c>
      <c r="BG384" s="185" t="str">
        <f>IFERROR(TIM[[#This Row],[Lowest MVA]]*1000/(TIM[[#This Row],[Voltage]]*SQRT(3)),"")</f>
        <v/>
      </c>
      <c r="BH384" s="185" t="str">
        <f t="shared" si="435"/>
        <v/>
      </c>
      <c r="BI384" s="185" t="str">
        <f>TIM[[#This Row],[From]]</f>
        <v>-</v>
      </c>
      <c r="BJ384" s="185" t="str">
        <f>TIM[[#This Row],[To]]</f>
        <v>-</v>
      </c>
      <c r="BK384" s="185" t="str">
        <f>IF(TIM[[#This Row],[Device type]]="-",TIM[[#This Row],[Equipment Type]]&amp;"-"&amp;TIM[[#This Row],[Equipment ID]],TIM[[#This Row],[Equipment Type]]&amp;"-"&amp;TIM[[#This Row],[Equipment ID]]&amp;"-"&amp;TIM[[#This Row],[Device type]])</f>
        <v>---</v>
      </c>
      <c r="BL384" s="185" t="str">
        <f>TIM[[#This Row],[Voltage]]</f>
        <v>-</v>
      </c>
    </row>
    <row r="385" spans="1:64" ht="15" hidden="1" customHeight="1" x14ac:dyDescent="0.3">
      <c r="A385" s="3" t="str">
        <f>CONCATENATE(TIM[[#This Row],[Supply Level]],TIM[[#This Row],[Station/Feeder]],TIM[[#This Row],[Voltage]])</f>
        <v>SubTransmissionL269_PleasantPoint33</v>
      </c>
      <c r="B385" s="3" t="str">
        <f>CONCATENATE(TIM[[#This Row],[Supply Level]],TIM[[#This Row],[Station/Feeder]],TIM[[#This Row],[Equipment ID]],TIM[[#This Row],[Voltage]],TIM[[#This Row],[Device type]])</f>
        <v>SubTransmissionL269_PleasantPointQUAIL33-</v>
      </c>
      <c r="C385" s="3" t="s">
        <v>1245</v>
      </c>
      <c r="D385" s="10" t="s">
        <v>169</v>
      </c>
      <c r="E385" s="3" t="s">
        <v>1034</v>
      </c>
      <c r="F385" s="3" t="s">
        <v>1475</v>
      </c>
      <c r="G385" s="26">
        <v>1</v>
      </c>
      <c r="H385" s="7" t="s">
        <v>1289</v>
      </c>
      <c r="I385" s="38" t="s">
        <v>1286</v>
      </c>
      <c r="J385" s="38" t="s">
        <v>69</v>
      </c>
      <c r="K385" s="38" t="s">
        <v>0</v>
      </c>
      <c r="L385" s="38" t="s">
        <v>0</v>
      </c>
      <c r="M385" s="4">
        <v>33</v>
      </c>
      <c r="N385" s="5">
        <v>260.87631421392967</v>
      </c>
      <c r="O385" s="5">
        <f>IF(OR(N385="",N385="-"),"-",N385*$M385*SQRT(3)/1000)</f>
        <v>14.911084013424361</v>
      </c>
      <c r="P385" s="5">
        <v>220</v>
      </c>
      <c r="Q385" s="5">
        <f>IF(OR(P385="",P385="-"),"-",P385*$M385*SQRT(3)/1000)</f>
        <v>12.574688862950048</v>
      </c>
      <c r="R385" s="5">
        <v>196.20654018018305</v>
      </c>
      <c r="S385" s="5">
        <f>IF(OR(R385="",R385="-"),"-",R385*$M385*SQRT(3)/1000)</f>
        <v>11.214709980189586</v>
      </c>
      <c r="T385" s="5" t="s">
        <v>0</v>
      </c>
      <c r="U385" s="5" t="str">
        <f>IF(OR(T385="",T385="-"),"-",T385*$M385*SQRT(3)/1000)</f>
        <v>-</v>
      </c>
      <c r="V385" s="5" t="s">
        <v>0</v>
      </c>
      <c r="W385" s="5" t="str">
        <f>IF(OR(V385="",V385="-"),"-",V385*$M385*SQRT(3)/1000)</f>
        <v>-</v>
      </c>
      <c r="X385" s="5" t="s">
        <v>0</v>
      </c>
      <c r="Y385" s="5" t="str">
        <f>IF(OR(X385="",X385="-"),"-",X385*$M385*SQRT(3)/1000)</f>
        <v>-</v>
      </c>
      <c r="Z385" s="5" t="s">
        <v>0</v>
      </c>
      <c r="AA385" s="5" t="str">
        <f>IF(OR(Z385="",Z385="-"),"-",Z385*$M385*SQRT(3)/1000)</f>
        <v>-</v>
      </c>
      <c r="AB385" s="5" t="s">
        <v>0</v>
      </c>
      <c r="AC385" s="5" t="str">
        <f>IF(OR(AB385="",AB385="-"),"-",AB385*$M385*SQRT(3)/1000)</f>
        <v>-</v>
      </c>
      <c r="AD385" s="5" t="s">
        <v>0</v>
      </c>
      <c r="AE385" s="158" t="str">
        <f>IF(OR(AD385="",AD385="-"),"-",AD385*$M385*SQRT(3)/1000)</f>
        <v>-</v>
      </c>
      <c r="AF385" s="5" t="s">
        <v>0</v>
      </c>
      <c r="AG385" s="5" t="s">
        <v>0</v>
      </c>
      <c r="AH385" s="5">
        <v>2061.6999999999998</v>
      </c>
      <c r="AI385" s="5" t="s">
        <v>0</v>
      </c>
      <c r="AJ385" s="139" t="s">
        <v>0</v>
      </c>
      <c r="AK385" s="5" t="s">
        <v>0</v>
      </c>
      <c r="AL385" s="139" t="s">
        <v>0</v>
      </c>
      <c r="AM385" s="5" t="s">
        <v>0</v>
      </c>
      <c r="AN385" s="139" t="s">
        <v>0</v>
      </c>
      <c r="AO385" s="5" t="s">
        <v>0</v>
      </c>
      <c r="AP385" s="5" t="s">
        <v>0</v>
      </c>
      <c r="AQ385" s="139" t="s">
        <v>0</v>
      </c>
      <c r="AR385" s="5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85" s="5" t="str">
        <f>IF(OR(AR385="",AR385="-"),"-",AR385*$M385*SQRT(3)/1000)</f>
        <v>-</v>
      </c>
      <c r="AT385" s="29">
        <f>IF(RIGHT(TIM[[#This Row],[Device type]],7)="Winding","-",TIM[[#This Row],[Cont Winter MVA]])</f>
        <v>14.911084013424361</v>
      </c>
      <c r="AU385" s="29">
        <f>IF(RIGHT(TIM[[#This Row],[Device type]],7)="Winding","-",TIM[[#This Row],[Cont Shoulder MVA]])</f>
        <v>12.574688862950048</v>
      </c>
      <c r="AV385" s="29">
        <f>IF(RIGHT(TIM[[#This Row],[Device type]],7)="Winding","-",TIM[[#This Row],[Cont Summer MVA]])</f>
        <v>11.214709980189586</v>
      </c>
      <c r="AW385" s="29" t="str">
        <f>TIM[[#This Row],[24 Hr Winter MVA]]</f>
        <v>-</v>
      </c>
      <c r="AX385" s="29" t="str">
        <f>TIM[[#This Row],[24 Hr Summer MVA]]</f>
        <v>-</v>
      </c>
      <c r="AY385" s="29" t="str">
        <f>TIM[[#This Row],[Forwards MVA]]</f>
        <v>-</v>
      </c>
      <c r="AZ385" s="29" t="str">
        <f>TIM[[#This Row],[Relay MVA]]</f>
        <v>-</v>
      </c>
      <c r="BA385" s="29" t="str">
        <f>TIM[[#This Row],[CT MVA]]</f>
        <v>-</v>
      </c>
      <c r="BB385" s="29" t="str">
        <f>TIM[[#This Row],[Derating MVA]]</f>
        <v>-</v>
      </c>
      <c r="BC385" s="29" t="str">
        <f>TIM[[#This Row],[Station/Feeder]]&amp;TIM[[#This Row],[Lowest MVA]]</f>
        <v>L269_PleasantPoint11.2147099801896</v>
      </c>
      <c r="BD385" s="29" t="str">
        <f>CONCATENATE(TIM[[#This Row],[Supply Level]],TIM[[#This Row],[Station/Feeder]],TIM[[#This Row],[Voltage]],TIM[[#This Row],[Lowest A-No PTX]])</f>
        <v>SubTransmissionL269_PleasantPoint33196.206540180183</v>
      </c>
      <c r="BE385" s="29" t="str">
        <f>CONCATENATE(TIM[[#This Row],[Supply Level]],TIM[[#This Row],[Station/Feeder]],TIM[[#This Row],[Voltage]],TIM[[#This Row],[Lowest A-PTX]])</f>
        <v>SubTransmissionL269_PleasantPoint33196.206540180183</v>
      </c>
      <c r="BF385" s="29">
        <f>IFERROR(IF(MIN(TIM[[#This Row],[Summ Cont Winter A]:[Cable Derating]])=0,"",MIN(TIM[[#This Row],[Summ Cont Winter A]:[Cable Derating]])),"")</f>
        <v>11.214709980189586</v>
      </c>
      <c r="BG385" s="29">
        <f>IFERROR(TIM[[#This Row],[Lowest MVA]]*1000/(TIM[[#This Row],[Voltage]]*SQRT(3)),"")</f>
        <v>196.20654018018305</v>
      </c>
      <c r="BH385" s="29">
        <f t="shared" si="435"/>
        <v>196.20654018018305</v>
      </c>
      <c r="BI385" s="29" t="str">
        <f>TIM[[#This Row],[From]]</f>
        <v>CB L269</v>
      </c>
      <c r="BJ385" s="29" t="str">
        <f>TIM[[#This Row],[To]]</f>
        <v>Pole 872745</v>
      </c>
      <c r="BK385" s="2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Line-QUAIL</v>
      </c>
      <c r="BL385" s="29">
        <f>TIM[[#This Row],[Voltage]]</f>
        <v>33</v>
      </c>
    </row>
    <row r="386" spans="1:64" ht="15" hidden="1" customHeight="1" x14ac:dyDescent="0.3">
      <c r="A386" s="6" t="str">
        <f>CONCATENATE(TIM[[#This Row],[Supply Level]],TIM[[#This Row],[Station/Feeder]],TIM[[#This Row],[Voltage]])</f>
        <v>SubTransmissionL269_PleasantPoint33</v>
      </c>
      <c r="B386" s="6" t="str">
        <f>CONCATENATE(TIM[[#This Row],[Supply Level]],TIM[[#This Row],[Station/Feeder]],TIM[[#This Row],[Equipment ID]],TIM[[#This Row],[Voltage]],TIM[[#This Row],[Device type]])</f>
        <v>SubTransmissionL269_PleasantPoint3c 95mm² AL XLPE PVC screened33-</v>
      </c>
      <c r="C386" s="6" t="s">
        <v>1245</v>
      </c>
      <c r="D386" s="6" t="s">
        <v>169</v>
      </c>
      <c r="E386" s="6" t="s">
        <v>1475</v>
      </c>
      <c r="F386" s="6" t="s">
        <v>750</v>
      </c>
      <c r="G386" s="8">
        <v>2</v>
      </c>
      <c r="H386" s="7" t="s">
        <v>1477</v>
      </c>
      <c r="I386" s="330" t="s">
        <v>1476</v>
      </c>
      <c r="J386" s="331" t="s">
        <v>250</v>
      </c>
      <c r="K386" s="6" t="s">
        <v>0</v>
      </c>
      <c r="L386" s="6" t="s">
        <v>0</v>
      </c>
      <c r="M386" s="8">
        <v>33</v>
      </c>
      <c r="N386" s="9">
        <v>256</v>
      </c>
      <c r="O386" s="9">
        <f>IF(OR(N386="",N386="-"),"-",N386*$M386*SQRT(3)/1000)</f>
        <v>14.632365222341875</v>
      </c>
      <c r="P386" s="9">
        <v>256</v>
      </c>
      <c r="Q386" s="9">
        <f>IF(OR(P386="",P386="-"),"-",P386*$M386*SQRT(3)/1000)</f>
        <v>14.632365222341875</v>
      </c>
      <c r="R386" s="9">
        <v>256</v>
      </c>
      <c r="S386" s="9">
        <f>IF(OR(R386="",R386="-"),"-",R386*$M386*SQRT(3)/1000)</f>
        <v>14.632365222341875</v>
      </c>
      <c r="T386" s="9" t="s">
        <v>0</v>
      </c>
      <c r="U386" s="9" t="str">
        <f>IF(OR(T386="",T386="-"),"-",T386*$M386*SQRT(3)/1000)</f>
        <v>-</v>
      </c>
      <c r="V386" s="9" t="s">
        <v>0</v>
      </c>
      <c r="W386" s="9" t="str">
        <f>IF(OR(V386="",V386="-"),"-",V386*$M386*SQRT(3)/1000)</f>
        <v>-</v>
      </c>
      <c r="X386" s="9" t="s">
        <v>0</v>
      </c>
      <c r="Y386" s="9" t="str">
        <f>IF(OR(X386="",X386="-"),"-",X386*$M386*SQRT(3)/1000)</f>
        <v>-</v>
      </c>
      <c r="Z386" s="9" t="s">
        <v>0</v>
      </c>
      <c r="AA386" s="9" t="str">
        <f>IF(OR(Z386="",Z386="-"),"-",Z386*$M386*SQRT(3)/1000)</f>
        <v>-</v>
      </c>
      <c r="AB386" s="9" t="s">
        <v>0</v>
      </c>
      <c r="AC386" s="9" t="str">
        <f>IF(OR(AB386="",AB386="-"),"-",AB386*$M386*SQRT(3)/1000)</f>
        <v>-</v>
      </c>
      <c r="AD386" s="9" t="s">
        <v>0</v>
      </c>
      <c r="AE386" s="9" t="str">
        <f>IF(OR(AD386="",AD386="-"),"-",AD386*$M386*SQRT(3)/1000)</f>
        <v>-</v>
      </c>
      <c r="AF386" s="9" t="s">
        <v>0</v>
      </c>
      <c r="AG386" s="9" t="s">
        <v>344</v>
      </c>
      <c r="AH386" s="9">
        <v>800</v>
      </c>
      <c r="AI386" s="9">
        <v>1.4</v>
      </c>
      <c r="AJ386" s="43">
        <v>0.91</v>
      </c>
      <c r="AK386" s="9">
        <v>20</v>
      </c>
      <c r="AL386" s="43">
        <v>0.97</v>
      </c>
      <c r="AM386" s="9">
        <v>1.2</v>
      </c>
      <c r="AN386" s="43">
        <v>1</v>
      </c>
      <c r="AO386" s="9">
        <v>2</v>
      </c>
      <c r="AP386" s="9">
        <v>0.6</v>
      </c>
      <c r="AQ386" s="43">
        <v>0.91</v>
      </c>
      <c r="AR386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205.63379200000003</v>
      </c>
      <c r="AS386" s="9">
        <f>IF(OR(AR386="",AR386="-"),"-",AR386*$M386*SQRT(3)/1000)</f>
        <v>11.753549791402667</v>
      </c>
      <c r="AT386" s="9">
        <f>IF(RIGHT(TIM[[#This Row],[Device type]],7)="Winding","-",TIM[[#This Row],[Cont Winter MVA]])</f>
        <v>14.632365222341875</v>
      </c>
      <c r="AU386" s="9">
        <f>IF(RIGHT(TIM[[#This Row],[Device type]],7)="Winding","-",TIM[[#This Row],[Cont Shoulder MVA]])</f>
        <v>14.632365222341875</v>
      </c>
      <c r="AV386" s="9">
        <f>IF(RIGHT(TIM[[#This Row],[Device type]],7)="Winding","-",TIM[[#This Row],[Cont Summer MVA]])</f>
        <v>14.632365222341875</v>
      </c>
      <c r="AW386" s="9" t="str">
        <f>TIM[[#This Row],[24 Hr Winter MVA]]</f>
        <v>-</v>
      </c>
      <c r="AX386" s="9" t="str">
        <f>TIM[[#This Row],[24 Hr Summer MVA]]</f>
        <v>-</v>
      </c>
      <c r="AY386" s="9" t="str">
        <f>TIM[[#This Row],[Forwards MVA]]</f>
        <v>-</v>
      </c>
      <c r="AZ386" s="9" t="str">
        <f>TIM[[#This Row],[Relay MVA]]</f>
        <v>-</v>
      </c>
      <c r="BA386" s="9" t="str">
        <f>TIM[[#This Row],[CT MVA]]</f>
        <v>-</v>
      </c>
      <c r="BB386" s="9">
        <f>TIM[[#This Row],[Derating MVA]]</f>
        <v>11.753549791402667</v>
      </c>
      <c r="BC386" s="9" t="str">
        <f>TIM[[#This Row],[Station/Feeder]]&amp;TIM[[#This Row],[Lowest MVA]]</f>
        <v>L269_PleasantPoint11.7535497914027</v>
      </c>
      <c r="BD386" s="9" t="str">
        <f>CONCATENATE(TIM[[#This Row],[Supply Level]],TIM[[#This Row],[Station/Feeder]],TIM[[#This Row],[Voltage]],TIM[[#This Row],[Lowest A-No PTX]])</f>
        <v>SubTransmissionL269_PleasantPoint33205.633792</v>
      </c>
      <c r="BE386" s="9" t="str">
        <f>CONCATENATE(TIM[[#This Row],[Supply Level]],TIM[[#This Row],[Station/Feeder]],TIM[[#This Row],[Voltage]],TIM[[#This Row],[Lowest A-PTX]])</f>
        <v>SubTransmissionL269_PleasantPoint33205.633792</v>
      </c>
      <c r="BF386" s="9">
        <f>IFERROR(IF(MIN(TIM[[#This Row],[Summ Cont Winter A]:[Cable Derating]])=0,"",MIN(TIM[[#This Row],[Summ Cont Winter A]:[Cable Derating]])),"")</f>
        <v>11.753549791402667</v>
      </c>
      <c r="BG386" s="9">
        <f>IFERROR(TIM[[#This Row],[Lowest MVA]]*1000/(TIM[[#This Row],[Voltage]]*SQRT(3)),"")</f>
        <v>205.633792</v>
      </c>
      <c r="BH386" s="9">
        <f t="shared" si="435"/>
        <v>205.63379200000003</v>
      </c>
      <c r="BI386" s="9" t="str">
        <f>TIM[[#This Row],[From]]</f>
        <v>Pole 872745</v>
      </c>
      <c r="BJ386" s="9" t="str">
        <f>TIM[[#This Row],[To]]</f>
        <v>Joint</v>
      </c>
      <c r="BK386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- 3c 95mm² AL XLPE PVC screened</v>
      </c>
      <c r="BL386" s="9">
        <f>TIM[[#This Row],[Voltage]]</f>
        <v>33</v>
      </c>
    </row>
    <row r="387" spans="1:64" ht="15" hidden="1" customHeight="1" x14ac:dyDescent="0.3">
      <c r="A387" s="6" t="str">
        <f>CONCATENATE(TIM[[#This Row],[Supply Level]],TIM[[#This Row],[Station/Feeder]],TIM[[#This Row],[Voltage]])</f>
        <v>SubTransmissionL269_PleasantPoint33</v>
      </c>
      <c r="B387" s="6" t="str">
        <f>CONCATENATE(TIM[[#This Row],[Supply Level]],TIM[[#This Row],[Station/Feeder]],TIM[[#This Row],[Equipment ID]],TIM[[#This Row],[Voltage]],TIM[[#This Row],[Device type]])</f>
        <v>SubTransmissionL269_PleasantPoint3/185mm2 Al XLPE PVC, 33 kV33-</v>
      </c>
      <c r="C387" s="6" t="s">
        <v>1245</v>
      </c>
      <c r="D387" s="6" t="s">
        <v>169</v>
      </c>
      <c r="E387" s="6" t="s">
        <v>750</v>
      </c>
      <c r="F387" s="6" t="s">
        <v>1473</v>
      </c>
      <c r="G387" s="8">
        <v>3</v>
      </c>
      <c r="H387" s="7" t="s">
        <v>1477</v>
      </c>
      <c r="I387" s="332" t="s">
        <v>1474</v>
      </c>
      <c r="J387" s="331" t="s">
        <v>250</v>
      </c>
      <c r="K387" s="6" t="s">
        <v>0</v>
      </c>
      <c r="L387" s="6" t="s">
        <v>0</v>
      </c>
      <c r="M387" s="8">
        <v>33</v>
      </c>
      <c r="N387" s="9">
        <v>367</v>
      </c>
      <c r="O387" s="9">
        <f>IF(OR(N387="",N387="-"),"-",N387*$M387*SQRT(3)/1000)</f>
        <v>20.976867330466671</v>
      </c>
      <c r="P387" s="9">
        <v>367</v>
      </c>
      <c r="Q387" s="9">
        <f>IF(OR(P387="",P387="-"),"-",P387*$M387*SQRT(3)/1000)</f>
        <v>20.976867330466671</v>
      </c>
      <c r="R387" s="9">
        <v>367</v>
      </c>
      <c r="S387" s="9">
        <f>IF(OR(R387="",R387="-"),"-",R387*$M387*SQRT(3)/1000)</f>
        <v>20.976867330466671</v>
      </c>
      <c r="T387" s="9" t="s">
        <v>0</v>
      </c>
      <c r="U387" s="9" t="str">
        <f>IF(OR(T387="",T387="-"),"-",T387*$M387*SQRT(3)/1000)</f>
        <v>-</v>
      </c>
      <c r="V387" s="9" t="s">
        <v>0</v>
      </c>
      <c r="W387" s="9" t="str">
        <f>IF(OR(V387="",V387="-"),"-",V387*$M387*SQRT(3)/1000)</f>
        <v>-</v>
      </c>
      <c r="X387" s="9" t="s">
        <v>0</v>
      </c>
      <c r="Y387" s="9" t="str">
        <f>IF(OR(X387="",X387="-"),"-",X387*$M387*SQRT(3)/1000)</f>
        <v>-</v>
      </c>
      <c r="Z387" s="9" t="s">
        <v>0</v>
      </c>
      <c r="AA387" s="9" t="str">
        <f>IF(OR(Z387="",Z387="-"),"-",Z387*$M387*SQRT(3)/1000)</f>
        <v>-</v>
      </c>
      <c r="AB387" s="9" t="s">
        <v>0</v>
      </c>
      <c r="AC387" s="9" t="str">
        <f>IF(OR(AB387="",AB387="-"),"-",AB387*$M387*SQRT(3)/1000)</f>
        <v>-</v>
      </c>
      <c r="AD387" s="9" t="s">
        <v>0</v>
      </c>
      <c r="AE387" s="9" t="str">
        <f>IF(OR(AD387="",AD387="-"),"-",AD387*$M387*SQRT(3)/1000)</f>
        <v>-</v>
      </c>
      <c r="AF387" s="9" t="s">
        <v>0</v>
      </c>
      <c r="AG387" s="9" t="s">
        <v>344</v>
      </c>
      <c r="AH387" s="9">
        <v>1600</v>
      </c>
      <c r="AI387" s="9">
        <v>1.4</v>
      </c>
      <c r="AJ387" s="43">
        <v>0.91</v>
      </c>
      <c r="AK387" s="9">
        <v>20</v>
      </c>
      <c r="AL387" s="43">
        <v>0.97</v>
      </c>
      <c r="AM387" s="9">
        <v>1.2</v>
      </c>
      <c r="AN387" s="43">
        <v>1</v>
      </c>
      <c r="AO387" s="9">
        <v>2</v>
      </c>
      <c r="AP387" s="9">
        <v>0.7</v>
      </c>
      <c r="AQ387" s="43">
        <v>1</v>
      </c>
      <c r="AR387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323.95089999999999</v>
      </c>
      <c r="AS387" s="9">
        <f>IF(OR(AR387="",AR387="-"),"-",AR387*$M387*SQRT(3)/1000)</f>
        <v>18.516280792602931</v>
      </c>
      <c r="AT387" s="9">
        <f>IF(RIGHT(TIM[[#This Row],[Device type]],7)="Winding","-",TIM[[#This Row],[Cont Winter MVA]])</f>
        <v>20.976867330466671</v>
      </c>
      <c r="AU387" s="9">
        <f>IF(RIGHT(TIM[[#This Row],[Device type]],7)="Winding","-",TIM[[#This Row],[Cont Shoulder MVA]])</f>
        <v>20.976867330466671</v>
      </c>
      <c r="AV387" s="9">
        <f>IF(RIGHT(TIM[[#This Row],[Device type]],7)="Winding","-",TIM[[#This Row],[Cont Summer MVA]])</f>
        <v>20.976867330466671</v>
      </c>
      <c r="AW387" s="9" t="str">
        <f>TIM[[#This Row],[24 Hr Winter MVA]]</f>
        <v>-</v>
      </c>
      <c r="AX387" s="9" t="str">
        <f>TIM[[#This Row],[24 Hr Summer MVA]]</f>
        <v>-</v>
      </c>
      <c r="AY387" s="9" t="str">
        <f>TIM[[#This Row],[Forwards MVA]]</f>
        <v>-</v>
      </c>
      <c r="AZ387" s="9" t="str">
        <f>TIM[[#This Row],[Relay MVA]]</f>
        <v>-</v>
      </c>
      <c r="BA387" s="9" t="str">
        <f>TIM[[#This Row],[CT MVA]]</f>
        <v>-</v>
      </c>
      <c r="BB387" s="9">
        <f>TIM[[#This Row],[Derating MVA]]</f>
        <v>18.516280792602931</v>
      </c>
      <c r="BC387" s="9" t="str">
        <f>TIM[[#This Row],[Station/Feeder]]&amp;TIM[[#This Row],[Lowest MVA]]</f>
        <v>L269_PleasantPoint18.5162807926029</v>
      </c>
      <c r="BD387" s="9" t="str">
        <f>CONCATENATE(TIM[[#This Row],[Supply Level]],TIM[[#This Row],[Station/Feeder]],TIM[[#This Row],[Voltage]],TIM[[#This Row],[Lowest A-No PTX]])</f>
        <v>SubTransmissionL269_PleasantPoint33323.9509</v>
      </c>
      <c r="BE387" s="9" t="str">
        <f>CONCATENATE(TIM[[#This Row],[Supply Level]],TIM[[#This Row],[Station/Feeder]],TIM[[#This Row],[Voltage]],TIM[[#This Row],[Lowest A-PTX]])</f>
        <v>SubTransmissionL269_PleasantPoint33323.9509</v>
      </c>
      <c r="BF387" s="9">
        <f>IFERROR(IF(MIN(TIM[[#This Row],[Summ Cont Winter A]:[Cable Derating]])=0,"",MIN(TIM[[#This Row],[Summ Cont Winter A]:[Cable Derating]])),"")</f>
        <v>18.516280792602931</v>
      </c>
      <c r="BG387" s="9">
        <f>IFERROR(TIM[[#This Row],[Lowest MVA]]*1000/(TIM[[#This Row],[Voltage]]*SQRT(3)),"")</f>
        <v>323.95089999999999</v>
      </c>
      <c r="BH387" s="9">
        <f t="shared" si="435"/>
        <v>323.95089999999999</v>
      </c>
      <c r="BI387" s="9" t="str">
        <f>TIM[[#This Row],[From]]</f>
        <v>Joint</v>
      </c>
      <c r="BJ387" s="9" t="str">
        <f>TIM[[#This Row],[To]]</f>
        <v>Pole 873942</v>
      </c>
      <c r="BK387" s="9" t="str">
        <f>IF(TIM[[#This Row],[Device type]]="-",TIM[[#This Row],[Equipment Type]]&amp;" - "&amp;TIM[[#This Row],[Equipment ID]],TIM[[#This Row],[Equipment Type]]&amp;" - "&amp;TIM[[#This Row],[Equipment ID]]&amp;" - "&amp;TIM[[#This Row],[Device type]])</f>
        <v>Cable - 3/185mm2 Al XLPE PVC, 33 kV</v>
      </c>
      <c r="BL387" s="9">
        <f>TIM[[#This Row],[Voltage]]</f>
        <v>33</v>
      </c>
    </row>
    <row r="388" spans="1:64" ht="15" hidden="1" customHeight="1" x14ac:dyDescent="0.3">
      <c r="A388" s="6" t="str">
        <f>CONCATENATE(TIM[[#This Row],[Supply Level]],TIM[[#This Row],[Station/Feeder]],TIM[[#This Row],[Voltage]])</f>
        <v>SubTransmissionL269_PleasantPoint33</v>
      </c>
      <c r="B388" s="6" t="str">
        <f>CONCATENATE(TIM[[#This Row],[Supply Level]],TIM[[#This Row],[Station/Feeder]],TIM[[#This Row],[Equipment ID]],TIM[[#This Row],[Voltage]],TIM[[#This Row],[Device type]])</f>
        <v>SubTransmissionL269_PleasantPointDOG33-</v>
      </c>
      <c r="C388" s="6" t="s">
        <v>1245</v>
      </c>
      <c r="D388" s="11" t="s">
        <v>169</v>
      </c>
      <c r="E388" s="6" t="s">
        <v>1082</v>
      </c>
      <c r="F388" s="6" t="s">
        <v>1083</v>
      </c>
      <c r="G388" s="27">
        <v>4</v>
      </c>
      <c r="H388" s="7" t="s">
        <v>1289</v>
      </c>
      <c r="I388" s="7" t="s">
        <v>318</v>
      </c>
      <c r="J388" s="7" t="s">
        <v>69</v>
      </c>
      <c r="K388" s="7" t="s">
        <v>0</v>
      </c>
      <c r="L388" s="7" t="s">
        <v>0</v>
      </c>
      <c r="M388" s="8">
        <v>33</v>
      </c>
      <c r="N388" s="9">
        <v>343.69342642524197</v>
      </c>
      <c r="O388" s="9">
        <f t="shared" si="0"/>
        <v>19.644717734266511</v>
      </c>
      <c r="P388" s="9" t="s">
        <v>0</v>
      </c>
      <c r="Q388" s="9" t="str">
        <f t="shared" si="1"/>
        <v>-</v>
      </c>
      <c r="R388" s="9">
        <v>256.85852310343915</v>
      </c>
      <c r="S388" s="9">
        <f t="shared" si="2"/>
        <v>14.681436408284609</v>
      </c>
      <c r="T388" s="9" t="s">
        <v>0</v>
      </c>
      <c r="U388" s="9" t="str">
        <f t="shared" si="3"/>
        <v>-</v>
      </c>
      <c r="V388" s="9" t="s">
        <v>0</v>
      </c>
      <c r="W388" s="9" t="str">
        <f t="shared" si="4"/>
        <v>-</v>
      </c>
      <c r="X388" s="9" t="s">
        <v>0</v>
      </c>
      <c r="Y388" s="9" t="str">
        <f t="shared" si="5"/>
        <v>-</v>
      </c>
      <c r="Z388" s="9" t="s">
        <v>0</v>
      </c>
      <c r="AA388" s="9" t="str">
        <f t="shared" si="6"/>
        <v>-</v>
      </c>
      <c r="AB388" s="9" t="s">
        <v>0</v>
      </c>
      <c r="AC388" s="9" t="str">
        <f t="shared" si="7"/>
        <v>-</v>
      </c>
      <c r="AD388" s="9" t="s">
        <v>0</v>
      </c>
      <c r="AE388" s="12" t="str">
        <f t="shared" si="8"/>
        <v>-</v>
      </c>
      <c r="AF388" s="29" t="s">
        <v>0</v>
      </c>
      <c r="AG388" s="29" t="s">
        <v>0</v>
      </c>
      <c r="AH388" s="8">
        <v>772.8</v>
      </c>
      <c r="AI388" s="29" t="s">
        <v>0</v>
      </c>
      <c r="AJ388" s="32" t="s">
        <v>0</v>
      </c>
      <c r="AK388" s="29" t="s">
        <v>0</v>
      </c>
      <c r="AL388" s="32" t="s">
        <v>0</v>
      </c>
      <c r="AM388" s="29" t="s">
        <v>0</v>
      </c>
      <c r="AN388" s="32" t="s">
        <v>0</v>
      </c>
      <c r="AO388" s="29" t="s">
        <v>0</v>
      </c>
      <c r="AP388" s="29" t="s">
        <v>0</v>
      </c>
      <c r="AQ388" s="32" t="s">
        <v>0</v>
      </c>
      <c r="AR388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88" s="9" t="str">
        <f t="shared" si="9"/>
        <v>-</v>
      </c>
      <c r="AT388" s="9">
        <f>IF(RIGHT(TIM[[#This Row],[Device type]],7)="Winding","-",TIM[[#This Row],[Cont Winter MVA]])</f>
        <v>19.644717734266511</v>
      </c>
      <c r="AU388" s="9" t="str">
        <f>IF(RIGHT(TIM[[#This Row],[Device type]],7)="Winding","-",TIM[[#This Row],[Cont Shoulder MVA]])</f>
        <v>-</v>
      </c>
      <c r="AV388" s="9">
        <f>IF(RIGHT(TIM[[#This Row],[Device type]],7)="Winding","-",TIM[[#This Row],[Cont Summer MVA]])</f>
        <v>14.681436408284609</v>
      </c>
      <c r="AW388" s="9" t="str">
        <f>TIM[[#This Row],[24 Hr Winter MVA]]</f>
        <v>-</v>
      </c>
      <c r="AX388" s="9" t="str">
        <f>TIM[[#This Row],[24 Hr Summer MVA]]</f>
        <v>-</v>
      </c>
      <c r="AY388" s="9" t="str">
        <f>TIM[[#This Row],[Forwards MVA]]</f>
        <v>-</v>
      </c>
      <c r="AZ388" s="9" t="str">
        <f>TIM[[#This Row],[Relay MVA]]</f>
        <v>-</v>
      </c>
      <c r="BA388" s="9" t="str">
        <f>TIM[[#This Row],[CT MVA]]</f>
        <v>-</v>
      </c>
      <c r="BB388" s="9" t="str">
        <f>TIM[[#This Row],[Derating MVA]]</f>
        <v>-</v>
      </c>
      <c r="BC388" s="9" t="str">
        <f>TIM[[#This Row],[Station/Feeder]]&amp;TIM[[#This Row],[Lowest MVA]]</f>
        <v>L269_PleasantPoint14.6814364082846</v>
      </c>
      <c r="BD388" s="9" t="str">
        <f>CONCATENATE(TIM[[#This Row],[Supply Level]],TIM[[#This Row],[Station/Feeder]],TIM[[#This Row],[Voltage]],TIM[[#This Row],[Lowest A-No PTX]])</f>
        <v>SubTransmissionL269_PleasantPoint33256.858523103439</v>
      </c>
      <c r="BE388" s="9" t="str">
        <f>CONCATENATE(TIM[[#This Row],[Supply Level]],TIM[[#This Row],[Station/Feeder]],TIM[[#This Row],[Voltage]],TIM[[#This Row],[Lowest A-PTX]])</f>
        <v>SubTransmissionL269_PleasantPoint33256.858523103439</v>
      </c>
      <c r="BF388" s="9">
        <f>IFERROR(IF(MIN(TIM[[#This Row],[Summ Cont Winter A]:[Cable Derating]])=0,"",MIN(TIM[[#This Row],[Summ Cont Winter A]:[Cable Derating]])),"")</f>
        <v>14.681436408284609</v>
      </c>
      <c r="BG388" s="9">
        <f>IFERROR(TIM[[#This Row],[Lowest MVA]]*1000/(TIM[[#This Row],[Voltage]]*SQRT(3)),"")</f>
        <v>256.85852310343915</v>
      </c>
      <c r="BH388" s="9">
        <f t="shared" si="435"/>
        <v>256.85852310343915</v>
      </c>
      <c r="BI388" s="9" t="str">
        <f>TIM[[#This Row],[From]]</f>
        <v>Pole 24384</v>
      </c>
      <c r="BJ388" s="9" t="str">
        <f>TIM[[#This Row],[To]]</f>
        <v>Pole 24351</v>
      </c>
      <c r="BK38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Line-DOG</v>
      </c>
      <c r="BL388" s="9">
        <f>TIM[[#This Row],[Voltage]]</f>
        <v>33</v>
      </c>
    </row>
    <row r="389" spans="1:64" ht="15.75" hidden="1" customHeight="1" x14ac:dyDescent="0.3">
      <c r="A389" s="6" t="str">
        <f>CONCATENATE(TIM[[#This Row],[Supply Level]],TIM[[#This Row],[Station/Feeder]],TIM[[#This Row],[Voltage]])</f>
        <v>SubTransmissionL269_PleasantPoint33</v>
      </c>
      <c r="B389" s="6" t="str">
        <f>CONCATENATE(TIM[[#This Row],[Supply Level]],TIM[[#This Row],[Station/Feeder]],TIM[[#This Row],[Equipment ID]],TIM[[#This Row],[Voltage]],TIM[[#This Row],[Device type]])</f>
        <v>SubTransmissionL269_PleasantPoint19/14 Cu33-</v>
      </c>
      <c r="C389" s="6" t="s">
        <v>1245</v>
      </c>
      <c r="D389" s="11" t="s">
        <v>169</v>
      </c>
      <c r="E389" s="6" t="s">
        <v>1083</v>
      </c>
      <c r="F389" s="6" t="s">
        <v>1084</v>
      </c>
      <c r="G389" s="27">
        <v>5</v>
      </c>
      <c r="H389" s="7" t="s">
        <v>1289</v>
      </c>
      <c r="I389" s="7" t="s">
        <v>319</v>
      </c>
      <c r="J389" s="7" t="s">
        <v>69</v>
      </c>
      <c r="K389" s="7" t="s">
        <v>0</v>
      </c>
      <c r="L389" s="7" t="s">
        <v>0</v>
      </c>
      <c r="M389" s="8">
        <v>33</v>
      </c>
      <c r="N389" s="9">
        <v>320.59746715230432</v>
      </c>
      <c r="O389" s="9">
        <f>IF(OR(N389="",N389="-"),"-",N389*$M389*SQRT(3)/1000)</f>
        <v>18.324606362227613</v>
      </c>
      <c r="P389" s="9" t="s">
        <v>0</v>
      </c>
      <c r="Q389" s="9" t="str">
        <f>IF(OR(P389="",P389="-"),"-",P389*$M389*SQRT(3)/1000)</f>
        <v>-</v>
      </c>
      <c r="R389" s="9">
        <v>241.6124594654155</v>
      </c>
      <c r="S389" s="9">
        <f>IF(OR(R389="",R389="-"),"-",R389*$M389*SQRT(3)/1000)</f>
        <v>13.810006832680592</v>
      </c>
      <c r="T389" s="147" t="s">
        <v>0</v>
      </c>
      <c r="U389" s="9" t="str">
        <f t="shared" si="3"/>
        <v>-</v>
      </c>
      <c r="V389" s="9" t="s">
        <v>0</v>
      </c>
      <c r="W389" s="9" t="str">
        <f t="shared" si="4"/>
        <v>-</v>
      </c>
      <c r="X389" s="9" t="s">
        <v>0</v>
      </c>
      <c r="Y389" s="9" t="str">
        <f t="shared" si="5"/>
        <v>-</v>
      </c>
      <c r="Z389" s="9" t="s">
        <v>0</v>
      </c>
      <c r="AA389" s="9" t="str">
        <f t="shared" si="6"/>
        <v>-</v>
      </c>
      <c r="AB389" s="9" t="s">
        <v>0</v>
      </c>
      <c r="AC389" s="9" t="str">
        <f t="shared" si="7"/>
        <v>-</v>
      </c>
      <c r="AD389" s="9" t="s">
        <v>0</v>
      </c>
      <c r="AE389" s="12" t="str">
        <f t="shared" si="8"/>
        <v>-</v>
      </c>
      <c r="AF389" s="29" t="s">
        <v>0</v>
      </c>
      <c r="AG389" s="29" t="s">
        <v>0</v>
      </c>
      <c r="AH389" s="8">
        <v>48.7</v>
      </c>
      <c r="AI389" s="29" t="s">
        <v>0</v>
      </c>
      <c r="AJ389" s="32" t="s">
        <v>0</v>
      </c>
      <c r="AK389" s="29" t="s">
        <v>0</v>
      </c>
      <c r="AL389" s="32" t="s">
        <v>0</v>
      </c>
      <c r="AM389" s="29" t="s">
        <v>0</v>
      </c>
      <c r="AN389" s="32" t="s">
        <v>0</v>
      </c>
      <c r="AO389" s="29" t="s">
        <v>0</v>
      </c>
      <c r="AP389" s="29" t="s">
        <v>0</v>
      </c>
      <c r="AQ389" s="32" t="s">
        <v>0</v>
      </c>
      <c r="AR389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89" s="9" t="str">
        <f t="shared" si="9"/>
        <v>-</v>
      </c>
      <c r="AT389" s="9">
        <f>IF(RIGHT(TIM[[#This Row],[Device type]],7)="Winding","-",TIM[[#This Row],[Cont Winter MVA]])</f>
        <v>18.324606362227613</v>
      </c>
      <c r="AU389" s="9" t="str">
        <f>IF(RIGHT(TIM[[#This Row],[Device type]],7)="Winding","-",TIM[[#This Row],[Cont Shoulder MVA]])</f>
        <v>-</v>
      </c>
      <c r="AV389" s="9">
        <f>IF(RIGHT(TIM[[#This Row],[Device type]],7)="Winding","-",TIM[[#This Row],[Cont Summer MVA]])</f>
        <v>13.810006832680592</v>
      </c>
      <c r="AW389" s="9" t="str">
        <f>TIM[[#This Row],[24 Hr Winter MVA]]</f>
        <v>-</v>
      </c>
      <c r="AX389" s="9" t="str">
        <f>TIM[[#This Row],[24 Hr Summer MVA]]</f>
        <v>-</v>
      </c>
      <c r="AY389" s="9" t="str">
        <f>TIM[[#This Row],[Forwards MVA]]</f>
        <v>-</v>
      </c>
      <c r="AZ389" s="9" t="str">
        <f>TIM[[#This Row],[Relay MVA]]</f>
        <v>-</v>
      </c>
      <c r="BA389" s="9" t="str">
        <f>TIM[[#This Row],[CT MVA]]</f>
        <v>-</v>
      </c>
      <c r="BB389" s="9" t="str">
        <f>TIM[[#This Row],[Derating MVA]]</f>
        <v>-</v>
      </c>
      <c r="BC389" s="9" t="str">
        <f>TIM[[#This Row],[Station/Feeder]]&amp;TIM[[#This Row],[Lowest MVA]]</f>
        <v>L269_PleasantPoint13.8100068326806</v>
      </c>
      <c r="BD389" s="9" t="str">
        <f>CONCATENATE(TIM[[#This Row],[Supply Level]],TIM[[#This Row],[Station/Feeder]],TIM[[#This Row],[Voltage]],TIM[[#This Row],[Lowest A-No PTX]])</f>
        <v>SubTransmissionL269_PleasantPoint33241.612459465415</v>
      </c>
      <c r="BE389" s="9" t="str">
        <f>CONCATENATE(TIM[[#This Row],[Supply Level]],TIM[[#This Row],[Station/Feeder]],TIM[[#This Row],[Voltage]],TIM[[#This Row],[Lowest A-PTX]])</f>
        <v>SubTransmissionL269_PleasantPoint33241.612459465415</v>
      </c>
      <c r="BF389" s="9">
        <f>IFERROR(IF(MIN(TIM[[#This Row],[Summ Cont Winter A]:[Cable Derating]])=0,"",MIN(TIM[[#This Row],[Summ Cont Winter A]:[Cable Derating]])),"")</f>
        <v>13.810006832680592</v>
      </c>
      <c r="BG389" s="9">
        <f>IFERROR(TIM[[#This Row],[Lowest MVA]]*1000/(TIM[[#This Row],[Voltage]]*SQRT(3)),"")</f>
        <v>241.6124594654155</v>
      </c>
      <c r="BH389" s="9">
        <f t="shared" si="435"/>
        <v>241.6124594654155</v>
      </c>
      <c r="BI389" s="9" t="str">
        <f>TIM[[#This Row],[From]]</f>
        <v>Pole 24351</v>
      </c>
      <c r="BJ389" s="9" t="str">
        <f>TIM[[#This Row],[To]]</f>
        <v>Pole 24349</v>
      </c>
      <c r="BK38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Line-19/14 Cu</v>
      </c>
      <c r="BL389" s="9">
        <f>TIM[[#This Row],[Voltage]]</f>
        <v>33</v>
      </c>
    </row>
    <row r="390" spans="1:64" ht="15" hidden="1" customHeight="1" x14ac:dyDescent="0.3">
      <c r="A390" s="6" t="str">
        <f>CONCATENATE(TIM[[#This Row],[Supply Level]],TIM[[#This Row],[Station/Feeder]],TIM[[#This Row],[Voltage]])</f>
        <v>SubTransmissionL269_PleasantPoint33</v>
      </c>
      <c r="B390" s="6" t="str">
        <f>CONCATENATE(TIM[[#This Row],[Supply Level]],TIM[[#This Row],[Station/Feeder]],TIM[[#This Row],[Equipment ID]],TIM[[#This Row],[Voltage]],TIM[[#This Row],[Device type]])</f>
        <v>SubTransmissionL269_PleasantPointWeke33-</v>
      </c>
      <c r="C390" s="6" t="s">
        <v>1245</v>
      </c>
      <c r="D390" s="11" t="s">
        <v>169</v>
      </c>
      <c r="E390" s="6" t="s">
        <v>1084</v>
      </c>
      <c r="F390" s="6" t="s">
        <v>1085</v>
      </c>
      <c r="G390" s="27">
        <v>6</v>
      </c>
      <c r="H390" s="7" t="s">
        <v>1289</v>
      </c>
      <c r="I390" s="7" t="s">
        <v>1079</v>
      </c>
      <c r="J390" s="7" t="s">
        <v>69</v>
      </c>
      <c r="K390" s="7" t="s">
        <v>0</v>
      </c>
      <c r="L390" s="7" t="s">
        <v>0</v>
      </c>
      <c r="M390" s="8">
        <v>33</v>
      </c>
      <c r="N390" s="9">
        <v>371.29505715211172</v>
      </c>
      <c r="O390" s="9">
        <f t="shared" si="0"/>
        <v>21.222362818359368</v>
      </c>
      <c r="P390" s="9" t="s">
        <v>0</v>
      </c>
      <c r="Q390" s="9" t="str">
        <f t="shared" si="1"/>
        <v>-</v>
      </c>
      <c r="R390" s="9">
        <v>277.48055883569697</v>
      </c>
      <c r="S390" s="9">
        <f t="shared" si="2"/>
        <v>15.860144058529066</v>
      </c>
      <c r="T390" s="9" t="s">
        <v>0</v>
      </c>
      <c r="U390" s="9" t="str">
        <f t="shared" si="3"/>
        <v>-</v>
      </c>
      <c r="V390" s="9" t="s">
        <v>0</v>
      </c>
      <c r="W390" s="9" t="str">
        <f t="shared" si="4"/>
        <v>-</v>
      </c>
      <c r="X390" s="9" t="s">
        <v>0</v>
      </c>
      <c r="Y390" s="9" t="str">
        <f t="shared" si="5"/>
        <v>-</v>
      </c>
      <c r="Z390" s="9" t="s">
        <v>0</v>
      </c>
      <c r="AA390" s="9" t="str">
        <f t="shared" si="6"/>
        <v>-</v>
      </c>
      <c r="AB390" s="9" t="s">
        <v>0</v>
      </c>
      <c r="AC390" s="9" t="str">
        <f t="shared" si="7"/>
        <v>-</v>
      </c>
      <c r="AD390" s="9" t="s">
        <v>0</v>
      </c>
      <c r="AE390" s="12" t="str">
        <f t="shared" si="8"/>
        <v>-</v>
      </c>
      <c r="AF390" s="29" t="s">
        <v>0</v>
      </c>
      <c r="AG390" s="29" t="s">
        <v>0</v>
      </c>
      <c r="AH390" s="8">
        <v>757.4</v>
      </c>
      <c r="AI390" s="29" t="s">
        <v>0</v>
      </c>
      <c r="AJ390" s="32" t="s">
        <v>0</v>
      </c>
      <c r="AK390" s="29" t="s">
        <v>0</v>
      </c>
      <c r="AL390" s="32" t="s">
        <v>0</v>
      </c>
      <c r="AM390" s="29" t="s">
        <v>0</v>
      </c>
      <c r="AN390" s="32" t="s">
        <v>0</v>
      </c>
      <c r="AO390" s="29" t="s">
        <v>0</v>
      </c>
      <c r="AP390" s="29" t="s">
        <v>0</v>
      </c>
      <c r="AQ390" s="32" t="s">
        <v>0</v>
      </c>
      <c r="AR39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90" s="9" t="str">
        <f t="shared" si="9"/>
        <v>-</v>
      </c>
      <c r="AT390" s="9">
        <f>IF(RIGHT(TIM[[#This Row],[Device type]],7)="Winding","-",TIM[[#This Row],[Cont Winter MVA]])</f>
        <v>21.222362818359368</v>
      </c>
      <c r="AU390" s="9" t="str">
        <f>IF(RIGHT(TIM[[#This Row],[Device type]],7)="Winding","-",TIM[[#This Row],[Cont Shoulder MVA]])</f>
        <v>-</v>
      </c>
      <c r="AV390" s="9">
        <f>IF(RIGHT(TIM[[#This Row],[Device type]],7)="Winding","-",TIM[[#This Row],[Cont Summer MVA]])</f>
        <v>15.860144058529066</v>
      </c>
      <c r="AW390" s="9" t="str">
        <f>TIM[[#This Row],[24 Hr Winter MVA]]</f>
        <v>-</v>
      </c>
      <c r="AX390" s="9" t="str">
        <f>TIM[[#This Row],[24 Hr Summer MVA]]</f>
        <v>-</v>
      </c>
      <c r="AY390" s="9" t="str">
        <f>TIM[[#This Row],[Forwards MVA]]</f>
        <v>-</v>
      </c>
      <c r="AZ390" s="9" t="str">
        <f>TIM[[#This Row],[Relay MVA]]</f>
        <v>-</v>
      </c>
      <c r="BA390" s="9" t="str">
        <f>TIM[[#This Row],[CT MVA]]</f>
        <v>-</v>
      </c>
      <c r="BB390" s="9" t="str">
        <f>TIM[[#This Row],[Derating MVA]]</f>
        <v>-</v>
      </c>
      <c r="BC390" s="9" t="str">
        <f>TIM[[#This Row],[Station/Feeder]]&amp;TIM[[#This Row],[Lowest MVA]]</f>
        <v>L269_PleasantPoint15.8601440585291</v>
      </c>
      <c r="BD390" s="9" t="str">
        <f>CONCATENATE(TIM[[#This Row],[Supply Level]],TIM[[#This Row],[Station/Feeder]],TIM[[#This Row],[Voltage]],TIM[[#This Row],[Lowest A-No PTX]])</f>
        <v>SubTransmissionL269_PleasantPoint33277.480558835697</v>
      </c>
      <c r="BE390" s="9" t="str">
        <f>CONCATENATE(TIM[[#This Row],[Supply Level]],TIM[[#This Row],[Station/Feeder]],TIM[[#This Row],[Voltage]],TIM[[#This Row],[Lowest A-PTX]])</f>
        <v>SubTransmissionL269_PleasantPoint33277.480558835697</v>
      </c>
      <c r="BF390" s="9">
        <f>IFERROR(IF(MIN(TIM[[#This Row],[Summ Cont Winter A]:[Cable Derating]])=0,"",MIN(TIM[[#This Row],[Summ Cont Winter A]:[Cable Derating]])),"")</f>
        <v>15.860144058529066</v>
      </c>
      <c r="BG390" s="9">
        <f>IFERROR(TIM[[#This Row],[Lowest MVA]]*1000/(TIM[[#This Row],[Voltage]]*SQRT(3)),"")</f>
        <v>277.48055883569697</v>
      </c>
      <c r="BH390" s="9">
        <f t="shared" si="435"/>
        <v>277.48055883569697</v>
      </c>
      <c r="BI390" s="9" t="str">
        <f>TIM[[#This Row],[From]]</f>
        <v>Pole 24349</v>
      </c>
      <c r="BJ390" s="9" t="str">
        <f>TIM[[#This Row],[To]]</f>
        <v>Pole 24318</v>
      </c>
      <c r="BK39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Line-Weke</v>
      </c>
      <c r="BL390" s="9">
        <f>TIM[[#This Row],[Voltage]]</f>
        <v>33</v>
      </c>
    </row>
    <row r="391" spans="1:64" ht="15.75" hidden="1" thickBot="1" x14ac:dyDescent="0.3">
      <c r="A391" s="6" t="str">
        <f>CONCATENATE(TIM[[#This Row],[Supply Level]],TIM[[#This Row],[Station/Feeder]],TIM[[#This Row],[Voltage]])</f>
        <v>SubTransmissionL269_PleasantPoint33</v>
      </c>
      <c r="B391" s="6" t="str">
        <f>CONCATENATE(TIM[[#This Row],[Supply Level]],TIM[[#This Row],[Station/Feeder]],TIM[[#This Row],[Equipment ID]],TIM[[#This Row],[Voltage]],TIM[[#This Row],[Device type]])</f>
        <v>SubTransmissionL269_PleasantPointDOG33-</v>
      </c>
      <c r="C391" s="6" t="s">
        <v>1245</v>
      </c>
      <c r="D391" s="11" t="s">
        <v>169</v>
      </c>
      <c r="E391" s="6" t="s">
        <v>1085</v>
      </c>
      <c r="F391" s="6" t="s">
        <v>1086</v>
      </c>
      <c r="G391" s="27">
        <v>7</v>
      </c>
      <c r="H391" s="7" t="s">
        <v>1289</v>
      </c>
      <c r="I391" s="7" t="s">
        <v>318</v>
      </c>
      <c r="J391" s="7" t="s">
        <v>69</v>
      </c>
      <c r="K391" s="7" t="s">
        <v>0</v>
      </c>
      <c r="L391" s="7" t="s">
        <v>0</v>
      </c>
      <c r="M391" s="8">
        <v>33</v>
      </c>
      <c r="N391" s="9">
        <v>343.69342642524197</v>
      </c>
      <c r="O391" s="9">
        <f t="shared" si="0"/>
        <v>19.644717734266511</v>
      </c>
      <c r="P391" s="9" t="s">
        <v>0</v>
      </c>
      <c r="Q391" s="9" t="str">
        <f t="shared" si="1"/>
        <v>-</v>
      </c>
      <c r="R391" s="9">
        <v>256.85852310343915</v>
      </c>
      <c r="S391" s="9">
        <f t="shared" si="2"/>
        <v>14.681436408284609</v>
      </c>
      <c r="T391" s="9" t="s">
        <v>0</v>
      </c>
      <c r="U391" s="9" t="str">
        <f t="shared" si="3"/>
        <v>-</v>
      </c>
      <c r="V391" s="9" t="s">
        <v>0</v>
      </c>
      <c r="W391" s="9" t="str">
        <f t="shared" si="4"/>
        <v>-</v>
      </c>
      <c r="X391" s="9" t="s">
        <v>0</v>
      </c>
      <c r="Y391" s="9" t="str">
        <f t="shared" si="5"/>
        <v>-</v>
      </c>
      <c r="Z391" s="9" t="s">
        <v>0</v>
      </c>
      <c r="AA391" s="9" t="str">
        <f t="shared" si="6"/>
        <v>-</v>
      </c>
      <c r="AB391" s="9" t="s">
        <v>0</v>
      </c>
      <c r="AC391" s="9" t="str">
        <f t="shared" si="7"/>
        <v>-</v>
      </c>
      <c r="AD391" s="9" t="s">
        <v>0</v>
      </c>
      <c r="AE391" s="12" t="str">
        <f t="shared" si="8"/>
        <v>-</v>
      </c>
      <c r="AF391" s="29" t="s">
        <v>0</v>
      </c>
      <c r="AG391" s="29" t="s">
        <v>0</v>
      </c>
      <c r="AH391" s="8">
        <v>11823.500000000002</v>
      </c>
      <c r="AI391" s="29" t="s">
        <v>0</v>
      </c>
      <c r="AJ391" s="32" t="s">
        <v>0</v>
      </c>
      <c r="AK391" s="29" t="s">
        <v>0</v>
      </c>
      <c r="AL391" s="32" t="s">
        <v>0</v>
      </c>
      <c r="AM391" s="29" t="s">
        <v>0</v>
      </c>
      <c r="AN391" s="32" t="s">
        <v>0</v>
      </c>
      <c r="AO391" s="29" t="s">
        <v>0</v>
      </c>
      <c r="AP391" s="29" t="s">
        <v>0</v>
      </c>
      <c r="AQ391" s="32" t="s">
        <v>0</v>
      </c>
      <c r="AR39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91" s="9" t="str">
        <f t="shared" si="9"/>
        <v>-</v>
      </c>
      <c r="AT391" s="9">
        <f>IF(RIGHT(TIM[[#This Row],[Device type]],7)="Winding","-",TIM[[#This Row],[Cont Winter MVA]])</f>
        <v>19.644717734266511</v>
      </c>
      <c r="AU391" s="9" t="str">
        <f>IF(RIGHT(TIM[[#This Row],[Device type]],7)="Winding","-",TIM[[#This Row],[Cont Shoulder MVA]])</f>
        <v>-</v>
      </c>
      <c r="AV391" s="9">
        <f>IF(RIGHT(TIM[[#This Row],[Device type]],7)="Winding","-",TIM[[#This Row],[Cont Summer MVA]])</f>
        <v>14.681436408284609</v>
      </c>
      <c r="AW391" s="9" t="str">
        <f>TIM[[#This Row],[24 Hr Winter MVA]]</f>
        <v>-</v>
      </c>
      <c r="AX391" s="9" t="str">
        <f>TIM[[#This Row],[24 Hr Summer MVA]]</f>
        <v>-</v>
      </c>
      <c r="AY391" s="9" t="str">
        <f>TIM[[#This Row],[Forwards MVA]]</f>
        <v>-</v>
      </c>
      <c r="AZ391" s="9" t="str">
        <f>TIM[[#This Row],[Relay MVA]]</f>
        <v>-</v>
      </c>
      <c r="BA391" s="9" t="str">
        <f>TIM[[#This Row],[CT MVA]]</f>
        <v>-</v>
      </c>
      <c r="BB391" s="9" t="str">
        <f>TIM[[#This Row],[Derating MVA]]</f>
        <v>-</v>
      </c>
      <c r="BC391" s="9" t="str">
        <f>TIM[[#This Row],[Station/Feeder]]&amp;TIM[[#This Row],[Lowest MVA]]</f>
        <v>L269_PleasantPoint14.6814364082846</v>
      </c>
      <c r="BD391" s="9" t="str">
        <f>CONCATENATE(TIM[[#This Row],[Supply Level]],TIM[[#This Row],[Station/Feeder]],TIM[[#This Row],[Voltage]],TIM[[#This Row],[Lowest A-No PTX]])</f>
        <v>SubTransmissionL269_PleasantPoint33256.858523103439</v>
      </c>
      <c r="BE391" s="9" t="str">
        <f>CONCATENATE(TIM[[#This Row],[Supply Level]],TIM[[#This Row],[Station/Feeder]],TIM[[#This Row],[Voltage]],TIM[[#This Row],[Lowest A-PTX]])</f>
        <v>SubTransmissionL269_PleasantPoint33256.858523103439</v>
      </c>
      <c r="BF391" s="9">
        <f>IFERROR(IF(MIN(TIM[[#This Row],[Summ Cont Winter A]:[Cable Derating]])=0,"",MIN(TIM[[#This Row],[Summ Cont Winter A]:[Cable Derating]])),"")</f>
        <v>14.681436408284609</v>
      </c>
      <c r="BG391" s="9">
        <f>IFERROR(TIM[[#This Row],[Lowest MVA]]*1000/(TIM[[#This Row],[Voltage]]*SQRT(3)),"")</f>
        <v>256.85852310343915</v>
      </c>
      <c r="BH391" s="9">
        <f t="shared" si="435"/>
        <v>256.85852310343915</v>
      </c>
      <c r="BI391" s="9" t="str">
        <f>TIM[[#This Row],[From]]</f>
        <v>Pole 24318</v>
      </c>
      <c r="BJ391" s="9" t="str">
        <f>TIM[[#This Row],[To]]</f>
        <v>L247 ABS</v>
      </c>
      <c r="BK39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Line-DOG</v>
      </c>
      <c r="BL391" s="9">
        <f>TIM[[#This Row],[Voltage]]</f>
        <v>33</v>
      </c>
    </row>
    <row r="392" spans="1:64" ht="15.75" hidden="1" thickBot="1" x14ac:dyDescent="0.3">
      <c r="A392" s="14" t="str">
        <f>CONCATENATE(TIM[[#This Row],[Supply Level]],TIM[[#This Row],[Station/Feeder]],TIM[[#This Row],[Voltage]])</f>
        <v>SubTransmissionL269_PleasantPoint33</v>
      </c>
      <c r="B392" s="14" t="str">
        <f>CONCATENATE(TIM[[#This Row],[Supply Level]],TIM[[#This Row],[Station/Feeder]],TIM[[#This Row],[Equipment ID]],TIM[[#This Row],[Voltage]],TIM[[#This Row],[Device type]])</f>
        <v>SubTransmissionL269_PleasantPoint3/1c 95mm² AL XLPE PVC screened33-</v>
      </c>
      <c r="C392" s="14" t="s">
        <v>1245</v>
      </c>
      <c r="D392" s="13" t="s">
        <v>169</v>
      </c>
      <c r="E392" s="14" t="s">
        <v>1086</v>
      </c>
      <c r="F392" s="14" t="s">
        <v>1087</v>
      </c>
      <c r="G392" s="28">
        <v>8</v>
      </c>
      <c r="H392" s="7" t="s">
        <v>888</v>
      </c>
      <c r="I392" s="39" t="s">
        <v>1088</v>
      </c>
      <c r="J392" s="39" t="s">
        <v>250</v>
      </c>
      <c r="K392" s="39" t="s">
        <v>0</v>
      </c>
      <c r="L392" s="39" t="s">
        <v>0</v>
      </c>
      <c r="M392" s="15">
        <v>33</v>
      </c>
      <c r="N392" s="16">
        <v>248</v>
      </c>
      <c r="O392" s="16">
        <f t="shared" si="0"/>
        <v>14.175103809143691</v>
      </c>
      <c r="P392" s="16">
        <v>248</v>
      </c>
      <c r="Q392" s="16">
        <f t="shared" si="1"/>
        <v>14.175103809143691</v>
      </c>
      <c r="R392" s="16">
        <v>248</v>
      </c>
      <c r="S392" s="16">
        <f t="shared" si="2"/>
        <v>14.175103809143691</v>
      </c>
      <c r="T392" s="16" t="s">
        <v>0</v>
      </c>
      <c r="U392" s="16" t="str">
        <f t="shared" si="3"/>
        <v>-</v>
      </c>
      <c r="V392" s="16" t="s">
        <v>0</v>
      </c>
      <c r="W392" s="16" t="str">
        <f t="shared" si="4"/>
        <v>-</v>
      </c>
      <c r="X392" s="16" t="s">
        <v>0</v>
      </c>
      <c r="Y392" s="16" t="str">
        <f t="shared" si="5"/>
        <v>-</v>
      </c>
      <c r="Z392" s="16" t="s">
        <v>0</v>
      </c>
      <c r="AA392" s="16" t="str">
        <f t="shared" si="6"/>
        <v>-</v>
      </c>
      <c r="AB392" s="16" t="s">
        <v>0</v>
      </c>
      <c r="AC392" s="16" t="str">
        <f t="shared" si="7"/>
        <v>-</v>
      </c>
      <c r="AD392" s="16" t="s">
        <v>0</v>
      </c>
      <c r="AE392" s="17" t="str">
        <f t="shared" si="8"/>
        <v>-</v>
      </c>
      <c r="AF392" s="126">
        <v>1</v>
      </c>
      <c r="AG392" s="126" t="s">
        <v>0</v>
      </c>
      <c r="AH392" s="15">
        <v>97.700000000000017</v>
      </c>
      <c r="AI392" s="126">
        <v>1.6</v>
      </c>
      <c r="AJ392" s="127">
        <v>0.91</v>
      </c>
      <c r="AK392" s="126">
        <v>15</v>
      </c>
      <c r="AL392" s="127">
        <v>1</v>
      </c>
      <c r="AM392" s="126">
        <v>1</v>
      </c>
      <c r="AN392" s="127">
        <v>1.07</v>
      </c>
      <c r="AO392" s="126">
        <v>5</v>
      </c>
      <c r="AP392" s="126">
        <v>0.3</v>
      </c>
      <c r="AQ392" s="127">
        <v>0.71</v>
      </c>
      <c r="AR392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171.449096</v>
      </c>
      <c r="AS392" s="16">
        <f t="shared" si="9"/>
        <v>9.7996319910638814</v>
      </c>
      <c r="AT392" s="9">
        <f>IF(RIGHT(TIM[[#This Row],[Device type]],7)="Winding","-",TIM[[#This Row],[Cont Winter MVA]])</f>
        <v>14.175103809143691</v>
      </c>
      <c r="AU392" s="9">
        <f>IF(RIGHT(TIM[[#This Row],[Device type]],7)="Winding","-",TIM[[#This Row],[Cont Shoulder MVA]])</f>
        <v>14.175103809143691</v>
      </c>
      <c r="AV392" s="9">
        <f>IF(RIGHT(TIM[[#This Row],[Device type]],7)="Winding","-",TIM[[#This Row],[Cont Summer MVA]])</f>
        <v>14.175103809143691</v>
      </c>
      <c r="AW392" s="9" t="str">
        <f>TIM[[#This Row],[24 Hr Winter MVA]]</f>
        <v>-</v>
      </c>
      <c r="AX392" s="9" t="str">
        <f>TIM[[#This Row],[24 Hr Summer MVA]]</f>
        <v>-</v>
      </c>
      <c r="AY392" s="9" t="str">
        <f>TIM[[#This Row],[Forwards MVA]]</f>
        <v>-</v>
      </c>
      <c r="AZ392" s="9" t="str">
        <f>TIM[[#This Row],[Relay MVA]]</f>
        <v>-</v>
      </c>
      <c r="BA392" s="9" t="str">
        <f>TIM[[#This Row],[CT MVA]]</f>
        <v>-</v>
      </c>
      <c r="BB392" s="9">
        <f>TIM[[#This Row],[Derating MVA]]</f>
        <v>9.7996319910638814</v>
      </c>
      <c r="BC392" s="9" t="str">
        <f>TIM[[#This Row],[Station/Feeder]]&amp;TIM[[#This Row],[Lowest MVA]]</f>
        <v>L269_PleasantPoint9.79963199106388</v>
      </c>
      <c r="BD392" s="9" t="str">
        <f>CONCATENATE(TIM[[#This Row],[Supply Level]],TIM[[#This Row],[Station/Feeder]],TIM[[#This Row],[Voltage]],TIM[[#This Row],[Lowest A-No PTX]])</f>
        <v>SubTransmissionL269_PleasantPoint33171.449096</v>
      </c>
      <c r="BE392" s="9" t="str">
        <f>CONCATENATE(TIM[[#This Row],[Supply Level]],TIM[[#This Row],[Station/Feeder]],TIM[[#This Row],[Voltage]],TIM[[#This Row],[Lowest A-PTX]])</f>
        <v>SubTransmissionL269_PleasantPoint33171.449096</v>
      </c>
      <c r="BF392" s="9">
        <f>IFERROR(IF(MIN(TIM[[#This Row],[Summ Cont Winter A]:[Cable Derating]])=0,"",MIN(TIM[[#This Row],[Summ Cont Winter A]:[Cable Derating]])),"")</f>
        <v>9.7996319910638814</v>
      </c>
      <c r="BG392" s="9">
        <f>IFERROR(TIM[[#This Row],[Lowest MVA]]*1000/(TIM[[#This Row],[Voltage]]*SQRT(3)),"")</f>
        <v>171.44909600000003</v>
      </c>
      <c r="BH392" s="9">
        <f t="shared" si="435"/>
        <v>171.449096</v>
      </c>
      <c r="BI392" s="9" t="str">
        <f>TIM[[#This Row],[From]]</f>
        <v>L247 ABS</v>
      </c>
      <c r="BJ392" s="9" t="str">
        <f>TIM[[#This Row],[To]]</f>
        <v>L994  ABS</v>
      </c>
      <c r="BK39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95mm² AL XLPE PVC screened</v>
      </c>
      <c r="BL392" s="9">
        <f>TIM[[#This Row],[Voltage]]</f>
        <v>33</v>
      </c>
    </row>
    <row r="393" spans="1:64" ht="15" hidden="1" customHeight="1" thickBot="1" x14ac:dyDescent="0.3">
      <c r="A393" s="14" t="str">
        <f>CONCATENATE(TIM[[#This Row],[Supply Level]],TIM[[#This Row],[Station/Feeder]],TIM[[#This Row],[Voltage]])</f>
        <v>SubTransmissionL269_PleasantPoint33</v>
      </c>
      <c r="B393" s="14" t="str">
        <f>CONCATENATE(TIM[[#This Row],[Supply Level]],TIM[[#This Row],[Station/Feeder]],TIM[[#This Row],[Equipment ID]],TIM[[#This Row],[Voltage]],TIM[[#This Row],[Device type]])</f>
        <v>SubTransmissionL269_PleasantPoint70mm² Cu33-</v>
      </c>
      <c r="C393" s="14" t="s">
        <v>1245</v>
      </c>
      <c r="D393" s="13" t="s">
        <v>169</v>
      </c>
      <c r="E393" s="14" t="s">
        <v>1087</v>
      </c>
      <c r="F393" s="14" t="s">
        <v>1089</v>
      </c>
      <c r="G393" s="28">
        <v>9</v>
      </c>
      <c r="H393" s="7" t="s">
        <v>1289</v>
      </c>
      <c r="I393" s="39" t="s">
        <v>972</v>
      </c>
      <c r="J393" s="39" t="s">
        <v>69</v>
      </c>
      <c r="K393" s="39" t="s">
        <v>0</v>
      </c>
      <c r="L393" s="39" t="s">
        <v>0</v>
      </c>
      <c r="M393" s="15">
        <v>33</v>
      </c>
      <c r="N393" s="9">
        <v>247</v>
      </c>
      <c r="O393" s="9">
        <f>IF(OR(N393="",N393="-"),"-",N393*$M393*SQRT(3)/1000)</f>
        <v>14.117946132493918</v>
      </c>
      <c r="P393" s="9" t="s">
        <v>0</v>
      </c>
      <c r="Q393" s="9" t="str">
        <f>IF(OR(P393="",P393="-"),"-",P393*$M393*SQRT(3)/1000)</f>
        <v>-</v>
      </c>
      <c r="R393" s="9">
        <v>246.70525579161995</v>
      </c>
      <c r="S393" s="9">
        <f>IF(OR(R393="",R393="-"),"-",R393*$M393*SQRT(3)/1000)</f>
        <v>14.101099238336937</v>
      </c>
      <c r="T393" s="16" t="s">
        <v>0</v>
      </c>
      <c r="U393" s="16" t="str">
        <f t="shared" si="3"/>
        <v>-</v>
      </c>
      <c r="V393" s="16" t="s">
        <v>0</v>
      </c>
      <c r="W393" s="16" t="str">
        <f t="shared" si="4"/>
        <v>-</v>
      </c>
      <c r="X393" s="16" t="s">
        <v>0</v>
      </c>
      <c r="Y393" s="16" t="str">
        <f t="shared" si="5"/>
        <v>-</v>
      </c>
      <c r="Z393" s="16" t="s">
        <v>0</v>
      </c>
      <c r="AA393" s="16" t="str">
        <f t="shared" si="6"/>
        <v>-</v>
      </c>
      <c r="AB393" s="16" t="s">
        <v>0</v>
      </c>
      <c r="AC393" s="16" t="str">
        <f t="shared" si="7"/>
        <v>-</v>
      </c>
      <c r="AD393" s="16" t="s">
        <v>0</v>
      </c>
      <c r="AE393" s="17" t="str">
        <f t="shared" si="8"/>
        <v>-</v>
      </c>
      <c r="AF393" s="16" t="s">
        <v>0</v>
      </c>
      <c r="AG393" s="16" t="s">
        <v>0</v>
      </c>
      <c r="AH393" s="15">
        <v>8.1</v>
      </c>
      <c r="AI393" s="16" t="s">
        <v>0</v>
      </c>
      <c r="AJ393" s="138" t="s">
        <v>0</v>
      </c>
      <c r="AK393" s="16" t="s">
        <v>0</v>
      </c>
      <c r="AL393" s="138" t="s">
        <v>0</v>
      </c>
      <c r="AM393" s="16" t="s">
        <v>0</v>
      </c>
      <c r="AN393" s="138" t="s">
        <v>0</v>
      </c>
      <c r="AO393" s="16" t="s">
        <v>0</v>
      </c>
      <c r="AP393" s="16" t="s">
        <v>0</v>
      </c>
      <c r="AQ393" s="138" t="s">
        <v>0</v>
      </c>
      <c r="AR393" s="16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93" s="16" t="str">
        <f t="shared" si="9"/>
        <v>-</v>
      </c>
      <c r="AT393" s="155">
        <f>IF(RIGHT(TIM[[#This Row],[Device type]],7)="Winding","-",TIM[[#This Row],[Cont Winter MVA]])</f>
        <v>14.117946132493918</v>
      </c>
      <c r="AU393" s="155" t="str">
        <f>IF(RIGHT(TIM[[#This Row],[Device type]],7)="Winding","-",TIM[[#This Row],[Cont Shoulder MVA]])</f>
        <v>-</v>
      </c>
      <c r="AV393" s="155">
        <f>IF(RIGHT(TIM[[#This Row],[Device type]],7)="Winding","-",TIM[[#This Row],[Cont Summer MVA]])</f>
        <v>14.101099238336937</v>
      </c>
      <c r="AW393" s="155" t="str">
        <f>TIM[[#This Row],[24 Hr Winter MVA]]</f>
        <v>-</v>
      </c>
      <c r="AX393" s="155" t="str">
        <f>TIM[[#This Row],[24 Hr Summer MVA]]</f>
        <v>-</v>
      </c>
      <c r="AY393" s="155" t="str">
        <f>TIM[[#This Row],[Forwards MVA]]</f>
        <v>-</v>
      </c>
      <c r="AZ393" s="155" t="str">
        <f>TIM[[#This Row],[Relay MVA]]</f>
        <v>-</v>
      </c>
      <c r="BA393" s="155" t="str">
        <f>TIM[[#This Row],[CT MVA]]</f>
        <v>-</v>
      </c>
      <c r="BB393" s="155" t="str">
        <f>TIM[[#This Row],[Derating MVA]]</f>
        <v>-</v>
      </c>
      <c r="BC393" s="155" t="str">
        <f>TIM[[#This Row],[Station/Feeder]]&amp;TIM[[#This Row],[Lowest MVA]]</f>
        <v>L269_PleasantPoint14.1010992383369</v>
      </c>
      <c r="BD393" s="155" t="str">
        <f>CONCATENATE(TIM[[#This Row],[Supply Level]],TIM[[#This Row],[Station/Feeder]],TIM[[#This Row],[Voltage]],TIM[[#This Row],[Lowest A-No PTX]])</f>
        <v>SubTransmissionL269_PleasantPoint33246.70525579162</v>
      </c>
      <c r="BE393" s="155" t="str">
        <f>CONCATENATE(TIM[[#This Row],[Supply Level]],TIM[[#This Row],[Station/Feeder]],TIM[[#This Row],[Voltage]],TIM[[#This Row],[Lowest A-PTX]])</f>
        <v>SubTransmissionL269_PleasantPoint33246.70525579162</v>
      </c>
      <c r="BF393" s="155">
        <f>IFERROR(IF(MIN(TIM[[#This Row],[Summ Cont Winter A]:[Cable Derating]])=0,"",MIN(TIM[[#This Row],[Summ Cont Winter A]:[Cable Derating]])),"")</f>
        <v>14.101099238336937</v>
      </c>
      <c r="BG393" s="155">
        <f>IFERROR(TIM[[#This Row],[Lowest MVA]]*1000/(TIM[[#This Row],[Voltage]]*SQRT(3)),"")</f>
        <v>246.70525579161995</v>
      </c>
      <c r="BH393" s="155">
        <f t="shared" si="435"/>
        <v>246.70525579161995</v>
      </c>
      <c r="BI393" s="155" t="str">
        <f>TIM[[#This Row],[From]]</f>
        <v>L994  ABS</v>
      </c>
      <c r="BJ393" s="155" t="str">
        <f>TIM[[#This Row],[To]]</f>
        <v>CB L250</v>
      </c>
      <c r="BK393" s="155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Line-70mm² Cu</v>
      </c>
      <c r="BL393" s="155">
        <f>TIM[[#This Row],[Voltage]]</f>
        <v>33</v>
      </c>
    </row>
    <row r="394" spans="1:64" ht="15" hidden="1" customHeight="1" x14ac:dyDescent="0.3">
      <c r="A394" s="3" t="str">
        <f>CONCATENATE(TIM[[#This Row],[Supply Level]],TIM[[#This Row],[Station/Feeder]],TIM[[#This Row],[Voltage]])</f>
        <v>ZoneSubstationPLP33</v>
      </c>
      <c r="B394" s="3" t="str">
        <f>CONCATENATE(TIM[[#This Row],[Supply Level]],TIM[[#This Row],[Station/Feeder]],TIM[[#This Row],[Equipment ID]],TIM[[#This Row],[Voltage]],TIM[[#This Row],[Device type]])</f>
        <v>ZoneSubstationPLPPLP-L25033-</v>
      </c>
      <c r="C394" s="3" t="s">
        <v>1246</v>
      </c>
      <c r="D394" s="10" t="s">
        <v>203</v>
      </c>
      <c r="E394" s="3" t="s">
        <v>1089</v>
      </c>
      <c r="F394" s="3" t="s">
        <v>63</v>
      </c>
      <c r="G394" s="26">
        <v>1</v>
      </c>
      <c r="H394" s="188" t="s">
        <v>2379</v>
      </c>
      <c r="I394" s="38" t="s">
        <v>2422</v>
      </c>
      <c r="J394" s="38" t="s">
        <v>15</v>
      </c>
      <c r="K394" s="38" t="s">
        <v>0</v>
      </c>
      <c r="L394" s="38" t="s">
        <v>0</v>
      </c>
      <c r="M394" s="4">
        <v>33</v>
      </c>
      <c r="N394" s="5">
        <v>400</v>
      </c>
      <c r="O394" s="5">
        <f t="shared" si="0"/>
        <v>22.86307065990918</v>
      </c>
      <c r="P394" s="5" t="s">
        <v>0</v>
      </c>
      <c r="Q394" s="5" t="str">
        <f t="shared" si="1"/>
        <v>-</v>
      </c>
      <c r="R394" s="5">
        <v>400</v>
      </c>
      <c r="S394" s="5">
        <f t="shared" si="2"/>
        <v>22.86307065990918</v>
      </c>
      <c r="T394" s="5" t="s">
        <v>0</v>
      </c>
      <c r="U394" s="5" t="str">
        <f t="shared" si="3"/>
        <v>-</v>
      </c>
      <c r="V394" s="5" t="s">
        <v>0</v>
      </c>
      <c r="W394" s="5" t="str">
        <f t="shared" si="4"/>
        <v>-</v>
      </c>
      <c r="X394" s="5">
        <f>VLOOKUP(TIM[[#This Row],[Equipment ID]],AEL_Protection_Data[#All],12,0)</f>
        <v>134</v>
      </c>
      <c r="Y394" s="5">
        <f t="shared" si="5"/>
        <v>7.659128671069575</v>
      </c>
      <c r="Z394" s="5" t="s">
        <v>0</v>
      </c>
      <c r="AA394" s="5" t="str">
        <f t="shared" si="6"/>
        <v>-</v>
      </c>
      <c r="AB394" s="5" t="s">
        <v>0</v>
      </c>
      <c r="AC394" s="5" t="str">
        <f t="shared" si="7"/>
        <v>-</v>
      </c>
      <c r="AD394" s="5">
        <v>200</v>
      </c>
      <c r="AE394" s="158">
        <f t="shared" si="8"/>
        <v>11.43153532995459</v>
      </c>
      <c r="AF394" s="5" t="s">
        <v>0</v>
      </c>
      <c r="AG394" s="5" t="s">
        <v>0</v>
      </c>
      <c r="AH394" s="5" t="s">
        <v>0</v>
      </c>
      <c r="AI394" s="5" t="s">
        <v>0</v>
      </c>
      <c r="AJ394" s="139" t="s">
        <v>0</v>
      </c>
      <c r="AK394" s="5" t="s">
        <v>0</v>
      </c>
      <c r="AL394" s="139" t="s">
        <v>0</v>
      </c>
      <c r="AM394" s="5" t="s">
        <v>0</v>
      </c>
      <c r="AN394" s="139" t="s">
        <v>0</v>
      </c>
      <c r="AO394" s="5" t="s">
        <v>0</v>
      </c>
      <c r="AP394" s="5" t="s">
        <v>0</v>
      </c>
      <c r="AQ394" s="139" t="s">
        <v>0</v>
      </c>
      <c r="AR394" s="5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94" s="5" t="str">
        <f t="shared" si="9"/>
        <v>-</v>
      </c>
      <c r="AT394" s="29">
        <f>IF(RIGHT(TIM[[#This Row],[Device type]],7)="Winding","-",TIM[[#This Row],[Cont Winter MVA]])</f>
        <v>22.86307065990918</v>
      </c>
      <c r="AU394" s="29" t="str">
        <f>IF(RIGHT(TIM[[#This Row],[Device type]],7)="Winding","-",TIM[[#This Row],[Cont Shoulder MVA]])</f>
        <v>-</v>
      </c>
      <c r="AV394" s="29">
        <f>IF(RIGHT(TIM[[#This Row],[Device type]],7)="Winding","-",TIM[[#This Row],[Cont Summer MVA]])</f>
        <v>22.86307065990918</v>
      </c>
      <c r="AW394" s="29" t="str">
        <f>TIM[[#This Row],[24 Hr Winter MVA]]</f>
        <v>-</v>
      </c>
      <c r="AX394" s="29" t="str">
        <f>TIM[[#This Row],[24 Hr Summer MVA]]</f>
        <v>-</v>
      </c>
      <c r="AY394" s="29">
        <f>TIM[[#This Row],[Forwards MVA]]</f>
        <v>7.659128671069575</v>
      </c>
      <c r="AZ394" s="29" t="str">
        <f>TIM[[#This Row],[Relay MVA]]</f>
        <v>-</v>
      </c>
      <c r="BA394" s="29">
        <f>TIM[[#This Row],[CT MVA]]</f>
        <v>11.43153532995459</v>
      </c>
      <c r="BB394" s="29" t="str">
        <f>TIM[[#This Row],[Derating MVA]]</f>
        <v>-</v>
      </c>
      <c r="BC394" s="29" t="str">
        <f>TIM[[#This Row],[Station/Feeder]]&amp;TIM[[#This Row],[Lowest MVA]]</f>
        <v>PLP7.65912867106957</v>
      </c>
      <c r="BD394" s="29" t="str">
        <f>CONCATENATE(TIM[[#This Row],[Supply Level]],TIM[[#This Row],[Station/Feeder]],TIM[[#This Row],[Voltage]],TIM[[#This Row],[Lowest A-No PTX]])</f>
        <v>ZoneSubstationPLP33134</v>
      </c>
      <c r="BE394" s="29" t="str">
        <f>CONCATENATE(TIM[[#This Row],[Supply Level]],TIM[[#This Row],[Station/Feeder]],TIM[[#This Row],[Voltage]],TIM[[#This Row],[Lowest A-PTX]])</f>
        <v>ZoneSubstationPLP33134</v>
      </c>
      <c r="BF394" s="29">
        <f>IFERROR(IF(MIN(TIM[[#This Row],[Summ Cont Winter A]:[Cable Derating]])=0,"",MIN(TIM[[#This Row],[Summ Cont Winter A]:[Cable Derating]])),"")</f>
        <v>7.659128671069575</v>
      </c>
      <c r="BG394" s="29">
        <f>IFERROR(TIM[[#This Row],[Lowest MVA]]*1000/(TIM[[#This Row],[Voltage]]*SQRT(3)),"")</f>
        <v>134</v>
      </c>
      <c r="BH394" s="29">
        <f t="shared" si="435"/>
        <v>134</v>
      </c>
      <c r="BI394" s="29" t="str">
        <f>TIM[[#This Row],[From]]</f>
        <v>CB L250</v>
      </c>
      <c r="BJ394" s="29" t="str">
        <f>TIM[[#This Row],[To]]</f>
        <v>33 kV Bus</v>
      </c>
      <c r="BK394" s="2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Breaker-PLP-L250</v>
      </c>
      <c r="BL394" s="29">
        <f>TIM[[#This Row],[Voltage]]</f>
        <v>33</v>
      </c>
    </row>
    <row r="395" spans="1:64" ht="15" hidden="1" customHeight="1" x14ac:dyDescent="0.3">
      <c r="A395" s="6" t="str">
        <f>CONCATENATE(TIM[[#This Row],[Supply Level]],TIM[[#This Row],[Station/Feeder]],TIM[[#This Row],[Voltage]])</f>
        <v>ZoneSubstationPLP33</v>
      </c>
      <c r="B395" s="6" t="str">
        <f>CONCATENATE(TIM[[#This Row],[Supply Level]],TIM[[#This Row],[Station/Feeder]],TIM[[#This Row],[Equipment ID]],TIM[[#This Row],[Voltage]],TIM[[#This Row],[Device type]])</f>
        <v>ZoneSubstationPLPB1212/T133HV Winding</v>
      </c>
      <c r="C395" s="6" t="s">
        <v>1246</v>
      </c>
      <c r="D395" s="11" t="s">
        <v>203</v>
      </c>
      <c r="E395" s="6" t="s">
        <v>63</v>
      </c>
      <c r="F395" s="14" t="s">
        <v>243</v>
      </c>
      <c r="G395" s="27">
        <v>2</v>
      </c>
      <c r="H395" s="7" t="s">
        <v>1090</v>
      </c>
      <c r="I395" s="7" t="s">
        <v>1092</v>
      </c>
      <c r="J395" s="7" t="s">
        <v>19</v>
      </c>
      <c r="K395" s="7" t="s">
        <v>0</v>
      </c>
      <c r="L395" s="7" t="s">
        <v>36</v>
      </c>
      <c r="M395" s="8">
        <v>33</v>
      </c>
      <c r="N395" s="9">
        <f>6250/(TIM[[#This Row],[Voltage]]*SQRT(3))</f>
        <v>109.34664189197458</v>
      </c>
      <c r="O395" s="9">
        <f t="shared" si="0"/>
        <v>6.25</v>
      </c>
      <c r="P395" s="9" t="s">
        <v>0</v>
      </c>
      <c r="Q395" s="9" t="str">
        <f t="shared" si="1"/>
        <v>-</v>
      </c>
      <c r="R395" s="9" t="s">
        <v>0</v>
      </c>
      <c r="S395" s="9" t="str">
        <f t="shared" si="2"/>
        <v>-</v>
      </c>
      <c r="T395" s="9" t="s">
        <v>0</v>
      </c>
      <c r="U395" s="9" t="str">
        <f t="shared" si="3"/>
        <v>-</v>
      </c>
      <c r="V395" s="9" t="s">
        <v>0</v>
      </c>
      <c r="W395" s="9" t="str">
        <f t="shared" si="4"/>
        <v>-</v>
      </c>
      <c r="X395" s="9" t="s">
        <v>0</v>
      </c>
      <c r="Y395" s="9" t="str">
        <f t="shared" si="5"/>
        <v>-</v>
      </c>
      <c r="Z395" s="9" t="s">
        <v>0</v>
      </c>
      <c r="AA395" s="9" t="str">
        <f t="shared" si="6"/>
        <v>-</v>
      </c>
      <c r="AB395" s="9" t="s">
        <v>0</v>
      </c>
      <c r="AC395" s="9" t="str">
        <f t="shared" si="7"/>
        <v>-</v>
      </c>
      <c r="AD395" s="9" t="s">
        <v>0</v>
      </c>
      <c r="AE395" s="12" t="str">
        <f t="shared" si="8"/>
        <v>-</v>
      </c>
      <c r="AF395" s="29" t="s">
        <v>0</v>
      </c>
      <c r="AG395" s="29" t="s">
        <v>0</v>
      </c>
      <c r="AH395" s="8" t="s">
        <v>0</v>
      </c>
      <c r="AI395" s="29" t="s">
        <v>0</v>
      </c>
      <c r="AJ395" s="32" t="s">
        <v>0</v>
      </c>
      <c r="AK395" s="29" t="s">
        <v>0</v>
      </c>
      <c r="AL395" s="32" t="s">
        <v>0</v>
      </c>
      <c r="AM395" s="29" t="s">
        <v>0</v>
      </c>
      <c r="AN395" s="32" t="s">
        <v>0</v>
      </c>
      <c r="AO395" s="29" t="s">
        <v>0</v>
      </c>
      <c r="AP395" s="29" t="s">
        <v>0</v>
      </c>
      <c r="AQ395" s="32" t="s">
        <v>0</v>
      </c>
      <c r="AR395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95" s="9" t="str">
        <f t="shared" si="9"/>
        <v>-</v>
      </c>
      <c r="AT395" s="9" t="str">
        <f>IF(RIGHT(TIM[[#This Row],[Device type]],7)="Winding","-",TIM[[#This Row],[Cont Winter MVA]])</f>
        <v>-</v>
      </c>
      <c r="AU395" s="9" t="str">
        <f>IF(RIGHT(TIM[[#This Row],[Device type]],7)="Winding","-",TIM[[#This Row],[Cont Shoulder MVA]])</f>
        <v>-</v>
      </c>
      <c r="AV395" s="9" t="str">
        <f>IF(RIGHT(TIM[[#This Row],[Device type]],7)="Winding","-",TIM[[#This Row],[Cont Summer MVA]])</f>
        <v>-</v>
      </c>
      <c r="AW395" s="9" t="str">
        <f>TIM[[#This Row],[24 Hr Winter MVA]]</f>
        <v>-</v>
      </c>
      <c r="AX395" s="9" t="str">
        <f>TIM[[#This Row],[24 Hr Summer MVA]]</f>
        <v>-</v>
      </c>
      <c r="AY395" s="9" t="str">
        <f>TIM[[#This Row],[Forwards MVA]]</f>
        <v>-</v>
      </c>
      <c r="AZ395" s="9" t="str">
        <f>TIM[[#This Row],[Relay MVA]]</f>
        <v>-</v>
      </c>
      <c r="BA395" s="9" t="str">
        <f>TIM[[#This Row],[CT MVA]]</f>
        <v>-</v>
      </c>
      <c r="BB395" s="9" t="str">
        <f>TIM[[#This Row],[Derating MVA]]</f>
        <v>-</v>
      </c>
      <c r="BC395" s="9" t="str">
        <f>TIM[[#This Row],[Station/Feeder]]&amp;TIM[[#This Row],[Lowest MVA]]</f>
        <v>PLP</v>
      </c>
      <c r="BD395" s="29" t="str">
        <f>CONCATENATE(TIM[[#This Row],[Supply Level]],TIM[[#This Row],[Station/Feeder]],TIM[[#This Row],[Voltage]],TIM[[#This Row],[Lowest A-No PTX]])</f>
        <v>ZoneSubstationPLP33</v>
      </c>
      <c r="BE395" s="29" t="str">
        <f>CONCATENATE(TIM[[#This Row],[Supply Level]],TIM[[#This Row],[Station/Feeder]],TIM[[#This Row],[Voltage]],TIM[[#This Row],[Lowest A-PTX]])</f>
        <v>ZoneSubstationPLP33109.346641891975</v>
      </c>
      <c r="BF395" s="29" t="str">
        <f>IFERROR(IF(MIN(TIM[[#This Row],[Summ Cont Winter A]:[Cable Derating]])=0,"",MIN(TIM[[#This Row],[Summ Cont Winter A]:[Cable Derating]])),"")</f>
        <v/>
      </c>
      <c r="BG395" s="9" t="str">
        <f>IFERROR(TIM[[#This Row],[Lowest MVA]]*1000/(TIM[[#This Row],[Voltage]]*SQRT(3)),"")</f>
        <v/>
      </c>
      <c r="BH395" s="9">
        <f t="shared" si="435"/>
        <v>109.34664189197458</v>
      </c>
      <c r="BI395" s="9" t="str">
        <f>TIM[[#This Row],[From]]</f>
        <v>33 kV Bus</v>
      </c>
      <c r="BJ395" s="9" t="str">
        <f>TIM[[#This Row],[To]]</f>
        <v>11 kV Bus</v>
      </c>
      <c r="BK39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Transformer-B1212/T1-HV Winding</v>
      </c>
      <c r="BL395" s="9">
        <f>TIM[[#This Row],[Voltage]]</f>
        <v>33</v>
      </c>
    </row>
    <row r="396" spans="1:64" ht="15.75" hidden="1" customHeight="1" x14ac:dyDescent="0.3">
      <c r="A396" s="14" t="str">
        <f>CONCATENATE(TIM[[#This Row],[Supply Level]],TIM[[#This Row],[Station/Feeder]],TIM[[#This Row],[Voltage]])</f>
        <v>ZoneSubstationPLP11.22</v>
      </c>
      <c r="B396" s="14" t="str">
        <f>CONCATENATE(TIM[[#This Row],[Supply Level]],TIM[[#This Row],[Station/Feeder]],TIM[[#This Row],[Equipment ID]],TIM[[#This Row],[Voltage]],TIM[[#This Row],[Device type]])</f>
        <v>ZoneSubstationPLPB1212/T111.22LV Winding</v>
      </c>
      <c r="C396" s="14" t="s">
        <v>1246</v>
      </c>
      <c r="D396" s="13" t="s">
        <v>203</v>
      </c>
      <c r="E396" s="14" t="s">
        <v>63</v>
      </c>
      <c r="F396" s="14" t="s">
        <v>243</v>
      </c>
      <c r="G396" s="28">
        <v>4</v>
      </c>
      <c r="H396" s="129" t="s">
        <v>1090</v>
      </c>
      <c r="I396" s="7" t="s">
        <v>1092</v>
      </c>
      <c r="J396" s="39" t="s">
        <v>19</v>
      </c>
      <c r="K396" s="7" t="s">
        <v>0</v>
      </c>
      <c r="L396" s="39" t="s">
        <v>37</v>
      </c>
      <c r="M396" s="15">
        <f t="shared" ref="M396:M400" si="438">11*1.02</f>
        <v>11.22</v>
      </c>
      <c r="N396" s="16">
        <f>6250/(TIM[[#This Row],[Voltage]]*SQRT(3))</f>
        <v>321.60777027051347</v>
      </c>
      <c r="O396" s="16">
        <f t="shared" si="0"/>
        <v>6.25</v>
      </c>
      <c r="P396" s="16" t="s">
        <v>0</v>
      </c>
      <c r="Q396" s="16" t="str">
        <f t="shared" si="1"/>
        <v>-</v>
      </c>
      <c r="R396" s="16" t="s">
        <v>0</v>
      </c>
      <c r="S396" s="16" t="str">
        <f t="shared" si="2"/>
        <v>-</v>
      </c>
      <c r="T396" s="16" t="s">
        <v>0</v>
      </c>
      <c r="U396" s="16" t="str">
        <f t="shared" si="3"/>
        <v>-</v>
      </c>
      <c r="V396" s="16" t="s">
        <v>0</v>
      </c>
      <c r="W396" s="16" t="str">
        <f t="shared" si="4"/>
        <v>-</v>
      </c>
      <c r="X396" s="16" t="s">
        <v>0</v>
      </c>
      <c r="Y396" s="16" t="str">
        <f t="shared" si="5"/>
        <v>-</v>
      </c>
      <c r="Z396" s="16" t="s">
        <v>0</v>
      </c>
      <c r="AA396" s="16" t="str">
        <f t="shared" si="6"/>
        <v>-</v>
      </c>
      <c r="AB396" s="16" t="s">
        <v>0</v>
      </c>
      <c r="AC396" s="16" t="str">
        <f t="shared" si="7"/>
        <v>-</v>
      </c>
      <c r="AD396" s="16" t="s">
        <v>0</v>
      </c>
      <c r="AE396" s="17" t="str">
        <f t="shared" si="8"/>
        <v>-</v>
      </c>
      <c r="AF396" s="126" t="s">
        <v>0</v>
      </c>
      <c r="AG396" s="126" t="s">
        <v>0</v>
      </c>
      <c r="AH396" s="16" t="s">
        <v>0</v>
      </c>
      <c r="AI396" s="126" t="s">
        <v>0</v>
      </c>
      <c r="AJ396" s="127" t="s">
        <v>0</v>
      </c>
      <c r="AK396" s="126" t="s">
        <v>0</v>
      </c>
      <c r="AL396" s="127" t="s">
        <v>0</v>
      </c>
      <c r="AM396" s="126" t="s">
        <v>0</v>
      </c>
      <c r="AN396" s="127" t="s">
        <v>0</v>
      </c>
      <c r="AO396" s="126" t="s">
        <v>0</v>
      </c>
      <c r="AP396" s="126" t="s">
        <v>0</v>
      </c>
      <c r="AQ396" s="127" t="s">
        <v>0</v>
      </c>
      <c r="AR396" s="16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96" s="16" t="str">
        <f t="shared" si="9"/>
        <v>-</v>
      </c>
      <c r="AT396" s="9" t="str">
        <f>IF(RIGHT(TIM[[#This Row],[Device type]],7)="Winding","-",TIM[[#This Row],[Cont Winter MVA]])</f>
        <v>-</v>
      </c>
      <c r="AU396" s="9" t="str">
        <f>IF(RIGHT(TIM[[#This Row],[Device type]],7)="Winding","-",TIM[[#This Row],[Cont Shoulder MVA]])</f>
        <v>-</v>
      </c>
      <c r="AV396" s="9" t="str">
        <f>IF(RIGHT(TIM[[#This Row],[Device type]],7)="Winding","-",TIM[[#This Row],[Cont Summer MVA]])</f>
        <v>-</v>
      </c>
      <c r="AW396" s="9" t="str">
        <f>TIM[[#This Row],[24 Hr Winter MVA]]</f>
        <v>-</v>
      </c>
      <c r="AX396" s="9" t="str">
        <f>TIM[[#This Row],[24 Hr Summer MVA]]</f>
        <v>-</v>
      </c>
      <c r="AY396" s="9" t="str">
        <f>TIM[[#This Row],[Forwards MVA]]</f>
        <v>-</v>
      </c>
      <c r="AZ396" s="9" t="str">
        <f>TIM[[#This Row],[Relay MVA]]</f>
        <v>-</v>
      </c>
      <c r="BA396" s="9" t="str">
        <f>TIM[[#This Row],[CT MVA]]</f>
        <v>-</v>
      </c>
      <c r="BB396" s="9" t="str">
        <f>TIM[[#This Row],[Derating MVA]]</f>
        <v>-</v>
      </c>
      <c r="BC396" s="9" t="str">
        <f>TIM[[#This Row],[Station/Feeder]]&amp;TIM[[#This Row],[Lowest MVA]]</f>
        <v>PLP</v>
      </c>
      <c r="BD396" s="29" t="str">
        <f>CONCATENATE(TIM[[#This Row],[Supply Level]],TIM[[#This Row],[Station/Feeder]],TIM[[#This Row],[Voltage]],TIM[[#This Row],[Lowest A-No PTX]])</f>
        <v>ZoneSubstationPLP11.22</v>
      </c>
      <c r="BE396" s="29" t="str">
        <f>CONCATENATE(TIM[[#This Row],[Supply Level]],TIM[[#This Row],[Station/Feeder]],TIM[[#This Row],[Voltage]],TIM[[#This Row],[Lowest A-PTX]])</f>
        <v>ZoneSubstationPLP11.22321.607770270513</v>
      </c>
      <c r="BF396" s="29" t="str">
        <f>IFERROR(IF(MIN(TIM[[#This Row],[Summ Cont Winter A]:[Cable Derating]])=0,"",MIN(TIM[[#This Row],[Summ Cont Winter A]:[Cable Derating]])),"")</f>
        <v/>
      </c>
      <c r="BG396" s="9" t="str">
        <f>IFERROR(TIM[[#This Row],[Lowest MVA]]*1000/(TIM[[#This Row],[Voltage]]*SQRT(3)),"")</f>
        <v/>
      </c>
      <c r="BH396" s="9">
        <f t="shared" si="435"/>
        <v>321.60777027051347</v>
      </c>
      <c r="BI396" s="9" t="str">
        <f>TIM[[#This Row],[From]]</f>
        <v>33 kV Bus</v>
      </c>
      <c r="BJ396" s="9" t="str">
        <f>TIM[[#This Row],[To]]</f>
        <v>11 kV Bus</v>
      </c>
      <c r="BK39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Transformer-B1212/T1-LV Winding</v>
      </c>
      <c r="BL396" s="9">
        <f>TIM[[#This Row],[Voltage]]</f>
        <v>11.22</v>
      </c>
    </row>
    <row r="397" spans="1:64" ht="15" hidden="1" customHeight="1" x14ac:dyDescent="0.3">
      <c r="A397" s="14" t="str">
        <f>CONCATENATE(TIM[[#This Row],[Supply Level]],TIM[[#This Row],[Station/Feeder]],TIM[[#This Row],[Voltage]])</f>
        <v>ZoneSubstationPLP11.22</v>
      </c>
      <c r="B397" s="14" t="str">
        <f>CONCATENATE(TIM[[#This Row],[Supply Level]],TIM[[#This Row],[Station/Feeder]],TIM[[#This Row],[Equipment ID]],TIM[[#This Row],[Voltage]],TIM[[#This Row],[Device type]])</f>
        <v>ZoneSubstationPLP70mm² Cu11.22-</v>
      </c>
      <c r="C397" s="14" t="s">
        <v>1246</v>
      </c>
      <c r="D397" s="13" t="s">
        <v>203</v>
      </c>
      <c r="E397" s="14" t="s">
        <v>63</v>
      </c>
      <c r="F397" s="14" t="s">
        <v>243</v>
      </c>
      <c r="G397" s="27">
        <v>5</v>
      </c>
      <c r="H397" s="129" t="s">
        <v>1289</v>
      </c>
      <c r="I397" s="7" t="s">
        <v>972</v>
      </c>
      <c r="J397" s="7" t="s">
        <v>69</v>
      </c>
      <c r="K397" s="7" t="s">
        <v>0</v>
      </c>
      <c r="L397" s="7" t="s">
        <v>0</v>
      </c>
      <c r="M397" s="8">
        <f t="shared" si="438"/>
        <v>11.22</v>
      </c>
      <c r="N397" s="9">
        <v>417</v>
      </c>
      <c r="O397" s="9">
        <f>IF(OR(N397="",N397="-"),"-",N397*$M397*SQRT(3)/1000)</f>
        <v>8.1038153954048102</v>
      </c>
      <c r="P397" s="9" t="s">
        <v>0</v>
      </c>
      <c r="Q397" s="9" t="str">
        <f>IF(OR(P397="",P397="-"),"-",P397*$M397*SQRT(3)/1000)</f>
        <v>-</v>
      </c>
      <c r="R397" s="9">
        <v>362</v>
      </c>
      <c r="S397" s="9">
        <f>IF(OR(R397="",R397="-"),"-",R397*$M397*SQRT(3)/1000)</f>
        <v>7.0349668420540548</v>
      </c>
      <c r="T397" s="9" t="s">
        <v>0</v>
      </c>
      <c r="U397" s="9" t="str">
        <f>IF(OR(T397="",T397="-"),"-",T397*$M397*SQRT(3)/1000)</f>
        <v>-</v>
      </c>
      <c r="V397" s="9" t="s">
        <v>0</v>
      </c>
      <c r="W397" s="9" t="str">
        <f>IF(OR(V397="",V397="-"),"-",V397*$M397*SQRT(3)/1000)</f>
        <v>-</v>
      </c>
      <c r="X397" s="9" t="s">
        <v>0</v>
      </c>
      <c r="Y397" s="9" t="str">
        <f>IF(OR(X397="",X397="-"),"-",X397*$M397*SQRT(3)/1000)</f>
        <v>-</v>
      </c>
      <c r="Z397" s="9" t="s">
        <v>0</v>
      </c>
      <c r="AA397" s="9" t="str">
        <f>IF(OR(Z397="",Z397="-"),"-",Z397*$M397*SQRT(3)/1000)</f>
        <v>-</v>
      </c>
      <c r="AB397" s="9" t="s">
        <v>0</v>
      </c>
      <c r="AC397" s="9" t="str">
        <f>IF(OR(AB397="",AB397="-"),"-",AB397*$M397*SQRT(3)/1000)</f>
        <v>-</v>
      </c>
      <c r="AD397" s="9" t="s">
        <v>0</v>
      </c>
      <c r="AE397" s="12" t="str">
        <f>IF(OR(AD397="",AD397="-"),"-",AD397*$M397*SQRT(3)/1000)</f>
        <v>-</v>
      </c>
      <c r="AF397" s="9" t="s">
        <v>0</v>
      </c>
      <c r="AG397" s="9" t="s">
        <v>0</v>
      </c>
      <c r="AH397" s="9">
        <v>3.1</v>
      </c>
      <c r="AI397" s="9" t="s">
        <v>0</v>
      </c>
      <c r="AJ397" s="43" t="s">
        <v>0</v>
      </c>
      <c r="AK397" s="9" t="s">
        <v>0</v>
      </c>
      <c r="AL397" s="43" t="s">
        <v>0</v>
      </c>
      <c r="AM397" s="9" t="s">
        <v>0</v>
      </c>
      <c r="AN397" s="43" t="s">
        <v>0</v>
      </c>
      <c r="AO397" s="9" t="s">
        <v>0</v>
      </c>
      <c r="AP397" s="9" t="s">
        <v>0</v>
      </c>
      <c r="AQ397" s="43" t="s">
        <v>0</v>
      </c>
      <c r="AR397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97" s="9" t="str">
        <f>IF(OR(AR397="",AR397="-"),"-",AR397*$M397*SQRT(3)/1000)</f>
        <v>-</v>
      </c>
      <c r="AT397" s="9">
        <f>IF(RIGHT(TIM[[#This Row],[Device type]],7)="Winding","-",TIM[[#This Row],[Cont Winter MVA]])</f>
        <v>8.1038153954048102</v>
      </c>
      <c r="AU397" s="9" t="str">
        <f>IF(RIGHT(TIM[[#This Row],[Device type]],7)="Winding","-",TIM[[#This Row],[Cont Shoulder MVA]])</f>
        <v>-</v>
      </c>
      <c r="AV397" s="9">
        <f>IF(RIGHT(TIM[[#This Row],[Device type]],7)="Winding","-",TIM[[#This Row],[Cont Summer MVA]])</f>
        <v>7.0349668420540548</v>
      </c>
      <c r="AW397" s="9" t="str">
        <f>TIM[[#This Row],[24 Hr Winter MVA]]</f>
        <v>-</v>
      </c>
      <c r="AX397" s="9" t="str">
        <f>TIM[[#This Row],[24 Hr Summer MVA]]</f>
        <v>-</v>
      </c>
      <c r="AY397" s="9" t="str">
        <f>TIM[[#This Row],[Forwards MVA]]</f>
        <v>-</v>
      </c>
      <c r="AZ397" s="9" t="str">
        <f>TIM[[#This Row],[Relay MVA]]</f>
        <v>-</v>
      </c>
      <c r="BA397" s="9" t="str">
        <f>TIM[[#This Row],[CT MVA]]</f>
        <v>-</v>
      </c>
      <c r="BB397" s="9" t="str">
        <f>TIM[[#This Row],[Derating MVA]]</f>
        <v>-</v>
      </c>
      <c r="BC397" s="9" t="str">
        <f>TIM[[#This Row],[Station/Feeder]]&amp;TIM[[#This Row],[Lowest MVA]]</f>
        <v>PLP7.03496684205405</v>
      </c>
      <c r="BD397" s="9" t="str">
        <f>CONCATENATE(TIM[[#This Row],[Supply Level]],TIM[[#This Row],[Station/Feeder]],TIM[[#This Row],[Voltage]],TIM[[#This Row],[Lowest A-No PTX]])</f>
        <v>ZoneSubstationPLP11.22362</v>
      </c>
      <c r="BE397" s="9" t="str">
        <f>CONCATENATE(TIM[[#This Row],[Supply Level]],TIM[[#This Row],[Station/Feeder]],TIM[[#This Row],[Voltage]],TIM[[#This Row],[Lowest A-PTX]])</f>
        <v>ZoneSubstationPLP11.22362</v>
      </c>
      <c r="BF397" s="9">
        <f>IFERROR(IF(MIN(TIM[[#This Row],[Summ Cont Winter A]:[Cable Derating]])=0,"",MIN(TIM[[#This Row],[Summ Cont Winter A]:[Cable Derating]])),"")</f>
        <v>7.0349668420540548</v>
      </c>
      <c r="BG397" s="9">
        <f>IFERROR(TIM[[#This Row],[Lowest MVA]]*1000/(TIM[[#This Row],[Voltage]]*SQRT(3)),"")</f>
        <v>362</v>
      </c>
      <c r="BH397" s="9">
        <f t="shared" si="435"/>
        <v>362</v>
      </c>
      <c r="BI397" s="9" t="str">
        <f>TIM[[#This Row],[From]]</f>
        <v>33 kV Bus</v>
      </c>
      <c r="BJ397" s="9" t="str">
        <f>TIM[[#This Row],[To]]</f>
        <v>11 kV Bus</v>
      </c>
      <c r="BK39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Line-70mm² Cu</v>
      </c>
      <c r="BL397" s="9">
        <f>TIM[[#This Row],[Voltage]]</f>
        <v>11.22</v>
      </c>
    </row>
    <row r="398" spans="1:64" ht="15" hidden="1" customHeight="1" x14ac:dyDescent="0.3">
      <c r="A398" s="14" t="str">
        <f>CONCATENATE(TIM[[#This Row],[Supply Level]],TIM[[#This Row],[Station/Feeder]],TIM[[#This Row],[Voltage]])</f>
        <v>ZoneSubstationPLP11.22</v>
      </c>
      <c r="B398" s="14" t="str">
        <f>CONCATENATE(TIM[[#This Row],[Supply Level]],TIM[[#This Row],[Station/Feeder]],TIM[[#This Row],[Equipment ID]],TIM[[#This Row],[Voltage]],TIM[[#This Row],[Device type]])</f>
        <v>ZoneSubstationPLP-11.22-</v>
      </c>
      <c r="C398" s="14" t="s">
        <v>1246</v>
      </c>
      <c r="D398" s="13" t="s">
        <v>203</v>
      </c>
      <c r="E398" s="14" t="s">
        <v>63</v>
      </c>
      <c r="F398" s="14" t="s">
        <v>243</v>
      </c>
      <c r="G398" s="27">
        <v>6</v>
      </c>
      <c r="H398" s="129" t="s">
        <v>1289</v>
      </c>
      <c r="I398" s="7" t="s">
        <v>0</v>
      </c>
      <c r="J398" s="7" t="s">
        <v>69</v>
      </c>
      <c r="K398" s="7" t="s">
        <v>0</v>
      </c>
      <c r="L398" s="7" t="s">
        <v>0</v>
      </c>
      <c r="M398" s="8">
        <f t="shared" si="438"/>
        <v>11.22</v>
      </c>
      <c r="N398" s="9" t="s">
        <v>0</v>
      </c>
      <c r="O398" s="9" t="str">
        <f>IF(OR(N398="",N398="-"),"-",N398*$M398*SQRT(3)/1000)</f>
        <v>-</v>
      </c>
      <c r="P398" s="9" t="s">
        <v>0</v>
      </c>
      <c r="Q398" s="9" t="str">
        <f>IF(OR(P398="",P398="-"),"-",P398*$M398*SQRT(3)/1000)</f>
        <v>-</v>
      </c>
      <c r="R398" s="9" t="s">
        <v>0</v>
      </c>
      <c r="S398" s="9" t="str">
        <f>IF(OR(R398="",R398="-"),"-",R398*$M398*SQRT(3)/1000)</f>
        <v>-</v>
      </c>
      <c r="T398" s="9" t="s">
        <v>0</v>
      </c>
      <c r="U398" s="9" t="str">
        <f>IF(OR(T398="",T398="-"),"-",T398*$M398*SQRT(3)/1000)</f>
        <v>-</v>
      </c>
      <c r="V398" s="9" t="s">
        <v>0</v>
      </c>
      <c r="W398" s="9" t="str">
        <f>IF(OR(V398="",V398="-"),"-",V398*$M398*SQRT(3)/1000)</f>
        <v>-</v>
      </c>
      <c r="X398" s="9" t="s">
        <v>0</v>
      </c>
      <c r="Y398" s="9" t="str">
        <f>IF(OR(X398="",X398="-"),"-",X398*$M398*SQRT(3)/1000)</f>
        <v>-</v>
      </c>
      <c r="Z398" s="9" t="s">
        <v>0</v>
      </c>
      <c r="AA398" s="9" t="str">
        <f>IF(OR(Z398="",Z398="-"),"-",Z398*$M398*SQRT(3)/1000)</f>
        <v>-</v>
      </c>
      <c r="AB398" s="9" t="s">
        <v>0</v>
      </c>
      <c r="AC398" s="9" t="str">
        <f>IF(OR(AB398="",AB398="-"),"-",AB398*$M398*SQRT(3)/1000)</f>
        <v>-</v>
      </c>
      <c r="AD398" s="9" t="s">
        <v>0</v>
      </c>
      <c r="AE398" s="12" t="str">
        <f>IF(OR(AD398="",AD398="-"),"-",AD398*$M398*SQRT(3)/1000)</f>
        <v>-</v>
      </c>
      <c r="AF398" s="9" t="s">
        <v>0</v>
      </c>
      <c r="AG398" s="9" t="s">
        <v>0</v>
      </c>
      <c r="AH398" s="9">
        <v>2.68</v>
      </c>
      <c r="AI398" s="9" t="s">
        <v>0</v>
      </c>
      <c r="AJ398" s="32" t="s">
        <v>0</v>
      </c>
      <c r="AK398" s="9" t="s">
        <v>0</v>
      </c>
      <c r="AL398" s="32" t="s">
        <v>0</v>
      </c>
      <c r="AM398" s="9" t="s">
        <v>0</v>
      </c>
      <c r="AN398" s="32" t="s">
        <v>0</v>
      </c>
      <c r="AO398" s="9" t="s">
        <v>0</v>
      </c>
      <c r="AP398" s="9" t="s">
        <v>0</v>
      </c>
      <c r="AQ398" s="32" t="s">
        <v>0</v>
      </c>
      <c r="AR398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398" s="9" t="str">
        <f>IF(OR(AR398="",AR398="-"),"-",AR398*$M398*SQRT(3)/1000)</f>
        <v>-</v>
      </c>
      <c r="AT398" s="9" t="str">
        <f>IF(RIGHT(TIM[[#This Row],[Device type]],7)="Winding","-",TIM[[#This Row],[Cont Winter MVA]])</f>
        <v>-</v>
      </c>
      <c r="AU398" s="9" t="str">
        <f>IF(RIGHT(TIM[[#This Row],[Device type]],7)="Winding","-",TIM[[#This Row],[Cont Shoulder MVA]])</f>
        <v>-</v>
      </c>
      <c r="AV398" s="9" t="str">
        <f>IF(RIGHT(TIM[[#This Row],[Device type]],7)="Winding","-",TIM[[#This Row],[Cont Summer MVA]])</f>
        <v>-</v>
      </c>
      <c r="AW398" s="9" t="str">
        <f>TIM[[#This Row],[24 Hr Winter MVA]]</f>
        <v>-</v>
      </c>
      <c r="AX398" s="9" t="str">
        <f>TIM[[#This Row],[24 Hr Summer MVA]]</f>
        <v>-</v>
      </c>
      <c r="AY398" s="9" t="str">
        <f>TIM[[#This Row],[Forwards MVA]]</f>
        <v>-</v>
      </c>
      <c r="AZ398" s="9" t="str">
        <f>TIM[[#This Row],[Relay MVA]]</f>
        <v>-</v>
      </c>
      <c r="BA398" s="9" t="str">
        <f>TIM[[#This Row],[CT MVA]]</f>
        <v>-</v>
      </c>
      <c r="BB398" s="9" t="str">
        <f>TIM[[#This Row],[Derating MVA]]</f>
        <v>-</v>
      </c>
      <c r="BC398" s="9" t="str">
        <f>TIM[[#This Row],[Station/Feeder]]&amp;TIM[[#This Row],[Lowest MVA]]</f>
        <v>PLP</v>
      </c>
      <c r="BD398" s="9" t="str">
        <f>CONCATENATE(TIM[[#This Row],[Supply Level]],TIM[[#This Row],[Station/Feeder]],TIM[[#This Row],[Voltage]],TIM[[#This Row],[Lowest A-No PTX]])</f>
        <v>ZoneSubstationPLP11.22</v>
      </c>
      <c r="BE398" s="9" t="str">
        <f>CONCATENATE(TIM[[#This Row],[Supply Level]],TIM[[#This Row],[Station/Feeder]],TIM[[#This Row],[Voltage]],TIM[[#This Row],[Lowest A-PTX]])</f>
        <v>ZoneSubstationPLP11.22</v>
      </c>
      <c r="BF398" s="9" t="str">
        <f>IFERROR(IF(MIN(TIM[[#This Row],[Summ Cont Winter A]:[Cable Derating]])=0,"",MIN(TIM[[#This Row],[Summ Cont Winter A]:[Cable Derating]])),"")</f>
        <v/>
      </c>
      <c r="BG398" s="9" t="str">
        <f>IFERROR(TIM[[#This Row],[Lowest MVA]]*1000/(TIM[[#This Row],[Voltage]]*SQRT(3)),"")</f>
        <v/>
      </c>
      <c r="BH398" s="9" t="str">
        <f t="shared" si="435"/>
        <v/>
      </c>
      <c r="BI398" s="9" t="str">
        <f>TIM[[#This Row],[From]]</f>
        <v>33 kV Bus</v>
      </c>
      <c r="BJ398" s="9" t="str">
        <f>TIM[[#This Row],[To]]</f>
        <v>11 kV Bus</v>
      </c>
      <c r="BK39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Line--</v>
      </c>
      <c r="BL398" s="9">
        <f>TIM[[#This Row],[Voltage]]</f>
        <v>11.22</v>
      </c>
    </row>
    <row r="399" spans="1:64" ht="15" hidden="1" customHeight="1" x14ac:dyDescent="0.3">
      <c r="A399" s="14" t="str">
        <f>CONCATENATE(TIM[[#This Row],[Supply Level]],TIM[[#This Row],[Station/Feeder]],TIM[[#This Row],[Voltage]])</f>
        <v>ZoneSubstationPLP11.22</v>
      </c>
      <c r="B399" s="14" t="str">
        <f>CONCATENATE(TIM[[#This Row],[Supply Level]],TIM[[#This Row],[Station/Feeder]],TIM[[#This Row],[Equipment ID]],TIM[[#This Row],[Voltage]],TIM[[#This Row],[Device type]])</f>
        <v>ZoneSubstationPLP3c 300mm² AL XLPE MPDE11.22-</v>
      </c>
      <c r="C399" s="14" t="s">
        <v>1246</v>
      </c>
      <c r="D399" s="13" t="s">
        <v>203</v>
      </c>
      <c r="E399" s="14" t="s">
        <v>63</v>
      </c>
      <c r="F399" s="14" t="s">
        <v>243</v>
      </c>
      <c r="G399" s="28">
        <v>7</v>
      </c>
      <c r="H399" s="39" t="s">
        <v>1090</v>
      </c>
      <c r="I399" s="39" t="s">
        <v>1093</v>
      </c>
      <c r="J399" s="39" t="s">
        <v>250</v>
      </c>
      <c r="K399" s="39" t="s">
        <v>0</v>
      </c>
      <c r="L399" s="39" t="s">
        <v>0</v>
      </c>
      <c r="M399" s="15">
        <f t="shared" si="438"/>
        <v>11.22</v>
      </c>
      <c r="N399" s="16">
        <v>476</v>
      </c>
      <c r="O399" s="16">
        <f t="shared" si="0"/>
        <v>9.2503983889992547</v>
      </c>
      <c r="P399" s="16">
        <v>476</v>
      </c>
      <c r="Q399" s="16">
        <f t="shared" si="1"/>
        <v>9.2503983889992547</v>
      </c>
      <c r="R399" s="16">
        <v>476</v>
      </c>
      <c r="S399" s="16">
        <f t="shared" si="2"/>
        <v>9.2503983889992547</v>
      </c>
      <c r="T399" s="16" t="s">
        <v>0</v>
      </c>
      <c r="U399" s="16" t="str">
        <f t="shared" si="3"/>
        <v>-</v>
      </c>
      <c r="V399" s="16" t="s">
        <v>0</v>
      </c>
      <c r="W399" s="16" t="str">
        <f t="shared" si="4"/>
        <v>-</v>
      </c>
      <c r="X399" s="16" t="s">
        <v>0</v>
      </c>
      <c r="Y399" s="16" t="str">
        <f t="shared" si="5"/>
        <v>-</v>
      </c>
      <c r="Z399" s="16" t="s">
        <v>0</v>
      </c>
      <c r="AA399" s="16" t="str">
        <f t="shared" si="6"/>
        <v>-</v>
      </c>
      <c r="AB399" s="16" t="s">
        <v>0</v>
      </c>
      <c r="AC399" s="16" t="str">
        <f t="shared" si="7"/>
        <v>-</v>
      </c>
      <c r="AD399" s="16" t="s">
        <v>0</v>
      </c>
      <c r="AE399" s="17" t="str">
        <f t="shared" si="8"/>
        <v>-</v>
      </c>
      <c r="AF399" s="16">
        <v>3</v>
      </c>
      <c r="AG399" s="16" t="s">
        <v>0</v>
      </c>
      <c r="AH399" s="15">
        <v>24.8</v>
      </c>
      <c r="AI399" s="16">
        <v>0.9</v>
      </c>
      <c r="AJ399" s="43">
        <v>0.99</v>
      </c>
      <c r="AK399" s="9">
        <v>20</v>
      </c>
      <c r="AL399" s="43">
        <v>0.95</v>
      </c>
      <c r="AM399" s="9">
        <v>1</v>
      </c>
      <c r="AN399" s="43">
        <v>1.07</v>
      </c>
      <c r="AO399" s="9">
        <v>1</v>
      </c>
      <c r="AP399" s="9">
        <v>0</v>
      </c>
      <c r="AQ399" s="43">
        <v>1</v>
      </c>
      <c r="AR399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479.01545999999996</v>
      </c>
      <c r="AS399" s="16">
        <f t="shared" si="9"/>
        <v>9.3089996627935641</v>
      </c>
      <c r="AT399" s="9">
        <f>IF(RIGHT(TIM[[#This Row],[Device type]],7)="Winding","-",TIM[[#This Row],[Cont Winter MVA]])</f>
        <v>9.2503983889992547</v>
      </c>
      <c r="AU399" s="9">
        <f>IF(RIGHT(TIM[[#This Row],[Device type]],7)="Winding","-",TIM[[#This Row],[Cont Shoulder MVA]])</f>
        <v>9.2503983889992547</v>
      </c>
      <c r="AV399" s="9">
        <f>IF(RIGHT(TIM[[#This Row],[Device type]],7)="Winding","-",TIM[[#This Row],[Cont Summer MVA]])</f>
        <v>9.2503983889992547</v>
      </c>
      <c r="AW399" s="9" t="str">
        <f>TIM[[#This Row],[24 Hr Winter MVA]]</f>
        <v>-</v>
      </c>
      <c r="AX399" s="9" t="str">
        <f>TIM[[#This Row],[24 Hr Summer MVA]]</f>
        <v>-</v>
      </c>
      <c r="AY399" s="9" t="str">
        <f>TIM[[#This Row],[Forwards MVA]]</f>
        <v>-</v>
      </c>
      <c r="AZ399" s="9" t="str">
        <f>TIM[[#This Row],[Relay MVA]]</f>
        <v>-</v>
      </c>
      <c r="BA399" s="9" t="str">
        <f>TIM[[#This Row],[CT MVA]]</f>
        <v>-</v>
      </c>
      <c r="BB399" s="9">
        <f>TIM[[#This Row],[Derating MVA]]</f>
        <v>9.3089996627935641</v>
      </c>
      <c r="BC399" s="9" t="str">
        <f>TIM[[#This Row],[Station/Feeder]]&amp;TIM[[#This Row],[Lowest MVA]]</f>
        <v>PLP9.25039838899925</v>
      </c>
      <c r="BD399" s="9" t="str">
        <f>CONCATENATE(TIM[[#This Row],[Supply Level]],TIM[[#This Row],[Station/Feeder]],TIM[[#This Row],[Voltage]],TIM[[#This Row],[Lowest A-No PTX]])</f>
        <v>ZoneSubstationPLP11.22476</v>
      </c>
      <c r="BE399" s="9" t="str">
        <f>CONCATENATE(TIM[[#This Row],[Supply Level]],TIM[[#This Row],[Station/Feeder]],TIM[[#This Row],[Voltage]],TIM[[#This Row],[Lowest A-PTX]])</f>
        <v>ZoneSubstationPLP11.22476</v>
      </c>
      <c r="BF399" s="9">
        <f>IFERROR(IF(MIN(TIM[[#This Row],[Summ Cont Winter A]:[Cable Derating]])=0,"",MIN(TIM[[#This Row],[Summ Cont Winter A]:[Cable Derating]])),"")</f>
        <v>9.2503983889992547</v>
      </c>
      <c r="BG399" s="9">
        <f>IFERROR(TIM[[#This Row],[Lowest MVA]]*1000/(TIM[[#This Row],[Voltage]]*SQRT(3)),"")</f>
        <v>476</v>
      </c>
      <c r="BH399" s="9">
        <f t="shared" si="435"/>
        <v>476</v>
      </c>
      <c r="BI399" s="9" t="str">
        <f>TIM[[#This Row],[From]]</f>
        <v>33 kV Bus</v>
      </c>
      <c r="BJ399" s="9" t="str">
        <f>TIM[[#This Row],[To]]</f>
        <v>11 kV Bus</v>
      </c>
      <c r="BK39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300mm² AL XLPE MPDE</v>
      </c>
      <c r="BL399" s="9">
        <f>TIM[[#This Row],[Voltage]]</f>
        <v>11.22</v>
      </c>
    </row>
    <row r="400" spans="1:64" ht="15" hidden="1" customHeight="1" thickBot="1" x14ac:dyDescent="0.3">
      <c r="A400" s="14" t="str">
        <f>CONCATENATE(TIM[[#This Row],[Supply Level]],TIM[[#This Row],[Station/Feeder]],TIM[[#This Row],[Voltage]])</f>
        <v>ZoneSubstationPLP11.22</v>
      </c>
      <c r="B400" s="14" t="str">
        <f>CONCATENATE(TIM[[#This Row],[Supply Level]],TIM[[#This Row],[Station/Feeder]],TIM[[#This Row],[Equipment ID]],TIM[[#This Row],[Voltage]],TIM[[#This Row],[Device type]])</f>
        <v>ZoneSubstationPLPPLP-CB311.22Protection</v>
      </c>
      <c r="C400" s="14" t="s">
        <v>1246</v>
      </c>
      <c r="D400" s="13" t="s">
        <v>203</v>
      </c>
      <c r="E400" s="6" t="s">
        <v>63</v>
      </c>
      <c r="F400" s="6" t="s">
        <v>243</v>
      </c>
      <c r="G400" s="27">
        <v>8</v>
      </c>
      <c r="H400" s="7" t="s">
        <v>2379</v>
      </c>
      <c r="I400" s="7" t="s">
        <v>2299</v>
      </c>
      <c r="J400" s="7" t="s">
        <v>15</v>
      </c>
      <c r="K400" s="7" t="s">
        <v>794</v>
      </c>
      <c r="L400" s="7" t="s">
        <v>1423</v>
      </c>
      <c r="M400" s="8">
        <f t="shared" si="438"/>
        <v>11.22</v>
      </c>
      <c r="N400" s="9">
        <v>1250</v>
      </c>
      <c r="O400" s="9">
        <f t="shared" si="0"/>
        <v>24.292012576153503</v>
      </c>
      <c r="P400" s="9">
        <v>1250</v>
      </c>
      <c r="Q400" s="9">
        <f t="shared" si="1"/>
        <v>24.292012576153503</v>
      </c>
      <c r="R400" s="9">
        <v>1250</v>
      </c>
      <c r="S400" s="9">
        <f t="shared" si="2"/>
        <v>24.292012576153503</v>
      </c>
      <c r="T400" s="9" t="s">
        <v>0</v>
      </c>
      <c r="U400" s="9" t="str">
        <f t="shared" si="3"/>
        <v>-</v>
      </c>
      <c r="V400" s="9" t="s">
        <v>0</v>
      </c>
      <c r="W400" s="9" t="str">
        <f t="shared" si="4"/>
        <v>-</v>
      </c>
      <c r="X400" s="9">
        <f>VLOOKUP(TIM[[#This Row],[Equipment ID]],AEL_Protection_Data[#All],12,0)</f>
        <v>348</v>
      </c>
      <c r="Y400" s="9">
        <f t="shared" si="5"/>
        <v>6.7628963012011356</v>
      </c>
      <c r="Z400" s="9" t="s">
        <v>0</v>
      </c>
      <c r="AA400" s="9" t="str">
        <f t="shared" si="6"/>
        <v>-</v>
      </c>
      <c r="AB400" s="9">
        <v>600</v>
      </c>
      <c r="AC400" s="9">
        <f t="shared" si="7"/>
        <v>11.660166036553681</v>
      </c>
      <c r="AD400" s="9">
        <v>600</v>
      </c>
      <c r="AE400" s="12">
        <f t="shared" si="8"/>
        <v>11.660166036553681</v>
      </c>
      <c r="AF400" s="9" t="s">
        <v>0</v>
      </c>
      <c r="AG400" s="9" t="s">
        <v>0</v>
      </c>
      <c r="AH400" s="9" t="s">
        <v>0</v>
      </c>
      <c r="AI400" s="9" t="s">
        <v>0</v>
      </c>
      <c r="AJ400" s="32" t="s">
        <v>0</v>
      </c>
      <c r="AK400" s="29" t="s">
        <v>0</v>
      </c>
      <c r="AL400" s="32" t="s">
        <v>0</v>
      </c>
      <c r="AM400" s="29" t="s">
        <v>0</v>
      </c>
      <c r="AN400" s="32" t="s">
        <v>0</v>
      </c>
      <c r="AO400" s="29" t="s">
        <v>0</v>
      </c>
      <c r="AP400" s="29" t="s">
        <v>0</v>
      </c>
      <c r="AQ400" s="32" t="s">
        <v>0</v>
      </c>
      <c r="AR40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400" s="9" t="str">
        <f>IF(OR(AR400="",AR400="-"),"-",AR400*$M400*SQRT(3)/1000)</f>
        <v>-</v>
      </c>
      <c r="AT400" s="155">
        <f>IF(RIGHT(TIM[[#This Row],[Device type]],7)="Winding","-",TIM[[#This Row],[Cont Winter MVA]])</f>
        <v>24.292012576153503</v>
      </c>
      <c r="AU400" s="155">
        <f>IF(RIGHT(TIM[[#This Row],[Device type]],7)="Winding","-",TIM[[#This Row],[Cont Shoulder MVA]])</f>
        <v>24.292012576153503</v>
      </c>
      <c r="AV400" s="155">
        <f>IF(RIGHT(TIM[[#This Row],[Device type]],7)="Winding","-",TIM[[#This Row],[Cont Summer MVA]])</f>
        <v>24.292012576153503</v>
      </c>
      <c r="AW400" s="155" t="str">
        <f>TIM[[#This Row],[24 Hr Winter MVA]]</f>
        <v>-</v>
      </c>
      <c r="AX400" s="155" t="str">
        <f>TIM[[#This Row],[24 Hr Summer MVA]]</f>
        <v>-</v>
      </c>
      <c r="AY400" s="155">
        <f>TIM[[#This Row],[Forwards MVA]]</f>
        <v>6.7628963012011356</v>
      </c>
      <c r="AZ400" s="155">
        <f>TIM[[#This Row],[Relay MVA]]</f>
        <v>11.660166036553681</v>
      </c>
      <c r="BA400" s="155">
        <f>TIM[[#This Row],[CT MVA]]</f>
        <v>11.660166036553681</v>
      </c>
      <c r="BB400" s="155" t="str">
        <f>TIM[[#This Row],[Derating MVA]]</f>
        <v>-</v>
      </c>
      <c r="BC400" s="155" t="str">
        <f>TIM[[#This Row],[Station/Feeder]]&amp;TIM[[#This Row],[Lowest MVA]]</f>
        <v>PLP6.76289630120114</v>
      </c>
      <c r="BD400" s="155" t="str">
        <f>CONCATENATE(TIM[[#This Row],[Supply Level]],TIM[[#This Row],[Station/Feeder]],TIM[[#This Row],[Voltage]],TIM[[#This Row],[Lowest A-No PTX]])</f>
        <v>ZoneSubstationPLP11.22348</v>
      </c>
      <c r="BE400" s="155" t="str">
        <f>CONCATENATE(TIM[[#This Row],[Supply Level]],TIM[[#This Row],[Station/Feeder]],TIM[[#This Row],[Voltage]],TIM[[#This Row],[Lowest A-PTX]])</f>
        <v>ZoneSubstationPLP11.22348</v>
      </c>
      <c r="BF400" s="155">
        <f>IFERROR(IF(MIN(TIM[[#This Row],[Summ Cont Winter A]:[Cable Derating]])=0,"",MIN(TIM[[#This Row],[Summ Cont Winter A]:[Cable Derating]])),"")</f>
        <v>6.7628963012011356</v>
      </c>
      <c r="BG400" s="155">
        <f>IFERROR(TIM[[#This Row],[Lowest MVA]]*1000/(TIM[[#This Row],[Voltage]]*SQRT(3)),"")</f>
        <v>348</v>
      </c>
      <c r="BH400" s="155">
        <f t="shared" si="435"/>
        <v>348</v>
      </c>
      <c r="BI400" s="155" t="str">
        <f>TIM[[#This Row],[From]]</f>
        <v>33 kV Bus</v>
      </c>
      <c r="BJ400" s="155" t="str">
        <f>TIM[[#This Row],[To]]</f>
        <v>11 kV Bus</v>
      </c>
      <c r="BK400" s="155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Breaker-PLP-CB3-Protection</v>
      </c>
      <c r="BL400" s="155">
        <f>TIM[[#This Row],[Voltage]]</f>
        <v>11.22</v>
      </c>
    </row>
    <row r="401" spans="1:64" ht="15" customHeight="1" x14ac:dyDescent="0.25">
      <c r="A401" s="173" t="str">
        <f>CONCATENATE(TIM[[#This Row],[Supply Level]],TIM[[#This Row],[Station/Feeder]],TIM[[#This Row],[Voltage]])</f>
        <v>DistributionFeederCB1_Waitawa11.22</v>
      </c>
      <c r="B401" s="173" t="str">
        <f>CONCATENATE(TIM[[#This Row],[Supply Level]],TIM[[#This Row],[Station/Feeder]],TIM[[#This Row],[Equipment ID]],TIM[[#This Row],[Voltage]],TIM[[#This Row],[Device type]])</f>
        <v>DistributionFeederCB1_WaitawaPLP-CB111.22Protection</v>
      </c>
      <c r="C401" s="173" t="s">
        <v>1276</v>
      </c>
      <c r="D401" s="10" t="s">
        <v>206</v>
      </c>
      <c r="E401" s="173" t="s">
        <v>243</v>
      </c>
      <c r="F401" s="3" t="s">
        <v>1094</v>
      </c>
      <c r="G401" s="26">
        <v>1</v>
      </c>
      <c r="H401" s="38" t="s">
        <v>2380</v>
      </c>
      <c r="I401" s="38" t="s">
        <v>2300</v>
      </c>
      <c r="J401" s="38" t="s">
        <v>15</v>
      </c>
      <c r="K401" s="38" t="s">
        <v>1119</v>
      </c>
      <c r="L401" s="38" t="s">
        <v>1423</v>
      </c>
      <c r="M401" s="4">
        <f>11*1.02</f>
        <v>11.22</v>
      </c>
      <c r="N401" s="5">
        <v>630</v>
      </c>
      <c r="O401" s="5">
        <f t="shared" si="0"/>
        <v>12.243174338381367</v>
      </c>
      <c r="P401" s="5">
        <v>630</v>
      </c>
      <c r="Q401" s="5">
        <f t="shared" si="1"/>
        <v>12.243174338381367</v>
      </c>
      <c r="R401" s="5">
        <v>630</v>
      </c>
      <c r="S401" s="5">
        <f t="shared" si="2"/>
        <v>12.243174338381367</v>
      </c>
      <c r="T401" s="5" t="s">
        <v>0</v>
      </c>
      <c r="U401" s="5" t="str">
        <f t="shared" si="3"/>
        <v>-</v>
      </c>
      <c r="V401" s="5" t="s">
        <v>0</v>
      </c>
      <c r="W401" s="5" t="str">
        <f t="shared" si="4"/>
        <v>-</v>
      </c>
      <c r="X401" s="5">
        <f>VLOOKUP(TIM[[#This Row],[Equipment ID]],AEL_Protection_Data[#All],12,0)</f>
        <v>252</v>
      </c>
      <c r="Y401" s="5">
        <f t="shared" si="5"/>
        <v>4.8972697353525465</v>
      </c>
      <c r="Z401" s="5" t="s">
        <v>0</v>
      </c>
      <c r="AA401" s="5" t="str">
        <f t="shared" si="6"/>
        <v>-</v>
      </c>
      <c r="AB401" s="5">
        <v>400</v>
      </c>
      <c r="AC401" s="5">
        <f t="shared" si="7"/>
        <v>7.7734440243691205</v>
      </c>
      <c r="AD401" s="5">
        <v>400</v>
      </c>
      <c r="AE401" s="158">
        <f t="shared" si="8"/>
        <v>7.7734440243691205</v>
      </c>
      <c r="AF401" s="5" t="s">
        <v>0</v>
      </c>
      <c r="AG401" s="5" t="s">
        <v>0</v>
      </c>
      <c r="AH401" s="4" t="s">
        <v>0</v>
      </c>
      <c r="AI401" s="5" t="s">
        <v>0</v>
      </c>
      <c r="AJ401" s="139" t="s">
        <v>0</v>
      </c>
      <c r="AK401" s="5" t="s">
        <v>0</v>
      </c>
      <c r="AL401" s="139" t="s">
        <v>0</v>
      </c>
      <c r="AM401" s="5" t="s">
        <v>0</v>
      </c>
      <c r="AN401" s="139" t="s">
        <v>0</v>
      </c>
      <c r="AO401" s="5" t="s">
        <v>0</v>
      </c>
      <c r="AP401" s="5" t="s">
        <v>0</v>
      </c>
      <c r="AQ401" s="139" t="s">
        <v>0</v>
      </c>
      <c r="AR401" s="5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401" s="5" t="str">
        <f t="shared" si="9"/>
        <v>-</v>
      </c>
      <c r="AT401" s="29">
        <f>IF(RIGHT(TIM[[#This Row],[Device type]],7)="Winding","-",TIM[[#This Row],[Cont Winter MVA]])</f>
        <v>12.243174338381367</v>
      </c>
      <c r="AU401" s="29">
        <f>IF(RIGHT(TIM[[#This Row],[Device type]],7)="Winding","-",TIM[[#This Row],[Cont Shoulder MVA]])</f>
        <v>12.243174338381367</v>
      </c>
      <c r="AV401" s="29">
        <f>IF(RIGHT(TIM[[#This Row],[Device type]],7)="Winding","-",TIM[[#This Row],[Cont Summer MVA]])</f>
        <v>12.243174338381367</v>
      </c>
      <c r="AW401" s="29" t="str">
        <f>TIM[[#This Row],[24 Hr Winter MVA]]</f>
        <v>-</v>
      </c>
      <c r="AX401" s="29" t="str">
        <f>TIM[[#This Row],[24 Hr Summer MVA]]</f>
        <v>-</v>
      </c>
      <c r="AY401" s="29">
        <f>TIM[[#This Row],[Forwards MVA]]</f>
        <v>4.8972697353525465</v>
      </c>
      <c r="AZ401" s="29">
        <f>TIM[[#This Row],[Relay MVA]]</f>
        <v>7.7734440243691205</v>
      </c>
      <c r="BA401" s="29">
        <f>TIM[[#This Row],[CT MVA]]</f>
        <v>7.7734440243691205</v>
      </c>
      <c r="BB401" s="29" t="str">
        <f>TIM[[#This Row],[Derating MVA]]</f>
        <v>-</v>
      </c>
      <c r="BC401" s="29" t="str">
        <f>TIM[[#This Row],[Station/Feeder]]&amp;TIM[[#This Row],[Lowest MVA]]</f>
        <v>CB1_Waitawa4.89726973535255</v>
      </c>
      <c r="BD401" s="29" t="str">
        <f>CONCATENATE(TIM[[#This Row],[Supply Level]],TIM[[#This Row],[Station/Feeder]],TIM[[#This Row],[Voltage]],TIM[[#This Row],[Lowest A-No PTX]])</f>
        <v>DistributionFeederCB1_Waitawa11.22252</v>
      </c>
      <c r="BE401" s="29" t="str">
        <f>CONCATENATE(TIM[[#This Row],[Supply Level]],TIM[[#This Row],[Station/Feeder]],TIM[[#This Row],[Voltage]],TIM[[#This Row],[Lowest A-PTX]])</f>
        <v>DistributionFeederCB1_Waitawa11.22252</v>
      </c>
      <c r="BF401" s="29">
        <f>IFERROR(IF(MIN(TIM[[#This Row],[Summ Cont Winter A]:[Cable Derating]])=0,"",MIN(TIM[[#This Row],[Summ Cont Winter A]:[Cable Derating]])),"")</f>
        <v>4.8972697353525465</v>
      </c>
      <c r="BG401" s="29">
        <f>IFERROR(TIM[[#This Row],[Lowest MVA]]*1000/(TIM[[#This Row],[Voltage]]*SQRT(3)),"")</f>
        <v>252</v>
      </c>
      <c r="BH401" s="29">
        <f t="shared" si="435"/>
        <v>252</v>
      </c>
      <c r="BI401" s="29" t="str">
        <f>TIM[[#This Row],[From]]</f>
        <v>11 kV Bus</v>
      </c>
      <c r="BJ401" s="29" t="str">
        <f>TIM[[#This Row],[To]]</f>
        <v>PLPTCB 1</v>
      </c>
      <c r="BK401" s="2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Breaker-PLP-CB1-Protection</v>
      </c>
      <c r="BL401" s="29">
        <f>TIM[[#This Row],[Voltage]]</f>
        <v>11.22</v>
      </c>
    </row>
    <row r="402" spans="1:64" ht="15" customHeight="1" x14ac:dyDescent="0.25">
      <c r="A402" s="14" t="str">
        <f>CONCATENATE(TIM[[#This Row],[Supply Level]],TIM[[#This Row],[Station/Feeder]],TIM[[#This Row],[Voltage]])</f>
        <v>DistributionFeederCB1_Waitawa11.22</v>
      </c>
      <c r="B402" s="14" t="str">
        <f>CONCATENATE(TIM[[#This Row],[Supply Level]],TIM[[#This Row],[Station/Feeder]],TIM[[#This Row],[Equipment ID]],TIM[[#This Row],[Voltage]],TIM[[#This Row],[Device type]])</f>
        <v>DistributionFeederCB1_Waitawa3c 150mm² Al PILC STA11.22-</v>
      </c>
      <c r="C402" s="14" t="s">
        <v>1276</v>
      </c>
      <c r="D402" s="11" t="s">
        <v>206</v>
      </c>
      <c r="E402" s="6" t="s">
        <v>1094</v>
      </c>
      <c r="F402" s="6" t="s">
        <v>750</v>
      </c>
      <c r="G402" s="27">
        <v>2</v>
      </c>
      <c r="H402" s="7" t="s">
        <v>1096</v>
      </c>
      <c r="I402" s="7" t="s">
        <v>1097</v>
      </c>
      <c r="J402" s="7" t="s">
        <v>250</v>
      </c>
      <c r="K402" s="39" t="s">
        <v>0</v>
      </c>
      <c r="L402" s="7" t="s">
        <v>0</v>
      </c>
      <c r="M402" s="8">
        <f t="shared" ref="M402:M414" si="439">11*1.02</f>
        <v>11.22</v>
      </c>
      <c r="N402" s="9">
        <v>265</v>
      </c>
      <c r="O402" s="9">
        <f t="shared" si="0"/>
        <v>5.1499066661445427</v>
      </c>
      <c r="P402" s="9">
        <v>245</v>
      </c>
      <c r="Q402" s="9">
        <f t="shared" si="1"/>
        <v>4.7612344649260869</v>
      </c>
      <c r="R402" s="9">
        <v>245</v>
      </c>
      <c r="S402" s="9">
        <f t="shared" si="2"/>
        <v>4.7612344649260869</v>
      </c>
      <c r="T402" s="9" t="s">
        <v>0</v>
      </c>
      <c r="U402" s="9" t="str">
        <f t="shared" si="3"/>
        <v>-</v>
      </c>
      <c r="V402" s="9" t="s">
        <v>0</v>
      </c>
      <c r="W402" s="9" t="str">
        <f t="shared" si="4"/>
        <v>-</v>
      </c>
      <c r="X402" s="9" t="s">
        <v>0</v>
      </c>
      <c r="Y402" s="9" t="str">
        <f t="shared" si="5"/>
        <v>-</v>
      </c>
      <c r="Z402" s="9" t="s">
        <v>0</v>
      </c>
      <c r="AA402" s="9" t="str">
        <f t="shared" si="6"/>
        <v>-</v>
      </c>
      <c r="AB402" s="9" t="s">
        <v>0</v>
      </c>
      <c r="AC402" s="9" t="str">
        <f t="shared" si="7"/>
        <v>-</v>
      </c>
      <c r="AD402" s="9" t="s">
        <v>0</v>
      </c>
      <c r="AE402" s="12" t="str">
        <f t="shared" si="8"/>
        <v>-</v>
      </c>
      <c r="AF402" s="29">
        <v>3</v>
      </c>
      <c r="AG402" s="29" t="s">
        <v>344</v>
      </c>
      <c r="AH402" s="8">
        <v>90.7</v>
      </c>
      <c r="AI402" s="29">
        <v>0.9</v>
      </c>
      <c r="AJ402" s="32">
        <v>0.99</v>
      </c>
      <c r="AK402" s="29">
        <v>20</v>
      </c>
      <c r="AL402" s="32">
        <v>0.95</v>
      </c>
      <c r="AM402" s="29">
        <v>1</v>
      </c>
      <c r="AN402" s="32">
        <v>1.07</v>
      </c>
      <c r="AO402" s="29">
        <v>4</v>
      </c>
      <c r="AP402" s="29">
        <v>0</v>
      </c>
      <c r="AQ402" s="32">
        <v>0.75</v>
      </c>
      <c r="AR402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200.00908125000001</v>
      </c>
      <c r="AS402" s="9">
        <f t="shared" si="9"/>
        <v>3.8868984936559263</v>
      </c>
      <c r="AT402" s="9">
        <f>IF(RIGHT(TIM[[#This Row],[Device type]],7)="Winding","-",TIM[[#This Row],[Cont Winter MVA]])</f>
        <v>5.1499066661445427</v>
      </c>
      <c r="AU402" s="9">
        <f>IF(RIGHT(TIM[[#This Row],[Device type]],7)="Winding","-",TIM[[#This Row],[Cont Shoulder MVA]])</f>
        <v>4.7612344649260869</v>
      </c>
      <c r="AV402" s="9">
        <f>IF(RIGHT(TIM[[#This Row],[Device type]],7)="Winding","-",TIM[[#This Row],[Cont Summer MVA]])</f>
        <v>4.7612344649260869</v>
      </c>
      <c r="AW402" s="9" t="str">
        <f>TIM[[#This Row],[24 Hr Winter MVA]]</f>
        <v>-</v>
      </c>
      <c r="AX402" s="9" t="str">
        <f>TIM[[#This Row],[24 Hr Summer MVA]]</f>
        <v>-</v>
      </c>
      <c r="AY402" s="9" t="str">
        <f>TIM[[#This Row],[Forwards MVA]]</f>
        <v>-</v>
      </c>
      <c r="AZ402" s="9" t="str">
        <f>TIM[[#This Row],[Relay MVA]]</f>
        <v>-</v>
      </c>
      <c r="BA402" s="9" t="str">
        <f>TIM[[#This Row],[CT MVA]]</f>
        <v>-</v>
      </c>
      <c r="BB402" s="9">
        <f>TIM[[#This Row],[Derating MVA]]</f>
        <v>3.8868984936559263</v>
      </c>
      <c r="BC402" s="9" t="str">
        <f>TIM[[#This Row],[Station/Feeder]]&amp;TIM[[#This Row],[Lowest MVA]]</f>
        <v>CB1_Waitawa3.88689849365593</v>
      </c>
      <c r="BD402" s="9" t="str">
        <f>CONCATENATE(TIM[[#This Row],[Supply Level]],TIM[[#This Row],[Station/Feeder]],TIM[[#This Row],[Voltage]],TIM[[#This Row],[Lowest A-No PTX]])</f>
        <v>DistributionFeederCB1_Waitawa11.22200.00908125</v>
      </c>
      <c r="BE402" s="9" t="str">
        <f>CONCATENATE(TIM[[#This Row],[Supply Level]],TIM[[#This Row],[Station/Feeder]],TIM[[#This Row],[Voltage]],TIM[[#This Row],[Lowest A-PTX]])</f>
        <v>DistributionFeederCB1_Waitawa11.22200.00908125</v>
      </c>
      <c r="BF402" s="9">
        <f>IFERROR(IF(MIN(TIM[[#This Row],[Summ Cont Winter A]:[Cable Derating]])=0,"",MIN(TIM[[#This Row],[Summ Cont Winter A]:[Cable Derating]])),"")</f>
        <v>3.8868984936559263</v>
      </c>
      <c r="BG402" s="9">
        <f>IFERROR(TIM[[#This Row],[Lowest MVA]]*1000/(TIM[[#This Row],[Voltage]]*SQRT(3)),"")</f>
        <v>200.00908125000001</v>
      </c>
      <c r="BH402" s="9">
        <f t="shared" si="435"/>
        <v>200.00908125000001</v>
      </c>
      <c r="BI402" s="9" t="str">
        <f>TIM[[#This Row],[From]]</f>
        <v>PLPTCB 1</v>
      </c>
      <c r="BJ402" s="9" t="str">
        <f>TIM[[#This Row],[To]]</f>
        <v>Joint</v>
      </c>
      <c r="BK40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150mm² Al PILC STA</v>
      </c>
      <c r="BL402" s="9">
        <f>TIM[[#This Row],[Voltage]]</f>
        <v>11.22</v>
      </c>
    </row>
    <row r="403" spans="1:64" ht="15" customHeight="1" x14ac:dyDescent="0.25">
      <c r="A403" s="460" t="str">
        <f>CONCATENATE(TIM[[#This Row],[Supply Level]],TIM[[#This Row],[Station/Feeder]],TIM[[#This Row],[Voltage]])</f>
        <v>DistributionFeederCB1_Waitawa11.22</v>
      </c>
      <c r="B403" s="460" t="str">
        <f>CONCATENATE(TIM[[#This Row],[Supply Level]],TIM[[#This Row],[Station/Feeder]],TIM[[#This Row],[Equipment ID]],TIM[[#This Row],[Voltage]],TIM[[#This Row],[Device type]])</f>
        <v>DistributionFeederCB1_Waitawa3x1c 185mm² Al XLPE11.22-</v>
      </c>
      <c r="C403" s="6" t="s">
        <v>1276</v>
      </c>
      <c r="D403" s="6" t="s">
        <v>206</v>
      </c>
      <c r="E403" s="6" t="s">
        <v>750</v>
      </c>
      <c r="F403" s="6" t="s">
        <v>1095</v>
      </c>
      <c r="G403" s="8">
        <v>3</v>
      </c>
      <c r="H403" s="8" t="s">
        <v>1096</v>
      </c>
      <c r="I403" s="6" t="s">
        <v>2980</v>
      </c>
      <c r="J403" s="6" t="s">
        <v>250</v>
      </c>
      <c r="K403" s="6" t="s">
        <v>0</v>
      </c>
      <c r="L403" s="6" t="s">
        <v>0</v>
      </c>
      <c r="M403" s="8">
        <f t="shared" si="439"/>
        <v>11.22</v>
      </c>
      <c r="N403" s="9">
        <v>265</v>
      </c>
      <c r="O403" s="9">
        <f t="shared" ref="O403" si="440">IF(OR(N403="",N403="-"),"-",N403*$M403*SQRT(3)/1000)</f>
        <v>5.1499066661445427</v>
      </c>
      <c r="P403" s="9">
        <v>245</v>
      </c>
      <c r="Q403" s="9">
        <f t="shared" ref="Q403" si="441">IF(OR(P403="",P403="-"),"-",P403*$M403*SQRT(3)/1000)</f>
        <v>4.7612344649260869</v>
      </c>
      <c r="R403" s="9">
        <v>245</v>
      </c>
      <c r="S403" s="9">
        <f t="shared" ref="S403" si="442">IF(OR(R403="",R403="-"),"-",R403*$M403*SQRT(3)/1000)</f>
        <v>4.7612344649260869</v>
      </c>
      <c r="T403" s="9" t="s">
        <v>0</v>
      </c>
      <c r="U403" s="9" t="str">
        <f t="shared" ref="U403" si="443">IF(OR(T403="",T403="-"),"-",T403*$M403*SQRT(3)/1000)</f>
        <v>-</v>
      </c>
      <c r="V403" s="9" t="s">
        <v>0</v>
      </c>
      <c r="W403" s="9" t="str">
        <f t="shared" ref="W403" si="444">IF(OR(V403="",V403="-"),"-",V403*$M403*SQRT(3)/1000)</f>
        <v>-</v>
      </c>
      <c r="X403" s="9" t="s">
        <v>0</v>
      </c>
      <c r="Y403" s="9" t="str">
        <f t="shared" ref="Y403" si="445">IF(OR(X403="",X403="-"),"-",X403*$M403*SQRT(3)/1000)</f>
        <v>-</v>
      </c>
      <c r="Z403" s="9" t="s">
        <v>0</v>
      </c>
      <c r="AA403" s="9" t="str">
        <f t="shared" ref="AA403" si="446">IF(OR(Z403="",Z403="-"),"-",Z403*$M403*SQRT(3)/1000)</f>
        <v>-</v>
      </c>
      <c r="AB403" s="9" t="s">
        <v>0</v>
      </c>
      <c r="AC403" s="9" t="str">
        <f t="shared" ref="AC403" si="447">IF(OR(AB403="",AB403="-"),"-",AB403*$M403*SQRT(3)/1000)</f>
        <v>-</v>
      </c>
      <c r="AD403" s="9" t="s">
        <v>0</v>
      </c>
      <c r="AE403" s="9" t="str">
        <f t="shared" ref="AE403" si="448">IF(OR(AD403="",AD403="-"),"-",AD403*$M403*SQRT(3)/1000)</f>
        <v>-</v>
      </c>
      <c r="AF403" s="9">
        <v>3</v>
      </c>
      <c r="AG403" s="9" t="s">
        <v>344</v>
      </c>
      <c r="AH403" s="9">
        <v>90.7</v>
      </c>
      <c r="AI403" s="9">
        <v>0.9</v>
      </c>
      <c r="AJ403" s="43">
        <v>0.99</v>
      </c>
      <c r="AK403" s="9">
        <v>20</v>
      </c>
      <c r="AL403" s="43">
        <v>0.95</v>
      </c>
      <c r="AM403" s="9">
        <v>1</v>
      </c>
      <c r="AN403" s="43">
        <v>1.07</v>
      </c>
      <c r="AO403" s="9">
        <v>4</v>
      </c>
      <c r="AP403" s="9">
        <v>0</v>
      </c>
      <c r="AQ403" s="43">
        <v>0.75</v>
      </c>
      <c r="AR403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200.00908125000001</v>
      </c>
      <c r="AS403" s="9">
        <f t="shared" ref="AS403" si="449">IF(OR(AR403="",AR403="-"),"-",AR403*$M403*SQRT(3)/1000)</f>
        <v>3.8868984936559263</v>
      </c>
      <c r="AT403" s="9">
        <f>IF(RIGHT(TIM[[#This Row],[Device type]],7)="Winding","-",TIM[[#This Row],[Cont Winter MVA]])</f>
        <v>5.1499066661445427</v>
      </c>
      <c r="AU403" s="9">
        <f>IF(RIGHT(TIM[[#This Row],[Device type]],7)="Winding","-",TIM[[#This Row],[Cont Shoulder MVA]])</f>
        <v>4.7612344649260869</v>
      </c>
      <c r="AV403" s="9">
        <f>IF(RIGHT(TIM[[#This Row],[Device type]],7)="Winding","-",TIM[[#This Row],[Cont Summer MVA]])</f>
        <v>4.7612344649260869</v>
      </c>
      <c r="AW403" s="9" t="str">
        <f>TIM[[#This Row],[24 Hr Winter MVA]]</f>
        <v>-</v>
      </c>
      <c r="AX403" s="9" t="str">
        <f>TIM[[#This Row],[24 Hr Summer MVA]]</f>
        <v>-</v>
      </c>
      <c r="AY403" s="9" t="str">
        <f>TIM[[#This Row],[Forwards MVA]]</f>
        <v>-</v>
      </c>
      <c r="AZ403" s="9" t="str">
        <f>TIM[[#This Row],[Relay MVA]]</f>
        <v>-</v>
      </c>
      <c r="BA403" s="9" t="str">
        <f>TIM[[#This Row],[CT MVA]]</f>
        <v>-</v>
      </c>
      <c r="BB403" s="9">
        <f>TIM[[#This Row],[Derating MVA]]</f>
        <v>3.8868984936559263</v>
      </c>
      <c r="BC403" s="9" t="str">
        <f>TIM[[#This Row],[Station/Feeder]]&amp;TIM[[#This Row],[Lowest MVA]]</f>
        <v>CB1_Waitawa3.88689849365593</v>
      </c>
      <c r="BD403" s="9" t="str">
        <f>CONCATENATE(TIM[[#This Row],[Supply Level]],TIM[[#This Row],[Station/Feeder]],TIM[[#This Row],[Voltage]],TIM[[#This Row],[Lowest A-No PTX]])</f>
        <v>DistributionFeederCB1_Waitawa11.22200.00908125</v>
      </c>
      <c r="BE403" s="9" t="str">
        <f>CONCATENATE(TIM[[#This Row],[Supply Level]],TIM[[#This Row],[Station/Feeder]],TIM[[#This Row],[Voltage]],TIM[[#This Row],[Lowest A-PTX]])</f>
        <v>DistributionFeederCB1_Waitawa11.22200.00908125</v>
      </c>
      <c r="BF403" s="9">
        <f>IFERROR(IF(MIN(TIM[[#This Row],[Summ Cont Winter A]:[Cable Derating]])=0,"",MIN(TIM[[#This Row],[Summ Cont Winter A]:[Cable Derating]])),"")</f>
        <v>3.8868984936559263</v>
      </c>
      <c r="BG403" s="9">
        <f>IFERROR(TIM[[#This Row],[Lowest MVA]]*1000/(TIM[[#This Row],[Voltage]]*SQRT(3)),"")</f>
        <v>200.00908125000001</v>
      </c>
      <c r="BH403" s="9">
        <f t="shared" ref="BH403" si="450">IF(MIN(N403,P403,R403,T403,V403,X403,Z403,AB403,AD403,AR403)=0,"",MIN(N403,P403,R403,T403,V403,X403,Z403,AB403,AD403,AR403))</f>
        <v>200.00908125000001</v>
      </c>
      <c r="BI403" s="9" t="str">
        <f>TIM[[#This Row],[From]]</f>
        <v>Joint</v>
      </c>
      <c r="BJ403" s="9" t="str">
        <f>TIM[[#This Row],[To]]</f>
        <v>Fuse L260</v>
      </c>
      <c r="BK40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Cable-3x1c 185mm² Al XLPE</v>
      </c>
      <c r="BL403" s="9">
        <f>TIM[[#This Row],[Voltage]]</f>
        <v>11.22</v>
      </c>
    </row>
    <row r="404" spans="1:64" ht="15" customHeight="1" x14ac:dyDescent="0.25">
      <c r="A404" s="460" t="str">
        <f>CONCATENATE(TIM[[#This Row],[Supply Level]],TIM[[#This Row],[Station/Feeder]],TIM[[#This Row],[Voltage]])</f>
        <v>DistributionFeederCB1_Waitawa11.22</v>
      </c>
      <c r="B404" s="460" t="str">
        <f>CONCATENATE(TIM[[#This Row],[Supply Level]],TIM[[#This Row],[Station/Feeder]],TIM[[#This Row],[Equipment ID]],TIM[[#This Row],[Voltage]],TIM[[#This Row],[Device type]])</f>
        <v>DistributionFeederCB1_WaitawaFerret11.22-</v>
      </c>
      <c r="C404" s="6" t="s">
        <v>1276</v>
      </c>
      <c r="D404" s="6" t="s">
        <v>206</v>
      </c>
      <c r="E404" s="6"/>
      <c r="F404" s="6" t="s">
        <v>1095</v>
      </c>
      <c r="G404" s="8">
        <v>4</v>
      </c>
      <c r="H404" s="7" t="s">
        <v>273</v>
      </c>
      <c r="I404" s="6" t="s">
        <v>2981</v>
      </c>
      <c r="J404" s="6" t="s">
        <v>69</v>
      </c>
      <c r="K404" s="6" t="s">
        <v>0</v>
      </c>
      <c r="L404" s="6" t="s">
        <v>0</v>
      </c>
      <c r="M404" s="8">
        <f t="shared" si="439"/>
        <v>11.22</v>
      </c>
      <c r="N404" s="9">
        <v>148</v>
      </c>
      <c r="O404" s="9">
        <f t="shared" ref="O404" si="451">IF(OR(N404="",N404="-"),"-",N404*$M404*SQRT(3)/1000)</f>
        <v>2.8761742890165753</v>
      </c>
      <c r="P404" s="9">
        <v>148</v>
      </c>
      <c r="Q404" s="9">
        <f t="shared" ref="Q404" si="452">IF(OR(P404="",P404="-"),"-",P404*$M404*SQRT(3)/1000)</f>
        <v>2.8761742890165753</v>
      </c>
      <c r="R404" s="9">
        <v>148</v>
      </c>
      <c r="S404" s="9">
        <f t="shared" ref="S404" si="453">IF(OR(R404="",R404="-"),"-",R404*$M404*SQRT(3)/1000)</f>
        <v>2.8761742890165753</v>
      </c>
      <c r="T404" s="9" t="s">
        <v>0</v>
      </c>
      <c r="U404" s="9" t="str">
        <f t="shared" ref="U404" si="454">IF(OR(T404="",T404="-"),"-",T404*$M404*SQRT(3)/1000)</f>
        <v>-</v>
      </c>
      <c r="V404" s="9" t="s">
        <v>0</v>
      </c>
      <c r="W404" s="9" t="str">
        <f t="shared" ref="W404" si="455">IF(OR(V404="",V404="-"),"-",V404*$M404*SQRT(3)/1000)</f>
        <v>-</v>
      </c>
      <c r="X404" s="9" t="s">
        <v>0</v>
      </c>
      <c r="Y404" s="9" t="str">
        <f t="shared" ref="Y404" si="456">IF(OR(X404="",X404="-"),"-",X404*$M404*SQRT(3)/1000)</f>
        <v>-</v>
      </c>
      <c r="Z404" s="9" t="s">
        <v>0</v>
      </c>
      <c r="AA404" s="9" t="str">
        <f t="shared" ref="AA404" si="457">IF(OR(Z404="",Z404="-"),"-",Z404*$M404*SQRT(3)/1000)</f>
        <v>-</v>
      </c>
      <c r="AB404" s="9" t="s">
        <v>0</v>
      </c>
      <c r="AC404" s="9" t="str">
        <f t="shared" ref="AC404" si="458">IF(OR(AB404="",AB404="-"),"-",AB404*$M404*SQRT(3)/1000)</f>
        <v>-</v>
      </c>
      <c r="AD404" s="9" t="s">
        <v>0</v>
      </c>
      <c r="AE404" s="9" t="str">
        <f t="shared" ref="AE404" si="459">IF(OR(AD404="",AD404="-"),"-",AD404*$M404*SQRT(3)/1000)</f>
        <v>-</v>
      </c>
      <c r="AF404" s="9">
        <v>3</v>
      </c>
      <c r="AG404" s="9" t="s">
        <v>344</v>
      </c>
      <c r="AH404" s="9">
        <v>90.7</v>
      </c>
      <c r="AI404" s="9">
        <v>0.9</v>
      </c>
      <c r="AJ404" s="43">
        <v>0.99</v>
      </c>
      <c r="AK404" s="9">
        <v>20</v>
      </c>
      <c r="AL404" s="43">
        <v>0.95</v>
      </c>
      <c r="AM404" s="9">
        <v>1</v>
      </c>
      <c r="AN404" s="43">
        <v>1.07</v>
      </c>
      <c r="AO404" s="9">
        <v>4</v>
      </c>
      <c r="AP404" s="9">
        <v>0</v>
      </c>
      <c r="AQ404" s="43">
        <v>0.75</v>
      </c>
      <c r="AR404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404" s="9" t="str">
        <f t="shared" ref="AS404" si="460">IF(OR(AR404="",AR404="-"),"-",AR404*$M404*SQRT(3)/1000)</f>
        <v>-</v>
      </c>
      <c r="AT404" s="9">
        <f>IF(RIGHT(TIM[[#This Row],[Device type]],7)="Winding","-",TIM[[#This Row],[Cont Winter MVA]])</f>
        <v>2.8761742890165753</v>
      </c>
      <c r="AU404" s="9">
        <f>IF(RIGHT(TIM[[#This Row],[Device type]],7)="Winding","-",TIM[[#This Row],[Cont Shoulder MVA]])</f>
        <v>2.8761742890165753</v>
      </c>
      <c r="AV404" s="9">
        <f>IF(RIGHT(TIM[[#This Row],[Device type]],7)="Winding","-",TIM[[#This Row],[Cont Summer MVA]])</f>
        <v>2.8761742890165753</v>
      </c>
      <c r="AW404" s="9" t="str">
        <f>TIM[[#This Row],[24 Hr Winter MVA]]</f>
        <v>-</v>
      </c>
      <c r="AX404" s="9" t="str">
        <f>TIM[[#This Row],[24 Hr Summer MVA]]</f>
        <v>-</v>
      </c>
      <c r="AY404" s="9" t="str">
        <f>TIM[[#This Row],[Forwards MVA]]</f>
        <v>-</v>
      </c>
      <c r="AZ404" s="9" t="str">
        <f>TIM[[#This Row],[Relay MVA]]</f>
        <v>-</v>
      </c>
      <c r="BA404" s="9" t="str">
        <f>TIM[[#This Row],[CT MVA]]</f>
        <v>-</v>
      </c>
      <c r="BB404" s="9" t="str">
        <f>TIM[[#This Row],[Derating MVA]]</f>
        <v>-</v>
      </c>
      <c r="BC404" s="9" t="str">
        <f>TIM[[#This Row],[Station/Feeder]]&amp;TIM[[#This Row],[Lowest MVA]]</f>
        <v>CB1_Waitawa2.87617428901658</v>
      </c>
      <c r="BD404" s="9" t="str">
        <f>CONCATENATE(TIM[[#This Row],[Supply Level]],TIM[[#This Row],[Station/Feeder]],TIM[[#This Row],[Voltage]],TIM[[#This Row],[Lowest A-No PTX]])</f>
        <v>DistributionFeederCB1_Waitawa11.22148</v>
      </c>
      <c r="BE404" s="9" t="str">
        <f>CONCATENATE(TIM[[#This Row],[Supply Level]],TIM[[#This Row],[Station/Feeder]],TIM[[#This Row],[Voltage]],TIM[[#This Row],[Lowest A-PTX]])</f>
        <v>DistributionFeederCB1_Waitawa11.22148</v>
      </c>
      <c r="BF404" s="9">
        <f>IFERROR(IF(MIN(TIM[[#This Row],[Summ Cont Winter A]:[Cable Derating]])=0,"",MIN(TIM[[#This Row],[Summ Cont Winter A]:[Cable Derating]])),"")</f>
        <v>2.8761742890165753</v>
      </c>
      <c r="BG404" s="9">
        <f>IFERROR(TIM[[#This Row],[Lowest MVA]]*1000/(TIM[[#This Row],[Voltage]]*SQRT(3)),"")</f>
        <v>148.00000000000003</v>
      </c>
      <c r="BH404" s="9">
        <f t="shared" ref="BH404" si="461">IF(MIN(N404,P404,R404,T404,V404,X404,Z404,AB404,AD404,AR404)=0,"",MIN(N404,P404,R404,T404,V404,X404,Z404,AB404,AD404,AR404))</f>
        <v>148</v>
      </c>
      <c r="BI404" s="9">
        <f>TIM[[#This Row],[From]]</f>
        <v>0</v>
      </c>
      <c r="BJ404" s="9" t="str">
        <f>TIM[[#This Row],[To]]</f>
        <v>Fuse L260</v>
      </c>
      <c r="BK40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Line-Ferret</v>
      </c>
      <c r="BL404" s="9">
        <f>TIM[[#This Row],[Voltage]]</f>
        <v>11.22</v>
      </c>
    </row>
    <row r="405" spans="1:64" ht="15" customHeight="1" x14ac:dyDescent="0.25">
      <c r="A405" s="14" t="str">
        <f>CONCATENATE(TIM[[#This Row],[Supply Level]],TIM[[#This Row],[Station/Feeder]],TIM[[#This Row],[Voltage]])</f>
        <v>DistributionFeederCB2_Sutherlands11.22</v>
      </c>
      <c r="B405" s="14" t="str">
        <f>CONCATENATE(TIM[[#This Row],[Supply Level]],TIM[[#This Row],[Station/Feeder]],TIM[[#This Row],[Equipment ID]],TIM[[#This Row],[Voltage]],TIM[[#This Row],[Device type]])</f>
        <v>DistributionFeederCB2_SutherlandsPLP-CB211.22Protection</v>
      </c>
      <c r="C405" s="14" t="s">
        <v>1276</v>
      </c>
      <c r="D405" s="11" t="s">
        <v>209</v>
      </c>
      <c r="E405" s="6" t="s">
        <v>243</v>
      </c>
      <c r="F405" s="6" t="s">
        <v>1098</v>
      </c>
      <c r="G405" s="27">
        <v>1</v>
      </c>
      <c r="H405" s="7" t="s">
        <v>2380</v>
      </c>
      <c r="I405" s="7" t="s">
        <v>2339</v>
      </c>
      <c r="J405" s="7" t="s">
        <v>15</v>
      </c>
      <c r="K405" s="7" t="s">
        <v>1119</v>
      </c>
      <c r="L405" s="7" t="s">
        <v>1423</v>
      </c>
      <c r="M405" s="8">
        <f t="shared" si="439"/>
        <v>11.22</v>
      </c>
      <c r="N405" s="9">
        <v>630</v>
      </c>
      <c r="O405" s="9">
        <f t="shared" si="0"/>
        <v>12.243174338381367</v>
      </c>
      <c r="P405" s="9">
        <v>630</v>
      </c>
      <c r="Q405" s="9">
        <f t="shared" si="1"/>
        <v>12.243174338381367</v>
      </c>
      <c r="R405" s="9">
        <v>630</v>
      </c>
      <c r="S405" s="9">
        <f t="shared" si="2"/>
        <v>12.243174338381367</v>
      </c>
      <c r="T405" s="9" t="s">
        <v>0</v>
      </c>
      <c r="U405" s="9" t="str">
        <f t="shared" si="3"/>
        <v>-</v>
      </c>
      <c r="V405" s="9" t="s">
        <v>0</v>
      </c>
      <c r="W405" s="9" t="str">
        <f t="shared" si="4"/>
        <v>-</v>
      </c>
      <c r="X405" s="9">
        <f>VLOOKUP(TIM[[#This Row],[Equipment ID]],AEL_Protection_Data[#All],12,0)</f>
        <v>252</v>
      </c>
      <c r="Y405" s="9">
        <f t="shared" si="5"/>
        <v>4.8972697353525465</v>
      </c>
      <c r="Z405" s="9" t="s">
        <v>0</v>
      </c>
      <c r="AA405" s="9" t="str">
        <f t="shared" si="6"/>
        <v>-</v>
      </c>
      <c r="AB405" s="9">
        <v>400</v>
      </c>
      <c r="AC405" s="9">
        <f t="shared" si="7"/>
        <v>7.7734440243691205</v>
      </c>
      <c r="AD405" s="9">
        <v>400</v>
      </c>
      <c r="AE405" s="12">
        <f t="shared" si="8"/>
        <v>7.7734440243691205</v>
      </c>
      <c r="AF405" s="29" t="s">
        <v>0</v>
      </c>
      <c r="AG405" s="29" t="s">
        <v>0</v>
      </c>
      <c r="AH405" s="8" t="s">
        <v>0</v>
      </c>
      <c r="AI405" s="29" t="s">
        <v>0</v>
      </c>
      <c r="AJ405" s="32" t="s">
        <v>0</v>
      </c>
      <c r="AK405" s="29" t="s">
        <v>0</v>
      </c>
      <c r="AL405" s="32" t="s">
        <v>0</v>
      </c>
      <c r="AM405" s="29" t="s">
        <v>0</v>
      </c>
      <c r="AN405" s="32" t="s">
        <v>0</v>
      </c>
      <c r="AO405" s="29" t="s">
        <v>0</v>
      </c>
      <c r="AP405" s="29" t="s">
        <v>0</v>
      </c>
      <c r="AQ405" s="32" t="s">
        <v>0</v>
      </c>
      <c r="AR405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405" s="9" t="str">
        <f t="shared" si="9"/>
        <v>-</v>
      </c>
      <c r="AT405" s="9">
        <f>IF(RIGHT(TIM[[#This Row],[Device type]],7)="Winding","-",TIM[[#This Row],[Cont Winter MVA]])</f>
        <v>12.243174338381367</v>
      </c>
      <c r="AU405" s="9">
        <f>IF(RIGHT(TIM[[#This Row],[Device type]],7)="Winding","-",TIM[[#This Row],[Cont Shoulder MVA]])</f>
        <v>12.243174338381367</v>
      </c>
      <c r="AV405" s="9">
        <f>IF(RIGHT(TIM[[#This Row],[Device type]],7)="Winding","-",TIM[[#This Row],[Cont Summer MVA]])</f>
        <v>12.243174338381367</v>
      </c>
      <c r="AW405" s="9" t="str">
        <f>TIM[[#This Row],[24 Hr Winter MVA]]</f>
        <v>-</v>
      </c>
      <c r="AX405" s="9" t="str">
        <f>TIM[[#This Row],[24 Hr Summer MVA]]</f>
        <v>-</v>
      </c>
      <c r="AY405" s="9">
        <f>TIM[[#This Row],[Forwards MVA]]</f>
        <v>4.8972697353525465</v>
      </c>
      <c r="AZ405" s="9">
        <f>TIM[[#This Row],[Relay MVA]]</f>
        <v>7.7734440243691205</v>
      </c>
      <c r="BA405" s="9">
        <f>TIM[[#This Row],[CT MVA]]</f>
        <v>7.7734440243691205</v>
      </c>
      <c r="BB405" s="9" t="str">
        <f>TIM[[#This Row],[Derating MVA]]</f>
        <v>-</v>
      </c>
      <c r="BC405" s="9" t="str">
        <f>TIM[[#This Row],[Station/Feeder]]&amp;TIM[[#This Row],[Lowest MVA]]</f>
        <v>CB2_Sutherlands4.89726973535255</v>
      </c>
      <c r="BD405" s="9" t="str">
        <f>CONCATENATE(TIM[[#This Row],[Supply Level]],TIM[[#This Row],[Station/Feeder]],TIM[[#This Row],[Voltage]],TIM[[#This Row],[Lowest A-No PTX]])</f>
        <v>DistributionFeederCB2_Sutherlands11.22252</v>
      </c>
      <c r="BE405" s="9" t="str">
        <f>CONCATENATE(TIM[[#This Row],[Supply Level]],TIM[[#This Row],[Station/Feeder]],TIM[[#This Row],[Voltage]],TIM[[#This Row],[Lowest A-PTX]])</f>
        <v>DistributionFeederCB2_Sutherlands11.22252</v>
      </c>
      <c r="BF405" s="9">
        <f>IFERROR(IF(MIN(TIM[[#This Row],[Summ Cont Winter A]:[Cable Derating]])=0,"",MIN(TIM[[#This Row],[Summ Cont Winter A]:[Cable Derating]])),"")</f>
        <v>4.8972697353525465</v>
      </c>
      <c r="BG405" s="9">
        <f>IFERROR(TIM[[#This Row],[Lowest MVA]]*1000/(TIM[[#This Row],[Voltage]]*SQRT(3)),"")</f>
        <v>252</v>
      </c>
      <c r="BH405" s="9">
        <f t="shared" si="435"/>
        <v>252</v>
      </c>
      <c r="BI405" s="9" t="str">
        <f>TIM[[#This Row],[From]]</f>
        <v>11 kV Bus</v>
      </c>
      <c r="BJ405" s="9" t="str">
        <f>TIM[[#This Row],[To]]</f>
        <v>PLPTCB 2</v>
      </c>
      <c r="BK40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Breaker-PLP-CB2-Protection</v>
      </c>
      <c r="BL405" s="9">
        <f>TIM[[#This Row],[Voltage]]</f>
        <v>11.22</v>
      </c>
    </row>
    <row r="406" spans="1:64" ht="15.75" customHeight="1" x14ac:dyDescent="0.25">
      <c r="A406" s="14" t="str">
        <f>CONCATENATE(TIM[[#This Row],[Supply Level]],TIM[[#This Row],[Station/Feeder]],TIM[[#This Row],[Voltage]])</f>
        <v>DistributionFeederCB2_Sutherlands11.22</v>
      </c>
      <c r="B406" s="14" t="str">
        <f>CONCATENATE(TIM[[#This Row],[Supply Level]],TIM[[#This Row],[Station/Feeder]],TIM[[#This Row],[Equipment ID]],TIM[[#This Row],[Voltage]],TIM[[#This Row],[Device type]])</f>
        <v>DistributionFeederCB2_Sutherlands3c 150mm² Al PILC STA11.22-</v>
      </c>
      <c r="C406" s="14" t="s">
        <v>1276</v>
      </c>
      <c r="D406" s="11" t="s">
        <v>209</v>
      </c>
      <c r="E406" s="6" t="s">
        <v>1098</v>
      </c>
      <c r="F406" s="6" t="s">
        <v>1099</v>
      </c>
      <c r="G406" s="27">
        <v>2</v>
      </c>
      <c r="H406" s="7" t="s">
        <v>1096</v>
      </c>
      <c r="I406" s="7" t="s">
        <v>1097</v>
      </c>
      <c r="J406" s="7" t="s">
        <v>250</v>
      </c>
      <c r="K406" s="7" t="s">
        <v>0</v>
      </c>
      <c r="L406" s="7" t="s">
        <v>0</v>
      </c>
      <c r="M406" s="8">
        <f t="shared" si="439"/>
        <v>11.22</v>
      </c>
      <c r="N406" s="9">
        <v>265</v>
      </c>
      <c r="O406" s="9">
        <f t="shared" si="0"/>
        <v>5.1499066661445427</v>
      </c>
      <c r="P406" s="9">
        <v>245</v>
      </c>
      <c r="Q406" s="9">
        <f t="shared" si="1"/>
        <v>4.7612344649260869</v>
      </c>
      <c r="R406" s="9">
        <v>245</v>
      </c>
      <c r="S406" s="9">
        <f t="shared" si="2"/>
        <v>4.7612344649260869</v>
      </c>
      <c r="T406" s="9" t="s">
        <v>0</v>
      </c>
      <c r="U406" s="9" t="str">
        <f t="shared" si="3"/>
        <v>-</v>
      </c>
      <c r="V406" s="9" t="s">
        <v>0</v>
      </c>
      <c r="W406" s="9" t="str">
        <f t="shared" si="4"/>
        <v>-</v>
      </c>
      <c r="X406" s="9" t="s">
        <v>0</v>
      </c>
      <c r="Y406" s="9" t="str">
        <f t="shared" si="5"/>
        <v>-</v>
      </c>
      <c r="Z406" s="9" t="s">
        <v>0</v>
      </c>
      <c r="AA406" s="9" t="str">
        <f t="shared" si="6"/>
        <v>-</v>
      </c>
      <c r="AB406" s="9" t="s">
        <v>0</v>
      </c>
      <c r="AC406" s="9" t="str">
        <f t="shared" si="7"/>
        <v>-</v>
      </c>
      <c r="AD406" s="9" t="s">
        <v>0</v>
      </c>
      <c r="AE406" s="12" t="str">
        <f t="shared" si="8"/>
        <v>-</v>
      </c>
      <c r="AF406" s="29">
        <v>3</v>
      </c>
      <c r="AG406" s="29" t="s">
        <v>344</v>
      </c>
      <c r="AH406" s="8">
        <v>108</v>
      </c>
      <c r="AI406" s="29">
        <v>0.9</v>
      </c>
      <c r="AJ406" s="32">
        <v>0.99</v>
      </c>
      <c r="AK406" s="29">
        <v>20</v>
      </c>
      <c r="AL406" s="32">
        <v>0.95</v>
      </c>
      <c r="AM406" s="29">
        <v>1</v>
      </c>
      <c r="AN406" s="32">
        <v>1.07</v>
      </c>
      <c r="AO406" s="29">
        <v>4</v>
      </c>
      <c r="AP406" s="29">
        <v>0</v>
      </c>
      <c r="AQ406" s="32">
        <v>0.75</v>
      </c>
      <c r="AR406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200.00908125000001</v>
      </c>
      <c r="AS406" s="9">
        <f t="shared" si="9"/>
        <v>3.8868984936559263</v>
      </c>
      <c r="AT406" s="9">
        <f>IF(RIGHT(TIM[[#This Row],[Device type]],7)="Winding","-",TIM[[#This Row],[Cont Winter MVA]])</f>
        <v>5.1499066661445427</v>
      </c>
      <c r="AU406" s="9">
        <f>IF(RIGHT(TIM[[#This Row],[Device type]],7)="Winding","-",TIM[[#This Row],[Cont Shoulder MVA]])</f>
        <v>4.7612344649260869</v>
      </c>
      <c r="AV406" s="9">
        <f>IF(RIGHT(TIM[[#This Row],[Device type]],7)="Winding","-",TIM[[#This Row],[Cont Summer MVA]])</f>
        <v>4.7612344649260869</v>
      </c>
      <c r="AW406" s="9" t="str">
        <f>TIM[[#This Row],[24 Hr Winter MVA]]</f>
        <v>-</v>
      </c>
      <c r="AX406" s="9" t="str">
        <f>TIM[[#This Row],[24 Hr Summer MVA]]</f>
        <v>-</v>
      </c>
      <c r="AY406" s="9" t="str">
        <f>TIM[[#This Row],[Forwards MVA]]</f>
        <v>-</v>
      </c>
      <c r="AZ406" s="9" t="str">
        <f>TIM[[#This Row],[Relay MVA]]</f>
        <v>-</v>
      </c>
      <c r="BA406" s="9" t="str">
        <f>TIM[[#This Row],[CT MVA]]</f>
        <v>-</v>
      </c>
      <c r="BB406" s="9">
        <f>TIM[[#This Row],[Derating MVA]]</f>
        <v>3.8868984936559263</v>
      </c>
      <c r="BC406" s="9" t="str">
        <f>TIM[[#This Row],[Station/Feeder]]&amp;TIM[[#This Row],[Lowest MVA]]</f>
        <v>CB2_Sutherlands3.88689849365593</v>
      </c>
      <c r="BD406" s="9" t="str">
        <f>CONCATENATE(TIM[[#This Row],[Supply Level]],TIM[[#This Row],[Station/Feeder]],TIM[[#This Row],[Voltage]],TIM[[#This Row],[Lowest A-No PTX]])</f>
        <v>DistributionFeederCB2_Sutherlands11.22200.00908125</v>
      </c>
      <c r="BE406" s="9" t="str">
        <f>CONCATENATE(TIM[[#This Row],[Supply Level]],TIM[[#This Row],[Station/Feeder]],TIM[[#This Row],[Voltage]],TIM[[#This Row],[Lowest A-PTX]])</f>
        <v>DistributionFeederCB2_Sutherlands11.22200.00908125</v>
      </c>
      <c r="BF406" s="9">
        <f>IFERROR(IF(MIN(TIM[[#This Row],[Summ Cont Winter A]:[Cable Derating]])=0,"",MIN(TIM[[#This Row],[Summ Cont Winter A]:[Cable Derating]])),"")</f>
        <v>3.8868984936559263</v>
      </c>
      <c r="BG406" s="9">
        <f>IFERROR(TIM[[#This Row],[Lowest MVA]]*1000/(TIM[[#This Row],[Voltage]]*SQRT(3)),"")</f>
        <v>200.00908125000001</v>
      </c>
      <c r="BH406" s="9">
        <f t="shared" si="435"/>
        <v>200.00908125000001</v>
      </c>
      <c r="BI406" s="9" t="str">
        <f>TIM[[#This Row],[From]]</f>
        <v>PLPTCB 2</v>
      </c>
      <c r="BJ406" s="9" t="str">
        <f>TIM[[#This Row],[To]]</f>
        <v>Link L254</v>
      </c>
      <c r="BK40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150mm² Al PILC STA</v>
      </c>
      <c r="BL406" s="9">
        <f>TIM[[#This Row],[Voltage]]</f>
        <v>11.22</v>
      </c>
    </row>
    <row r="407" spans="1:64" ht="15.75" customHeight="1" x14ac:dyDescent="0.25">
      <c r="A407" s="460" t="str">
        <f>CONCATENATE(TIM[[#This Row],[Supply Level]],TIM[[#This Row],[Station/Feeder]],TIM[[#This Row],[Voltage]])</f>
        <v>DistributionFeederCB2_Sutherlands11.22</v>
      </c>
      <c r="B407" s="460" t="str">
        <f>CONCATENATE(TIM[[#This Row],[Supply Level]],TIM[[#This Row],[Station/Feeder]],TIM[[#This Row],[Equipment ID]],TIM[[#This Row],[Voltage]],TIM[[#This Row],[Device type]])</f>
        <v>DistributionFeederCB2_Sutherlands7/10 Cu11.22-</v>
      </c>
      <c r="C407" s="6" t="s">
        <v>1276</v>
      </c>
      <c r="D407" s="6" t="s">
        <v>209</v>
      </c>
      <c r="E407" s="6" t="s">
        <v>1099</v>
      </c>
      <c r="F407" s="6"/>
      <c r="G407" s="8">
        <v>3</v>
      </c>
      <c r="H407" s="7" t="s">
        <v>273</v>
      </c>
      <c r="I407" s="6" t="s">
        <v>364</v>
      </c>
      <c r="J407" s="6" t="s">
        <v>69</v>
      </c>
      <c r="K407" s="6" t="s">
        <v>0</v>
      </c>
      <c r="L407" s="6" t="s">
        <v>0</v>
      </c>
      <c r="M407" s="8">
        <f t="shared" si="439"/>
        <v>11.22</v>
      </c>
      <c r="N407" s="9">
        <v>215</v>
      </c>
      <c r="O407" s="9">
        <f t="shared" ref="O407" si="462">IF(OR(N407="",N407="-"),"-",N407*$M407*SQRT(3)/1000)</f>
        <v>4.1782261630984028</v>
      </c>
      <c r="P407" s="9">
        <v>215</v>
      </c>
      <c r="Q407" s="9">
        <f t="shared" ref="Q407" si="463">IF(OR(P407="",P407="-"),"-",P407*$M407*SQRT(3)/1000)</f>
        <v>4.1782261630984028</v>
      </c>
      <c r="R407" s="9">
        <v>215</v>
      </c>
      <c r="S407" s="9">
        <f t="shared" ref="S407" si="464">IF(OR(R407="",R407="-"),"-",R407*$M407*SQRT(3)/1000)</f>
        <v>4.1782261630984028</v>
      </c>
      <c r="T407" s="9" t="s">
        <v>0</v>
      </c>
      <c r="U407" s="9" t="str">
        <f t="shared" ref="U407" si="465">IF(OR(T407="",T407="-"),"-",T407*$M407*SQRT(3)/1000)</f>
        <v>-</v>
      </c>
      <c r="V407" s="9" t="s">
        <v>0</v>
      </c>
      <c r="W407" s="9" t="str">
        <f t="shared" ref="W407" si="466">IF(OR(V407="",V407="-"),"-",V407*$M407*SQRT(3)/1000)</f>
        <v>-</v>
      </c>
      <c r="X407" s="9" t="s">
        <v>0</v>
      </c>
      <c r="Y407" s="9" t="str">
        <f t="shared" ref="Y407" si="467">IF(OR(X407="",X407="-"),"-",X407*$M407*SQRT(3)/1000)</f>
        <v>-</v>
      </c>
      <c r="Z407" s="9" t="s">
        <v>0</v>
      </c>
      <c r="AA407" s="9" t="str">
        <f t="shared" ref="AA407" si="468">IF(OR(Z407="",Z407="-"),"-",Z407*$M407*SQRT(3)/1000)</f>
        <v>-</v>
      </c>
      <c r="AB407" s="9" t="s">
        <v>0</v>
      </c>
      <c r="AC407" s="9" t="str">
        <f t="shared" ref="AC407" si="469">IF(OR(AB407="",AB407="-"),"-",AB407*$M407*SQRT(3)/1000)</f>
        <v>-</v>
      </c>
      <c r="AD407" s="9" t="s">
        <v>0</v>
      </c>
      <c r="AE407" s="9" t="str">
        <f t="shared" ref="AE407" si="470">IF(OR(AD407="",AD407="-"),"-",AD407*$M407*SQRT(3)/1000)</f>
        <v>-</v>
      </c>
      <c r="AF407" s="9">
        <v>3</v>
      </c>
      <c r="AG407" s="9" t="s">
        <v>344</v>
      </c>
      <c r="AH407" s="9">
        <v>108</v>
      </c>
      <c r="AI407" s="9">
        <v>0.9</v>
      </c>
      <c r="AJ407" s="43">
        <v>0.99</v>
      </c>
      <c r="AK407" s="9">
        <v>20</v>
      </c>
      <c r="AL407" s="43">
        <v>0.95</v>
      </c>
      <c r="AM407" s="9">
        <v>1</v>
      </c>
      <c r="AN407" s="43">
        <v>1.07</v>
      </c>
      <c r="AO407" s="9">
        <v>4</v>
      </c>
      <c r="AP407" s="9">
        <v>0</v>
      </c>
      <c r="AQ407" s="43">
        <v>0.75</v>
      </c>
      <c r="AR407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407" s="9" t="str">
        <f t="shared" ref="AS407" si="471">IF(OR(AR407="",AR407="-"),"-",AR407*$M407*SQRT(3)/1000)</f>
        <v>-</v>
      </c>
      <c r="AT407" s="9">
        <f>IF(RIGHT(TIM[[#This Row],[Device type]],7)="Winding","-",TIM[[#This Row],[Cont Winter MVA]])</f>
        <v>4.1782261630984028</v>
      </c>
      <c r="AU407" s="9">
        <f>IF(RIGHT(TIM[[#This Row],[Device type]],7)="Winding","-",TIM[[#This Row],[Cont Shoulder MVA]])</f>
        <v>4.1782261630984028</v>
      </c>
      <c r="AV407" s="9">
        <f>IF(RIGHT(TIM[[#This Row],[Device type]],7)="Winding","-",TIM[[#This Row],[Cont Summer MVA]])</f>
        <v>4.1782261630984028</v>
      </c>
      <c r="AW407" s="9" t="str">
        <f>TIM[[#This Row],[24 Hr Winter MVA]]</f>
        <v>-</v>
      </c>
      <c r="AX407" s="9" t="str">
        <f>TIM[[#This Row],[24 Hr Summer MVA]]</f>
        <v>-</v>
      </c>
      <c r="AY407" s="9" t="str">
        <f>TIM[[#This Row],[Forwards MVA]]</f>
        <v>-</v>
      </c>
      <c r="AZ407" s="9" t="str">
        <f>TIM[[#This Row],[Relay MVA]]</f>
        <v>-</v>
      </c>
      <c r="BA407" s="9" t="str">
        <f>TIM[[#This Row],[CT MVA]]</f>
        <v>-</v>
      </c>
      <c r="BB407" s="9" t="str">
        <f>TIM[[#This Row],[Derating MVA]]</f>
        <v>-</v>
      </c>
      <c r="BC407" s="9" t="str">
        <f>TIM[[#This Row],[Station/Feeder]]&amp;TIM[[#This Row],[Lowest MVA]]</f>
        <v>CB2_Sutherlands4.1782261630984</v>
      </c>
      <c r="BD407" s="9" t="str">
        <f>CONCATENATE(TIM[[#This Row],[Supply Level]],TIM[[#This Row],[Station/Feeder]],TIM[[#This Row],[Voltage]],TIM[[#This Row],[Lowest A-No PTX]])</f>
        <v>DistributionFeederCB2_Sutherlands11.22215</v>
      </c>
      <c r="BE407" s="9" t="str">
        <f>CONCATENATE(TIM[[#This Row],[Supply Level]],TIM[[#This Row],[Station/Feeder]],TIM[[#This Row],[Voltage]],TIM[[#This Row],[Lowest A-PTX]])</f>
        <v>DistributionFeederCB2_Sutherlands11.22215</v>
      </c>
      <c r="BF407" s="9">
        <f>IFERROR(IF(MIN(TIM[[#This Row],[Summ Cont Winter A]:[Cable Derating]])=0,"",MIN(TIM[[#This Row],[Summ Cont Winter A]:[Cable Derating]])),"")</f>
        <v>4.1782261630984028</v>
      </c>
      <c r="BG407" s="9">
        <f>IFERROR(TIM[[#This Row],[Lowest MVA]]*1000/(TIM[[#This Row],[Voltage]]*SQRT(3)),"")</f>
        <v>215.00000000000003</v>
      </c>
      <c r="BH407" s="9">
        <f t="shared" ref="BH407" si="472">IF(MIN(N407,P407,R407,T407,V407,X407,Z407,AB407,AD407,AR407)=0,"",MIN(N407,P407,R407,T407,V407,X407,Z407,AB407,AD407,AR407))</f>
        <v>215</v>
      </c>
      <c r="BI407" s="9" t="str">
        <f>TIM[[#This Row],[From]]</f>
        <v>Link L254</v>
      </c>
      <c r="BJ407" s="9">
        <f>TIM[[#This Row],[To]]</f>
        <v>0</v>
      </c>
      <c r="BK40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OH Line-7/10 Cu</v>
      </c>
      <c r="BL407" s="9">
        <f>TIM[[#This Row],[Voltage]]</f>
        <v>11.22</v>
      </c>
    </row>
    <row r="408" spans="1:64" ht="15" customHeight="1" x14ac:dyDescent="0.25">
      <c r="A408" s="14" t="str">
        <f>CONCATENATE(TIM[[#This Row],[Supply Level]],TIM[[#This Row],[Station/Feeder]],TIM[[#This Row],[Voltage]])</f>
        <v>DistributionFeederCB4_Totara Valley11.22</v>
      </c>
      <c r="B408" s="14" t="str">
        <f>CONCATENATE(TIM[[#This Row],[Supply Level]],TIM[[#This Row],[Station/Feeder]],TIM[[#This Row],[Equipment ID]],TIM[[#This Row],[Voltage]],TIM[[#This Row],[Device type]])</f>
        <v>DistributionFeederCB4_Totara ValleyPLP-CB411.22Protection</v>
      </c>
      <c r="C408" s="14" t="s">
        <v>1276</v>
      </c>
      <c r="D408" s="11" t="s">
        <v>212</v>
      </c>
      <c r="E408" s="6" t="s">
        <v>243</v>
      </c>
      <c r="F408" s="6" t="s">
        <v>1100</v>
      </c>
      <c r="G408" s="27">
        <v>1</v>
      </c>
      <c r="H408" s="7" t="s">
        <v>2380</v>
      </c>
      <c r="I408" s="7" t="s">
        <v>2340</v>
      </c>
      <c r="J408" s="7" t="s">
        <v>15</v>
      </c>
      <c r="K408" s="7" t="s">
        <v>1119</v>
      </c>
      <c r="L408" s="7" t="s">
        <v>1423</v>
      </c>
      <c r="M408" s="8">
        <f t="shared" si="439"/>
        <v>11.22</v>
      </c>
      <c r="N408" s="9">
        <v>630</v>
      </c>
      <c r="O408" s="9">
        <f t="shared" si="0"/>
        <v>12.243174338381367</v>
      </c>
      <c r="P408" s="9">
        <v>630</v>
      </c>
      <c r="Q408" s="9">
        <f t="shared" si="1"/>
        <v>12.243174338381367</v>
      </c>
      <c r="R408" s="9">
        <v>630</v>
      </c>
      <c r="S408" s="9">
        <f t="shared" si="2"/>
        <v>12.243174338381367</v>
      </c>
      <c r="T408" s="9" t="s">
        <v>0</v>
      </c>
      <c r="U408" s="9" t="str">
        <f t="shared" si="3"/>
        <v>-</v>
      </c>
      <c r="V408" s="9" t="s">
        <v>0</v>
      </c>
      <c r="W408" s="9" t="str">
        <f t="shared" si="4"/>
        <v>-</v>
      </c>
      <c r="X408" s="9">
        <f>VLOOKUP(TIM[[#This Row],[Equipment ID]],AEL_Protection_Data[#All],12,0)</f>
        <v>252</v>
      </c>
      <c r="Y408" s="9">
        <f t="shared" si="5"/>
        <v>4.8972697353525465</v>
      </c>
      <c r="Z408" s="9" t="s">
        <v>0</v>
      </c>
      <c r="AA408" s="9" t="str">
        <f t="shared" si="6"/>
        <v>-</v>
      </c>
      <c r="AB408" s="9">
        <v>400</v>
      </c>
      <c r="AC408" s="9">
        <f t="shared" si="7"/>
        <v>7.7734440243691205</v>
      </c>
      <c r="AD408" s="9">
        <v>400</v>
      </c>
      <c r="AE408" s="12">
        <f t="shared" si="8"/>
        <v>7.7734440243691205</v>
      </c>
      <c r="AF408" s="29" t="s">
        <v>0</v>
      </c>
      <c r="AG408" s="29" t="s">
        <v>0</v>
      </c>
      <c r="AH408" s="8" t="s">
        <v>0</v>
      </c>
      <c r="AI408" s="29" t="s">
        <v>0</v>
      </c>
      <c r="AJ408" s="32" t="s">
        <v>0</v>
      </c>
      <c r="AK408" s="29" t="s">
        <v>0</v>
      </c>
      <c r="AL408" s="32" t="s">
        <v>0</v>
      </c>
      <c r="AM408" s="29" t="s">
        <v>0</v>
      </c>
      <c r="AN408" s="32" t="s">
        <v>0</v>
      </c>
      <c r="AO408" s="29" t="s">
        <v>0</v>
      </c>
      <c r="AP408" s="29" t="s">
        <v>0</v>
      </c>
      <c r="AQ408" s="32">
        <v>0.75</v>
      </c>
      <c r="AR408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408" s="9" t="str">
        <f t="shared" si="9"/>
        <v>-</v>
      </c>
      <c r="AT408" s="9">
        <f>IF(RIGHT(TIM[[#This Row],[Device type]],7)="Winding","-",TIM[[#This Row],[Cont Winter MVA]])</f>
        <v>12.243174338381367</v>
      </c>
      <c r="AU408" s="9">
        <f>IF(RIGHT(TIM[[#This Row],[Device type]],7)="Winding","-",TIM[[#This Row],[Cont Shoulder MVA]])</f>
        <v>12.243174338381367</v>
      </c>
      <c r="AV408" s="9">
        <f>IF(RIGHT(TIM[[#This Row],[Device type]],7)="Winding","-",TIM[[#This Row],[Cont Summer MVA]])</f>
        <v>12.243174338381367</v>
      </c>
      <c r="AW408" s="9" t="str">
        <f>TIM[[#This Row],[24 Hr Winter MVA]]</f>
        <v>-</v>
      </c>
      <c r="AX408" s="9" t="str">
        <f>TIM[[#This Row],[24 Hr Summer MVA]]</f>
        <v>-</v>
      </c>
      <c r="AY408" s="9">
        <f>TIM[[#This Row],[Forwards MVA]]</f>
        <v>4.8972697353525465</v>
      </c>
      <c r="AZ408" s="9">
        <f>TIM[[#This Row],[Relay MVA]]</f>
        <v>7.7734440243691205</v>
      </c>
      <c r="BA408" s="9">
        <f>TIM[[#This Row],[CT MVA]]</f>
        <v>7.7734440243691205</v>
      </c>
      <c r="BB408" s="9" t="str">
        <f>TIM[[#This Row],[Derating MVA]]</f>
        <v>-</v>
      </c>
      <c r="BC408" s="9" t="str">
        <f>TIM[[#This Row],[Station/Feeder]]&amp;TIM[[#This Row],[Lowest MVA]]</f>
        <v>CB4_Totara Valley4.89726973535255</v>
      </c>
      <c r="BD408" s="9" t="str">
        <f>CONCATENATE(TIM[[#This Row],[Supply Level]],TIM[[#This Row],[Station/Feeder]],TIM[[#This Row],[Voltage]],TIM[[#This Row],[Lowest A-No PTX]])</f>
        <v>DistributionFeederCB4_Totara Valley11.22252</v>
      </c>
      <c r="BE408" s="9" t="str">
        <f>CONCATENATE(TIM[[#This Row],[Supply Level]],TIM[[#This Row],[Station/Feeder]],TIM[[#This Row],[Voltage]],TIM[[#This Row],[Lowest A-PTX]])</f>
        <v>DistributionFeederCB4_Totara Valley11.22252</v>
      </c>
      <c r="BF408" s="9">
        <f>IFERROR(IF(MIN(TIM[[#This Row],[Summ Cont Winter A]:[Cable Derating]])=0,"",MIN(TIM[[#This Row],[Summ Cont Winter A]:[Cable Derating]])),"")</f>
        <v>4.8972697353525465</v>
      </c>
      <c r="BG408" s="9">
        <f>IFERROR(TIM[[#This Row],[Lowest MVA]]*1000/(TIM[[#This Row],[Voltage]]*SQRT(3)),"")</f>
        <v>252</v>
      </c>
      <c r="BH408" s="9">
        <f t="shared" si="435"/>
        <v>252</v>
      </c>
      <c r="BI408" s="9" t="str">
        <f>TIM[[#This Row],[From]]</f>
        <v>11 kV Bus</v>
      </c>
      <c r="BJ408" s="9" t="str">
        <f>TIM[[#This Row],[To]]</f>
        <v>PLPTCB 4</v>
      </c>
      <c r="BK40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Breaker-PLP-CB4-Protection</v>
      </c>
      <c r="BL408" s="9">
        <f>TIM[[#This Row],[Voltage]]</f>
        <v>11.22</v>
      </c>
    </row>
    <row r="409" spans="1:64" ht="15" customHeight="1" x14ac:dyDescent="0.25">
      <c r="A409" s="14" t="str">
        <f>CONCATENATE(TIM[[#This Row],[Supply Level]],TIM[[#This Row],[Station/Feeder]],TIM[[#This Row],[Voltage]])</f>
        <v>DistributionFeederCB4_Totara Valley11.22</v>
      </c>
      <c r="B409" s="14" t="str">
        <f>CONCATENATE(TIM[[#This Row],[Supply Level]],TIM[[#This Row],[Station/Feeder]],TIM[[#This Row],[Equipment ID]],TIM[[#This Row],[Voltage]],TIM[[#This Row],[Device type]])</f>
        <v>DistributionFeederCB4_Totara Valley3c 150mm² Al PILC STA11.22-</v>
      </c>
      <c r="C409" s="14" t="s">
        <v>1276</v>
      </c>
      <c r="D409" s="11" t="s">
        <v>212</v>
      </c>
      <c r="E409" s="6" t="s">
        <v>1100</v>
      </c>
      <c r="F409" s="14" t="s">
        <v>1101</v>
      </c>
      <c r="G409" s="27">
        <v>2</v>
      </c>
      <c r="H409" s="7" t="s">
        <v>1096</v>
      </c>
      <c r="I409" s="7" t="s">
        <v>1097</v>
      </c>
      <c r="J409" s="7" t="s">
        <v>250</v>
      </c>
      <c r="K409" s="7" t="s">
        <v>0</v>
      </c>
      <c r="L409" s="7" t="s">
        <v>0</v>
      </c>
      <c r="M409" s="8">
        <f t="shared" si="439"/>
        <v>11.22</v>
      </c>
      <c r="N409" s="9">
        <v>265</v>
      </c>
      <c r="O409" s="9">
        <f t="shared" si="0"/>
        <v>5.1499066661445427</v>
      </c>
      <c r="P409" s="9">
        <v>245</v>
      </c>
      <c r="Q409" s="9">
        <f t="shared" si="1"/>
        <v>4.7612344649260869</v>
      </c>
      <c r="R409" s="9">
        <v>245</v>
      </c>
      <c r="S409" s="9">
        <f t="shared" si="2"/>
        <v>4.7612344649260869</v>
      </c>
      <c r="T409" s="9" t="s">
        <v>0</v>
      </c>
      <c r="U409" s="9" t="str">
        <f t="shared" si="3"/>
        <v>-</v>
      </c>
      <c r="V409" s="9" t="s">
        <v>0</v>
      </c>
      <c r="W409" s="9" t="str">
        <f t="shared" si="4"/>
        <v>-</v>
      </c>
      <c r="X409" s="9" t="s">
        <v>0</v>
      </c>
      <c r="Y409" s="9" t="str">
        <f t="shared" si="5"/>
        <v>-</v>
      </c>
      <c r="Z409" s="9" t="s">
        <v>0</v>
      </c>
      <c r="AA409" s="9" t="str">
        <f t="shared" si="6"/>
        <v>-</v>
      </c>
      <c r="AB409" s="9" t="s">
        <v>0</v>
      </c>
      <c r="AC409" s="9" t="str">
        <f t="shared" si="7"/>
        <v>-</v>
      </c>
      <c r="AD409" s="9" t="s">
        <v>0</v>
      </c>
      <c r="AE409" s="12" t="str">
        <f t="shared" si="8"/>
        <v>-</v>
      </c>
      <c r="AF409" s="29">
        <v>3</v>
      </c>
      <c r="AG409" s="29" t="s">
        <v>344</v>
      </c>
      <c r="AH409" s="8">
        <v>152.4</v>
      </c>
      <c r="AI409" s="29">
        <v>0.9</v>
      </c>
      <c r="AJ409" s="32">
        <v>0.99</v>
      </c>
      <c r="AK409" s="29">
        <v>20</v>
      </c>
      <c r="AL409" s="32">
        <v>0.95</v>
      </c>
      <c r="AM409" s="29">
        <v>1</v>
      </c>
      <c r="AN409" s="32">
        <v>1.07</v>
      </c>
      <c r="AO409" s="29">
        <v>4</v>
      </c>
      <c r="AP409" s="29">
        <v>0</v>
      </c>
      <c r="AQ409" s="32">
        <v>0.75</v>
      </c>
      <c r="AR409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200.00908125000001</v>
      </c>
      <c r="AS409" s="9">
        <f t="shared" si="9"/>
        <v>3.8868984936559263</v>
      </c>
      <c r="AT409" s="9">
        <f>IF(RIGHT(TIM[[#This Row],[Device type]],7)="Winding","-",TIM[[#This Row],[Cont Winter MVA]])</f>
        <v>5.1499066661445427</v>
      </c>
      <c r="AU409" s="9">
        <f>IF(RIGHT(TIM[[#This Row],[Device type]],7)="Winding","-",TIM[[#This Row],[Cont Shoulder MVA]])</f>
        <v>4.7612344649260869</v>
      </c>
      <c r="AV409" s="9">
        <f>IF(RIGHT(TIM[[#This Row],[Device type]],7)="Winding","-",TIM[[#This Row],[Cont Summer MVA]])</f>
        <v>4.7612344649260869</v>
      </c>
      <c r="AW409" s="9" t="str">
        <f>TIM[[#This Row],[24 Hr Winter MVA]]</f>
        <v>-</v>
      </c>
      <c r="AX409" s="9" t="str">
        <f>TIM[[#This Row],[24 Hr Summer MVA]]</f>
        <v>-</v>
      </c>
      <c r="AY409" s="9" t="str">
        <f>TIM[[#This Row],[Forwards MVA]]</f>
        <v>-</v>
      </c>
      <c r="AZ409" s="9" t="str">
        <f>TIM[[#This Row],[Relay MVA]]</f>
        <v>-</v>
      </c>
      <c r="BA409" s="9" t="str">
        <f>TIM[[#This Row],[CT MVA]]</f>
        <v>-</v>
      </c>
      <c r="BB409" s="9">
        <f>TIM[[#This Row],[Derating MVA]]</f>
        <v>3.8868984936559263</v>
      </c>
      <c r="BC409" s="9" t="str">
        <f>TIM[[#This Row],[Station/Feeder]]&amp;TIM[[#This Row],[Lowest MVA]]</f>
        <v>CB4_Totara Valley3.88689849365593</v>
      </c>
      <c r="BD409" s="9" t="str">
        <f>CONCATENATE(TIM[[#This Row],[Supply Level]],TIM[[#This Row],[Station/Feeder]],TIM[[#This Row],[Voltage]],TIM[[#This Row],[Lowest A-No PTX]])</f>
        <v>DistributionFeederCB4_Totara Valley11.22200.00908125</v>
      </c>
      <c r="BE409" s="9" t="str">
        <f>CONCATENATE(TIM[[#This Row],[Supply Level]],TIM[[#This Row],[Station/Feeder]],TIM[[#This Row],[Voltage]],TIM[[#This Row],[Lowest A-PTX]])</f>
        <v>DistributionFeederCB4_Totara Valley11.22200.00908125</v>
      </c>
      <c r="BF409" s="9">
        <f>IFERROR(IF(MIN(TIM[[#This Row],[Summ Cont Winter A]:[Cable Derating]])=0,"",MIN(TIM[[#This Row],[Summ Cont Winter A]:[Cable Derating]])),"")</f>
        <v>3.8868984936559263</v>
      </c>
      <c r="BG409" s="9">
        <f>IFERROR(TIM[[#This Row],[Lowest MVA]]*1000/(TIM[[#This Row],[Voltage]]*SQRT(3)),"")</f>
        <v>200.00908125000001</v>
      </c>
      <c r="BH409" s="9">
        <f t="shared" si="435"/>
        <v>200.00908125000001</v>
      </c>
      <c r="BI409" s="9" t="str">
        <f>TIM[[#This Row],[From]]</f>
        <v>PLPTCB 4</v>
      </c>
      <c r="BJ409" s="9" t="str">
        <f>TIM[[#This Row],[To]]</f>
        <v>Link L262</v>
      </c>
      <c r="BK40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150mm² Al PILC STA</v>
      </c>
      <c r="BL409" s="9">
        <f>TIM[[#This Row],[Voltage]]</f>
        <v>11.22</v>
      </c>
    </row>
    <row r="410" spans="1:64" ht="15" customHeight="1" x14ac:dyDescent="0.25">
      <c r="A410" s="460" t="str">
        <f>CONCATENATE(TIM[[#This Row],[Supply Level]],TIM[[#This Row],[Station/Feeder]],TIM[[#This Row],[Voltage]])</f>
        <v>DistributionFeederCB4_Totara Valley11.22</v>
      </c>
      <c r="B410" s="460" t="str">
        <f>CONCATENATE(TIM[[#This Row],[Supply Level]],TIM[[#This Row],[Station/Feeder]],TIM[[#This Row],[Equipment ID]],TIM[[#This Row],[Voltage]],TIM[[#This Row],[Device type]])</f>
        <v>DistributionFeederCB4_Totara ValleyMink 11.22-</v>
      </c>
      <c r="C410" s="6" t="s">
        <v>1276</v>
      </c>
      <c r="D410" s="6" t="s">
        <v>212</v>
      </c>
      <c r="E410" s="6" t="s">
        <v>1101</v>
      </c>
      <c r="F410" s="6" t="s">
        <v>2978</v>
      </c>
      <c r="G410" s="8">
        <v>3</v>
      </c>
      <c r="H410" s="7" t="s">
        <v>273</v>
      </c>
      <c r="I410" s="6" t="s">
        <v>2979</v>
      </c>
      <c r="J410" s="6" t="s">
        <v>69</v>
      </c>
      <c r="K410" s="6" t="s">
        <v>0</v>
      </c>
      <c r="L410" s="6" t="s">
        <v>0</v>
      </c>
      <c r="M410" s="8">
        <f t="shared" si="439"/>
        <v>11.22</v>
      </c>
      <c r="N410" s="9">
        <v>189</v>
      </c>
      <c r="O410" s="9">
        <f t="shared" ref="O410" si="473">IF(OR(N410="",N410="-"),"-",N410*$M410*SQRT(3)/1000)</f>
        <v>3.6729523015144094</v>
      </c>
      <c r="P410" s="9">
        <v>189</v>
      </c>
      <c r="Q410" s="9">
        <f t="shared" ref="Q410" si="474">IF(OR(P410="",P410="-"),"-",P410*$M410*SQRT(3)/1000)</f>
        <v>3.6729523015144094</v>
      </c>
      <c r="R410" s="9">
        <v>189</v>
      </c>
      <c r="S410" s="9">
        <f t="shared" ref="S410" si="475">IF(OR(R410="",R410="-"),"-",R410*$M410*SQRT(3)/1000)</f>
        <v>3.6729523015144094</v>
      </c>
      <c r="T410" s="9" t="s">
        <v>0</v>
      </c>
      <c r="U410" s="9" t="str">
        <f t="shared" ref="U410" si="476">IF(OR(T410="",T410="-"),"-",T410*$M410*SQRT(3)/1000)</f>
        <v>-</v>
      </c>
      <c r="V410" s="9" t="s">
        <v>0</v>
      </c>
      <c r="W410" s="9" t="str">
        <f t="shared" ref="W410" si="477">IF(OR(V410="",V410="-"),"-",V410*$M410*SQRT(3)/1000)</f>
        <v>-</v>
      </c>
      <c r="X410" s="9" t="s">
        <v>0</v>
      </c>
      <c r="Y410" s="9" t="str">
        <f t="shared" ref="Y410" si="478">IF(OR(X410="",X410="-"),"-",X410*$M410*SQRT(3)/1000)</f>
        <v>-</v>
      </c>
      <c r="Z410" s="9" t="s">
        <v>0</v>
      </c>
      <c r="AA410" s="9" t="str">
        <f t="shared" ref="AA410" si="479">IF(OR(Z410="",Z410="-"),"-",Z410*$M410*SQRT(3)/1000)</f>
        <v>-</v>
      </c>
      <c r="AB410" s="9" t="s">
        <v>0</v>
      </c>
      <c r="AC410" s="9" t="str">
        <f t="shared" ref="AC410" si="480">IF(OR(AB410="",AB410="-"),"-",AB410*$M410*SQRT(3)/1000)</f>
        <v>-</v>
      </c>
      <c r="AD410" s="9" t="s">
        <v>0</v>
      </c>
      <c r="AE410" s="9" t="str">
        <f t="shared" ref="AE410" si="481">IF(OR(AD410="",AD410="-"),"-",AD410*$M410*SQRT(3)/1000)</f>
        <v>-</v>
      </c>
      <c r="AF410" s="9">
        <v>3</v>
      </c>
      <c r="AG410" s="9" t="s">
        <v>344</v>
      </c>
      <c r="AH410" s="9">
        <v>152.4</v>
      </c>
      <c r="AI410" s="9">
        <v>0.9</v>
      </c>
      <c r="AJ410" s="43">
        <v>0.99</v>
      </c>
      <c r="AK410" s="9">
        <v>20</v>
      </c>
      <c r="AL410" s="43">
        <v>0.95</v>
      </c>
      <c r="AM410" s="9">
        <v>1</v>
      </c>
      <c r="AN410" s="43">
        <v>1.07</v>
      </c>
      <c r="AO410" s="9">
        <v>4</v>
      </c>
      <c r="AP410" s="9">
        <v>0</v>
      </c>
      <c r="AQ410" s="43">
        <v>0.75</v>
      </c>
      <c r="AR410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410" s="9" t="str">
        <f t="shared" ref="AS410" si="482">IF(OR(AR410="",AR410="-"),"-",AR410*$M410*SQRT(3)/1000)</f>
        <v>-</v>
      </c>
      <c r="AT410" s="9">
        <f>IF(RIGHT(TIM[[#This Row],[Device type]],7)="Winding","-",TIM[[#This Row],[Cont Winter MVA]])</f>
        <v>3.6729523015144094</v>
      </c>
      <c r="AU410" s="9">
        <f>IF(RIGHT(TIM[[#This Row],[Device type]],7)="Winding","-",TIM[[#This Row],[Cont Shoulder MVA]])</f>
        <v>3.6729523015144094</v>
      </c>
      <c r="AV410" s="9">
        <f>IF(RIGHT(TIM[[#This Row],[Device type]],7)="Winding","-",TIM[[#This Row],[Cont Summer MVA]])</f>
        <v>3.6729523015144094</v>
      </c>
      <c r="AW410" s="9" t="str">
        <f>TIM[[#This Row],[24 Hr Winter MVA]]</f>
        <v>-</v>
      </c>
      <c r="AX410" s="9" t="str">
        <f>TIM[[#This Row],[24 Hr Summer MVA]]</f>
        <v>-</v>
      </c>
      <c r="AY410" s="9" t="str">
        <f>TIM[[#This Row],[Forwards MVA]]</f>
        <v>-</v>
      </c>
      <c r="AZ410" s="9" t="str">
        <f>TIM[[#This Row],[Relay MVA]]</f>
        <v>-</v>
      </c>
      <c r="BA410" s="9" t="str">
        <f>TIM[[#This Row],[CT MVA]]</f>
        <v>-</v>
      </c>
      <c r="BB410" s="9" t="str">
        <f>TIM[[#This Row],[Derating MVA]]</f>
        <v>-</v>
      </c>
      <c r="BC410" s="9" t="str">
        <f>TIM[[#This Row],[Station/Feeder]]&amp;TIM[[#This Row],[Lowest MVA]]</f>
        <v>CB4_Totara Valley3.67295230151441</v>
      </c>
      <c r="BD410" s="9" t="str">
        <f>CONCATENATE(TIM[[#This Row],[Supply Level]],TIM[[#This Row],[Station/Feeder]],TIM[[#This Row],[Voltage]],TIM[[#This Row],[Lowest A-No PTX]])</f>
        <v>DistributionFeederCB4_Totara Valley11.22189</v>
      </c>
      <c r="BE410" s="9" t="str">
        <f>CONCATENATE(TIM[[#This Row],[Supply Level]],TIM[[#This Row],[Station/Feeder]],TIM[[#This Row],[Voltage]],TIM[[#This Row],[Lowest A-PTX]])</f>
        <v>DistributionFeederCB4_Totara Valley11.22189</v>
      </c>
      <c r="BF410" s="9">
        <f>IFERROR(IF(MIN(TIM[[#This Row],[Summ Cont Winter A]:[Cable Derating]])=0,"",MIN(TIM[[#This Row],[Summ Cont Winter A]:[Cable Derating]])),"")</f>
        <v>3.6729523015144094</v>
      </c>
      <c r="BG410" s="9">
        <f>IFERROR(TIM[[#This Row],[Lowest MVA]]*1000/(TIM[[#This Row],[Voltage]]*SQRT(3)),"")</f>
        <v>189</v>
      </c>
      <c r="BH410" s="9">
        <f t="shared" ref="BH410" si="483">IF(MIN(N410,P410,R410,T410,V410,X410,Z410,AB410,AD410,AR410)=0,"",MIN(N410,P410,R410,T410,V410,X410,Z410,AB410,AD410,AR410))</f>
        <v>189</v>
      </c>
      <c r="BI410" s="9" t="str">
        <f>TIM[[#This Row],[From]]</f>
        <v>Link L262</v>
      </c>
      <c r="BJ410" s="9" t="str">
        <f>TIM[[#This Row],[To]]</f>
        <v>B1088</v>
      </c>
      <c r="BK41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 xml:space="preserve">OH Line-Mink </v>
      </c>
      <c r="BL410" s="9">
        <f>TIM[[#This Row],[Voltage]]</f>
        <v>11.22</v>
      </c>
    </row>
    <row r="411" spans="1:64" ht="15" customHeight="1" x14ac:dyDescent="0.25">
      <c r="A411" s="14" t="str">
        <f>CONCATENATE(TIM[[#This Row],[Supply Level]],TIM[[#This Row],[Station/Feeder]],TIM[[#This Row],[Voltage]])</f>
        <v>DistributionFeederCB5_Pleasant Point Township11.22</v>
      </c>
      <c r="B411" s="14" t="str">
        <f>CONCATENATE(TIM[[#This Row],[Supply Level]],TIM[[#This Row],[Station/Feeder]],TIM[[#This Row],[Equipment ID]],TIM[[#This Row],[Voltage]],TIM[[#This Row],[Device type]])</f>
        <v>DistributionFeederCB5_Pleasant Point TownshipPLP-CB511.22Protection</v>
      </c>
      <c r="C411" s="14" t="s">
        <v>1276</v>
      </c>
      <c r="D411" s="11" t="s">
        <v>215</v>
      </c>
      <c r="E411" s="6" t="s">
        <v>243</v>
      </c>
      <c r="F411" s="6" t="s">
        <v>1102</v>
      </c>
      <c r="G411" s="27">
        <v>1</v>
      </c>
      <c r="H411" s="7" t="s">
        <v>2380</v>
      </c>
      <c r="I411" s="7" t="s">
        <v>2341</v>
      </c>
      <c r="J411" s="7" t="s">
        <v>15</v>
      </c>
      <c r="K411" s="7" t="s">
        <v>1119</v>
      </c>
      <c r="L411" s="7" t="s">
        <v>1423</v>
      </c>
      <c r="M411" s="8">
        <f t="shared" si="439"/>
        <v>11.22</v>
      </c>
      <c r="N411" s="9">
        <v>630</v>
      </c>
      <c r="O411" s="9">
        <f t="shared" si="0"/>
        <v>12.243174338381367</v>
      </c>
      <c r="P411" s="9">
        <v>630</v>
      </c>
      <c r="Q411" s="9">
        <f t="shared" si="1"/>
        <v>12.243174338381367</v>
      </c>
      <c r="R411" s="9">
        <v>630</v>
      </c>
      <c r="S411" s="9">
        <f t="shared" si="2"/>
        <v>12.243174338381367</v>
      </c>
      <c r="T411" s="9" t="s">
        <v>0</v>
      </c>
      <c r="U411" s="9" t="str">
        <f t="shared" si="3"/>
        <v>-</v>
      </c>
      <c r="V411" s="9" t="s">
        <v>0</v>
      </c>
      <c r="W411" s="9" t="str">
        <f t="shared" si="4"/>
        <v>-</v>
      </c>
      <c r="X411" s="9">
        <f>VLOOKUP(TIM[[#This Row],[Equipment ID]],AEL_Protection_Data[#All],12,0)</f>
        <v>252</v>
      </c>
      <c r="Y411" s="9">
        <f t="shared" si="5"/>
        <v>4.8972697353525465</v>
      </c>
      <c r="Z411" s="9" t="s">
        <v>0</v>
      </c>
      <c r="AA411" s="9" t="str">
        <f t="shared" si="6"/>
        <v>-</v>
      </c>
      <c r="AB411" s="9">
        <v>400</v>
      </c>
      <c r="AC411" s="9">
        <f t="shared" si="7"/>
        <v>7.7734440243691205</v>
      </c>
      <c r="AD411" s="9">
        <v>400</v>
      </c>
      <c r="AE411" s="12">
        <f t="shared" si="8"/>
        <v>7.7734440243691205</v>
      </c>
      <c r="AF411" s="29" t="s">
        <v>0</v>
      </c>
      <c r="AG411" s="29" t="s">
        <v>0</v>
      </c>
      <c r="AH411" s="8" t="s">
        <v>0</v>
      </c>
      <c r="AI411" s="29" t="s">
        <v>0</v>
      </c>
      <c r="AJ411" s="32" t="s">
        <v>0</v>
      </c>
      <c r="AK411" s="29" t="s">
        <v>0</v>
      </c>
      <c r="AL411" s="32" t="s">
        <v>0</v>
      </c>
      <c r="AM411" s="29" t="s">
        <v>0</v>
      </c>
      <c r="AN411" s="32" t="s">
        <v>0</v>
      </c>
      <c r="AO411" s="29" t="s">
        <v>0</v>
      </c>
      <c r="AP411" s="29" t="s">
        <v>0</v>
      </c>
      <c r="AQ411" s="32">
        <v>0.75</v>
      </c>
      <c r="AR411" s="9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411" s="9" t="str">
        <f t="shared" si="9"/>
        <v>-</v>
      </c>
      <c r="AT411" s="9">
        <f>IF(RIGHT(TIM[[#This Row],[Device type]],7)="Winding","-",TIM[[#This Row],[Cont Winter MVA]])</f>
        <v>12.243174338381367</v>
      </c>
      <c r="AU411" s="9">
        <f>IF(RIGHT(TIM[[#This Row],[Device type]],7)="Winding","-",TIM[[#This Row],[Cont Shoulder MVA]])</f>
        <v>12.243174338381367</v>
      </c>
      <c r="AV411" s="9">
        <f>IF(RIGHT(TIM[[#This Row],[Device type]],7)="Winding","-",TIM[[#This Row],[Cont Summer MVA]])</f>
        <v>12.243174338381367</v>
      </c>
      <c r="AW411" s="9" t="str">
        <f>TIM[[#This Row],[24 Hr Winter MVA]]</f>
        <v>-</v>
      </c>
      <c r="AX411" s="9" t="str">
        <f>TIM[[#This Row],[24 Hr Summer MVA]]</f>
        <v>-</v>
      </c>
      <c r="AY411" s="9">
        <f>TIM[[#This Row],[Forwards MVA]]</f>
        <v>4.8972697353525465</v>
      </c>
      <c r="AZ411" s="9">
        <f>TIM[[#This Row],[Relay MVA]]</f>
        <v>7.7734440243691205</v>
      </c>
      <c r="BA411" s="9">
        <f>TIM[[#This Row],[CT MVA]]</f>
        <v>7.7734440243691205</v>
      </c>
      <c r="BB411" s="9" t="str">
        <f>TIM[[#This Row],[Derating MVA]]</f>
        <v>-</v>
      </c>
      <c r="BC411" s="9" t="str">
        <f>TIM[[#This Row],[Station/Feeder]]&amp;TIM[[#This Row],[Lowest MVA]]</f>
        <v>CB5_Pleasant Point Township4.89726973535255</v>
      </c>
      <c r="BD411" s="9" t="str">
        <f>CONCATENATE(TIM[[#This Row],[Supply Level]],TIM[[#This Row],[Station/Feeder]],TIM[[#This Row],[Voltage]],TIM[[#This Row],[Lowest A-No PTX]])</f>
        <v>DistributionFeederCB5_Pleasant Point Township11.22252</v>
      </c>
      <c r="BE411" s="9" t="str">
        <f>CONCATENATE(TIM[[#This Row],[Supply Level]],TIM[[#This Row],[Station/Feeder]],TIM[[#This Row],[Voltage]],TIM[[#This Row],[Lowest A-PTX]])</f>
        <v>DistributionFeederCB5_Pleasant Point Township11.22252</v>
      </c>
      <c r="BF411" s="9">
        <f>IFERROR(IF(MIN(TIM[[#This Row],[Summ Cont Winter A]:[Cable Derating]])=0,"",MIN(TIM[[#This Row],[Summ Cont Winter A]:[Cable Derating]])),"")</f>
        <v>4.8972697353525465</v>
      </c>
      <c r="BG411" s="9">
        <f>IFERROR(TIM[[#This Row],[Lowest MVA]]*1000/(TIM[[#This Row],[Voltage]]*SQRT(3)),"")</f>
        <v>252</v>
      </c>
      <c r="BH411" s="9">
        <f t="shared" si="435"/>
        <v>252</v>
      </c>
      <c r="BI411" s="9" t="str">
        <f>TIM[[#This Row],[From]]</f>
        <v>11 kV Bus</v>
      </c>
      <c r="BJ411" s="9" t="str">
        <f>TIM[[#This Row],[To]]</f>
        <v>PLPTCB 5</v>
      </c>
      <c r="BK41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Circuit Breaker-PLP-CB5-Protection</v>
      </c>
      <c r="BL411" s="9">
        <f>TIM[[#This Row],[Voltage]]</f>
        <v>11.22</v>
      </c>
    </row>
    <row r="412" spans="1:64" ht="15" customHeight="1" x14ac:dyDescent="0.25">
      <c r="A412" s="460" t="str">
        <f>CONCATENATE(TIM[[#This Row],[Supply Level]],TIM[[#This Row],[Station/Feeder]],TIM[[#This Row],[Voltage]])</f>
        <v>DistributionFeederCB5_Pleasant Point Township11.22</v>
      </c>
      <c r="B412" s="460" t="str">
        <f>CONCATENATE(TIM[[#This Row],[Supply Level]],TIM[[#This Row],[Station/Feeder]],TIM[[#This Row],[Equipment ID]],TIM[[#This Row],[Voltage]],TIM[[#This Row],[Device type]])</f>
        <v>DistributionFeederCB5_Pleasant Point Township3c 150mm² Al PILC STA11.22-</v>
      </c>
      <c r="C412" s="6" t="s">
        <v>1276</v>
      </c>
      <c r="D412" s="6" t="s">
        <v>215</v>
      </c>
      <c r="E412" s="6" t="s">
        <v>1102</v>
      </c>
      <c r="F412" s="6" t="s">
        <v>750</v>
      </c>
      <c r="G412" s="8">
        <v>2</v>
      </c>
      <c r="H412" s="8" t="s">
        <v>1096</v>
      </c>
      <c r="I412" s="6" t="s">
        <v>1097</v>
      </c>
      <c r="J412" s="6" t="s">
        <v>250</v>
      </c>
      <c r="K412" s="6" t="s">
        <v>0</v>
      </c>
      <c r="L412" s="6" t="s">
        <v>0</v>
      </c>
      <c r="M412" s="8">
        <f t="shared" si="439"/>
        <v>11.22</v>
      </c>
      <c r="N412" s="9">
        <v>265</v>
      </c>
      <c r="O412" s="9">
        <f t="shared" ref="O412" si="484">IF(OR(N412="",N412="-"),"-",N412*$M412*SQRT(3)/1000)</f>
        <v>5.1499066661445427</v>
      </c>
      <c r="P412" s="9">
        <v>245</v>
      </c>
      <c r="Q412" s="9">
        <f t="shared" ref="Q412" si="485">IF(OR(P412="",P412="-"),"-",P412*$M412*SQRT(3)/1000)</f>
        <v>4.7612344649260869</v>
      </c>
      <c r="R412" s="9">
        <v>245</v>
      </c>
      <c r="S412" s="9">
        <f t="shared" ref="S412" si="486">IF(OR(R412="",R412="-"),"-",R412*$M412*SQRT(3)/1000)</f>
        <v>4.7612344649260869</v>
      </c>
      <c r="T412" s="9" t="s">
        <v>0</v>
      </c>
      <c r="U412" s="9" t="str">
        <f t="shared" ref="U412" si="487">IF(OR(T412="",T412="-"),"-",T412*$M412*SQRT(3)/1000)</f>
        <v>-</v>
      </c>
      <c r="V412" s="9" t="s">
        <v>0</v>
      </c>
      <c r="W412" s="9" t="str">
        <f t="shared" ref="W412" si="488">IF(OR(V412="",V412="-"),"-",V412*$M412*SQRT(3)/1000)</f>
        <v>-</v>
      </c>
      <c r="X412" s="9" t="s">
        <v>0</v>
      </c>
      <c r="Y412" s="9" t="str">
        <f t="shared" ref="Y412" si="489">IF(OR(X412="",X412="-"),"-",X412*$M412*SQRT(3)/1000)</f>
        <v>-</v>
      </c>
      <c r="Z412" s="9" t="s">
        <v>0</v>
      </c>
      <c r="AA412" s="9" t="str">
        <f t="shared" ref="AA412" si="490">IF(OR(Z412="",Z412="-"),"-",Z412*$M412*SQRT(3)/1000)</f>
        <v>-</v>
      </c>
      <c r="AB412" s="9" t="s">
        <v>0</v>
      </c>
      <c r="AC412" s="9" t="str">
        <f t="shared" ref="AC412" si="491">IF(OR(AB412="",AB412="-"),"-",AB412*$M412*SQRT(3)/1000)</f>
        <v>-</v>
      </c>
      <c r="AD412" s="9" t="s">
        <v>0</v>
      </c>
      <c r="AE412" s="9" t="str">
        <f t="shared" ref="AE412" si="492">IF(OR(AD412="",AD412="-"),"-",AD412*$M412*SQRT(3)/1000)</f>
        <v>-</v>
      </c>
      <c r="AF412" s="9">
        <v>3</v>
      </c>
      <c r="AG412" s="9" t="s">
        <v>344</v>
      </c>
      <c r="AH412" s="9">
        <v>40.700000000000003</v>
      </c>
      <c r="AI412" s="9">
        <v>0.9</v>
      </c>
      <c r="AJ412" s="43">
        <v>0.99</v>
      </c>
      <c r="AK412" s="9">
        <v>20</v>
      </c>
      <c r="AL412" s="43">
        <v>0.95</v>
      </c>
      <c r="AM412" s="9">
        <v>1</v>
      </c>
      <c r="AN412" s="43">
        <v>1.07</v>
      </c>
      <c r="AO412" s="9">
        <v>4</v>
      </c>
      <c r="AP412" s="9">
        <v>0</v>
      </c>
      <c r="AQ412" s="43">
        <v>0.75</v>
      </c>
      <c r="AR412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200.00908125000001</v>
      </c>
      <c r="AS412" s="9">
        <f t="shared" ref="AS412" si="493">IF(OR(AR412="",AR412="-"),"-",AR412*$M412*SQRT(3)/1000)</f>
        <v>3.8868984936559263</v>
      </c>
      <c r="AT412" s="9">
        <f>IF(RIGHT(TIM[[#This Row],[Device type]],7)="Winding","-",TIM[[#This Row],[Cont Winter MVA]])</f>
        <v>5.1499066661445427</v>
      </c>
      <c r="AU412" s="9">
        <f>IF(RIGHT(TIM[[#This Row],[Device type]],7)="Winding","-",TIM[[#This Row],[Cont Shoulder MVA]])</f>
        <v>4.7612344649260869</v>
      </c>
      <c r="AV412" s="9">
        <f>IF(RIGHT(TIM[[#This Row],[Device type]],7)="Winding","-",TIM[[#This Row],[Cont Summer MVA]])</f>
        <v>4.7612344649260869</v>
      </c>
      <c r="AW412" s="9" t="str">
        <f>TIM[[#This Row],[24 Hr Winter MVA]]</f>
        <v>-</v>
      </c>
      <c r="AX412" s="9" t="str">
        <f>TIM[[#This Row],[24 Hr Summer MVA]]</f>
        <v>-</v>
      </c>
      <c r="AY412" s="9" t="str">
        <f>TIM[[#This Row],[Forwards MVA]]</f>
        <v>-</v>
      </c>
      <c r="AZ412" s="9" t="str">
        <f>TIM[[#This Row],[Relay MVA]]</f>
        <v>-</v>
      </c>
      <c r="BA412" s="9" t="str">
        <f>TIM[[#This Row],[CT MVA]]</f>
        <v>-</v>
      </c>
      <c r="BB412" s="9">
        <f>TIM[[#This Row],[Derating MVA]]</f>
        <v>3.8868984936559263</v>
      </c>
      <c r="BC412" s="9" t="str">
        <f>TIM[[#This Row],[Station/Feeder]]&amp;TIM[[#This Row],[Lowest MVA]]</f>
        <v>CB5_Pleasant Point Township3.88689849365593</v>
      </c>
      <c r="BD412" s="9" t="str">
        <f>CONCATENATE(TIM[[#This Row],[Supply Level]],TIM[[#This Row],[Station/Feeder]],TIM[[#This Row],[Voltage]],TIM[[#This Row],[Lowest A-No PTX]])</f>
        <v>DistributionFeederCB5_Pleasant Point Township11.22200.00908125</v>
      </c>
      <c r="BE412" s="9" t="str">
        <f>CONCATENATE(TIM[[#This Row],[Supply Level]],TIM[[#This Row],[Station/Feeder]],TIM[[#This Row],[Voltage]],TIM[[#This Row],[Lowest A-PTX]])</f>
        <v>DistributionFeederCB5_Pleasant Point Township11.22200.00908125</v>
      </c>
      <c r="BF412" s="9">
        <f>IFERROR(IF(MIN(TIM[[#This Row],[Summ Cont Winter A]:[Cable Derating]])=0,"",MIN(TIM[[#This Row],[Summ Cont Winter A]:[Cable Derating]])),"")</f>
        <v>3.8868984936559263</v>
      </c>
      <c r="BG412" s="9">
        <f>IFERROR(TIM[[#This Row],[Lowest MVA]]*1000/(TIM[[#This Row],[Voltage]]*SQRT(3)),"")</f>
        <v>200.00908125000001</v>
      </c>
      <c r="BH412" s="9">
        <f t="shared" ref="BH412" si="494">IF(MIN(N412,P412,R412,T412,V412,X412,Z412,AB412,AD412,AR412)=0,"",MIN(N412,P412,R412,T412,V412,X412,Z412,AB412,AD412,AR412))</f>
        <v>200.00908125000001</v>
      </c>
      <c r="BI412" s="9" t="str">
        <f>TIM[[#This Row],[From]]</f>
        <v>PLPTCB 5</v>
      </c>
      <c r="BJ412" s="9" t="str">
        <f>TIM[[#This Row],[To]]</f>
        <v>Joint</v>
      </c>
      <c r="BK41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Cable-3c 150mm² Al PILC STA</v>
      </c>
      <c r="BL412" s="9">
        <f>TIM[[#This Row],[Voltage]]</f>
        <v>11.22</v>
      </c>
    </row>
    <row r="413" spans="1:64" ht="15" customHeight="1" x14ac:dyDescent="0.25">
      <c r="A413" s="460" t="str">
        <f>CONCATENATE(TIM[[#This Row],[Supply Level]],TIM[[#This Row],[Station/Feeder]],TIM[[#This Row],[Voltage]])</f>
        <v>DistributionFeederCB5_Pleasant Point Township11.22</v>
      </c>
      <c r="B413" s="460" t="str">
        <f>CONCATENATE(TIM[[#This Row],[Supply Level]],TIM[[#This Row],[Station/Feeder]],TIM[[#This Row],[Equipment ID]],TIM[[#This Row],[Voltage]],TIM[[#This Row],[Device type]])</f>
        <v>DistributionFeederCB5_Pleasant Point Township3 x 1c 185mm² Al XLPE11.22-</v>
      </c>
      <c r="C413" s="6" t="s">
        <v>1276</v>
      </c>
      <c r="D413" s="6" t="s">
        <v>215</v>
      </c>
      <c r="E413" s="6" t="s">
        <v>750</v>
      </c>
      <c r="F413" s="6" t="s">
        <v>1103</v>
      </c>
      <c r="G413" s="8">
        <v>3</v>
      </c>
      <c r="H413" s="8" t="s">
        <v>1096</v>
      </c>
      <c r="I413" s="6" t="s">
        <v>2976</v>
      </c>
      <c r="J413" s="6" t="s">
        <v>250</v>
      </c>
      <c r="K413" s="6" t="s">
        <v>0</v>
      </c>
      <c r="L413" s="6" t="s">
        <v>0</v>
      </c>
      <c r="M413" s="8">
        <f t="shared" si="439"/>
        <v>11.22</v>
      </c>
      <c r="N413" s="9"/>
      <c r="O413" s="9" t="str">
        <f t="shared" ref="O413" si="495">IF(OR(N413="",N413="-"),"-",N413*$M413*SQRT(3)/1000)</f>
        <v>-</v>
      </c>
      <c r="P413" s="9">
        <v>245</v>
      </c>
      <c r="Q413" s="9">
        <f t="shared" ref="Q413" si="496">IF(OR(P413="",P413="-"),"-",P413*$M413*SQRT(3)/1000)</f>
        <v>4.7612344649260869</v>
      </c>
      <c r="R413" s="9">
        <v>245</v>
      </c>
      <c r="S413" s="9">
        <f t="shared" ref="S413" si="497">IF(OR(R413="",R413="-"),"-",R413*$M413*SQRT(3)/1000)</f>
        <v>4.7612344649260869</v>
      </c>
      <c r="T413" s="9" t="s">
        <v>0</v>
      </c>
      <c r="U413" s="9" t="str">
        <f t="shared" ref="U413" si="498">IF(OR(T413="",T413="-"),"-",T413*$M413*SQRT(3)/1000)</f>
        <v>-</v>
      </c>
      <c r="V413" s="9" t="s">
        <v>0</v>
      </c>
      <c r="W413" s="9" t="str">
        <f t="shared" ref="W413" si="499">IF(OR(V413="",V413="-"),"-",V413*$M413*SQRT(3)/1000)</f>
        <v>-</v>
      </c>
      <c r="X413" s="9" t="s">
        <v>0</v>
      </c>
      <c r="Y413" s="9" t="str">
        <f t="shared" ref="Y413" si="500">IF(OR(X413="",X413="-"),"-",X413*$M413*SQRT(3)/1000)</f>
        <v>-</v>
      </c>
      <c r="Z413" s="9" t="s">
        <v>0</v>
      </c>
      <c r="AA413" s="9" t="str">
        <f t="shared" ref="AA413" si="501">IF(OR(Z413="",Z413="-"),"-",Z413*$M413*SQRT(3)/1000)</f>
        <v>-</v>
      </c>
      <c r="AB413" s="9" t="s">
        <v>0</v>
      </c>
      <c r="AC413" s="9" t="str">
        <f t="shared" ref="AC413" si="502">IF(OR(AB413="",AB413="-"),"-",AB413*$M413*SQRT(3)/1000)</f>
        <v>-</v>
      </c>
      <c r="AD413" s="9" t="s">
        <v>0</v>
      </c>
      <c r="AE413" s="9" t="str">
        <f t="shared" ref="AE413" si="503">IF(OR(AD413="",AD413="-"),"-",AD413*$M413*SQRT(3)/1000)</f>
        <v>-</v>
      </c>
      <c r="AF413" s="9">
        <v>3</v>
      </c>
      <c r="AG413" s="9" t="s">
        <v>344</v>
      </c>
      <c r="AH413" s="9">
        <v>40.700000000000003</v>
      </c>
      <c r="AI413" s="9">
        <v>0.9</v>
      </c>
      <c r="AJ413" s="43">
        <v>0.99</v>
      </c>
      <c r="AK413" s="9">
        <v>20</v>
      </c>
      <c r="AL413" s="43">
        <v>0.95</v>
      </c>
      <c r="AM413" s="9">
        <v>1</v>
      </c>
      <c r="AN413" s="43">
        <v>1.07</v>
      </c>
      <c r="AO413" s="9">
        <v>4</v>
      </c>
      <c r="AP413" s="9">
        <v>0</v>
      </c>
      <c r="AQ413" s="43">
        <v>0.75</v>
      </c>
      <c r="AR413" s="9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184.91405624999999</v>
      </c>
      <c r="AS413" s="9">
        <f t="shared" ref="AS413" si="504">IF(OR(AR413="",AR413="-"),"-",AR413*$M413*SQRT(3)/1000)</f>
        <v>3.5935476639460449</v>
      </c>
      <c r="AT413" s="9" t="str">
        <f>IF(RIGHT(TIM[[#This Row],[Device type]],7)="Winding","-",TIM[[#This Row],[Cont Winter MVA]])</f>
        <v>-</v>
      </c>
      <c r="AU413" s="9">
        <f>IF(RIGHT(TIM[[#This Row],[Device type]],7)="Winding","-",TIM[[#This Row],[Cont Shoulder MVA]])</f>
        <v>4.7612344649260869</v>
      </c>
      <c r="AV413" s="9">
        <f>IF(RIGHT(TIM[[#This Row],[Device type]],7)="Winding","-",TIM[[#This Row],[Cont Summer MVA]])</f>
        <v>4.7612344649260869</v>
      </c>
      <c r="AW413" s="9" t="str">
        <f>TIM[[#This Row],[24 Hr Winter MVA]]</f>
        <v>-</v>
      </c>
      <c r="AX413" s="9" t="str">
        <f>TIM[[#This Row],[24 Hr Summer MVA]]</f>
        <v>-</v>
      </c>
      <c r="AY413" s="9" t="str">
        <f>TIM[[#This Row],[Forwards MVA]]</f>
        <v>-</v>
      </c>
      <c r="AZ413" s="9" t="str">
        <f>TIM[[#This Row],[Relay MVA]]</f>
        <v>-</v>
      </c>
      <c r="BA413" s="9" t="str">
        <f>TIM[[#This Row],[CT MVA]]</f>
        <v>-</v>
      </c>
      <c r="BB413" s="9">
        <f>TIM[[#This Row],[Derating MVA]]</f>
        <v>3.5935476639460449</v>
      </c>
      <c r="BC413" s="9" t="str">
        <f>TIM[[#This Row],[Station/Feeder]]&amp;TIM[[#This Row],[Lowest MVA]]</f>
        <v>CB5_Pleasant Point Township3.59354766394604</v>
      </c>
      <c r="BD413" s="9" t="str">
        <f>CONCATENATE(TIM[[#This Row],[Supply Level]],TIM[[#This Row],[Station/Feeder]],TIM[[#This Row],[Voltage]],TIM[[#This Row],[Lowest A-No PTX]])</f>
        <v>DistributionFeederCB5_Pleasant Point Township11.22184.91405625</v>
      </c>
      <c r="BE413" s="9" t="str">
        <f>CONCATENATE(TIM[[#This Row],[Supply Level]],TIM[[#This Row],[Station/Feeder]],TIM[[#This Row],[Voltage]],TIM[[#This Row],[Lowest A-PTX]])</f>
        <v>DistributionFeederCB5_Pleasant Point Township11.22184.91405625</v>
      </c>
      <c r="BF413" s="9">
        <f>IFERROR(IF(MIN(TIM[[#This Row],[Summ Cont Winter A]:[Cable Derating]])=0,"",MIN(TIM[[#This Row],[Summ Cont Winter A]:[Cable Derating]])),"")</f>
        <v>3.5935476639460449</v>
      </c>
      <c r="BG413" s="9">
        <f>IFERROR(TIM[[#This Row],[Lowest MVA]]*1000/(TIM[[#This Row],[Voltage]]*SQRT(3)),"")</f>
        <v>184.91405624999999</v>
      </c>
      <c r="BH413" s="9">
        <f t="shared" ref="BH413" si="505">IF(MIN(N413,P413,R413,T413,V413,X413,Z413,AB413,AD413,AR413)=0,"",MIN(N413,P413,R413,T413,V413,X413,Z413,AB413,AD413,AR413))</f>
        <v>184.91405624999999</v>
      </c>
      <c r="BI413" s="9" t="str">
        <f>TIM[[#This Row],[From]]</f>
        <v>Joint</v>
      </c>
      <c r="BJ413" s="9" t="str">
        <f>TIM[[#This Row],[To]]</f>
        <v>Link L263</v>
      </c>
      <c r="BK41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 x 1c 185mm² Al XLPE</v>
      </c>
      <c r="BL413" s="9">
        <f>TIM[[#This Row],[Voltage]]</f>
        <v>11.22</v>
      </c>
    </row>
    <row r="414" spans="1:64" ht="15" customHeight="1" thickBot="1" x14ac:dyDescent="0.3">
      <c r="A414" s="14" t="str">
        <f>CONCATENATE(TIM[[#This Row],[Supply Level]],TIM[[#This Row],[Station/Feeder]],TIM[[#This Row],[Voltage]])</f>
        <v>DistributionFeederCB5_Pleasant Point Township11.22</v>
      </c>
      <c r="B414" s="14" t="str">
        <f>CONCATENATE(TIM[[#This Row],[Supply Level]],TIM[[#This Row],[Station/Feeder]],TIM[[#This Row],[Equipment ID]],TIM[[#This Row],[Voltage]],TIM[[#This Row],[Device type]])</f>
        <v>DistributionFeederCB5_Pleasant Point Township7/14 Cu 11.22-</v>
      </c>
      <c r="C414" s="14" t="s">
        <v>1276</v>
      </c>
      <c r="D414" s="13" t="s">
        <v>215</v>
      </c>
      <c r="E414" s="14" t="s">
        <v>1103</v>
      </c>
      <c r="F414" s="14"/>
      <c r="G414" s="28">
        <v>4</v>
      </c>
      <c r="H414" s="39" t="s">
        <v>273</v>
      </c>
      <c r="I414" s="7" t="s">
        <v>2977</v>
      </c>
      <c r="J414" s="39" t="s">
        <v>2851</v>
      </c>
      <c r="K414" s="39" t="s">
        <v>0</v>
      </c>
      <c r="L414" s="39" t="s">
        <v>0</v>
      </c>
      <c r="M414" s="15">
        <f t="shared" si="439"/>
        <v>11.22</v>
      </c>
      <c r="N414" s="16">
        <v>131</v>
      </c>
      <c r="O414" s="16">
        <f t="shared" si="0"/>
        <v>2.5458029179808874</v>
      </c>
      <c r="P414" s="16">
        <v>131</v>
      </c>
      <c r="Q414" s="16">
        <f t="shared" si="1"/>
        <v>2.5458029179808874</v>
      </c>
      <c r="R414" s="16">
        <v>131</v>
      </c>
      <c r="S414" s="16">
        <f t="shared" si="2"/>
        <v>2.5458029179808874</v>
      </c>
      <c r="T414" s="16" t="s">
        <v>0</v>
      </c>
      <c r="U414" s="16" t="str">
        <f t="shared" si="3"/>
        <v>-</v>
      </c>
      <c r="V414" s="16" t="s">
        <v>0</v>
      </c>
      <c r="W414" s="16" t="str">
        <f t="shared" si="4"/>
        <v>-</v>
      </c>
      <c r="X414" s="16" t="s">
        <v>0</v>
      </c>
      <c r="Y414" s="16" t="str">
        <f t="shared" si="5"/>
        <v>-</v>
      </c>
      <c r="Z414" s="16" t="s">
        <v>0</v>
      </c>
      <c r="AA414" s="16" t="str">
        <f t="shared" si="6"/>
        <v>-</v>
      </c>
      <c r="AB414" s="16" t="s">
        <v>0</v>
      </c>
      <c r="AC414" s="16" t="str">
        <f t="shared" si="7"/>
        <v>-</v>
      </c>
      <c r="AD414" s="16" t="s">
        <v>0</v>
      </c>
      <c r="AE414" s="17" t="str">
        <f t="shared" si="8"/>
        <v>-</v>
      </c>
      <c r="AF414" s="126">
        <v>3</v>
      </c>
      <c r="AG414" s="126" t="s">
        <v>344</v>
      </c>
      <c r="AH414" s="15">
        <v>40.700000000000003</v>
      </c>
      <c r="AI414" s="126">
        <v>0.9</v>
      </c>
      <c r="AJ414" s="127">
        <v>0.99</v>
      </c>
      <c r="AK414" s="126">
        <v>20</v>
      </c>
      <c r="AL414" s="127">
        <v>0.95</v>
      </c>
      <c r="AM414" s="126">
        <v>1</v>
      </c>
      <c r="AN414" s="127">
        <v>1.07</v>
      </c>
      <c r="AO414" s="126">
        <v>4</v>
      </c>
      <c r="AP414" s="126">
        <v>0</v>
      </c>
      <c r="AQ414" s="127">
        <v>0.75</v>
      </c>
      <c r="AR414" s="16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414" s="16" t="str">
        <f t="shared" si="9"/>
        <v>-</v>
      </c>
      <c r="AT414" s="155">
        <f>IF(RIGHT(TIM[[#This Row],[Device type]],7)="Winding","-",TIM[[#This Row],[Cont Winter MVA]])</f>
        <v>2.5458029179808874</v>
      </c>
      <c r="AU414" s="155">
        <f>IF(RIGHT(TIM[[#This Row],[Device type]],7)="Winding","-",TIM[[#This Row],[Cont Shoulder MVA]])</f>
        <v>2.5458029179808874</v>
      </c>
      <c r="AV414" s="155">
        <f>IF(RIGHT(TIM[[#This Row],[Device type]],7)="Winding","-",TIM[[#This Row],[Cont Summer MVA]])</f>
        <v>2.5458029179808874</v>
      </c>
      <c r="AW414" s="155" t="str">
        <f>TIM[[#This Row],[24 Hr Winter MVA]]</f>
        <v>-</v>
      </c>
      <c r="AX414" s="155" t="str">
        <f>TIM[[#This Row],[24 Hr Summer MVA]]</f>
        <v>-</v>
      </c>
      <c r="AY414" s="155" t="str">
        <f>TIM[[#This Row],[Forwards MVA]]</f>
        <v>-</v>
      </c>
      <c r="AZ414" s="155" t="str">
        <f>TIM[[#This Row],[Relay MVA]]</f>
        <v>-</v>
      </c>
      <c r="BA414" s="155" t="str">
        <f>TIM[[#This Row],[CT MVA]]</f>
        <v>-</v>
      </c>
      <c r="BB414" s="155" t="str">
        <f>TIM[[#This Row],[Derating MVA]]</f>
        <v>-</v>
      </c>
      <c r="BC414" s="155" t="str">
        <f>TIM[[#This Row],[Station/Feeder]]&amp;TIM[[#This Row],[Lowest MVA]]</f>
        <v>CB5_Pleasant Point Township2.54580291798089</v>
      </c>
      <c r="BD414" s="155" t="str">
        <f>CONCATENATE(TIM[[#This Row],[Supply Level]],TIM[[#This Row],[Station/Feeder]],TIM[[#This Row],[Voltage]],TIM[[#This Row],[Lowest A-No PTX]])</f>
        <v>DistributionFeederCB5_Pleasant Point Township11.22131</v>
      </c>
      <c r="BE414" s="155" t="str">
        <f>CONCATENATE(TIM[[#This Row],[Supply Level]],TIM[[#This Row],[Station/Feeder]],TIM[[#This Row],[Voltage]],TIM[[#This Row],[Lowest A-PTX]])</f>
        <v>DistributionFeederCB5_Pleasant Point Township11.22131</v>
      </c>
      <c r="BF414" s="155">
        <f>IFERROR(IF(MIN(TIM[[#This Row],[Summ Cont Winter A]:[Cable Derating]])=0,"",MIN(TIM[[#This Row],[Summ Cont Winter A]:[Cable Derating]])),"")</f>
        <v>2.5458029179808874</v>
      </c>
      <c r="BG414" s="155">
        <f>IFERROR(TIM[[#This Row],[Lowest MVA]]*1000/(TIM[[#This Row],[Voltage]]*SQRT(3)),"")</f>
        <v>131</v>
      </c>
      <c r="BH414" s="155">
        <f t="shared" si="435"/>
        <v>131</v>
      </c>
      <c r="BI414" s="155" t="str">
        <f>TIM[[#This Row],[From]]</f>
        <v>Link L263</v>
      </c>
      <c r="BJ414" s="155">
        <f>TIM[[#This Row],[To]]</f>
        <v>0</v>
      </c>
      <c r="BK414" s="155" t="str">
        <f>IF(TIM[[#This Row],[Device type]]="-",TIM[[#This Row],[Equipment Type]]&amp;"-"&amp;TIM[[#This Row],[Equipment ID]],TIM[[#This Row],[Equipment Type]]&amp;"-"&amp;TIM[[#This Row],[Equipment ID]]&amp;"-"&amp;TIM[[#This Row],[Device type]])</f>
        <v xml:space="preserve">OH line-7/14 Cu </v>
      </c>
      <c r="BL414" s="155">
        <f>TIM[[#This Row],[Voltage]]</f>
        <v>11.22</v>
      </c>
    </row>
    <row r="415" spans="1:64" ht="15" hidden="1" customHeight="1" x14ac:dyDescent="0.25">
      <c r="A415" s="203" t="str">
        <f>CONCATENATE(TIM[[#This Row],[Supply Level]],TIM[[#This Row],[Station/Feeder]],TIM[[#This Row],[Voltage]])</f>
        <v>---</v>
      </c>
      <c r="B415" s="203" t="str">
        <f>CONCATENATE(TIM[[#This Row],[Supply Level]],TIM[[#This Row],[Station/Feeder]],TIM[[#This Row],[Equipment ID]],TIM[[#This Row],[Voltage]],TIM[[#This Row],[Device type]])</f>
        <v>-----</v>
      </c>
      <c r="C415" s="203" t="s">
        <v>0</v>
      </c>
      <c r="D415" s="182" t="s">
        <v>0</v>
      </c>
      <c r="E415" s="183" t="s">
        <v>0</v>
      </c>
      <c r="F415" s="183" t="s">
        <v>0</v>
      </c>
      <c r="G415" s="184" t="s">
        <v>0</v>
      </c>
      <c r="H415" s="186" t="s">
        <v>0</v>
      </c>
      <c r="I415" s="186" t="s">
        <v>0</v>
      </c>
      <c r="J415" s="186" t="s">
        <v>0</v>
      </c>
      <c r="K415" s="186" t="s">
        <v>0</v>
      </c>
      <c r="L415" s="186" t="s">
        <v>0</v>
      </c>
      <c r="M415" s="157" t="s">
        <v>0</v>
      </c>
      <c r="N415" s="174" t="s">
        <v>0</v>
      </c>
      <c r="O415" s="174" t="str">
        <f t="shared" si="0"/>
        <v>-</v>
      </c>
      <c r="P415" s="174" t="s">
        <v>0</v>
      </c>
      <c r="Q415" s="174" t="str">
        <f t="shared" si="1"/>
        <v>-</v>
      </c>
      <c r="R415" s="174" t="s">
        <v>0</v>
      </c>
      <c r="S415" s="174" t="str">
        <f t="shared" si="2"/>
        <v>-</v>
      </c>
      <c r="T415" s="5" t="s">
        <v>0</v>
      </c>
      <c r="U415" s="5" t="str">
        <f>IF(OR(T415="",T415="-"),"-",T415*$M415*SQRT(3)/1000)</f>
        <v>-</v>
      </c>
      <c r="V415" s="5" t="s">
        <v>0</v>
      </c>
      <c r="W415" s="5" t="str">
        <f>IF(OR(V415="",V415="-"),"-",V415*$M415*SQRT(3)/1000)</f>
        <v>-</v>
      </c>
      <c r="X415" s="5" t="s">
        <v>0</v>
      </c>
      <c r="Y415" s="5" t="str">
        <f>IF(OR(X415="",X415="-"),"-",X415*$M415*SQRT(3)/1000)</f>
        <v>-</v>
      </c>
      <c r="Z415" s="5" t="s">
        <v>0</v>
      </c>
      <c r="AA415" s="5" t="str">
        <f>IF(OR(Z415="",Z415="-"),"-",Z415*$M415*SQRT(3)/1000)</f>
        <v>-</v>
      </c>
      <c r="AB415" s="5" t="s">
        <v>0</v>
      </c>
      <c r="AC415" s="5" t="str">
        <f>IF(OR(AB415="",AB415="-"),"-",AB415*$M415*SQRT(3)/1000)</f>
        <v>-</v>
      </c>
      <c r="AD415" s="5" t="s">
        <v>0</v>
      </c>
      <c r="AE415" s="158" t="str">
        <f>IF(OR(AD415="",AD415="-"),"-",AD415*$M415*SQRT(3)/1000)</f>
        <v>-</v>
      </c>
      <c r="AF415" s="5" t="s">
        <v>0</v>
      </c>
      <c r="AG415" s="5" t="s">
        <v>0</v>
      </c>
      <c r="AH415" s="5" t="s">
        <v>0</v>
      </c>
      <c r="AI415" s="5" t="s">
        <v>0</v>
      </c>
      <c r="AJ415" s="139" t="s">
        <v>0</v>
      </c>
      <c r="AK415" s="5" t="s">
        <v>0</v>
      </c>
      <c r="AL415" s="139" t="s">
        <v>0</v>
      </c>
      <c r="AM415" s="5" t="s">
        <v>0</v>
      </c>
      <c r="AN415" s="139" t="s">
        <v>0</v>
      </c>
      <c r="AO415" s="5" t="s">
        <v>0</v>
      </c>
      <c r="AP415" s="5" t="s">
        <v>0</v>
      </c>
      <c r="AQ415" s="139" t="s">
        <v>0</v>
      </c>
      <c r="AR415" s="5" t="str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-</v>
      </c>
      <c r="AS415" s="5" t="str">
        <f>IF(OR(AR415="",AR415="-"),"-",AR415*$M415*SQRT(3)/1000)</f>
        <v>-</v>
      </c>
      <c r="AT415" s="29" t="str">
        <f>IF(RIGHT(TIM[[#This Row],[Device type]],7)="Winding","-",TIM[[#This Row],[Cont Winter MVA]])</f>
        <v>-</v>
      </c>
      <c r="AU415" s="29" t="str">
        <f>IF(RIGHT(TIM[[#This Row],[Device type]],7)="Winding","-",TIM[[#This Row],[Cont Shoulder MVA]])</f>
        <v>-</v>
      </c>
      <c r="AV415" s="29" t="str">
        <f>IF(RIGHT(TIM[[#This Row],[Device type]],7)="Winding","-",TIM[[#This Row],[Cont Summer MVA]])</f>
        <v>-</v>
      </c>
      <c r="AW415" s="29" t="str">
        <f>TIM[[#This Row],[24 Hr Winter MVA]]</f>
        <v>-</v>
      </c>
      <c r="AX415" s="29" t="str">
        <f>TIM[[#This Row],[24 Hr Summer MVA]]</f>
        <v>-</v>
      </c>
      <c r="AY415" s="29" t="str">
        <f>TIM[[#This Row],[Forwards MVA]]</f>
        <v>-</v>
      </c>
      <c r="AZ415" s="29" t="str">
        <f>TIM[[#This Row],[Relay MVA]]</f>
        <v>-</v>
      </c>
      <c r="BA415" s="29" t="str">
        <f>TIM[[#This Row],[CT MVA]]</f>
        <v>-</v>
      </c>
      <c r="BB415" s="29" t="str">
        <f>TIM[[#This Row],[Derating MVA]]</f>
        <v>-</v>
      </c>
      <c r="BC415" s="29" t="str">
        <f>TIM[[#This Row],[Station/Feeder]]&amp;TIM[[#This Row],[Lowest MVA]]</f>
        <v>-</v>
      </c>
      <c r="BD415" s="29" t="str">
        <f>CONCATENATE(TIM[[#This Row],[Supply Level]],TIM[[#This Row],[Station/Feeder]],TIM[[#This Row],[Voltage]],TIM[[#This Row],[Lowest A-No PTX]])</f>
        <v>---</v>
      </c>
      <c r="BE415" s="29" t="str">
        <f>CONCATENATE(TIM[[#This Row],[Supply Level]],TIM[[#This Row],[Station/Feeder]],TIM[[#This Row],[Voltage]],TIM[[#This Row],[Lowest A-PTX]])</f>
        <v>---</v>
      </c>
      <c r="BF415" s="29" t="str">
        <f>IFERROR(IF(MIN(TIM[[#This Row],[Summ Cont Winter A]:[Cable Derating]])=0,"",MIN(TIM[[#This Row],[Summ Cont Winter A]:[Cable Derating]])),"")</f>
        <v/>
      </c>
      <c r="BG415" s="29" t="str">
        <f>IFERROR(TIM[[#This Row],[Lowest MVA]]*1000/(TIM[[#This Row],[Voltage]]*SQRT(3)),"")</f>
        <v/>
      </c>
      <c r="BH415" s="29" t="str">
        <f t="shared" si="435"/>
        <v/>
      </c>
      <c r="BI415" s="29" t="str">
        <f>TIM[[#This Row],[From]]</f>
        <v>-</v>
      </c>
      <c r="BJ415" s="29" t="str">
        <f>TIM[[#This Row],[To]]</f>
        <v>-</v>
      </c>
      <c r="BK415" s="29" t="str">
        <f>IF(TIM[[#This Row],[Device type]]="-",TIM[[#This Row],[Equipment Type]]&amp;"-"&amp;TIM[[#This Row],[Equipment ID]],TIM[[#This Row],[Equipment Type]]&amp;"-"&amp;TIM[[#This Row],[Equipment ID]]&amp;"-"&amp;TIM[[#This Row],[Device type]])</f>
        <v>---</v>
      </c>
      <c r="BL415" s="29" t="str">
        <f>TIM[[#This Row],[Voltage]]</f>
        <v>-</v>
      </c>
    </row>
    <row r="416" spans="1:64" ht="15" hidden="1" customHeight="1" x14ac:dyDescent="0.25">
      <c r="A416" s="6" t="str">
        <f>CONCATENATE(TIM[[#This Row],[Supply Level]],TIM[[#This Row],[Station/Feeder]],TIM[[#This Row],[Voltage]])</f>
        <v>Switching Station-11</v>
      </c>
      <c r="B416" s="6" t="str">
        <f>CONCATENATE(TIM[[#This Row],[Supply Level]],TIM[[#This Row],[Station/Feeder]],TIM[[#This Row],[Equipment ID]],TIM[[#This Row],[Voltage]],TIM[[#This Row],[Device type]])</f>
        <v>Switching Station-3/1c 1000mm² AL XLPE CWS MDPE Screened11-</v>
      </c>
      <c r="C416" s="6" t="s">
        <v>68</v>
      </c>
      <c r="D416" s="11" t="s">
        <v>0</v>
      </c>
      <c r="E416" s="6" t="s">
        <v>802</v>
      </c>
      <c r="F416" s="6" t="s">
        <v>750</v>
      </c>
      <c r="G416" s="27" t="s">
        <v>0</v>
      </c>
      <c r="H416" s="7" t="s">
        <v>1104</v>
      </c>
      <c r="I416" s="7" t="s">
        <v>1105</v>
      </c>
      <c r="J416" s="7" t="s">
        <v>250</v>
      </c>
      <c r="K416" s="7" t="s">
        <v>0</v>
      </c>
      <c r="L416" s="7" t="s">
        <v>0</v>
      </c>
      <c r="M416" s="8">
        <v>11</v>
      </c>
      <c r="N416" s="9">
        <v>728</v>
      </c>
      <c r="O416" s="9">
        <f t="shared" si="0"/>
        <v>13.870262867011569</v>
      </c>
      <c r="P416" s="9">
        <v>728</v>
      </c>
      <c r="Q416" s="9">
        <f t="shared" si="1"/>
        <v>13.870262867011569</v>
      </c>
      <c r="R416" s="9">
        <v>728</v>
      </c>
      <c r="S416" s="9">
        <f t="shared" si="2"/>
        <v>13.870262867011569</v>
      </c>
      <c r="T416" s="9" t="s">
        <v>0</v>
      </c>
      <c r="U416" s="9" t="str">
        <f>IF(OR(T416="",T416="-"),"-",T416*$M416*SQRT(3)/1000)</f>
        <v>-</v>
      </c>
      <c r="V416" s="9" t="s">
        <v>0</v>
      </c>
      <c r="W416" s="9" t="str">
        <f>IF(OR(V416="",V416="-"),"-",V416*$M416*SQRT(3)/1000)</f>
        <v>-</v>
      </c>
      <c r="X416" s="9" t="s">
        <v>0</v>
      </c>
      <c r="Y416" s="9" t="str">
        <f>IF(OR(X416="",X416="-"),"-",X416*$M416*SQRT(3)/1000)</f>
        <v>-</v>
      </c>
      <c r="Z416" s="9" t="s">
        <v>0</v>
      </c>
      <c r="AA416" s="9" t="str">
        <f>IF(OR(Z416="",Z416="-"),"-",Z416*$M416*SQRT(3)/1000)</f>
        <v>-</v>
      </c>
      <c r="AB416" s="9" t="s">
        <v>0</v>
      </c>
      <c r="AC416" s="9" t="str">
        <f>IF(OR(AB416="",AB416="-"),"-",AB416*$M416*SQRT(3)/1000)</f>
        <v>-</v>
      </c>
      <c r="AD416" s="9" t="s">
        <v>0</v>
      </c>
      <c r="AE416" s="12" t="str">
        <f>IF(OR(AD416="",AD416="-"),"-",AD416*$M416*SQRT(3)/1000)</f>
        <v>-</v>
      </c>
      <c r="AF416" s="9" t="s">
        <v>713</v>
      </c>
      <c r="AG416" s="9" t="s">
        <v>1452</v>
      </c>
      <c r="AH416" s="9">
        <v>3575</v>
      </c>
      <c r="AI416" s="9">
        <v>1</v>
      </c>
      <c r="AJ416" s="32">
        <v>1</v>
      </c>
      <c r="AK416" s="9">
        <v>15</v>
      </c>
      <c r="AL416" s="32">
        <v>1</v>
      </c>
      <c r="AM416" s="9">
        <v>1.2</v>
      </c>
      <c r="AN416" s="32">
        <v>1</v>
      </c>
      <c r="AO416" s="9">
        <v>4</v>
      </c>
      <c r="AP416" s="9">
        <v>0.5</v>
      </c>
      <c r="AQ416" s="32">
        <v>0.81200000000000006</v>
      </c>
      <c r="AR416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591.13600000000008</v>
      </c>
      <c r="AS416" s="9">
        <f>IF(OR(AR416="",AR416="-"),"-",AR416*$M416*SQRT(3)/1000)</f>
        <v>11.262653448013396</v>
      </c>
      <c r="AT416" s="9">
        <f>IF(RIGHT(TIM[[#This Row],[Device type]],7)="Winding","-",TIM[[#This Row],[Cont Winter MVA]])</f>
        <v>13.870262867011569</v>
      </c>
      <c r="AU416" s="9">
        <f>IF(RIGHT(TIM[[#This Row],[Device type]],7)="Winding","-",TIM[[#This Row],[Cont Shoulder MVA]])</f>
        <v>13.870262867011569</v>
      </c>
      <c r="AV416" s="9">
        <f>IF(RIGHT(TIM[[#This Row],[Device type]],7)="Winding","-",TIM[[#This Row],[Cont Summer MVA]])</f>
        <v>13.870262867011569</v>
      </c>
      <c r="AW416" s="9" t="str">
        <f>TIM[[#This Row],[24 Hr Winter MVA]]</f>
        <v>-</v>
      </c>
      <c r="AX416" s="9" t="str">
        <f>TIM[[#This Row],[24 Hr Summer MVA]]</f>
        <v>-</v>
      </c>
      <c r="AY416" s="9" t="str">
        <f>TIM[[#This Row],[Forwards MVA]]</f>
        <v>-</v>
      </c>
      <c r="AZ416" s="9" t="str">
        <f>TIM[[#This Row],[Relay MVA]]</f>
        <v>-</v>
      </c>
      <c r="BA416" s="9" t="str">
        <f>TIM[[#This Row],[CT MVA]]</f>
        <v>-</v>
      </c>
      <c r="BB416" s="9">
        <f>TIM[[#This Row],[Derating MVA]]</f>
        <v>11.262653448013396</v>
      </c>
      <c r="BC416" s="9" t="str">
        <f>TIM[[#This Row],[Station/Feeder]]&amp;TIM[[#This Row],[Lowest MVA]]</f>
        <v>-11.2626534480134</v>
      </c>
      <c r="BD416" s="9" t="str">
        <f>CONCATENATE(TIM[[#This Row],[Supply Level]],TIM[[#This Row],[Station/Feeder]],TIM[[#This Row],[Voltage]],TIM[[#This Row],[Lowest A-No PTX]])</f>
        <v>Switching Station-11591.136</v>
      </c>
      <c r="BE416" s="9" t="str">
        <f>CONCATENATE(TIM[[#This Row],[Supply Level]],TIM[[#This Row],[Station/Feeder]],TIM[[#This Row],[Voltage]],TIM[[#This Row],[Lowest A-PTX]])</f>
        <v>Switching Station-11591.136</v>
      </c>
      <c r="BF416" s="9">
        <f>IFERROR(IF(MIN(TIM[[#This Row],[Summ Cont Winter A]:[Cable Derating]])=0,"",MIN(TIM[[#This Row],[Summ Cont Winter A]:[Cable Derating]])),"")</f>
        <v>11.262653448013396</v>
      </c>
      <c r="BG416" s="9">
        <f>IFERROR(TIM[[#This Row],[Lowest MVA]]*1000/(TIM[[#This Row],[Voltage]]*SQRT(3)),"")</f>
        <v>591.13600000000008</v>
      </c>
      <c r="BH416" s="9">
        <f t="shared" ref="BH416:BH427" si="506">IF(MIN(N416,P416,R416,T416,V416,X416,Z416,AB416,AD416,AR416)=0,"",MIN(N416,P416,R416,T416,V416,X416,Z416,AB416,AD416,AR416))</f>
        <v>591.13600000000008</v>
      </c>
      <c r="BI416" s="9" t="str">
        <f>TIM[[#This Row],[From]]</f>
        <v>CB2662</v>
      </c>
      <c r="BJ416" s="9" t="str">
        <f>TIM[[#This Row],[To]]</f>
        <v>Joint</v>
      </c>
      <c r="BK41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1000mm² AL XLPE CWS MDPE Screened</v>
      </c>
      <c r="BL416" s="9">
        <f>TIM[[#This Row],[Voltage]]</f>
        <v>11</v>
      </c>
    </row>
    <row r="417" spans="1:64" ht="15" hidden="1" customHeight="1" x14ac:dyDescent="0.25">
      <c r="A417" s="6" t="str">
        <f>CONCATENATE(TIM[[#This Row],[Supply Level]],TIM[[#This Row],[Station/Feeder]],TIM[[#This Row],[Voltage]])</f>
        <v>Switching Station-11</v>
      </c>
      <c r="B417" s="6" t="str">
        <f>CONCATENATE(TIM[[#This Row],[Supply Level]],TIM[[#This Row],[Station/Feeder]],TIM[[#This Row],[Equipment ID]],TIM[[#This Row],[Voltage]],TIM[[#This Row],[Device type]])</f>
        <v>Switching Station-3/1c 400mm² AL XLPE HDPE Screened11-</v>
      </c>
      <c r="C417" s="6" t="s">
        <v>68</v>
      </c>
      <c r="D417" s="11" t="s">
        <v>0</v>
      </c>
      <c r="E417" s="6" t="s">
        <v>750</v>
      </c>
      <c r="F417" s="6" t="s">
        <v>1106</v>
      </c>
      <c r="G417" s="27" t="s">
        <v>0</v>
      </c>
      <c r="H417" s="7" t="s">
        <v>1104</v>
      </c>
      <c r="I417" s="7" t="s">
        <v>819</v>
      </c>
      <c r="J417" s="7" t="s">
        <v>250</v>
      </c>
      <c r="K417" s="7" t="s">
        <v>0</v>
      </c>
      <c r="L417" s="7" t="s">
        <v>0</v>
      </c>
      <c r="M417" s="8">
        <v>11</v>
      </c>
      <c r="N417" s="9">
        <v>567</v>
      </c>
      <c r="O417" s="9">
        <f t="shared" si="0"/>
        <v>10.802800886807086</v>
      </c>
      <c r="P417" s="9">
        <v>567</v>
      </c>
      <c r="Q417" s="9">
        <f t="shared" si="1"/>
        <v>10.802800886807086</v>
      </c>
      <c r="R417" s="9">
        <v>567</v>
      </c>
      <c r="S417" s="9">
        <f t="shared" si="2"/>
        <v>10.802800886807086</v>
      </c>
      <c r="T417" s="9" t="s">
        <v>0</v>
      </c>
      <c r="U417" s="9" t="str">
        <f>IF(OR(T417="",T417="-"),"-",T417*$M417*SQRT(3)/1000)</f>
        <v>-</v>
      </c>
      <c r="V417" s="9" t="s">
        <v>0</v>
      </c>
      <c r="W417" s="9" t="str">
        <f>IF(OR(V417="",V417="-"),"-",V417*$M417*SQRT(3)/1000)</f>
        <v>-</v>
      </c>
      <c r="X417" s="9" t="s">
        <v>0</v>
      </c>
      <c r="Y417" s="9" t="str">
        <f>IF(OR(X417="",X417="-"),"-",X417*$M417*SQRT(3)/1000)</f>
        <v>-</v>
      </c>
      <c r="Z417" s="9" t="s">
        <v>0</v>
      </c>
      <c r="AA417" s="9" t="str">
        <f>IF(OR(Z417="",Z417="-"),"-",Z417*$M417*SQRT(3)/1000)</f>
        <v>-</v>
      </c>
      <c r="AB417" s="9" t="s">
        <v>0</v>
      </c>
      <c r="AC417" s="9" t="str">
        <f>IF(OR(AB417="",AB417="-"),"-",AB417*$M417*SQRT(3)/1000)</f>
        <v>-</v>
      </c>
      <c r="AD417" s="9" t="s">
        <v>0</v>
      </c>
      <c r="AE417" s="12" t="str">
        <f>IF(OR(AD417="",AD417="-"),"-",AD417*$M417*SQRT(3)/1000)</f>
        <v>-</v>
      </c>
      <c r="AF417" s="9" t="s">
        <v>713</v>
      </c>
      <c r="AG417" s="9" t="s">
        <v>0</v>
      </c>
      <c r="AH417" s="9">
        <v>20</v>
      </c>
      <c r="AI417" s="9">
        <v>1</v>
      </c>
      <c r="AJ417" s="32">
        <v>1</v>
      </c>
      <c r="AK417" s="9">
        <v>20</v>
      </c>
      <c r="AL417" s="32">
        <v>0.95</v>
      </c>
      <c r="AM417" s="9">
        <v>1.2</v>
      </c>
      <c r="AN417" s="32">
        <v>1</v>
      </c>
      <c r="AO417" s="9">
        <v>4</v>
      </c>
      <c r="AP417" s="9">
        <v>0.3</v>
      </c>
      <c r="AQ417" s="32">
        <v>0.77</v>
      </c>
      <c r="AR417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414.76049999999998</v>
      </c>
      <c r="AS417" s="9">
        <f>IF(OR(AR417="",AR417="-"),"-",AR417*$M417*SQRT(3)/1000)</f>
        <v>7.9022488486993847</v>
      </c>
      <c r="AT417" s="9">
        <f>IF(RIGHT(TIM[[#This Row],[Device type]],7)="Winding","-",TIM[[#This Row],[Cont Winter MVA]])</f>
        <v>10.802800886807086</v>
      </c>
      <c r="AU417" s="9">
        <f>IF(RIGHT(TIM[[#This Row],[Device type]],7)="Winding","-",TIM[[#This Row],[Cont Shoulder MVA]])</f>
        <v>10.802800886807086</v>
      </c>
      <c r="AV417" s="9">
        <f>IF(RIGHT(TIM[[#This Row],[Device type]],7)="Winding","-",TIM[[#This Row],[Cont Summer MVA]])</f>
        <v>10.802800886807086</v>
      </c>
      <c r="AW417" s="9" t="str">
        <f>TIM[[#This Row],[24 Hr Winter MVA]]</f>
        <v>-</v>
      </c>
      <c r="AX417" s="9" t="str">
        <f>TIM[[#This Row],[24 Hr Summer MVA]]</f>
        <v>-</v>
      </c>
      <c r="AY417" s="9" t="str">
        <f>TIM[[#This Row],[Forwards MVA]]</f>
        <v>-</v>
      </c>
      <c r="AZ417" s="9" t="str">
        <f>TIM[[#This Row],[Relay MVA]]</f>
        <v>-</v>
      </c>
      <c r="BA417" s="9" t="str">
        <f>TIM[[#This Row],[CT MVA]]</f>
        <v>-</v>
      </c>
      <c r="BB417" s="9">
        <f>TIM[[#This Row],[Derating MVA]]</f>
        <v>7.9022488486993847</v>
      </c>
      <c r="BC417" s="9" t="str">
        <f>TIM[[#This Row],[Station/Feeder]]&amp;TIM[[#This Row],[Lowest MVA]]</f>
        <v>-7.90224884869938</v>
      </c>
      <c r="BD417" s="9" t="str">
        <f>CONCATENATE(TIM[[#This Row],[Supply Level]],TIM[[#This Row],[Station/Feeder]],TIM[[#This Row],[Voltage]],TIM[[#This Row],[Lowest A-No PTX]])</f>
        <v>Switching Station-11414.7605</v>
      </c>
      <c r="BE417" s="9" t="str">
        <f>CONCATENATE(TIM[[#This Row],[Supply Level]],TIM[[#This Row],[Station/Feeder]],TIM[[#This Row],[Voltage]],TIM[[#This Row],[Lowest A-PTX]])</f>
        <v>Switching Station-11414.7605</v>
      </c>
      <c r="BF417" s="9">
        <f>IFERROR(IF(MIN(TIM[[#This Row],[Summ Cont Winter A]:[Cable Derating]])=0,"",MIN(TIM[[#This Row],[Summ Cont Winter A]:[Cable Derating]])),"")</f>
        <v>7.9022488486993847</v>
      </c>
      <c r="BG417" s="9">
        <f>IFERROR(TIM[[#This Row],[Lowest MVA]]*1000/(TIM[[#This Row],[Voltage]]*SQRT(3)),"")</f>
        <v>414.76049999999998</v>
      </c>
      <c r="BH417" s="9">
        <f t="shared" si="506"/>
        <v>414.76049999999998</v>
      </c>
      <c r="BI417" s="9" t="str">
        <f>TIM[[#This Row],[From]]</f>
        <v>Joint</v>
      </c>
      <c r="BJ417" s="9" t="str">
        <f>TIM[[#This Row],[To]]</f>
        <v>L904</v>
      </c>
      <c r="BK417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417" s="9">
        <f>TIM[[#This Row],[Voltage]]</f>
        <v>11</v>
      </c>
    </row>
    <row r="418" spans="1:64" ht="15" hidden="1" customHeight="1" x14ac:dyDescent="0.25">
      <c r="A418" s="6" t="str">
        <f>CONCATENATE(TIM[[#This Row],[Supply Level]],TIM[[#This Row],[Station/Feeder]],TIM[[#This Row],[Voltage]])</f>
        <v>Switching Station-11</v>
      </c>
      <c r="B418" s="6" t="str">
        <f>CONCATENATE(TIM[[#This Row],[Supply Level]],TIM[[#This Row],[Station/Feeder]],TIM[[#This Row],[Equipment ID]],TIM[[#This Row],[Voltage]],TIM[[#This Row],[Device type]])</f>
        <v>Switching Station-3/1c 1000mm² AL XLPE CWS MDPE Screened11-</v>
      </c>
      <c r="C418" s="6" t="s">
        <v>68</v>
      </c>
      <c r="D418" s="11" t="s">
        <v>0</v>
      </c>
      <c r="E418" s="6" t="s">
        <v>804</v>
      </c>
      <c r="F418" s="6" t="s">
        <v>750</v>
      </c>
      <c r="G418" s="27" t="s">
        <v>0</v>
      </c>
      <c r="H418" s="7" t="s">
        <v>1107</v>
      </c>
      <c r="I418" s="7" t="s">
        <v>1105</v>
      </c>
      <c r="J418" s="7" t="s">
        <v>250</v>
      </c>
      <c r="K418" s="7" t="s">
        <v>0</v>
      </c>
      <c r="L418" s="7" t="s">
        <v>0</v>
      </c>
      <c r="M418" s="8">
        <v>11</v>
      </c>
      <c r="N418" s="9">
        <v>728</v>
      </c>
      <c r="O418" s="9">
        <f t="shared" si="0"/>
        <v>13.870262867011569</v>
      </c>
      <c r="P418" s="9">
        <v>728</v>
      </c>
      <c r="Q418" s="9">
        <f t="shared" si="1"/>
        <v>13.870262867011569</v>
      </c>
      <c r="R418" s="9">
        <v>728</v>
      </c>
      <c r="S418" s="9">
        <f t="shared" si="2"/>
        <v>13.870262867011569</v>
      </c>
      <c r="T418" s="9" t="s">
        <v>0</v>
      </c>
      <c r="U418" s="9" t="str">
        <f t="shared" si="3"/>
        <v>-</v>
      </c>
      <c r="V418" s="9" t="s">
        <v>0</v>
      </c>
      <c r="W418" s="9" t="str">
        <f t="shared" si="4"/>
        <v>-</v>
      </c>
      <c r="X418" s="9" t="s">
        <v>0</v>
      </c>
      <c r="Y418" s="9" t="str">
        <f t="shared" si="5"/>
        <v>-</v>
      </c>
      <c r="Z418" s="9" t="s">
        <v>0</v>
      </c>
      <c r="AA418" s="9" t="str">
        <f t="shared" si="6"/>
        <v>-</v>
      </c>
      <c r="AB418" s="9" t="s">
        <v>0</v>
      </c>
      <c r="AC418" s="9" t="str">
        <f t="shared" si="7"/>
        <v>-</v>
      </c>
      <c r="AD418" s="9" t="s">
        <v>0</v>
      </c>
      <c r="AE418" s="12" t="str">
        <f t="shared" si="8"/>
        <v>-</v>
      </c>
      <c r="AF418" s="9" t="s">
        <v>713</v>
      </c>
      <c r="AG418" s="29" t="s">
        <v>1452</v>
      </c>
      <c r="AH418" s="8">
        <v>3575</v>
      </c>
      <c r="AI418" s="29">
        <v>1</v>
      </c>
      <c r="AJ418" s="32">
        <v>1</v>
      </c>
      <c r="AK418" s="29">
        <v>15</v>
      </c>
      <c r="AL418" s="32">
        <v>1</v>
      </c>
      <c r="AM418" s="29">
        <v>1.2</v>
      </c>
      <c r="AN418" s="32">
        <v>1</v>
      </c>
      <c r="AO418" s="29">
        <v>4</v>
      </c>
      <c r="AP418" s="29">
        <v>0.5</v>
      </c>
      <c r="AQ418" s="32">
        <v>0.81200000000000006</v>
      </c>
      <c r="AR418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591.13600000000008</v>
      </c>
      <c r="AS418" s="9">
        <f t="shared" si="9"/>
        <v>11.262653448013396</v>
      </c>
      <c r="AT418" s="9">
        <f>IF(RIGHT(TIM[[#This Row],[Device type]],7)="Winding","-",TIM[[#This Row],[Cont Winter MVA]])</f>
        <v>13.870262867011569</v>
      </c>
      <c r="AU418" s="9">
        <f>IF(RIGHT(TIM[[#This Row],[Device type]],7)="Winding","-",TIM[[#This Row],[Cont Shoulder MVA]])</f>
        <v>13.870262867011569</v>
      </c>
      <c r="AV418" s="9">
        <f>IF(RIGHT(TIM[[#This Row],[Device type]],7)="Winding","-",TIM[[#This Row],[Cont Summer MVA]])</f>
        <v>13.870262867011569</v>
      </c>
      <c r="AW418" s="9" t="str">
        <f>TIM[[#This Row],[24 Hr Winter MVA]]</f>
        <v>-</v>
      </c>
      <c r="AX418" s="9" t="str">
        <f>TIM[[#This Row],[24 Hr Summer MVA]]</f>
        <v>-</v>
      </c>
      <c r="AY418" s="9" t="str">
        <f>TIM[[#This Row],[Forwards MVA]]</f>
        <v>-</v>
      </c>
      <c r="AZ418" s="9" t="str">
        <f>TIM[[#This Row],[Relay MVA]]</f>
        <v>-</v>
      </c>
      <c r="BA418" s="9" t="str">
        <f>TIM[[#This Row],[CT MVA]]</f>
        <v>-</v>
      </c>
      <c r="BB418" s="9">
        <f>TIM[[#This Row],[Derating MVA]]</f>
        <v>11.262653448013396</v>
      </c>
      <c r="BC418" s="9" t="str">
        <f>TIM[[#This Row],[Station/Feeder]]&amp;TIM[[#This Row],[Lowest MVA]]</f>
        <v>-11.2626534480134</v>
      </c>
      <c r="BD418" s="9" t="str">
        <f>CONCATENATE(TIM[[#This Row],[Supply Level]],TIM[[#This Row],[Station/Feeder]],TIM[[#This Row],[Voltage]],TIM[[#This Row],[Lowest A-No PTX]])</f>
        <v>Switching Station-11591.136</v>
      </c>
      <c r="BE418" s="9" t="str">
        <f>CONCATENATE(TIM[[#This Row],[Supply Level]],TIM[[#This Row],[Station/Feeder]],TIM[[#This Row],[Voltage]],TIM[[#This Row],[Lowest A-PTX]])</f>
        <v>Switching Station-11591.136</v>
      </c>
      <c r="BF418" s="9">
        <f>IFERROR(IF(MIN(TIM[[#This Row],[Summ Cont Winter A]:[Cable Derating]])=0,"",MIN(TIM[[#This Row],[Summ Cont Winter A]:[Cable Derating]])),"")</f>
        <v>11.262653448013396</v>
      </c>
      <c r="BG418" s="9">
        <f>IFERROR(TIM[[#This Row],[Lowest MVA]]*1000/(TIM[[#This Row],[Voltage]]*SQRT(3)),"")</f>
        <v>591.13600000000008</v>
      </c>
      <c r="BH418" s="9">
        <f t="shared" si="506"/>
        <v>591.13600000000008</v>
      </c>
      <c r="BI418" s="9" t="str">
        <f>TIM[[#This Row],[From]]</f>
        <v>CB2672</v>
      </c>
      <c r="BJ418" s="9" t="str">
        <f>TIM[[#This Row],[To]]</f>
        <v>Joint</v>
      </c>
      <c r="BK418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1000mm² AL XLPE CWS MDPE Screened</v>
      </c>
      <c r="BL418" s="9">
        <f>TIM[[#This Row],[Voltage]]</f>
        <v>11</v>
      </c>
    </row>
    <row r="419" spans="1:64" ht="15" hidden="1" customHeight="1" x14ac:dyDescent="0.25">
      <c r="A419" s="6" t="str">
        <f>CONCATENATE(TIM[[#This Row],[Supply Level]],TIM[[#This Row],[Station/Feeder]],TIM[[#This Row],[Voltage]])</f>
        <v>Switching Station-11</v>
      </c>
      <c r="B419" s="6" t="str">
        <f>CONCATENATE(TIM[[#This Row],[Supply Level]],TIM[[#This Row],[Station/Feeder]],TIM[[#This Row],[Equipment ID]],TIM[[#This Row],[Voltage]],TIM[[#This Row],[Device type]])</f>
        <v>Switching Station-3/1c 400mm² AL XLPE HDPE Screened11-</v>
      </c>
      <c r="C419" s="6" t="s">
        <v>68</v>
      </c>
      <c r="D419" s="11" t="s">
        <v>0</v>
      </c>
      <c r="E419" s="6" t="s">
        <v>750</v>
      </c>
      <c r="F419" s="6" t="s">
        <v>1108</v>
      </c>
      <c r="G419" s="27" t="s">
        <v>0</v>
      </c>
      <c r="H419" s="7" t="s">
        <v>1107</v>
      </c>
      <c r="I419" s="7" t="s">
        <v>819</v>
      </c>
      <c r="J419" s="7" t="s">
        <v>250</v>
      </c>
      <c r="K419" s="7" t="s">
        <v>0</v>
      </c>
      <c r="L419" s="7" t="s">
        <v>0</v>
      </c>
      <c r="M419" s="8">
        <v>11</v>
      </c>
      <c r="N419" s="9">
        <v>537</v>
      </c>
      <c r="O419" s="9">
        <f t="shared" si="0"/>
        <v>10.231224120309358</v>
      </c>
      <c r="P419" s="9">
        <v>537</v>
      </c>
      <c r="Q419" s="9">
        <f t="shared" si="1"/>
        <v>10.231224120309358</v>
      </c>
      <c r="R419" s="9">
        <v>537</v>
      </c>
      <c r="S419" s="9">
        <f t="shared" si="2"/>
        <v>10.231224120309358</v>
      </c>
      <c r="T419" s="9" t="s">
        <v>0</v>
      </c>
      <c r="U419" s="9" t="str">
        <f>IF(OR(T419="",T419="-"),"-",T419*$M419*SQRT(3)/1000)</f>
        <v>-</v>
      </c>
      <c r="V419" s="9" t="s">
        <v>0</v>
      </c>
      <c r="W419" s="9" t="str">
        <f>IF(OR(V419="",V419="-"),"-",V419*$M419*SQRT(3)/1000)</f>
        <v>-</v>
      </c>
      <c r="X419" s="9" t="s">
        <v>0</v>
      </c>
      <c r="Y419" s="9" t="str">
        <f>IF(OR(X419="",X419="-"),"-",X419*$M419*SQRT(3)/1000)</f>
        <v>-</v>
      </c>
      <c r="Z419" s="9" t="s">
        <v>0</v>
      </c>
      <c r="AA419" s="9" t="str">
        <f>IF(OR(Z419="",Z419="-"),"-",Z419*$M419*SQRT(3)/1000)</f>
        <v>-</v>
      </c>
      <c r="AB419" s="9" t="s">
        <v>0</v>
      </c>
      <c r="AC419" s="9" t="str">
        <f>IF(OR(AB419="",AB419="-"),"-",AB419*$M419*SQRT(3)/1000)</f>
        <v>-</v>
      </c>
      <c r="AD419" s="9" t="s">
        <v>0</v>
      </c>
      <c r="AE419" s="12" t="str">
        <f>IF(OR(AD419="",AD419="-"),"-",AD419*$M419*SQRT(3)/1000)</f>
        <v>-</v>
      </c>
      <c r="AF419" s="9" t="s">
        <v>713</v>
      </c>
      <c r="AG419" s="9" t="s">
        <v>0</v>
      </c>
      <c r="AH419" s="9">
        <v>20</v>
      </c>
      <c r="AI419" s="9">
        <v>1</v>
      </c>
      <c r="AJ419" s="32">
        <v>1</v>
      </c>
      <c r="AK419" s="9">
        <v>20</v>
      </c>
      <c r="AL419" s="32">
        <v>0.95</v>
      </c>
      <c r="AM419" s="9">
        <v>1.2</v>
      </c>
      <c r="AN419" s="32">
        <v>1</v>
      </c>
      <c r="AO419" s="9">
        <v>4</v>
      </c>
      <c r="AP419" s="9">
        <v>0.3</v>
      </c>
      <c r="AQ419" s="32">
        <v>0.77</v>
      </c>
      <c r="AR419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392.81549999999999</v>
      </c>
      <c r="AS419" s="9">
        <f>IF(OR(AR419="",AR419="-"),"-",AR419*$M419*SQRT(3)/1000)</f>
        <v>7.484140444006294</v>
      </c>
      <c r="AT419" s="9">
        <f>IF(RIGHT(TIM[[#This Row],[Device type]],7)="Winding","-",TIM[[#This Row],[Cont Winter MVA]])</f>
        <v>10.231224120309358</v>
      </c>
      <c r="AU419" s="9">
        <f>IF(RIGHT(TIM[[#This Row],[Device type]],7)="Winding","-",TIM[[#This Row],[Cont Shoulder MVA]])</f>
        <v>10.231224120309358</v>
      </c>
      <c r="AV419" s="9">
        <f>IF(RIGHT(TIM[[#This Row],[Device type]],7)="Winding","-",TIM[[#This Row],[Cont Summer MVA]])</f>
        <v>10.231224120309358</v>
      </c>
      <c r="AW419" s="9" t="str">
        <f>TIM[[#This Row],[24 Hr Winter MVA]]</f>
        <v>-</v>
      </c>
      <c r="AX419" s="9" t="str">
        <f>TIM[[#This Row],[24 Hr Summer MVA]]</f>
        <v>-</v>
      </c>
      <c r="AY419" s="9" t="str">
        <f>TIM[[#This Row],[Forwards MVA]]</f>
        <v>-</v>
      </c>
      <c r="AZ419" s="9" t="str">
        <f>TIM[[#This Row],[Relay MVA]]</f>
        <v>-</v>
      </c>
      <c r="BA419" s="9" t="str">
        <f>TIM[[#This Row],[CT MVA]]</f>
        <v>-</v>
      </c>
      <c r="BB419" s="9">
        <f>TIM[[#This Row],[Derating MVA]]</f>
        <v>7.484140444006294</v>
      </c>
      <c r="BC419" s="9" t="str">
        <f>TIM[[#This Row],[Station/Feeder]]&amp;TIM[[#This Row],[Lowest MVA]]</f>
        <v>-7.48414044400629</v>
      </c>
      <c r="BD419" s="9" t="str">
        <f>CONCATENATE(TIM[[#This Row],[Supply Level]],TIM[[#This Row],[Station/Feeder]],TIM[[#This Row],[Voltage]],TIM[[#This Row],[Lowest A-No PTX]])</f>
        <v>Switching Station-11392.8155</v>
      </c>
      <c r="BE419" s="9" t="str">
        <f>CONCATENATE(TIM[[#This Row],[Supply Level]],TIM[[#This Row],[Station/Feeder]],TIM[[#This Row],[Voltage]],TIM[[#This Row],[Lowest A-PTX]])</f>
        <v>Switching Station-11392.8155</v>
      </c>
      <c r="BF419" s="9">
        <f>IFERROR(IF(MIN(TIM[[#This Row],[Summ Cont Winter A]:[Cable Derating]])=0,"",MIN(TIM[[#This Row],[Summ Cont Winter A]:[Cable Derating]])),"")</f>
        <v>7.484140444006294</v>
      </c>
      <c r="BG419" s="9">
        <f>IFERROR(TIM[[#This Row],[Lowest MVA]]*1000/(TIM[[#This Row],[Voltage]]*SQRT(3)),"")</f>
        <v>392.81549999999993</v>
      </c>
      <c r="BH419" s="9">
        <f t="shared" si="506"/>
        <v>392.81549999999999</v>
      </c>
      <c r="BI419" s="9" t="str">
        <f>TIM[[#This Row],[From]]</f>
        <v>Joint</v>
      </c>
      <c r="BJ419" s="9" t="str">
        <f>TIM[[#This Row],[To]]</f>
        <v>L910</v>
      </c>
      <c r="BK419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419" s="9">
        <f>TIM[[#This Row],[Voltage]]</f>
        <v>11</v>
      </c>
    </row>
    <row r="420" spans="1:64" ht="15" hidden="1" customHeight="1" x14ac:dyDescent="0.25">
      <c r="A420" s="6" t="str">
        <f>CONCATENATE(TIM[[#This Row],[Supply Level]],TIM[[#This Row],[Station/Feeder]],TIM[[#This Row],[Voltage]])</f>
        <v>Switching Station-11</v>
      </c>
      <c r="B420" s="6" t="str">
        <f>CONCATENATE(TIM[[#This Row],[Supply Level]],TIM[[#This Row],[Station/Feeder]],TIM[[#This Row],[Equipment ID]],TIM[[#This Row],[Voltage]],TIM[[#This Row],[Device type]])</f>
        <v>Switching Station-3/1c 400mm² AL XLPE HDPE Screened11-</v>
      </c>
      <c r="C420" s="6" t="s">
        <v>68</v>
      </c>
      <c r="D420" s="11" t="s">
        <v>0</v>
      </c>
      <c r="E420" s="6" t="s">
        <v>806</v>
      </c>
      <c r="F420" s="6" t="s">
        <v>750</v>
      </c>
      <c r="G420" s="27" t="s">
        <v>0</v>
      </c>
      <c r="H420" s="7" t="s">
        <v>1109</v>
      </c>
      <c r="I420" s="7" t="s">
        <v>819</v>
      </c>
      <c r="J420" s="7" t="s">
        <v>250</v>
      </c>
      <c r="K420" s="7" t="s">
        <v>0</v>
      </c>
      <c r="L420" s="7" t="s">
        <v>0</v>
      </c>
      <c r="M420" s="8">
        <v>11</v>
      </c>
      <c r="N420" s="9">
        <v>345</v>
      </c>
      <c r="O420" s="9">
        <f t="shared" si="0"/>
        <v>6.5731328147238894</v>
      </c>
      <c r="P420" s="9">
        <v>345</v>
      </c>
      <c r="Q420" s="9">
        <f t="shared" si="1"/>
        <v>6.5731328147238894</v>
      </c>
      <c r="R420" s="9">
        <v>345</v>
      </c>
      <c r="S420" s="9">
        <f t="shared" si="2"/>
        <v>6.5731328147238894</v>
      </c>
      <c r="T420" s="9" t="s">
        <v>0</v>
      </c>
      <c r="U420" s="9" t="str">
        <f>IF(OR(T420="",T420="-"),"-",T420*$M420*SQRT(3)/1000)</f>
        <v>-</v>
      </c>
      <c r="V420" s="9" t="s">
        <v>0</v>
      </c>
      <c r="W420" s="9" t="str">
        <f>IF(OR(V420="",V420="-"),"-",V420*$M420*SQRT(3)/1000)</f>
        <v>-</v>
      </c>
      <c r="X420" s="9" t="s">
        <v>0</v>
      </c>
      <c r="Y420" s="9" t="str">
        <f>IF(OR(X420="",X420="-"),"-",X420*$M420*SQRT(3)/1000)</f>
        <v>-</v>
      </c>
      <c r="Z420" s="9" t="s">
        <v>0</v>
      </c>
      <c r="AA420" s="9" t="str">
        <f>IF(OR(Z420="",Z420="-"),"-",Z420*$M420*SQRT(3)/1000)</f>
        <v>-</v>
      </c>
      <c r="AB420" s="9" t="s">
        <v>0</v>
      </c>
      <c r="AC420" s="9" t="str">
        <f>IF(OR(AB420="",AB420="-"),"-",AB420*$M420*SQRT(3)/1000)</f>
        <v>-</v>
      </c>
      <c r="AD420" s="9" t="s">
        <v>0</v>
      </c>
      <c r="AE420" s="12" t="str">
        <f>IF(OR(AD420="",AD420="-"),"-",AD420*$M420*SQRT(3)/1000)</f>
        <v>-</v>
      </c>
      <c r="AF420" s="9">
        <v>3</v>
      </c>
      <c r="AG420" s="9" t="s">
        <v>0</v>
      </c>
      <c r="AH420" s="8">
        <v>96.7</v>
      </c>
      <c r="AI420" s="9">
        <v>0.9</v>
      </c>
      <c r="AJ420" s="32">
        <v>1.03</v>
      </c>
      <c r="AK420" s="9">
        <v>20</v>
      </c>
      <c r="AL420" s="32">
        <v>0.95</v>
      </c>
      <c r="AM420" s="9">
        <v>1.2</v>
      </c>
      <c r="AN420" s="32">
        <v>1</v>
      </c>
      <c r="AO420" s="9">
        <v>4</v>
      </c>
      <c r="AP420" s="9">
        <v>0.15</v>
      </c>
      <c r="AQ420" s="32">
        <v>0.7</v>
      </c>
      <c r="AR420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236.30774999999997</v>
      </c>
      <c r="AS420" s="9">
        <f>IF(OR(AR420="",AR420="-"),"-",AR420*$M420*SQRT(3)/1000)</f>
        <v>4.5022673214451272</v>
      </c>
      <c r="AT420" s="9">
        <f>IF(RIGHT(TIM[[#This Row],[Device type]],7)="Winding","-",TIM[[#This Row],[Cont Winter MVA]])</f>
        <v>6.5731328147238894</v>
      </c>
      <c r="AU420" s="9">
        <f>IF(RIGHT(TIM[[#This Row],[Device type]],7)="Winding","-",TIM[[#This Row],[Cont Shoulder MVA]])</f>
        <v>6.5731328147238894</v>
      </c>
      <c r="AV420" s="9">
        <f>IF(RIGHT(TIM[[#This Row],[Device type]],7)="Winding","-",TIM[[#This Row],[Cont Summer MVA]])</f>
        <v>6.5731328147238894</v>
      </c>
      <c r="AW420" s="9" t="str">
        <f>TIM[[#This Row],[24 Hr Winter MVA]]</f>
        <v>-</v>
      </c>
      <c r="AX420" s="9" t="str">
        <f>TIM[[#This Row],[24 Hr Summer MVA]]</f>
        <v>-</v>
      </c>
      <c r="AY420" s="9" t="str">
        <f>TIM[[#This Row],[Forwards MVA]]</f>
        <v>-</v>
      </c>
      <c r="AZ420" s="9" t="str">
        <f>TIM[[#This Row],[Relay MVA]]</f>
        <v>-</v>
      </c>
      <c r="BA420" s="9" t="str">
        <f>TIM[[#This Row],[CT MVA]]</f>
        <v>-</v>
      </c>
      <c r="BB420" s="9">
        <f>TIM[[#This Row],[Derating MVA]]</f>
        <v>4.5022673214451272</v>
      </c>
      <c r="BC420" s="9" t="str">
        <f>TIM[[#This Row],[Station/Feeder]]&amp;TIM[[#This Row],[Lowest MVA]]</f>
        <v>-4.50226732144513</v>
      </c>
      <c r="BD420" s="9" t="str">
        <f>CONCATENATE(TIM[[#This Row],[Supply Level]],TIM[[#This Row],[Station/Feeder]],TIM[[#This Row],[Voltage]],TIM[[#This Row],[Lowest A-No PTX]])</f>
        <v>Switching Station-11236.30775</v>
      </c>
      <c r="BE420" s="9" t="str">
        <f>CONCATENATE(TIM[[#This Row],[Supply Level]],TIM[[#This Row],[Station/Feeder]],TIM[[#This Row],[Voltage]],TIM[[#This Row],[Lowest A-PTX]])</f>
        <v>Switching Station-11236.30775</v>
      </c>
      <c r="BF420" s="9">
        <f>IFERROR(IF(MIN(TIM[[#This Row],[Summ Cont Winter A]:[Cable Derating]])=0,"",MIN(TIM[[#This Row],[Summ Cont Winter A]:[Cable Derating]])),"")</f>
        <v>4.5022673214451272</v>
      </c>
      <c r="BG420" s="9">
        <f>IFERROR(TIM[[#This Row],[Lowest MVA]]*1000/(TIM[[#This Row],[Voltage]]*SQRT(3)),"")</f>
        <v>236.30774999999994</v>
      </c>
      <c r="BH420" s="9">
        <f t="shared" si="506"/>
        <v>236.30774999999997</v>
      </c>
      <c r="BI420" s="9" t="str">
        <f>TIM[[#This Row],[From]]</f>
        <v>CB2682</v>
      </c>
      <c r="BJ420" s="9" t="str">
        <f>TIM[[#This Row],[To]]</f>
        <v>Joint</v>
      </c>
      <c r="BK420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420" s="9">
        <f>TIM[[#This Row],[Voltage]]</f>
        <v>11</v>
      </c>
    </row>
    <row r="421" spans="1:64" ht="15" hidden="1" customHeight="1" x14ac:dyDescent="0.25">
      <c r="A421" s="6" t="str">
        <f>CONCATENATE(TIM[[#This Row],[Supply Level]],TIM[[#This Row],[Station/Feeder]],TIM[[#This Row],[Voltage]])</f>
        <v>Switching Station-11</v>
      </c>
      <c r="B421" s="6" t="str">
        <f>CONCATENATE(TIM[[#This Row],[Supply Level]],TIM[[#This Row],[Station/Feeder]],TIM[[#This Row],[Equipment ID]],TIM[[#This Row],[Voltage]],TIM[[#This Row],[Device type]])</f>
        <v>Switching Station-3c 240mm²  AL PILC 11-</v>
      </c>
      <c r="C421" s="6" t="s">
        <v>68</v>
      </c>
      <c r="D421" s="11" t="s">
        <v>0</v>
      </c>
      <c r="E421" s="6" t="s">
        <v>750</v>
      </c>
      <c r="F421" s="6" t="s">
        <v>1110</v>
      </c>
      <c r="G421" s="27" t="s">
        <v>0</v>
      </c>
      <c r="H421" s="7" t="s">
        <v>1109</v>
      </c>
      <c r="I421" s="7" t="s">
        <v>1111</v>
      </c>
      <c r="J421" s="7" t="s">
        <v>250</v>
      </c>
      <c r="K421" s="7" t="s">
        <v>0</v>
      </c>
      <c r="L421" s="7" t="s">
        <v>0</v>
      </c>
      <c r="M421" s="8">
        <v>11</v>
      </c>
      <c r="N421" s="9">
        <v>537</v>
      </c>
      <c r="O421" s="9">
        <f t="shared" si="0"/>
        <v>10.231224120309358</v>
      </c>
      <c r="P421" s="9">
        <v>537</v>
      </c>
      <c r="Q421" s="9">
        <f t="shared" si="1"/>
        <v>10.231224120309358</v>
      </c>
      <c r="R421" s="9">
        <v>537</v>
      </c>
      <c r="S421" s="9">
        <f t="shared" si="2"/>
        <v>10.231224120309358</v>
      </c>
      <c r="T421" s="9" t="s">
        <v>0</v>
      </c>
      <c r="U421" s="9" t="str">
        <f>IF(OR(T421="",T421="-"),"-",T421*$M421*SQRT(3)/1000)</f>
        <v>-</v>
      </c>
      <c r="V421" s="9" t="s">
        <v>0</v>
      </c>
      <c r="W421" s="9" t="str">
        <f>IF(OR(V421="",V421="-"),"-",V421*$M421*SQRT(3)/1000)</f>
        <v>-</v>
      </c>
      <c r="X421" s="9" t="s">
        <v>0</v>
      </c>
      <c r="Y421" s="9" t="str">
        <f>IF(OR(X421="",X421="-"),"-",X421*$M421*SQRT(3)/1000)</f>
        <v>-</v>
      </c>
      <c r="Z421" s="9" t="s">
        <v>0</v>
      </c>
      <c r="AA421" s="9" t="str">
        <f>IF(OR(Z421="",Z421="-"),"-",Z421*$M421*SQRT(3)/1000)</f>
        <v>-</v>
      </c>
      <c r="AB421" s="9" t="s">
        <v>0</v>
      </c>
      <c r="AC421" s="9" t="str">
        <f>IF(OR(AB421="",AB421="-"),"-",AB421*$M421*SQRT(3)/1000)</f>
        <v>-</v>
      </c>
      <c r="AD421" s="9" t="s">
        <v>0</v>
      </c>
      <c r="AE421" s="12" t="str">
        <f>IF(OR(AD421="",AD421="-"),"-",AD421*$M421*SQRT(3)/1000)</f>
        <v>-</v>
      </c>
      <c r="AF421" s="9">
        <v>3</v>
      </c>
      <c r="AG421" s="9" t="s">
        <v>0</v>
      </c>
      <c r="AH421" s="9">
        <v>3</v>
      </c>
      <c r="AI421" s="9">
        <v>0.91</v>
      </c>
      <c r="AJ421" s="32">
        <v>1.03</v>
      </c>
      <c r="AK421" s="9">
        <v>20</v>
      </c>
      <c r="AL421" s="32">
        <v>0.95</v>
      </c>
      <c r="AM421" s="9">
        <v>1.2</v>
      </c>
      <c r="AN421" s="32">
        <v>1</v>
      </c>
      <c r="AO421" s="9">
        <v>4</v>
      </c>
      <c r="AP421" s="9">
        <v>0.15</v>
      </c>
      <c r="AQ421" s="32">
        <v>0.7</v>
      </c>
      <c r="AR421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367.81814999999995</v>
      </c>
      <c r="AS421" s="9">
        <f>IF(OR(AR421="",AR421="-"),"-",AR421*$M421*SQRT(3)/1000)</f>
        <v>7.0078769612058931</v>
      </c>
      <c r="AT421" s="9">
        <f>IF(RIGHT(TIM[[#This Row],[Device type]],7)="Winding","-",TIM[[#This Row],[Cont Winter MVA]])</f>
        <v>10.231224120309358</v>
      </c>
      <c r="AU421" s="9">
        <f>IF(RIGHT(TIM[[#This Row],[Device type]],7)="Winding","-",TIM[[#This Row],[Cont Shoulder MVA]])</f>
        <v>10.231224120309358</v>
      </c>
      <c r="AV421" s="9">
        <f>IF(RIGHT(TIM[[#This Row],[Device type]],7)="Winding","-",TIM[[#This Row],[Cont Summer MVA]])</f>
        <v>10.231224120309358</v>
      </c>
      <c r="AW421" s="9" t="str">
        <f>TIM[[#This Row],[24 Hr Winter MVA]]</f>
        <v>-</v>
      </c>
      <c r="AX421" s="9" t="str">
        <f>TIM[[#This Row],[24 Hr Summer MVA]]</f>
        <v>-</v>
      </c>
      <c r="AY421" s="9" t="str">
        <f>TIM[[#This Row],[Forwards MVA]]</f>
        <v>-</v>
      </c>
      <c r="AZ421" s="9" t="str">
        <f>TIM[[#This Row],[Relay MVA]]</f>
        <v>-</v>
      </c>
      <c r="BA421" s="9" t="str">
        <f>TIM[[#This Row],[CT MVA]]</f>
        <v>-</v>
      </c>
      <c r="BB421" s="9">
        <f>TIM[[#This Row],[Derating MVA]]</f>
        <v>7.0078769612058931</v>
      </c>
      <c r="BC421" s="9" t="str">
        <f>TIM[[#This Row],[Station/Feeder]]&amp;TIM[[#This Row],[Lowest MVA]]</f>
        <v>-7.00787696120589</v>
      </c>
      <c r="BD421" s="9" t="str">
        <f>CONCATENATE(TIM[[#This Row],[Supply Level]],TIM[[#This Row],[Station/Feeder]],TIM[[#This Row],[Voltage]],TIM[[#This Row],[Lowest A-No PTX]])</f>
        <v>Switching Station-11367.81815</v>
      </c>
      <c r="BE421" s="9" t="str">
        <f>CONCATENATE(TIM[[#This Row],[Supply Level]],TIM[[#This Row],[Station/Feeder]],TIM[[#This Row],[Voltage]],TIM[[#This Row],[Lowest A-PTX]])</f>
        <v>Switching Station-11367.81815</v>
      </c>
      <c r="BF421" s="9">
        <f>IFERROR(IF(MIN(TIM[[#This Row],[Summ Cont Winter A]:[Cable Derating]])=0,"",MIN(TIM[[#This Row],[Summ Cont Winter A]:[Cable Derating]])),"")</f>
        <v>7.0078769612058931</v>
      </c>
      <c r="BG421" s="9">
        <f>IFERROR(TIM[[#This Row],[Lowest MVA]]*1000/(TIM[[#This Row],[Voltage]]*SQRT(3)),"")</f>
        <v>367.81814999999995</v>
      </c>
      <c r="BH421" s="9">
        <f t="shared" si="506"/>
        <v>367.81814999999995</v>
      </c>
      <c r="BI421" s="9" t="str">
        <f>TIM[[#This Row],[From]]</f>
        <v>Joint</v>
      </c>
      <c r="BJ421" s="9" t="str">
        <f>TIM[[#This Row],[To]]</f>
        <v>L1080</v>
      </c>
      <c r="BK421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 xml:space="preserve">Cable-3c 240mm²  AL PILC </v>
      </c>
      <c r="BL421" s="9">
        <f>TIM[[#This Row],[Voltage]]</f>
        <v>11</v>
      </c>
    </row>
    <row r="422" spans="1:64" ht="15" hidden="1" customHeight="1" x14ac:dyDescent="0.25">
      <c r="A422" s="6" t="str">
        <f>CONCATENATE(TIM[[#This Row],[Supply Level]],TIM[[#This Row],[Station/Feeder]],TIM[[#This Row],[Voltage]])</f>
        <v>Switching Station-11</v>
      </c>
      <c r="B422" s="6" t="str">
        <f>CONCATENATE(TIM[[#This Row],[Supply Level]],TIM[[#This Row],[Station/Feeder]],TIM[[#This Row],[Equipment ID]],TIM[[#This Row],[Voltage]],TIM[[#This Row],[Device type]])</f>
        <v>Switching Station-3/1c 400mm² AL XLPE HDPE Screened11-</v>
      </c>
      <c r="C422" s="6" t="s">
        <v>68</v>
      </c>
      <c r="D422" s="11" t="s">
        <v>0</v>
      </c>
      <c r="E422" s="6" t="s">
        <v>880</v>
      </c>
      <c r="F422" s="6" t="s">
        <v>750</v>
      </c>
      <c r="G422" s="27" t="s">
        <v>0</v>
      </c>
      <c r="H422" s="7" t="s">
        <v>1112</v>
      </c>
      <c r="I422" s="7" t="s">
        <v>819</v>
      </c>
      <c r="J422" s="7" t="s">
        <v>250</v>
      </c>
      <c r="K422" s="7" t="s">
        <v>0</v>
      </c>
      <c r="L422" s="7" t="s">
        <v>0</v>
      </c>
      <c r="M422" s="8">
        <v>11</v>
      </c>
      <c r="N422" s="9">
        <v>345</v>
      </c>
      <c r="O422" s="9">
        <f t="shared" si="0"/>
        <v>6.5731328147238894</v>
      </c>
      <c r="P422" s="9">
        <v>345</v>
      </c>
      <c r="Q422" s="9">
        <f t="shared" si="1"/>
        <v>6.5731328147238894</v>
      </c>
      <c r="R422" s="9">
        <v>345</v>
      </c>
      <c r="S422" s="9">
        <f t="shared" si="2"/>
        <v>6.5731328147238894</v>
      </c>
      <c r="T422" s="9" t="s">
        <v>0</v>
      </c>
      <c r="U422" s="9" t="str">
        <f>IF(OR(T422="",T422="-"),"-",T422*$M422*SQRT(3)/1000)</f>
        <v>-</v>
      </c>
      <c r="V422" s="9" t="s">
        <v>0</v>
      </c>
      <c r="W422" s="9" t="str">
        <f>IF(OR(V422="",V422="-"),"-",V422*$M422*SQRT(3)/1000)</f>
        <v>-</v>
      </c>
      <c r="X422" s="9" t="s">
        <v>0</v>
      </c>
      <c r="Y422" s="9" t="str">
        <f>IF(OR(X422="",X422="-"),"-",X422*$M422*SQRT(3)/1000)</f>
        <v>-</v>
      </c>
      <c r="Z422" s="9" t="s">
        <v>0</v>
      </c>
      <c r="AA422" s="9" t="str">
        <f>IF(OR(Z422="",Z422="-"),"-",Z422*$M422*SQRT(3)/1000)</f>
        <v>-</v>
      </c>
      <c r="AB422" s="9" t="s">
        <v>0</v>
      </c>
      <c r="AC422" s="9" t="str">
        <f>IF(OR(AB422="",AB422="-"),"-",AB422*$M422*SQRT(3)/1000)</f>
        <v>-</v>
      </c>
      <c r="AD422" s="9" t="s">
        <v>0</v>
      </c>
      <c r="AE422" s="12" t="str">
        <f>IF(OR(AD422="",AD422="-"),"-",AD422*$M422*SQRT(3)/1000)</f>
        <v>-</v>
      </c>
      <c r="AF422" s="9">
        <v>3</v>
      </c>
      <c r="AG422" s="9" t="s">
        <v>0</v>
      </c>
      <c r="AH422" s="8">
        <v>111.6</v>
      </c>
      <c r="AI422" s="9">
        <v>0.9</v>
      </c>
      <c r="AJ422" s="32">
        <v>1.03</v>
      </c>
      <c r="AK422" s="9">
        <v>20</v>
      </c>
      <c r="AL422" s="32">
        <v>0.95</v>
      </c>
      <c r="AM422" s="9">
        <v>1.2</v>
      </c>
      <c r="AN422" s="32">
        <v>1</v>
      </c>
      <c r="AO422" s="9">
        <v>4</v>
      </c>
      <c r="AP422" s="9">
        <v>0.15</v>
      </c>
      <c r="AQ422" s="32">
        <v>0.7</v>
      </c>
      <c r="AR422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236.30774999999997</v>
      </c>
      <c r="AS422" s="9">
        <f>IF(OR(AR422="",AR422="-"),"-",AR422*$M422*SQRT(3)/1000)</f>
        <v>4.5022673214451272</v>
      </c>
      <c r="AT422" s="9">
        <f>IF(RIGHT(TIM[[#This Row],[Device type]],7)="Winding","-",TIM[[#This Row],[Cont Winter MVA]])</f>
        <v>6.5731328147238894</v>
      </c>
      <c r="AU422" s="9">
        <f>IF(RIGHT(TIM[[#This Row],[Device type]],7)="Winding","-",TIM[[#This Row],[Cont Shoulder MVA]])</f>
        <v>6.5731328147238894</v>
      </c>
      <c r="AV422" s="9">
        <f>IF(RIGHT(TIM[[#This Row],[Device type]],7)="Winding","-",TIM[[#This Row],[Cont Summer MVA]])</f>
        <v>6.5731328147238894</v>
      </c>
      <c r="AW422" s="9" t="str">
        <f>TIM[[#This Row],[24 Hr Winter MVA]]</f>
        <v>-</v>
      </c>
      <c r="AX422" s="9" t="str">
        <f>TIM[[#This Row],[24 Hr Summer MVA]]</f>
        <v>-</v>
      </c>
      <c r="AY422" s="9" t="str">
        <f>TIM[[#This Row],[Forwards MVA]]</f>
        <v>-</v>
      </c>
      <c r="AZ422" s="9" t="str">
        <f>TIM[[#This Row],[Relay MVA]]</f>
        <v>-</v>
      </c>
      <c r="BA422" s="9" t="str">
        <f>TIM[[#This Row],[CT MVA]]</f>
        <v>-</v>
      </c>
      <c r="BB422" s="9">
        <f>TIM[[#This Row],[Derating MVA]]</f>
        <v>4.5022673214451272</v>
      </c>
      <c r="BC422" s="9" t="str">
        <f>TIM[[#This Row],[Station/Feeder]]&amp;TIM[[#This Row],[Lowest MVA]]</f>
        <v>-4.50226732144513</v>
      </c>
      <c r="BD422" s="9" t="str">
        <f>CONCATENATE(TIM[[#This Row],[Supply Level]],TIM[[#This Row],[Station/Feeder]],TIM[[#This Row],[Voltage]],TIM[[#This Row],[Lowest A-No PTX]])</f>
        <v>Switching Station-11236.30775</v>
      </c>
      <c r="BE422" s="9" t="str">
        <f>CONCATENATE(TIM[[#This Row],[Supply Level]],TIM[[#This Row],[Station/Feeder]],TIM[[#This Row],[Voltage]],TIM[[#This Row],[Lowest A-PTX]])</f>
        <v>Switching Station-11236.30775</v>
      </c>
      <c r="BF422" s="9">
        <f>IFERROR(IF(MIN(TIM[[#This Row],[Summ Cont Winter A]:[Cable Derating]])=0,"",MIN(TIM[[#This Row],[Summ Cont Winter A]:[Cable Derating]])),"")</f>
        <v>4.5022673214451272</v>
      </c>
      <c r="BG422" s="9">
        <f>IFERROR(TIM[[#This Row],[Lowest MVA]]*1000/(TIM[[#This Row],[Voltage]]*SQRT(3)),"")</f>
        <v>236.30774999999994</v>
      </c>
      <c r="BH422" s="9">
        <f t="shared" si="506"/>
        <v>236.30774999999997</v>
      </c>
      <c r="BI422" s="9" t="str">
        <f>TIM[[#This Row],[From]]</f>
        <v>CB2992</v>
      </c>
      <c r="BJ422" s="9" t="str">
        <f>TIM[[#This Row],[To]]</f>
        <v>Joint</v>
      </c>
      <c r="BK422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422" s="9">
        <f>TIM[[#This Row],[Voltage]]</f>
        <v>11</v>
      </c>
    </row>
    <row r="423" spans="1:64" ht="15.75" hidden="1" customHeight="1" x14ac:dyDescent="0.25">
      <c r="A423" s="6" t="str">
        <f>CONCATENATE(TIM[[#This Row],[Supply Level]],TIM[[#This Row],[Station/Feeder]],TIM[[#This Row],[Voltage]])</f>
        <v>Switching Station-11</v>
      </c>
      <c r="B423" s="6" t="str">
        <f>CONCATENATE(TIM[[#This Row],[Supply Level]],TIM[[#This Row],[Station/Feeder]],TIM[[#This Row],[Equipment ID]],TIM[[#This Row],[Voltage]],TIM[[#This Row],[Device type]])</f>
        <v>Switching Station-3c 240mm²  AL PILC 11-</v>
      </c>
      <c r="C423" s="6" t="s">
        <v>68</v>
      </c>
      <c r="D423" s="11" t="s">
        <v>0</v>
      </c>
      <c r="E423" s="6" t="s">
        <v>750</v>
      </c>
      <c r="F423" s="6" t="s">
        <v>1113</v>
      </c>
      <c r="G423" s="27" t="s">
        <v>0</v>
      </c>
      <c r="H423" s="7" t="s">
        <v>1112</v>
      </c>
      <c r="I423" s="7" t="s">
        <v>1111</v>
      </c>
      <c r="J423" s="7" t="s">
        <v>250</v>
      </c>
      <c r="K423" s="7" t="s">
        <v>0</v>
      </c>
      <c r="L423" s="7" t="s">
        <v>0</v>
      </c>
      <c r="M423" s="8">
        <v>11</v>
      </c>
      <c r="N423" s="9">
        <v>537</v>
      </c>
      <c r="O423" s="9">
        <f t="shared" si="0"/>
        <v>10.231224120309358</v>
      </c>
      <c r="P423" s="9">
        <v>537</v>
      </c>
      <c r="Q423" s="9">
        <f t="shared" si="1"/>
        <v>10.231224120309358</v>
      </c>
      <c r="R423" s="9">
        <v>537</v>
      </c>
      <c r="S423" s="9">
        <f t="shared" si="2"/>
        <v>10.231224120309358</v>
      </c>
      <c r="T423" s="9" t="s">
        <v>0</v>
      </c>
      <c r="U423" s="9" t="str">
        <f>IF(OR(T423="",T423="-"),"-",T423*$M423*SQRT(3)/1000)</f>
        <v>-</v>
      </c>
      <c r="V423" s="9" t="s">
        <v>0</v>
      </c>
      <c r="W423" s="9" t="str">
        <f>IF(OR(V423="",V423="-"),"-",V423*$M423*SQRT(3)/1000)</f>
        <v>-</v>
      </c>
      <c r="X423" s="9" t="s">
        <v>0</v>
      </c>
      <c r="Y423" s="9" t="str">
        <f>IF(OR(X423="",X423="-"),"-",X423*$M423*SQRT(3)/1000)</f>
        <v>-</v>
      </c>
      <c r="Z423" s="9" t="s">
        <v>0</v>
      </c>
      <c r="AA423" s="9" t="str">
        <f>IF(OR(Z423="",Z423="-"),"-",Z423*$M423*SQRT(3)/1000)</f>
        <v>-</v>
      </c>
      <c r="AB423" s="9" t="s">
        <v>0</v>
      </c>
      <c r="AC423" s="9" t="str">
        <f>IF(OR(AB423="",AB423="-"),"-",AB423*$M423*SQRT(3)/1000)</f>
        <v>-</v>
      </c>
      <c r="AD423" s="9" t="s">
        <v>0</v>
      </c>
      <c r="AE423" s="12" t="str">
        <f>IF(OR(AD423="",AD423="-"),"-",AD423*$M423*SQRT(3)/1000)</f>
        <v>-</v>
      </c>
      <c r="AF423" s="9">
        <v>3</v>
      </c>
      <c r="AG423" s="9" t="s">
        <v>0</v>
      </c>
      <c r="AH423" s="9">
        <v>7</v>
      </c>
      <c r="AI423" s="9">
        <v>0.9</v>
      </c>
      <c r="AJ423" s="32">
        <v>1.03</v>
      </c>
      <c r="AK423" s="9">
        <v>20</v>
      </c>
      <c r="AL423" s="32">
        <v>0.95</v>
      </c>
      <c r="AM423" s="9">
        <v>1.2</v>
      </c>
      <c r="AN423" s="32">
        <v>1</v>
      </c>
      <c r="AO423" s="9">
        <v>4</v>
      </c>
      <c r="AP423" s="9">
        <v>0.15</v>
      </c>
      <c r="AQ423" s="32">
        <v>0.7</v>
      </c>
      <c r="AR423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367.81814999999995</v>
      </c>
      <c r="AS423" s="9">
        <f>IF(OR(AR423="",AR423="-"),"-",AR423*$M423*SQRT(3)/1000)</f>
        <v>7.0078769612058931</v>
      </c>
      <c r="AT423" s="9">
        <f>IF(RIGHT(TIM[[#This Row],[Device type]],7)="Winding","-",TIM[[#This Row],[Cont Winter MVA]])</f>
        <v>10.231224120309358</v>
      </c>
      <c r="AU423" s="9">
        <f>IF(RIGHT(TIM[[#This Row],[Device type]],7)="Winding","-",TIM[[#This Row],[Cont Shoulder MVA]])</f>
        <v>10.231224120309358</v>
      </c>
      <c r="AV423" s="9">
        <f>IF(RIGHT(TIM[[#This Row],[Device type]],7)="Winding","-",TIM[[#This Row],[Cont Summer MVA]])</f>
        <v>10.231224120309358</v>
      </c>
      <c r="AW423" s="9" t="str">
        <f>TIM[[#This Row],[24 Hr Winter MVA]]</f>
        <v>-</v>
      </c>
      <c r="AX423" s="9" t="str">
        <f>TIM[[#This Row],[24 Hr Summer MVA]]</f>
        <v>-</v>
      </c>
      <c r="AY423" s="9" t="str">
        <f>TIM[[#This Row],[Forwards MVA]]</f>
        <v>-</v>
      </c>
      <c r="AZ423" s="9" t="str">
        <f>TIM[[#This Row],[Relay MVA]]</f>
        <v>-</v>
      </c>
      <c r="BA423" s="9" t="str">
        <f>TIM[[#This Row],[CT MVA]]</f>
        <v>-</v>
      </c>
      <c r="BB423" s="9">
        <f>TIM[[#This Row],[Derating MVA]]</f>
        <v>7.0078769612058931</v>
      </c>
      <c r="BC423" s="9" t="str">
        <f>TIM[[#This Row],[Station/Feeder]]&amp;TIM[[#This Row],[Lowest MVA]]</f>
        <v>-7.00787696120589</v>
      </c>
      <c r="BD423" s="9" t="str">
        <f>CONCATENATE(TIM[[#This Row],[Supply Level]],TIM[[#This Row],[Station/Feeder]],TIM[[#This Row],[Voltage]],TIM[[#This Row],[Lowest A-No PTX]])</f>
        <v>Switching Station-11367.81815</v>
      </c>
      <c r="BE423" s="9" t="str">
        <f>CONCATENATE(TIM[[#This Row],[Supply Level]],TIM[[#This Row],[Station/Feeder]],TIM[[#This Row],[Voltage]],TIM[[#This Row],[Lowest A-PTX]])</f>
        <v>Switching Station-11367.81815</v>
      </c>
      <c r="BF423" s="9">
        <f>IFERROR(IF(MIN(TIM[[#This Row],[Summ Cont Winter A]:[Cable Derating]])=0,"",MIN(TIM[[#This Row],[Summ Cont Winter A]:[Cable Derating]])),"")</f>
        <v>7.0078769612058931</v>
      </c>
      <c r="BG423" s="9">
        <f>IFERROR(TIM[[#This Row],[Lowest MVA]]*1000/(TIM[[#This Row],[Voltage]]*SQRT(3)),"")</f>
        <v>367.81814999999995</v>
      </c>
      <c r="BH423" s="9">
        <f t="shared" si="506"/>
        <v>367.81814999999995</v>
      </c>
      <c r="BI423" s="9" t="str">
        <f>TIM[[#This Row],[From]]</f>
        <v>Joint</v>
      </c>
      <c r="BJ423" s="9" t="str">
        <f>TIM[[#This Row],[To]]</f>
        <v>L1078</v>
      </c>
      <c r="BK423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 xml:space="preserve">Cable-3c 240mm²  AL PILC </v>
      </c>
      <c r="BL423" s="9">
        <f>TIM[[#This Row],[Voltage]]</f>
        <v>11</v>
      </c>
    </row>
    <row r="424" spans="1:64" hidden="1" x14ac:dyDescent="0.25">
      <c r="A424" s="6" t="str">
        <f>CONCATENATE(TIM[[#This Row],[Supply Level]],TIM[[#This Row],[Station/Feeder]],TIM[[#This Row],[Voltage]])</f>
        <v>Switching Station-11</v>
      </c>
      <c r="B424" s="6" t="str">
        <f>CONCATENATE(TIM[[#This Row],[Supply Level]],TIM[[#This Row],[Station/Feeder]],TIM[[#This Row],[Equipment ID]],TIM[[#This Row],[Voltage]],TIM[[#This Row],[Device type]])</f>
        <v>Switching Station-3/1c 1000mm² AL XLPE CWS MDPE Screened11-</v>
      </c>
      <c r="C424" s="6" t="s">
        <v>68</v>
      </c>
      <c r="D424" s="13" t="s">
        <v>0</v>
      </c>
      <c r="E424" s="14" t="s">
        <v>882</v>
      </c>
      <c r="F424" s="6" t="s">
        <v>750</v>
      </c>
      <c r="G424" s="28" t="s">
        <v>0</v>
      </c>
      <c r="H424" s="39" t="s">
        <v>1114</v>
      </c>
      <c r="I424" s="7" t="s">
        <v>1105</v>
      </c>
      <c r="J424" s="7" t="s">
        <v>250</v>
      </c>
      <c r="K424" s="39" t="s">
        <v>0</v>
      </c>
      <c r="L424" s="39" t="s">
        <v>0</v>
      </c>
      <c r="M424" s="15">
        <v>11</v>
      </c>
      <c r="N424" s="9">
        <v>728</v>
      </c>
      <c r="O424" s="9">
        <f t="shared" si="0"/>
        <v>13.870262867011569</v>
      </c>
      <c r="P424" s="9">
        <v>728</v>
      </c>
      <c r="Q424" s="9">
        <f t="shared" si="1"/>
        <v>13.870262867011569</v>
      </c>
      <c r="R424" s="9">
        <v>728</v>
      </c>
      <c r="S424" s="9">
        <f t="shared" si="2"/>
        <v>13.870262867011569</v>
      </c>
      <c r="T424" s="16" t="s">
        <v>0</v>
      </c>
      <c r="U424" s="16" t="str">
        <f t="shared" si="3"/>
        <v>-</v>
      </c>
      <c r="V424" s="16" t="s">
        <v>0</v>
      </c>
      <c r="W424" s="16" t="str">
        <f t="shared" si="4"/>
        <v>-</v>
      </c>
      <c r="X424" s="16" t="s">
        <v>0</v>
      </c>
      <c r="Y424" s="16" t="str">
        <f t="shared" si="5"/>
        <v>-</v>
      </c>
      <c r="Z424" s="16" t="s">
        <v>0</v>
      </c>
      <c r="AA424" s="16" t="str">
        <f t="shared" si="6"/>
        <v>-</v>
      </c>
      <c r="AB424" s="16" t="s">
        <v>0</v>
      </c>
      <c r="AC424" s="16" t="str">
        <f t="shared" si="7"/>
        <v>-</v>
      </c>
      <c r="AD424" s="16" t="s">
        <v>0</v>
      </c>
      <c r="AE424" s="17" t="str">
        <f t="shared" si="8"/>
        <v>-</v>
      </c>
      <c r="AF424" s="9" t="s">
        <v>713</v>
      </c>
      <c r="AG424" s="126" t="s">
        <v>1452</v>
      </c>
      <c r="AH424" s="9">
        <v>3575</v>
      </c>
      <c r="AI424" s="126">
        <v>1</v>
      </c>
      <c r="AJ424" s="127">
        <v>1</v>
      </c>
      <c r="AK424" s="126">
        <v>15</v>
      </c>
      <c r="AL424" s="127">
        <v>1</v>
      </c>
      <c r="AM424" s="126">
        <v>1.2</v>
      </c>
      <c r="AN424" s="127">
        <v>1</v>
      </c>
      <c r="AO424" s="126">
        <v>4</v>
      </c>
      <c r="AP424" s="126">
        <v>0.5</v>
      </c>
      <c r="AQ424" s="127">
        <v>0.81200000000000006</v>
      </c>
      <c r="AR424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591.13600000000008</v>
      </c>
      <c r="AS424" s="16">
        <f t="shared" si="9"/>
        <v>11.262653448013396</v>
      </c>
      <c r="AT424" s="9">
        <f>IF(RIGHT(TIM[[#This Row],[Device type]],7)="Winding","-",TIM[[#This Row],[Cont Winter MVA]])</f>
        <v>13.870262867011569</v>
      </c>
      <c r="AU424" s="9">
        <f>IF(RIGHT(TIM[[#This Row],[Device type]],7)="Winding","-",TIM[[#This Row],[Cont Shoulder MVA]])</f>
        <v>13.870262867011569</v>
      </c>
      <c r="AV424" s="9">
        <f>IF(RIGHT(TIM[[#This Row],[Device type]],7)="Winding","-",TIM[[#This Row],[Cont Summer MVA]])</f>
        <v>13.870262867011569</v>
      </c>
      <c r="AW424" s="9" t="str">
        <f>TIM[[#This Row],[24 Hr Winter MVA]]</f>
        <v>-</v>
      </c>
      <c r="AX424" s="9" t="str">
        <f>TIM[[#This Row],[24 Hr Summer MVA]]</f>
        <v>-</v>
      </c>
      <c r="AY424" s="9" t="str">
        <f>TIM[[#This Row],[Forwards MVA]]</f>
        <v>-</v>
      </c>
      <c r="AZ424" s="9" t="str">
        <f>TIM[[#This Row],[Relay MVA]]</f>
        <v>-</v>
      </c>
      <c r="BA424" s="9" t="str">
        <f>TIM[[#This Row],[CT MVA]]</f>
        <v>-</v>
      </c>
      <c r="BB424" s="9">
        <f>TIM[[#This Row],[Derating MVA]]</f>
        <v>11.262653448013396</v>
      </c>
      <c r="BC424" s="9" t="str">
        <f>TIM[[#This Row],[Station/Feeder]]&amp;TIM[[#This Row],[Lowest MVA]]</f>
        <v>-11.2626534480134</v>
      </c>
      <c r="BD424" s="9" t="str">
        <f>CONCATENATE(TIM[[#This Row],[Supply Level]],TIM[[#This Row],[Station/Feeder]],TIM[[#This Row],[Voltage]],TIM[[#This Row],[Lowest A-No PTX]])</f>
        <v>Switching Station-11591.136</v>
      </c>
      <c r="BE424" s="9" t="str">
        <f>CONCATENATE(TIM[[#This Row],[Supply Level]],TIM[[#This Row],[Station/Feeder]],TIM[[#This Row],[Voltage]],TIM[[#This Row],[Lowest A-PTX]])</f>
        <v>Switching Station-11591.136</v>
      </c>
      <c r="BF424" s="9">
        <f>IFERROR(IF(MIN(TIM[[#This Row],[Summ Cont Winter A]:[Cable Derating]])=0,"",MIN(TIM[[#This Row],[Summ Cont Winter A]:[Cable Derating]])),"")</f>
        <v>11.262653448013396</v>
      </c>
      <c r="BG424" s="9">
        <f>IFERROR(TIM[[#This Row],[Lowest MVA]]*1000/(TIM[[#This Row],[Voltage]]*SQRT(3)),"")</f>
        <v>591.13600000000008</v>
      </c>
      <c r="BH424" s="9">
        <f t="shared" si="506"/>
        <v>591.13600000000008</v>
      </c>
      <c r="BI424" s="9" t="str">
        <f>TIM[[#This Row],[From]]</f>
        <v>CB3002</v>
      </c>
      <c r="BJ424" s="9" t="str">
        <f>TIM[[#This Row],[To]]</f>
        <v>Joint</v>
      </c>
      <c r="BK424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1000mm² AL XLPE CWS MDPE Screened</v>
      </c>
      <c r="BL424" s="9">
        <f>TIM[[#This Row],[Voltage]]</f>
        <v>11</v>
      </c>
    </row>
    <row r="425" spans="1:64" hidden="1" x14ac:dyDescent="0.25">
      <c r="A425" s="6" t="str">
        <f>CONCATENATE(TIM[[#This Row],[Supply Level]],TIM[[#This Row],[Station/Feeder]],TIM[[#This Row],[Voltage]])</f>
        <v>Switching Station-11</v>
      </c>
      <c r="B425" s="6" t="str">
        <f>CONCATENATE(TIM[[#This Row],[Supply Level]],TIM[[#This Row],[Station/Feeder]],TIM[[#This Row],[Equipment ID]],TIM[[#This Row],[Voltage]],TIM[[#This Row],[Device type]])</f>
        <v>Switching Station-3/1c 400mm² AL XLPE HDPE Screened11-</v>
      </c>
      <c r="C425" s="6" t="s">
        <v>68</v>
      </c>
      <c r="D425" s="11" t="s">
        <v>0</v>
      </c>
      <c r="E425" s="6" t="s">
        <v>750</v>
      </c>
      <c r="F425" s="6" t="s">
        <v>1115</v>
      </c>
      <c r="G425" s="27" t="s">
        <v>0</v>
      </c>
      <c r="H425" s="39" t="s">
        <v>1114</v>
      </c>
      <c r="I425" s="7" t="s">
        <v>819</v>
      </c>
      <c r="J425" s="7" t="s">
        <v>250</v>
      </c>
      <c r="K425" s="7" t="s">
        <v>0</v>
      </c>
      <c r="L425" s="7" t="s">
        <v>0</v>
      </c>
      <c r="M425" s="8">
        <v>11</v>
      </c>
      <c r="N425" s="9">
        <v>537</v>
      </c>
      <c r="O425" s="9">
        <f>IF(OR(N425="",N425="-"),"-",N425*$M425*SQRT(3)/1000)</f>
        <v>10.231224120309358</v>
      </c>
      <c r="P425" s="9">
        <v>537</v>
      </c>
      <c r="Q425" s="9">
        <f>IF(OR(P425="",P425="-"),"-",P425*$M425*SQRT(3)/1000)</f>
        <v>10.231224120309358</v>
      </c>
      <c r="R425" s="9">
        <v>537</v>
      </c>
      <c r="S425" s="9">
        <f>IF(OR(R425="",R425="-"),"-",R425*$M425*SQRT(3)/1000)</f>
        <v>10.231224120309358</v>
      </c>
      <c r="T425" s="9" t="s">
        <v>0</v>
      </c>
      <c r="U425" s="9" t="str">
        <f>IF(OR(T425="",T425="-"),"-",T425*$M425*SQRT(3)/1000)</f>
        <v>-</v>
      </c>
      <c r="V425" s="9" t="s">
        <v>0</v>
      </c>
      <c r="W425" s="9" t="str">
        <f>IF(OR(V425="",V425="-"),"-",V425*$M425*SQRT(3)/1000)</f>
        <v>-</v>
      </c>
      <c r="X425" s="9" t="s">
        <v>0</v>
      </c>
      <c r="Y425" s="9" t="str">
        <f>IF(OR(X425="",X425="-"),"-",X425*$M425*SQRT(3)/1000)</f>
        <v>-</v>
      </c>
      <c r="Z425" s="9" t="s">
        <v>0</v>
      </c>
      <c r="AA425" s="9" t="str">
        <f>IF(OR(Z425="",Z425="-"),"-",Z425*$M425*SQRT(3)/1000)</f>
        <v>-</v>
      </c>
      <c r="AB425" s="9" t="s">
        <v>0</v>
      </c>
      <c r="AC425" s="9" t="str">
        <f>IF(OR(AB425="",AB425="-"),"-",AB425*$M425*SQRT(3)/1000)</f>
        <v>-</v>
      </c>
      <c r="AD425" s="9" t="s">
        <v>0</v>
      </c>
      <c r="AE425" s="12" t="str">
        <f>IF(OR(AD425="",AD425="-"),"-",AD425*$M425*SQRT(3)/1000)</f>
        <v>-</v>
      </c>
      <c r="AF425" s="9" t="s">
        <v>713</v>
      </c>
      <c r="AG425" s="9" t="s">
        <v>0</v>
      </c>
      <c r="AH425" s="9">
        <v>20</v>
      </c>
      <c r="AI425" s="9">
        <v>0.95</v>
      </c>
      <c r="AJ425" s="43">
        <v>1</v>
      </c>
      <c r="AK425" s="9">
        <v>20</v>
      </c>
      <c r="AL425" s="43">
        <v>0.95</v>
      </c>
      <c r="AM425" s="9">
        <v>1.2</v>
      </c>
      <c r="AN425" s="43">
        <v>1</v>
      </c>
      <c r="AO425" s="9">
        <v>4</v>
      </c>
      <c r="AP425" s="9">
        <v>0.3</v>
      </c>
      <c r="AQ425" s="43">
        <v>0.77</v>
      </c>
      <c r="AR425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392.81549999999999</v>
      </c>
      <c r="AS425" s="9">
        <f>IF(OR(AR425="",AR425="-"),"-",AR425*$M425*SQRT(3)/1000)</f>
        <v>7.484140444006294</v>
      </c>
      <c r="AT425" s="9">
        <f>IF(RIGHT(TIM[[#This Row],[Device type]],7)="Winding","-",TIM[[#This Row],[Cont Winter MVA]])</f>
        <v>10.231224120309358</v>
      </c>
      <c r="AU425" s="9">
        <f>IF(RIGHT(TIM[[#This Row],[Device type]],7)="Winding","-",TIM[[#This Row],[Cont Shoulder MVA]])</f>
        <v>10.231224120309358</v>
      </c>
      <c r="AV425" s="9">
        <f>IF(RIGHT(TIM[[#This Row],[Device type]],7)="Winding","-",TIM[[#This Row],[Cont Summer MVA]])</f>
        <v>10.231224120309358</v>
      </c>
      <c r="AW425" s="9" t="str">
        <f>TIM[[#This Row],[24 Hr Winter MVA]]</f>
        <v>-</v>
      </c>
      <c r="AX425" s="9" t="str">
        <f>TIM[[#This Row],[24 Hr Summer MVA]]</f>
        <v>-</v>
      </c>
      <c r="AY425" s="9" t="str">
        <f>TIM[[#This Row],[Forwards MVA]]</f>
        <v>-</v>
      </c>
      <c r="AZ425" s="9" t="str">
        <f>TIM[[#This Row],[Relay MVA]]</f>
        <v>-</v>
      </c>
      <c r="BA425" s="9" t="str">
        <f>TIM[[#This Row],[CT MVA]]</f>
        <v>-</v>
      </c>
      <c r="BB425" s="9">
        <f>TIM[[#This Row],[Derating MVA]]</f>
        <v>7.484140444006294</v>
      </c>
      <c r="BC425" s="9" t="str">
        <f>TIM[[#This Row],[Station/Feeder]]&amp;TIM[[#This Row],[Lowest MVA]]</f>
        <v>-7.48414044400629</v>
      </c>
      <c r="BD425" s="9" t="str">
        <f>CONCATENATE(TIM[[#This Row],[Supply Level]],TIM[[#This Row],[Station/Feeder]],TIM[[#This Row],[Voltage]],TIM[[#This Row],[Lowest A-No PTX]])</f>
        <v>Switching Station-11392.8155</v>
      </c>
      <c r="BE425" s="9" t="str">
        <f>CONCATENATE(TIM[[#This Row],[Supply Level]],TIM[[#This Row],[Station/Feeder]],TIM[[#This Row],[Voltage]],TIM[[#This Row],[Lowest A-PTX]])</f>
        <v>Switching Station-11392.8155</v>
      </c>
      <c r="BF425" s="9">
        <f>IFERROR(IF(MIN(TIM[[#This Row],[Summ Cont Winter A]:[Cable Derating]])=0,"",MIN(TIM[[#This Row],[Summ Cont Winter A]:[Cable Derating]])),"")</f>
        <v>7.484140444006294</v>
      </c>
      <c r="BG425" s="9">
        <f>IFERROR(TIM[[#This Row],[Lowest MVA]]*1000/(TIM[[#This Row],[Voltage]]*SQRT(3)),"")</f>
        <v>392.81549999999993</v>
      </c>
      <c r="BH425" s="9">
        <f t="shared" si="506"/>
        <v>392.81549999999999</v>
      </c>
      <c r="BI425" s="9" t="str">
        <f>TIM[[#This Row],[From]]</f>
        <v>Joint</v>
      </c>
      <c r="BJ425" s="9" t="str">
        <f>TIM[[#This Row],[To]]</f>
        <v>L969</v>
      </c>
      <c r="BK425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425" s="9">
        <f>TIM[[#This Row],[Voltage]]</f>
        <v>11</v>
      </c>
    </row>
    <row r="426" spans="1:64" hidden="1" x14ac:dyDescent="0.25">
      <c r="A426" s="6" t="str">
        <f>CONCATENATE(TIM[[#This Row],[Supply Level]],TIM[[#This Row],[Station/Feeder]],TIM[[#This Row],[Voltage]])</f>
        <v>Switching Station-11</v>
      </c>
      <c r="B426" s="6" t="str">
        <f>CONCATENATE(TIM[[#This Row],[Supply Level]],TIM[[#This Row],[Station/Feeder]],TIM[[#This Row],[Equipment ID]],TIM[[#This Row],[Voltage]],TIM[[#This Row],[Device type]])</f>
        <v>Switching Station-3/1c 1000mm² AL XLPE CWS MDPE Screened11-</v>
      </c>
      <c r="C426" s="6" t="s">
        <v>68</v>
      </c>
      <c r="D426" s="11" t="s">
        <v>0</v>
      </c>
      <c r="E426" s="6" t="s">
        <v>884</v>
      </c>
      <c r="F426" s="6" t="s">
        <v>750</v>
      </c>
      <c r="G426" s="27" t="s">
        <v>0</v>
      </c>
      <c r="H426" s="7" t="s">
        <v>1116</v>
      </c>
      <c r="I426" s="7" t="s">
        <v>1105</v>
      </c>
      <c r="J426" s="7" t="s">
        <v>250</v>
      </c>
      <c r="K426" s="7" t="s">
        <v>0</v>
      </c>
      <c r="L426" s="7" t="s">
        <v>0</v>
      </c>
      <c r="M426" s="8">
        <v>11</v>
      </c>
      <c r="N426" s="9">
        <v>728</v>
      </c>
      <c r="O426" s="9">
        <f t="shared" ref="O426" si="507">IF(OR(N426="",N426="-"),"-",N426*$M426*SQRT(3)/1000)</f>
        <v>13.870262867011569</v>
      </c>
      <c r="P426" s="9">
        <v>728</v>
      </c>
      <c r="Q426" s="9">
        <f t="shared" ref="Q426" si="508">IF(OR(P426="",P426="-"),"-",P426*$M426*SQRT(3)/1000)</f>
        <v>13.870262867011569</v>
      </c>
      <c r="R426" s="9">
        <v>728</v>
      </c>
      <c r="S426" s="9">
        <f t="shared" ref="S426" si="509">IF(OR(R426="",R426="-"),"-",R426*$M426*SQRT(3)/1000)</f>
        <v>13.870262867011569</v>
      </c>
      <c r="T426" s="9" t="s">
        <v>0</v>
      </c>
      <c r="U426" s="9" t="str">
        <f t="shared" si="3"/>
        <v>-</v>
      </c>
      <c r="V426" s="9" t="s">
        <v>0</v>
      </c>
      <c r="W426" s="9" t="str">
        <f t="shared" si="4"/>
        <v>-</v>
      </c>
      <c r="X426" s="9" t="s">
        <v>0</v>
      </c>
      <c r="Y426" s="9" t="str">
        <f t="shared" si="5"/>
        <v>-</v>
      </c>
      <c r="Z426" s="9" t="s">
        <v>0</v>
      </c>
      <c r="AA426" s="9" t="str">
        <f t="shared" si="6"/>
        <v>-</v>
      </c>
      <c r="AB426" s="9" t="s">
        <v>0</v>
      </c>
      <c r="AC426" s="9" t="str">
        <f t="shared" si="7"/>
        <v>-</v>
      </c>
      <c r="AD426" s="9" t="s">
        <v>0</v>
      </c>
      <c r="AE426" s="12" t="str">
        <f t="shared" si="8"/>
        <v>-</v>
      </c>
      <c r="AF426" s="9" t="s">
        <v>713</v>
      </c>
      <c r="AG426" s="9" t="s">
        <v>1452</v>
      </c>
      <c r="AH426" s="8">
        <v>3575</v>
      </c>
      <c r="AI426" s="9">
        <v>1</v>
      </c>
      <c r="AJ426" s="43">
        <v>1</v>
      </c>
      <c r="AK426" s="9">
        <v>15</v>
      </c>
      <c r="AL426" s="43">
        <v>1</v>
      </c>
      <c r="AM426" s="9">
        <v>1.2</v>
      </c>
      <c r="AN426" s="43">
        <v>1</v>
      </c>
      <c r="AO426" s="9">
        <v>4</v>
      </c>
      <c r="AP426" s="9">
        <v>0.5</v>
      </c>
      <c r="AQ426" s="43">
        <v>0.81200000000000006</v>
      </c>
      <c r="AR426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591.13600000000008</v>
      </c>
      <c r="AS426" s="9">
        <f t="shared" si="9"/>
        <v>11.262653448013396</v>
      </c>
      <c r="AT426" s="9">
        <f>IF(RIGHT(TIM[[#This Row],[Device type]],7)="Winding","-",TIM[[#This Row],[Cont Winter MVA]])</f>
        <v>13.870262867011569</v>
      </c>
      <c r="AU426" s="9">
        <f>IF(RIGHT(TIM[[#This Row],[Device type]],7)="Winding","-",TIM[[#This Row],[Cont Shoulder MVA]])</f>
        <v>13.870262867011569</v>
      </c>
      <c r="AV426" s="9">
        <f>IF(RIGHT(TIM[[#This Row],[Device type]],7)="Winding","-",TIM[[#This Row],[Cont Summer MVA]])</f>
        <v>13.870262867011569</v>
      </c>
      <c r="AW426" s="9" t="str">
        <f>TIM[[#This Row],[24 Hr Winter MVA]]</f>
        <v>-</v>
      </c>
      <c r="AX426" s="9" t="str">
        <f>TIM[[#This Row],[24 Hr Summer MVA]]</f>
        <v>-</v>
      </c>
      <c r="AY426" s="9" t="str">
        <f>TIM[[#This Row],[Forwards MVA]]</f>
        <v>-</v>
      </c>
      <c r="AZ426" s="9" t="str">
        <f>TIM[[#This Row],[Relay MVA]]</f>
        <v>-</v>
      </c>
      <c r="BA426" s="9" t="str">
        <f>TIM[[#This Row],[CT MVA]]</f>
        <v>-</v>
      </c>
      <c r="BB426" s="9">
        <f>TIM[[#This Row],[Derating MVA]]</f>
        <v>11.262653448013396</v>
      </c>
      <c r="BC426" s="9" t="str">
        <f>TIM[[#This Row],[Station/Feeder]]&amp;TIM[[#This Row],[Lowest MVA]]</f>
        <v>-11.2626534480134</v>
      </c>
      <c r="BD426" s="9" t="str">
        <f>CONCATENATE(TIM[[#This Row],[Supply Level]],TIM[[#This Row],[Station/Feeder]],TIM[[#This Row],[Voltage]],TIM[[#This Row],[Lowest A-No PTX]])</f>
        <v>Switching Station-11591.136</v>
      </c>
      <c r="BE426" s="9" t="str">
        <f>CONCATENATE(TIM[[#This Row],[Supply Level]],TIM[[#This Row],[Station/Feeder]],TIM[[#This Row],[Voltage]],TIM[[#This Row],[Lowest A-PTX]])</f>
        <v>Switching Station-11591.136</v>
      </c>
      <c r="BF426" s="9">
        <f>IFERROR(IF(MIN(TIM[[#This Row],[Summ Cont Winter A]:[Cable Derating]])=0,"",MIN(TIM[[#This Row],[Summ Cont Winter A]:[Cable Derating]])),"")</f>
        <v>11.262653448013396</v>
      </c>
      <c r="BG426" s="9">
        <f>IFERROR(TIM[[#This Row],[Lowest MVA]]*1000/(TIM[[#This Row],[Voltage]]*SQRT(3)),"")</f>
        <v>591.13600000000008</v>
      </c>
      <c r="BH426" s="9">
        <f t="shared" si="506"/>
        <v>591.13600000000008</v>
      </c>
      <c r="BI426" s="9" t="str">
        <f>TIM[[#This Row],[From]]</f>
        <v>CB3012</v>
      </c>
      <c r="BJ426" s="9" t="str">
        <f>TIM[[#This Row],[To]]</f>
        <v>Joint</v>
      </c>
      <c r="BK426" s="9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1000mm² AL XLPE CWS MDPE Screened</v>
      </c>
      <c r="BL426" s="9">
        <f>TIM[[#This Row],[Voltage]]</f>
        <v>11</v>
      </c>
    </row>
    <row r="427" spans="1:64" ht="15.75" hidden="1" thickBot="1" x14ac:dyDescent="0.3">
      <c r="A427" s="191" t="str">
        <f>CONCATENATE(TIM[[#This Row],[Supply Level]],TIM[[#This Row],[Station/Feeder]],TIM[[#This Row],[Voltage]])</f>
        <v>Switching Station-11</v>
      </c>
      <c r="B427" s="191" t="str">
        <f>CONCATENATE(TIM[[#This Row],[Supply Level]],TIM[[#This Row],[Station/Feeder]],TIM[[#This Row],[Equipment ID]],TIM[[#This Row],[Voltage]],TIM[[#This Row],[Device type]])</f>
        <v>Switching Station-3/1c 400mm² AL XLPE HDPE Screened11-</v>
      </c>
      <c r="C427" s="191" t="s">
        <v>68</v>
      </c>
      <c r="D427" s="192" t="s">
        <v>0</v>
      </c>
      <c r="E427" s="191" t="s">
        <v>750</v>
      </c>
      <c r="F427" s="191" t="s">
        <v>875</v>
      </c>
      <c r="G427" s="200" t="s">
        <v>0</v>
      </c>
      <c r="H427" s="193" t="s">
        <v>1116</v>
      </c>
      <c r="I427" s="193" t="s">
        <v>819</v>
      </c>
      <c r="J427" s="193" t="s">
        <v>250</v>
      </c>
      <c r="K427" s="193" t="s">
        <v>0</v>
      </c>
      <c r="L427" s="193" t="s">
        <v>0</v>
      </c>
      <c r="M427" s="201">
        <v>11</v>
      </c>
      <c r="N427" s="155">
        <v>537</v>
      </c>
      <c r="O427" s="155">
        <f t="shared" si="0"/>
        <v>10.231224120309358</v>
      </c>
      <c r="P427" s="155">
        <v>537</v>
      </c>
      <c r="Q427" s="155">
        <f t="shared" si="1"/>
        <v>10.231224120309358</v>
      </c>
      <c r="R427" s="155">
        <v>537</v>
      </c>
      <c r="S427" s="155">
        <f t="shared" si="2"/>
        <v>10.231224120309358</v>
      </c>
      <c r="T427" s="155" t="s">
        <v>0</v>
      </c>
      <c r="U427" s="155" t="str">
        <f t="shared" si="3"/>
        <v>-</v>
      </c>
      <c r="V427" s="155" t="s">
        <v>0</v>
      </c>
      <c r="W427" s="155" t="str">
        <f t="shared" si="4"/>
        <v>-</v>
      </c>
      <c r="X427" s="155" t="s">
        <v>0</v>
      </c>
      <c r="Y427" s="155" t="str">
        <f t="shared" si="5"/>
        <v>-</v>
      </c>
      <c r="Z427" s="155" t="s">
        <v>0</v>
      </c>
      <c r="AA427" s="155" t="str">
        <f t="shared" si="6"/>
        <v>-</v>
      </c>
      <c r="AB427" s="155" t="s">
        <v>0</v>
      </c>
      <c r="AC427" s="155" t="str">
        <f t="shared" si="7"/>
        <v>-</v>
      </c>
      <c r="AD427" s="155" t="s">
        <v>0</v>
      </c>
      <c r="AE427" s="195" t="str">
        <f t="shared" si="8"/>
        <v>-</v>
      </c>
      <c r="AF427" s="155" t="s">
        <v>713</v>
      </c>
      <c r="AG427" s="185" t="s">
        <v>0</v>
      </c>
      <c r="AH427" s="155">
        <v>20</v>
      </c>
      <c r="AI427" s="185">
        <v>0.95</v>
      </c>
      <c r="AJ427" s="199">
        <v>1</v>
      </c>
      <c r="AK427" s="185">
        <v>20</v>
      </c>
      <c r="AL427" s="199">
        <v>0.95</v>
      </c>
      <c r="AM427" s="185">
        <v>1.2</v>
      </c>
      <c r="AN427" s="199">
        <v>1</v>
      </c>
      <c r="AO427" s="185">
        <v>96.74</v>
      </c>
      <c r="AP427" s="185">
        <v>0.3</v>
      </c>
      <c r="AQ427" s="199">
        <v>0.77</v>
      </c>
      <c r="AR427" s="16">
        <f>IFERROR(IF(TIM[[#This Row],[Equipment Type]]="Cable",MAX(TIM[[#This Row],[Cont Winter A]],TIM[[#This Row],[Cont Shoulder A]],TIM[[#This Row],[Cont Summer A]])*(TIM[[#This Row],[Depth Factor]]*TIM[[#This Row],[Soil Temp Factor]]*TIM[[#This Row],[Soil TR Factor]]*TIM[[#This Row],[Mutual Heat Factor]]),"-"),"-")</f>
        <v>392.81549999999999</v>
      </c>
      <c r="AS427" s="155">
        <f t="shared" si="9"/>
        <v>7.484140444006294</v>
      </c>
      <c r="AT427" s="155">
        <f>IF(RIGHT(TIM[[#This Row],[Device type]],7)="Winding","-",TIM[[#This Row],[Cont Winter MVA]])</f>
        <v>10.231224120309358</v>
      </c>
      <c r="AU427" s="155">
        <f>IF(RIGHT(TIM[[#This Row],[Device type]],7)="Winding","-",TIM[[#This Row],[Cont Shoulder MVA]])</f>
        <v>10.231224120309358</v>
      </c>
      <c r="AV427" s="155">
        <f>IF(RIGHT(TIM[[#This Row],[Device type]],7)="Winding","-",TIM[[#This Row],[Cont Summer MVA]])</f>
        <v>10.231224120309358</v>
      </c>
      <c r="AW427" s="155" t="str">
        <f>TIM[[#This Row],[24 Hr Winter MVA]]</f>
        <v>-</v>
      </c>
      <c r="AX427" s="155" t="str">
        <f>TIM[[#This Row],[24 Hr Summer MVA]]</f>
        <v>-</v>
      </c>
      <c r="AY427" s="155" t="str">
        <f>TIM[[#This Row],[Forwards MVA]]</f>
        <v>-</v>
      </c>
      <c r="AZ427" s="155" t="str">
        <f>TIM[[#This Row],[Relay MVA]]</f>
        <v>-</v>
      </c>
      <c r="BA427" s="155" t="str">
        <f>TIM[[#This Row],[CT MVA]]</f>
        <v>-</v>
      </c>
      <c r="BB427" s="155">
        <f>TIM[[#This Row],[Derating MVA]]</f>
        <v>7.484140444006294</v>
      </c>
      <c r="BC427" s="155" t="str">
        <f>TIM[[#This Row],[Station/Feeder]]&amp;TIM[[#This Row],[Lowest MVA]]</f>
        <v>-7.48414044400629</v>
      </c>
      <c r="BD427" s="155" t="str">
        <f>CONCATENATE(TIM[[#This Row],[Supply Level]],TIM[[#This Row],[Station/Feeder]],TIM[[#This Row],[Voltage]],TIM[[#This Row],[Lowest A-No PTX]])</f>
        <v>Switching Station-11392.8155</v>
      </c>
      <c r="BE427" s="155" t="str">
        <f>CONCATENATE(TIM[[#This Row],[Supply Level]],TIM[[#This Row],[Station/Feeder]],TIM[[#This Row],[Voltage]],TIM[[#This Row],[Lowest A-PTX]])</f>
        <v>Switching Station-11392.8155</v>
      </c>
      <c r="BF427" s="155">
        <f>IFERROR(IF(MIN(TIM[[#This Row],[Summ Cont Winter A]:[Cable Derating]])=0,"",MIN(TIM[[#This Row],[Summ Cont Winter A]:[Cable Derating]])),"")</f>
        <v>7.484140444006294</v>
      </c>
      <c r="BG427" s="155">
        <f>IFERROR(TIM[[#This Row],[Lowest MVA]]*1000/(TIM[[#This Row],[Voltage]]*SQRT(3)),"")</f>
        <v>392.81549999999993</v>
      </c>
      <c r="BH427" s="155">
        <f t="shared" si="506"/>
        <v>392.81549999999999</v>
      </c>
      <c r="BI427" s="155" t="str">
        <f>TIM[[#This Row],[From]]</f>
        <v>Joint</v>
      </c>
      <c r="BJ427" s="155" t="str">
        <f>TIM[[#This Row],[To]]</f>
        <v>L461</v>
      </c>
      <c r="BK427" s="155" t="str">
        <f>IF(TIM[[#This Row],[Device type]]="-",TIM[[#This Row],[Equipment Type]]&amp;"-"&amp;TIM[[#This Row],[Equipment ID]],TIM[[#This Row],[Equipment Type]]&amp;"-"&amp;TIM[[#This Row],[Equipment ID]]&amp;"-"&amp;TIM[[#This Row],[Device type]])</f>
        <v>Cable-3/1c 400mm² AL XLPE HDPE Screened</v>
      </c>
      <c r="BL427" s="155">
        <f>TIM[[#This Row],[Voltage]]</f>
        <v>11</v>
      </c>
    </row>
    <row r="428" spans="1:64" x14ac:dyDescent="0.25">
      <c r="A428" s="48"/>
      <c r="B428" s="48"/>
      <c r="C428" s="120"/>
      <c r="D428" s="120"/>
      <c r="E428" s="149"/>
      <c r="F428" s="149"/>
      <c r="G428" s="150"/>
      <c r="H428" s="126"/>
      <c r="I428" s="149"/>
      <c r="J428" s="149"/>
      <c r="K428" s="149"/>
      <c r="L428" s="149"/>
      <c r="M428" s="151"/>
      <c r="N428" s="151" t="s">
        <v>0</v>
      </c>
      <c r="O428" s="126">
        <f>SUBTOTAL(105,TIM[Cont Winter MVA])</f>
        <v>2.5458029179808874</v>
      </c>
      <c r="P428" s="151" t="s">
        <v>0</v>
      </c>
      <c r="Q428" s="126">
        <f>SUBTOTAL(105,TIM[Cont Winter MVA])</f>
        <v>2.5458029179808874</v>
      </c>
      <c r="R428" s="151" t="s">
        <v>0</v>
      </c>
      <c r="S428" s="126">
        <f>SUBTOTAL(105,TIM[Cont Winter MVA])</f>
        <v>2.5458029179808874</v>
      </c>
      <c r="T428" s="151" t="s">
        <v>0</v>
      </c>
      <c r="U428" s="126">
        <f>SUBTOTAL(105,TIM[24 Hr Winter MVA])</f>
        <v>0</v>
      </c>
      <c r="V428" s="151" t="s">
        <v>0</v>
      </c>
      <c r="W428" s="126">
        <f>SUBTOTAL(105,TIM[24 Hr Summer MVA])</f>
        <v>0</v>
      </c>
      <c r="X428" s="151" t="s">
        <v>0</v>
      </c>
      <c r="Y428" s="126">
        <f>SUBTOTAL(105,TIM[Forwards MVA])</f>
        <v>3.8105117766515302</v>
      </c>
      <c r="Z428" s="151" t="s">
        <v>0</v>
      </c>
      <c r="AA428" s="126">
        <f>SUBTOTAL(105,TIM[Reverse MVA])</f>
        <v>6.9732365512722998</v>
      </c>
      <c r="AB428" s="151" t="s">
        <v>0</v>
      </c>
      <c r="AC428" s="126">
        <f>SUBTOTAL(105,TIM[Relay MVA])</f>
        <v>7.7734440243691205</v>
      </c>
      <c r="AD428" s="151" t="s">
        <v>0</v>
      </c>
      <c r="AE428" s="152">
        <f>SUBTOTAL(105,TIM[CT MVA])</f>
        <v>5.8300830182768406</v>
      </c>
      <c r="AF428" t="s">
        <v>0</v>
      </c>
      <c r="AG428" t="s">
        <v>0</v>
      </c>
      <c r="AH428" s="126" t="s">
        <v>0</v>
      </c>
      <c r="AI428" t="s">
        <v>0</v>
      </c>
      <c r="AJ428" s="153" t="s">
        <v>0</v>
      </c>
      <c r="AK428" t="s">
        <v>0</v>
      </c>
      <c r="AL428" s="153" t="s">
        <v>0</v>
      </c>
      <c r="AM428" t="s">
        <v>0</v>
      </c>
      <c r="AN428" s="153" t="s">
        <v>0</v>
      </c>
      <c r="AO428" t="s">
        <v>0</v>
      </c>
      <c r="AP428" t="s">
        <v>0</v>
      </c>
      <c r="AQ428" s="153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F428" t="s">
        <v>0</v>
      </c>
      <c r="BG428" t="s">
        <v>0</v>
      </c>
      <c r="BI428" t="s">
        <v>0</v>
      </c>
      <c r="BJ428" t="s">
        <v>0</v>
      </c>
      <c r="BK428" t="s">
        <v>0</v>
      </c>
      <c r="BL428" t="s">
        <v>0</v>
      </c>
    </row>
  </sheetData>
  <mergeCells count="32">
    <mergeCell ref="E1:H1"/>
    <mergeCell ref="AF1:AS1"/>
    <mergeCell ref="I1:J1"/>
    <mergeCell ref="K1:L1"/>
    <mergeCell ref="N1:S1"/>
    <mergeCell ref="T1:W1"/>
    <mergeCell ref="X1:AE1"/>
    <mergeCell ref="AR2:AS2"/>
    <mergeCell ref="H2:H3"/>
    <mergeCell ref="N2:O2"/>
    <mergeCell ref="P2:Q2"/>
    <mergeCell ref="R2:S2"/>
    <mergeCell ref="T2:U2"/>
    <mergeCell ref="V2:W2"/>
    <mergeCell ref="X2:Y2"/>
    <mergeCell ref="Z2:AA2"/>
    <mergeCell ref="AB2:AC2"/>
    <mergeCell ref="AD2:AE2"/>
    <mergeCell ref="AI2:AJ2"/>
    <mergeCell ref="AK2:AL2"/>
    <mergeCell ref="AM2:AN2"/>
    <mergeCell ref="AO2:AQ2"/>
    <mergeCell ref="AT1:BL1"/>
    <mergeCell ref="AT2:AV2"/>
    <mergeCell ref="AW2:AX2"/>
    <mergeCell ref="AY2:BA2"/>
    <mergeCell ref="BB2:BB3"/>
    <mergeCell ref="BI2:BI3"/>
    <mergeCell ref="BJ2:BJ3"/>
    <mergeCell ref="BK2:BK3"/>
    <mergeCell ref="BL2:BL3"/>
    <mergeCell ref="BF2:BH2"/>
  </mergeCells>
  <pageMargins left="0.7" right="0.7" top="0.75" bottom="0.75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'Dropdown List'!$A$2:$A$8</xm:f>
          </x14:formula1>
          <xm:sqref>C5:C427</xm:sqref>
        </x14:dataValidation>
        <x14:dataValidation type="list" allowBlank="1" showInputMessage="1" showErrorMessage="1" xr:uid="{00000000-0002-0000-0900-000001000000}">
          <x14:formula1>
            <xm:f>'Dropdown List'!$D$27:$D$123</xm:f>
          </x14:formula1>
          <xm:sqref>D5:D427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BL176"/>
  <sheetViews>
    <sheetView showGridLines="0" zoomScaleNormal="100" workbookViewId="0">
      <pane xSplit="13" ySplit="4" topLeftCell="N5" activePane="bottomRight" state="frozen"/>
      <selection pane="topRight" activeCell="N1" sqref="N1"/>
      <selection pane="bottomLeft" activeCell="A5" sqref="A5"/>
      <selection pane="bottomRight" activeCell="N3" sqref="N3"/>
    </sheetView>
  </sheetViews>
  <sheetFormatPr defaultColWidth="9.140625" defaultRowHeight="15" x14ac:dyDescent="0.25"/>
  <cols>
    <col min="1" max="1" width="9.5703125" hidden="1" customWidth="1"/>
    <col min="2" max="2" width="61.85546875" hidden="1" customWidth="1"/>
    <col min="3" max="3" width="20.28515625" bestFit="1" customWidth="1"/>
    <col min="4" max="4" width="22.5703125" bestFit="1" customWidth="1"/>
    <col min="5" max="5" width="10.42578125" customWidth="1"/>
    <col min="6" max="6" width="10.42578125" bestFit="1" customWidth="1"/>
    <col min="7" max="7" width="9.42578125" bestFit="1" customWidth="1"/>
    <col min="8" max="8" width="29.140625" bestFit="1" customWidth="1"/>
    <col min="9" max="9" width="20" bestFit="1" customWidth="1"/>
    <col min="10" max="10" width="16.28515625" bestFit="1" customWidth="1"/>
    <col min="11" max="11" width="19.42578125" bestFit="1" customWidth="1"/>
    <col min="12" max="12" width="15" bestFit="1" customWidth="1"/>
    <col min="13" max="13" width="10.7109375" bestFit="1" customWidth="1"/>
    <col min="14" max="14" width="15" bestFit="1" customWidth="1"/>
    <col min="15" max="15" width="17.42578125" bestFit="1" customWidth="1"/>
    <col min="16" max="16" width="16.28515625" customWidth="1"/>
    <col min="17" max="17" width="18.85546875" customWidth="1"/>
    <col min="18" max="18" width="15.85546875" customWidth="1"/>
    <col min="19" max="19" width="18.42578125" customWidth="1"/>
    <col min="20" max="20" width="15.42578125" customWidth="1"/>
    <col min="21" max="21" width="18" customWidth="1"/>
    <col min="22" max="22" width="16.28515625" customWidth="1"/>
    <col min="23" max="23" width="18.85546875" customWidth="1"/>
    <col min="24" max="24" width="12.28515625" bestFit="1" customWidth="1"/>
    <col min="25" max="25" width="15.28515625" bestFit="1" customWidth="1"/>
    <col min="26" max="26" width="12.140625" bestFit="1" customWidth="1"/>
    <col min="27" max="27" width="14.5703125" bestFit="1" customWidth="1"/>
    <col min="28" max="28" width="10.42578125" bestFit="1" customWidth="1"/>
    <col min="29" max="29" width="12.85546875" bestFit="1" customWidth="1"/>
    <col min="30" max="30" width="8.42578125" bestFit="1" customWidth="1"/>
    <col min="31" max="31" width="10.85546875" bestFit="1" customWidth="1"/>
    <col min="32" max="32" width="8.7109375" bestFit="1" customWidth="1"/>
    <col min="33" max="33" width="10.28515625" bestFit="1" customWidth="1"/>
    <col min="34" max="35" width="11.28515625" bestFit="1" customWidth="1"/>
    <col min="36" max="36" width="14.140625" bestFit="1" customWidth="1"/>
    <col min="37" max="37" width="13.140625" bestFit="1" customWidth="1"/>
    <col min="38" max="38" width="16.42578125" bestFit="1" customWidth="1"/>
    <col min="39" max="39" width="15.42578125" bestFit="1" customWidth="1"/>
    <col min="40" max="40" width="14.28515625" bestFit="1" customWidth="1"/>
    <col min="41" max="41" width="8.28515625" bestFit="1" customWidth="1"/>
    <col min="42" max="42" width="11.28515625" bestFit="1" customWidth="1"/>
    <col min="43" max="43" width="18.42578125" bestFit="1" customWidth="1"/>
    <col min="44" max="44" width="12.5703125" bestFit="1" customWidth="1"/>
    <col min="45" max="45" width="15" bestFit="1" customWidth="1"/>
    <col min="46" max="46" width="19.5703125" bestFit="1" customWidth="1"/>
    <col min="47" max="47" width="23.42578125" bestFit="1" customWidth="1"/>
    <col min="48" max="48" width="20.42578125" bestFit="1" customWidth="1"/>
    <col min="49" max="49" width="19.28515625" bestFit="1" customWidth="1"/>
    <col min="50" max="50" width="20.140625" bestFit="1" customWidth="1"/>
    <col min="51" max="51" width="16.7109375" bestFit="1" customWidth="1"/>
    <col min="52" max="52" width="16.5703125" bestFit="1" customWidth="1"/>
    <col min="53" max="53" width="12.85546875" bestFit="1" customWidth="1"/>
    <col min="54" max="54" width="15.28515625" bestFit="1" customWidth="1"/>
    <col min="55" max="57" width="38.7109375" hidden="1" customWidth="1"/>
    <col min="58" max="58" width="14" bestFit="1" customWidth="1"/>
    <col min="59" max="59" width="11.5703125" bestFit="1" customWidth="1"/>
    <col min="60" max="60" width="14.42578125" customWidth="1"/>
    <col min="61" max="61" width="13.42578125" bestFit="1" customWidth="1"/>
    <col min="62" max="62" width="11.5703125" bestFit="1" customWidth="1"/>
    <col min="63" max="63" width="36" hidden="1" customWidth="1"/>
    <col min="64" max="64" width="15.140625" bestFit="1" customWidth="1"/>
    <col min="66" max="66" width="13.28515625" bestFit="1" customWidth="1"/>
  </cols>
  <sheetData>
    <row r="1" spans="1:64" s="47" customFormat="1" ht="15.75" thickBot="1" x14ac:dyDescent="0.3">
      <c r="A1" s="18" t="s">
        <v>2398</v>
      </c>
      <c r="B1" s="18" t="s">
        <v>2398</v>
      </c>
      <c r="C1" s="18" t="s">
        <v>51</v>
      </c>
      <c r="D1" s="18" t="s">
        <v>73</v>
      </c>
      <c r="E1" s="605" t="s">
        <v>237</v>
      </c>
      <c r="F1" s="607"/>
      <c r="G1" s="607"/>
      <c r="H1" s="606"/>
      <c r="I1" s="605" t="s">
        <v>6</v>
      </c>
      <c r="J1" s="606"/>
      <c r="K1" s="605" t="s">
        <v>29</v>
      </c>
      <c r="L1" s="606"/>
      <c r="M1" s="286" t="s">
        <v>40</v>
      </c>
      <c r="N1" s="605" t="s">
        <v>263</v>
      </c>
      <c r="O1" s="607"/>
      <c r="P1" s="607"/>
      <c r="Q1" s="607"/>
      <c r="R1" s="607"/>
      <c r="S1" s="606"/>
      <c r="T1" s="605" t="s">
        <v>14</v>
      </c>
      <c r="U1" s="607"/>
      <c r="V1" s="607"/>
      <c r="W1" s="606"/>
      <c r="X1" s="605" t="s">
        <v>35</v>
      </c>
      <c r="Y1" s="607"/>
      <c r="Z1" s="607"/>
      <c r="AA1" s="607"/>
      <c r="AB1" s="607"/>
      <c r="AC1" s="607"/>
      <c r="AD1" s="607"/>
      <c r="AE1" s="606"/>
      <c r="AF1" s="605" t="s">
        <v>251</v>
      </c>
      <c r="AG1" s="607"/>
      <c r="AH1" s="607"/>
      <c r="AI1" s="607"/>
      <c r="AJ1" s="607"/>
      <c r="AK1" s="607"/>
      <c r="AL1" s="607"/>
      <c r="AM1" s="607"/>
      <c r="AN1" s="607"/>
      <c r="AO1" s="607"/>
      <c r="AP1" s="607"/>
      <c r="AQ1" s="607"/>
      <c r="AR1" s="607"/>
      <c r="AS1" s="606"/>
      <c r="AT1" s="605" t="s">
        <v>293</v>
      </c>
      <c r="AU1" s="607"/>
      <c r="AV1" s="607"/>
      <c r="AW1" s="607"/>
      <c r="AX1" s="607"/>
      <c r="AY1" s="607"/>
      <c r="AZ1" s="607"/>
      <c r="BA1" s="607"/>
      <c r="BB1" s="607"/>
      <c r="BC1" s="607"/>
      <c r="BD1" s="607"/>
      <c r="BE1" s="607"/>
      <c r="BF1" s="607"/>
      <c r="BG1" s="607"/>
      <c r="BH1" s="607"/>
      <c r="BI1" s="607"/>
      <c r="BJ1" s="607"/>
      <c r="BK1" s="607"/>
      <c r="BL1" s="606"/>
    </row>
    <row r="2" spans="1:64" s="47" customFormat="1" ht="15.75" customHeight="1" thickBot="1" x14ac:dyDescent="0.3">
      <c r="A2" s="19" t="s">
        <v>2396</v>
      </c>
      <c r="B2" s="19" t="s">
        <v>1423</v>
      </c>
      <c r="C2" s="19" t="s">
        <v>3</v>
      </c>
      <c r="D2" s="19" t="s">
        <v>1276</v>
      </c>
      <c r="E2" s="19" t="s">
        <v>1</v>
      </c>
      <c r="F2" s="19" t="s">
        <v>2</v>
      </c>
      <c r="G2" s="52" t="s">
        <v>238</v>
      </c>
      <c r="H2" s="25" t="s">
        <v>269</v>
      </c>
      <c r="I2" s="19" t="s">
        <v>21</v>
      </c>
      <c r="J2" s="19" t="s">
        <v>22</v>
      </c>
      <c r="K2" s="19" t="s">
        <v>21</v>
      </c>
      <c r="L2" s="19" t="s">
        <v>22</v>
      </c>
      <c r="M2" s="52" t="s">
        <v>41</v>
      </c>
      <c r="N2" s="605" t="s">
        <v>39</v>
      </c>
      <c r="O2" s="606"/>
      <c r="P2" s="605" t="s">
        <v>65</v>
      </c>
      <c r="Q2" s="606"/>
      <c r="R2" s="605" t="s">
        <v>38</v>
      </c>
      <c r="S2" s="606"/>
      <c r="T2" s="605" t="s">
        <v>39</v>
      </c>
      <c r="U2" s="606"/>
      <c r="V2" s="605" t="s">
        <v>38</v>
      </c>
      <c r="W2" s="606"/>
      <c r="X2" s="605" t="s">
        <v>30</v>
      </c>
      <c r="Y2" s="606"/>
      <c r="Z2" s="605" t="s">
        <v>31</v>
      </c>
      <c r="AA2" s="606"/>
      <c r="AB2" s="605" t="s">
        <v>32</v>
      </c>
      <c r="AC2" s="606"/>
      <c r="AD2" s="605" t="s">
        <v>33</v>
      </c>
      <c r="AE2" s="606"/>
      <c r="AF2" s="34" t="s">
        <v>259</v>
      </c>
      <c r="AG2" s="34" t="s">
        <v>253</v>
      </c>
      <c r="AH2" s="25" t="s">
        <v>71</v>
      </c>
      <c r="AI2" s="605" t="s">
        <v>252</v>
      </c>
      <c r="AJ2" s="606"/>
      <c r="AK2" s="605" t="s">
        <v>254</v>
      </c>
      <c r="AL2" s="606"/>
      <c r="AM2" s="605" t="s">
        <v>300</v>
      </c>
      <c r="AN2" s="606"/>
      <c r="AO2" s="605" t="s">
        <v>257</v>
      </c>
      <c r="AP2" s="607"/>
      <c r="AQ2" s="606"/>
      <c r="AR2" s="605" t="s">
        <v>262</v>
      </c>
      <c r="AS2" s="606"/>
      <c r="AT2" s="613" t="s">
        <v>263</v>
      </c>
      <c r="AU2" s="615"/>
      <c r="AV2" s="614"/>
      <c r="AW2" s="613" t="s">
        <v>299</v>
      </c>
      <c r="AX2" s="614"/>
      <c r="AY2" s="613" t="s">
        <v>35</v>
      </c>
      <c r="AZ2" s="615"/>
      <c r="BA2" s="614"/>
      <c r="BB2" s="616" t="s">
        <v>294</v>
      </c>
      <c r="BC2" s="380" t="s">
        <v>21</v>
      </c>
      <c r="BD2" s="360" t="s">
        <v>2397</v>
      </c>
      <c r="BE2" s="360" t="s">
        <v>2397</v>
      </c>
      <c r="BF2" s="608" t="s">
        <v>1282</v>
      </c>
      <c r="BG2" s="609"/>
      <c r="BH2" s="610"/>
      <c r="BI2" s="616" t="s">
        <v>1</v>
      </c>
      <c r="BJ2" s="616" t="s">
        <v>2</v>
      </c>
      <c r="BK2" s="616" t="s">
        <v>6</v>
      </c>
      <c r="BL2" s="616" t="s">
        <v>298</v>
      </c>
    </row>
    <row r="3" spans="1:64" s="47" customFormat="1" ht="15.75" thickBot="1" x14ac:dyDescent="0.3">
      <c r="A3" s="359" t="s">
        <v>2395</v>
      </c>
      <c r="B3" s="359" t="s">
        <v>2395</v>
      </c>
      <c r="C3" s="66"/>
      <c r="D3" s="66"/>
      <c r="E3" s="66"/>
      <c r="F3" s="66"/>
      <c r="G3" s="53"/>
      <c r="H3" s="21" t="s">
        <v>270</v>
      </c>
      <c r="I3" s="66"/>
      <c r="J3" s="66"/>
      <c r="K3" s="66"/>
      <c r="L3" s="66"/>
      <c r="M3" s="52" t="s">
        <v>27</v>
      </c>
      <c r="N3" s="19" t="s">
        <v>26</v>
      </c>
      <c r="O3" s="19" t="s">
        <v>28</v>
      </c>
      <c r="P3" s="19" t="s">
        <v>26</v>
      </c>
      <c r="Q3" s="19" t="s">
        <v>28</v>
      </c>
      <c r="R3" s="19" t="s">
        <v>26</v>
      </c>
      <c r="S3" s="19" t="s">
        <v>28</v>
      </c>
      <c r="T3" s="19" t="s">
        <v>26</v>
      </c>
      <c r="U3" s="19" t="s">
        <v>28</v>
      </c>
      <c r="V3" s="19" t="s">
        <v>26</v>
      </c>
      <c r="W3" s="19" t="s">
        <v>28</v>
      </c>
      <c r="X3" s="19" t="s">
        <v>26</v>
      </c>
      <c r="Y3" s="19" t="s">
        <v>28</v>
      </c>
      <c r="Z3" s="19" t="s">
        <v>26</v>
      </c>
      <c r="AA3" s="19" t="s">
        <v>28</v>
      </c>
      <c r="AB3" s="19" t="s">
        <v>26</v>
      </c>
      <c r="AC3" s="19" t="s">
        <v>28</v>
      </c>
      <c r="AD3" s="19" t="s">
        <v>26</v>
      </c>
      <c r="AE3" s="19" t="s">
        <v>28</v>
      </c>
      <c r="AF3" s="66" t="s">
        <v>260</v>
      </c>
      <c r="AG3" s="66" t="s">
        <v>0</v>
      </c>
      <c r="AH3" s="21" t="s">
        <v>72</v>
      </c>
      <c r="AI3" s="66" t="s">
        <v>72</v>
      </c>
      <c r="AJ3" s="30" t="s">
        <v>264</v>
      </c>
      <c r="AK3" s="66" t="s">
        <v>255</v>
      </c>
      <c r="AL3" s="30" t="s">
        <v>264</v>
      </c>
      <c r="AM3" s="66" t="s">
        <v>256</v>
      </c>
      <c r="AN3" s="30" t="s">
        <v>264</v>
      </c>
      <c r="AO3" s="66" t="s">
        <v>261</v>
      </c>
      <c r="AP3" s="30" t="s">
        <v>258</v>
      </c>
      <c r="AQ3" s="30" t="s">
        <v>264</v>
      </c>
      <c r="AR3" s="66" t="s">
        <v>26</v>
      </c>
      <c r="AS3" s="66" t="s">
        <v>28</v>
      </c>
      <c r="AT3" s="65" t="s">
        <v>39</v>
      </c>
      <c r="AU3" s="65" t="s">
        <v>65</v>
      </c>
      <c r="AV3" s="65" t="s">
        <v>38</v>
      </c>
      <c r="AW3" s="63" t="s">
        <v>39</v>
      </c>
      <c r="AX3" s="63" t="s">
        <v>38</v>
      </c>
      <c r="AY3" s="63" t="s">
        <v>30</v>
      </c>
      <c r="AZ3" s="63" t="s">
        <v>295</v>
      </c>
      <c r="BA3" s="63" t="s">
        <v>297</v>
      </c>
      <c r="BB3" s="604"/>
      <c r="BC3" s="64" t="s">
        <v>372</v>
      </c>
      <c r="BD3" s="383" t="s">
        <v>372</v>
      </c>
      <c r="BE3" s="383" t="s">
        <v>372</v>
      </c>
      <c r="BF3" s="317" t="s">
        <v>1280</v>
      </c>
      <c r="BG3" s="316" t="s">
        <v>1281</v>
      </c>
      <c r="BH3" s="358" t="s">
        <v>1281</v>
      </c>
      <c r="BI3" s="604"/>
      <c r="BJ3" s="604"/>
      <c r="BK3" s="604"/>
      <c r="BL3" s="604"/>
    </row>
    <row r="4" spans="1:64" s="60" customFormat="1" ht="15.75" thickBot="1" x14ac:dyDescent="0.3">
      <c r="A4" s="364" t="s">
        <v>2399</v>
      </c>
      <c r="B4" s="364" t="s">
        <v>2400</v>
      </c>
      <c r="C4" s="198" t="s">
        <v>1184</v>
      </c>
      <c r="D4" s="22" t="s">
        <v>1481</v>
      </c>
      <c r="E4" s="37" t="s">
        <v>1</v>
      </c>
      <c r="F4" s="37" t="s">
        <v>2</v>
      </c>
      <c r="G4" s="54" t="s">
        <v>238</v>
      </c>
      <c r="H4" s="23" t="s">
        <v>692</v>
      </c>
      <c r="I4" s="22" t="s">
        <v>1482</v>
      </c>
      <c r="J4" s="22" t="s">
        <v>1428</v>
      </c>
      <c r="K4" s="22" t="s">
        <v>693</v>
      </c>
      <c r="L4" s="37" t="s">
        <v>1483</v>
      </c>
      <c r="M4" s="54" t="s">
        <v>41</v>
      </c>
      <c r="N4" s="23" t="s">
        <v>1484</v>
      </c>
      <c r="O4" s="23" t="s">
        <v>1485</v>
      </c>
      <c r="P4" s="23" t="s">
        <v>1486</v>
      </c>
      <c r="Q4" s="23" t="s">
        <v>1487</v>
      </c>
      <c r="R4" s="23" t="s">
        <v>1488</v>
      </c>
      <c r="S4" s="23" t="s">
        <v>1489</v>
      </c>
      <c r="T4" s="23" t="s">
        <v>1490</v>
      </c>
      <c r="U4" s="23" t="s">
        <v>1491</v>
      </c>
      <c r="V4" s="23" t="s">
        <v>1492</v>
      </c>
      <c r="W4" s="23" t="s">
        <v>1493</v>
      </c>
      <c r="X4" s="23" t="s">
        <v>1494</v>
      </c>
      <c r="Y4" s="23" t="s">
        <v>1495</v>
      </c>
      <c r="Z4" s="23" t="s">
        <v>1496</v>
      </c>
      <c r="AA4" s="23" t="s">
        <v>1497</v>
      </c>
      <c r="AB4" s="23" t="s">
        <v>1498</v>
      </c>
      <c r="AC4" s="23" t="s">
        <v>1499</v>
      </c>
      <c r="AD4" s="23" t="s">
        <v>1500</v>
      </c>
      <c r="AE4" s="23" t="s">
        <v>1501</v>
      </c>
      <c r="AF4" s="23" t="s">
        <v>259</v>
      </c>
      <c r="AG4" s="23" t="s">
        <v>253</v>
      </c>
      <c r="AH4" s="23" t="s">
        <v>71</v>
      </c>
      <c r="AI4" s="23" t="s">
        <v>1502</v>
      </c>
      <c r="AJ4" s="31" t="s">
        <v>1503</v>
      </c>
      <c r="AK4" s="23" t="s">
        <v>1504</v>
      </c>
      <c r="AL4" s="31" t="s">
        <v>1505</v>
      </c>
      <c r="AM4" s="23" t="s">
        <v>1506</v>
      </c>
      <c r="AN4" s="31" t="s">
        <v>1507</v>
      </c>
      <c r="AO4" s="23" t="s">
        <v>1508</v>
      </c>
      <c r="AP4" s="31" t="s">
        <v>1509</v>
      </c>
      <c r="AQ4" s="31" t="s">
        <v>1510</v>
      </c>
      <c r="AR4" s="23" t="s">
        <v>1511</v>
      </c>
      <c r="AS4" s="23" t="s">
        <v>1512</v>
      </c>
      <c r="AT4" s="23" t="s">
        <v>1513</v>
      </c>
      <c r="AU4" s="23" t="s">
        <v>1514</v>
      </c>
      <c r="AV4" s="23" t="s">
        <v>1515</v>
      </c>
      <c r="AW4" s="23" t="s">
        <v>1516</v>
      </c>
      <c r="AX4" s="23" t="s">
        <v>1517</v>
      </c>
      <c r="AY4" s="23" t="s">
        <v>1518</v>
      </c>
      <c r="AZ4" s="23" t="s">
        <v>1519</v>
      </c>
      <c r="BA4" s="23" t="s">
        <v>1520</v>
      </c>
      <c r="BB4" s="23" t="s">
        <v>1521</v>
      </c>
      <c r="BC4" s="23" t="s">
        <v>1522</v>
      </c>
      <c r="BD4" s="23" t="s">
        <v>2652</v>
      </c>
      <c r="BE4" s="23" t="s">
        <v>2653</v>
      </c>
      <c r="BF4" s="23" t="s">
        <v>1523</v>
      </c>
      <c r="BG4" s="54" t="s">
        <v>2602</v>
      </c>
      <c r="BH4" s="54" t="s">
        <v>2603</v>
      </c>
      <c r="BI4" s="23" t="s">
        <v>1524</v>
      </c>
      <c r="BJ4" s="23" t="s">
        <v>1525</v>
      </c>
      <c r="BK4" s="23" t="s">
        <v>1526</v>
      </c>
      <c r="BL4" s="23" t="s">
        <v>1527</v>
      </c>
    </row>
    <row r="5" spans="1:64" s="1" customFormat="1" ht="15" customHeight="1" thickBot="1" x14ac:dyDescent="0.3">
      <c r="A5" s="14" t="str">
        <f>CONCATENATE(TKA[[#This Row],[Supply Level]],TKA[[#This Row],[Station/Feeder]],TKA[[#This Row],[Voltage]])</f>
        <v>GXPTKA_GXP110</v>
      </c>
      <c r="B5" s="14" t="str">
        <f>CONCATENATE(TKA[[#This Row],[Supply Level]],TKA[[#This Row],[Station/Feeder]],TKA[[#This Row],[Equipment ID]],TKA[[#This Row],[Voltage]],TKA[[#This Row],[Device type]])</f>
        <v>GXPTKA_GXP19/2.34 Cu110-</v>
      </c>
      <c r="C5" s="14" t="s">
        <v>4</v>
      </c>
      <c r="D5" s="14" t="s">
        <v>76</v>
      </c>
      <c r="E5" s="39" t="s">
        <v>1207</v>
      </c>
      <c r="F5" s="39" t="s">
        <v>1210</v>
      </c>
      <c r="G5" s="128">
        <v>1</v>
      </c>
      <c r="H5" s="156" t="s">
        <v>1209</v>
      </c>
      <c r="I5" s="39" t="s">
        <v>1288</v>
      </c>
      <c r="J5" s="39" t="s">
        <v>69</v>
      </c>
      <c r="K5" s="39" t="s">
        <v>0</v>
      </c>
      <c r="L5" s="39" t="s">
        <v>0</v>
      </c>
      <c r="M5" s="128">
        <v>110</v>
      </c>
      <c r="N5" s="16">
        <v>325</v>
      </c>
      <c r="O5" s="16">
        <f>IF(OR(N5="",N5="-"),"-",N5*$M5*SQRT(3)/1000)</f>
        <v>61.92081637058736</v>
      </c>
      <c r="P5" s="16">
        <v>297</v>
      </c>
      <c r="Q5" s="16">
        <f>IF(OR(P5="",P5="-"),"-",P5*$M5*SQRT(3)/1000)</f>
        <v>56.586099883275217</v>
      </c>
      <c r="R5" s="16">
        <v>266</v>
      </c>
      <c r="S5" s="16">
        <f>IF(OR(R5="",R5="-"),"-",R5*$M5*SQRT(3)/1000)</f>
        <v>50.679806629465347</v>
      </c>
      <c r="T5" s="16" t="s">
        <v>0</v>
      </c>
      <c r="U5" s="16" t="str">
        <f>IF(OR(T5="",T5="-"),"-",T5*$M5*SQRT(3)/1000)</f>
        <v>-</v>
      </c>
      <c r="V5" s="16" t="s">
        <v>0</v>
      </c>
      <c r="W5" s="16" t="str">
        <f>IF(OR(V5="",V5="-"),"-",V5*$M5*SQRT(3)/1000)</f>
        <v>-</v>
      </c>
      <c r="X5" s="16" t="s">
        <v>0</v>
      </c>
      <c r="Y5" s="16" t="str">
        <f>IF(OR(X5="",X5="-"),"-",X5*$M5*SQRT(3)/1000)</f>
        <v>-</v>
      </c>
      <c r="Z5" s="16" t="s">
        <v>0</v>
      </c>
      <c r="AA5" s="16" t="str">
        <f>IF(OR(Z5="",Z5="-"),"-",Z5*$M5*SQRT(3)/1000)</f>
        <v>-</v>
      </c>
      <c r="AB5" s="16" t="s">
        <v>0</v>
      </c>
      <c r="AC5" s="16" t="str">
        <f>IF(OR(AB5="",AB5="-"),"-",AB5*$M5*SQRT(3)/1000)</f>
        <v>-</v>
      </c>
      <c r="AD5" s="16" t="s">
        <v>0</v>
      </c>
      <c r="AE5" s="16" t="str">
        <f>IF(OR(AD5="",AD5="-"),"-",AD5*$M5*SQRT(3)/1000)</f>
        <v>-</v>
      </c>
      <c r="AF5" s="16" t="s">
        <v>0</v>
      </c>
      <c r="AG5" s="16" t="s">
        <v>0</v>
      </c>
      <c r="AH5" s="16" t="s">
        <v>0</v>
      </c>
      <c r="AI5" s="16" t="s">
        <v>0</v>
      </c>
      <c r="AJ5" s="138" t="s">
        <v>0</v>
      </c>
      <c r="AK5" s="16" t="s">
        <v>0</v>
      </c>
      <c r="AL5" s="138" t="s">
        <v>0</v>
      </c>
      <c r="AM5" s="16" t="s">
        <v>0</v>
      </c>
      <c r="AN5" s="138" t="s">
        <v>0</v>
      </c>
      <c r="AO5" s="16" t="s">
        <v>0</v>
      </c>
      <c r="AP5" s="138" t="s">
        <v>0</v>
      </c>
      <c r="AQ5" s="138" t="s">
        <v>0</v>
      </c>
      <c r="AR5" s="16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5" s="16" t="str">
        <f>IF(OR(AR5="",AR5="-"),"-",AR5*$M5*SQRT(3)/1000)</f>
        <v>-</v>
      </c>
      <c r="AT5" s="16">
        <f>IF(RIGHT(TKA[[#This Row],[Device type]],7)="Winding","-",TKA[[#This Row],[Cont Winter MVA]])</f>
        <v>61.92081637058736</v>
      </c>
      <c r="AU5" s="16">
        <f>IF(RIGHT(TKA[[#This Row],[Device type]],7)="Winding","-",TKA[[#This Row],[Cont Shoulder MVA]])</f>
        <v>56.586099883275217</v>
      </c>
      <c r="AV5" s="16">
        <f>IF(RIGHT(TKA[[#This Row],[Device type]],7)="Winding","-",TKA[[#This Row],[Cont Summer MVA]])</f>
        <v>50.679806629465347</v>
      </c>
      <c r="AW5" s="16" t="str">
        <f>TKA[[#This Row],[24 Hr Winter MVA]]</f>
        <v>-</v>
      </c>
      <c r="AX5" s="16" t="str">
        <f>TKA[[#This Row],[24 Hr Summer MVA]]</f>
        <v>-</v>
      </c>
      <c r="AY5" s="16" t="str">
        <f>TKA[[#This Row],[Forwards MVA]]</f>
        <v>-</v>
      </c>
      <c r="AZ5" s="16" t="str">
        <f>TKA[[#This Row],[Relay MVA]]</f>
        <v>-</v>
      </c>
      <c r="BA5" s="16" t="str">
        <f>TKA[[#This Row],[CT MVA]]</f>
        <v>-</v>
      </c>
      <c r="BB5" s="16" t="str">
        <f>TKA[[#This Row],[Derating MVA]]</f>
        <v>-</v>
      </c>
      <c r="BC5" s="16" t="str">
        <f>TKA[[#This Row],[Station/Feeder]]&amp;TKA[[#This Row],[Lowest MVA]]</f>
        <v>TKA_GXP50.6798066294653</v>
      </c>
      <c r="BD5" s="29" t="str">
        <f>CONCATENATE(TKA[[#This Row],[Supply Level]],TKA[[#This Row],[Station/Feeder]],TKA[[#This Row],[Voltage]],TKA[[#This Row],[Lowest A-No PTX]])</f>
        <v>GXPTKA_GXP110266</v>
      </c>
      <c r="BE5" s="29" t="str">
        <f>CONCATENATE(TKA[[#This Row],[Supply Level]],TKA[[#This Row],[Station/Feeder]],TKA[[#This Row],[Voltage]],TKA[[#This Row],[Lowest A-PTX]])</f>
        <v>GXPTKA_GXP110266</v>
      </c>
      <c r="BF5" s="16">
        <f>IF(MIN(TKA[[#This Row],[Summ Cont Winter A]]:TKA[[#This Row],[Cable Derating]])=0,"",MIN(TKA[[#This Row],[Summ Cont Winter A]]:TKA[[#This Row],[Cable Derating]]))</f>
        <v>50.679806629465347</v>
      </c>
      <c r="BG5" s="16">
        <f>IFERROR(TKA[[#This Row],[Lowest MVA]]*1000/(TKA[[#This Row],[Voltage]]*SQRT(3)),"")</f>
        <v>266</v>
      </c>
      <c r="BH5" s="29">
        <f t="shared" ref="BH5:BH36" si="0">IF(MIN(N5,P5,R5,T5,V5,X5,Z5,AB5,AD5,AR5)=0,"",MIN(N5,P5,R5,T5,V5,X5,Z5,AB5,AD5,AR5))</f>
        <v>266</v>
      </c>
      <c r="BI5" s="16" t="str">
        <f>TKA[[#This Row],[From]]</f>
        <v>CB42</v>
      </c>
      <c r="BJ5" s="16" t="str">
        <f>TKA[[#This Row],[To]]</f>
        <v>CB76</v>
      </c>
      <c r="BK5" s="129" t="str">
        <f>IF(TKA[[#This Row],[Device type]]="-",TKA[[#This Row],[Equipment Type]]&amp;" - "&amp;TKA[[#This Row],[Equipment ID]],TKA[[#This Row],[Equipment Type]]&amp;" - "&amp;TKA[[#This Row],[Equipment ID]]&amp;" - "&amp;TKA[[#This Row],[Device type]])</f>
        <v>OH Line - 19/2.34 Cu</v>
      </c>
      <c r="BL5" s="16">
        <f>TKA[[#This Row],[Voltage]]</f>
        <v>110</v>
      </c>
    </row>
    <row r="6" spans="1:64" s="1" customFormat="1" ht="15" customHeight="1" x14ac:dyDescent="0.25">
      <c r="A6" s="3" t="str">
        <f>CONCATENATE(TKA[[#This Row],[Supply Level]],TKA[[#This Row],[Station/Feeder]],TKA[[#This Row],[Voltage]])</f>
        <v>GXPTKA_GXP110</v>
      </c>
      <c r="B6" s="3" t="str">
        <f>CONCATENATE(TKA[[#This Row],[Supply Level]],TKA[[#This Row],[Station/Feeder]],TKA[[#This Row],[Equipment ID]],TKA[[#This Row],[Voltage]],TKA[[#This Row],[Device type]])</f>
        <v>GXPTKA_GXP76-T6110-</v>
      </c>
      <c r="C6" s="3" t="s">
        <v>4</v>
      </c>
      <c r="D6" s="3" t="s">
        <v>76</v>
      </c>
      <c r="E6" s="38" t="s">
        <v>1210</v>
      </c>
      <c r="F6" s="38" t="s">
        <v>1211</v>
      </c>
      <c r="G6" s="61">
        <v>1</v>
      </c>
      <c r="H6" s="38" t="s">
        <v>1212</v>
      </c>
      <c r="I6" s="38" t="s">
        <v>1215</v>
      </c>
      <c r="J6" s="38" t="s">
        <v>1213</v>
      </c>
      <c r="K6" s="38" t="s">
        <v>1214</v>
      </c>
      <c r="L6" s="38" t="s">
        <v>0</v>
      </c>
      <c r="M6" s="61">
        <v>110</v>
      </c>
      <c r="N6" s="5">
        <v>410</v>
      </c>
      <c r="O6" s="5">
        <f t="shared" ref="O6:O7" si="1">IF(OR(N6="",N6="-"),"-",N6*$M6*SQRT(3)/1000)</f>
        <v>78.115491421356367</v>
      </c>
      <c r="P6" s="5">
        <v>410</v>
      </c>
      <c r="Q6" s="5">
        <f t="shared" ref="Q6:Q7" si="2">IF(OR(P6="",P6="-"),"-",P6*$M6*SQRT(3)/1000)</f>
        <v>78.115491421356367</v>
      </c>
      <c r="R6" s="5">
        <v>410</v>
      </c>
      <c r="S6" s="5">
        <f t="shared" ref="S6:S7" si="3">IF(OR(R6="",R6="-"),"-",R6*$M6*SQRT(3)/1000)</f>
        <v>78.115491421356367</v>
      </c>
      <c r="T6" s="5">
        <v>410</v>
      </c>
      <c r="U6" s="5">
        <f t="shared" ref="U6:U7" si="4">IF(OR(T6="",T6="-"),"-",T6*$M6*SQRT(3)/1000)</f>
        <v>78.115491421356367</v>
      </c>
      <c r="V6" s="5">
        <v>410</v>
      </c>
      <c r="W6" s="5">
        <f t="shared" ref="W6:W7" si="5">IF(OR(V6="",V6="-"),"-",V6*$M6*SQRT(3)/1000)</f>
        <v>78.115491421356367</v>
      </c>
      <c r="X6" s="5" t="s">
        <v>0</v>
      </c>
      <c r="Y6" s="5" t="str">
        <f t="shared" ref="Y6:Y7" si="6">IF(OR(X6="",X6="-"),"-",X6*$M6*SQRT(3)/1000)</f>
        <v>-</v>
      </c>
      <c r="Z6" s="5" t="s">
        <v>0</v>
      </c>
      <c r="AA6" s="5" t="str">
        <f t="shared" ref="AA6:AA7" si="7">IF(OR(Z6="",Z6="-"),"-",Z6*$M6*SQRT(3)/1000)</f>
        <v>-</v>
      </c>
      <c r="AB6" s="5" t="s">
        <v>0</v>
      </c>
      <c r="AC6" s="5" t="str">
        <f t="shared" ref="AC6:AC7" si="8">IF(OR(AB6="",AB6="-"),"-",AB6*$M6*SQRT(3)/1000)</f>
        <v>-</v>
      </c>
      <c r="AD6" s="5" t="s">
        <v>0</v>
      </c>
      <c r="AE6" s="5" t="str">
        <f t="shared" ref="AE6:AE7" si="9">IF(OR(AD6="",AD6="-"),"-",AD6*$M6*SQRT(3)/1000)</f>
        <v>-</v>
      </c>
      <c r="AF6" s="5" t="s">
        <v>0</v>
      </c>
      <c r="AG6" s="5" t="s">
        <v>0</v>
      </c>
      <c r="AH6" s="5" t="s">
        <v>0</v>
      </c>
      <c r="AI6" s="5" t="s">
        <v>0</v>
      </c>
      <c r="AJ6" s="139" t="s">
        <v>0</v>
      </c>
      <c r="AK6" s="5" t="s">
        <v>0</v>
      </c>
      <c r="AL6" s="139" t="s">
        <v>0</v>
      </c>
      <c r="AM6" s="5" t="s">
        <v>0</v>
      </c>
      <c r="AN6" s="139" t="s">
        <v>0</v>
      </c>
      <c r="AO6" s="5" t="s">
        <v>0</v>
      </c>
      <c r="AP6" s="139" t="s">
        <v>0</v>
      </c>
      <c r="AQ6" s="139" t="s">
        <v>0</v>
      </c>
      <c r="AR6" s="5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6" s="5" t="str">
        <f t="shared" ref="AS6:AS7" si="10">IF(OR(AR6="",AR6="-"),"-",AR6*$M6*SQRT(3)/1000)</f>
        <v>-</v>
      </c>
      <c r="AT6" s="5">
        <f>IF(RIGHT(TKA[[#This Row],[Device type]],7)="Winding","-",TKA[[#This Row],[Cont Winter MVA]])</f>
        <v>78.115491421356367</v>
      </c>
      <c r="AU6" s="5">
        <f>IF(RIGHT(TKA[[#This Row],[Device type]],7)="Winding","-",TKA[[#This Row],[Cont Shoulder MVA]])</f>
        <v>78.115491421356367</v>
      </c>
      <c r="AV6" s="5">
        <f>IF(RIGHT(TKA[[#This Row],[Device type]],7)="Winding","-",TKA[[#This Row],[Cont Summer MVA]])</f>
        <v>78.115491421356367</v>
      </c>
      <c r="AW6" s="5">
        <f>TKA[[#This Row],[24 Hr Winter MVA]]</f>
        <v>78.115491421356367</v>
      </c>
      <c r="AX6" s="5">
        <f>TKA[[#This Row],[24 Hr Summer MVA]]</f>
        <v>78.115491421356367</v>
      </c>
      <c r="AY6" s="5" t="str">
        <f>TKA[[#This Row],[Forwards MVA]]</f>
        <v>-</v>
      </c>
      <c r="AZ6" s="5" t="str">
        <f>TKA[[#This Row],[Relay MVA]]</f>
        <v>-</v>
      </c>
      <c r="BA6" s="5" t="str">
        <f>TKA[[#This Row],[CT MVA]]</f>
        <v>-</v>
      </c>
      <c r="BB6" s="5" t="str">
        <f>TKA[[#This Row],[Derating MVA]]</f>
        <v>-</v>
      </c>
      <c r="BC6" s="5" t="str">
        <f>TKA[[#This Row],[Station/Feeder]]&amp;TKA[[#This Row],[Lowest MVA]]</f>
        <v>TKA_GXP78.1154914213564</v>
      </c>
      <c r="BD6" s="5" t="str">
        <f>CONCATENATE(TKA[[#This Row],[Supply Level]],TKA[[#This Row],[Station/Feeder]],TKA[[#This Row],[Voltage]],TKA[[#This Row],[Lowest A-No PTX]])</f>
        <v>GXPTKA_GXP110410</v>
      </c>
      <c r="BE6" s="5" t="str">
        <f>CONCATENATE(TKA[[#This Row],[Supply Level]],TKA[[#This Row],[Station/Feeder]],TKA[[#This Row],[Voltage]],TKA[[#This Row],[Lowest A-PTX]])</f>
        <v>GXPTKA_GXP110410</v>
      </c>
      <c r="BF6" s="5">
        <f>IF(MIN(TKA[[#This Row],[Summ Cont Winter A]]:TKA[[#This Row],[Cable Derating]])=0,"",MIN(TKA[[#This Row],[Summ Cont Winter A]]:TKA[[#This Row],[Cable Derating]]))</f>
        <v>78.115491421356367</v>
      </c>
      <c r="BG6" s="5">
        <f>IFERROR(TKA[[#This Row],[Lowest MVA]]*1000/(TKA[[#This Row],[Voltage]]*SQRT(3)),"")</f>
        <v>410</v>
      </c>
      <c r="BH6" s="9">
        <f t="shared" si="0"/>
        <v>410</v>
      </c>
      <c r="BI6" s="5" t="str">
        <f>TKA[[#This Row],[From]]</f>
        <v>CB76</v>
      </c>
      <c r="BJ6" s="5" t="str">
        <f>TKA[[#This Row],[To]]</f>
        <v>PTX T6</v>
      </c>
      <c r="BK6" s="188" t="str">
        <f>IF(TKA[[#This Row],[Device type]]="-",TKA[[#This Row],[Equipment Type]]&amp;" - "&amp;TKA[[#This Row],[Equipment ID]],TKA[[#This Row],[Equipment Type]]&amp;" - "&amp;TKA[[#This Row],[Equipment ID]]&amp;" - "&amp;TKA[[#This Row],[Device type]])</f>
        <v>Busbar - 76-T6</v>
      </c>
      <c r="BL6" s="5">
        <f>TKA[[#This Row],[Voltage]]</f>
        <v>110</v>
      </c>
    </row>
    <row r="7" spans="1:64" s="1" customFormat="1" ht="15" customHeight="1" x14ac:dyDescent="0.25">
      <c r="A7" s="6" t="str">
        <f>CONCATENATE(TKA[[#This Row],[Supply Level]],TKA[[#This Row],[Station/Feeder]],TKA[[#This Row],[Voltage]])</f>
        <v>GXPTKA_GXP110</v>
      </c>
      <c r="B7" s="6" t="str">
        <f>CONCATENATE(TKA[[#This Row],[Supply Level]],TKA[[#This Row],[Station/Feeder]],TKA[[#This Row],[Equipment ID]],TKA[[#This Row],[Voltage]],TKA[[#This Row],[Device type]])</f>
        <v>GXPTKA_GXPTKA-CB72110Protection</v>
      </c>
      <c r="C7" s="6" t="s">
        <v>4</v>
      </c>
      <c r="D7" s="6" t="s">
        <v>76</v>
      </c>
      <c r="E7" s="7" t="s">
        <v>1208</v>
      </c>
      <c r="F7" s="7" t="s">
        <v>1211</v>
      </c>
      <c r="G7" s="57">
        <v>2</v>
      </c>
      <c r="H7" s="7" t="s">
        <v>1212</v>
      </c>
      <c r="I7" s="7" t="s">
        <v>2304</v>
      </c>
      <c r="J7" s="7" t="s">
        <v>15</v>
      </c>
      <c r="K7" s="7" t="s">
        <v>1121</v>
      </c>
      <c r="L7" s="7" t="s">
        <v>1423</v>
      </c>
      <c r="M7" s="57">
        <v>110</v>
      </c>
      <c r="N7" s="9">
        <v>3150</v>
      </c>
      <c r="O7" s="9">
        <f t="shared" si="1"/>
        <v>600.15560482261594</v>
      </c>
      <c r="P7" s="9">
        <v>3150</v>
      </c>
      <c r="Q7" s="9">
        <f t="shared" si="2"/>
        <v>600.15560482261594</v>
      </c>
      <c r="R7" s="9">
        <v>3150</v>
      </c>
      <c r="S7" s="9">
        <f t="shared" si="3"/>
        <v>600.15560482261594</v>
      </c>
      <c r="T7" s="9">
        <v>3150</v>
      </c>
      <c r="U7" s="9">
        <f t="shared" si="4"/>
        <v>600.15560482261594</v>
      </c>
      <c r="V7" s="9">
        <v>3150</v>
      </c>
      <c r="W7" s="9">
        <f t="shared" si="5"/>
        <v>600.15560482261594</v>
      </c>
      <c r="X7" s="9">
        <v>260</v>
      </c>
      <c r="Y7" s="9">
        <f t="shared" si="6"/>
        <v>49.536653096469891</v>
      </c>
      <c r="Z7" s="9" t="s">
        <v>0</v>
      </c>
      <c r="AA7" s="9" t="str">
        <f t="shared" si="7"/>
        <v>-</v>
      </c>
      <c r="AB7" s="9">
        <v>600</v>
      </c>
      <c r="AC7" s="9">
        <f t="shared" si="8"/>
        <v>114.31535329954589</v>
      </c>
      <c r="AD7" s="9">
        <v>400</v>
      </c>
      <c r="AE7" s="9">
        <f t="shared" si="9"/>
        <v>76.210235533030598</v>
      </c>
      <c r="AF7" s="9" t="s">
        <v>0</v>
      </c>
      <c r="AG7" s="9" t="s">
        <v>0</v>
      </c>
      <c r="AH7" s="9" t="s">
        <v>0</v>
      </c>
      <c r="AI7" s="9" t="s">
        <v>0</v>
      </c>
      <c r="AJ7" s="43" t="s">
        <v>0</v>
      </c>
      <c r="AK7" s="9" t="s">
        <v>0</v>
      </c>
      <c r="AL7" s="43" t="s">
        <v>0</v>
      </c>
      <c r="AM7" s="9" t="s">
        <v>0</v>
      </c>
      <c r="AN7" s="43" t="s">
        <v>0</v>
      </c>
      <c r="AO7" s="9" t="s">
        <v>0</v>
      </c>
      <c r="AP7" s="43" t="s">
        <v>0</v>
      </c>
      <c r="AQ7" s="43" t="s">
        <v>0</v>
      </c>
      <c r="AR7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7" s="9" t="str">
        <f t="shared" si="10"/>
        <v>-</v>
      </c>
      <c r="AT7" s="9">
        <f>IF(RIGHT(TKA[[#This Row],[Device type]],7)="Winding","-",TKA[[#This Row],[Cont Winter MVA]])</f>
        <v>600.15560482261594</v>
      </c>
      <c r="AU7" s="9">
        <f>IF(RIGHT(TKA[[#This Row],[Device type]],7)="Winding","-",TKA[[#This Row],[Cont Shoulder MVA]])</f>
        <v>600.15560482261594</v>
      </c>
      <c r="AV7" s="9">
        <f>IF(RIGHT(TKA[[#This Row],[Device type]],7)="Winding","-",TKA[[#This Row],[Cont Summer MVA]])</f>
        <v>600.15560482261594</v>
      </c>
      <c r="AW7" s="9">
        <f>TKA[[#This Row],[24 Hr Winter MVA]]</f>
        <v>600.15560482261594</v>
      </c>
      <c r="AX7" s="9">
        <f>TKA[[#This Row],[24 Hr Summer MVA]]</f>
        <v>600.15560482261594</v>
      </c>
      <c r="AY7" s="9">
        <f>TKA[[#This Row],[Forwards MVA]]</f>
        <v>49.536653096469891</v>
      </c>
      <c r="AZ7" s="9">
        <f>TKA[[#This Row],[Relay MVA]]</f>
        <v>114.31535329954589</v>
      </c>
      <c r="BA7" s="9">
        <f>TKA[[#This Row],[CT MVA]]</f>
        <v>76.210235533030598</v>
      </c>
      <c r="BB7" s="9" t="str">
        <f>TKA[[#This Row],[Derating MVA]]</f>
        <v>-</v>
      </c>
      <c r="BC7" s="9" t="str">
        <f>TKA[[#This Row],[Station/Feeder]]&amp;TKA[[#This Row],[Lowest MVA]]</f>
        <v>TKA_GXP49.5366530964699</v>
      </c>
      <c r="BD7" s="9" t="str">
        <f>CONCATENATE(TKA[[#This Row],[Supply Level]],TKA[[#This Row],[Station/Feeder]],TKA[[#This Row],[Voltage]],TKA[[#This Row],[Lowest A-No PTX]])</f>
        <v>GXPTKA_GXP110260</v>
      </c>
      <c r="BE7" s="9" t="str">
        <f>CONCATENATE(TKA[[#This Row],[Supply Level]],TKA[[#This Row],[Station/Feeder]],TKA[[#This Row],[Voltage]],TKA[[#This Row],[Lowest A-PTX]])</f>
        <v>GXPTKA_GXP110260</v>
      </c>
      <c r="BF7" s="9">
        <f>IF(MIN(TKA[[#This Row],[Summ Cont Winter A]]:TKA[[#This Row],[Cable Derating]])=0,"",MIN(TKA[[#This Row],[Summ Cont Winter A]]:TKA[[#This Row],[Cable Derating]]))</f>
        <v>49.536653096469891</v>
      </c>
      <c r="BG7" s="9">
        <f>IFERROR(TKA[[#This Row],[Lowest MVA]]*1000/(TKA[[#This Row],[Voltage]]*SQRT(3)),"")</f>
        <v>260</v>
      </c>
      <c r="BH7" s="9">
        <f t="shared" si="0"/>
        <v>260</v>
      </c>
      <c r="BI7" s="9" t="str">
        <f>TKA[[#This Row],[From]]</f>
        <v>CB72</v>
      </c>
      <c r="BJ7" s="9" t="str">
        <f>TKA[[#This Row],[To]]</f>
        <v>PTX T6</v>
      </c>
      <c r="BK7" s="46" t="str">
        <f>IF(TKA[[#This Row],[Device type]]="-",TKA[[#This Row],[Equipment Type]]&amp;" - "&amp;TKA[[#This Row],[Equipment ID]],TKA[[#This Row],[Equipment Type]]&amp;" - "&amp;TKA[[#This Row],[Equipment ID]]&amp;" - "&amp;TKA[[#This Row],[Device type]])</f>
        <v>Circuit Breaker - TKA-CB72 - Protection</v>
      </c>
      <c r="BL7" s="9">
        <f>TKA[[#This Row],[Voltage]]</f>
        <v>110</v>
      </c>
    </row>
    <row r="8" spans="1:64" s="1" customFormat="1" ht="15" customHeight="1" x14ac:dyDescent="0.25">
      <c r="A8" s="6" t="str">
        <f>CONCATENATE(TKA[[#This Row],[Supply Level]],TKA[[#This Row],[Station/Feeder]],TKA[[#This Row],[Voltage]])</f>
        <v>GXPTKA_GXP110</v>
      </c>
      <c r="B8" s="6" t="str">
        <f>CONCATENATE(TKA[[#This Row],[Supply Level]],TKA[[#This Row],[Station/Feeder]],TKA[[#This Row],[Equipment ID]],TKA[[#This Row],[Voltage]],TKA[[#This Row],[Device type]])</f>
        <v>GXPTKA_GXPT6110Tap Changer</v>
      </c>
      <c r="C8" s="6" t="s">
        <v>4</v>
      </c>
      <c r="D8" s="6" t="s">
        <v>76</v>
      </c>
      <c r="E8" s="7" t="s">
        <v>1208</v>
      </c>
      <c r="F8" s="7" t="s">
        <v>1211</v>
      </c>
      <c r="G8" s="57">
        <v>3</v>
      </c>
      <c r="H8" s="7" t="s">
        <v>1212</v>
      </c>
      <c r="I8" s="7" t="s">
        <v>765</v>
      </c>
      <c r="J8" s="7" t="s">
        <v>19</v>
      </c>
      <c r="K8" s="7" t="s">
        <v>1216</v>
      </c>
      <c r="L8" s="7" t="s">
        <v>20</v>
      </c>
      <c r="M8" s="57">
        <v>110</v>
      </c>
      <c r="N8" s="9">
        <v>300</v>
      </c>
      <c r="O8" s="9">
        <f>IF(OR(N8="",N8="-"),"-",N8*$M8*SQRT(3)/1000)</f>
        <v>57.157676649772945</v>
      </c>
      <c r="P8" s="9">
        <v>300</v>
      </c>
      <c r="Q8" s="9">
        <f>IF(OR(P8="",P8="-"),"-",P8*$M8*SQRT(3)/1000)</f>
        <v>57.157676649772945</v>
      </c>
      <c r="R8" s="9">
        <v>300</v>
      </c>
      <c r="S8" s="9">
        <f>IF(OR(R8="",R8="-"),"-",R8*$M8*SQRT(3)/1000)</f>
        <v>57.157676649772945</v>
      </c>
      <c r="T8" s="9">
        <v>360</v>
      </c>
      <c r="U8" s="9">
        <f>IF(OR(T8="",T8="-"),"-",T8*$M8*SQRT(3)/1000)</f>
        <v>68.589211979727537</v>
      </c>
      <c r="V8" s="9">
        <v>360</v>
      </c>
      <c r="W8" s="9">
        <f>IF(OR(V8="",V8="-"),"-",V8*$M8*SQRT(3)/1000)</f>
        <v>68.589211979727537</v>
      </c>
      <c r="X8" s="9" t="s">
        <v>0</v>
      </c>
      <c r="Y8" s="9" t="str">
        <f>IF(OR(X8="",X8="-"),"-",X8*$M8*SQRT(3)/1000)</f>
        <v>-</v>
      </c>
      <c r="Z8" s="9" t="s">
        <v>0</v>
      </c>
      <c r="AA8" s="9" t="str">
        <f>IF(OR(Z8="",Z8="-"),"-",Z8*$M8*SQRT(3)/1000)</f>
        <v>-</v>
      </c>
      <c r="AB8" s="9" t="s">
        <v>0</v>
      </c>
      <c r="AC8" s="9" t="str">
        <f>IF(OR(AB8="",AB8="-"),"-",AB8*$M8*SQRT(3)/1000)</f>
        <v>-</v>
      </c>
      <c r="AD8" s="9" t="s">
        <v>0</v>
      </c>
      <c r="AE8" s="9" t="str">
        <f>IF(OR(AD8="",AD8="-"),"-",AD8*$M8*SQRT(3)/1000)</f>
        <v>-</v>
      </c>
      <c r="AF8" s="9" t="s">
        <v>0</v>
      </c>
      <c r="AG8" s="9" t="s">
        <v>0</v>
      </c>
      <c r="AH8" s="9" t="s">
        <v>0</v>
      </c>
      <c r="AI8" s="9" t="s">
        <v>0</v>
      </c>
      <c r="AJ8" s="43" t="s">
        <v>0</v>
      </c>
      <c r="AK8" s="9" t="s">
        <v>0</v>
      </c>
      <c r="AL8" s="43" t="s">
        <v>0</v>
      </c>
      <c r="AM8" s="9" t="s">
        <v>0</v>
      </c>
      <c r="AN8" s="43" t="s">
        <v>0</v>
      </c>
      <c r="AO8" s="9" t="s">
        <v>0</v>
      </c>
      <c r="AP8" s="43" t="s">
        <v>0</v>
      </c>
      <c r="AQ8" s="43" t="s">
        <v>0</v>
      </c>
      <c r="AR8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8" s="9" t="str">
        <f>IF(OR(AR8="",AR8="-"),"-",AR8*$M8*SQRT(3)/1000)</f>
        <v>-</v>
      </c>
      <c r="AT8" s="9">
        <f>IF(RIGHT(TKA[[#This Row],[Device type]],7)="Winding","-",TKA[[#This Row],[Cont Winter MVA]])</f>
        <v>57.157676649772945</v>
      </c>
      <c r="AU8" s="9">
        <f>IF(RIGHT(TKA[[#This Row],[Device type]],7)="Winding","-",TKA[[#This Row],[Cont Shoulder MVA]])</f>
        <v>57.157676649772945</v>
      </c>
      <c r="AV8" s="9">
        <f>IF(RIGHT(TKA[[#This Row],[Device type]],7)="Winding","-",TKA[[#This Row],[Cont Summer MVA]])</f>
        <v>57.157676649772945</v>
      </c>
      <c r="AW8" s="9">
        <f>TKA[[#This Row],[24 Hr Winter MVA]]</f>
        <v>68.589211979727537</v>
      </c>
      <c r="AX8" s="9">
        <f>TKA[[#This Row],[24 Hr Summer MVA]]</f>
        <v>68.589211979727537</v>
      </c>
      <c r="AY8" s="9" t="str">
        <f>TKA[[#This Row],[Forwards MVA]]</f>
        <v>-</v>
      </c>
      <c r="AZ8" s="9" t="str">
        <f>TKA[[#This Row],[Relay MVA]]</f>
        <v>-</v>
      </c>
      <c r="BA8" s="9" t="str">
        <f>TKA[[#This Row],[CT MVA]]</f>
        <v>-</v>
      </c>
      <c r="BB8" s="9" t="str">
        <f>TKA[[#This Row],[Derating MVA]]</f>
        <v>-</v>
      </c>
      <c r="BC8" s="9" t="str">
        <f>TKA[[#This Row],[Station/Feeder]]&amp;TKA[[#This Row],[Lowest MVA]]</f>
        <v>TKA_GXP57.1576766497729</v>
      </c>
      <c r="BD8" s="9" t="str">
        <f>CONCATENATE(TKA[[#This Row],[Supply Level]],TKA[[#This Row],[Station/Feeder]],TKA[[#This Row],[Voltage]],TKA[[#This Row],[Lowest A-No PTX]])</f>
        <v>GXPTKA_GXP110300</v>
      </c>
      <c r="BE8" s="9" t="str">
        <f>CONCATENATE(TKA[[#This Row],[Supply Level]],TKA[[#This Row],[Station/Feeder]],TKA[[#This Row],[Voltage]],TKA[[#This Row],[Lowest A-PTX]])</f>
        <v>GXPTKA_GXP110300</v>
      </c>
      <c r="BF8" s="9">
        <f>IF(MIN(TKA[[#This Row],[Summ Cont Winter A]]:TKA[[#This Row],[Cable Derating]])=0,"",MIN(TKA[[#This Row],[Summ Cont Winter A]]:TKA[[#This Row],[Cable Derating]]))</f>
        <v>57.157676649772945</v>
      </c>
      <c r="BG8" s="9">
        <f>IFERROR(TKA[[#This Row],[Lowest MVA]]*1000/(TKA[[#This Row],[Voltage]]*SQRT(3)),"")</f>
        <v>300</v>
      </c>
      <c r="BH8" s="9">
        <f t="shared" si="0"/>
        <v>300</v>
      </c>
      <c r="BI8" s="9" t="str">
        <f>TKA[[#This Row],[From]]</f>
        <v>CB72</v>
      </c>
      <c r="BJ8" s="9" t="str">
        <f>TKA[[#This Row],[To]]</f>
        <v>PTX T6</v>
      </c>
      <c r="BK8" s="46" t="str">
        <f>IF(TKA[[#This Row],[Device type]]="-",TKA[[#This Row],[Equipment Type]]&amp;" - "&amp;TKA[[#This Row],[Equipment ID]],TKA[[#This Row],[Equipment Type]]&amp;" - "&amp;TKA[[#This Row],[Equipment ID]]&amp;" - "&amp;TKA[[#This Row],[Device type]])</f>
        <v>Transformer - T6 - Tap Changer</v>
      </c>
      <c r="BL8" s="9">
        <f>TKA[[#This Row],[Voltage]]</f>
        <v>110</v>
      </c>
    </row>
    <row r="9" spans="1:64" s="1" customFormat="1" ht="15" customHeight="1" x14ac:dyDescent="0.25">
      <c r="A9" s="6" t="str">
        <f>CONCATENATE(TKA[[#This Row],[Supply Level]],TKA[[#This Row],[Station/Feeder]],TKA[[#This Row],[Voltage]])</f>
        <v>GXPTKA_GXP110</v>
      </c>
      <c r="B9" s="6" t="str">
        <f>CONCATENATE(TKA[[#This Row],[Supply Level]],TKA[[#This Row],[Station/Feeder]],TKA[[#This Row],[Equipment ID]],TKA[[#This Row],[Voltage]],TKA[[#This Row],[Device type]])</f>
        <v>GXPTKA_GXPT6110Bushing</v>
      </c>
      <c r="C9" s="6" t="s">
        <v>4</v>
      </c>
      <c r="D9" s="6" t="s">
        <v>76</v>
      </c>
      <c r="E9" s="7" t="s">
        <v>1208</v>
      </c>
      <c r="F9" s="7" t="s">
        <v>1211</v>
      </c>
      <c r="G9" s="57">
        <v>4</v>
      </c>
      <c r="H9" s="7" t="s">
        <v>1212</v>
      </c>
      <c r="I9" s="7" t="s">
        <v>765</v>
      </c>
      <c r="J9" s="7" t="s">
        <v>19</v>
      </c>
      <c r="K9" s="7" t="s">
        <v>1216</v>
      </c>
      <c r="L9" s="7" t="s">
        <v>1217</v>
      </c>
      <c r="M9" s="57">
        <v>110</v>
      </c>
      <c r="N9" s="9">
        <v>1250</v>
      </c>
      <c r="O9" s="9">
        <f>IF(OR(N9="",N9="-"),"-",N9*$M9*SQRT(3)/1000)</f>
        <v>238.1569860407206</v>
      </c>
      <c r="P9" s="9">
        <v>1250</v>
      </c>
      <c r="Q9" s="9">
        <f>IF(OR(P9="",P9="-"),"-",P9*$M9*SQRT(3)/1000)</f>
        <v>238.1569860407206</v>
      </c>
      <c r="R9" s="9">
        <v>1250</v>
      </c>
      <c r="S9" s="9">
        <f>IF(OR(R9="",R9="-"),"-",R9*$M9*SQRT(3)/1000)</f>
        <v>238.1569860407206</v>
      </c>
      <c r="T9" s="9">
        <v>1500</v>
      </c>
      <c r="U9" s="9">
        <f>IF(OR(T9="",T9="-"),"-",T9*$M9*SQRT(3)/1000)</f>
        <v>285.7883832488647</v>
      </c>
      <c r="V9" s="9">
        <v>1500</v>
      </c>
      <c r="W9" s="9">
        <f>IF(OR(V9="",V9="-"),"-",V9*$M9*SQRT(3)/1000)</f>
        <v>285.7883832488647</v>
      </c>
      <c r="X9" s="9" t="s">
        <v>0</v>
      </c>
      <c r="Y9" s="9" t="str">
        <f>IF(OR(X9="",X9="-"),"-",X9*$M9*SQRT(3)/1000)</f>
        <v>-</v>
      </c>
      <c r="Z9" s="9" t="s">
        <v>0</v>
      </c>
      <c r="AA9" s="9" t="str">
        <f>IF(OR(Z9="",Z9="-"),"-",Z9*$M9*SQRT(3)/1000)</f>
        <v>-</v>
      </c>
      <c r="AB9" s="9" t="s">
        <v>0</v>
      </c>
      <c r="AC9" s="9" t="str">
        <f>IF(OR(AB9="",AB9="-"),"-",AB9*$M9*SQRT(3)/1000)</f>
        <v>-</v>
      </c>
      <c r="AD9" s="9" t="s">
        <v>0</v>
      </c>
      <c r="AE9" s="9" t="str">
        <f>IF(OR(AD9="",AD9="-"),"-",AD9*$M9*SQRT(3)/1000)</f>
        <v>-</v>
      </c>
      <c r="AF9" s="9" t="s">
        <v>0</v>
      </c>
      <c r="AG9" s="9" t="s">
        <v>0</v>
      </c>
      <c r="AH9" s="9" t="s">
        <v>0</v>
      </c>
      <c r="AI9" s="9" t="s">
        <v>0</v>
      </c>
      <c r="AJ9" s="43" t="s">
        <v>0</v>
      </c>
      <c r="AK9" s="9" t="s">
        <v>0</v>
      </c>
      <c r="AL9" s="43" t="s">
        <v>0</v>
      </c>
      <c r="AM9" s="9" t="s">
        <v>0</v>
      </c>
      <c r="AN9" s="43" t="s">
        <v>0</v>
      </c>
      <c r="AO9" s="9" t="s">
        <v>0</v>
      </c>
      <c r="AP9" s="43" t="s">
        <v>0</v>
      </c>
      <c r="AQ9" s="43" t="s">
        <v>0</v>
      </c>
      <c r="AR9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9" s="9" t="str">
        <f>IF(OR(AR9="",AR9="-"),"-",AR9*$M9*SQRT(3)/1000)</f>
        <v>-</v>
      </c>
      <c r="AT9" s="9">
        <f>IF(RIGHT(TKA[[#This Row],[Device type]],7)="Winding","-",TKA[[#This Row],[Cont Winter MVA]])</f>
        <v>238.1569860407206</v>
      </c>
      <c r="AU9" s="9">
        <f>IF(RIGHT(TKA[[#This Row],[Device type]],7)="Winding","-",TKA[[#This Row],[Cont Shoulder MVA]])</f>
        <v>238.1569860407206</v>
      </c>
      <c r="AV9" s="9">
        <f>IF(RIGHT(TKA[[#This Row],[Device type]],7)="Winding","-",TKA[[#This Row],[Cont Summer MVA]])</f>
        <v>238.1569860407206</v>
      </c>
      <c r="AW9" s="9">
        <f>TKA[[#This Row],[24 Hr Winter MVA]]</f>
        <v>285.7883832488647</v>
      </c>
      <c r="AX9" s="9">
        <f>TKA[[#This Row],[24 Hr Summer MVA]]</f>
        <v>285.7883832488647</v>
      </c>
      <c r="AY9" s="9" t="str">
        <f>TKA[[#This Row],[Forwards MVA]]</f>
        <v>-</v>
      </c>
      <c r="AZ9" s="9" t="str">
        <f>TKA[[#This Row],[Relay MVA]]</f>
        <v>-</v>
      </c>
      <c r="BA9" s="9" t="str">
        <f>TKA[[#This Row],[CT MVA]]</f>
        <v>-</v>
      </c>
      <c r="BB9" s="9" t="str">
        <f>TKA[[#This Row],[Derating MVA]]</f>
        <v>-</v>
      </c>
      <c r="BC9" s="9" t="str">
        <f>TKA[[#This Row],[Station/Feeder]]&amp;TKA[[#This Row],[Lowest MVA]]</f>
        <v>TKA_GXP238.156986040721</v>
      </c>
      <c r="BD9" s="9" t="str">
        <f>CONCATENATE(TKA[[#This Row],[Supply Level]],TKA[[#This Row],[Station/Feeder]],TKA[[#This Row],[Voltage]],TKA[[#This Row],[Lowest A-No PTX]])</f>
        <v>GXPTKA_GXP1101250</v>
      </c>
      <c r="BE9" s="9" t="str">
        <f>CONCATENATE(TKA[[#This Row],[Supply Level]],TKA[[#This Row],[Station/Feeder]],TKA[[#This Row],[Voltage]],TKA[[#This Row],[Lowest A-PTX]])</f>
        <v>GXPTKA_GXP1101250</v>
      </c>
      <c r="BF9" s="9">
        <f>IF(MIN(TKA[[#This Row],[Summ Cont Winter A]]:TKA[[#This Row],[Cable Derating]])=0,"",MIN(TKA[[#This Row],[Summ Cont Winter A]]:TKA[[#This Row],[Cable Derating]]))</f>
        <v>238.1569860407206</v>
      </c>
      <c r="BG9" s="9">
        <f>IFERROR(TKA[[#This Row],[Lowest MVA]]*1000/(TKA[[#This Row],[Voltage]]*SQRT(3)),"")</f>
        <v>1250</v>
      </c>
      <c r="BH9" s="9">
        <f t="shared" si="0"/>
        <v>1250</v>
      </c>
      <c r="BI9" s="9" t="str">
        <f>TKA[[#This Row],[From]]</f>
        <v>CB72</v>
      </c>
      <c r="BJ9" s="9" t="str">
        <f>TKA[[#This Row],[To]]</f>
        <v>PTX T6</v>
      </c>
      <c r="BK9" s="46" t="str">
        <f>IF(TKA[[#This Row],[Device type]]="-",TKA[[#This Row],[Equipment Type]]&amp;" - "&amp;TKA[[#This Row],[Equipment ID]],TKA[[#This Row],[Equipment Type]]&amp;" - "&amp;TKA[[#This Row],[Equipment ID]]&amp;" - "&amp;TKA[[#This Row],[Device type]])</f>
        <v>Transformer - T6 - Bushing</v>
      </c>
      <c r="BL9" s="9">
        <f>TKA[[#This Row],[Voltage]]</f>
        <v>110</v>
      </c>
    </row>
    <row r="10" spans="1:64" s="1" customFormat="1" ht="15" customHeight="1" x14ac:dyDescent="0.25">
      <c r="A10" s="6" t="str">
        <f>CONCATENATE(TKA[[#This Row],[Supply Level]],TKA[[#This Row],[Station/Feeder]],TKA[[#This Row],[Voltage]])</f>
        <v>GXPTKA_GXP110</v>
      </c>
      <c r="B10" s="6" t="str">
        <f>CONCATENATE(TKA[[#This Row],[Supply Level]],TKA[[#This Row],[Station/Feeder]],TKA[[#This Row],[Equipment ID]],TKA[[#This Row],[Voltage]],TKA[[#This Row],[Device type]])</f>
        <v>GXPTKA_GXPT6110Non Equipment</v>
      </c>
      <c r="C10" s="6" t="s">
        <v>4</v>
      </c>
      <c r="D10" s="6" t="s">
        <v>76</v>
      </c>
      <c r="E10" s="7" t="s">
        <v>1208</v>
      </c>
      <c r="F10" s="7" t="s">
        <v>1211</v>
      </c>
      <c r="G10" s="57">
        <v>4</v>
      </c>
      <c r="H10" s="7" t="s">
        <v>1212</v>
      </c>
      <c r="I10" s="7" t="s">
        <v>765</v>
      </c>
      <c r="J10" s="7" t="s">
        <v>19</v>
      </c>
      <c r="K10" s="7" t="s">
        <v>1218</v>
      </c>
      <c r="L10" s="7" t="s">
        <v>1219</v>
      </c>
      <c r="M10" s="57">
        <v>110</v>
      </c>
      <c r="N10" s="9">
        <v>184</v>
      </c>
      <c r="O10" s="9">
        <f>IF(OR(N10="",N10="-"),"-",N10*$M10*SQRT(3)/1000)</f>
        <v>35.056708345194075</v>
      </c>
      <c r="P10" s="9">
        <v>184</v>
      </c>
      <c r="Q10" s="9">
        <f>IF(OR(P10="",P10="-"),"-",P10*$M10*SQRT(3)/1000)</f>
        <v>35.056708345194075</v>
      </c>
      <c r="R10" s="9">
        <v>184</v>
      </c>
      <c r="S10" s="9">
        <f>IF(OR(R10="",R10="-"),"-",R10*$M10*SQRT(3)/1000)</f>
        <v>35.056708345194075</v>
      </c>
      <c r="T10" s="9">
        <v>184</v>
      </c>
      <c r="U10" s="9">
        <f>IF(OR(T10="",T10="-"),"-",T10*$M10*SQRT(3)/1000)</f>
        <v>35.056708345194075</v>
      </c>
      <c r="V10" s="9">
        <v>184</v>
      </c>
      <c r="W10" s="9">
        <f>IF(OR(V10="",V10="-"),"-",V10*$M10*SQRT(3)/1000)</f>
        <v>35.056708345194075</v>
      </c>
      <c r="X10" s="9" t="s">
        <v>0</v>
      </c>
      <c r="Y10" s="9" t="str">
        <f>IF(OR(X10="",X10="-"),"-",X10*$M10*SQRT(3)/1000)</f>
        <v>-</v>
      </c>
      <c r="Z10" s="9" t="s">
        <v>0</v>
      </c>
      <c r="AA10" s="9" t="str">
        <f>IF(OR(Z10="",Z10="-"),"-",Z10*$M10*SQRT(3)/1000)</f>
        <v>-</v>
      </c>
      <c r="AB10" s="9" t="s">
        <v>0</v>
      </c>
      <c r="AC10" s="9" t="str">
        <f>IF(OR(AB10="",AB10="-"),"-",AB10*$M10*SQRT(3)/1000)</f>
        <v>-</v>
      </c>
      <c r="AD10" s="9" t="s">
        <v>0</v>
      </c>
      <c r="AE10" s="9" t="str">
        <f>IF(OR(AD10="",AD10="-"),"-",AD10*$M10*SQRT(3)/1000)</f>
        <v>-</v>
      </c>
      <c r="AF10" s="9" t="s">
        <v>0</v>
      </c>
      <c r="AG10" s="9" t="s">
        <v>0</v>
      </c>
      <c r="AH10" s="9" t="s">
        <v>0</v>
      </c>
      <c r="AI10" s="9" t="s">
        <v>0</v>
      </c>
      <c r="AJ10" s="43" t="s">
        <v>0</v>
      </c>
      <c r="AK10" s="9" t="s">
        <v>0</v>
      </c>
      <c r="AL10" s="43" t="s">
        <v>0</v>
      </c>
      <c r="AM10" s="9" t="s">
        <v>0</v>
      </c>
      <c r="AN10" s="43" t="s">
        <v>0</v>
      </c>
      <c r="AO10" s="9" t="s">
        <v>0</v>
      </c>
      <c r="AP10" s="43" t="s">
        <v>0</v>
      </c>
      <c r="AQ10" s="43" t="s">
        <v>0</v>
      </c>
      <c r="AR10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0" s="9" t="str">
        <f>IF(OR(AR10="",AR10="-"),"-",AR10*$M10*SQRT(3)/1000)</f>
        <v>-</v>
      </c>
      <c r="AT10" s="9">
        <f>IF(RIGHT(TKA[[#This Row],[Device type]],7)="Winding","-",TKA[[#This Row],[Cont Winter MVA]])</f>
        <v>35.056708345194075</v>
      </c>
      <c r="AU10" s="9">
        <f>IF(RIGHT(TKA[[#This Row],[Device type]],7)="Winding","-",TKA[[#This Row],[Cont Shoulder MVA]])</f>
        <v>35.056708345194075</v>
      </c>
      <c r="AV10" s="9">
        <f>IF(RIGHT(TKA[[#This Row],[Device type]],7)="Winding","-",TKA[[#This Row],[Cont Summer MVA]])</f>
        <v>35.056708345194075</v>
      </c>
      <c r="AW10" s="9">
        <f>TKA[[#This Row],[24 Hr Winter MVA]]</f>
        <v>35.056708345194075</v>
      </c>
      <c r="AX10" s="9">
        <f>TKA[[#This Row],[24 Hr Summer MVA]]</f>
        <v>35.056708345194075</v>
      </c>
      <c r="AY10" s="9" t="str">
        <f>TKA[[#This Row],[Forwards MVA]]</f>
        <v>-</v>
      </c>
      <c r="AZ10" s="9" t="str">
        <f>TKA[[#This Row],[Relay MVA]]</f>
        <v>-</v>
      </c>
      <c r="BA10" s="9" t="str">
        <f>TKA[[#This Row],[CT MVA]]</f>
        <v>-</v>
      </c>
      <c r="BB10" s="9" t="str">
        <f>TKA[[#This Row],[Derating MVA]]</f>
        <v>-</v>
      </c>
      <c r="BC10" s="9" t="str">
        <f>TKA[[#This Row],[Station/Feeder]]&amp;TKA[[#This Row],[Lowest MVA]]</f>
        <v>TKA_GXP35.0567083451941</v>
      </c>
      <c r="BD10" s="9" t="str">
        <f>CONCATENATE(TKA[[#This Row],[Supply Level]],TKA[[#This Row],[Station/Feeder]],TKA[[#This Row],[Voltage]],TKA[[#This Row],[Lowest A-No PTX]])</f>
        <v>GXPTKA_GXP110184</v>
      </c>
      <c r="BE10" s="9" t="str">
        <f>CONCATENATE(TKA[[#This Row],[Supply Level]],TKA[[#This Row],[Station/Feeder]],TKA[[#This Row],[Voltage]],TKA[[#This Row],[Lowest A-PTX]])</f>
        <v>GXPTKA_GXP110184</v>
      </c>
      <c r="BF10" s="9">
        <f>IF(MIN(TKA[[#This Row],[Summ Cont Winter A]]:TKA[[#This Row],[Cable Derating]])=0,"",MIN(TKA[[#This Row],[Summ Cont Winter A]]:TKA[[#This Row],[Cable Derating]]))</f>
        <v>35.056708345194075</v>
      </c>
      <c r="BG10" s="9">
        <f>IFERROR(TKA[[#This Row],[Lowest MVA]]*1000/(TKA[[#This Row],[Voltage]]*SQRT(3)),"")</f>
        <v>184.00000000000003</v>
      </c>
      <c r="BH10" s="9">
        <f t="shared" si="0"/>
        <v>184</v>
      </c>
      <c r="BI10" s="9" t="str">
        <f>TKA[[#This Row],[From]]</f>
        <v>CB72</v>
      </c>
      <c r="BJ10" s="9" t="str">
        <f>TKA[[#This Row],[To]]</f>
        <v>PTX T6</v>
      </c>
      <c r="BK10" s="46" t="str">
        <f>IF(TKA[[#This Row],[Device type]]="-",TKA[[#This Row],[Equipment Type]]&amp;" - "&amp;TKA[[#This Row],[Equipment ID]],TKA[[#This Row],[Equipment Type]]&amp;" - "&amp;TKA[[#This Row],[Equipment ID]]&amp;" - "&amp;TKA[[#This Row],[Device type]])</f>
        <v>Transformer - T6 - Non Equipment</v>
      </c>
      <c r="BL10" s="9">
        <f>TKA[[#This Row],[Voltage]]</f>
        <v>110</v>
      </c>
    </row>
    <row r="11" spans="1:64" s="1" customFormat="1" ht="15" customHeight="1" x14ac:dyDescent="0.25">
      <c r="A11" s="6" t="str">
        <f>CONCATENATE(TKA[[#This Row],[Supply Level]],TKA[[#This Row],[Station/Feeder]],TKA[[#This Row],[Voltage]])</f>
        <v>GXPTKA_GXP110</v>
      </c>
      <c r="B11" s="6" t="str">
        <f>CONCATENATE(TKA[[#This Row],[Supply Level]],TKA[[#This Row],[Station/Feeder]],TKA[[#This Row],[Equipment ID]],TKA[[#This Row],[Voltage]],TKA[[#This Row],[Device type]])</f>
        <v>GXPTKA_GXPT6110HV Winding</v>
      </c>
      <c r="C11" s="6" t="s">
        <v>4</v>
      </c>
      <c r="D11" s="6" t="s">
        <v>76</v>
      </c>
      <c r="E11" s="7" t="s">
        <v>1208</v>
      </c>
      <c r="F11" s="7" t="s">
        <v>1211</v>
      </c>
      <c r="G11" s="57">
        <v>5</v>
      </c>
      <c r="H11" s="7" t="s">
        <v>1212</v>
      </c>
      <c r="I11" s="7" t="s">
        <v>765</v>
      </c>
      <c r="J11" s="7" t="s">
        <v>19</v>
      </c>
      <c r="K11" s="7" t="s">
        <v>1216</v>
      </c>
      <c r="L11" s="7" t="s">
        <v>36</v>
      </c>
      <c r="M11" s="57">
        <v>110</v>
      </c>
      <c r="N11" s="9">
        <f>35*1000/(TKA[[#This Row],[Voltage]]*SQRT(3))</f>
        <v>183.70235837851729</v>
      </c>
      <c r="O11" s="9">
        <f t="shared" ref="O11:O16" si="11">IF(OR(N11="",N11="-"),"-",N11*$M11*SQRT(3)/1000)</f>
        <v>35</v>
      </c>
      <c r="P11" s="9" t="s">
        <v>0</v>
      </c>
      <c r="Q11" s="9" t="str">
        <f t="shared" ref="Q11:Q16" si="12">IF(OR(P11="",P11="-"),"-",P11*$M11*SQRT(3)/1000)</f>
        <v>-</v>
      </c>
      <c r="R11" s="9" t="s">
        <v>0</v>
      </c>
      <c r="S11" s="9" t="str">
        <f t="shared" ref="S11:S16" si="13">IF(OR(R11="",R11="-"),"-",R11*$M11*SQRT(3)/1000)</f>
        <v>-</v>
      </c>
      <c r="T11" s="9">
        <v>237</v>
      </c>
      <c r="U11" s="9">
        <f t="shared" ref="U11:U16" si="14">IF(OR(T11="",T11="-"),"-",T11*$M11*SQRT(3)/1000)</f>
        <v>45.154564553320625</v>
      </c>
      <c r="V11" s="9">
        <v>237</v>
      </c>
      <c r="W11" s="9">
        <f t="shared" ref="W11:W16" si="15">IF(OR(V11="",V11="-"),"-",V11*$M11*SQRT(3)/1000)</f>
        <v>45.154564553320625</v>
      </c>
      <c r="X11" s="9" t="s">
        <v>0</v>
      </c>
      <c r="Y11" s="9" t="str">
        <f t="shared" ref="Y11:Y16" si="16">IF(OR(X11="",X11="-"),"-",X11*$M11*SQRT(3)/1000)</f>
        <v>-</v>
      </c>
      <c r="Z11" s="9" t="s">
        <v>0</v>
      </c>
      <c r="AA11" s="9" t="str">
        <f t="shared" ref="AA11:AA16" si="17">IF(OR(Z11="",Z11="-"),"-",Z11*$M11*SQRT(3)/1000)</f>
        <v>-</v>
      </c>
      <c r="AB11" s="9" t="s">
        <v>0</v>
      </c>
      <c r="AC11" s="9" t="str">
        <f t="shared" ref="AC11:AC16" si="18">IF(OR(AB11="",AB11="-"),"-",AB11*$M11*SQRT(3)/1000)</f>
        <v>-</v>
      </c>
      <c r="AD11" s="9" t="s">
        <v>0</v>
      </c>
      <c r="AE11" s="9" t="str">
        <f t="shared" ref="AE11:AE16" si="19">IF(OR(AD11="",AD11="-"),"-",AD11*$M11*SQRT(3)/1000)</f>
        <v>-</v>
      </c>
      <c r="AF11" s="9" t="s">
        <v>0</v>
      </c>
      <c r="AG11" s="9" t="s">
        <v>0</v>
      </c>
      <c r="AH11" s="9" t="s">
        <v>0</v>
      </c>
      <c r="AI11" s="9" t="s">
        <v>0</v>
      </c>
      <c r="AJ11" s="43" t="s">
        <v>0</v>
      </c>
      <c r="AK11" s="9" t="s">
        <v>0</v>
      </c>
      <c r="AL11" s="43" t="s">
        <v>0</v>
      </c>
      <c r="AM11" s="9" t="s">
        <v>0</v>
      </c>
      <c r="AN11" s="43" t="s">
        <v>0</v>
      </c>
      <c r="AO11" s="9" t="s">
        <v>0</v>
      </c>
      <c r="AP11" s="43" t="s">
        <v>0</v>
      </c>
      <c r="AQ11" s="43" t="s">
        <v>0</v>
      </c>
      <c r="AR11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1" s="9" t="str">
        <f t="shared" ref="AS11:AS16" si="20">IF(OR(AR11="",AR11="-"),"-",AR11*$M11*SQRT(3)/1000)</f>
        <v>-</v>
      </c>
      <c r="AT11" s="9" t="str">
        <f>IF(RIGHT(TKA[[#This Row],[Device type]],7)="Winding","-",TKA[[#This Row],[Cont Winter MVA]])</f>
        <v>-</v>
      </c>
      <c r="AU11" s="9" t="str">
        <f>IF(RIGHT(TKA[[#This Row],[Device type]],7)="Winding","-",TKA[[#This Row],[Cont Shoulder MVA]])</f>
        <v>-</v>
      </c>
      <c r="AV11" s="9" t="str">
        <f>IF(RIGHT(TKA[[#This Row],[Device type]],7)="Winding","-",TKA[[#This Row],[Cont Summer MVA]])</f>
        <v>-</v>
      </c>
      <c r="AW11" s="9">
        <f>TKA[[#This Row],[24 Hr Winter MVA]]</f>
        <v>45.154564553320625</v>
      </c>
      <c r="AX11" s="9">
        <f>TKA[[#This Row],[24 Hr Summer MVA]]</f>
        <v>45.154564553320625</v>
      </c>
      <c r="AY11" s="9" t="str">
        <f>TKA[[#This Row],[Forwards MVA]]</f>
        <v>-</v>
      </c>
      <c r="AZ11" s="9" t="str">
        <f>TKA[[#This Row],[Relay MVA]]</f>
        <v>-</v>
      </c>
      <c r="BA11" s="9" t="str">
        <f>TKA[[#This Row],[CT MVA]]</f>
        <v>-</v>
      </c>
      <c r="BB11" s="9" t="str">
        <f>TKA[[#This Row],[Derating MVA]]</f>
        <v>-</v>
      </c>
      <c r="BC11" s="9" t="str">
        <f>TKA[[#This Row],[Station/Feeder]]&amp;TKA[[#This Row],[Lowest MVA]]</f>
        <v>TKA_GXP45.1545645533206</v>
      </c>
      <c r="BD11" s="9" t="str">
        <f>CONCATENATE(TKA[[#This Row],[Supply Level]],TKA[[#This Row],[Station/Feeder]],TKA[[#This Row],[Voltage]],TKA[[#This Row],[Lowest A-No PTX]])</f>
        <v>GXPTKA_GXP110237</v>
      </c>
      <c r="BE11" s="9" t="str">
        <f>CONCATENATE(TKA[[#This Row],[Supply Level]],TKA[[#This Row],[Station/Feeder]],TKA[[#This Row],[Voltage]],TKA[[#This Row],[Lowest A-PTX]])</f>
        <v>GXPTKA_GXP110183.702358378517</v>
      </c>
      <c r="BF11" s="9">
        <f>IF(MIN(TKA[[#This Row],[Summ Cont Winter A]]:TKA[[#This Row],[Cable Derating]])=0,"",MIN(TKA[[#This Row],[Summ Cont Winter A]]:TKA[[#This Row],[Cable Derating]]))</f>
        <v>45.154564553320625</v>
      </c>
      <c r="BG11" s="9">
        <f>IFERROR(TKA[[#This Row],[Lowest MVA]]*1000/(TKA[[#This Row],[Voltage]]*SQRT(3)),"")</f>
        <v>237</v>
      </c>
      <c r="BH11" s="9">
        <f t="shared" si="0"/>
        <v>183.70235837851729</v>
      </c>
      <c r="BI11" s="9" t="str">
        <f>TKA[[#This Row],[From]]</f>
        <v>CB72</v>
      </c>
      <c r="BJ11" s="9" t="str">
        <f>TKA[[#This Row],[To]]</f>
        <v>PTX T6</v>
      </c>
      <c r="BK11" s="46" t="str">
        <f>IF(TKA[[#This Row],[Device type]]="-",TKA[[#This Row],[Equipment Type]]&amp;" - "&amp;TKA[[#This Row],[Equipment ID]],TKA[[#This Row],[Equipment Type]]&amp;" - "&amp;TKA[[#This Row],[Equipment ID]]&amp;" - "&amp;TKA[[#This Row],[Device type]])</f>
        <v>Transformer - T6 - HV Winding</v>
      </c>
      <c r="BL11" s="9">
        <f>TKA[[#This Row],[Voltage]]</f>
        <v>110</v>
      </c>
    </row>
    <row r="12" spans="1:64" s="1" customFormat="1" ht="15" customHeight="1" x14ac:dyDescent="0.25">
      <c r="A12" s="6" t="str">
        <f>CONCATENATE(TKA[[#This Row],[Supply Level]],TKA[[#This Row],[Station/Feeder]],TKA[[#This Row],[Voltage]])</f>
        <v>GXPTKA_GXP11</v>
      </c>
      <c r="B12" s="6" t="str">
        <f>CONCATENATE(TKA[[#This Row],[Supply Level]],TKA[[#This Row],[Station/Feeder]],TKA[[#This Row],[Equipment ID]],TKA[[#This Row],[Voltage]],TKA[[#This Row],[Device type]])</f>
        <v>GXPTKA_GXPT611LV Winding</v>
      </c>
      <c r="C12" s="6" t="s">
        <v>4</v>
      </c>
      <c r="D12" s="6" t="s">
        <v>76</v>
      </c>
      <c r="E12" s="7" t="s">
        <v>1208</v>
      </c>
      <c r="F12" s="7" t="s">
        <v>1211</v>
      </c>
      <c r="G12" s="57">
        <v>6</v>
      </c>
      <c r="H12" s="7" t="s">
        <v>1212</v>
      </c>
      <c r="I12" s="7" t="s">
        <v>765</v>
      </c>
      <c r="J12" s="7" t="s">
        <v>19</v>
      </c>
      <c r="K12" s="7" t="s">
        <v>1216</v>
      </c>
      <c r="L12" s="7" t="s">
        <v>37</v>
      </c>
      <c r="M12" s="57">
        <v>11</v>
      </c>
      <c r="N12" s="9">
        <f>35*1000/(TKA[[#This Row],[Voltage]]*SQRT(3))</f>
        <v>1837.0235837851731</v>
      </c>
      <c r="O12" s="9">
        <f t="shared" si="11"/>
        <v>35</v>
      </c>
      <c r="P12" s="9" t="s">
        <v>0</v>
      </c>
      <c r="Q12" s="9" t="str">
        <f t="shared" si="12"/>
        <v>-</v>
      </c>
      <c r="R12" s="9" t="s">
        <v>0</v>
      </c>
      <c r="S12" s="9" t="str">
        <f t="shared" si="13"/>
        <v>-</v>
      </c>
      <c r="T12" s="9">
        <v>2367</v>
      </c>
      <c r="U12" s="9">
        <f t="shared" si="14"/>
        <v>45.09740687667086</v>
      </c>
      <c r="V12" s="9">
        <v>2367</v>
      </c>
      <c r="W12" s="9">
        <f t="shared" si="15"/>
        <v>45.09740687667086</v>
      </c>
      <c r="X12" s="9" t="s">
        <v>0</v>
      </c>
      <c r="Y12" s="9" t="str">
        <f t="shared" si="16"/>
        <v>-</v>
      </c>
      <c r="Z12" s="9" t="s">
        <v>0</v>
      </c>
      <c r="AA12" s="9" t="str">
        <f t="shared" si="17"/>
        <v>-</v>
      </c>
      <c r="AB12" s="9" t="s">
        <v>0</v>
      </c>
      <c r="AC12" s="9" t="str">
        <f t="shared" si="18"/>
        <v>-</v>
      </c>
      <c r="AD12" s="9" t="s">
        <v>0</v>
      </c>
      <c r="AE12" s="9" t="str">
        <f t="shared" si="19"/>
        <v>-</v>
      </c>
      <c r="AF12" s="9" t="s">
        <v>0</v>
      </c>
      <c r="AG12" s="9" t="s">
        <v>0</v>
      </c>
      <c r="AH12" s="9" t="s">
        <v>0</v>
      </c>
      <c r="AI12" s="9" t="s">
        <v>0</v>
      </c>
      <c r="AJ12" s="43" t="s">
        <v>0</v>
      </c>
      <c r="AK12" s="9" t="s">
        <v>0</v>
      </c>
      <c r="AL12" s="43" t="s">
        <v>0</v>
      </c>
      <c r="AM12" s="9" t="s">
        <v>0</v>
      </c>
      <c r="AN12" s="43" t="s">
        <v>0</v>
      </c>
      <c r="AO12" s="9" t="s">
        <v>0</v>
      </c>
      <c r="AP12" s="43" t="s">
        <v>0</v>
      </c>
      <c r="AQ12" s="43" t="s">
        <v>0</v>
      </c>
      <c r="AR12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2" s="9" t="str">
        <f t="shared" si="20"/>
        <v>-</v>
      </c>
      <c r="AT12" s="9" t="str">
        <f>IF(RIGHT(TKA[[#This Row],[Device type]],7)="Winding","-",TKA[[#This Row],[Cont Winter MVA]])</f>
        <v>-</v>
      </c>
      <c r="AU12" s="9" t="str">
        <f>IF(RIGHT(TKA[[#This Row],[Device type]],7)="Winding","-",TKA[[#This Row],[Cont Shoulder MVA]])</f>
        <v>-</v>
      </c>
      <c r="AV12" s="9" t="str">
        <f>IF(RIGHT(TKA[[#This Row],[Device type]],7)="Winding","-",TKA[[#This Row],[Cont Summer MVA]])</f>
        <v>-</v>
      </c>
      <c r="AW12" s="9">
        <f>TKA[[#This Row],[24 Hr Winter MVA]]</f>
        <v>45.09740687667086</v>
      </c>
      <c r="AX12" s="9">
        <f>TKA[[#This Row],[24 Hr Summer MVA]]</f>
        <v>45.09740687667086</v>
      </c>
      <c r="AY12" s="9" t="str">
        <f>TKA[[#This Row],[Forwards MVA]]</f>
        <v>-</v>
      </c>
      <c r="AZ12" s="9" t="str">
        <f>TKA[[#This Row],[Relay MVA]]</f>
        <v>-</v>
      </c>
      <c r="BA12" s="9" t="str">
        <f>TKA[[#This Row],[CT MVA]]</f>
        <v>-</v>
      </c>
      <c r="BB12" s="9" t="str">
        <f>TKA[[#This Row],[Derating MVA]]</f>
        <v>-</v>
      </c>
      <c r="BC12" s="9" t="str">
        <f>TKA[[#This Row],[Station/Feeder]]&amp;TKA[[#This Row],[Lowest MVA]]</f>
        <v>TKA_GXP45.0974068766709</v>
      </c>
      <c r="BD12" s="9" t="str">
        <f>CONCATENATE(TKA[[#This Row],[Supply Level]],TKA[[#This Row],[Station/Feeder]],TKA[[#This Row],[Voltage]],TKA[[#This Row],[Lowest A-No PTX]])</f>
        <v>GXPTKA_GXP112367</v>
      </c>
      <c r="BE12" s="9" t="str">
        <f>CONCATENATE(TKA[[#This Row],[Supply Level]],TKA[[#This Row],[Station/Feeder]],TKA[[#This Row],[Voltage]],TKA[[#This Row],[Lowest A-PTX]])</f>
        <v>GXPTKA_GXP111837.02358378517</v>
      </c>
      <c r="BF12" s="9">
        <f>IF(MIN(TKA[[#This Row],[Summ Cont Winter A]]:TKA[[#This Row],[Cable Derating]])=0,"",MIN(TKA[[#This Row],[Summ Cont Winter A]]:TKA[[#This Row],[Cable Derating]]))</f>
        <v>45.09740687667086</v>
      </c>
      <c r="BG12" s="9">
        <f>IFERROR(TKA[[#This Row],[Lowest MVA]]*1000/(TKA[[#This Row],[Voltage]]*SQRT(3)),"")</f>
        <v>2367</v>
      </c>
      <c r="BH12" s="9">
        <f t="shared" si="0"/>
        <v>1837.0235837851731</v>
      </c>
      <c r="BI12" s="9" t="str">
        <f>TKA[[#This Row],[From]]</f>
        <v>CB72</v>
      </c>
      <c r="BJ12" s="9" t="str">
        <f>TKA[[#This Row],[To]]</f>
        <v>PTX T6</v>
      </c>
      <c r="BK12" s="46" t="str">
        <f>IF(TKA[[#This Row],[Device type]]="-",TKA[[#This Row],[Equipment Type]]&amp;" - "&amp;TKA[[#This Row],[Equipment ID]],TKA[[#This Row],[Equipment Type]]&amp;" - "&amp;TKA[[#This Row],[Equipment ID]]&amp;" - "&amp;TKA[[#This Row],[Device type]])</f>
        <v>Transformer - T6 - LV Winding</v>
      </c>
      <c r="BL12" s="9">
        <f>TKA[[#This Row],[Voltage]]</f>
        <v>11</v>
      </c>
    </row>
    <row r="13" spans="1:64" s="1" customFormat="1" ht="15" customHeight="1" x14ac:dyDescent="0.25">
      <c r="A13" s="6" t="str">
        <f>CONCATENATE(TKA[[#This Row],[Supply Level]],TKA[[#This Row],[Station/Feeder]],TKA[[#This Row],[Voltage]])</f>
        <v>GXPTKA_GXP11</v>
      </c>
      <c r="B13" s="6" t="str">
        <f>CONCATENATE(TKA[[#This Row],[Supply Level]],TKA[[#This Row],[Station/Feeder]],TKA[[#This Row],[Equipment ID]],TKA[[#This Row],[Voltage]],TKA[[#This Row],[Device type]])</f>
        <v>GXPTKA_GXPT611Bushing</v>
      </c>
      <c r="C13" s="6" t="s">
        <v>4</v>
      </c>
      <c r="D13" s="6" t="s">
        <v>76</v>
      </c>
      <c r="E13" s="7" t="s">
        <v>1208</v>
      </c>
      <c r="F13" s="7" t="s">
        <v>1211</v>
      </c>
      <c r="G13" s="57">
        <v>7</v>
      </c>
      <c r="H13" s="7" t="s">
        <v>1212</v>
      </c>
      <c r="I13" s="7" t="s">
        <v>765</v>
      </c>
      <c r="J13" s="7" t="s">
        <v>19</v>
      </c>
      <c r="K13" s="7" t="s">
        <v>1216</v>
      </c>
      <c r="L13" s="7" t="s">
        <v>1217</v>
      </c>
      <c r="M13" s="57">
        <v>11</v>
      </c>
      <c r="N13" s="9">
        <v>3300</v>
      </c>
      <c r="O13" s="9">
        <f t="shared" ref="O13:O14" si="21">IF(OR(N13="",N13="-"),"-",N13*$M13*SQRT(3)/1000)</f>
        <v>62.873444314750238</v>
      </c>
      <c r="P13" s="9">
        <v>3300</v>
      </c>
      <c r="Q13" s="9">
        <f t="shared" ref="Q13:Q14" si="22">IF(OR(P13="",P13="-"),"-",P13*$M13*SQRT(3)/1000)</f>
        <v>62.873444314750238</v>
      </c>
      <c r="R13" s="9">
        <v>3300</v>
      </c>
      <c r="S13" s="9">
        <f t="shared" ref="S13:S14" si="23">IF(OR(R13="",R13="-"),"-",R13*$M13*SQRT(3)/1000)</f>
        <v>62.873444314750238</v>
      </c>
      <c r="T13" s="9">
        <v>3960</v>
      </c>
      <c r="U13" s="9">
        <f t="shared" ref="U13:U14" si="24">IF(OR(T13="",T13="-"),"-",T13*$M13*SQRT(3)/1000)</f>
        <v>75.448133177700299</v>
      </c>
      <c r="V13" s="9">
        <v>3960</v>
      </c>
      <c r="W13" s="9">
        <f t="shared" ref="W13:W14" si="25">IF(OR(V13="",V13="-"),"-",V13*$M13*SQRT(3)/1000)</f>
        <v>75.448133177700299</v>
      </c>
      <c r="X13" s="9" t="s">
        <v>0</v>
      </c>
      <c r="Y13" s="9" t="str">
        <f t="shared" ref="Y13:Y14" si="26">IF(OR(X13="",X13="-"),"-",X13*$M13*SQRT(3)/1000)</f>
        <v>-</v>
      </c>
      <c r="Z13" s="9" t="s">
        <v>0</v>
      </c>
      <c r="AA13" s="9" t="str">
        <f t="shared" ref="AA13:AA14" si="27">IF(OR(Z13="",Z13="-"),"-",Z13*$M13*SQRT(3)/1000)</f>
        <v>-</v>
      </c>
      <c r="AB13" s="9" t="s">
        <v>0</v>
      </c>
      <c r="AC13" s="9" t="str">
        <f t="shared" ref="AC13:AC14" si="28">IF(OR(AB13="",AB13="-"),"-",AB13*$M13*SQRT(3)/1000)</f>
        <v>-</v>
      </c>
      <c r="AD13" s="9" t="s">
        <v>0</v>
      </c>
      <c r="AE13" s="9" t="str">
        <f t="shared" ref="AE13:AE14" si="29">IF(OR(AD13="",AD13="-"),"-",AD13*$M13*SQRT(3)/1000)</f>
        <v>-</v>
      </c>
      <c r="AF13" s="9" t="s">
        <v>0</v>
      </c>
      <c r="AG13" s="9" t="s">
        <v>0</v>
      </c>
      <c r="AH13" s="9" t="s">
        <v>0</v>
      </c>
      <c r="AI13" s="9" t="s">
        <v>0</v>
      </c>
      <c r="AJ13" s="43" t="s">
        <v>0</v>
      </c>
      <c r="AK13" s="9" t="s">
        <v>0</v>
      </c>
      <c r="AL13" s="43" t="s">
        <v>0</v>
      </c>
      <c r="AM13" s="9" t="s">
        <v>0</v>
      </c>
      <c r="AN13" s="43" t="s">
        <v>0</v>
      </c>
      <c r="AO13" s="9" t="s">
        <v>0</v>
      </c>
      <c r="AP13" s="43" t="s">
        <v>0</v>
      </c>
      <c r="AQ13" s="43" t="s">
        <v>0</v>
      </c>
      <c r="AR13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3" s="9" t="str">
        <f t="shared" ref="AS13:AS14" si="30">IF(OR(AR13="",AR13="-"),"-",AR13*$M13*SQRT(3)/1000)</f>
        <v>-</v>
      </c>
      <c r="AT13" s="9">
        <f>IF(RIGHT(TKA[[#This Row],[Device type]],7)="Winding","-",TKA[[#This Row],[Cont Winter MVA]])</f>
        <v>62.873444314750238</v>
      </c>
      <c r="AU13" s="9">
        <f>IF(RIGHT(TKA[[#This Row],[Device type]],7)="Winding","-",TKA[[#This Row],[Cont Shoulder MVA]])</f>
        <v>62.873444314750238</v>
      </c>
      <c r="AV13" s="9">
        <f>IF(RIGHT(TKA[[#This Row],[Device type]],7)="Winding","-",TKA[[#This Row],[Cont Summer MVA]])</f>
        <v>62.873444314750238</v>
      </c>
      <c r="AW13" s="9">
        <f>TKA[[#This Row],[24 Hr Winter MVA]]</f>
        <v>75.448133177700299</v>
      </c>
      <c r="AX13" s="9">
        <f>TKA[[#This Row],[24 Hr Summer MVA]]</f>
        <v>75.448133177700299</v>
      </c>
      <c r="AY13" s="9" t="str">
        <f>TKA[[#This Row],[Forwards MVA]]</f>
        <v>-</v>
      </c>
      <c r="AZ13" s="9" t="str">
        <f>TKA[[#This Row],[Relay MVA]]</f>
        <v>-</v>
      </c>
      <c r="BA13" s="9" t="str">
        <f>TKA[[#This Row],[CT MVA]]</f>
        <v>-</v>
      </c>
      <c r="BB13" s="9" t="str">
        <f>TKA[[#This Row],[Derating MVA]]</f>
        <v>-</v>
      </c>
      <c r="BC13" s="9" t="str">
        <f>TKA[[#This Row],[Station/Feeder]]&amp;TKA[[#This Row],[Lowest MVA]]</f>
        <v>TKA_GXP62.8734443147502</v>
      </c>
      <c r="BD13" s="9" t="str">
        <f>CONCATENATE(TKA[[#This Row],[Supply Level]],TKA[[#This Row],[Station/Feeder]],TKA[[#This Row],[Voltage]],TKA[[#This Row],[Lowest A-No PTX]])</f>
        <v>GXPTKA_GXP113300</v>
      </c>
      <c r="BE13" s="9" t="str">
        <f>CONCATENATE(TKA[[#This Row],[Supply Level]],TKA[[#This Row],[Station/Feeder]],TKA[[#This Row],[Voltage]],TKA[[#This Row],[Lowest A-PTX]])</f>
        <v>GXPTKA_GXP113300</v>
      </c>
      <c r="BF13" s="9">
        <f>IF(MIN(TKA[[#This Row],[Summ Cont Winter A]]:TKA[[#This Row],[Cable Derating]])=0,"",MIN(TKA[[#This Row],[Summ Cont Winter A]]:TKA[[#This Row],[Cable Derating]]))</f>
        <v>62.873444314750238</v>
      </c>
      <c r="BG13" s="9">
        <f>IFERROR(TKA[[#This Row],[Lowest MVA]]*1000/(TKA[[#This Row],[Voltage]]*SQRT(3)),"")</f>
        <v>3299.9999999999995</v>
      </c>
      <c r="BH13" s="9">
        <f t="shared" si="0"/>
        <v>3300</v>
      </c>
      <c r="BI13" s="9" t="str">
        <f>TKA[[#This Row],[From]]</f>
        <v>CB72</v>
      </c>
      <c r="BJ13" s="9" t="str">
        <f>TKA[[#This Row],[To]]</f>
        <v>PTX T6</v>
      </c>
      <c r="BK13" s="46" t="str">
        <f>IF(TKA[[#This Row],[Device type]]="-",TKA[[#This Row],[Equipment Type]]&amp;" - "&amp;TKA[[#This Row],[Equipment ID]],TKA[[#This Row],[Equipment Type]]&amp;" - "&amp;TKA[[#This Row],[Equipment ID]]&amp;" - "&amp;TKA[[#This Row],[Device type]])</f>
        <v>Transformer - T6 - Bushing</v>
      </c>
      <c r="BL13" s="9">
        <f>TKA[[#This Row],[Voltage]]</f>
        <v>11</v>
      </c>
    </row>
    <row r="14" spans="1:64" s="1" customFormat="1" ht="15" customHeight="1" x14ac:dyDescent="0.25">
      <c r="A14" s="6" t="str">
        <f>CONCATENATE(TKA[[#This Row],[Supply Level]],TKA[[#This Row],[Station/Feeder]],TKA[[#This Row],[Voltage]])</f>
        <v>GXPTKA_GXP11</v>
      </c>
      <c r="B14" s="6" t="str">
        <f>CONCATENATE(TKA[[#This Row],[Supply Level]],TKA[[#This Row],[Station/Feeder]],TKA[[#This Row],[Equipment ID]],TKA[[#This Row],[Voltage]],TKA[[#This Row],[Device type]])</f>
        <v>GXPTKA_GXPT611Non Equipment</v>
      </c>
      <c r="C14" s="6" t="s">
        <v>4</v>
      </c>
      <c r="D14" s="6" t="s">
        <v>76</v>
      </c>
      <c r="E14" s="7" t="s">
        <v>1208</v>
      </c>
      <c r="F14" s="7" t="s">
        <v>1211</v>
      </c>
      <c r="G14" s="57">
        <v>8</v>
      </c>
      <c r="H14" s="7" t="s">
        <v>1212</v>
      </c>
      <c r="I14" s="7" t="s">
        <v>765</v>
      </c>
      <c r="J14" s="7" t="s">
        <v>19</v>
      </c>
      <c r="K14" s="7" t="s">
        <v>1218</v>
      </c>
      <c r="L14" s="7" t="s">
        <v>1219</v>
      </c>
      <c r="M14" s="57">
        <v>11</v>
      </c>
      <c r="N14" s="9">
        <v>1837</v>
      </c>
      <c r="O14" s="9">
        <f t="shared" si="21"/>
        <v>34.999550668544302</v>
      </c>
      <c r="P14" s="9">
        <v>1837</v>
      </c>
      <c r="Q14" s="9">
        <f t="shared" si="22"/>
        <v>34.999550668544302</v>
      </c>
      <c r="R14" s="9">
        <v>1837</v>
      </c>
      <c r="S14" s="9">
        <f t="shared" si="23"/>
        <v>34.999550668544302</v>
      </c>
      <c r="T14" s="9">
        <v>1837</v>
      </c>
      <c r="U14" s="9">
        <f t="shared" si="24"/>
        <v>34.999550668544302</v>
      </c>
      <c r="V14" s="9">
        <v>1837</v>
      </c>
      <c r="W14" s="9">
        <f t="shared" si="25"/>
        <v>34.999550668544302</v>
      </c>
      <c r="X14" s="9" t="s">
        <v>0</v>
      </c>
      <c r="Y14" s="9" t="str">
        <f t="shared" si="26"/>
        <v>-</v>
      </c>
      <c r="Z14" s="9" t="s">
        <v>0</v>
      </c>
      <c r="AA14" s="9" t="str">
        <f t="shared" si="27"/>
        <v>-</v>
      </c>
      <c r="AB14" s="9" t="s">
        <v>0</v>
      </c>
      <c r="AC14" s="9" t="str">
        <f t="shared" si="28"/>
        <v>-</v>
      </c>
      <c r="AD14" s="9" t="s">
        <v>0</v>
      </c>
      <c r="AE14" s="9" t="str">
        <f t="shared" si="29"/>
        <v>-</v>
      </c>
      <c r="AF14" s="9" t="s">
        <v>0</v>
      </c>
      <c r="AG14" s="9" t="s">
        <v>0</v>
      </c>
      <c r="AH14" s="9" t="s">
        <v>0</v>
      </c>
      <c r="AI14" s="9" t="s">
        <v>0</v>
      </c>
      <c r="AJ14" s="43" t="s">
        <v>0</v>
      </c>
      <c r="AK14" s="9" t="s">
        <v>0</v>
      </c>
      <c r="AL14" s="43" t="s">
        <v>0</v>
      </c>
      <c r="AM14" s="9" t="s">
        <v>0</v>
      </c>
      <c r="AN14" s="43" t="s">
        <v>0</v>
      </c>
      <c r="AO14" s="9" t="s">
        <v>0</v>
      </c>
      <c r="AP14" s="43" t="s">
        <v>0</v>
      </c>
      <c r="AQ14" s="43" t="s">
        <v>0</v>
      </c>
      <c r="AR14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4" s="9" t="str">
        <f t="shared" si="30"/>
        <v>-</v>
      </c>
      <c r="AT14" s="9">
        <f>IF(RIGHT(TKA[[#This Row],[Device type]],7)="Winding","-",TKA[[#This Row],[Cont Winter MVA]])</f>
        <v>34.999550668544302</v>
      </c>
      <c r="AU14" s="9">
        <f>IF(RIGHT(TKA[[#This Row],[Device type]],7)="Winding","-",TKA[[#This Row],[Cont Shoulder MVA]])</f>
        <v>34.999550668544302</v>
      </c>
      <c r="AV14" s="9">
        <f>IF(RIGHT(TKA[[#This Row],[Device type]],7)="Winding","-",TKA[[#This Row],[Cont Summer MVA]])</f>
        <v>34.999550668544302</v>
      </c>
      <c r="AW14" s="9">
        <f>TKA[[#This Row],[24 Hr Winter MVA]]</f>
        <v>34.999550668544302</v>
      </c>
      <c r="AX14" s="9">
        <f>TKA[[#This Row],[24 Hr Summer MVA]]</f>
        <v>34.999550668544302</v>
      </c>
      <c r="AY14" s="9" t="str">
        <f>TKA[[#This Row],[Forwards MVA]]</f>
        <v>-</v>
      </c>
      <c r="AZ14" s="9" t="str">
        <f>TKA[[#This Row],[Relay MVA]]</f>
        <v>-</v>
      </c>
      <c r="BA14" s="9" t="str">
        <f>TKA[[#This Row],[CT MVA]]</f>
        <v>-</v>
      </c>
      <c r="BB14" s="9" t="str">
        <f>TKA[[#This Row],[Derating MVA]]</f>
        <v>-</v>
      </c>
      <c r="BC14" s="9" t="str">
        <f>TKA[[#This Row],[Station/Feeder]]&amp;TKA[[#This Row],[Lowest MVA]]</f>
        <v>TKA_GXP34.9995506685443</v>
      </c>
      <c r="BD14" s="9" t="str">
        <f>CONCATENATE(TKA[[#This Row],[Supply Level]],TKA[[#This Row],[Station/Feeder]],TKA[[#This Row],[Voltage]],TKA[[#This Row],[Lowest A-No PTX]])</f>
        <v>GXPTKA_GXP111837</v>
      </c>
      <c r="BE14" s="9" t="str">
        <f>CONCATENATE(TKA[[#This Row],[Supply Level]],TKA[[#This Row],[Station/Feeder]],TKA[[#This Row],[Voltage]],TKA[[#This Row],[Lowest A-PTX]])</f>
        <v>GXPTKA_GXP111837</v>
      </c>
      <c r="BF14" s="9">
        <f>IF(MIN(TKA[[#This Row],[Summ Cont Winter A]]:TKA[[#This Row],[Cable Derating]])=0,"",MIN(TKA[[#This Row],[Summ Cont Winter A]]:TKA[[#This Row],[Cable Derating]]))</f>
        <v>34.999550668544302</v>
      </c>
      <c r="BG14" s="9">
        <f>IFERROR(TKA[[#This Row],[Lowest MVA]]*1000/(TKA[[#This Row],[Voltage]]*SQRT(3)),"")</f>
        <v>1837</v>
      </c>
      <c r="BH14" s="9">
        <f t="shared" si="0"/>
        <v>1837</v>
      </c>
      <c r="BI14" s="9" t="str">
        <f>TKA[[#This Row],[From]]</f>
        <v>CB72</v>
      </c>
      <c r="BJ14" s="9" t="str">
        <f>TKA[[#This Row],[To]]</f>
        <v>PTX T6</v>
      </c>
      <c r="BK14" s="46" t="str">
        <f>IF(TKA[[#This Row],[Device type]]="-",TKA[[#This Row],[Equipment Type]]&amp;" - "&amp;TKA[[#This Row],[Equipment ID]],TKA[[#This Row],[Equipment Type]]&amp;" - "&amp;TKA[[#This Row],[Equipment ID]]&amp;" - "&amp;TKA[[#This Row],[Device type]])</f>
        <v>Transformer - T6 - Non Equipment</v>
      </c>
      <c r="BL14" s="9">
        <f>TKA[[#This Row],[Voltage]]</f>
        <v>11</v>
      </c>
    </row>
    <row r="15" spans="1:64" s="1" customFormat="1" ht="15" customHeight="1" x14ac:dyDescent="0.25">
      <c r="A15" s="6" t="str">
        <f>CONCATENATE(TKA[[#This Row],[Supply Level]],TKA[[#This Row],[Station/Feeder]],TKA[[#This Row],[Voltage]])</f>
        <v>GXPTKA_GXP11</v>
      </c>
      <c r="B15" s="6" t="str">
        <f>CONCATENATE(TKA[[#This Row],[Supply Level]],TKA[[#This Row],[Station/Feeder]],TKA[[#This Row],[Equipment ID]],TKA[[#This Row],[Voltage]],TKA[[#This Row],[Device type]])</f>
        <v>GXPTKA_GXP6-1c 630 mm² XLPE11-</v>
      </c>
      <c r="C15" s="6" t="s">
        <v>4</v>
      </c>
      <c r="D15" s="6" t="s">
        <v>76</v>
      </c>
      <c r="E15" s="7" t="s">
        <v>1211</v>
      </c>
      <c r="F15" s="7" t="s">
        <v>243</v>
      </c>
      <c r="G15" s="57">
        <v>9</v>
      </c>
      <c r="H15" s="7" t="s">
        <v>1212</v>
      </c>
      <c r="I15" s="7" t="s">
        <v>1220</v>
      </c>
      <c r="J15" s="7" t="s">
        <v>250</v>
      </c>
      <c r="K15" s="7" t="s">
        <v>1221</v>
      </c>
      <c r="L15" s="7" t="s">
        <v>0</v>
      </c>
      <c r="M15" s="57">
        <v>11</v>
      </c>
      <c r="N15" s="9">
        <v>2202</v>
      </c>
      <c r="O15" s="9">
        <f>IF(OR(N15="",N15="-"),"-",N15*$M15*SQRT(3)/1000)</f>
        <v>41.953734660933343</v>
      </c>
      <c r="P15" s="9">
        <v>2202</v>
      </c>
      <c r="Q15" s="9">
        <f>IF(OR(P15="",P15="-"),"-",P15*$M15*SQRT(3)/1000)</f>
        <v>41.953734660933343</v>
      </c>
      <c r="R15" s="9">
        <v>2202</v>
      </c>
      <c r="S15" s="9">
        <f>IF(OR(R15="",R15="-"),"-",R15*$M15*SQRT(3)/1000)</f>
        <v>41.953734660933343</v>
      </c>
      <c r="T15" s="9" t="s">
        <v>0</v>
      </c>
      <c r="U15" s="9" t="str">
        <f>IF(OR(T15="",T15="-"),"-",T15*$M15*SQRT(3)/1000)</f>
        <v>-</v>
      </c>
      <c r="V15" s="9" t="s">
        <v>0</v>
      </c>
      <c r="W15" s="9" t="str">
        <f>IF(OR(V15="",V15="-"),"-",V15*$M15*SQRT(3)/1000)</f>
        <v>-</v>
      </c>
      <c r="X15" s="9" t="s">
        <v>0</v>
      </c>
      <c r="Y15" s="9" t="str">
        <f>IF(OR(X15="",X15="-"),"-",X15*$M15*SQRT(3)/1000)</f>
        <v>-</v>
      </c>
      <c r="Z15" s="9" t="s">
        <v>0</v>
      </c>
      <c r="AA15" s="9" t="str">
        <f>IF(OR(Z15="",Z15="-"),"-",Z15*$M15*SQRT(3)/1000)</f>
        <v>-</v>
      </c>
      <c r="AB15" s="9" t="s">
        <v>0</v>
      </c>
      <c r="AC15" s="9" t="str">
        <f>IF(OR(AB15="",AB15="-"),"-",AB15*$M15*SQRT(3)/1000)</f>
        <v>-</v>
      </c>
      <c r="AD15" s="9" t="s">
        <v>0</v>
      </c>
      <c r="AE15" s="9" t="str">
        <f>IF(OR(AD15="",AD15="-"),"-",AD15*$M15*SQRT(3)/1000)</f>
        <v>-</v>
      </c>
      <c r="AF15" s="9">
        <v>3</v>
      </c>
      <c r="AG15" s="9" t="s">
        <v>0</v>
      </c>
      <c r="AH15" s="9">
        <v>60</v>
      </c>
      <c r="AI15" s="9" t="s">
        <v>0</v>
      </c>
      <c r="AJ15" s="43" t="s">
        <v>0</v>
      </c>
      <c r="AK15" s="9" t="s">
        <v>0</v>
      </c>
      <c r="AL15" s="43" t="s">
        <v>0</v>
      </c>
      <c r="AM15" s="9" t="s">
        <v>0</v>
      </c>
      <c r="AN15" s="43" t="s">
        <v>0</v>
      </c>
      <c r="AO15" s="9" t="s">
        <v>0</v>
      </c>
      <c r="AP15" s="43" t="s">
        <v>0</v>
      </c>
      <c r="AQ15" s="43" t="s">
        <v>0</v>
      </c>
      <c r="AR15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5" s="9" t="str">
        <f>IF(OR(AR15="",AR15="-"),"-",AR15*$M15*SQRT(3)/1000)</f>
        <v>-</v>
      </c>
      <c r="AT15" s="9">
        <f>IF(RIGHT(TKA[[#This Row],[Device type]],7)="Winding","-",TKA[[#This Row],[Cont Winter MVA]])</f>
        <v>41.953734660933343</v>
      </c>
      <c r="AU15" s="9">
        <f>IF(RIGHT(TKA[[#This Row],[Device type]],7)="Winding","-",TKA[[#This Row],[Cont Shoulder MVA]])</f>
        <v>41.953734660933343</v>
      </c>
      <c r="AV15" s="9">
        <f>IF(RIGHT(TKA[[#This Row],[Device type]],7)="Winding","-",TKA[[#This Row],[Cont Summer MVA]])</f>
        <v>41.953734660933343</v>
      </c>
      <c r="AW15" s="9" t="str">
        <f>TKA[[#This Row],[24 Hr Winter MVA]]</f>
        <v>-</v>
      </c>
      <c r="AX15" s="9" t="str">
        <f>TKA[[#This Row],[24 Hr Summer MVA]]</f>
        <v>-</v>
      </c>
      <c r="AY15" s="9" t="str">
        <f>TKA[[#This Row],[Forwards MVA]]</f>
        <v>-</v>
      </c>
      <c r="AZ15" s="9" t="str">
        <f>TKA[[#This Row],[Relay MVA]]</f>
        <v>-</v>
      </c>
      <c r="BA15" s="9" t="str">
        <f>TKA[[#This Row],[CT MVA]]</f>
        <v>-</v>
      </c>
      <c r="BB15" s="9" t="str">
        <f>TKA[[#This Row],[Derating MVA]]</f>
        <v>-</v>
      </c>
      <c r="BC15" s="9" t="str">
        <f>TKA[[#This Row],[Station/Feeder]]&amp;TKA[[#This Row],[Lowest MVA]]</f>
        <v>TKA_GXP41.9537346609333</v>
      </c>
      <c r="BD15" s="9" t="str">
        <f>CONCATENATE(TKA[[#This Row],[Supply Level]],TKA[[#This Row],[Station/Feeder]],TKA[[#This Row],[Voltage]],TKA[[#This Row],[Lowest A-No PTX]])</f>
        <v>GXPTKA_GXP112202</v>
      </c>
      <c r="BE15" s="9" t="str">
        <f>CONCATENATE(TKA[[#This Row],[Supply Level]],TKA[[#This Row],[Station/Feeder]],TKA[[#This Row],[Voltage]],TKA[[#This Row],[Lowest A-PTX]])</f>
        <v>GXPTKA_GXP112202</v>
      </c>
      <c r="BF15" s="9">
        <f>IF(MIN(TKA[[#This Row],[Summ Cont Winter A]]:TKA[[#This Row],[Cable Derating]])=0,"",MIN(TKA[[#This Row],[Summ Cont Winter A]]:TKA[[#This Row],[Cable Derating]]))</f>
        <v>41.953734660933343</v>
      </c>
      <c r="BG15" s="9">
        <f>IFERROR(TKA[[#This Row],[Lowest MVA]]*1000/(TKA[[#This Row],[Voltage]]*SQRT(3)),"")</f>
        <v>2201.9999999999995</v>
      </c>
      <c r="BH15" s="9">
        <f t="shared" si="0"/>
        <v>2202</v>
      </c>
      <c r="BI15" s="9" t="str">
        <f>TKA[[#This Row],[From]]</f>
        <v>PTX T6</v>
      </c>
      <c r="BJ15" s="9" t="str">
        <f>TKA[[#This Row],[To]]</f>
        <v>11 kV Bus</v>
      </c>
      <c r="BK15" s="46" t="str">
        <f>IF(TKA[[#This Row],[Device type]]="-",TKA[[#This Row],[Equipment Type]]&amp;" - "&amp;TKA[[#This Row],[Equipment ID]],TKA[[#This Row],[Equipment Type]]&amp;" - "&amp;TKA[[#This Row],[Equipment ID]]&amp;" - "&amp;TKA[[#This Row],[Device type]])</f>
        <v>Cable - 6-1c 630 mm² XLPE</v>
      </c>
      <c r="BL15" s="9">
        <f>TKA[[#This Row],[Voltage]]</f>
        <v>11</v>
      </c>
    </row>
    <row r="16" spans="1:64" s="1" customFormat="1" ht="15.75" customHeight="1" thickBot="1" x14ac:dyDescent="0.3">
      <c r="A16" s="6" t="str">
        <f>CONCATENATE(TKA[[#This Row],[Supply Level]],TKA[[#This Row],[Station/Feeder]],TKA[[#This Row],[Voltage]])</f>
        <v>GXPTKA_GXP11</v>
      </c>
      <c r="B16" s="6" t="str">
        <f>CONCATENATE(TKA[[#This Row],[Supply Level]],TKA[[#This Row],[Station/Feeder]],TKA[[#This Row],[Equipment ID]],TKA[[#This Row],[Voltage]],TKA[[#This Row],[Device type]])</f>
        <v>GXPTKA_GXPTKA-CB3711Protection</v>
      </c>
      <c r="C16" s="6" t="s">
        <v>4</v>
      </c>
      <c r="D16" s="6" t="s">
        <v>76</v>
      </c>
      <c r="E16" s="7" t="s">
        <v>1211</v>
      </c>
      <c r="F16" s="7" t="s">
        <v>243</v>
      </c>
      <c r="G16" s="57">
        <v>10</v>
      </c>
      <c r="H16" s="7" t="s">
        <v>1212</v>
      </c>
      <c r="I16" s="7" t="s">
        <v>2303</v>
      </c>
      <c r="J16" s="7" t="s">
        <v>15</v>
      </c>
      <c r="K16" s="7" t="s">
        <v>1121</v>
      </c>
      <c r="L16" s="7" t="s">
        <v>1423</v>
      </c>
      <c r="M16" s="57">
        <v>11</v>
      </c>
      <c r="N16" s="9">
        <v>2000</v>
      </c>
      <c r="O16" s="9">
        <f t="shared" si="11"/>
        <v>38.105117766515299</v>
      </c>
      <c r="P16" s="9">
        <v>2000</v>
      </c>
      <c r="Q16" s="9">
        <f t="shared" si="12"/>
        <v>38.105117766515299</v>
      </c>
      <c r="R16" s="9">
        <v>2000</v>
      </c>
      <c r="S16" s="9">
        <f t="shared" si="13"/>
        <v>38.105117766515299</v>
      </c>
      <c r="T16" s="9">
        <v>2000</v>
      </c>
      <c r="U16" s="9">
        <f t="shared" si="14"/>
        <v>38.105117766515299</v>
      </c>
      <c r="V16" s="9">
        <v>2000</v>
      </c>
      <c r="W16" s="9">
        <f t="shared" si="15"/>
        <v>38.105117766515299</v>
      </c>
      <c r="X16" s="9">
        <v>2235</v>
      </c>
      <c r="Y16" s="9">
        <f t="shared" si="16"/>
        <v>42.582469104080843</v>
      </c>
      <c r="Z16" s="155" t="s">
        <v>0</v>
      </c>
      <c r="AA16" s="9" t="str">
        <f t="shared" si="17"/>
        <v>-</v>
      </c>
      <c r="AB16" s="9">
        <v>4500</v>
      </c>
      <c r="AC16" s="9">
        <f t="shared" si="18"/>
        <v>85.736514974659428</v>
      </c>
      <c r="AD16" s="9">
        <v>3000</v>
      </c>
      <c r="AE16" s="9">
        <f t="shared" si="19"/>
        <v>57.157676649772945</v>
      </c>
      <c r="AF16" s="9" t="s">
        <v>0</v>
      </c>
      <c r="AG16" s="9" t="s">
        <v>0</v>
      </c>
      <c r="AH16" s="9" t="s">
        <v>0</v>
      </c>
      <c r="AI16" s="9" t="s">
        <v>0</v>
      </c>
      <c r="AJ16" s="43" t="s">
        <v>0</v>
      </c>
      <c r="AK16" s="9" t="s">
        <v>0</v>
      </c>
      <c r="AL16" s="43" t="s">
        <v>0</v>
      </c>
      <c r="AM16" s="9" t="s">
        <v>0</v>
      </c>
      <c r="AN16" s="43" t="s">
        <v>0</v>
      </c>
      <c r="AO16" s="9" t="s">
        <v>0</v>
      </c>
      <c r="AP16" s="43" t="s">
        <v>0</v>
      </c>
      <c r="AQ16" s="43" t="s">
        <v>0</v>
      </c>
      <c r="AR16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6" s="9" t="str">
        <f t="shared" si="20"/>
        <v>-</v>
      </c>
      <c r="AT16" s="9">
        <f>IF(RIGHT(TKA[[#This Row],[Device type]],7)="Winding","-",TKA[[#This Row],[Cont Winter MVA]])</f>
        <v>38.105117766515299</v>
      </c>
      <c r="AU16" s="9">
        <f>IF(RIGHT(TKA[[#This Row],[Device type]],7)="Winding","-",TKA[[#This Row],[Cont Shoulder MVA]])</f>
        <v>38.105117766515299</v>
      </c>
      <c r="AV16" s="9">
        <f>IF(RIGHT(TKA[[#This Row],[Device type]],7)="Winding","-",TKA[[#This Row],[Cont Summer MVA]])</f>
        <v>38.105117766515299</v>
      </c>
      <c r="AW16" s="9">
        <f>TKA[[#This Row],[24 Hr Winter MVA]]</f>
        <v>38.105117766515299</v>
      </c>
      <c r="AX16" s="9">
        <f>TKA[[#This Row],[24 Hr Summer MVA]]</f>
        <v>38.105117766515299</v>
      </c>
      <c r="AY16" s="9">
        <f>TKA[[#This Row],[Forwards MVA]]</f>
        <v>42.582469104080843</v>
      </c>
      <c r="AZ16" s="9">
        <f>TKA[[#This Row],[Relay MVA]]</f>
        <v>85.736514974659428</v>
      </c>
      <c r="BA16" s="9">
        <f>TKA[[#This Row],[CT MVA]]</f>
        <v>57.157676649772945</v>
      </c>
      <c r="BB16" s="9" t="str">
        <f>TKA[[#This Row],[Derating MVA]]</f>
        <v>-</v>
      </c>
      <c r="BC16" s="9" t="str">
        <f>TKA[[#This Row],[Station/Feeder]]&amp;TKA[[#This Row],[Lowest MVA]]</f>
        <v>TKA_GXP38.1051177665153</v>
      </c>
      <c r="BD16" s="9" t="str">
        <f>CONCATENATE(TKA[[#This Row],[Supply Level]],TKA[[#This Row],[Station/Feeder]],TKA[[#This Row],[Voltage]],TKA[[#This Row],[Lowest A-No PTX]])</f>
        <v>GXPTKA_GXP112000</v>
      </c>
      <c r="BE16" s="9" t="str">
        <f>CONCATENATE(TKA[[#This Row],[Supply Level]],TKA[[#This Row],[Station/Feeder]],TKA[[#This Row],[Voltage]],TKA[[#This Row],[Lowest A-PTX]])</f>
        <v>GXPTKA_GXP112000</v>
      </c>
      <c r="BF16" s="9">
        <f>IF(MIN(TKA[[#This Row],[Summ Cont Winter A]]:TKA[[#This Row],[Cable Derating]])=0,"",MIN(TKA[[#This Row],[Summ Cont Winter A]]:TKA[[#This Row],[Cable Derating]]))</f>
        <v>38.105117766515299</v>
      </c>
      <c r="BG16" s="9">
        <f>IFERROR(TKA[[#This Row],[Lowest MVA]]*1000/(TKA[[#This Row],[Voltage]]*SQRT(3)),"")</f>
        <v>2000</v>
      </c>
      <c r="BH16" s="9">
        <f t="shared" si="0"/>
        <v>2000</v>
      </c>
      <c r="BI16" s="9" t="str">
        <f>TKA[[#This Row],[From]]</f>
        <v>PTX T6</v>
      </c>
      <c r="BJ16" s="9" t="str">
        <f>TKA[[#This Row],[To]]</f>
        <v>11 kV Bus</v>
      </c>
      <c r="BK16" s="46" t="str">
        <f>IF(TKA[[#This Row],[Device type]]="-",TKA[[#This Row],[Equipment Type]]&amp;" - "&amp;TKA[[#This Row],[Equipment ID]],TKA[[#This Row],[Equipment Type]]&amp;" - "&amp;TKA[[#This Row],[Equipment ID]]&amp;" - "&amp;TKA[[#This Row],[Device type]])</f>
        <v>Circuit Breaker - TKA-CB37 - Protection</v>
      </c>
      <c r="BL16" s="9">
        <f>TKA[[#This Row],[Voltage]]</f>
        <v>11</v>
      </c>
    </row>
    <row r="17" spans="1:64" s="1" customFormat="1" ht="15" customHeight="1" x14ac:dyDescent="0.25">
      <c r="A17" s="3" t="str">
        <f>CONCATENATE(TKA[[#This Row],[Supply Level]],TKA[[#This Row],[Station/Feeder]],TKA[[#This Row],[Voltage]])</f>
        <v>GXPTKA_GXP11</v>
      </c>
      <c r="B17" s="3" t="str">
        <f>CONCATENATE(TKA[[#This Row],[Supply Level]],TKA[[#This Row],[Station/Feeder]],TKA[[#This Row],[Equipment ID]],TKA[[#This Row],[Voltage]],TKA[[#This Row],[Device type]])</f>
        <v>GXPTKA_GXPTKA-CB3211Protection</v>
      </c>
      <c r="C17" s="3" t="s">
        <v>4</v>
      </c>
      <c r="D17" s="10" t="s">
        <v>76</v>
      </c>
      <c r="E17" s="38" t="s">
        <v>373</v>
      </c>
      <c r="F17" s="38" t="s">
        <v>375</v>
      </c>
      <c r="G17" s="55">
        <v>1</v>
      </c>
      <c r="H17" s="38" t="s">
        <v>376</v>
      </c>
      <c r="I17" s="38" t="s">
        <v>2302</v>
      </c>
      <c r="J17" s="38" t="s">
        <v>15</v>
      </c>
      <c r="K17" s="38" t="s">
        <v>1120</v>
      </c>
      <c r="L17" s="38" t="s">
        <v>1423</v>
      </c>
      <c r="M17" s="61">
        <v>11</v>
      </c>
      <c r="N17" s="5">
        <v>630</v>
      </c>
      <c r="O17" s="5">
        <f>IF(OR(N17="",N17="-"),"-",N17*$M17*SQRT(3)/1000)</f>
        <v>12.00311209645232</v>
      </c>
      <c r="P17" s="5">
        <v>630</v>
      </c>
      <c r="Q17" s="5">
        <f>IF(OR(P17="",P17="-"),"-",P17*$M17*SQRT(3)/1000)</f>
        <v>12.00311209645232</v>
      </c>
      <c r="R17" s="5">
        <v>630</v>
      </c>
      <c r="S17" s="5">
        <f>IF(OR(R17="",R17="-"),"-",R17*$M17*SQRT(3)/1000)</f>
        <v>12.00311209645232</v>
      </c>
      <c r="T17" s="5">
        <v>630</v>
      </c>
      <c r="U17" s="5">
        <f>IF(OR(T17="",T17="-"),"-",T17*$M17*SQRT(3)/1000)</f>
        <v>12.00311209645232</v>
      </c>
      <c r="V17" s="5">
        <v>630</v>
      </c>
      <c r="W17" s="5">
        <f>IF(OR(V17="",V17="-"),"-",V17*$M17*SQRT(3)/1000)</f>
        <v>12.00311209645232</v>
      </c>
      <c r="X17" s="5">
        <v>642</v>
      </c>
      <c r="Y17" s="5">
        <f>IF(OR(X17="",X17="-"),"-",X17*$M17*SQRT(3)/1000)</f>
        <v>12.231742803051411</v>
      </c>
      <c r="Z17" s="29" t="s">
        <v>0</v>
      </c>
      <c r="AA17" s="5" t="str">
        <f>IF(OR(Z17="",Z17="-"),"-",Z17*$M17*SQRT(3)/1000)</f>
        <v>-</v>
      </c>
      <c r="AB17" s="5">
        <v>1800</v>
      </c>
      <c r="AC17" s="5">
        <f>IF(OR(AB17="",AB17="-"),"-",AB17*$M17*SQRT(3)/1000)</f>
        <v>34.294605989863769</v>
      </c>
      <c r="AD17" s="5" t="s">
        <v>0</v>
      </c>
      <c r="AE17" s="5" t="str">
        <f>IF(OR(AD17="",AD17="-"),"-",AD17*$M17*SQRT(3)/1000)</f>
        <v>-</v>
      </c>
      <c r="AF17" s="5" t="s">
        <v>0</v>
      </c>
      <c r="AG17" s="5" t="s">
        <v>0</v>
      </c>
      <c r="AH17" s="5" t="s">
        <v>0</v>
      </c>
      <c r="AI17" s="5" t="s">
        <v>0</v>
      </c>
      <c r="AJ17" s="139" t="s">
        <v>0</v>
      </c>
      <c r="AK17" s="5" t="s">
        <v>0</v>
      </c>
      <c r="AL17" s="139" t="s">
        <v>0</v>
      </c>
      <c r="AM17" s="5" t="s">
        <v>0</v>
      </c>
      <c r="AN17" s="139" t="s">
        <v>0</v>
      </c>
      <c r="AO17" s="5" t="s">
        <v>0</v>
      </c>
      <c r="AP17" s="5" t="s">
        <v>0</v>
      </c>
      <c r="AQ17" s="139" t="s">
        <v>0</v>
      </c>
      <c r="AR17" s="5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7" s="5" t="str">
        <f>IF(OR(AR17="",AR17="-"),"-",AR17*$M17*SQRT(3)/1000)</f>
        <v>-</v>
      </c>
      <c r="AT17" s="5">
        <f>IF(RIGHT(TKA[[#This Row],[Device type]],7)="Winding","-",TKA[[#This Row],[Cont Winter MVA]])</f>
        <v>12.00311209645232</v>
      </c>
      <c r="AU17" s="5">
        <f>IF(RIGHT(TKA[[#This Row],[Device type]],7)="Winding","-",TKA[[#This Row],[Cont Shoulder MVA]])</f>
        <v>12.00311209645232</v>
      </c>
      <c r="AV17" s="5">
        <f>IF(RIGHT(TKA[[#This Row],[Device type]],7)="Winding","-",TKA[[#This Row],[Cont Summer MVA]])</f>
        <v>12.00311209645232</v>
      </c>
      <c r="AW17" s="5">
        <f>TKA[[#This Row],[24 Hr Winter MVA]]</f>
        <v>12.00311209645232</v>
      </c>
      <c r="AX17" s="5">
        <f>TKA[[#This Row],[24 Hr Summer MVA]]</f>
        <v>12.00311209645232</v>
      </c>
      <c r="AY17" s="5">
        <f>TKA[[#This Row],[Forwards MVA]]</f>
        <v>12.231742803051411</v>
      </c>
      <c r="AZ17" s="5">
        <f>TKA[[#This Row],[Relay MVA]]</f>
        <v>34.294605989863769</v>
      </c>
      <c r="BA17" s="5" t="str">
        <f>TKA[[#This Row],[CT MVA]]</f>
        <v>-</v>
      </c>
      <c r="BB17" s="5" t="str">
        <f>TKA[[#This Row],[Derating MVA]]</f>
        <v>-</v>
      </c>
      <c r="BC17" s="5" t="str">
        <f>TKA[[#This Row],[Station/Feeder]]&amp;TKA[[#This Row],[Lowest MVA]]</f>
        <v>TKA_GXP12.0031120964523</v>
      </c>
      <c r="BD17" s="5" t="str">
        <f>CONCATENATE(TKA[[#This Row],[Supply Level]],TKA[[#This Row],[Station/Feeder]],TKA[[#This Row],[Voltage]],TKA[[#This Row],[Lowest A-No PTX]])</f>
        <v>GXPTKA_GXP11630</v>
      </c>
      <c r="BE17" s="5" t="str">
        <f>CONCATENATE(TKA[[#This Row],[Supply Level]],TKA[[#This Row],[Station/Feeder]],TKA[[#This Row],[Voltage]],TKA[[#This Row],[Lowest A-PTX]])</f>
        <v>GXPTKA_GXP11630</v>
      </c>
      <c r="BF17" s="5">
        <f>IF(MIN(TKA[[#This Row],[Summ Cont Winter A]]:TKA[[#This Row],[Cable Derating]])=0,"",MIN(TKA[[#This Row],[Summ Cont Winter A]]:TKA[[#This Row],[Cable Derating]]))</f>
        <v>12.00311209645232</v>
      </c>
      <c r="BG17" s="5">
        <f>IFERROR(TKA[[#This Row],[Lowest MVA]]*1000/(TKA[[#This Row],[Voltage]]*SQRT(3)),"")</f>
        <v>630</v>
      </c>
      <c r="BH17" s="9">
        <f t="shared" si="0"/>
        <v>630</v>
      </c>
      <c r="BI17" s="5" t="str">
        <f>TKA[[#This Row],[From]]</f>
        <v>CB32</v>
      </c>
      <c r="BJ17" s="5" t="str">
        <f>TKA[[#This Row],[To]]</f>
        <v>DS1046</v>
      </c>
      <c r="BK17" s="188" t="str">
        <f>IF(TKA[[#This Row],[Device type]]="-",TKA[[#This Row],[Equipment Type]]&amp;"-"&amp;TKA[[#This Row],[Equipment ID]],TKA[[#This Row],[Equipment Type]]&amp;"-"&amp;TKA[[#This Row],[Equipment ID]]&amp;"-"&amp;TKA[[#This Row],[Device type]])</f>
        <v>Circuit Breaker-TKA-CB32-Protection</v>
      </c>
      <c r="BL17" s="5">
        <f>TKA[[#This Row],[Voltage]]</f>
        <v>11</v>
      </c>
    </row>
    <row r="18" spans="1:64" s="1" customFormat="1" ht="15" customHeight="1" x14ac:dyDescent="0.25">
      <c r="A18" s="6" t="str">
        <f>CONCATENATE(TKA[[#This Row],[Supply Level]],TKA[[#This Row],[Station/Feeder]],TKA[[#This Row],[Voltage]])</f>
        <v>GXPTKA_GXP11</v>
      </c>
      <c r="B18" s="6" t="str">
        <f>CONCATENATE(TKA[[#This Row],[Supply Level]],TKA[[#This Row],[Station/Feeder]],TKA[[#This Row],[Equipment ID]],TKA[[#This Row],[Voltage]],TKA[[#This Row],[Device type]])</f>
        <v>GXPTKA_GXP6-1c 185 mm² XLPE11-</v>
      </c>
      <c r="C18" s="6" t="s">
        <v>4</v>
      </c>
      <c r="D18" s="11" t="s">
        <v>76</v>
      </c>
      <c r="E18" s="7" t="s">
        <v>373</v>
      </c>
      <c r="F18" s="7" t="s">
        <v>375</v>
      </c>
      <c r="G18" s="56">
        <v>2</v>
      </c>
      <c r="H18" s="49" t="s">
        <v>376</v>
      </c>
      <c r="I18" s="7" t="s">
        <v>562</v>
      </c>
      <c r="J18" s="7" t="s">
        <v>250</v>
      </c>
      <c r="K18" s="7" t="s">
        <v>377</v>
      </c>
      <c r="L18" s="7" t="s">
        <v>0</v>
      </c>
      <c r="M18" s="57">
        <v>11</v>
      </c>
      <c r="N18" s="9">
        <v>660</v>
      </c>
      <c r="O18" s="9">
        <f t="shared" ref="O18:O37" si="31">IF(OR(N18="",N18="-"),"-",N18*$M18*SQRT(3)/1000)</f>
        <v>12.574688862950048</v>
      </c>
      <c r="P18" s="9">
        <v>660</v>
      </c>
      <c r="Q18" s="9">
        <f t="shared" ref="Q18:Q37" si="32">IF(OR(P18="",P18="-"),"-",P18*$M18*SQRT(3)/1000)</f>
        <v>12.574688862950048</v>
      </c>
      <c r="R18" s="9">
        <v>660</v>
      </c>
      <c r="S18" s="9">
        <f t="shared" ref="S18:S37" si="33">IF(OR(R18="",R18="-"),"-",R18*$M18*SQRT(3)/1000)</f>
        <v>12.574688862950048</v>
      </c>
      <c r="T18" s="9" t="s">
        <v>0</v>
      </c>
      <c r="U18" s="9" t="str">
        <f t="shared" ref="U18:U34" si="34">IF(OR(T18="",T18="-"),"-",T18*$M18*SQRT(3)/1000)</f>
        <v>-</v>
      </c>
      <c r="V18" s="9" t="s">
        <v>0</v>
      </c>
      <c r="W18" s="9" t="str">
        <f t="shared" ref="W18:W34" si="35">IF(OR(V18="",V18="-"),"-",V18*$M18*SQRT(3)/1000)</f>
        <v>-</v>
      </c>
      <c r="X18" s="9" t="s">
        <v>0</v>
      </c>
      <c r="Y18" s="9" t="str">
        <f t="shared" ref="Y18:Y37" si="36">IF(OR(X18="",X18="-"),"-",X18*$M18*SQRT(3)/1000)</f>
        <v>-</v>
      </c>
      <c r="Z18" s="9" t="s">
        <v>0</v>
      </c>
      <c r="AA18" s="9" t="str">
        <f t="shared" ref="AA18:AA37" si="37">IF(OR(Z18="",Z18="-"),"-",Z18*$M18*SQRT(3)/1000)</f>
        <v>-</v>
      </c>
      <c r="AB18" s="9" t="s">
        <v>0</v>
      </c>
      <c r="AC18" s="9" t="str">
        <f t="shared" ref="AC18:AC37" si="38">IF(OR(AB18="",AB18="-"),"-",AB18*$M18*SQRT(3)/1000)</f>
        <v>-</v>
      </c>
      <c r="AD18" s="9" t="s">
        <v>0</v>
      </c>
      <c r="AE18" s="12" t="str">
        <f t="shared" ref="AE18:AE37" si="39">IF(OR(AD18="",AD18="-"),"-",AD18*$M18*SQRT(3)/1000)</f>
        <v>-</v>
      </c>
      <c r="AF18" s="9">
        <v>1</v>
      </c>
      <c r="AG18" s="9" t="s">
        <v>0</v>
      </c>
      <c r="AH18" s="9">
        <v>3.9</v>
      </c>
      <c r="AI18" s="9" t="s">
        <v>0</v>
      </c>
      <c r="AJ18" s="43">
        <v>1</v>
      </c>
      <c r="AK18" s="9" t="s">
        <v>0</v>
      </c>
      <c r="AL18" s="43">
        <v>1</v>
      </c>
      <c r="AM18" s="9" t="s">
        <v>0</v>
      </c>
      <c r="AN18" s="43">
        <v>1</v>
      </c>
      <c r="AO18" s="9" t="s">
        <v>0</v>
      </c>
      <c r="AP18" s="9" t="s">
        <v>0</v>
      </c>
      <c r="AQ18" s="43">
        <v>1</v>
      </c>
      <c r="AR18" s="2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660</v>
      </c>
      <c r="AS18" s="9">
        <f t="shared" ref="AS18:AS37" si="40">IF(OR(AR18="",AR18="-"),"-",AR18*$M18*SQRT(3)/1000)</f>
        <v>12.574688862950048</v>
      </c>
      <c r="AT18" s="9">
        <f>IF(RIGHT(TKA[[#This Row],[Device type]],7)="Winding","-",TKA[[#This Row],[Cont Winter MVA]])</f>
        <v>12.574688862950048</v>
      </c>
      <c r="AU18" s="9">
        <f>IF(RIGHT(TKA[[#This Row],[Device type]],7)="Winding","-",TKA[[#This Row],[Cont Shoulder MVA]])</f>
        <v>12.574688862950048</v>
      </c>
      <c r="AV18" s="9">
        <f>IF(RIGHT(TKA[[#This Row],[Device type]],7)="Winding","-",TKA[[#This Row],[Cont Summer MVA]])</f>
        <v>12.574688862950048</v>
      </c>
      <c r="AW18" s="9" t="str">
        <f>TKA[[#This Row],[24 Hr Winter MVA]]</f>
        <v>-</v>
      </c>
      <c r="AX18" s="9" t="str">
        <f>TKA[[#This Row],[24 Hr Summer MVA]]</f>
        <v>-</v>
      </c>
      <c r="AY18" s="9" t="str">
        <f>TKA[[#This Row],[Forwards MVA]]</f>
        <v>-</v>
      </c>
      <c r="AZ18" s="9" t="str">
        <f>TKA[[#This Row],[Relay MVA]]</f>
        <v>-</v>
      </c>
      <c r="BA18" s="9" t="str">
        <f>TKA[[#This Row],[CT MVA]]</f>
        <v>-</v>
      </c>
      <c r="BB18" s="9">
        <f>TKA[[#This Row],[Derating MVA]]</f>
        <v>12.574688862950048</v>
      </c>
      <c r="BC18" s="9" t="str">
        <f>TKA[[#This Row],[Station/Feeder]]&amp;TKA[[#This Row],[Lowest MVA]]</f>
        <v>TKA_GXP12.57468886295</v>
      </c>
      <c r="BD18" s="9" t="str">
        <f>CONCATENATE(TKA[[#This Row],[Supply Level]],TKA[[#This Row],[Station/Feeder]],TKA[[#This Row],[Voltage]],TKA[[#This Row],[Lowest A-No PTX]])</f>
        <v>GXPTKA_GXP11660</v>
      </c>
      <c r="BE18" s="9" t="str">
        <f>CONCATENATE(TKA[[#This Row],[Supply Level]],TKA[[#This Row],[Station/Feeder]],TKA[[#This Row],[Voltage]],TKA[[#This Row],[Lowest A-PTX]])</f>
        <v>GXPTKA_GXP11660</v>
      </c>
      <c r="BF18" s="9">
        <f>IF(MIN(TKA[[#This Row],[Summ Cont Winter A]]:TKA[[#This Row],[Cable Derating]])=0,"",MIN(TKA[[#This Row],[Summ Cont Winter A]]:TKA[[#This Row],[Cable Derating]]))</f>
        <v>12.574688862950048</v>
      </c>
      <c r="BG18" s="9">
        <f>IFERROR(TKA[[#This Row],[Lowest MVA]]*1000/(TKA[[#This Row],[Voltage]]*SQRT(3)),"")</f>
        <v>660</v>
      </c>
      <c r="BH18" s="9">
        <f t="shared" si="0"/>
        <v>660</v>
      </c>
      <c r="BI18" s="9" t="str">
        <f>TKA[[#This Row],[From]]</f>
        <v>CB32</v>
      </c>
      <c r="BJ18" s="9" t="str">
        <f>TKA[[#This Row],[To]]</f>
        <v>DS1046</v>
      </c>
      <c r="BK18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Cable-6-1c 185 mm² XLPE</v>
      </c>
      <c r="BL18" s="9">
        <f>TKA[[#This Row],[Voltage]]</f>
        <v>11</v>
      </c>
    </row>
    <row r="19" spans="1:64" s="1" customFormat="1" ht="15" customHeight="1" x14ac:dyDescent="0.25">
      <c r="A19" s="6" t="str">
        <f>CONCATENATE(TKA[[#This Row],[Supply Level]],TKA[[#This Row],[Station/Feeder]],TKA[[#This Row],[Voltage]])</f>
        <v>GXPTKA_GXP11</v>
      </c>
      <c r="B19" s="6" t="str">
        <f>CONCATENATE(TKA[[#This Row],[Supply Level]],TKA[[#This Row],[Station/Feeder]],TKA[[#This Row],[Equipment ID]],TKA[[#This Row],[Voltage]],TKA[[#This Row],[Device type]])</f>
        <v>GXPTKA_GXPT111LV Winding</v>
      </c>
      <c r="C19" s="6" t="s">
        <v>4</v>
      </c>
      <c r="D19" s="11" t="s">
        <v>76</v>
      </c>
      <c r="E19" s="7" t="s">
        <v>373</v>
      </c>
      <c r="F19" s="7" t="s">
        <v>375</v>
      </c>
      <c r="G19" s="56">
        <v>3</v>
      </c>
      <c r="H19" s="49" t="s">
        <v>376</v>
      </c>
      <c r="I19" s="7" t="s">
        <v>378</v>
      </c>
      <c r="J19" s="7" t="s">
        <v>19</v>
      </c>
      <c r="K19" s="7" t="s">
        <v>379</v>
      </c>
      <c r="L19" s="7" t="s">
        <v>37</v>
      </c>
      <c r="M19" s="57">
        <v>11</v>
      </c>
      <c r="N19" s="9">
        <f>10*1000/(TKA[[#This Row],[Voltage]]*SQRT(3))</f>
        <v>524.86388108147798</v>
      </c>
      <c r="O19" s="9">
        <f>IF(OR(N19="",N19="-"),"-",N19*$M19*SQRT(3)/1000)</f>
        <v>10</v>
      </c>
      <c r="P19" s="9" t="s">
        <v>0</v>
      </c>
      <c r="Q19" s="9" t="str">
        <f>IF(OR(P19="",P19="-"),"-",P19*$M19*SQRT(3)/1000)</f>
        <v>-</v>
      </c>
      <c r="R19" s="9" t="s">
        <v>0</v>
      </c>
      <c r="S19" s="9" t="str">
        <f>IF(OR(R19="",R19="-"),"-",R19*$M19*SQRT(3)/1000)</f>
        <v>-</v>
      </c>
      <c r="T19" s="9" t="s">
        <v>0</v>
      </c>
      <c r="U19" s="9" t="str">
        <f>IF(OR(T19="",T19="-"),"-",T19*$M19*SQRT(3)/1000)</f>
        <v>-</v>
      </c>
      <c r="V19" s="9" t="s">
        <v>0</v>
      </c>
      <c r="W19" s="9" t="str">
        <f>IF(OR(V19="",V19="-"),"-",V19*$M19*SQRT(3)/1000)</f>
        <v>-</v>
      </c>
      <c r="X19" s="9" t="s">
        <v>0</v>
      </c>
      <c r="Y19" s="9" t="str">
        <f>IF(OR(X19="",X19="-"),"-",X19*$M19*SQRT(3)/1000)</f>
        <v>-</v>
      </c>
      <c r="Z19" s="9" t="s">
        <v>0</v>
      </c>
      <c r="AA19" s="9" t="str">
        <f>IF(OR(Z19="",Z19="-"),"-",Z19*$M19*SQRT(3)/1000)</f>
        <v>-</v>
      </c>
      <c r="AB19" s="9" t="s">
        <v>0</v>
      </c>
      <c r="AC19" s="9" t="str">
        <f>IF(OR(AB19="",AB19="-"),"-",AB19*$M19*SQRT(3)/1000)</f>
        <v>-</v>
      </c>
      <c r="AD19" s="9" t="s">
        <v>0</v>
      </c>
      <c r="AE19" s="12" t="str">
        <f>IF(OR(AD19="",AD19="-"),"-",AD19*$M19*SQRT(3)/1000)</f>
        <v>-</v>
      </c>
      <c r="AF19" s="9" t="s">
        <v>0</v>
      </c>
      <c r="AG19" s="9" t="s">
        <v>0</v>
      </c>
      <c r="AH19" s="9" t="s">
        <v>0</v>
      </c>
      <c r="AI19" s="9" t="s">
        <v>0</v>
      </c>
      <c r="AJ19" s="43" t="s">
        <v>0</v>
      </c>
      <c r="AK19" s="9" t="s">
        <v>0</v>
      </c>
      <c r="AL19" s="43" t="s">
        <v>0</v>
      </c>
      <c r="AM19" s="9" t="s">
        <v>0</v>
      </c>
      <c r="AN19" s="43" t="s">
        <v>0</v>
      </c>
      <c r="AO19" s="9" t="s">
        <v>0</v>
      </c>
      <c r="AP19" s="9" t="s">
        <v>0</v>
      </c>
      <c r="AQ19" s="43" t="s">
        <v>0</v>
      </c>
      <c r="AR19" s="2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9" s="9" t="str">
        <f>IF(OR(AR19="",AR19="-"),"-",AR19*$M19*SQRT(3)/1000)</f>
        <v>-</v>
      </c>
      <c r="AT19" s="9" t="str">
        <f>IF(RIGHT(TKA[[#This Row],[Device type]],7)="Winding","-",TKA[[#This Row],[Cont Winter MVA]])</f>
        <v>-</v>
      </c>
      <c r="AU19" s="9" t="str">
        <f>IF(RIGHT(TKA[[#This Row],[Device type]],7)="Winding","-",TKA[[#This Row],[Cont Shoulder MVA]])</f>
        <v>-</v>
      </c>
      <c r="AV19" s="9" t="str">
        <f>IF(RIGHT(TKA[[#This Row],[Device type]],7)="Winding","-",TKA[[#This Row],[Cont Summer MVA]])</f>
        <v>-</v>
      </c>
      <c r="AW19" s="9" t="str">
        <f>TKA[[#This Row],[24 Hr Winter MVA]]</f>
        <v>-</v>
      </c>
      <c r="AX19" s="9" t="str">
        <f>TKA[[#This Row],[24 Hr Summer MVA]]</f>
        <v>-</v>
      </c>
      <c r="AY19" s="9" t="str">
        <f>TKA[[#This Row],[Forwards MVA]]</f>
        <v>-</v>
      </c>
      <c r="AZ19" s="9" t="str">
        <f>TKA[[#This Row],[Relay MVA]]</f>
        <v>-</v>
      </c>
      <c r="BA19" s="9" t="str">
        <f>TKA[[#This Row],[CT MVA]]</f>
        <v>-</v>
      </c>
      <c r="BB19" s="9" t="str">
        <f>TKA[[#This Row],[Derating MVA]]</f>
        <v>-</v>
      </c>
      <c r="BC19" s="9" t="str">
        <f>TKA[[#This Row],[Station/Feeder]]&amp;TKA[[#This Row],[Lowest MVA]]</f>
        <v>TKA_GXP</v>
      </c>
      <c r="BD19" s="9" t="str">
        <f>CONCATENATE(TKA[[#This Row],[Supply Level]],TKA[[#This Row],[Station/Feeder]],TKA[[#This Row],[Voltage]],TKA[[#This Row],[Lowest A-No PTX]])</f>
        <v>GXPTKA_GXP11</v>
      </c>
      <c r="BE19" s="9" t="str">
        <f>CONCATENATE(TKA[[#This Row],[Supply Level]],TKA[[#This Row],[Station/Feeder]],TKA[[#This Row],[Voltage]],TKA[[#This Row],[Lowest A-PTX]])</f>
        <v>GXPTKA_GXP11524.863881081478</v>
      </c>
      <c r="BF19" s="9" t="str">
        <f>IF(MIN(TKA[[#This Row],[Summ Cont Winter A]]:TKA[[#This Row],[Cable Derating]])=0,"",MIN(TKA[[#This Row],[Summ Cont Winter A]]:TKA[[#This Row],[Cable Derating]]))</f>
        <v/>
      </c>
      <c r="BG19" s="9" t="str">
        <f>IFERROR(TKA[[#This Row],[Lowest MVA]]*1000/(TKA[[#This Row],[Voltage]]*SQRT(3)),"")</f>
        <v/>
      </c>
      <c r="BH19" s="9">
        <f t="shared" si="0"/>
        <v>524.86388108147798</v>
      </c>
      <c r="BI19" s="9" t="str">
        <f>TKA[[#This Row],[From]]</f>
        <v>CB32</v>
      </c>
      <c r="BJ19" s="9" t="str">
        <f>TKA[[#This Row],[To]]</f>
        <v>DS1046</v>
      </c>
      <c r="BK19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Transformer-T1-LV Winding</v>
      </c>
      <c r="BL19" s="9">
        <f>TKA[[#This Row],[Voltage]]</f>
        <v>11</v>
      </c>
    </row>
    <row r="20" spans="1:64" s="1" customFormat="1" ht="15" customHeight="1" x14ac:dyDescent="0.25">
      <c r="A20" s="6" t="str">
        <f>CONCATENATE(TKA[[#This Row],[Supply Level]],TKA[[#This Row],[Station/Feeder]],TKA[[#This Row],[Voltage]])</f>
        <v>GXPTKA_GXP33</v>
      </c>
      <c r="B20" s="6" t="str">
        <f>CONCATENATE(TKA[[#This Row],[Supply Level]],TKA[[#This Row],[Station/Feeder]],TKA[[#This Row],[Equipment ID]],TKA[[#This Row],[Voltage]],TKA[[#This Row],[Device type]])</f>
        <v>GXPTKA_GXPT133HV Winding</v>
      </c>
      <c r="C20" s="6" t="s">
        <v>4</v>
      </c>
      <c r="D20" s="11" t="s">
        <v>76</v>
      </c>
      <c r="E20" s="7" t="s">
        <v>373</v>
      </c>
      <c r="F20" s="7" t="s">
        <v>375</v>
      </c>
      <c r="G20" s="56">
        <v>4</v>
      </c>
      <c r="H20" s="49" t="s">
        <v>376</v>
      </c>
      <c r="I20" s="7" t="s">
        <v>378</v>
      </c>
      <c r="J20" s="7" t="s">
        <v>19</v>
      </c>
      <c r="K20" s="7" t="s">
        <v>379</v>
      </c>
      <c r="L20" s="7" t="s">
        <v>36</v>
      </c>
      <c r="M20" s="57">
        <v>33</v>
      </c>
      <c r="N20" s="9">
        <f>10*1000/(TKA[[#This Row],[Voltage]]*SQRT(3))</f>
        <v>174.95462702715935</v>
      </c>
      <c r="O20" s="9">
        <f t="shared" si="31"/>
        <v>10.000000000000002</v>
      </c>
      <c r="P20" s="9" t="s">
        <v>0</v>
      </c>
      <c r="Q20" s="9" t="str">
        <f t="shared" si="32"/>
        <v>-</v>
      </c>
      <c r="R20" s="9" t="s">
        <v>0</v>
      </c>
      <c r="S20" s="9" t="str">
        <f t="shared" si="33"/>
        <v>-</v>
      </c>
      <c r="T20" s="9" t="s">
        <v>0</v>
      </c>
      <c r="U20" s="9" t="str">
        <f t="shared" si="34"/>
        <v>-</v>
      </c>
      <c r="V20" s="9" t="s">
        <v>0</v>
      </c>
      <c r="W20" s="9" t="str">
        <f t="shared" si="35"/>
        <v>-</v>
      </c>
      <c r="X20" s="9" t="s">
        <v>0</v>
      </c>
      <c r="Y20" s="9" t="str">
        <f t="shared" si="36"/>
        <v>-</v>
      </c>
      <c r="Z20" s="9" t="s">
        <v>0</v>
      </c>
      <c r="AA20" s="9" t="str">
        <f t="shared" si="37"/>
        <v>-</v>
      </c>
      <c r="AB20" s="9" t="s">
        <v>0</v>
      </c>
      <c r="AC20" s="9" t="str">
        <f t="shared" si="38"/>
        <v>-</v>
      </c>
      <c r="AD20" s="9" t="s">
        <v>0</v>
      </c>
      <c r="AE20" s="12" t="str">
        <f t="shared" si="39"/>
        <v>-</v>
      </c>
      <c r="AF20" s="9" t="s">
        <v>0</v>
      </c>
      <c r="AG20" s="9" t="s">
        <v>0</v>
      </c>
      <c r="AH20" s="9" t="s">
        <v>0</v>
      </c>
      <c r="AI20" s="9" t="s">
        <v>0</v>
      </c>
      <c r="AJ20" s="43" t="s">
        <v>0</v>
      </c>
      <c r="AK20" s="9" t="s">
        <v>0</v>
      </c>
      <c r="AL20" s="43" t="s">
        <v>0</v>
      </c>
      <c r="AM20" s="9" t="s">
        <v>0</v>
      </c>
      <c r="AN20" s="43" t="s">
        <v>0</v>
      </c>
      <c r="AO20" s="9" t="s">
        <v>0</v>
      </c>
      <c r="AP20" s="9" t="s">
        <v>0</v>
      </c>
      <c r="AQ20" s="43" t="s">
        <v>0</v>
      </c>
      <c r="AR20" s="2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20" s="9" t="str">
        <f t="shared" si="40"/>
        <v>-</v>
      </c>
      <c r="AT20" s="9" t="str">
        <f>IF(RIGHT(TKA[[#This Row],[Device type]],7)="Winding","-",TKA[[#This Row],[Cont Winter MVA]])</f>
        <v>-</v>
      </c>
      <c r="AU20" s="9" t="str">
        <f>IF(RIGHT(TKA[[#This Row],[Device type]],7)="Winding","-",TKA[[#This Row],[Cont Shoulder MVA]])</f>
        <v>-</v>
      </c>
      <c r="AV20" s="9" t="str">
        <f>IF(RIGHT(TKA[[#This Row],[Device type]],7)="Winding","-",TKA[[#This Row],[Cont Summer MVA]])</f>
        <v>-</v>
      </c>
      <c r="AW20" s="9" t="str">
        <f>TKA[[#This Row],[24 Hr Winter MVA]]</f>
        <v>-</v>
      </c>
      <c r="AX20" s="9" t="str">
        <f>TKA[[#This Row],[24 Hr Summer MVA]]</f>
        <v>-</v>
      </c>
      <c r="AY20" s="9" t="str">
        <f>TKA[[#This Row],[Forwards MVA]]</f>
        <v>-</v>
      </c>
      <c r="AZ20" s="9" t="str">
        <f>TKA[[#This Row],[Relay MVA]]</f>
        <v>-</v>
      </c>
      <c r="BA20" s="9" t="str">
        <f>TKA[[#This Row],[CT MVA]]</f>
        <v>-</v>
      </c>
      <c r="BB20" s="9" t="str">
        <f>TKA[[#This Row],[Derating MVA]]</f>
        <v>-</v>
      </c>
      <c r="BC20" s="9" t="str">
        <f>TKA[[#This Row],[Station/Feeder]]&amp;TKA[[#This Row],[Lowest MVA]]</f>
        <v>TKA_GXP</v>
      </c>
      <c r="BD20" s="9" t="str">
        <f>CONCATENATE(TKA[[#This Row],[Supply Level]],TKA[[#This Row],[Station/Feeder]],TKA[[#This Row],[Voltage]],TKA[[#This Row],[Lowest A-No PTX]])</f>
        <v>GXPTKA_GXP33</v>
      </c>
      <c r="BE20" s="9" t="str">
        <f>CONCATENATE(TKA[[#This Row],[Supply Level]],TKA[[#This Row],[Station/Feeder]],TKA[[#This Row],[Voltage]],TKA[[#This Row],[Lowest A-PTX]])</f>
        <v>GXPTKA_GXP33174.954627027159</v>
      </c>
      <c r="BF20" s="9" t="str">
        <f>IF(MIN(TKA[[#This Row],[Summ Cont Winter A]]:TKA[[#This Row],[Cable Derating]])=0,"",MIN(TKA[[#This Row],[Summ Cont Winter A]]:TKA[[#This Row],[Cable Derating]]))</f>
        <v/>
      </c>
      <c r="BG20" s="9" t="str">
        <f>IFERROR(TKA[[#This Row],[Lowest MVA]]*1000/(TKA[[#This Row],[Voltage]]*SQRT(3)),"")</f>
        <v/>
      </c>
      <c r="BH20" s="9">
        <f t="shared" si="0"/>
        <v>174.95462702715935</v>
      </c>
      <c r="BI20" s="9" t="str">
        <f>TKA[[#This Row],[From]]</f>
        <v>CB32</v>
      </c>
      <c r="BJ20" s="9" t="str">
        <f>TKA[[#This Row],[To]]</f>
        <v>DS1046</v>
      </c>
      <c r="BK20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Transformer-T1-HV Winding</v>
      </c>
      <c r="BL20" s="9">
        <f>TKA[[#This Row],[Voltage]]</f>
        <v>33</v>
      </c>
    </row>
    <row r="21" spans="1:64" s="1" customFormat="1" ht="15" customHeight="1" x14ac:dyDescent="0.25">
      <c r="A21" s="6" t="str">
        <f>CONCATENATE(TKA[[#This Row],[Supply Level]],TKA[[#This Row],[Station/Feeder]],TKA[[#This Row],[Voltage]])</f>
        <v>GXPTKA_GXP33</v>
      </c>
      <c r="B21" s="6" t="str">
        <f>CONCATENATE(TKA[[#This Row],[Supply Level]],TKA[[#This Row],[Station/Feeder]],TKA[[#This Row],[Equipment ID]],TKA[[#This Row],[Voltage]],TKA[[#This Row],[Device type]])</f>
        <v>GXPTKA_GXPTKA-CB104233Protection</v>
      </c>
      <c r="C21" s="6" t="s">
        <v>4</v>
      </c>
      <c r="D21" s="11" t="s">
        <v>76</v>
      </c>
      <c r="E21" s="7" t="s">
        <v>373</v>
      </c>
      <c r="F21" s="7" t="s">
        <v>375</v>
      </c>
      <c r="G21" s="56">
        <v>5</v>
      </c>
      <c r="H21" s="49" t="s">
        <v>376</v>
      </c>
      <c r="I21" s="7" t="s">
        <v>2301</v>
      </c>
      <c r="J21" s="7" t="s">
        <v>15</v>
      </c>
      <c r="K21" s="7" t="s">
        <v>1120</v>
      </c>
      <c r="L21" s="7" t="s">
        <v>1423</v>
      </c>
      <c r="M21" s="57">
        <v>33</v>
      </c>
      <c r="N21" s="9">
        <v>1250</v>
      </c>
      <c r="O21" s="9">
        <f t="shared" si="31"/>
        <v>71.447095812216176</v>
      </c>
      <c r="P21" s="9">
        <v>1250</v>
      </c>
      <c r="Q21" s="9">
        <f t="shared" si="32"/>
        <v>71.447095812216176</v>
      </c>
      <c r="R21" s="9">
        <v>1250</v>
      </c>
      <c r="S21" s="9">
        <f t="shared" si="33"/>
        <v>71.447095812216176</v>
      </c>
      <c r="T21" s="9">
        <v>1250</v>
      </c>
      <c r="U21" s="9">
        <f t="shared" si="34"/>
        <v>71.447095812216176</v>
      </c>
      <c r="V21" s="9">
        <v>1250</v>
      </c>
      <c r="W21" s="9">
        <f t="shared" si="35"/>
        <v>71.447095812216176</v>
      </c>
      <c r="X21" s="9">
        <v>183</v>
      </c>
      <c r="Y21" s="9">
        <f t="shared" si="36"/>
        <v>10.459854826908449</v>
      </c>
      <c r="Z21" s="9" t="s">
        <v>0</v>
      </c>
      <c r="AA21" s="9" t="str">
        <f t="shared" si="37"/>
        <v>-</v>
      </c>
      <c r="AB21" s="9">
        <v>600</v>
      </c>
      <c r="AC21" s="9">
        <f t="shared" si="38"/>
        <v>34.294605989863769</v>
      </c>
      <c r="AD21" s="9">
        <v>400</v>
      </c>
      <c r="AE21" s="12">
        <f t="shared" si="39"/>
        <v>22.86307065990918</v>
      </c>
      <c r="AF21" s="9" t="s">
        <v>0</v>
      </c>
      <c r="AG21" s="9" t="s">
        <v>0</v>
      </c>
      <c r="AH21" s="9" t="s">
        <v>0</v>
      </c>
      <c r="AI21" s="9" t="s">
        <v>0</v>
      </c>
      <c r="AJ21" s="43" t="s">
        <v>0</v>
      </c>
      <c r="AK21" s="9" t="s">
        <v>0</v>
      </c>
      <c r="AL21" s="43" t="s">
        <v>0</v>
      </c>
      <c r="AM21" s="9" t="s">
        <v>0</v>
      </c>
      <c r="AN21" s="43" t="s">
        <v>0</v>
      </c>
      <c r="AO21" s="9" t="s">
        <v>0</v>
      </c>
      <c r="AP21" s="9" t="s">
        <v>0</v>
      </c>
      <c r="AQ21" s="43" t="s">
        <v>0</v>
      </c>
      <c r="AR21" s="2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21" s="9" t="str">
        <f t="shared" si="40"/>
        <v>-</v>
      </c>
      <c r="AT21" s="9">
        <f>IF(RIGHT(TKA[[#This Row],[Device type]],7)="Winding","-",TKA[[#This Row],[Cont Winter MVA]])</f>
        <v>71.447095812216176</v>
      </c>
      <c r="AU21" s="9">
        <f>IF(RIGHT(TKA[[#This Row],[Device type]],7)="Winding","-",TKA[[#This Row],[Cont Shoulder MVA]])</f>
        <v>71.447095812216176</v>
      </c>
      <c r="AV21" s="9">
        <f>IF(RIGHT(TKA[[#This Row],[Device type]],7)="Winding","-",TKA[[#This Row],[Cont Summer MVA]])</f>
        <v>71.447095812216176</v>
      </c>
      <c r="AW21" s="9">
        <f>TKA[[#This Row],[24 Hr Winter MVA]]</f>
        <v>71.447095812216176</v>
      </c>
      <c r="AX21" s="9">
        <f>TKA[[#This Row],[24 Hr Summer MVA]]</f>
        <v>71.447095812216176</v>
      </c>
      <c r="AY21" s="9">
        <f>TKA[[#This Row],[Forwards MVA]]</f>
        <v>10.459854826908449</v>
      </c>
      <c r="AZ21" s="9">
        <f>TKA[[#This Row],[Relay MVA]]</f>
        <v>34.294605989863769</v>
      </c>
      <c r="BA21" s="9">
        <f>TKA[[#This Row],[CT MVA]]</f>
        <v>22.86307065990918</v>
      </c>
      <c r="BB21" s="9" t="str">
        <f>TKA[[#This Row],[Derating MVA]]</f>
        <v>-</v>
      </c>
      <c r="BC21" s="9" t="str">
        <f>TKA[[#This Row],[Station/Feeder]]&amp;TKA[[#This Row],[Lowest MVA]]</f>
        <v>TKA_GXP10.4598548269084</v>
      </c>
      <c r="BD21" s="9" t="str">
        <f>CONCATENATE(TKA[[#This Row],[Supply Level]],TKA[[#This Row],[Station/Feeder]],TKA[[#This Row],[Voltage]],TKA[[#This Row],[Lowest A-No PTX]])</f>
        <v>GXPTKA_GXP33183</v>
      </c>
      <c r="BE21" s="9" t="str">
        <f>CONCATENATE(TKA[[#This Row],[Supply Level]],TKA[[#This Row],[Station/Feeder]],TKA[[#This Row],[Voltage]],TKA[[#This Row],[Lowest A-PTX]])</f>
        <v>GXPTKA_GXP33183</v>
      </c>
      <c r="BF21" s="9">
        <f>IF(MIN(TKA[[#This Row],[Summ Cont Winter A]]:TKA[[#This Row],[Cable Derating]])=0,"",MIN(TKA[[#This Row],[Summ Cont Winter A]]:TKA[[#This Row],[Cable Derating]]))</f>
        <v>10.459854826908449</v>
      </c>
      <c r="BG21" s="9">
        <f>IFERROR(TKA[[#This Row],[Lowest MVA]]*1000/(TKA[[#This Row],[Voltage]]*SQRT(3)),"")</f>
        <v>183</v>
      </c>
      <c r="BH21" s="9">
        <f t="shared" si="0"/>
        <v>183</v>
      </c>
      <c r="BI21" s="9" t="str">
        <f>TKA[[#This Row],[From]]</f>
        <v>CB32</v>
      </c>
      <c r="BJ21" s="9" t="str">
        <f>TKA[[#This Row],[To]]</f>
        <v>DS1046</v>
      </c>
      <c r="BK21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Circuit Breaker-TKA-CB1042-Protection</v>
      </c>
      <c r="BL21" s="9">
        <f>TKA[[#This Row],[Voltage]]</f>
        <v>33</v>
      </c>
    </row>
    <row r="22" spans="1:64" s="1" customFormat="1" ht="15.75" customHeight="1" thickBot="1" x14ac:dyDescent="0.3">
      <c r="A22" s="191" t="str">
        <f>CONCATENATE(TKA[[#This Row],[Supply Level]],TKA[[#This Row],[Station/Feeder]],TKA[[#This Row],[Voltage]])</f>
        <v>GXPTKA_GXP33</v>
      </c>
      <c r="B22" s="191" t="str">
        <f>CONCATENATE(TKA[[#This Row],[Supply Level]],TKA[[#This Row],[Station/Feeder]],TKA[[#This Row],[Equipment ID]],TKA[[#This Row],[Voltage]],TKA[[#This Row],[Device type]])</f>
        <v>GXPTKA_GXP104633-</v>
      </c>
      <c r="C22" s="191" t="s">
        <v>4</v>
      </c>
      <c r="D22" s="192" t="s">
        <v>76</v>
      </c>
      <c r="E22" s="193" t="s">
        <v>373</v>
      </c>
      <c r="F22" s="193" t="s">
        <v>375</v>
      </c>
      <c r="G22" s="194">
        <v>6</v>
      </c>
      <c r="H22" s="193" t="s">
        <v>376</v>
      </c>
      <c r="I22" s="193">
        <v>1046</v>
      </c>
      <c r="J22" s="193" t="s">
        <v>17</v>
      </c>
      <c r="K22" s="193" t="s">
        <v>380</v>
      </c>
      <c r="L22" s="193" t="s">
        <v>0</v>
      </c>
      <c r="M22" s="197">
        <v>33</v>
      </c>
      <c r="N22" s="155" t="s">
        <v>0</v>
      </c>
      <c r="O22" s="155" t="str">
        <f t="shared" si="31"/>
        <v>-</v>
      </c>
      <c r="P22" s="155" t="s">
        <v>0</v>
      </c>
      <c r="Q22" s="155" t="str">
        <f t="shared" si="32"/>
        <v>-</v>
      </c>
      <c r="R22" s="155" t="s">
        <v>0</v>
      </c>
      <c r="S22" s="155" t="str">
        <f t="shared" si="33"/>
        <v>-</v>
      </c>
      <c r="T22" s="155" t="s">
        <v>0</v>
      </c>
      <c r="U22" s="155" t="str">
        <f t="shared" si="34"/>
        <v>-</v>
      </c>
      <c r="V22" s="155" t="s">
        <v>0</v>
      </c>
      <c r="W22" s="155" t="str">
        <f t="shared" si="35"/>
        <v>-</v>
      </c>
      <c r="X22" s="155" t="s">
        <v>0</v>
      </c>
      <c r="Y22" s="155" t="str">
        <f t="shared" si="36"/>
        <v>-</v>
      </c>
      <c r="Z22" s="155" t="s">
        <v>0</v>
      </c>
      <c r="AA22" s="155" t="str">
        <f t="shared" si="37"/>
        <v>-</v>
      </c>
      <c r="AB22" s="155" t="s">
        <v>0</v>
      </c>
      <c r="AC22" s="155" t="str">
        <f t="shared" si="38"/>
        <v>-</v>
      </c>
      <c r="AD22" s="155" t="s">
        <v>0</v>
      </c>
      <c r="AE22" s="195" t="str">
        <f t="shared" si="39"/>
        <v>-</v>
      </c>
      <c r="AF22" s="155" t="s">
        <v>0</v>
      </c>
      <c r="AG22" s="155" t="s">
        <v>0</v>
      </c>
      <c r="AH22" s="155" t="s">
        <v>0</v>
      </c>
      <c r="AI22" s="155" t="s">
        <v>0</v>
      </c>
      <c r="AJ22" s="175" t="s">
        <v>0</v>
      </c>
      <c r="AK22" s="155" t="s">
        <v>0</v>
      </c>
      <c r="AL22" s="175" t="s">
        <v>0</v>
      </c>
      <c r="AM22" s="155" t="s">
        <v>0</v>
      </c>
      <c r="AN22" s="175" t="s">
        <v>0</v>
      </c>
      <c r="AO22" s="155" t="s">
        <v>0</v>
      </c>
      <c r="AP22" s="155" t="s">
        <v>0</v>
      </c>
      <c r="AQ22" s="175" t="s">
        <v>0</v>
      </c>
      <c r="AR22" s="155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22" s="155" t="str">
        <f t="shared" si="40"/>
        <v>-</v>
      </c>
      <c r="AT22" s="155" t="str">
        <f>IF(RIGHT(TKA[[#This Row],[Device type]],7)="Winding","-",TKA[[#This Row],[Cont Winter MVA]])</f>
        <v>-</v>
      </c>
      <c r="AU22" s="155" t="str">
        <f>IF(RIGHT(TKA[[#This Row],[Device type]],7)="Winding","-",TKA[[#This Row],[Cont Shoulder MVA]])</f>
        <v>-</v>
      </c>
      <c r="AV22" s="155" t="str">
        <f>IF(RIGHT(TKA[[#This Row],[Device type]],7)="Winding","-",TKA[[#This Row],[Cont Summer MVA]])</f>
        <v>-</v>
      </c>
      <c r="AW22" s="155" t="str">
        <f>TKA[[#This Row],[24 Hr Winter MVA]]</f>
        <v>-</v>
      </c>
      <c r="AX22" s="155" t="str">
        <f>TKA[[#This Row],[24 Hr Summer MVA]]</f>
        <v>-</v>
      </c>
      <c r="AY22" s="155" t="str">
        <f>TKA[[#This Row],[Forwards MVA]]</f>
        <v>-</v>
      </c>
      <c r="AZ22" s="155" t="str">
        <f>TKA[[#This Row],[Relay MVA]]</f>
        <v>-</v>
      </c>
      <c r="BA22" s="155" t="str">
        <f>TKA[[#This Row],[CT MVA]]</f>
        <v>-</v>
      </c>
      <c r="BB22" s="155" t="str">
        <f>TKA[[#This Row],[Derating MVA]]</f>
        <v>-</v>
      </c>
      <c r="BC22" s="155" t="str">
        <f>TKA[[#This Row],[Station/Feeder]]&amp;TKA[[#This Row],[Lowest MVA]]</f>
        <v>TKA_GXP</v>
      </c>
      <c r="BD22" s="155" t="str">
        <f>CONCATENATE(TKA[[#This Row],[Supply Level]],TKA[[#This Row],[Station/Feeder]],TKA[[#This Row],[Voltage]],TKA[[#This Row],[Lowest A-No PTX]])</f>
        <v>GXPTKA_GXP33</v>
      </c>
      <c r="BE22" s="155" t="str">
        <f>CONCATENATE(TKA[[#This Row],[Supply Level]],TKA[[#This Row],[Station/Feeder]],TKA[[#This Row],[Voltage]],TKA[[#This Row],[Lowest A-PTX]])</f>
        <v>GXPTKA_GXP33</v>
      </c>
      <c r="BF22" s="155" t="str">
        <f>IF(MIN(TKA[[#This Row],[Summ Cont Winter A]]:TKA[[#This Row],[Cable Derating]])=0,"",MIN(TKA[[#This Row],[Summ Cont Winter A]]:TKA[[#This Row],[Cable Derating]]))</f>
        <v/>
      </c>
      <c r="BG22" s="155" t="str">
        <f>IFERROR(TKA[[#This Row],[Lowest MVA]]*1000/(TKA[[#This Row],[Voltage]]*SQRT(3)),"")</f>
        <v/>
      </c>
      <c r="BH22" s="9" t="str">
        <f t="shared" si="0"/>
        <v/>
      </c>
      <c r="BI22" s="155" t="str">
        <f>TKA[[#This Row],[From]]</f>
        <v>CB32</v>
      </c>
      <c r="BJ22" s="155" t="str">
        <f>TKA[[#This Row],[To]]</f>
        <v>DS1046</v>
      </c>
      <c r="BK22" s="196" t="str">
        <f>IF(TKA[[#This Row],[Device type]]="-",TKA[[#This Row],[Equipment Type]]&amp;"-"&amp;TKA[[#This Row],[Equipment ID]],TKA[[#This Row],[Equipment Type]]&amp;"-"&amp;TKA[[#This Row],[Equipment ID]]&amp;"-"&amp;TKA[[#This Row],[Device type]])</f>
        <v>Disconnector-1046</v>
      </c>
      <c r="BL22" s="155">
        <f>TKA[[#This Row],[Voltage]]</f>
        <v>33</v>
      </c>
    </row>
    <row r="23" spans="1:64" s="1" customFormat="1" ht="15" customHeight="1" x14ac:dyDescent="0.25">
      <c r="A23" s="6" t="str">
        <f>CONCATENATE(TKA[[#This Row],[Supply Level]],TKA[[#This Row],[Station/Feeder]],TKA[[#This Row],[Voltage]])</f>
        <v>SubTransmissionSBT_33kV33</v>
      </c>
      <c r="B23" s="6" t="str">
        <f>CONCATENATE(TKA[[#This Row],[Supply Level]],TKA[[#This Row],[Station/Feeder]],TKA[[#This Row],[Equipment ID]],TKA[[#This Row],[Voltage]],TKA[[#This Row],[Device type]])</f>
        <v>SubTransmissionSBT_33kVTKA-CB104233Protection</v>
      </c>
      <c r="C23" s="168" t="s">
        <v>1245</v>
      </c>
      <c r="D23" s="118" t="s">
        <v>95</v>
      </c>
      <c r="E23" s="7" t="s">
        <v>2550</v>
      </c>
      <c r="F23" s="7" t="s">
        <v>375</v>
      </c>
      <c r="G23" s="56">
        <v>1</v>
      </c>
      <c r="H23" s="49" t="s">
        <v>376</v>
      </c>
      <c r="I23" s="7" t="s">
        <v>2301</v>
      </c>
      <c r="J23" s="7" t="s">
        <v>15</v>
      </c>
      <c r="K23" s="7" t="s">
        <v>1120</v>
      </c>
      <c r="L23" s="7" t="s">
        <v>1423</v>
      </c>
      <c r="M23" s="57">
        <v>33</v>
      </c>
      <c r="N23" s="9">
        <v>1250</v>
      </c>
      <c r="O23" s="9">
        <f t="shared" ref="O23:O24" si="41">IF(OR(N23="",N23="-"),"-",N23*$M23*SQRT(3)/1000)</f>
        <v>71.447095812216176</v>
      </c>
      <c r="P23" s="9">
        <v>1250</v>
      </c>
      <c r="Q23" s="9">
        <f t="shared" ref="Q23:Q24" si="42">IF(OR(P23="",P23="-"),"-",P23*$M23*SQRT(3)/1000)</f>
        <v>71.447095812216176</v>
      </c>
      <c r="R23" s="9">
        <v>1250</v>
      </c>
      <c r="S23" s="9">
        <f t="shared" ref="S23:S24" si="43">IF(OR(R23="",R23="-"),"-",R23*$M23*SQRT(3)/1000)</f>
        <v>71.447095812216176</v>
      </c>
      <c r="T23" s="9">
        <v>1250</v>
      </c>
      <c r="U23" s="9">
        <f t="shared" ref="U23:U24" si="44">IF(OR(T23="",T23="-"),"-",T23*$M23*SQRT(3)/1000)</f>
        <v>71.447095812216176</v>
      </c>
      <c r="V23" s="9">
        <v>1250</v>
      </c>
      <c r="W23" s="9">
        <f t="shared" ref="W23:W24" si="45">IF(OR(V23="",V23="-"),"-",V23*$M23*SQRT(3)/1000)</f>
        <v>71.447095812216176</v>
      </c>
      <c r="X23" s="9">
        <v>183</v>
      </c>
      <c r="Y23" s="9">
        <f t="shared" ref="Y23:Y24" si="46">IF(OR(X23="",X23="-"),"-",X23*$M23*SQRT(3)/1000)</f>
        <v>10.459854826908449</v>
      </c>
      <c r="Z23" s="9" t="s">
        <v>0</v>
      </c>
      <c r="AA23" s="9" t="str">
        <f t="shared" ref="AA23:AA24" si="47">IF(OR(Z23="",Z23="-"),"-",Z23*$M23*SQRT(3)/1000)</f>
        <v>-</v>
      </c>
      <c r="AB23" s="9">
        <v>600</v>
      </c>
      <c r="AC23" s="9">
        <f t="shared" ref="AC23:AC24" si="48">IF(OR(AB23="",AB23="-"),"-",AB23*$M23*SQRT(3)/1000)</f>
        <v>34.294605989863769</v>
      </c>
      <c r="AD23" s="9">
        <v>400</v>
      </c>
      <c r="AE23" s="12">
        <f t="shared" ref="AE23:AE24" si="49">IF(OR(AD23="",AD23="-"),"-",AD23*$M23*SQRT(3)/1000)</f>
        <v>22.86307065990918</v>
      </c>
      <c r="AF23" s="9" t="s">
        <v>0</v>
      </c>
      <c r="AG23" s="9" t="s">
        <v>0</v>
      </c>
      <c r="AH23" s="9" t="s">
        <v>0</v>
      </c>
      <c r="AI23" s="9" t="s">
        <v>0</v>
      </c>
      <c r="AJ23" s="43" t="s">
        <v>0</v>
      </c>
      <c r="AK23" s="9" t="s">
        <v>0</v>
      </c>
      <c r="AL23" s="43" t="s">
        <v>0</v>
      </c>
      <c r="AM23" s="9" t="s">
        <v>0</v>
      </c>
      <c r="AN23" s="43" t="s">
        <v>0</v>
      </c>
      <c r="AO23" s="9" t="s">
        <v>0</v>
      </c>
      <c r="AP23" s="9" t="s">
        <v>0</v>
      </c>
      <c r="AQ23" s="43" t="s">
        <v>0</v>
      </c>
      <c r="AR23" s="2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23" s="9" t="str">
        <f t="shared" ref="AS23:AS24" si="50">IF(OR(AR23="",AR23="-"),"-",AR23*$M23*SQRT(3)/1000)</f>
        <v>-</v>
      </c>
      <c r="AT23" s="9">
        <f>IF(RIGHT(TKA[[#This Row],[Device type]],7)="Winding","-",TKA[[#This Row],[Cont Winter MVA]])</f>
        <v>71.447095812216176</v>
      </c>
      <c r="AU23" s="9">
        <f>IF(RIGHT(TKA[[#This Row],[Device type]],7)="Winding","-",TKA[[#This Row],[Cont Shoulder MVA]])</f>
        <v>71.447095812216176</v>
      </c>
      <c r="AV23" s="9">
        <f>IF(RIGHT(TKA[[#This Row],[Device type]],7)="Winding","-",TKA[[#This Row],[Cont Summer MVA]])</f>
        <v>71.447095812216176</v>
      </c>
      <c r="AW23" s="9">
        <f>TKA[[#This Row],[24 Hr Winter MVA]]</f>
        <v>71.447095812216176</v>
      </c>
      <c r="AX23" s="9">
        <f>TKA[[#This Row],[24 Hr Summer MVA]]</f>
        <v>71.447095812216176</v>
      </c>
      <c r="AY23" s="9">
        <f>TKA[[#This Row],[Forwards MVA]]</f>
        <v>10.459854826908449</v>
      </c>
      <c r="AZ23" s="9">
        <f>TKA[[#This Row],[Relay MVA]]</f>
        <v>34.294605989863769</v>
      </c>
      <c r="BA23" s="9">
        <f>TKA[[#This Row],[CT MVA]]</f>
        <v>22.86307065990918</v>
      </c>
      <c r="BB23" s="9" t="str">
        <f>TKA[[#This Row],[Derating MVA]]</f>
        <v>-</v>
      </c>
      <c r="BC23" s="9" t="str">
        <f>TKA[[#This Row],[Station/Feeder]]&amp;TKA[[#This Row],[Lowest MVA]]</f>
        <v>SBT_33kV10.4598548269084</v>
      </c>
      <c r="BD23" s="9" t="str">
        <f>CONCATENATE(TKA[[#This Row],[Supply Level]],TKA[[#This Row],[Station/Feeder]],TKA[[#This Row],[Voltage]],TKA[[#This Row],[Lowest A-No PTX]])</f>
        <v>SubTransmissionSBT_33kV33183</v>
      </c>
      <c r="BE23" s="9" t="str">
        <f>CONCATENATE(TKA[[#This Row],[Supply Level]],TKA[[#This Row],[Station/Feeder]],TKA[[#This Row],[Voltage]],TKA[[#This Row],[Lowest A-PTX]])</f>
        <v>SubTransmissionSBT_33kV33183</v>
      </c>
      <c r="BF23" s="9">
        <f>IF(MIN(TKA[[#This Row],[Summ Cont Winter A]]:TKA[[#This Row],[Cable Derating]])=0,"",MIN(TKA[[#This Row],[Summ Cont Winter A]]:TKA[[#This Row],[Cable Derating]]))</f>
        <v>10.459854826908449</v>
      </c>
      <c r="BG23" s="9">
        <f>IFERROR(TKA[[#This Row],[Lowest MVA]]*1000/(TKA[[#This Row],[Voltage]]*SQRT(3)),"")</f>
        <v>183</v>
      </c>
      <c r="BH23" s="9">
        <f t="shared" si="0"/>
        <v>183</v>
      </c>
      <c r="BI23" s="9" t="str">
        <f>TKA[[#This Row],[From]]</f>
        <v>CB1042</v>
      </c>
      <c r="BJ23" s="9" t="str">
        <f>TKA[[#This Row],[To]]</f>
        <v>DS1046</v>
      </c>
      <c r="BK23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Circuit Breaker-TKA-CB1042-Protection</v>
      </c>
      <c r="BL23" s="9">
        <f>TKA[[#This Row],[Voltage]]</f>
        <v>33</v>
      </c>
    </row>
    <row r="24" spans="1:64" s="1" customFormat="1" ht="15" customHeight="1" x14ac:dyDescent="0.25">
      <c r="A24" s="6" t="str">
        <f>CONCATENATE(TKA[[#This Row],[Supply Level]],TKA[[#This Row],[Station/Feeder]],TKA[[#This Row],[Voltage]])</f>
        <v>SubTransmissionSBT_33kV33</v>
      </c>
      <c r="B24" s="6" t="str">
        <f>CONCATENATE(TKA[[#This Row],[Supply Level]],TKA[[#This Row],[Station/Feeder]],TKA[[#This Row],[Equipment ID]],TKA[[#This Row],[Voltage]],TKA[[#This Row],[Device type]])</f>
        <v>SubTransmissionSBT_33kV104633-</v>
      </c>
      <c r="C24" s="6" t="s">
        <v>1245</v>
      </c>
      <c r="D24" s="11" t="s">
        <v>95</v>
      </c>
      <c r="E24" s="7" t="s">
        <v>2550</v>
      </c>
      <c r="F24" s="7" t="s">
        <v>375</v>
      </c>
      <c r="G24" s="56">
        <v>2</v>
      </c>
      <c r="H24" s="7" t="s">
        <v>376</v>
      </c>
      <c r="I24" s="7">
        <v>1046</v>
      </c>
      <c r="J24" s="7" t="s">
        <v>17</v>
      </c>
      <c r="K24" s="7" t="s">
        <v>380</v>
      </c>
      <c r="L24" s="7" t="s">
        <v>0</v>
      </c>
      <c r="M24" s="57">
        <v>33</v>
      </c>
      <c r="N24" s="9" t="s">
        <v>0</v>
      </c>
      <c r="O24" s="9" t="str">
        <f t="shared" si="41"/>
        <v>-</v>
      </c>
      <c r="P24" s="9" t="s">
        <v>0</v>
      </c>
      <c r="Q24" s="9" t="str">
        <f t="shared" si="42"/>
        <v>-</v>
      </c>
      <c r="R24" s="9" t="s">
        <v>0</v>
      </c>
      <c r="S24" s="9" t="str">
        <f t="shared" si="43"/>
        <v>-</v>
      </c>
      <c r="T24" s="9" t="s">
        <v>0</v>
      </c>
      <c r="U24" s="9" t="str">
        <f t="shared" si="44"/>
        <v>-</v>
      </c>
      <c r="V24" s="9" t="s">
        <v>0</v>
      </c>
      <c r="W24" s="9" t="str">
        <f t="shared" si="45"/>
        <v>-</v>
      </c>
      <c r="X24" s="9" t="s">
        <v>0</v>
      </c>
      <c r="Y24" s="9" t="str">
        <f t="shared" si="46"/>
        <v>-</v>
      </c>
      <c r="Z24" s="9" t="s">
        <v>0</v>
      </c>
      <c r="AA24" s="9" t="str">
        <f t="shared" si="47"/>
        <v>-</v>
      </c>
      <c r="AB24" s="9" t="s">
        <v>0</v>
      </c>
      <c r="AC24" s="9" t="str">
        <f t="shared" si="48"/>
        <v>-</v>
      </c>
      <c r="AD24" s="9" t="s">
        <v>0</v>
      </c>
      <c r="AE24" s="12" t="str">
        <f t="shared" si="49"/>
        <v>-</v>
      </c>
      <c r="AF24" s="9" t="s">
        <v>0</v>
      </c>
      <c r="AG24" s="9" t="s">
        <v>0</v>
      </c>
      <c r="AH24" s="9" t="s">
        <v>0</v>
      </c>
      <c r="AI24" s="9" t="s">
        <v>0</v>
      </c>
      <c r="AJ24" s="43" t="s">
        <v>0</v>
      </c>
      <c r="AK24" s="9" t="s">
        <v>0</v>
      </c>
      <c r="AL24" s="43" t="s">
        <v>0</v>
      </c>
      <c r="AM24" s="9" t="s">
        <v>0</v>
      </c>
      <c r="AN24" s="43" t="s">
        <v>0</v>
      </c>
      <c r="AO24" s="9" t="s">
        <v>0</v>
      </c>
      <c r="AP24" s="9" t="s">
        <v>0</v>
      </c>
      <c r="AQ24" s="43" t="s">
        <v>0</v>
      </c>
      <c r="AR24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24" s="9" t="str">
        <f t="shared" si="50"/>
        <v>-</v>
      </c>
      <c r="AT24" s="9" t="str">
        <f>IF(RIGHT(TKA[[#This Row],[Device type]],7)="Winding","-",TKA[[#This Row],[Cont Winter MVA]])</f>
        <v>-</v>
      </c>
      <c r="AU24" s="9" t="str">
        <f>IF(RIGHT(TKA[[#This Row],[Device type]],7)="Winding","-",TKA[[#This Row],[Cont Shoulder MVA]])</f>
        <v>-</v>
      </c>
      <c r="AV24" s="9" t="str">
        <f>IF(RIGHT(TKA[[#This Row],[Device type]],7)="Winding","-",TKA[[#This Row],[Cont Summer MVA]])</f>
        <v>-</v>
      </c>
      <c r="AW24" s="9" t="str">
        <f>TKA[[#This Row],[24 Hr Winter MVA]]</f>
        <v>-</v>
      </c>
      <c r="AX24" s="9" t="str">
        <f>TKA[[#This Row],[24 Hr Summer MVA]]</f>
        <v>-</v>
      </c>
      <c r="AY24" s="9" t="str">
        <f>TKA[[#This Row],[Forwards MVA]]</f>
        <v>-</v>
      </c>
      <c r="AZ24" s="9" t="str">
        <f>TKA[[#This Row],[Relay MVA]]</f>
        <v>-</v>
      </c>
      <c r="BA24" s="9" t="str">
        <f>TKA[[#This Row],[CT MVA]]</f>
        <v>-</v>
      </c>
      <c r="BB24" s="9" t="str">
        <f>TKA[[#This Row],[Derating MVA]]</f>
        <v>-</v>
      </c>
      <c r="BC24" s="9" t="str">
        <f>TKA[[#This Row],[Station/Feeder]]&amp;TKA[[#This Row],[Lowest MVA]]</f>
        <v>SBT_33kV</v>
      </c>
      <c r="BD24" s="9" t="str">
        <f>CONCATENATE(TKA[[#This Row],[Supply Level]],TKA[[#This Row],[Station/Feeder]],TKA[[#This Row],[Voltage]],TKA[[#This Row],[Lowest A-No PTX]])</f>
        <v>SubTransmissionSBT_33kV33</v>
      </c>
      <c r="BE24" s="9" t="str">
        <f>CONCATENATE(TKA[[#This Row],[Supply Level]],TKA[[#This Row],[Station/Feeder]],TKA[[#This Row],[Voltage]],TKA[[#This Row],[Lowest A-PTX]])</f>
        <v>SubTransmissionSBT_33kV33</v>
      </c>
      <c r="BF24" s="9" t="str">
        <f>IF(MIN(TKA[[#This Row],[Summ Cont Winter A]]:TKA[[#This Row],[Cable Derating]])=0,"",MIN(TKA[[#This Row],[Summ Cont Winter A]]:TKA[[#This Row],[Cable Derating]]))</f>
        <v/>
      </c>
      <c r="BG24" s="9" t="str">
        <f>IFERROR(TKA[[#This Row],[Lowest MVA]]*1000/(TKA[[#This Row],[Voltage]]*SQRT(3)),"")</f>
        <v/>
      </c>
      <c r="BH24" s="9" t="str">
        <f t="shared" si="0"/>
        <v/>
      </c>
      <c r="BI24" s="9" t="str">
        <f>TKA[[#This Row],[From]]</f>
        <v>CB1042</v>
      </c>
      <c r="BJ24" s="9" t="str">
        <f>TKA[[#This Row],[To]]</f>
        <v>DS1046</v>
      </c>
      <c r="BK24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Disconnector-1046</v>
      </c>
      <c r="BL24" s="9">
        <f>TKA[[#This Row],[Voltage]]</f>
        <v>33</v>
      </c>
    </row>
    <row r="25" spans="1:64" s="1" customFormat="1" ht="15" customHeight="1" x14ac:dyDescent="0.25">
      <c r="A25" s="168" t="str">
        <f>CONCATENATE(TKA[[#This Row],[Supply Level]],TKA[[#This Row],[Station/Feeder]],TKA[[#This Row],[Voltage]])</f>
        <v>SubTransmissionSBT_33kV33</v>
      </c>
      <c r="B25" s="168" t="str">
        <f>CONCATENATE(TKA[[#This Row],[Supply Level]],TKA[[#This Row],[Station/Feeder]],TKA[[#This Row],[Equipment ID]],TKA[[#This Row],[Voltage]],TKA[[#This Row],[Device type]])</f>
        <v>SubTransmissionSBT_33kVIODINE33-</v>
      </c>
      <c r="C25" s="168" t="s">
        <v>1245</v>
      </c>
      <c r="D25" s="118" t="s">
        <v>95</v>
      </c>
      <c r="E25" s="49" t="s">
        <v>375</v>
      </c>
      <c r="F25" s="49" t="s">
        <v>381</v>
      </c>
      <c r="G25" s="190">
        <v>3</v>
      </c>
      <c r="H25" s="45" t="s">
        <v>1289</v>
      </c>
      <c r="I25" s="45" t="s">
        <v>329</v>
      </c>
      <c r="J25" s="45" t="s">
        <v>69</v>
      </c>
      <c r="K25" s="45" t="s">
        <v>0</v>
      </c>
      <c r="L25" s="45" t="s">
        <v>0</v>
      </c>
      <c r="M25" s="119">
        <v>33</v>
      </c>
      <c r="N25" s="29">
        <v>369</v>
      </c>
      <c r="O25" s="126">
        <f t="shared" si="31"/>
        <v>21.09118268376622</v>
      </c>
      <c r="P25" s="29" t="s">
        <v>0</v>
      </c>
      <c r="Q25" s="126" t="str">
        <f t="shared" si="32"/>
        <v>-</v>
      </c>
      <c r="R25" s="29">
        <v>275</v>
      </c>
      <c r="S25" s="126">
        <f t="shared" si="33"/>
        <v>15.718361078687559</v>
      </c>
      <c r="T25" s="29" t="s">
        <v>0</v>
      </c>
      <c r="U25" s="126" t="str">
        <f t="shared" si="34"/>
        <v>-</v>
      </c>
      <c r="V25" s="29" t="s">
        <v>0</v>
      </c>
      <c r="W25" s="126" t="str">
        <f t="shared" si="35"/>
        <v>-</v>
      </c>
      <c r="X25" s="29" t="s">
        <v>0</v>
      </c>
      <c r="Y25" s="126" t="str">
        <f t="shared" si="36"/>
        <v>-</v>
      </c>
      <c r="Z25" s="29" t="s">
        <v>0</v>
      </c>
      <c r="AA25" s="126" t="str">
        <f t="shared" si="37"/>
        <v>-</v>
      </c>
      <c r="AB25" s="29" t="s">
        <v>0</v>
      </c>
      <c r="AC25" s="126" t="str">
        <f t="shared" si="38"/>
        <v>-</v>
      </c>
      <c r="AD25" s="29" t="s">
        <v>0</v>
      </c>
      <c r="AE25" s="152" t="str">
        <f t="shared" si="39"/>
        <v>-</v>
      </c>
      <c r="AF25" s="29" t="s">
        <v>0</v>
      </c>
      <c r="AG25" s="29" t="s">
        <v>0</v>
      </c>
      <c r="AH25" s="29">
        <v>26.6</v>
      </c>
      <c r="AI25" s="29" t="s">
        <v>0</v>
      </c>
      <c r="AJ25" s="32" t="s">
        <v>0</v>
      </c>
      <c r="AK25" s="29" t="s">
        <v>0</v>
      </c>
      <c r="AL25" s="32" t="s">
        <v>0</v>
      </c>
      <c r="AM25" s="29" t="s">
        <v>0</v>
      </c>
      <c r="AN25" s="32" t="s">
        <v>0</v>
      </c>
      <c r="AO25" s="29" t="s">
        <v>0</v>
      </c>
      <c r="AP25" s="29" t="s">
        <v>0</v>
      </c>
      <c r="AQ25" s="32" t="s">
        <v>0</v>
      </c>
      <c r="AR25" s="2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25" s="29" t="str">
        <f t="shared" si="40"/>
        <v>-</v>
      </c>
      <c r="AT25" s="29">
        <f>IF(RIGHT(TKA[[#This Row],[Device type]],7)="Winding","-",TKA[[#This Row],[Cont Winter MVA]])</f>
        <v>21.09118268376622</v>
      </c>
      <c r="AU25" s="29" t="str">
        <f>IF(RIGHT(TKA[[#This Row],[Device type]],7)="Winding","-",TKA[[#This Row],[Cont Shoulder MVA]])</f>
        <v>-</v>
      </c>
      <c r="AV25" s="29">
        <f>IF(RIGHT(TKA[[#This Row],[Device type]],7)="Winding","-",TKA[[#This Row],[Cont Summer MVA]])</f>
        <v>15.718361078687559</v>
      </c>
      <c r="AW25" s="29" t="str">
        <f>TKA[[#This Row],[24 Hr Winter MVA]]</f>
        <v>-</v>
      </c>
      <c r="AX25" s="29" t="str">
        <f>TKA[[#This Row],[24 Hr Summer MVA]]</f>
        <v>-</v>
      </c>
      <c r="AY25" s="29" t="str">
        <f>TKA[[#This Row],[Forwards MVA]]</f>
        <v>-</v>
      </c>
      <c r="AZ25" s="29" t="str">
        <f>TKA[[#This Row],[Relay MVA]]</f>
        <v>-</v>
      </c>
      <c r="BA25" s="29" t="str">
        <f>TKA[[#This Row],[CT MVA]]</f>
        <v>-</v>
      </c>
      <c r="BB25" s="29" t="str">
        <f>TKA[[#This Row],[Derating MVA]]</f>
        <v>-</v>
      </c>
      <c r="BC25" s="29" t="str">
        <f>TKA[[#This Row],[Station/Feeder]]&amp;TKA[[#This Row],[Lowest MVA]]</f>
        <v>SBT_33kV15.7183610786876</v>
      </c>
      <c r="BD25" s="29" t="str">
        <f>CONCATENATE(TKA[[#This Row],[Supply Level]],TKA[[#This Row],[Station/Feeder]],TKA[[#This Row],[Voltage]],TKA[[#This Row],[Lowest A-No PTX]])</f>
        <v>SubTransmissionSBT_33kV33275</v>
      </c>
      <c r="BE25" s="29" t="str">
        <f>CONCATENATE(TKA[[#This Row],[Supply Level]],TKA[[#This Row],[Station/Feeder]],TKA[[#This Row],[Voltage]],TKA[[#This Row],[Lowest A-PTX]])</f>
        <v>SubTransmissionSBT_33kV33275</v>
      </c>
      <c r="BF25" s="29">
        <f>IF(MIN(TKA[[#This Row],[Summ Cont Winter A]]:TKA[[#This Row],[Cable Derating]])=0,"",MIN(TKA[[#This Row],[Summ Cont Winter A]]:TKA[[#This Row],[Cable Derating]]))</f>
        <v>15.718361078687559</v>
      </c>
      <c r="BG25" s="29">
        <f>IFERROR(TKA[[#This Row],[Lowest MVA]]*1000/(TKA[[#This Row],[Voltage]]*SQRT(3)),"")</f>
        <v>275</v>
      </c>
      <c r="BH25" s="9">
        <f t="shared" si="0"/>
        <v>275</v>
      </c>
      <c r="BI25" s="29" t="str">
        <f>TKA[[#This Row],[From]]</f>
        <v>DS1046</v>
      </c>
      <c r="BJ25" s="29" t="str">
        <f>TKA[[#This Row],[To]]</f>
        <v>M315</v>
      </c>
      <c r="BK25" s="45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Line-IODINE</v>
      </c>
      <c r="BL25" s="29">
        <f>TKA[[#This Row],[Voltage]]</f>
        <v>33</v>
      </c>
    </row>
    <row r="26" spans="1:64" s="1" customFormat="1" ht="15" customHeight="1" x14ac:dyDescent="0.25">
      <c r="A26" s="6" t="str">
        <f>CONCATENATE(TKA[[#This Row],[Supply Level]],TKA[[#This Row],[Station/Feeder]],TKA[[#This Row],[Voltage]])</f>
        <v>SubTransmissionSBT_33kV33</v>
      </c>
      <c r="B26" s="6" t="str">
        <f>CONCATENATE(TKA[[#This Row],[Supply Level]],TKA[[#This Row],[Station/Feeder]],TKA[[#This Row],[Equipment ID]],TKA[[#This Row],[Voltage]],TKA[[#This Row],[Device type]])</f>
        <v>SubTransmissionSBT_33kVM31533-</v>
      </c>
      <c r="C26" s="6" t="s">
        <v>1245</v>
      </c>
      <c r="D26" s="11" t="s">
        <v>95</v>
      </c>
      <c r="E26" s="7" t="s">
        <v>375</v>
      </c>
      <c r="F26" s="7" t="s">
        <v>381</v>
      </c>
      <c r="G26" s="56">
        <v>4</v>
      </c>
      <c r="H26" s="46" t="s">
        <v>273</v>
      </c>
      <c r="I26" s="46" t="s">
        <v>381</v>
      </c>
      <c r="J26" s="46" t="s">
        <v>249</v>
      </c>
      <c r="K26" s="46" t="s">
        <v>0</v>
      </c>
      <c r="L26" s="46" t="s">
        <v>0</v>
      </c>
      <c r="M26" s="57">
        <v>33</v>
      </c>
      <c r="N26" s="9">
        <v>630</v>
      </c>
      <c r="O26" s="9">
        <f>IF(OR(N26="",N26="-"),"-",N26*$M26*SQRT(3)/1000)</f>
        <v>36.009336289356959</v>
      </c>
      <c r="P26" s="9">
        <v>630</v>
      </c>
      <c r="Q26" s="9">
        <f>IF(OR(P26="",P26="-"),"-",P26*$M26*SQRT(3)/1000)</f>
        <v>36.009336289356959</v>
      </c>
      <c r="R26" s="9">
        <v>630</v>
      </c>
      <c r="S26" s="9">
        <f>IF(OR(R26="",R26="-"),"-",R26*$M26*SQRT(3)/1000)</f>
        <v>36.009336289356959</v>
      </c>
      <c r="T26" s="9" t="s">
        <v>0</v>
      </c>
      <c r="U26" s="9" t="str">
        <f>IF(OR(T26="",T26="-"),"-",T26*$M26*SQRT(3)/1000)</f>
        <v>-</v>
      </c>
      <c r="V26" s="9" t="s">
        <v>0</v>
      </c>
      <c r="W26" s="9" t="str">
        <f>IF(OR(V26="",V26="-"),"-",V26*$M26*SQRT(3)/1000)</f>
        <v>-</v>
      </c>
      <c r="X26" s="9" t="s">
        <v>0</v>
      </c>
      <c r="Y26" s="9" t="str">
        <f>IF(OR(X26="",X26="-"),"-",X26*$M26*SQRT(3)/1000)</f>
        <v>-</v>
      </c>
      <c r="Z26" s="9" t="s">
        <v>0</v>
      </c>
      <c r="AA26" s="9" t="str">
        <f>IF(OR(Z26="",Z26="-"),"-",Z26*$M26*SQRT(3)/1000)</f>
        <v>-</v>
      </c>
      <c r="AB26" s="9" t="s">
        <v>0</v>
      </c>
      <c r="AC26" s="9" t="str">
        <f>IF(OR(AB26="",AB26="-"),"-",AB26*$M26*SQRT(3)/1000)</f>
        <v>-</v>
      </c>
      <c r="AD26" s="9" t="s">
        <v>0</v>
      </c>
      <c r="AE26" s="12" t="str">
        <f>IF(OR(AD26="",AD26="-"),"-",AD26*$M26*SQRT(3)/1000)</f>
        <v>-</v>
      </c>
      <c r="AF26" s="29" t="s">
        <v>0</v>
      </c>
      <c r="AG26" s="29" t="s">
        <v>0</v>
      </c>
      <c r="AH26" s="9" t="s">
        <v>0</v>
      </c>
      <c r="AI26" s="29" t="s">
        <v>0</v>
      </c>
      <c r="AJ26" s="32" t="s">
        <v>0</v>
      </c>
      <c r="AK26" s="29" t="s">
        <v>0</v>
      </c>
      <c r="AL26" s="32" t="s">
        <v>0</v>
      </c>
      <c r="AM26" s="29" t="s">
        <v>0</v>
      </c>
      <c r="AN26" s="32" t="s">
        <v>0</v>
      </c>
      <c r="AO26" s="29" t="s">
        <v>0</v>
      </c>
      <c r="AP26" s="32" t="s">
        <v>0</v>
      </c>
      <c r="AQ26" s="32" t="s">
        <v>0</v>
      </c>
      <c r="AR26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26" s="9" t="str">
        <f>IF(OR(AR26="",AR26="-"),"-",AR26*$M26*SQRT(3)/1000)</f>
        <v>-</v>
      </c>
      <c r="AT26" s="9">
        <f>IF(RIGHT(TKA[[#This Row],[Device type]],7)="Winding","-",TKA[[#This Row],[Cont Winter MVA]])</f>
        <v>36.009336289356959</v>
      </c>
      <c r="AU26" s="9">
        <f>IF(RIGHT(TKA[[#This Row],[Device type]],7)="Winding","-",TKA[[#This Row],[Cont Shoulder MVA]])</f>
        <v>36.009336289356959</v>
      </c>
      <c r="AV26" s="9">
        <f>IF(RIGHT(TKA[[#This Row],[Device type]],7)="Winding","-",TKA[[#This Row],[Cont Summer MVA]])</f>
        <v>36.009336289356959</v>
      </c>
      <c r="AW26" s="9" t="str">
        <f>TKA[[#This Row],[24 Hr Winter MVA]]</f>
        <v>-</v>
      </c>
      <c r="AX26" s="9" t="str">
        <f>TKA[[#This Row],[24 Hr Summer MVA]]</f>
        <v>-</v>
      </c>
      <c r="AY26" s="9" t="str">
        <f>TKA[[#This Row],[Forwards MVA]]</f>
        <v>-</v>
      </c>
      <c r="AZ26" s="9" t="str">
        <f>TKA[[#This Row],[Relay MVA]]</f>
        <v>-</v>
      </c>
      <c r="BA26" s="9" t="str">
        <f>TKA[[#This Row],[CT MVA]]</f>
        <v>-</v>
      </c>
      <c r="BB26" s="9" t="str">
        <f>TKA[[#This Row],[Derating MVA]]</f>
        <v>-</v>
      </c>
      <c r="BC26" s="9" t="str">
        <f>TKA[[#This Row],[Station/Feeder]]&amp;TKA[[#This Row],[Lowest MVA]]</f>
        <v>SBT_33kV36.009336289357</v>
      </c>
      <c r="BD26" s="9" t="str">
        <f>CONCATENATE(TKA[[#This Row],[Supply Level]],TKA[[#This Row],[Station/Feeder]],TKA[[#This Row],[Voltage]],TKA[[#This Row],[Lowest A-No PTX]])</f>
        <v>SubTransmissionSBT_33kV33630</v>
      </c>
      <c r="BE26" s="9" t="str">
        <f>CONCATENATE(TKA[[#This Row],[Supply Level]],TKA[[#This Row],[Station/Feeder]],TKA[[#This Row],[Voltage]],TKA[[#This Row],[Lowest A-PTX]])</f>
        <v>SubTransmissionSBT_33kV33630</v>
      </c>
      <c r="BF26" s="9">
        <f>IF(MIN(TKA[[#This Row],[Summ Cont Winter A]]:TKA[[#This Row],[Cable Derating]])=0,"",MIN(TKA[[#This Row],[Summ Cont Winter A]]:TKA[[#This Row],[Cable Derating]]))</f>
        <v>36.009336289356959</v>
      </c>
      <c r="BG26" s="9">
        <f>IFERROR(TKA[[#This Row],[Lowest MVA]]*1000/(TKA[[#This Row],[Voltage]]*SQRT(3)),"")</f>
        <v>630</v>
      </c>
      <c r="BH26" s="9">
        <f t="shared" si="0"/>
        <v>630</v>
      </c>
      <c r="BI26" s="9" t="str">
        <f>TKA[[#This Row],[From]]</f>
        <v>DS1046</v>
      </c>
      <c r="BJ26" s="9" t="str">
        <f>TKA[[#This Row],[To]]</f>
        <v>M315</v>
      </c>
      <c r="BK26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Link-M315</v>
      </c>
      <c r="BL26" s="9">
        <f>TKA[[#This Row],[Voltage]]</f>
        <v>33</v>
      </c>
    </row>
    <row r="27" spans="1:64" s="1" customFormat="1" ht="15" customHeight="1" x14ac:dyDescent="0.25">
      <c r="A27" s="6" t="str">
        <f>CONCATENATE(TKA[[#This Row],[Supply Level]],TKA[[#This Row],[Station/Feeder]],TKA[[#This Row],[Voltage]])</f>
        <v>SubTransmissionSBT_33kV33</v>
      </c>
      <c r="B27" s="6" t="str">
        <f>CONCATENATE(TKA[[#This Row],[Supply Level]],TKA[[#This Row],[Station/Feeder]],TKA[[#This Row],[Equipment ID]],TKA[[#This Row],[Voltage]],TKA[[#This Row],[Device type]])</f>
        <v>SubTransmissionSBT_33kVDOG33-</v>
      </c>
      <c r="C27" s="6" t="s">
        <v>1245</v>
      </c>
      <c r="D27" s="11" t="s">
        <v>95</v>
      </c>
      <c r="E27" s="7" t="s">
        <v>381</v>
      </c>
      <c r="F27" s="7" t="s">
        <v>382</v>
      </c>
      <c r="G27" s="56">
        <v>5</v>
      </c>
      <c r="H27" s="46" t="s">
        <v>1289</v>
      </c>
      <c r="I27" s="46" t="s">
        <v>318</v>
      </c>
      <c r="J27" s="46" t="s">
        <v>69</v>
      </c>
      <c r="K27" s="46" t="s">
        <v>0</v>
      </c>
      <c r="L27" s="46" t="s">
        <v>0</v>
      </c>
      <c r="M27" s="57">
        <v>33</v>
      </c>
      <c r="N27" s="9">
        <v>343.69342642524197</v>
      </c>
      <c r="O27" s="9">
        <f t="shared" si="31"/>
        <v>19.644717734266511</v>
      </c>
      <c r="P27" s="9" t="s">
        <v>0</v>
      </c>
      <c r="Q27" s="9" t="str">
        <f t="shared" si="32"/>
        <v>-</v>
      </c>
      <c r="R27" s="9">
        <v>256.85852310343915</v>
      </c>
      <c r="S27" s="9">
        <f t="shared" si="33"/>
        <v>14.681436408284609</v>
      </c>
      <c r="T27" s="9" t="s">
        <v>0</v>
      </c>
      <c r="U27" s="9" t="str">
        <f t="shared" si="34"/>
        <v>-</v>
      </c>
      <c r="V27" s="9" t="s">
        <v>0</v>
      </c>
      <c r="W27" s="9" t="str">
        <f t="shared" si="35"/>
        <v>-</v>
      </c>
      <c r="X27" s="9" t="s">
        <v>0</v>
      </c>
      <c r="Y27" s="9" t="str">
        <f t="shared" si="36"/>
        <v>-</v>
      </c>
      <c r="Z27" s="9" t="s">
        <v>0</v>
      </c>
      <c r="AA27" s="9" t="str">
        <f t="shared" si="37"/>
        <v>-</v>
      </c>
      <c r="AB27" s="9" t="s">
        <v>0</v>
      </c>
      <c r="AC27" s="9" t="str">
        <f t="shared" si="38"/>
        <v>-</v>
      </c>
      <c r="AD27" s="9" t="s">
        <v>0</v>
      </c>
      <c r="AE27" s="12" t="str">
        <f t="shared" si="39"/>
        <v>-</v>
      </c>
      <c r="AF27" s="29" t="s">
        <v>0</v>
      </c>
      <c r="AG27" s="29" t="s">
        <v>0</v>
      </c>
      <c r="AH27" s="29">
        <v>1470.2</v>
      </c>
      <c r="AI27" s="29" t="s">
        <v>0</v>
      </c>
      <c r="AJ27" s="32" t="s">
        <v>0</v>
      </c>
      <c r="AK27" s="29" t="s">
        <v>0</v>
      </c>
      <c r="AL27" s="32" t="s">
        <v>0</v>
      </c>
      <c r="AM27" s="29" t="s">
        <v>0</v>
      </c>
      <c r="AN27" s="32" t="s">
        <v>0</v>
      </c>
      <c r="AO27" s="29" t="s">
        <v>0</v>
      </c>
      <c r="AP27" s="29" t="s">
        <v>0</v>
      </c>
      <c r="AQ27" s="32" t="s">
        <v>0</v>
      </c>
      <c r="AR27" s="2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27" s="9" t="str">
        <f t="shared" si="40"/>
        <v>-</v>
      </c>
      <c r="AT27" s="9">
        <f>IF(RIGHT(TKA[[#This Row],[Device type]],7)="Winding","-",TKA[[#This Row],[Cont Winter MVA]])</f>
        <v>19.644717734266511</v>
      </c>
      <c r="AU27" s="9" t="str">
        <f>IF(RIGHT(TKA[[#This Row],[Device type]],7)="Winding","-",TKA[[#This Row],[Cont Shoulder MVA]])</f>
        <v>-</v>
      </c>
      <c r="AV27" s="9">
        <f>IF(RIGHT(TKA[[#This Row],[Device type]],7)="Winding","-",TKA[[#This Row],[Cont Summer MVA]])</f>
        <v>14.681436408284609</v>
      </c>
      <c r="AW27" s="9" t="str">
        <f>TKA[[#This Row],[24 Hr Winter MVA]]</f>
        <v>-</v>
      </c>
      <c r="AX27" s="9" t="str">
        <f>TKA[[#This Row],[24 Hr Summer MVA]]</f>
        <v>-</v>
      </c>
      <c r="AY27" s="9" t="str">
        <f>TKA[[#This Row],[Forwards MVA]]</f>
        <v>-</v>
      </c>
      <c r="AZ27" s="9" t="str">
        <f>TKA[[#This Row],[Relay MVA]]</f>
        <v>-</v>
      </c>
      <c r="BA27" s="9" t="str">
        <f>TKA[[#This Row],[CT MVA]]</f>
        <v>-</v>
      </c>
      <c r="BB27" s="9" t="str">
        <f>TKA[[#This Row],[Derating MVA]]</f>
        <v>-</v>
      </c>
      <c r="BC27" s="9" t="str">
        <f>TKA[[#This Row],[Station/Feeder]]&amp;TKA[[#This Row],[Lowest MVA]]</f>
        <v>SBT_33kV14.6814364082846</v>
      </c>
      <c r="BD27" s="9" t="str">
        <f>CONCATENATE(TKA[[#This Row],[Supply Level]],TKA[[#This Row],[Station/Feeder]],TKA[[#This Row],[Voltage]],TKA[[#This Row],[Lowest A-No PTX]])</f>
        <v>SubTransmissionSBT_33kV33256.858523103439</v>
      </c>
      <c r="BE27" s="9" t="str">
        <f>CONCATENATE(TKA[[#This Row],[Supply Level]],TKA[[#This Row],[Station/Feeder]],TKA[[#This Row],[Voltage]],TKA[[#This Row],[Lowest A-PTX]])</f>
        <v>SubTransmissionSBT_33kV33256.858523103439</v>
      </c>
      <c r="BF27" s="9">
        <f>IF(MIN(TKA[[#This Row],[Summ Cont Winter A]]:TKA[[#This Row],[Cable Derating]])=0,"",MIN(TKA[[#This Row],[Summ Cont Winter A]]:TKA[[#This Row],[Cable Derating]]))</f>
        <v>14.681436408284609</v>
      </c>
      <c r="BG27" s="9">
        <f>IFERROR(TKA[[#This Row],[Lowest MVA]]*1000/(TKA[[#This Row],[Voltage]]*SQRT(3)),"")</f>
        <v>256.85852310343915</v>
      </c>
      <c r="BH27" s="9">
        <f t="shared" si="0"/>
        <v>256.85852310343915</v>
      </c>
      <c r="BI27" s="9" t="str">
        <f>TKA[[#This Row],[From]]</f>
        <v>M315</v>
      </c>
      <c r="BJ27" s="9" t="str">
        <f>TKA[[#This Row],[To]]</f>
        <v>M55</v>
      </c>
      <c r="BK27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Line-DOG</v>
      </c>
      <c r="BL27" s="9">
        <f>TKA[[#This Row],[Voltage]]</f>
        <v>33</v>
      </c>
    </row>
    <row r="28" spans="1:64" s="1" customFormat="1" ht="15" customHeight="1" x14ac:dyDescent="0.25">
      <c r="A28" s="6" t="str">
        <f>CONCATENATE(TKA[[#This Row],[Supply Level]],TKA[[#This Row],[Station/Feeder]],TKA[[#This Row],[Voltage]])</f>
        <v>SubTransmissionSBT_33kV33</v>
      </c>
      <c r="B28" s="6" t="str">
        <f>CONCATENATE(TKA[[#This Row],[Supply Level]],TKA[[#This Row],[Station/Feeder]],TKA[[#This Row],[Equipment ID]],TKA[[#This Row],[Voltage]],TKA[[#This Row],[Device type]])</f>
        <v>SubTransmissionSBT_33kVM5533-</v>
      </c>
      <c r="C28" s="6" t="s">
        <v>1245</v>
      </c>
      <c r="D28" s="11" t="s">
        <v>95</v>
      </c>
      <c r="E28" s="7" t="s">
        <v>381</v>
      </c>
      <c r="F28" s="7" t="s">
        <v>382</v>
      </c>
      <c r="G28" s="56">
        <v>6</v>
      </c>
      <c r="H28" s="46" t="s">
        <v>273</v>
      </c>
      <c r="I28" s="46" t="s">
        <v>382</v>
      </c>
      <c r="J28" s="46" t="s">
        <v>249</v>
      </c>
      <c r="K28" s="46" t="s">
        <v>0</v>
      </c>
      <c r="L28" s="46" t="s">
        <v>0</v>
      </c>
      <c r="M28" s="57">
        <v>33</v>
      </c>
      <c r="N28" s="9">
        <v>300</v>
      </c>
      <c r="O28" s="9">
        <f>IF(OR(N28="",N28="-"),"-",N28*$M28*SQRT(3)/1000)</f>
        <v>17.147302994931884</v>
      </c>
      <c r="P28" s="9">
        <v>300</v>
      </c>
      <c r="Q28" s="9">
        <f>IF(OR(P28="",P28="-"),"-",P28*$M28*SQRT(3)/1000)</f>
        <v>17.147302994931884</v>
      </c>
      <c r="R28" s="9">
        <v>300</v>
      </c>
      <c r="S28" s="9">
        <f>IF(OR(R28="",R28="-"),"-",R28*$M28*SQRT(3)/1000)</f>
        <v>17.147302994931884</v>
      </c>
      <c r="T28" s="9" t="s">
        <v>0</v>
      </c>
      <c r="U28" s="9" t="str">
        <f>IF(OR(T28="",T28="-"),"-",T28*$M28*SQRT(3)/1000)</f>
        <v>-</v>
      </c>
      <c r="V28" s="9" t="s">
        <v>0</v>
      </c>
      <c r="W28" s="9" t="str">
        <f>IF(OR(V28="",V28="-"),"-",V28*$M28*SQRT(3)/1000)</f>
        <v>-</v>
      </c>
      <c r="X28" s="9" t="s">
        <v>0</v>
      </c>
      <c r="Y28" s="9" t="str">
        <f>IF(OR(X28="",X28="-"),"-",X28*$M28*SQRT(3)/1000)</f>
        <v>-</v>
      </c>
      <c r="Z28" s="9" t="s">
        <v>0</v>
      </c>
      <c r="AA28" s="9" t="str">
        <f>IF(OR(Z28="",Z28="-"),"-",Z28*$M28*SQRT(3)/1000)</f>
        <v>-</v>
      </c>
      <c r="AB28" s="9" t="s">
        <v>0</v>
      </c>
      <c r="AC28" s="9" t="str">
        <f>IF(OR(AB28="",AB28="-"),"-",AB28*$M28*SQRT(3)/1000)</f>
        <v>-</v>
      </c>
      <c r="AD28" s="9" t="s">
        <v>0</v>
      </c>
      <c r="AE28" s="12" t="str">
        <f>IF(OR(AD28="",AD28="-"),"-",AD28*$M28*SQRT(3)/1000)</f>
        <v>-</v>
      </c>
      <c r="AF28" s="29" t="s">
        <v>0</v>
      </c>
      <c r="AG28" s="29" t="s">
        <v>0</v>
      </c>
      <c r="AH28" s="9" t="s">
        <v>0</v>
      </c>
      <c r="AI28" s="29" t="s">
        <v>0</v>
      </c>
      <c r="AJ28" s="32" t="s">
        <v>0</v>
      </c>
      <c r="AK28" s="29" t="s">
        <v>0</v>
      </c>
      <c r="AL28" s="32" t="s">
        <v>0</v>
      </c>
      <c r="AM28" s="29" t="s">
        <v>0</v>
      </c>
      <c r="AN28" s="32" t="s">
        <v>0</v>
      </c>
      <c r="AO28" s="29" t="s">
        <v>0</v>
      </c>
      <c r="AP28" s="32" t="s">
        <v>0</v>
      </c>
      <c r="AQ28" s="32" t="s">
        <v>0</v>
      </c>
      <c r="AR28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28" s="9" t="str">
        <f>IF(OR(AR28="",AR28="-"),"-",AR28*$M28*SQRT(3)/1000)</f>
        <v>-</v>
      </c>
      <c r="AT28" s="9">
        <f>IF(RIGHT(TKA[[#This Row],[Device type]],7)="Winding","-",TKA[[#This Row],[Cont Winter MVA]])</f>
        <v>17.147302994931884</v>
      </c>
      <c r="AU28" s="9">
        <f>IF(RIGHT(TKA[[#This Row],[Device type]],7)="Winding","-",TKA[[#This Row],[Cont Shoulder MVA]])</f>
        <v>17.147302994931884</v>
      </c>
      <c r="AV28" s="9">
        <f>IF(RIGHT(TKA[[#This Row],[Device type]],7)="Winding","-",TKA[[#This Row],[Cont Summer MVA]])</f>
        <v>17.147302994931884</v>
      </c>
      <c r="AW28" s="9" t="str">
        <f>TKA[[#This Row],[24 Hr Winter MVA]]</f>
        <v>-</v>
      </c>
      <c r="AX28" s="9" t="str">
        <f>TKA[[#This Row],[24 Hr Summer MVA]]</f>
        <v>-</v>
      </c>
      <c r="AY28" s="9" t="str">
        <f>TKA[[#This Row],[Forwards MVA]]</f>
        <v>-</v>
      </c>
      <c r="AZ28" s="9" t="str">
        <f>TKA[[#This Row],[Relay MVA]]</f>
        <v>-</v>
      </c>
      <c r="BA28" s="9" t="str">
        <f>TKA[[#This Row],[CT MVA]]</f>
        <v>-</v>
      </c>
      <c r="BB28" s="9" t="str">
        <f>TKA[[#This Row],[Derating MVA]]</f>
        <v>-</v>
      </c>
      <c r="BC28" s="9" t="str">
        <f>TKA[[#This Row],[Station/Feeder]]&amp;TKA[[#This Row],[Lowest MVA]]</f>
        <v>SBT_33kV17.1473029949319</v>
      </c>
      <c r="BD28" s="9" t="str">
        <f>CONCATENATE(TKA[[#This Row],[Supply Level]],TKA[[#This Row],[Station/Feeder]],TKA[[#This Row],[Voltage]],TKA[[#This Row],[Lowest A-No PTX]])</f>
        <v>SubTransmissionSBT_33kV33300</v>
      </c>
      <c r="BE28" s="9" t="str">
        <f>CONCATENATE(TKA[[#This Row],[Supply Level]],TKA[[#This Row],[Station/Feeder]],TKA[[#This Row],[Voltage]],TKA[[#This Row],[Lowest A-PTX]])</f>
        <v>SubTransmissionSBT_33kV33300</v>
      </c>
      <c r="BF28" s="9">
        <f>IF(MIN(TKA[[#This Row],[Summ Cont Winter A]]:TKA[[#This Row],[Cable Derating]])=0,"",MIN(TKA[[#This Row],[Summ Cont Winter A]]:TKA[[#This Row],[Cable Derating]]))</f>
        <v>17.147302994931884</v>
      </c>
      <c r="BG28" s="9">
        <f>IFERROR(TKA[[#This Row],[Lowest MVA]]*1000/(TKA[[#This Row],[Voltage]]*SQRT(3)),"")</f>
        <v>300</v>
      </c>
      <c r="BH28" s="9">
        <f t="shared" si="0"/>
        <v>300</v>
      </c>
      <c r="BI28" s="9" t="str">
        <f>TKA[[#This Row],[From]]</f>
        <v>M315</v>
      </c>
      <c r="BJ28" s="9" t="str">
        <f>TKA[[#This Row],[To]]</f>
        <v>M55</v>
      </c>
      <c r="BK28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Link-M55</v>
      </c>
      <c r="BL28" s="9">
        <f>TKA[[#This Row],[Voltage]]</f>
        <v>33</v>
      </c>
    </row>
    <row r="29" spans="1:64" s="1" customFormat="1" ht="15" customHeight="1" x14ac:dyDescent="0.25">
      <c r="A29" s="6" t="str">
        <f>CONCATENATE(TKA[[#This Row],[Supply Level]],TKA[[#This Row],[Station/Feeder]],TKA[[#This Row],[Voltage]])</f>
        <v>SubTransmissionSBT_33kV33</v>
      </c>
      <c r="B29" s="6" t="str">
        <f>CONCATENATE(TKA[[#This Row],[Supply Level]],TKA[[#This Row],[Station/Feeder]],TKA[[#This Row],[Equipment ID]],TKA[[#This Row],[Voltage]],TKA[[#This Row],[Device type]])</f>
        <v>SubTransmissionSBT_33kV19/14 Cu33-</v>
      </c>
      <c r="C29" s="6" t="s">
        <v>1245</v>
      </c>
      <c r="D29" s="11" t="s">
        <v>95</v>
      </c>
      <c r="E29" s="7" t="s">
        <v>382</v>
      </c>
      <c r="F29" s="7" t="s">
        <v>383</v>
      </c>
      <c r="G29" s="56">
        <v>7</v>
      </c>
      <c r="H29" s="46" t="s">
        <v>1289</v>
      </c>
      <c r="I29" s="46" t="s">
        <v>319</v>
      </c>
      <c r="J29" s="46" t="s">
        <v>69</v>
      </c>
      <c r="K29" s="46" t="s">
        <v>0</v>
      </c>
      <c r="L29" s="46" t="s">
        <v>0</v>
      </c>
      <c r="M29" s="57">
        <v>33</v>
      </c>
      <c r="N29" s="9">
        <v>320.59746715230432</v>
      </c>
      <c r="O29" s="9">
        <f t="shared" si="31"/>
        <v>18.324606362227613</v>
      </c>
      <c r="P29" s="9" t="s">
        <v>0</v>
      </c>
      <c r="Q29" s="9" t="str">
        <f t="shared" si="32"/>
        <v>-</v>
      </c>
      <c r="R29" s="9">
        <v>242</v>
      </c>
      <c r="S29" s="9">
        <f t="shared" si="33"/>
        <v>13.832157749245052</v>
      </c>
      <c r="T29" s="9" t="s">
        <v>0</v>
      </c>
      <c r="U29" s="9" t="str">
        <f t="shared" si="34"/>
        <v>-</v>
      </c>
      <c r="V29" s="9" t="s">
        <v>0</v>
      </c>
      <c r="W29" s="9" t="str">
        <f t="shared" si="35"/>
        <v>-</v>
      </c>
      <c r="X29" s="9" t="s">
        <v>0</v>
      </c>
      <c r="Y29" s="9" t="str">
        <f t="shared" si="36"/>
        <v>-</v>
      </c>
      <c r="Z29" s="9" t="s">
        <v>0</v>
      </c>
      <c r="AA29" s="9" t="str">
        <f t="shared" si="37"/>
        <v>-</v>
      </c>
      <c r="AB29" s="9" t="s">
        <v>0</v>
      </c>
      <c r="AC29" s="9" t="str">
        <f t="shared" si="38"/>
        <v>-</v>
      </c>
      <c r="AD29" s="9" t="s">
        <v>0</v>
      </c>
      <c r="AE29" s="12" t="str">
        <f t="shared" si="39"/>
        <v>-</v>
      </c>
      <c r="AF29" s="29" t="s">
        <v>0</v>
      </c>
      <c r="AG29" s="29" t="s">
        <v>0</v>
      </c>
      <c r="AH29" s="29">
        <v>48.3</v>
      </c>
      <c r="AI29" s="29" t="s">
        <v>0</v>
      </c>
      <c r="AJ29" s="32" t="s">
        <v>0</v>
      </c>
      <c r="AK29" s="29" t="s">
        <v>0</v>
      </c>
      <c r="AL29" s="32" t="s">
        <v>0</v>
      </c>
      <c r="AM29" s="29" t="s">
        <v>0</v>
      </c>
      <c r="AN29" s="32" t="s">
        <v>0</v>
      </c>
      <c r="AO29" s="29" t="s">
        <v>0</v>
      </c>
      <c r="AP29" s="29" t="s">
        <v>0</v>
      </c>
      <c r="AQ29" s="32" t="s">
        <v>0</v>
      </c>
      <c r="AR29" s="2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29" s="9" t="str">
        <f t="shared" si="40"/>
        <v>-</v>
      </c>
      <c r="AT29" s="9">
        <f>IF(RIGHT(TKA[[#This Row],[Device type]],7)="Winding","-",TKA[[#This Row],[Cont Winter MVA]])</f>
        <v>18.324606362227613</v>
      </c>
      <c r="AU29" s="9" t="str">
        <f>IF(RIGHT(TKA[[#This Row],[Device type]],7)="Winding","-",TKA[[#This Row],[Cont Shoulder MVA]])</f>
        <v>-</v>
      </c>
      <c r="AV29" s="9">
        <f>IF(RIGHT(TKA[[#This Row],[Device type]],7)="Winding","-",TKA[[#This Row],[Cont Summer MVA]])</f>
        <v>13.832157749245052</v>
      </c>
      <c r="AW29" s="9" t="str">
        <f>TKA[[#This Row],[24 Hr Winter MVA]]</f>
        <v>-</v>
      </c>
      <c r="AX29" s="9" t="str">
        <f>TKA[[#This Row],[24 Hr Summer MVA]]</f>
        <v>-</v>
      </c>
      <c r="AY29" s="9" t="str">
        <f>TKA[[#This Row],[Forwards MVA]]</f>
        <v>-</v>
      </c>
      <c r="AZ29" s="9" t="str">
        <f>TKA[[#This Row],[Relay MVA]]</f>
        <v>-</v>
      </c>
      <c r="BA29" s="9" t="str">
        <f>TKA[[#This Row],[CT MVA]]</f>
        <v>-</v>
      </c>
      <c r="BB29" s="9" t="str">
        <f>TKA[[#This Row],[Derating MVA]]</f>
        <v>-</v>
      </c>
      <c r="BC29" s="9" t="str">
        <f>TKA[[#This Row],[Station/Feeder]]&amp;TKA[[#This Row],[Lowest MVA]]</f>
        <v>SBT_33kV13.8321577492451</v>
      </c>
      <c r="BD29" s="9" t="str">
        <f>CONCATENATE(TKA[[#This Row],[Supply Level]],TKA[[#This Row],[Station/Feeder]],TKA[[#This Row],[Voltage]],TKA[[#This Row],[Lowest A-No PTX]])</f>
        <v>SubTransmissionSBT_33kV33242</v>
      </c>
      <c r="BE29" s="9" t="str">
        <f>CONCATENATE(TKA[[#This Row],[Supply Level]],TKA[[#This Row],[Station/Feeder]],TKA[[#This Row],[Voltage]],TKA[[#This Row],[Lowest A-PTX]])</f>
        <v>SubTransmissionSBT_33kV33242</v>
      </c>
      <c r="BF29" s="9">
        <f>IF(MIN(TKA[[#This Row],[Summ Cont Winter A]]:TKA[[#This Row],[Cable Derating]])=0,"",MIN(TKA[[#This Row],[Summ Cont Winter A]]:TKA[[#This Row],[Cable Derating]]))</f>
        <v>13.832157749245052</v>
      </c>
      <c r="BG29" s="9">
        <f>IFERROR(TKA[[#This Row],[Lowest MVA]]*1000/(TKA[[#This Row],[Voltage]]*SQRT(3)),"")</f>
        <v>242</v>
      </c>
      <c r="BH29" s="9">
        <f t="shared" si="0"/>
        <v>242</v>
      </c>
      <c r="BI29" s="9" t="str">
        <f>TKA[[#This Row],[From]]</f>
        <v>M55</v>
      </c>
      <c r="BJ29" s="9" t="str">
        <f>TKA[[#This Row],[To]]</f>
        <v>Pole 24021</v>
      </c>
      <c r="BK29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Line-19/14 Cu</v>
      </c>
      <c r="BL29" s="9">
        <f>TKA[[#This Row],[Voltage]]</f>
        <v>33</v>
      </c>
    </row>
    <row r="30" spans="1:64" s="1" customFormat="1" ht="15.75" customHeight="1" thickBot="1" x14ac:dyDescent="0.3">
      <c r="A30" s="191" t="str">
        <f>CONCATENATE(TKA[[#This Row],[Supply Level]],TKA[[#This Row],[Station/Feeder]],TKA[[#This Row],[Voltage]])</f>
        <v>SubTransmissionSBT_33kV33</v>
      </c>
      <c r="B30" s="191" t="str">
        <f>CONCATENATE(TKA[[#This Row],[Supply Level]],TKA[[#This Row],[Station/Feeder]],TKA[[#This Row],[Equipment ID]],TKA[[#This Row],[Voltage]],TKA[[#This Row],[Device type]])</f>
        <v>SubTransmissionSBT_33kVDOG33-</v>
      </c>
      <c r="C30" s="191" t="s">
        <v>1245</v>
      </c>
      <c r="D30" s="192" t="s">
        <v>95</v>
      </c>
      <c r="E30" s="193" t="s">
        <v>383</v>
      </c>
      <c r="F30" s="193" t="s">
        <v>384</v>
      </c>
      <c r="G30" s="194">
        <v>8</v>
      </c>
      <c r="H30" s="196" t="s">
        <v>1289</v>
      </c>
      <c r="I30" s="196" t="s">
        <v>318</v>
      </c>
      <c r="J30" s="196" t="s">
        <v>69</v>
      </c>
      <c r="K30" s="196" t="s">
        <v>0</v>
      </c>
      <c r="L30" s="196" t="s">
        <v>0</v>
      </c>
      <c r="M30" s="197">
        <v>33</v>
      </c>
      <c r="N30" s="155">
        <v>343.69342642524197</v>
      </c>
      <c r="O30" s="155">
        <f t="shared" ref="O30" si="51">IF(OR(N30="",N30="-"),"-",N30*$M30*SQRT(3)/1000)</f>
        <v>19.644717734266511</v>
      </c>
      <c r="P30" s="155" t="s">
        <v>0</v>
      </c>
      <c r="Q30" s="155" t="str">
        <f t="shared" ref="Q30" si="52">IF(OR(P30="",P30="-"),"-",P30*$M30*SQRT(3)/1000)</f>
        <v>-</v>
      </c>
      <c r="R30" s="155">
        <v>256.85852310343915</v>
      </c>
      <c r="S30" s="155">
        <f t="shared" ref="S30" si="53">IF(OR(R30="",R30="-"),"-",R30*$M30*SQRT(3)/1000)</f>
        <v>14.681436408284609</v>
      </c>
      <c r="T30" s="155" t="s">
        <v>0</v>
      </c>
      <c r="U30" s="155" t="str">
        <f t="shared" ref="U30" si="54">IF(OR(T30="",T30="-"),"-",T30*$M30*SQRT(3)/1000)</f>
        <v>-</v>
      </c>
      <c r="V30" s="155" t="s">
        <v>0</v>
      </c>
      <c r="W30" s="155" t="str">
        <f t="shared" ref="W30" si="55">IF(OR(V30="",V30="-"),"-",V30*$M30*SQRT(3)/1000)</f>
        <v>-</v>
      </c>
      <c r="X30" s="155" t="s">
        <v>0</v>
      </c>
      <c r="Y30" s="155" t="str">
        <f t="shared" ref="Y30" si="56">IF(OR(X30="",X30="-"),"-",X30*$M30*SQRT(3)/1000)</f>
        <v>-</v>
      </c>
      <c r="Z30" s="155" t="s">
        <v>0</v>
      </c>
      <c r="AA30" s="155" t="str">
        <f t="shared" ref="AA30" si="57">IF(OR(Z30="",Z30="-"),"-",Z30*$M30*SQRT(3)/1000)</f>
        <v>-</v>
      </c>
      <c r="AB30" s="155" t="s">
        <v>0</v>
      </c>
      <c r="AC30" s="155" t="str">
        <f t="shared" ref="AC30" si="58">IF(OR(AB30="",AB30="-"),"-",AB30*$M30*SQRT(3)/1000)</f>
        <v>-</v>
      </c>
      <c r="AD30" s="155" t="s">
        <v>0</v>
      </c>
      <c r="AE30" s="195" t="str">
        <f t="shared" ref="AE30" si="59">IF(OR(AD30="",AD30="-"),"-",AD30*$M30*SQRT(3)/1000)</f>
        <v>-</v>
      </c>
      <c r="AF30" s="155" t="s">
        <v>0</v>
      </c>
      <c r="AG30" s="155" t="s">
        <v>0</v>
      </c>
      <c r="AH30" s="155">
        <v>1470.2</v>
      </c>
      <c r="AI30" s="155" t="s">
        <v>0</v>
      </c>
      <c r="AJ30" s="175" t="s">
        <v>0</v>
      </c>
      <c r="AK30" s="155" t="s">
        <v>0</v>
      </c>
      <c r="AL30" s="175" t="s">
        <v>0</v>
      </c>
      <c r="AM30" s="155" t="s">
        <v>0</v>
      </c>
      <c r="AN30" s="175" t="s">
        <v>0</v>
      </c>
      <c r="AO30" s="155" t="s">
        <v>0</v>
      </c>
      <c r="AP30" s="155" t="s">
        <v>0</v>
      </c>
      <c r="AQ30" s="175" t="s">
        <v>0</v>
      </c>
      <c r="AR30" s="155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30" s="155" t="str">
        <f t="shared" ref="AS30" si="60">IF(OR(AR30="",AR30="-"),"-",AR30*$M30*SQRT(3)/1000)</f>
        <v>-</v>
      </c>
      <c r="AT30" s="155">
        <f>IF(RIGHT(TKA[[#This Row],[Device type]],7)="Winding","-",TKA[[#This Row],[Cont Winter MVA]])</f>
        <v>19.644717734266511</v>
      </c>
      <c r="AU30" s="155" t="str">
        <f>IF(RIGHT(TKA[[#This Row],[Device type]],7)="Winding","-",TKA[[#This Row],[Cont Shoulder MVA]])</f>
        <v>-</v>
      </c>
      <c r="AV30" s="155">
        <f>IF(RIGHT(TKA[[#This Row],[Device type]],7)="Winding","-",TKA[[#This Row],[Cont Summer MVA]])</f>
        <v>14.681436408284609</v>
      </c>
      <c r="AW30" s="155" t="str">
        <f>TKA[[#This Row],[24 Hr Winter MVA]]</f>
        <v>-</v>
      </c>
      <c r="AX30" s="155" t="str">
        <f>TKA[[#This Row],[24 Hr Summer MVA]]</f>
        <v>-</v>
      </c>
      <c r="AY30" s="155" t="str">
        <f>TKA[[#This Row],[Forwards MVA]]</f>
        <v>-</v>
      </c>
      <c r="AZ30" s="155" t="str">
        <f>TKA[[#This Row],[Relay MVA]]</f>
        <v>-</v>
      </c>
      <c r="BA30" s="155" t="str">
        <f>TKA[[#This Row],[CT MVA]]</f>
        <v>-</v>
      </c>
      <c r="BB30" s="155" t="str">
        <f>TKA[[#This Row],[Derating MVA]]</f>
        <v>-</v>
      </c>
      <c r="BC30" s="155" t="str">
        <f>TKA[[#This Row],[Station/Feeder]]&amp;TKA[[#This Row],[Lowest MVA]]</f>
        <v>SBT_33kV14.6814364082846</v>
      </c>
      <c r="BD30" s="155" t="str">
        <f>CONCATENATE(TKA[[#This Row],[Supply Level]],TKA[[#This Row],[Station/Feeder]],TKA[[#This Row],[Voltage]],TKA[[#This Row],[Lowest A-No PTX]])</f>
        <v>SubTransmissionSBT_33kV33256.858523103439</v>
      </c>
      <c r="BE30" s="155" t="str">
        <f>CONCATENATE(TKA[[#This Row],[Supply Level]],TKA[[#This Row],[Station/Feeder]],TKA[[#This Row],[Voltage]],TKA[[#This Row],[Lowest A-PTX]])</f>
        <v>SubTransmissionSBT_33kV33256.858523103439</v>
      </c>
      <c r="BF30" s="155">
        <f>IF(MIN(TKA[[#This Row],[Summ Cont Winter A]]:TKA[[#This Row],[Cable Derating]])=0,"",MIN(TKA[[#This Row],[Summ Cont Winter A]]:TKA[[#This Row],[Cable Derating]]))</f>
        <v>14.681436408284609</v>
      </c>
      <c r="BG30" s="155">
        <f>IFERROR(TKA[[#This Row],[Lowest MVA]]*1000/(TKA[[#This Row],[Voltage]]*SQRT(3)),"")</f>
        <v>256.85852310343915</v>
      </c>
      <c r="BH30" s="9">
        <f t="shared" si="0"/>
        <v>256.85852310343915</v>
      </c>
      <c r="BI30" s="155" t="str">
        <f>TKA[[#This Row],[From]]</f>
        <v>Pole 24021</v>
      </c>
      <c r="BJ30" s="155" t="str">
        <f>TKA[[#This Row],[To]]</f>
        <v>M11 T-off</v>
      </c>
      <c r="BK30" s="19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Line-DOG</v>
      </c>
      <c r="BL30" s="155">
        <f>TKA[[#This Row],[Voltage]]</f>
        <v>33</v>
      </c>
    </row>
    <row r="31" spans="1:64" s="1" customFormat="1" ht="15" customHeight="1" x14ac:dyDescent="0.25">
      <c r="A31" s="168" t="str">
        <f>CONCATENATE(TKA[[#This Row],[Supply Level]],TKA[[#This Row],[Station/Feeder]],TKA[[#This Row],[Voltage]])</f>
        <v>SubTransmissionTKA_M1133</v>
      </c>
      <c r="B31" s="168" t="str">
        <f>CONCATENATE(TKA[[#This Row],[Supply Level]],TKA[[#This Row],[Station/Feeder]],TKA[[#This Row],[Equipment ID]],TKA[[#This Row],[Voltage]],TKA[[#This Row],[Device type]])</f>
        <v>SubTransmissionTKA_M11DOG33-</v>
      </c>
      <c r="C31" s="168" t="s">
        <v>1245</v>
      </c>
      <c r="D31" s="118" t="s">
        <v>84</v>
      </c>
      <c r="E31" s="49" t="s">
        <v>384</v>
      </c>
      <c r="F31" s="49" t="s">
        <v>387</v>
      </c>
      <c r="G31" s="190">
        <v>1</v>
      </c>
      <c r="H31" s="45" t="s">
        <v>1289</v>
      </c>
      <c r="I31" s="45" t="s">
        <v>318</v>
      </c>
      <c r="J31" s="45" t="s">
        <v>69</v>
      </c>
      <c r="K31" s="45" t="s">
        <v>0</v>
      </c>
      <c r="L31" s="45" t="s">
        <v>0</v>
      </c>
      <c r="M31" s="119">
        <v>33</v>
      </c>
      <c r="N31" s="29">
        <v>343.69342642524197</v>
      </c>
      <c r="O31" s="29">
        <f t="shared" ref="O31" si="61">IF(OR(N31="",N31="-"),"-",N31*$M31*SQRT(3)/1000)</f>
        <v>19.644717734266511</v>
      </c>
      <c r="P31" s="29" t="s">
        <v>0</v>
      </c>
      <c r="Q31" s="29" t="str">
        <f t="shared" ref="Q31" si="62">IF(OR(P31="",P31="-"),"-",P31*$M31*SQRT(3)/1000)</f>
        <v>-</v>
      </c>
      <c r="R31" s="29">
        <v>256.85852310343915</v>
      </c>
      <c r="S31" s="29">
        <f t="shared" ref="S31" si="63">IF(OR(R31="",R31="-"),"-",R31*$M31*SQRT(3)/1000)</f>
        <v>14.681436408284609</v>
      </c>
      <c r="T31" s="29" t="s">
        <v>0</v>
      </c>
      <c r="U31" s="29" t="str">
        <f t="shared" ref="U31" si="64">IF(OR(T31="",T31="-"),"-",T31*$M31*SQRT(3)/1000)</f>
        <v>-</v>
      </c>
      <c r="V31" s="29" t="s">
        <v>0</v>
      </c>
      <c r="W31" s="29" t="str">
        <f t="shared" ref="W31" si="65">IF(OR(V31="",V31="-"),"-",V31*$M31*SQRT(3)/1000)</f>
        <v>-</v>
      </c>
      <c r="X31" s="29" t="s">
        <v>0</v>
      </c>
      <c r="Y31" s="29" t="str">
        <f t="shared" ref="Y31" si="66">IF(OR(X31="",X31="-"),"-",X31*$M31*SQRT(3)/1000)</f>
        <v>-</v>
      </c>
      <c r="Z31" s="29" t="s">
        <v>0</v>
      </c>
      <c r="AA31" s="29" t="str">
        <f t="shared" ref="AA31" si="67">IF(OR(Z31="",Z31="-"),"-",Z31*$M31*SQRT(3)/1000)</f>
        <v>-</v>
      </c>
      <c r="AB31" s="29" t="s">
        <v>0</v>
      </c>
      <c r="AC31" s="29" t="str">
        <f t="shared" ref="AC31" si="68">IF(OR(AB31="",AB31="-"),"-",AB31*$M31*SQRT(3)/1000)</f>
        <v>-</v>
      </c>
      <c r="AD31" s="29" t="s">
        <v>0</v>
      </c>
      <c r="AE31" s="169" t="str">
        <f t="shared" ref="AE31" si="69">IF(OR(AD31="",AD31="-"),"-",AD31*$M31*SQRT(3)/1000)</f>
        <v>-</v>
      </c>
      <c r="AF31" s="29" t="s">
        <v>0</v>
      </c>
      <c r="AG31" s="29" t="s">
        <v>0</v>
      </c>
      <c r="AH31" s="29">
        <v>8.8000000000000007</v>
      </c>
      <c r="AI31" s="29" t="s">
        <v>0</v>
      </c>
      <c r="AJ31" s="32" t="s">
        <v>0</v>
      </c>
      <c r="AK31" s="29" t="s">
        <v>0</v>
      </c>
      <c r="AL31" s="32" t="s">
        <v>0</v>
      </c>
      <c r="AM31" s="29" t="s">
        <v>0</v>
      </c>
      <c r="AN31" s="32" t="s">
        <v>0</v>
      </c>
      <c r="AO31" s="29" t="s">
        <v>0</v>
      </c>
      <c r="AP31" s="29" t="s">
        <v>0</v>
      </c>
      <c r="AQ31" s="32" t="s">
        <v>0</v>
      </c>
      <c r="AR31" s="2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31" s="29" t="str">
        <f t="shared" ref="AS31" si="70">IF(OR(AR31="",AR31="-"),"-",AR31*$M31*SQRT(3)/1000)</f>
        <v>-</v>
      </c>
      <c r="AT31" s="29">
        <f>IF(RIGHT(TKA[[#This Row],[Device type]],7)="Winding","-",TKA[[#This Row],[Cont Winter MVA]])</f>
        <v>19.644717734266511</v>
      </c>
      <c r="AU31" s="29" t="str">
        <f>IF(RIGHT(TKA[[#This Row],[Device type]],7)="Winding","-",TKA[[#This Row],[Cont Shoulder MVA]])</f>
        <v>-</v>
      </c>
      <c r="AV31" s="29">
        <f>IF(RIGHT(TKA[[#This Row],[Device type]],7)="Winding","-",TKA[[#This Row],[Cont Summer MVA]])</f>
        <v>14.681436408284609</v>
      </c>
      <c r="AW31" s="29" t="str">
        <f>TKA[[#This Row],[24 Hr Winter MVA]]</f>
        <v>-</v>
      </c>
      <c r="AX31" s="29" t="str">
        <f>TKA[[#This Row],[24 Hr Summer MVA]]</f>
        <v>-</v>
      </c>
      <c r="AY31" s="29" t="str">
        <f>TKA[[#This Row],[Forwards MVA]]</f>
        <v>-</v>
      </c>
      <c r="AZ31" s="29" t="str">
        <f>TKA[[#This Row],[Relay MVA]]</f>
        <v>-</v>
      </c>
      <c r="BA31" s="29" t="str">
        <f>TKA[[#This Row],[CT MVA]]</f>
        <v>-</v>
      </c>
      <c r="BB31" s="29" t="str">
        <f>TKA[[#This Row],[Derating MVA]]</f>
        <v>-</v>
      </c>
      <c r="BC31" s="29" t="str">
        <f>TKA[[#This Row],[Station/Feeder]]&amp;TKA[[#This Row],[Lowest MVA]]</f>
        <v>TKA_M1114.6814364082846</v>
      </c>
      <c r="BD31" s="29" t="str">
        <f>CONCATENATE(TKA[[#This Row],[Supply Level]],TKA[[#This Row],[Station/Feeder]],TKA[[#This Row],[Voltage]],TKA[[#This Row],[Lowest A-No PTX]])</f>
        <v>SubTransmissionTKA_M1133256.858523103439</v>
      </c>
      <c r="BE31" s="29" t="str">
        <f>CONCATENATE(TKA[[#This Row],[Supply Level]],TKA[[#This Row],[Station/Feeder]],TKA[[#This Row],[Voltage]],TKA[[#This Row],[Lowest A-PTX]])</f>
        <v>SubTransmissionTKA_M1133256.858523103439</v>
      </c>
      <c r="BF31" s="29">
        <f>IF(MIN(TKA[[#This Row],[Summ Cont Winter A]]:TKA[[#This Row],[Cable Derating]])=0,"",MIN(TKA[[#This Row],[Summ Cont Winter A]]:TKA[[#This Row],[Cable Derating]]))</f>
        <v>14.681436408284609</v>
      </c>
      <c r="BG31" s="29">
        <f>IFERROR(TKA[[#This Row],[Lowest MVA]]*1000/(TKA[[#This Row],[Voltage]]*SQRT(3)),"")</f>
        <v>256.85852310343915</v>
      </c>
      <c r="BH31" s="9">
        <f t="shared" si="0"/>
        <v>256.85852310343915</v>
      </c>
      <c r="BI31" s="29" t="str">
        <f>TKA[[#This Row],[From]]</f>
        <v>M11 T-off</v>
      </c>
      <c r="BJ31" s="29" t="str">
        <f>TKA[[#This Row],[To]]</f>
        <v>Pole 18992</v>
      </c>
      <c r="BK31" s="45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Line-DOG</v>
      </c>
      <c r="BL31" s="29">
        <f>TKA[[#This Row],[Voltage]]</f>
        <v>33</v>
      </c>
    </row>
    <row r="32" spans="1:64" s="1" customFormat="1" ht="15" customHeight="1" x14ac:dyDescent="0.25">
      <c r="A32" s="6" t="str">
        <f>CONCATENATE(TKA[[#This Row],[Supply Level]],TKA[[#This Row],[Station/Feeder]],TKA[[#This Row],[Voltage]])</f>
        <v>SubTransmissionTKA_M1133</v>
      </c>
      <c r="B32" s="6" t="str">
        <f>CONCATENATE(TKA[[#This Row],[Supply Level]],TKA[[#This Row],[Station/Feeder]],TKA[[#This Row],[Equipment ID]],TKA[[#This Row],[Voltage]],TKA[[#This Row],[Device type]])</f>
        <v>SubTransmissionTKA_M11M16533-</v>
      </c>
      <c r="C32" s="6" t="s">
        <v>1245</v>
      </c>
      <c r="D32" s="11" t="s">
        <v>84</v>
      </c>
      <c r="E32" s="7" t="s">
        <v>384</v>
      </c>
      <c r="F32" s="7" t="s">
        <v>387</v>
      </c>
      <c r="G32" s="56">
        <v>2</v>
      </c>
      <c r="H32" s="46" t="s">
        <v>273</v>
      </c>
      <c r="I32" s="46" t="s">
        <v>385</v>
      </c>
      <c r="J32" s="46" t="s">
        <v>240</v>
      </c>
      <c r="K32" s="46" t="s">
        <v>0</v>
      </c>
      <c r="L32" s="46" t="s">
        <v>0</v>
      </c>
      <c r="M32" s="57">
        <v>33</v>
      </c>
      <c r="N32" s="9" t="s">
        <v>0</v>
      </c>
      <c r="O32" s="9" t="str">
        <f t="shared" si="31"/>
        <v>-</v>
      </c>
      <c r="P32" s="9" t="s">
        <v>0</v>
      </c>
      <c r="Q32" s="9" t="str">
        <f t="shared" si="32"/>
        <v>-</v>
      </c>
      <c r="R32" s="9" t="s">
        <v>0</v>
      </c>
      <c r="S32" s="9" t="str">
        <f t="shared" si="33"/>
        <v>-</v>
      </c>
      <c r="T32" s="9" t="s">
        <v>0</v>
      </c>
      <c r="U32" s="9" t="str">
        <f t="shared" si="34"/>
        <v>-</v>
      </c>
      <c r="V32" s="9" t="s">
        <v>0</v>
      </c>
      <c r="W32" s="9" t="str">
        <f t="shared" si="35"/>
        <v>-</v>
      </c>
      <c r="X32" s="9" t="s">
        <v>0</v>
      </c>
      <c r="Y32" s="9" t="str">
        <f t="shared" si="36"/>
        <v>-</v>
      </c>
      <c r="Z32" s="9" t="s">
        <v>0</v>
      </c>
      <c r="AA32" s="9" t="str">
        <f t="shared" si="37"/>
        <v>-</v>
      </c>
      <c r="AB32" s="9" t="s">
        <v>0</v>
      </c>
      <c r="AC32" s="9" t="str">
        <f t="shared" si="38"/>
        <v>-</v>
      </c>
      <c r="AD32" s="9" t="s">
        <v>0</v>
      </c>
      <c r="AE32" s="12" t="str">
        <f t="shared" si="39"/>
        <v>-</v>
      </c>
      <c r="AF32" s="9" t="s">
        <v>0</v>
      </c>
      <c r="AG32" s="9" t="s">
        <v>0</v>
      </c>
      <c r="AH32" s="9" t="s">
        <v>0</v>
      </c>
      <c r="AI32" s="9" t="s">
        <v>0</v>
      </c>
      <c r="AJ32" s="43" t="s">
        <v>0</v>
      </c>
      <c r="AK32" s="9" t="s">
        <v>0</v>
      </c>
      <c r="AL32" s="43" t="s">
        <v>0</v>
      </c>
      <c r="AM32" s="9" t="s">
        <v>0</v>
      </c>
      <c r="AN32" s="43" t="s">
        <v>0</v>
      </c>
      <c r="AO32" s="9" t="s">
        <v>0</v>
      </c>
      <c r="AP32" s="9" t="s">
        <v>0</v>
      </c>
      <c r="AQ32" s="43" t="s">
        <v>0</v>
      </c>
      <c r="AR32" s="2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32" s="9" t="str">
        <f t="shared" si="40"/>
        <v>-</v>
      </c>
      <c r="AT32" s="9" t="str">
        <f>IF(RIGHT(TKA[[#This Row],[Device type]],7)="Winding","-",TKA[[#This Row],[Cont Winter MVA]])</f>
        <v>-</v>
      </c>
      <c r="AU32" s="9" t="str">
        <f>IF(RIGHT(TKA[[#This Row],[Device type]],7)="Winding","-",TKA[[#This Row],[Cont Shoulder MVA]])</f>
        <v>-</v>
      </c>
      <c r="AV32" s="9" t="str">
        <f>IF(RIGHT(TKA[[#This Row],[Device type]],7)="Winding","-",TKA[[#This Row],[Cont Summer MVA]])</f>
        <v>-</v>
      </c>
      <c r="AW32" s="9" t="str">
        <f>TKA[[#This Row],[24 Hr Winter MVA]]</f>
        <v>-</v>
      </c>
      <c r="AX32" s="9" t="str">
        <f>TKA[[#This Row],[24 Hr Summer MVA]]</f>
        <v>-</v>
      </c>
      <c r="AY32" s="9" t="str">
        <f>TKA[[#This Row],[Forwards MVA]]</f>
        <v>-</v>
      </c>
      <c r="AZ32" s="9" t="str">
        <f>TKA[[#This Row],[Relay MVA]]</f>
        <v>-</v>
      </c>
      <c r="BA32" s="9" t="str">
        <f>TKA[[#This Row],[CT MVA]]</f>
        <v>-</v>
      </c>
      <c r="BB32" s="9" t="str">
        <f>TKA[[#This Row],[Derating MVA]]</f>
        <v>-</v>
      </c>
      <c r="BC32" s="9" t="str">
        <f>TKA[[#This Row],[Station/Feeder]]&amp;TKA[[#This Row],[Lowest MVA]]</f>
        <v>TKA_M11</v>
      </c>
      <c r="BD32" s="9" t="str">
        <f>CONCATENATE(TKA[[#This Row],[Supply Level]],TKA[[#This Row],[Station/Feeder]],TKA[[#This Row],[Voltage]],TKA[[#This Row],[Lowest A-No PTX]])</f>
        <v>SubTransmissionTKA_M1133</v>
      </c>
      <c r="BE32" s="9" t="str">
        <f>CONCATENATE(TKA[[#This Row],[Supply Level]],TKA[[#This Row],[Station/Feeder]],TKA[[#This Row],[Voltage]],TKA[[#This Row],[Lowest A-PTX]])</f>
        <v>SubTransmissionTKA_M1133</v>
      </c>
      <c r="BF32" s="9" t="str">
        <f>IF(MIN(TKA[[#This Row],[Summ Cont Winter A]]:TKA[[#This Row],[Cable Derating]])=0,"",MIN(TKA[[#This Row],[Summ Cont Winter A]]:TKA[[#This Row],[Cable Derating]]))</f>
        <v/>
      </c>
      <c r="BG32" s="9" t="str">
        <f>IFERROR(TKA[[#This Row],[Lowest MVA]]*1000/(TKA[[#This Row],[Voltage]]*SQRT(3)),"")</f>
        <v/>
      </c>
      <c r="BH32" s="9" t="str">
        <f t="shared" si="0"/>
        <v/>
      </c>
      <c r="BI32" s="9" t="str">
        <f>TKA[[#This Row],[From]]</f>
        <v>M11 T-off</v>
      </c>
      <c r="BJ32" s="9" t="str">
        <f>TKA[[#This Row],[To]]</f>
        <v>Pole 18992</v>
      </c>
      <c r="BK32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ABS-M165</v>
      </c>
      <c r="BL32" s="9">
        <f>TKA[[#This Row],[Voltage]]</f>
        <v>33</v>
      </c>
    </row>
    <row r="33" spans="1:64" s="1" customFormat="1" ht="15" customHeight="1" x14ac:dyDescent="0.25">
      <c r="A33" s="6" t="str">
        <f>CONCATENATE(TKA[[#This Row],[Supply Level]],TKA[[#This Row],[Station/Feeder]],TKA[[#This Row],[Voltage]])</f>
        <v>SubTransmissionTKA_M1133</v>
      </c>
      <c r="B33" s="6" t="str">
        <f>CONCATENATE(TKA[[#This Row],[Supply Level]],TKA[[#This Row],[Station/Feeder]],TKA[[#This Row],[Equipment ID]],TKA[[#This Row],[Voltage]],TKA[[#This Row],[Device type]])</f>
        <v>SubTransmissionTKA_M11TKA_M11-M1133Protection</v>
      </c>
      <c r="C33" s="6" t="s">
        <v>1245</v>
      </c>
      <c r="D33" s="11" t="s">
        <v>84</v>
      </c>
      <c r="E33" s="7" t="s">
        <v>384</v>
      </c>
      <c r="F33" s="7" t="s">
        <v>387</v>
      </c>
      <c r="G33" s="56">
        <v>3</v>
      </c>
      <c r="H33" s="46" t="s">
        <v>343</v>
      </c>
      <c r="I33" s="46" t="s">
        <v>2593</v>
      </c>
      <c r="J33" s="46" t="s">
        <v>394</v>
      </c>
      <c r="K33" s="7" t="s">
        <v>414</v>
      </c>
      <c r="L33" s="7" t="s">
        <v>1423</v>
      </c>
      <c r="M33" s="57">
        <v>33</v>
      </c>
      <c r="N33" s="9">
        <v>560</v>
      </c>
      <c r="O33" s="9">
        <f>IF(OR(N33="",N33="-"),"-",N33*$M33*SQRT(3)/1000)</f>
        <v>32.00829892387285</v>
      </c>
      <c r="P33" s="9">
        <v>560</v>
      </c>
      <c r="Q33" s="9">
        <f>IF(OR(P33="",P33="-"),"-",P33*$M33*SQRT(3)/1000)</f>
        <v>32.00829892387285</v>
      </c>
      <c r="R33" s="9">
        <v>560</v>
      </c>
      <c r="S33" s="9">
        <f>IF(OR(R33="",R33="-"),"-",R33*$M33*SQRT(3)/1000)</f>
        <v>32.00829892387285</v>
      </c>
      <c r="T33" s="9" t="s">
        <v>0</v>
      </c>
      <c r="U33" s="9" t="str">
        <f>IF(OR(T33="",T33="-"),"-",T33*$M33*SQRT(3)/1000)</f>
        <v>-</v>
      </c>
      <c r="V33" s="9" t="s">
        <v>0</v>
      </c>
      <c r="W33" s="9" t="str">
        <f>IF(OR(V33="",V33="-"),"-",V33*$M33*SQRT(3)/1000)</f>
        <v>-</v>
      </c>
      <c r="X33" s="9" t="s">
        <v>0</v>
      </c>
      <c r="Y33" s="9" t="str">
        <f>IF(OR(X33="",X33="-"),"-",X33*$M33*SQRT(3)/1000)</f>
        <v>-</v>
      </c>
      <c r="Z33" s="9" t="s">
        <v>0</v>
      </c>
      <c r="AA33" s="9" t="str">
        <f>IF(OR(Z33="",Z33="-"),"-",Z33*$M33*SQRT(3)/1000)</f>
        <v>-</v>
      </c>
      <c r="AB33" s="9" t="s">
        <v>0</v>
      </c>
      <c r="AC33" s="9" t="str">
        <f>IF(OR(AB33="",AB33="-"),"-",AB33*$M33*SQRT(3)/1000)</f>
        <v>-</v>
      </c>
      <c r="AD33" s="9" t="s">
        <v>0</v>
      </c>
      <c r="AE33" s="12" t="str">
        <f>IF(OR(AD33="",AD33="-"),"-",AD33*$M33*SQRT(3)/1000)</f>
        <v>-</v>
      </c>
      <c r="AF33" s="9" t="s">
        <v>0</v>
      </c>
      <c r="AG33" s="9" t="s">
        <v>0</v>
      </c>
      <c r="AH33" s="9" t="s">
        <v>0</v>
      </c>
      <c r="AI33" s="9" t="s">
        <v>0</v>
      </c>
      <c r="AJ33" s="43" t="s">
        <v>0</v>
      </c>
      <c r="AK33" s="9" t="s">
        <v>0</v>
      </c>
      <c r="AL33" s="43" t="s">
        <v>0</v>
      </c>
      <c r="AM33" s="9" t="s">
        <v>0</v>
      </c>
      <c r="AN33" s="43" t="s">
        <v>0</v>
      </c>
      <c r="AO33" s="9" t="s">
        <v>0</v>
      </c>
      <c r="AP33" s="9" t="s">
        <v>0</v>
      </c>
      <c r="AQ33" s="43" t="s">
        <v>0</v>
      </c>
      <c r="AR33" s="2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33" s="9" t="str">
        <f>IF(OR(AR33="",AR33="-"),"-",AR33*$M33*SQRT(3)/1000)</f>
        <v>-</v>
      </c>
      <c r="AT33" s="9">
        <f>IF(RIGHT(TKA[[#This Row],[Device type]],7)="Winding","-",TKA[[#This Row],[Cont Winter MVA]])</f>
        <v>32.00829892387285</v>
      </c>
      <c r="AU33" s="9">
        <f>IF(RIGHT(TKA[[#This Row],[Device type]],7)="Winding","-",TKA[[#This Row],[Cont Shoulder MVA]])</f>
        <v>32.00829892387285</v>
      </c>
      <c r="AV33" s="9">
        <f>IF(RIGHT(TKA[[#This Row],[Device type]],7)="Winding","-",TKA[[#This Row],[Cont Summer MVA]])</f>
        <v>32.00829892387285</v>
      </c>
      <c r="AW33" s="9" t="str">
        <f>TKA[[#This Row],[24 Hr Winter MVA]]</f>
        <v>-</v>
      </c>
      <c r="AX33" s="9" t="str">
        <f>TKA[[#This Row],[24 Hr Summer MVA]]</f>
        <v>-</v>
      </c>
      <c r="AY33" s="9" t="str">
        <f>TKA[[#This Row],[Forwards MVA]]</f>
        <v>-</v>
      </c>
      <c r="AZ33" s="9" t="str">
        <f>TKA[[#This Row],[Relay MVA]]</f>
        <v>-</v>
      </c>
      <c r="BA33" s="9" t="str">
        <f>TKA[[#This Row],[CT MVA]]</f>
        <v>-</v>
      </c>
      <c r="BB33" s="9" t="str">
        <f>TKA[[#This Row],[Derating MVA]]</f>
        <v>-</v>
      </c>
      <c r="BC33" s="9" t="str">
        <f>TKA[[#This Row],[Station/Feeder]]&amp;TKA[[#This Row],[Lowest MVA]]</f>
        <v>TKA_M1132.0082989238729</v>
      </c>
      <c r="BD33" s="9" t="str">
        <f>CONCATENATE(TKA[[#This Row],[Supply Level]],TKA[[#This Row],[Station/Feeder]],TKA[[#This Row],[Voltage]],TKA[[#This Row],[Lowest A-No PTX]])</f>
        <v>SubTransmissionTKA_M1133560</v>
      </c>
      <c r="BE33" s="9" t="str">
        <f>CONCATENATE(TKA[[#This Row],[Supply Level]],TKA[[#This Row],[Station/Feeder]],TKA[[#This Row],[Voltage]],TKA[[#This Row],[Lowest A-PTX]])</f>
        <v>SubTransmissionTKA_M1133560</v>
      </c>
      <c r="BF33" s="9">
        <f>IF(MIN(TKA[[#This Row],[Summ Cont Winter A]]:TKA[[#This Row],[Cable Derating]])=0,"",MIN(TKA[[#This Row],[Summ Cont Winter A]]:TKA[[#This Row],[Cable Derating]]))</f>
        <v>32.00829892387285</v>
      </c>
      <c r="BG33" s="9">
        <f>IFERROR(TKA[[#This Row],[Lowest MVA]]*1000/(TKA[[#This Row],[Voltage]]*SQRT(3)),"")</f>
        <v>560</v>
      </c>
      <c r="BH33" s="9">
        <f t="shared" si="0"/>
        <v>560</v>
      </c>
      <c r="BI33" s="9" t="str">
        <f>TKA[[#This Row],[From]]</f>
        <v>M11 T-off</v>
      </c>
      <c r="BJ33" s="9" t="str">
        <f>TKA[[#This Row],[To]]</f>
        <v>Pole 18992</v>
      </c>
      <c r="BK33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Recloser-TKA_M11-M11-Protection</v>
      </c>
      <c r="BL33" s="9">
        <f>TKA[[#This Row],[Voltage]]</f>
        <v>33</v>
      </c>
    </row>
    <row r="34" spans="1:64" s="1" customFormat="1" ht="15" customHeight="1" x14ac:dyDescent="0.25">
      <c r="A34" s="6" t="str">
        <f>CONCATENATE(TKA[[#This Row],[Supply Level]],TKA[[#This Row],[Station/Feeder]],TKA[[#This Row],[Voltage]])</f>
        <v>SubTransmissionTKA_M1133</v>
      </c>
      <c r="B34" s="6" t="str">
        <f>CONCATENATE(TKA[[#This Row],[Supply Level]],TKA[[#This Row],[Station/Feeder]],TKA[[#This Row],[Equipment ID]],TKA[[#This Row],[Voltage]],TKA[[#This Row],[Device type]])</f>
        <v>SubTransmissionTKA_M11M1233-</v>
      </c>
      <c r="C34" s="6" t="s">
        <v>1245</v>
      </c>
      <c r="D34" s="11" t="s">
        <v>84</v>
      </c>
      <c r="E34" s="7" t="s">
        <v>384</v>
      </c>
      <c r="F34" s="7" t="s">
        <v>387</v>
      </c>
      <c r="G34" s="56">
        <v>4</v>
      </c>
      <c r="H34" s="46" t="s">
        <v>273</v>
      </c>
      <c r="I34" s="46" t="s">
        <v>386</v>
      </c>
      <c r="J34" s="46" t="s">
        <v>240</v>
      </c>
      <c r="K34" s="7" t="s">
        <v>0</v>
      </c>
      <c r="L34" s="7" t="s">
        <v>0</v>
      </c>
      <c r="M34" s="57">
        <v>33</v>
      </c>
      <c r="N34" s="9" t="s">
        <v>0</v>
      </c>
      <c r="O34" s="9" t="str">
        <f t="shared" si="31"/>
        <v>-</v>
      </c>
      <c r="P34" s="9" t="s">
        <v>0</v>
      </c>
      <c r="Q34" s="9" t="str">
        <f t="shared" si="32"/>
        <v>-</v>
      </c>
      <c r="R34" s="9" t="s">
        <v>0</v>
      </c>
      <c r="S34" s="9" t="str">
        <f t="shared" si="33"/>
        <v>-</v>
      </c>
      <c r="T34" s="9" t="s">
        <v>0</v>
      </c>
      <c r="U34" s="9" t="str">
        <f t="shared" si="34"/>
        <v>-</v>
      </c>
      <c r="V34" s="9" t="s">
        <v>0</v>
      </c>
      <c r="W34" s="9" t="str">
        <f t="shared" si="35"/>
        <v>-</v>
      </c>
      <c r="X34" s="9" t="s">
        <v>0</v>
      </c>
      <c r="Y34" s="9" t="str">
        <f t="shared" si="36"/>
        <v>-</v>
      </c>
      <c r="Z34" s="9" t="s">
        <v>0</v>
      </c>
      <c r="AA34" s="9" t="str">
        <f t="shared" si="37"/>
        <v>-</v>
      </c>
      <c r="AB34" s="9" t="s">
        <v>0</v>
      </c>
      <c r="AC34" s="9" t="str">
        <f t="shared" si="38"/>
        <v>-</v>
      </c>
      <c r="AD34" s="9" t="s">
        <v>0</v>
      </c>
      <c r="AE34" s="12" t="str">
        <f t="shared" si="39"/>
        <v>-</v>
      </c>
      <c r="AF34" s="9" t="s">
        <v>0</v>
      </c>
      <c r="AG34" s="9" t="s">
        <v>0</v>
      </c>
      <c r="AH34" s="9" t="s">
        <v>0</v>
      </c>
      <c r="AI34" s="9" t="s">
        <v>0</v>
      </c>
      <c r="AJ34" s="43" t="s">
        <v>0</v>
      </c>
      <c r="AK34" s="9" t="s">
        <v>0</v>
      </c>
      <c r="AL34" s="43" t="s">
        <v>0</v>
      </c>
      <c r="AM34" s="9" t="s">
        <v>0</v>
      </c>
      <c r="AN34" s="43" t="s">
        <v>0</v>
      </c>
      <c r="AO34" s="9" t="s">
        <v>0</v>
      </c>
      <c r="AP34" s="9" t="s">
        <v>0</v>
      </c>
      <c r="AQ34" s="43" t="s">
        <v>0</v>
      </c>
      <c r="AR34" s="2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34" s="9" t="str">
        <f t="shared" si="40"/>
        <v>-</v>
      </c>
      <c r="AT34" s="9" t="str">
        <f>IF(RIGHT(TKA[[#This Row],[Device type]],7)="Winding","-",TKA[[#This Row],[Cont Winter MVA]])</f>
        <v>-</v>
      </c>
      <c r="AU34" s="9" t="str">
        <f>IF(RIGHT(TKA[[#This Row],[Device type]],7)="Winding","-",TKA[[#This Row],[Cont Shoulder MVA]])</f>
        <v>-</v>
      </c>
      <c r="AV34" s="9" t="str">
        <f>IF(RIGHT(TKA[[#This Row],[Device type]],7)="Winding","-",TKA[[#This Row],[Cont Summer MVA]])</f>
        <v>-</v>
      </c>
      <c r="AW34" s="9" t="str">
        <f>TKA[[#This Row],[24 Hr Winter MVA]]</f>
        <v>-</v>
      </c>
      <c r="AX34" s="9" t="str">
        <f>TKA[[#This Row],[24 Hr Summer MVA]]</f>
        <v>-</v>
      </c>
      <c r="AY34" s="9" t="str">
        <f>TKA[[#This Row],[Forwards MVA]]</f>
        <v>-</v>
      </c>
      <c r="AZ34" s="9" t="str">
        <f>TKA[[#This Row],[Relay MVA]]</f>
        <v>-</v>
      </c>
      <c r="BA34" s="9" t="str">
        <f>TKA[[#This Row],[CT MVA]]</f>
        <v>-</v>
      </c>
      <c r="BB34" s="9" t="str">
        <f>TKA[[#This Row],[Derating MVA]]</f>
        <v>-</v>
      </c>
      <c r="BC34" s="9" t="str">
        <f>TKA[[#This Row],[Station/Feeder]]&amp;TKA[[#This Row],[Lowest MVA]]</f>
        <v>TKA_M11</v>
      </c>
      <c r="BD34" s="9" t="str">
        <f>CONCATENATE(TKA[[#This Row],[Supply Level]],TKA[[#This Row],[Station/Feeder]],TKA[[#This Row],[Voltage]],TKA[[#This Row],[Lowest A-No PTX]])</f>
        <v>SubTransmissionTKA_M1133</v>
      </c>
      <c r="BE34" s="9" t="str">
        <f>CONCATENATE(TKA[[#This Row],[Supply Level]],TKA[[#This Row],[Station/Feeder]],TKA[[#This Row],[Voltage]],TKA[[#This Row],[Lowest A-PTX]])</f>
        <v>SubTransmissionTKA_M1133</v>
      </c>
      <c r="BF34" s="9" t="str">
        <f>IF(MIN(TKA[[#This Row],[Summ Cont Winter A]]:TKA[[#This Row],[Cable Derating]])=0,"",MIN(TKA[[#This Row],[Summ Cont Winter A]]:TKA[[#This Row],[Cable Derating]]))</f>
        <v/>
      </c>
      <c r="BG34" s="9" t="str">
        <f>IFERROR(TKA[[#This Row],[Lowest MVA]]*1000/(TKA[[#This Row],[Voltage]]*SQRT(3)),"")</f>
        <v/>
      </c>
      <c r="BH34" s="9" t="str">
        <f t="shared" si="0"/>
        <v/>
      </c>
      <c r="BI34" s="9" t="str">
        <f>TKA[[#This Row],[From]]</f>
        <v>M11 T-off</v>
      </c>
      <c r="BJ34" s="9" t="str">
        <f>TKA[[#This Row],[To]]</f>
        <v>Pole 18992</v>
      </c>
      <c r="BK34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ABS-M12</v>
      </c>
      <c r="BL34" s="9">
        <f>TKA[[#This Row],[Voltage]]</f>
        <v>33</v>
      </c>
    </row>
    <row r="35" spans="1:64" s="1" customFormat="1" ht="15" customHeight="1" x14ac:dyDescent="0.25">
      <c r="A35" s="6" t="str">
        <f>CONCATENATE(TKA[[#This Row],[Supply Level]],TKA[[#This Row],[Station/Feeder]],TKA[[#This Row],[Voltage]])</f>
        <v>SubTransmissionTKA_M1133</v>
      </c>
      <c r="B35" s="6" t="str">
        <f>CONCATENATE(TKA[[#This Row],[Supply Level]],TKA[[#This Row],[Station/Feeder]],TKA[[#This Row],[Equipment ID]],TKA[[#This Row],[Voltage]],TKA[[#This Row],[Device type]])</f>
        <v>SubTransmissionTKA_M113-70mm2 Cu33-</v>
      </c>
      <c r="C35" s="6" t="s">
        <v>1245</v>
      </c>
      <c r="D35" s="11" t="s">
        <v>84</v>
      </c>
      <c r="E35" s="7" t="s">
        <v>384</v>
      </c>
      <c r="F35" s="7" t="s">
        <v>387</v>
      </c>
      <c r="G35" s="56">
        <v>5</v>
      </c>
      <c r="H35" s="46" t="s">
        <v>273</v>
      </c>
      <c r="I35" s="46" t="s">
        <v>1416</v>
      </c>
      <c r="J35" s="46" t="s">
        <v>69</v>
      </c>
      <c r="K35" s="7" t="s">
        <v>0</v>
      </c>
      <c r="L35" s="7" t="s">
        <v>0</v>
      </c>
      <c r="M35" s="57">
        <v>33</v>
      </c>
      <c r="N35" s="9">
        <v>247</v>
      </c>
      <c r="O35" s="9">
        <f>IF(OR(N35="",N35="-"),"-",N35*$M35*SQRT(3)/1000)</f>
        <v>14.117946132493918</v>
      </c>
      <c r="P35" s="9">
        <v>247</v>
      </c>
      <c r="Q35" s="9">
        <f>IF(OR(P35="",P35="-"),"-",P35*$M35*SQRT(3)/1000)</f>
        <v>14.117946132493918</v>
      </c>
      <c r="R35" s="9">
        <v>247</v>
      </c>
      <c r="S35" s="9">
        <f>IF(OR(R35="",R35="-"),"-",R35*$M35*SQRT(3)/1000)</f>
        <v>14.117946132493918</v>
      </c>
      <c r="T35" s="9" t="s">
        <v>0</v>
      </c>
      <c r="U35" s="9" t="str">
        <f t="shared" ref="U35" si="71">IF(OR(T35="",T35="-"),"-",T35*$M35*SQRT(3)/1000)</f>
        <v>-</v>
      </c>
      <c r="V35" s="9" t="s">
        <v>0</v>
      </c>
      <c r="W35" s="9" t="str">
        <f t="shared" ref="W35" si="72">IF(OR(V35="",V35="-"),"-",V35*$M35*SQRT(3)/1000)</f>
        <v>-</v>
      </c>
      <c r="X35" s="9" t="s">
        <v>0</v>
      </c>
      <c r="Y35" s="9" t="str">
        <f t="shared" ref="Y35" si="73">IF(OR(X35="",X35="-"),"-",X35*$M35*SQRT(3)/1000)</f>
        <v>-</v>
      </c>
      <c r="Z35" s="9" t="s">
        <v>0</v>
      </c>
      <c r="AA35" s="9" t="str">
        <f t="shared" ref="AA35" si="74">IF(OR(Z35="",Z35="-"),"-",Z35*$M35*SQRT(3)/1000)</f>
        <v>-</v>
      </c>
      <c r="AB35" s="9" t="s">
        <v>0</v>
      </c>
      <c r="AC35" s="9" t="str">
        <f t="shared" ref="AC35" si="75">IF(OR(AB35="",AB35="-"),"-",AB35*$M35*SQRT(3)/1000)</f>
        <v>-</v>
      </c>
      <c r="AD35" s="9" t="s">
        <v>0</v>
      </c>
      <c r="AE35" s="12" t="str">
        <f t="shared" ref="AE35" si="76">IF(OR(AD35="",AD35="-"),"-",AD35*$M35*SQRT(3)/1000)</f>
        <v>-</v>
      </c>
      <c r="AF35" s="9" t="s">
        <v>0</v>
      </c>
      <c r="AG35" s="9" t="s">
        <v>0</v>
      </c>
      <c r="AH35" s="9">
        <v>8.4</v>
      </c>
      <c r="AI35" s="9" t="s">
        <v>0</v>
      </c>
      <c r="AJ35" s="43" t="s">
        <v>0</v>
      </c>
      <c r="AK35" s="9" t="s">
        <v>0</v>
      </c>
      <c r="AL35" s="43" t="s">
        <v>0</v>
      </c>
      <c r="AM35" s="9" t="s">
        <v>0</v>
      </c>
      <c r="AN35" s="43" t="s">
        <v>0</v>
      </c>
      <c r="AO35" s="9" t="s">
        <v>0</v>
      </c>
      <c r="AP35" s="9" t="s">
        <v>0</v>
      </c>
      <c r="AQ35" s="43" t="s">
        <v>0</v>
      </c>
      <c r="AR35" s="2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35" s="9" t="str">
        <f t="shared" ref="AS35" si="77">IF(OR(AR35="",AR35="-"),"-",AR35*$M35*SQRT(3)/1000)</f>
        <v>-</v>
      </c>
      <c r="AT35" s="9">
        <f>IF(RIGHT(TKA[[#This Row],[Device type]],7)="Winding","-",TKA[[#This Row],[Cont Winter MVA]])</f>
        <v>14.117946132493918</v>
      </c>
      <c r="AU35" s="9">
        <f>IF(RIGHT(TKA[[#This Row],[Device type]],7)="Winding","-",TKA[[#This Row],[Cont Shoulder MVA]])</f>
        <v>14.117946132493918</v>
      </c>
      <c r="AV35" s="9">
        <f>IF(RIGHT(TKA[[#This Row],[Device type]],7)="Winding","-",TKA[[#This Row],[Cont Summer MVA]])</f>
        <v>14.117946132493918</v>
      </c>
      <c r="AW35" s="9" t="str">
        <f>TKA[[#This Row],[24 Hr Winter MVA]]</f>
        <v>-</v>
      </c>
      <c r="AX35" s="9" t="str">
        <f>TKA[[#This Row],[24 Hr Summer MVA]]</f>
        <v>-</v>
      </c>
      <c r="AY35" s="9" t="str">
        <f>TKA[[#This Row],[Forwards MVA]]</f>
        <v>-</v>
      </c>
      <c r="AZ35" s="9" t="str">
        <f>TKA[[#This Row],[Relay MVA]]</f>
        <v>-</v>
      </c>
      <c r="BA35" s="9" t="str">
        <f>TKA[[#This Row],[CT MVA]]</f>
        <v>-</v>
      </c>
      <c r="BB35" s="9" t="str">
        <f>TKA[[#This Row],[Derating MVA]]</f>
        <v>-</v>
      </c>
      <c r="BC35" s="9" t="str">
        <f>TKA[[#This Row],[Station/Feeder]]&amp;TKA[[#This Row],[Lowest MVA]]</f>
        <v>TKA_M1114.1179461324939</v>
      </c>
      <c r="BD35" s="9" t="str">
        <f>CONCATENATE(TKA[[#This Row],[Supply Level]],TKA[[#This Row],[Station/Feeder]],TKA[[#This Row],[Voltage]],TKA[[#This Row],[Lowest A-No PTX]])</f>
        <v>SubTransmissionTKA_M1133247</v>
      </c>
      <c r="BE35" s="9" t="str">
        <f>CONCATENATE(TKA[[#This Row],[Supply Level]],TKA[[#This Row],[Station/Feeder]],TKA[[#This Row],[Voltage]],TKA[[#This Row],[Lowest A-PTX]])</f>
        <v>SubTransmissionTKA_M1133247</v>
      </c>
      <c r="BF35" s="9">
        <f>IF(MIN(TKA[[#This Row],[Summ Cont Winter A]]:TKA[[#This Row],[Cable Derating]])=0,"",MIN(TKA[[#This Row],[Summ Cont Winter A]]:TKA[[#This Row],[Cable Derating]]))</f>
        <v>14.117946132493918</v>
      </c>
      <c r="BG35" s="9">
        <f>IFERROR(TKA[[#This Row],[Lowest MVA]]*1000/(TKA[[#This Row],[Voltage]]*SQRT(3)),"")</f>
        <v>247.00000000000003</v>
      </c>
      <c r="BH35" s="9">
        <f t="shared" si="0"/>
        <v>247</v>
      </c>
      <c r="BI35" s="9" t="str">
        <f>TKA[[#This Row],[From]]</f>
        <v>M11 T-off</v>
      </c>
      <c r="BJ35" s="9" t="str">
        <f>TKA[[#This Row],[To]]</f>
        <v>Pole 18992</v>
      </c>
      <c r="BK35" s="46" t="str">
        <f>IF(TKA[[#This Row],[Device type]]="-",TKA[[#This Row],[Equipment Type]]&amp;" - "&amp;TKA[[#This Row],[Equipment ID]],TKA[[#This Row],[Equipment Type]]&amp;" - "&amp;TKA[[#This Row],[Equipment ID]]&amp;" - "&amp;TKA[[#This Row],[Device type]])</f>
        <v>OH Line - 3-70mm2 Cu</v>
      </c>
      <c r="BL35" s="9">
        <f>TKA[[#This Row],[Voltage]]</f>
        <v>33</v>
      </c>
    </row>
    <row r="36" spans="1:64" s="327" customFormat="1" ht="15" customHeight="1" x14ac:dyDescent="0.25">
      <c r="A36" s="318" t="str">
        <f>CONCATENATE(TKA[[#This Row],[Supply Level]],TKA[[#This Row],[Station/Feeder]],TKA[[#This Row],[Voltage]])</f>
        <v>SubTransmissionTKA_M1133</v>
      </c>
      <c r="B36" s="318" t="str">
        <f>CONCATENATE(TKA[[#This Row],[Supply Level]],TKA[[#This Row],[Station/Feeder]],TKA[[#This Row],[Equipment ID]],TKA[[#This Row],[Voltage]],TKA[[#This Row],[Device type]])</f>
        <v>SubTransmissionTKA_M11TKA_M11-M34633Protection</v>
      </c>
      <c r="C36" s="318" t="s">
        <v>1245</v>
      </c>
      <c r="D36" s="318" t="s">
        <v>84</v>
      </c>
      <c r="E36" s="321" t="s">
        <v>384</v>
      </c>
      <c r="F36" s="321" t="s">
        <v>387</v>
      </c>
      <c r="G36" s="323">
        <v>3</v>
      </c>
      <c r="H36" s="324" t="s">
        <v>343</v>
      </c>
      <c r="I36" s="324" t="s">
        <v>2592</v>
      </c>
      <c r="J36" s="324" t="s">
        <v>394</v>
      </c>
      <c r="K36" s="321" t="s">
        <v>1418</v>
      </c>
      <c r="L36" s="7" t="s">
        <v>1423</v>
      </c>
      <c r="M36" s="323">
        <v>33</v>
      </c>
      <c r="N36" s="325">
        <v>630</v>
      </c>
      <c r="O36" s="325">
        <f>IF(OR(N36="",N36="-"),"-",N36*$M36*SQRT(3)/1000)</f>
        <v>36.009336289356959</v>
      </c>
      <c r="P36" s="325">
        <v>630</v>
      </c>
      <c r="Q36" s="325">
        <f>IF(OR(P36="",P36="-"),"-",P36*$M36*SQRT(3)/1000)</f>
        <v>36.009336289356959</v>
      </c>
      <c r="R36" s="325">
        <v>630</v>
      </c>
      <c r="S36" s="325">
        <f>IF(OR(R36="",R36="-"),"-",R36*$M36*SQRT(3)/1000)</f>
        <v>36.009336289356959</v>
      </c>
      <c r="T36" s="9" t="s">
        <v>0</v>
      </c>
      <c r="U36" s="9" t="str">
        <f t="shared" ref="U36:U37" si="78">IF(OR(T36="",T36="-"),"-",T36*$M36*SQRT(3)/1000)</f>
        <v>-</v>
      </c>
      <c r="V36" s="9" t="s">
        <v>0</v>
      </c>
      <c r="W36" s="9" t="str">
        <f t="shared" ref="W36:W37" si="79">IF(OR(V36="",V36="-"),"-",V36*$M36*SQRT(3)/1000)</f>
        <v>-</v>
      </c>
      <c r="X36" s="325">
        <v>150</v>
      </c>
      <c r="Y36" s="325">
        <f>IF(OR(X36="",X36="-"),"-",X36*$M36*SQRT(3)/1000)</f>
        <v>8.5736514974659421</v>
      </c>
      <c r="Z36" s="325" t="s">
        <v>0</v>
      </c>
      <c r="AA36" s="325" t="str">
        <f>IF(OR(Z36="",Z36="-"),"-",Z36*$M36*SQRT(3)/1000)</f>
        <v>-</v>
      </c>
      <c r="AB36" s="325" t="s">
        <v>0</v>
      </c>
      <c r="AC36" s="325" t="str">
        <f>IF(OR(AB36="",AB36="-"),"-",AB36*$M36*SQRT(3)/1000)</f>
        <v>-</v>
      </c>
      <c r="AD36" s="325" t="s">
        <v>0</v>
      </c>
      <c r="AE36" s="325" t="str">
        <f>IF(OR(AD36="",AD36="-"),"-",AD36*$M36*SQRT(3)/1000)</f>
        <v>-</v>
      </c>
      <c r="AF36" s="325" t="s">
        <v>0</v>
      </c>
      <c r="AG36" s="325" t="s">
        <v>0</v>
      </c>
      <c r="AH36" s="325" t="s">
        <v>0</v>
      </c>
      <c r="AI36" s="325" t="s">
        <v>0</v>
      </c>
      <c r="AJ36" s="326" t="s">
        <v>0</v>
      </c>
      <c r="AK36" s="325" t="s">
        <v>0</v>
      </c>
      <c r="AL36" s="326" t="s">
        <v>0</v>
      </c>
      <c r="AM36" s="325" t="s">
        <v>0</v>
      </c>
      <c r="AN36" s="326" t="s">
        <v>0</v>
      </c>
      <c r="AO36" s="325" t="s">
        <v>0</v>
      </c>
      <c r="AP36" s="326" t="s">
        <v>0</v>
      </c>
      <c r="AQ36" s="326" t="s">
        <v>0</v>
      </c>
      <c r="AR36" s="325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36" s="325" t="str">
        <f>IF(OR(AR36="",AR36="-"),"-",AR36*$M36*SQRT(3)/1000)</f>
        <v>-</v>
      </c>
      <c r="AT36" s="325">
        <f>IF(RIGHT(TKA[[#This Row],[Device type]],7)="Winding","-",TKA[[#This Row],[Cont Winter MVA]])</f>
        <v>36.009336289356959</v>
      </c>
      <c r="AU36" s="325">
        <f>IF(RIGHT(TKA[[#This Row],[Device type]],7)="Winding","-",TKA[[#This Row],[Cont Shoulder MVA]])</f>
        <v>36.009336289356959</v>
      </c>
      <c r="AV36" s="325">
        <f>IF(RIGHT(TKA[[#This Row],[Device type]],7)="Winding","-",TKA[[#This Row],[Cont Summer MVA]])</f>
        <v>36.009336289356959</v>
      </c>
      <c r="AW36" s="325" t="str">
        <f>TKA[[#This Row],[24 Hr Winter MVA]]</f>
        <v>-</v>
      </c>
      <c r="AX36" s="325" t="str">
        <f>TKA[[#This Row],[24 Hr Summer MVA]]</f>
        <v>-</v>
      </c>
      <c r="AY36" s="325">
        <f>TKA[[#This Row],[Forwards MVA]]</f>
        <v>8.5736514974659421</v>
      </c>
      <c r="AZ36" s="325" t="str">
        <f>TKA[[#This Row],[Relay MVA]]</f>
        <v>-</v>
      </c>
      <c r="BA36" s="325" t="str">
        <f>TKA[[#This Row],[CT MVA]]</f>
        <v>-</v>
      </c>
      <c r="BB36" s="325" t="str">
        <f>TKA[[#This Row],[Derating MVA]]</f>
        <v>-</v>
      </c>
      <c r="BC36" s="325" t="str">
        <f>TKA[[#This Row],[Station/Feeder]]&amp;TKA[[#This Row],[Lowest MVA]]</f>
        <v>TKA_M118.57365149746594</v>
      </c>
      <c r="BD36" s="325" t="str">
        <f>CONCATENATE(TKA[[#This Row],[Supply Level]],TKA[[#This Row],[Station/Feeder]],TKA[[#This Row],[Voltage]],TKA[[#This Row],[Lowest A-No PTX]])</f>
        <v>SubTransmissionTKA_M1133150</v>
      </c>
      <c r="BE36" s="325" t="str">
        <f>CONCATENATE(TKA[[#This Row],[Supply Level]],TKA[[#This Row],[Station/Feeder]],TKA[[#This Row],[Voltage]],TKA[[#This Row],[Lowest A-PTX]])</f>
        <v>SubTransmissionTKA_M1133150</v>
      </c>
      <c r="BF36" s="325">
        <f>IF(MIN(TKA[[#This Row],[Summ Cont Winter A]]:TKA[[#This Row],[Cable Derating]])=0,"",MIN(TKA[[#This Row],[Summ Cont Winter A]]:TKA[[#This Row],[Cable Derating]]))</f>
        <v>8.5736514974659421</v>
      </c>
      <c r="BG36" s="325">
        <f>IFERROR(TKA[[#This Row],[Lowest MVA]]*1000/(TKA[[#This Row],[Voltage]]*SQRT(3)),"")</f>
        <v>150</v>
      </c>
      <c r="BH36" s="325">
        <f t="shared" si="0"/>
        <v>150</v>
      </c>
      <c r="BI36" s="325" t="str">
        <f>TKA[[#This Row],[From]]</f>
        <v>M11 T-off</v>
      </c>
      <c r="BJ36" s="325" t="str">
        <f>TKA[[#This Row],[To]]</f>
        <v>Pole 18992</v>
      </c>
      <c r="BK36" s="324" t="str">
        <f>IF(TKA[[#This Row],[Device type]]="-",TKA[[#This Row],[Equipment Type]]&amp;" - "&amp;TKA[[#This Row],[Equipment ID]],TKA[[#This Row],[Equipment Type]]&amp;" - "&amp;TKA[[#This Row],[Equipment ID]]&amp;" - "&amp;TKA[[#This Row],[Device type]])</f>
        <v>Recloser - TKA_M11-M346 - Protection</v>
      </c>
      <c r="BL36" s="325">
        <f>TKA[[#This Row],[Voltage]]</f>
        <v>33</v>
      </c>
    </row>
    <row r="37" spans="1:64" s="1" customFormat="1" ht="15.75" customHeight="1" thickBot="1" x14ac:dyDescent="0.3">
      <c r="A37" s="14" t="str">
        <f>CONCATENATE(TKA[[#This Row],[Supply Level]],TKA[[#This Row],[Station/Feeder]],TKA[[#This Row],[Voltage]])</f>
        <v>SubTransmissionTKA_M1133</v>
      </c>
      <c r="B37" s="14" t="str">
        <f>CONCATENATE(TKA[[#This Row],[Supply Level]],TKA[[#This Row],[Station/Feeder]],TKA[[#This Row],[Equipment ID]],TKA[[#This Row],[Voltage]],TKA[[#This Row],[Device type]])</f>
        <v>SubTransmissionTKA_M11DOG33-</v>
      </c>
      <c r="C37" s="14" t="s">
        <v>1245</v>
      </c>
      <c r="D37" s="13" t="s">
        <v>84</v>
      </c>
      <c r="E37" s="39" t="s">
        <v>384</v>
      </c>
      <c r="F37" s="39" t="s">
        <v>387</v>
      </c>
      <c r="G37" s="381">
        <v>5</v>
      </c>
      <c r="H37" s="129" t="s">
        <v>1289</v>
      </c>
      <c r="I37" s="129" t="s">
        <v>318</v>
      </c>
      <c r="J37" s="129" t="s">
        <v>69</v>
      </c>
      <c r="K37" s="129" t="s">
        <v>0</v>
      </c>
      <c r="L37" s="129" t="s">
        <v>0</v>
      </c>
      <c r="M37" s="128">
        <v>33</v>
      </c>
      <c r="N37" s="16">
        <v>343.69342642524197</v>
      </c>
      <c r="O37" s="16">
        <f t="shared" si="31"/>
        <v>19.644717734266511</v>
      </c>
      <c r="P37" s="16" t="s">
        <v>0</v>
      </c>
      <c r="Q37" s="16" t="str">
        <f t="shared" si="32"/>
        <v>-</v>
      </c>
      <c r="R37" s="16">
        <v>256.85852310343915</v>
      </c>
      <c r="S37" s="16">
        <f t="shared" si="33"/>
        <v>14.681436408284609</v>
      </c>
      <c r="T37" s="16" t="s">
        <v>0</v>
      </c>
      <c r="U37" s="16" t="str">
        <f t="shared" si="78"/>
        <v>-</v>
      </c>
      <c r="V37" s="16" t="s">
        <v>0</v>
      </c>
      <c r="W37" s="16" t="str">
        <f t="shared" si="79"/>
        <v>-</v>
      </c>
      <c r="X37" s="16" t="s">
        <v>0</v>
      </c>
      <c r="Y37" s="16" t="str">
        <f t="shared" si="36"/>
        <v>-</v>
      </c>
      <c r="Z37" s="16" t="s">
        <v>0</v>
      </c>
      <c r="AA37" s="16" t="str">
        <f t="shared" si="37"/>
        <v>-</v>
      </c>
      <c r="AB37" s="16" t="s">
        <v>0</v>
      </c>
      <c r="AC37" s="16" t="str">
        <f t="shared" si="38"/>
        <v>-</v>
      </c>
      <c r="AD37" s="16" t="s">
        <v>0</v>
      </c>
      <c r="AE37" s="17" t="str">
        <f t="shared" si="39"/>
        <v>-</v>
      </c>
      <c r="AF37" s="16" t="s">
        <v>0</v>
      </c>
      <c r="AG37" s="16" t="s">
        <v>0</v>
      </c>
      <c r="AH37" s="16">
        <v>6129.1</v>
      </c>
      <c r="AI37" s="16" t="s">
        <v>0</v>
      </c>
      <c r="AJ37" s="138" t="s">
        <v>0</v>
      </c>
      <c r="AK37" s="16" t="s">
        <v>0</v>
      </c>
      <c r="AL37" s="138" t="s">
        <v>0</v>
      </c>
      <c r="AM37" s="16" t="s">
        <v>0</v>
      </c>
      <c r="AN37" s="138" t="s">
        <v>0</v>
      </c>
      <c r="AO37" s="16" t="s">
        <v>0</v>
      </c>
      <c r="AP37" s="16" t="s">
        <v>0</v>
      </c>
      <c r="AQ37" s="138" t="s">
        <v>0</v>
      </c>
      <c r="AR37" s="16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37" s="16" t="str">
        <f t="shared" si="40"/>
        <v>-</v>
      </c>
      <c r="AT37" s="16">
        <f>IF(RIGHT(TKA[[#This Row],[Device type]],7)="Winding","-",TKA[[#This Row],[Cont Winter MVA]])</f>
        <v>19.644717734266511</v>
      </c>
      <c r="AU37" s="16" t="str">
        <f>IF(RIGHT(TKA[[#This Row],[Device type]],7)="Winding","-",TKA[[#This Row],[Cont Shoulder MVA]])</f>
        <v>-</v>
      </c>
      <c r="AV37" s="16">
        <f>IF(RIGHT(TKA[[#This Row],[Device type]],7)="Winding","-",TKA[[#This Row],[Cont Summer MVA]])</f>
        <v>14.681436408284609</v>
      </c>
      <c r="AW37" s="16" t="str">
        <f>TKA[[#This Row],[24 Hr Winter MVA]]</f>
        <v>-</v>
      </c>
      <c r="AX37" s="16" t="str">
        <f>TKA[[#This Row],[24 Hr Summer MVA]]</f>
        <v>-</v>
      </c>
      <c r="AY37" s="16" t="str">
        <f>TKA[[#This Row],[Forwards MVA]]</f>
        <v>-</v>
      </c>
      <c r="AZ37" s="16" t="str">
        <f>TKA[[#This Row],[Relay MVA]]</f>
        <v>-</v>
      </c>
      <c r="BA37" s="16" t="str">
        <f>TKA[[#This Row],[CT MVA]]</f>
        <v>-</v>
      </c>
      <c r="BB37" s="16" t="str">
        <f>TKA[[#This Row],[Derating MVA]]</f>
        <v>-</v>
      </c>
      <c r="BC37" s="16" t="str">
        <f>TKA[[#This Row],[Station/Feeder]]&amp;TKA[[#This Row],[Lowest MVA]]</f>
        <v>TKA_M1114.6814364082846</v>
      </c>
      <c r="BD37" s="16" t="str">
        <f>CONCATENATE(TKA[[#This Row],[Supply Level]],TKA[[#This Row],[Station/Feeder]],TKA[[#This Row],[Voltage]],TKA[[#This Row],[Lowest A-No PTX]])</f>
        <v>SubTransmissionTKA_M1133256.858523103439</v>
      </c>
      <c r="BE37" s="16" t="str">
        <f>CONCATENATE(TKA[[#This Row],[Supply Level]],TKA[[#This Row],[Station/Feeder]],TKA[[#This Row],[Voltage]],TKA[[#This Row],[Lowest A-PTX]])</f>
        <v>SubTransmissionTKA_M1133256.858523103439</v>
      </c>
      <c r="BF37" s="16">
        <f>IF(MIN(TKA[[#This Row],[Summ Cont Winter A]]:TKA[[#This Row],[Cable Derating]])=0,"",MIN(TKA[[#This Row],[Summ Cont Winter A]]:TKA[[#This Row],[Cable Derating]]))</f>
        <v>14.681436408284609</v>
      </c>
      <c r="BG37" s="16">
        <f>IFERROR(TKA[[#This Row],[Lowest MVA]]*1000/(TKA[[#This Row],[Voltage]]*SQRT(3)),"")</f>
        <v>256.85852310343915</v>
      </c>
      <c r="BH37" s="16">
        <f t="shared" ref="BH37:BH66" si="80">IF(MIN(N37,P37,R37,T37,V37,X37,Z37,AB37,AD37,AR37)=0,"",MIN(N37,P37,R37,T37,V37,X37,Z37,AB37,AD37,AR37))</f>
        <v>256.85852310343915</v>
      </c>
      <c r="BI37" s="16" t="str">
        <f>TKA[[#This Row],[From]]</f>
        <v>M11 T-off</v>
      </c>
      <c r="BJ37" s="16" t="str">
        <f>TKA[[#This Row],[To]]</f>
        <v>Pole 18992</v>
      </c>
      <c r="BK37" s="129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Line-DOG</v>
      </c>
      <c r="BL37" s="16">
        <f>TKA[[#This Row],[Voltage]]</f>
        <v>33</v>
      </c>
    </row>
    <row r="38" spans="1:64" s="1" customFormat="1" ht="15" customHeight="1" x14ac:dyDescent="0.25">
      <c r="A38" s="3" t="str">
        <f>CONCATENATE(TKA[[#This Row],[Supply Level]],TKA[[#This Row],[Station/Feeder]],TKA[[#This Row],[Voltage]])</f>
        <v>SubTransmissionUHT33</v>
      </c>
      <c r="B38" s="3" t="str">
        <f>CONCATENATE(TKA[[#This Row],[Supply Level]],TKA[[#This Row],[Station/Feeder]],TKA[[#This Row],[Equipment ID]],TKA[[#This Row],[Voltage]],TKA[[#This Row],[Device type]])</f>
        <v>SubTransmissionUHTDOG33-</v>
      </c>
      <c r="C38" s="3" t="s">
        <v>1245</v>
      </c>
      <c r="D38" s="3" t="s">
        <v>163</v>
      </c>
      <c r="E38" s="38" t="s">
        <v>387</v>
      </c>
      <c r="F38" s="38" t="s">
        <v>396</v>
      </c>
      <c r="G38" s="61">
        <v>1</v>
      </c>
      <c r="H38" s="188" t="s">
        <v>1289</v>
      </c>
      <c r="I38" s="188" t="s">
        <v>318</v>
      </c>
      <c r="J38" s="188" t="s">
        <v>69</v>
      </c>
      <c r="K38" s="188" t="s">
        <v>0</v>
      </c>
      <c r="L38" s="188" t="s">
        <v>0</v>
      </c>
      <c r="M38" s="61">
        <v>33</v>
      </c>
      <c r="N38" s="5">
        <v>343.69342642524197</v>
      </c>
      <c r="O38" s="5">
        <f t="shared" ref="O38" si="81">IF(OR(N38="",N38="-"),"-",N38*$M38*SQRT(3)/1000)</f>
        <v>19.644717734266511</v>
      </c>
      <c r="P38" s="5" t="s">
        <v>0</v>
      </c>
      <c r="Q38" s="5" t="str">
        <f t="shared" ref="Q38" si="82">IF(OR(P38="",P38="-"),"-",P38*$M38*SQRT(3)/1000)</f>
        <v>-</v>
      </c>
      <c r="R38" s="5">
        <v>256.85852310343915</v>
      </c>
      <c r="S38" s="5">
        <f t="shared" ref="S38" si="83">IF(OR(R38="",R38="-"),"-",R38*$M38*SQRT(3)/1000)</f>
        <v>14.681436408284609</v>
      </c>
      <c r="T38" s="5" t="s">
        <v>0</v>
      </c>
      <c r="U38" s="5" t="str">
        <f t="shared" ref="U38" si="84">IF(OR(T38="",T38="-"),"-",T38*$M38*SQRT(3)/1000)</f>
        <v>-</v>
      </c>
      <c r="V38" s="5" t="s">
        <v>0</v>
      </c>
      <c r="W38" s="5" t="str">
        <f t="shared" ref="W38" si="85">IF(OR(V38="",V38="-"),"-",V38*$M38*SQRT(3)/1000)</f>
        <v>-</v>
      </c>
      <c r="X38" s="5" t="s">
        <v>0</v>
      </c>
      <c r="Y38" s="5" t="str">
        <f t="shared" ref="Y38" si="86">IF(OR(X38="",X38="-"),"-",X38*$M38*SQRT(3)/1000)</f>
        <v>-</v>
      </c>
      <c r="Z38" s="5" t="s">
        <v>0</v>
      </c>
      <c r="AA38" s="5" t="str">
        <f t="shared" ref="AA38" si="87">IF(OR(Z38="",Z38="-"),"-",Z38*$M38*SQRT(3)/1000)</f>
        <v>-</v>
      </c>
      <c r="AB38" s="5" t="s">
        <v>0</v>
      </c>
      <c r="AC38" s="5" t="str">
        <f t="shared" ref="AC38" si="88">IF(OR(AB38="",AB38="-"),"-",AB38*$M38*SQRT(3)/1000)</f>
        <v>-</v>
      </c>
      <c r="AD38" s="5" t="s">
        <v>0</v>
      </c>
      <c r="AE38" s="5" t="str">
        <f t="shared" ref="AE38" si="89">IF(OR(AD38="",AD38="-"),"-",AD38*$M38*SQRT(3)/1000)</f>
        <v>-</v>
      </c>
      <c r="AF38" s="5" t="s">
        <v>0</v>
      </c>
      <c r="AG38" s="5" t="s">
        <v>0</v>
      </c>
      <c r="AH38" s="5">
        <v>10933.8</v>
      </c>
      <c r="AI38" s="5" t="s">
        <v>0</v>
      </c>
      <c r="AJ38" s="139" t="s">
        <v>0</v>
      </c>
      <c r="AK38" s="5" t="s">
        <v>0</v>
      </c>
      <c r="AL38" s="139" t="s">
        <v>0</v>
      </c>
      <c r="AM38" s="5" t="s">
        <v>0</v>
      </c>
      <c r="AN38" s="139" t="s">
        <v>0</v>
      </c>
      <c r="AO38" s="5" t="s">
        <v>0</v>
      </c>
      <c r="AP38" s="5" t="s">
        <v>0</v>
      </c>
      <c r="AQ38" s="139" t="s">
        <v>0</v>
      </c>
      <c r="AR38" s="5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38" s="5" t="str">
        <f t="shared" ref="AS38" si="90">IF(OR(AR38="",AR38="-"),"-",AR38*$M38*SQRT(3)/1000)</f>
        <v>-</v>
      </c>
      <c r="AT38" s="5">
        <f>IF(RIGHT(TKA[[#This Row],[Device type]],7)="Winding","-",TKA[[#This Row],[Cont Winter MVA]])</f>
        <v>19.644717734266511</v>
      </c>
      <c r="AU38" s="5" t="str">
        <f>IF(RIGHT(TKA[[#This Row],[Device type]],7)="Winding","-",TKA[[#This Row],[Cont Shoulder MVA]])</f>
        <v>-</v>
      </c>
      <c r="AV38" s="5">
        <f>IF(RIGHT(TKA[[#This Row],[Device type]],7)="Winding","-",TKA[[#This Row],[Cont Summer MVA]])</f>
        <v>14.681436408284609</v>
      </c>
      <c r="AW38" s="5" t="str">
        <f>TKA[[#This Row],[24 Hr Winter MVA]]</f>
        <v>-</v>
      </c>
      <c r="AX38" s="5" t="str">
        <f>TKA[[#This Row],[24 Hr Summer MVA]]</f>
        <v>-</v>
      </c>
      <c r="AY38" s="5" t="str">
        <f>TKA[[#This Row],[Forwards MVA]]</f>
        <v>-</v>
      </c>
      <c r="AZ38" s="5" t="str">
        <f>TKA[[#This Row],[Relay MVA]]</f>
        <v>-</v>
      </c>
      <c r="BA38" s="5" t="str">
        <f>TKA[[#This Row],[CT MVA]]</f>
        <v>-</v>
      </c>
      <c r="BB38" s="5" t="str">
        <f>TKA[[#This Row],[Derating MVA]]</f>
        <v>-</v>
      </c>
      <c r="BC38" s="5" t="str">
        <f>TKA[[#This Row],[Station/Feeder]]&amp;TKA[[#This Row],[Lowest MVA]]</f>
        <v>UHT14.6814364082846</v>
      </c>
      <c r="BD38" s="5" t="str">
        <f>CONCATENATE(TKA[[#This Row],[Supply Level]],TKA[[#This Row],[Station/Feeder]],TKA[[#This Row],[Voltage]],TKA[[#This Row],[Lowest A-No PTX]])</f>
        <v>SubTransmissionUHT33256.858523103439</v>
      </c>
      <c r="BE38" s="5" t="str">
        <f>CONCATENATE(TKA[[#This Row],[Supply Level]],TKA[[#This Row],[Station/Feeder]],TKA[[#This Row],[Voltage]],TKA[[#This Row],[Lowest A-PTX]])</f>
        <v>SubTransmissionUHT33256.858523103439</v>
      </c>
      <c r="BF38" s="5">
        <f>IF(MIN(TKA[[#This Row],[Summ Cont Winter A]]:TKA[[#This Row],[Cable Derating]])=0,"",MIN(TKA[[#This Row],[Summ Cont Winter A]]:TKA[[#This Row],[Cable Derating]]))</f>
        <v>14.681436408284609</v>
      </c>
      <c r="BG38" s="5">
        <f>IFERROR(TKA[[#This Row],[Lowest MVA]]*1000/(TKA[[#This Row],[Voltage]]*SQRT(3)),"")</f>
        <v>256.85852310343915</v>
      </c>
      <c r="BH38" s="5">
        <f t="shared" si="80"/>
        <v>256.85852310343915</v>
      </c>
      <c r="BI38" s="5" t="str">
        <f>TKA[[#This Row],[From]]</f>
        <v>Pole 18992</v>
      </c>
      <c r="BJ38" s="5" t="str">
        <f>TKA[[#This Row],[To]]</f>
        <v>M34</v>
      </c>
      <c r="BK38" s="188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Line-DOG</v>
      </c>
      <c r="BL38" s="5">
        <f>TKA[[#This Row],[Voltage]]</f>
        <v>33</v>
      </c>
    </row>
    <row r="39" spans="1:64" s="1" customFormat="1" ht="15" customHeight="1" x14ac:dyDescent="0.25">
      <c r="A39" s="6" t="str">
        <f>CONCATENATE(TKA[[#This Row],[Supply Level]],TKA[[#This Row],[Station/Feeder]],TKA[[#This Row],[Voltage]])</f>
        <v>SubTransmissionUHT33</v>
      </c>
      <c r="B39" s="6" t="str">
        <f>CONCATENATE(TKA[[#This Row],[Supply Level]],TKA[[#This Row],[Station/Feeder]],TKA[[#This Row],[Equipment ID]],TKA[[#This Row],[Voltage]],TKA[[#This Row],[Device type]])</f>
        <v>SubTransmissionUHTM3433-</v>
      </c>
      <c r="C39" s="6" t="s">
        <v>1245</v>
      </c>
      <c r="D39" s="6" t="s">
        <v>163</v>
      </c>
      <c r="E39" s="7" t="s">
        <v>396</v>
      </c>
      <c r="F39" s="7" t="s">
        <v>402</v>
      </c>
      <c r="G39" s="57">
        <v>2</v>
      </c>
      <c r="H39" s="46" t="s">
        <v>273</v>
      </c>
      <c r="I39" s="46" t="s">
        <v>396</v>
      </c>
      <c r="J39" s="46" t="s">
        <v>249</v>
      </c>
      <c r="K39" s="46" t="s">
        <v>0</v>
      </c>
      <c r="L39" s="46" t="s">
        <v>0</v>
      </c>
      <c r="M39" s="57">
        <v>33</v>
      </c>
      <c r="N39" s="9">
        <v>300</v>
      </c>
      <c r="O39" s="9">
        <f t="shared" ref="O39:O59" si="91">IF(OR(N39="",N39="-"),"-",N39*$M39*SQRT(3)/1000)</f>
        <v>17.147302994931884</v>
      </c>
      <c r="P39" s="9">
        <v>300</v>
      </c>
      <c r="Q39" s="9">
        <f t="shared" ref="Q39:Q59" si="92">IF(OR(P39="",P39="-"),"-",P39*$M39*SQRT(3)/1000)</f>
        <v>17.147302994931884</v>
      </c>
      <c r="R39" s="9">
        <v>300</v>
      </c>
      <c r="S39" s="9">
        <f t="shared" ref="S39:S59" si="93">IF(OR(R39="",R39="-"),"-",R39*$M39*SQRT(3)/1000)</f>
        <v>17.147302994931884</v>
      </c>
      <c r="T39" s="9" t="s">
        <v>0</v>
      </c>
      <c r="U39" s="9" t="str">
        <f t="shared" ref="U39:U59" si="94">IF(OR(T39="",T39="-"),"-",T39*$M39*SQRT(3)/1000)</f>
        <v>-</v>
      </c>
      <c r="V39" s="9" t="s">
        <v>0</v>
      </c>
      <c r="W39" s="9" t="str">
        <f t="shared" ref="W39:W59" si="95">IF(OR(V39="",V39="-"),"-",V39*$M39*SQRT(3)/1000)</f>
        <v>-</v>
      </c>
      <c r="X39" s="9" t="s">
        <v>0</v>
      </c>
      <c r="Y39" s="9" t="str">
        <f t="shared" ref="Y39:Y59" si="96">IF(OR(X39="",X39="-"),"-",X39*$M39*SQRT(3)/1000)</f>
        <v>-</v>
      </c>
      <c r="Z39" s="9" t="s">
        <v>0</v>
      </c>
      <c r="AA39" s="9" t="str">
        <f t="shared" ref="AA39:AA59" si="97">IF(OR(Z39="",Z39="-"),"-",Z39*$M39*SQRT(3)/1000)</f>
        <v>-</v>
      </c>
      <c r="AB39" s="9" t="s">
        <v>0</v>
      </c>
      <c r="AC39" s="9" t="str">
        <f t="shared" ref="AC39:AC59" si="98">IF(OR(AB39="",AB39="-"),"-",AB39*$M39*SQRT(3)/1000)</f>
        <v>-</v>
      </c>
      <c r="AD39" s="9" t="s">
        <v>0</v>
      </c>
      <c r="AE39" s="9" t="str">
        <f t="shared" ref="AE39:AE59" si="99">IF(OR(AD39="",AD39="-"),"-",AD39*$M39*SQRT(3)/1000)</f>
        <v>-</v>
      </c>
      <c r="AF39" s="9" t="s">
        <v>0</v>
      </c>
      <c r="AG39" s="9" t="s">
        <v>0</v>
      </c>
      <c r="AH39" s="9" t="s">
        <v>0</v>
      </c>
      <c r="AI39" s="9" t="s">
        <v>0</v>
      </c>
      <c r="AJ39" s="43" t="s">
        <v>0</v>
      </c>
      <c r="AK39" s="9" t="s">
        <v>0</v>
      </c>
      <c r="AL39" s="43" t="s">
        <v>0</v>
      </c>
      <c r="AM39" s="9" t="s">
        <v>0</v>
      </c>
      <c r="AN39" s="43" t="s">
        <v>0</v>
      </c>
      <c r="AO39" s="9" t="s">
        <v>0</v>
      </c>
      <c r="AP39" s="43" t="s">
        <v>0</v>
      </c>
      <c r="AQ39" s="43" t="s">
        <v>0</v>
      </c>
      <c r="AR39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39" s="9" t="str">
        <f t="shared" ref="AS39:AS56" si="100">IF(OR(AR39="",AR39="-"),"-",AR39*$M39*SQRT(3)/1000)</f>
        <v>-</v>
      </c>
      <c r="AT39" s="9">
        <f>IF(RIGHT(TKA[[#This Row],[Device type]],7)="Winding","-",TKA[[#This Row],[Cont Winter MVA]])</f>
        <v>17.147302994931884</v>
      </c>
      <c r="AU39" s="9">
        <f>IF(RIGHT(TKA[[#This Row],[Device type]],7)="Winding","-",TKA[[#This Row],[Cont Shoulder MVA]])</f>
        <v>17.147302994931884</v>
      </c>
      <c r="AV39" s="9">
        <f>IF(RIGHT(TKA[[#This Row],[Device type]],7)="Winding","-",TKA[[#This Row],[Cont Summer MVA]])</f>
        <v>17.147302994931884</v>
      </c>
      <c r="AW39" s="9" t="str">
        <f>TKA[[#This Row],[24 Hr Winter MVA]]</f>
        <v>-</v>
      </c>
      <c r="AX39" s="9" t="str">
        <f>TKA[[#This Row],[24 Hr Summer MVA]]</f>
        <v>-</v>
      </c>
      <c r="AY39" s="9" t="str">
        <f>TKA[[#This Row],[Forwards MVA]]</f>
        <v>-</v>
      </c>
      <c r="AZ39" s="9" t="str">
        <f>TKA[[#This Row],[Relay MVA]]</f>
        <v>-</v>
      </c>
      <c r="BA39" s="9" t="str">
        <f>TKA[[#This Row],[CT MVA]]</f>
        <v>-</v>
      </c>
      <c r="BB39" s="9" t="str">
        <f>TKA[[#This Row],[Derating MVA]]</f>
        <v>-</v>
      </c>
      <c r="BC39" s="9" t="str">
        <f>TKA[[#This Row],[Station/Feeder]]&amp;TKA[[#This Row],[Lowest MVA]]</f>
        <v>UHT17.1473029949319</v>
      </c>
      <c r="BD39" s="9" t="str">
        <f>CONCATENATE(TKA[[#This Row],[Supply Level]],TKA[[#This Row],[Station/Feeder]],TKA[[#This Row],[Voltage]],TKA[[#This Row],[Lowest A-No PTX]])</f>
        <v>SubTransmissionUHT33300</v>
      </c>
      <c r="BE39" s="9" t="str">
        <f>CONCATENATE(TKA[[#This Row],[Supply Level]],TKA[[#This Row],[Station/Feeder]],TKA[[#This Row],[Voltage]],TKA[[#This Row],[Lowest A-PTX]])</f>
        <v>SubTransmissionUHT33300</v>
      </c>
      <c r="BF39" s="9">
        <f>IF(MIN(TKA[[#This Row],[Summ Cont Winter A]]:TKA[[#This Row],[Cable Derating]])=0,"",MIN(TKA[[#This Row],[Summ Cont Winter A]]:TKA[[#This Row],[Cable Derating]]))</f>
        <v>17.147302994931884</v>
      </c>
      <c r="BG39" s="9">
        <f>IFERROR(TKA[[#This Row],[Lowest MVA]]*1000/(TKA[[#This Row],[Voltage]]*SQRT(3)),"")</f>
        <v>300</v>
      </c>
      <c r="BH39" s="9">
        <f t="shared" si="80"/>
        <v>300</v>
      </c>
      <c r="BI39" s="9" t="str">
        <f>TKA[[#This Row],[From]]</f>
        <v>M34</v>
      </c>
      <c r="BJ39" s="9" t="str">
        <f>TKA[[#This Row],[To]]</f>
        <v>M73</v>
      </c>
      <c r="BK39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Link-M34</v>
      </c>
      <c r="BL39" s="9">
        <f>TKA[[#This Row],[Voltage]]</f>
        <v>33</v>
      </c>
    </row>
    <row r="40" spans="1:64" s="1" customFormat="1" ht="15" customHeight="1" x14ac:dyDescent="0.25">
      <c r="A40" s="6" t="str">
        <f>CONCATENATE(TKA[[#This Row],[Supply Level]],TKA[[#This Row],[Station/Feeder]],TKA[[#This Row],[Voltage]])</f>
        <v>SubTransmissionUHT33</v>
      </c>
      <c r="B40" s="6" t="str">
        <f>CONCATENATE(TKA[[#This Row],[Supply Level]],TKA[[#This Row],[Station/Feeder]],TKA[[#This Row],[Equipment ID]],TKA[[#This Row],[Voltage]],TKA[[#This Row],[Device type]])</f>
        <v>SubTransmissionUHTM31833Protection</v>
      </c>
      <c r="C40" s="6" t="s">
        <v>1245</v>
      </c>
      <c r="D40" s="6" t="s">
        <v>163</v>
      </c>
      <c r="E40" s="7" t="s">
        <v>396</v>
      </c>
      <c r="F40" s="7" t="s">
        <v>402</v>
      </c>
      <c r="G40" s="57">
        <v>3</v>
      </c>
      <c r="H40" s="46" t="s">
        <v>400</v>
      </c>
      <c r="I40" s="46" t="s">
        <v>398</v>
      </c>
      <c r="J40" s="46" t="s">
        <v>399</v>
      </c>
      <c r="K40" s="46" t="s">
        <v>1122</v>
      </c>
      <c r="L40" s="7" t="s">
        <v>1423</v>
      </c>
      <c r="M40" s="57">
        <v>33</v>
      </c>
      <c r="N40" s="9">
        <v>630</v>
      </c>
      <c r="O40" s="9">
        <f t="shared" ref="O40:O46" si="101">IF(OR(N40="",N40="-"),"-",N40*$M40*SQRT(3)/1000)</f>
        <v>36.009336289356959</v>
      </c>
      <c r="P40" s="9">
        <v>630</v>
      </c>
      <c r="Q40" s="9">
        <f t="shared" ref="Q40:Q46" si="102">IF(OR(P40="",P40="-"),"-",P40*$M40*SQRT(3)/1000)</f>
        <v>36.009336289356959</v>
      </c>
      <c r="R40" s="9">
        <v>630</v>
      </c>
      <c r="S40" s="9">
        <f t="shared" ref="S40:S46" si="103">IF(OR(R40="",R40="-"),"-",R40*$M40*SQRT(3)/1000)</f>
        <v>36.009336289356959</v>
      </c>
      <c r="T40" s="9" t="s">
        <v>0</v>
      </c>
      <c r="U40" s="9" t="str">
        <f t="shared" ref="U40:U47" si="104">IF(OR(T40="",T40="-"),"-",T40*$M40*SQRT(3)/1000)</f>
        <v>-</v>
      </c>
      <c r="V40" s="9" t="s">
        <v>0</v>
      </c>
      <c r="W40" s="9" t="str">
        <f t="shared" ref="W40:W47" si="105">IF(OR(V40="",V40="-"),"-",V40*$M40*SQRT(3)/1000)</f>
        <v>-</v>
      </c>
      <c r="X40" s="9">
        <v>120</v>
      </c>
      <c r="Y40" s="9">
        <f t="shared" ref="Y40:Y47" si="106">IF(OR(X40="",X40="-"),"-",X40*$M40*SQRT(3)/1000)</f>
        <v>6.8589211979727533</v>
      </c>
      <c r="Z40" s="9">
        <v>120</v>
      </c>
      <c r="AA40" s="9">
        <f t="shared" ref="AA40:AA47" si="107">IF(OR(Z40="",Z40="-"),"-",Z40*$M40*SQRT(3)/1000)</f>
        <v>6.8589211979727533</v>
      </c>
      <c r="AB40" s="9" t="s">
        <v>0</v>
      </c>
      <c r="AC40" s="9" t="str">
        <f t="shared" ref="AC40:AC47" si="108">IF(OR(AB40="",AB40="-"),"-",AB40*$M40*SQRT(3)/1000)</f>
        <v>-</v>
      </c>
      <c r="AD40" s="9">
        <v>1000</v>
      </c>
      <c r="AE40" s="9">
        <f t="shared" ref="AE40:AE47" si="109">IF(OR(AD40="",AD40="-"),"-",AD40*$M40*SQRT(3)/1000)</f>
        <v>57.157676649772945</v>
      </c>
      <c r="AF40" s="9" t="s">
        <v>0</v>
      </c>
      <c r="AG40" s="9" t="s">
        <v>0</v>
      </c>
      <c r="AH40" s="9" t="s">
        <v>0</v>
      </c>
      <c r="AI40" s="9" t="s">
        <v>0</v>
      </c>
      <c r="AJ40" s="43" t="s">
        <v>0</v>
      </c>
      <c r="AK40" s="9" t="s">
        <v>0</v>
      </c>
      <c r="AL40" s="43" t="s">
        <v>0</v>
      </c>
      <c r="AM40" s="9" t="s">
        <v>0</v>
      </c>
      <c r="AN40" s="43" t="s">
        <v>0</v>
      </c>
      <c r="AO40" s="9" t="s">
        <v>0</v>
      </c>
      <c r="AP40" s="43" t="s">
        <v>0</v>
      </c>
      <c r="AQ40" s="43" t="s">
        <v>0</v>
      </c>
      <c r="AR40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40" s="9" t="str">
        <f t="shared" ref="AS40:AS47" si="110">IF(OR(AR40="",AR40="-"),"-",AR40*$M40*SQRT(3)/1000)</f>
        <v>-</v>
      </c>
      <c r="AT40" s="9">
        <f>IF(RIGHT(TKA[[#This Row],[Device type]],7)="Winding","-",TKA[[#This Row],[Cont Winter MVA]])</f>
        <v>36.009336289356959</v>
      </c>
      <c r="AU40" s="9">
        <f>IF(RIGHT(TKA[[#This Row],[Device type]],7)="Winding","-",TKA[[#This Row],[Cont Shoulder MVA]])</f>
        <v>36.009336289356959</v>
      </c>
      <c r="AV40" s="9">
        <f>IF(RIGHT(TKA[[#This Row],[Device type]],7)="Winding","-",TKA[[#This Row],[Cont Summer MVA]])</f>
        <v>36.009336289356959</v>
      </c>
      <c r="AW40" s="9" t="str">
        <f>TKA[[#This Row],[24 Hr Winter MVA]]</f>
        <v>-</v>
      </c>
      <c r="AX40" s="9" t="str">
        <f>TKA[[#This Row],[24 Hr Summer MVA]]</f>
        <v>-</v>
      </c>
      <c r="AY40" s="9">
        <f>TKA[[#This Row],[Forwards MVA]]</f>
        <v>6.8589211979727533</v>
      </c>
      <c r="AZ40" s="9" t="str">
        <f>TKA[[#This Row],[Relay MVA]]</f>
        <v>-</v>
      </c>
      <c r="BA40" s="9">
        <f>TKA[[#This Row],[CT MVA]]</f>
        <v>57.157676649772945</v>
      </c>
      <c r="BB40" s="9" t="str">
        <f>TKA[[#This Row],[Derating MVA]]</f>
        <v>-</v>
      </c>
      <c r="BC40" s="9" t="str">
        <f>TKA[[#This Row],[Station/Feeder]]&amp;TKA[[#This Row],[Lowest MVA]]</f>
        <v>UHT6.85892119797275</v>
      </c>
      <c r="BD40" s="9" t="str">
        <f>CONCATENATE(TKA[[#This Row],[Supply Level]],TKA[[#This Row],[Station/Feeder]],TKA[[#This Row],[Voltage]],TKA[[#This Row],[Lowest A-No PTX]])</f>
        <v>SubTransmissionUHT33120</v>
      </c>
      <c r="BE40" s="9" t="str">
        <f>CONCATENATE(TKA[[#This Row],[Supply Level]],TKA[[#This Row],[Station/Feeder]],TKA[[#This Row],[Voltage]],TKA[[#This Row],[Lowest A-PTX]])</f>
        <v>SubTransmissionUHT33120</v>
      </c>
      <c r="BF40" s="9">
        <f>IF(MIN(TKA[[#This Row],[Summ Cont Winter A]]:TKA[[#This Row],[Cable Derating]])=0,"",MIN(TKA[[#This Row],[Summ Cont Winter A]]:TKA[[#This Row],[Cable Derating]]))</f>
        <v>6.8589211979727533</v>
      </c>
      <c r="BG40" s="9">
        <f>IFERROR(TKA[[#This Row],[Lowest MVA]]*1000/(TKA[[#This Row],[Voltage]]*SQRT(3)),"")</f>
        <v>120</v>
      </c>
      <c r="BH40" s="9">
        <f t="shared" si="80"/>
        <v>120</v>
      </c>
      <c r="BI40" s="9" t="str">
        <f>TKA[[#This Row],[From]]</f>
        <v>M34</v>
      </c>
      <c r="BJ40" s="9" t="str">
        <f>TKA[[#This Row],[To]]</f>
        <v>M73</v>
      </c>
      <c r="BK40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Secionaliser-M318-Protection</v>
      </c>
      <c r="BL40" s="9">
        <f>TKA[[#This Row],[Voltage]]</f>
        <v>33</v>
      </c>
    </row>
    <row r="41" spans="1:64" s="1" customFormat="1" ht="15" customHeight="1" x14ac:dyDescent="0.25">
      <c r="A41" s="6" t="str">
        <f>CONCATENATE(TKA[[#This Row],[Supply Level]],TKA[[#This Row],[Station/Feeder]],TKA[[#This Row],[Voltage]])</f>
        <v>SubTransmissionUHT33</v>
      </c>
      <c r="B41" s="6" t="str">
        <f>CONCATENATE(TKA[[#This Row],[Supply Level]],TKA[[#This Row],[Station/Feeder]],TKA[[#This Row],[Equipment ID]],TKA[[#This Row],[Voltage]],TKA[[#This Row],[Device type]])</f>
        <v>SubTransmissionUHTM3633-</v>
      </c>
      <c r="C41" s="6" t="s">
        <v>1245</v>
      </c>
      <c r="D41" s="6" t="s">
        <v>163</v>
      </c>
      <c r="E41" s="7" t="s">
        <v>396</v>
      </c>
      <c r="F41" s="7" t="s">
        <v>402</v>
      </c>
      <c r="G41" s="57">
        <v>4</v>
      </c>
      <c r="H41" s="46" t="s">
        <v>273</v>
      </c>
      <c r="I41" s="46" t="s">
        <v>397</v>
      </c>
      <c r="J41" s="46" t="s">
        <v>249</v>
      </c>
      <c r="K41" s="46" t="s">
        <v>0</v>
      </c>
      <c r="L41" s="46" t="s">
        <v>0</v>
      </c>
      <c r="M41" s="57">
        <v>33</v>
      </c>
      <c r="N41" s="9">
        <v>300</v>
      </c>
      <c r="O41" s="9">
        <f t="shared" si="101"/>
        <v>17.147302994931884</v>
      </c>
      <c r="P41" s="9">
        <v>300</v>
      </c>
      <c r="Q41" s="9">
        <f t="shared" si="102"/>
        <v>17.147302994931884</v>
      </c>
      <c r="R41" s="9">
        <v>300</v>
      </c>
      <c r="S41" s="9">
        <f t="shared" si="103"/>
        <v>17.147302994931884</v>
      </c>
      <c r="T41" s="9" t="s">
        <v>0</v>
      </c>
      <c r="U41" s="9" t="str">
        <f t="shared" si="104"/>
        <v>-</v>
      </c>
      <c r="V41" s="9" t="s">
        <v>0</v>
      </c>
      <c r="W41" s="9" t="str">
        <f t="shared" si="105"/>
        <v>-</v>
      </c>
      <c r="X41" s="9" t="s">
        <v>0</v>
      </c>
      <c r="Y41" s="9" t="str">
        <f t="shared" si="106"/>
        <v>-</v>
      </c>
      <c r="Z41" s="9" t="s">
        <v>0</v>
      </c>
      <c r="AA41" s="9" t="str">
        <f t="shared" si="107"/>
        <v>-</v>
      </c>
      <c r="AB41" s="9" t="s">
        <v>0</v>
      </c>
      <c r="AC41" s="9" t="str">
        <f t="shared" si="108"/>
        <v>-</v>
      </c>
      <c r="AD41" s="9" t="s">
        <v>0</v>
      </c>
      <c r="AE41" s="9" t="str">
        <f t="shared" si="109"/>
        <v>-</v>
      </c>
      <c r="AF41" s="9" t="s">
        <v>0</v>
      </c>
      <c r="AG41" s="9" t="s">
        <v>0</v>
      </c>
      <c r="AH41" s="9" t="s">
        <v>0</v>
      </c>
      <c r="AI41" s="9" t="s">
        <v>0</v>
      </c>
      <c r="AJ41" s="9" t="s">
        <v>0</v>
      </c>
      <c r="AK41" s="9" t="s">
        <v>0</v>
      </c>
      <c r="AL41" s="43" t="s">
        <v>0</v>
      </c>
      <c r="AM41" s="9" t="s">
        <v>0</v>
      </c>
      <c r="AN41" s="43" t="s">
        <v>0</v>
      </c>
      <c r="AO41" s="9" t="s">
        <v>0</v>
      </c>
      <c r="AP41" s="43" t="s">
        <v>0</v>
      </c>
      <c r="AQ41" s="43" t="s">
        <v>0</v>
      </c>
      <c r="AR41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41" s="9" t="str">
        <f t="shared" si="110"/>
        <v>-</v>
      </c>
      <c r="AT41" s="9">
        <f>IF(RIGHT(TKA[[#This Row],[Device type]],7)="Winding","-",TKA[[#This Row],[Cont Winter MVA]])</f>
        <v>17.147302994931884</v>
      </c>
      <c r="AU41" s="9">
        <f>IF(RIGHT(TKA[[#This Row],[Device type]],7)="Winding","-",TKA[[#This Row],[Cont Shoulder MVA]])</f>
        <v>17.147302994931884</v>
      </c>
      <c r="AV41" s="9">
        <f>IF(RIGHT(TKA[[#This Row],[Device type]],7)="Winding","-",TKA[[#This Row],[Cont Summer MVA]])</f>
        <v>17.147302994931884</v>
      </c>
      <c r="AW41" s="9" t="str">
        <f>TKA[[#This Row],[24 Hr Winter MVA]]</f>
        <v>-</v>
      </c>
      <c r="AX41" s="9" t="str">
        <f>TKA[[#This Row],[24 Hr Summer MVA]]</f>
        <v>-</v>
      </c>
      <c r="AY41" s="9" t="str">
        <f>TKA[[#This Row],[Forwards MVA]]</f>
        <v>-</v>
      </c>
      <c r="AZ41" s="9" t="str">
        <f>TKA[[#This Row],[Relay MVA]]</f>
        <v>-</v>
      </c>
      <c r="BA41" s="9" t="str">
        <f>TKA[[#This Row],[CT MVA]]</f>
        <v>-</v>
      </c>
      <c r="BB41" s="9" t="str">
        <f>TKA[[#This Row],[Derating MVA]]</f>
        <v>-</v>
      </c>
      <c r="BC41" s="9" t="str">
        <f>TKA[[#This Row],[Station/Feeder]]&amp;TKA[[#This Row],[Lowest MVA]]</f>
        <v>UHT17.1473029949319</v>
      </c>
      <c r="BD41" s="9" t="str">
        <f>CONCATENATE(TKA[[#This Row],[Supply Level]],TKA[[#This Row],[Station/Feeder]],TKA[[#This Row],[Voltage]],TKA[[#This Row],[Lowest A-No PTX]])</f>
        <v>SubTransmissionUHT33300</v>
      </c>
      <c r="BE41" s="9" t="str">
        <f>CONCATENATE(TKA[[#This Row],[Supply Level]],TKA[[#This Row],[Station/Feeder]],TKA[[#This Row],[Voltage]],TKA[[#This Row],[Lowest A-PTX]])</f>
        <v>SubTransmissionUHT33300</v>
      </c>
      <c r="BF41" s="9">
        <f>IF(MIN(TKA[[#This Row],[Summ Cont Winter A]]:TKA[[#This Row],[Cable Derating]])=0,"",MIN(TKA[[#This Row],[Summ Cont Winter A]]:TKA[[#This Row],[Cable Derating]]))</f>
        <v>17.147302994931884</v>
      </c>
      <c r="BG41" s="9">
        <f>IFERROR(TKA[[#This Row],[Lowest MVA]]*1000/(TKA[[#This Row],[Voltage]]*SQRT(3)),"")</f>
        <v>300</v>
      </c>
      <c r="BH41" s="9">
        <f t="shared" si="80"/>
        <v>300</v>
      </c>
      <c r="BI41" s="9" t="str">
        <f>TKA[[#This Row],[From]]</f>
        <v>M34</v>
      </c>
      <c r="BJ41" s="9" t="str">
        <f>TKA[[#This Row],[To]]</f>
        <v>M73</v>
      </c>
      <c r="BK41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Link-M36</v>
      </c>
      <c r="BL41" s="9">
        <f>TKA[[#This Row],[Voltage]]</f>
        <v>33</v>
      </c>
    </row>
    <row r="42" spans="1:64" s="1" customFormat="1" ht="15" customHeight="1" x14ac:dyDescent="0.25">
      <c r="A42" s="6" t="str">
        <f>CONCATENATE(TKA[[#This Row],[Supply Level]],TKA[[#This Row],[Station/Feeder]],TKA[[#This Row],[Voltage]])</f>
        <v>SubTransmissionUHT33</v>
      </c>
      <c r="B42" s="6" t="str">
        <f>CONCATENATE(TKA[[#This Row],[Supply Level]],TKA[[#This Row],[Station/Feeder]],TKA[[#This Row],[Equipment ID]],TKA[[#This Row],[Voltage]],TKA[[#This Row],[Device type]])</f>
        <v>SubTransmissionUHTDOG33-</v>
      </c>
      <c r="C42" s="6" t="s">
        <v>1245</v>
      </c>
      <c r="D42" s="6" t="s">
        <v>163</v>
      </c>
      <c r="E42" s="7" t="s">
        <v>396</v>
      </c>
      <c r="F42" s="7" t="s">
        <v>402</v>
      </c>
      <c r="G42" s="57">
        <v>5</v>
      </c>
      <c r="H42" s="46" t="s">
        <v>1289</v>
      </c>
      <c r="I42" s="46" t="s">
        <v>318</v>
      </c>
      <c r="J42" s="46" t="s">
        <v>69</v>
      </c>
      <c r="K42" s="46" t="s">
        <v>0</v>
      </c>
      <c r="L42" s="46" t="s">
        <v>0</v>
      </c>
      <c r="M42" s="57">
        <v>33</v>
      </c>
      <c r="N42" s="9">
        <v>343.69342642524197</v>
      </c>
      <c r="O42" s="9">
        <f t="shared" si="101"/>
        <v>19.644717734266511</v>
      </c>
      <c r="P42" s="9" t="s">
        <v>0</v>
      </c>
      <c r="Q42" s="9" t="str">
        <f t="shared" si="102"/>
        <v>-</v>
      </c>
      <c r="R42" s="9">
        <v>256.85852310343915</v>
      </c>
      <c r="S42" s="9">
        <f t="shared" si="103"/>
        <v>14.681436408284609</v>
      </c>
      <c r="T42" s="9" t="s">
        <v>0</v>
      </c>
      <c r="U42" s="9" t="str">
        <f t="shared" si="104"/>
        <v>-</v>
      </c>
      <c r="V42" s="9" t="s">
        <v>0</v>
      </c>
      <c r="W42" s="9" t="str">
        <f t="shared" si="105"/>
        <v>-</v>
      </c>
      <c r="X42" s="9" t="s">
        <v>0</v>
      </c>
      <c r="Y42" s="9" t="str">
        <f t="shared" si="106"/>
        <v>-</v>
      </c>
      <c r="Z42" s="9" t="s">
        <v>0</v>
      </c>
      <c r="AA42" s="9" t="str">
        <f t="shared" si="107"/>
        <v>-</v>
      </c>
      <c r="AB42" s="9" t="s">
        <v>0</v>
      </c>
      <c r="AC42" s="9" t="str">
        <f t="shared" si="108"/>
        <v>-</v>
      </c>
      <c r="AD42" s="9" t="s">
        <v>0</v>
      </c>
      <c r="AE42" s="9" t="str">
        <f t="shared" si="109"/>
        <v>-</v>
      </c>
      <c r="AF42" s="9" t="s">
        <v>0</v>
      </c>
      <c r="AG42" s="9" t="s">
        <v>0</v>
      </c>
      <c r="AH42" s="9">
        <v>8736.4</v>
      </c>
      <c r="AI42" s="9" t="s">
        <v>0</v>
      </c>
      <c r="AJ42" s="9" t="s">
        <v>0</v>
      </c>
      <c r="AK42" s="9" t="s">
        <v>0</v>
      </c>
      <c r="AL42" s="43" t="s">
        <v>0</v>
      </c>
      <c r="AM42" s="9" t="s">
        <v>0</v>
      </c>
      <c r="AN42" s="43" t="s">
        <v>0</v>
      </c>
      <c r="AO42" s="9" t="s">
        <v>0</v>
      </c>
      <c r="AP42" s="9" t="s">
        <v>0</v>
      </c>
      <c r="AQ42" s="43" t="s">
        <v>0</v>
      </c>
      <c r="AR42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42" s="9" t="str">
        <f t="shared" si="110"/>
        <v>-</v>
      </c>
      <c r="AT42" s="9">
        <f>IF(RIGHT(TKA[[#This Row],[Device type]],7)="Winding","-",TKA[[#This Row],[Cont Winter MVA]])</f>
        <v>19.644717734266511</v>
      </c>
      <c r="AU42" s="9" t="str">
        <f>IF(RIGHT(TKA[[#This Row],[Device type]],7)="Winding","-",TKA[[#This Row],[Cont Shoulder MVA]])</f>
        <v>-</v>
      </c>
      <c r="AV42" s="9">
        <f>IF(RIGHT(TKA[[#This Row],[Device type]],7)="Winding","-",TKA[[#This Row],[Cont Summer MVA]])</f>
        <v>14.681436408284609</v>
      </c>
      <c r="AW42" s="9" t="str">
        <f>TKA[[#This Row],[24 Hr Winter MVA]]</f>
        <v>-</v>
      </c>
      <c r="AX42" s="9" t="str">
        <f>TKA[[#This Row],[24 Hr Summer MVA]]</f>
        <v>-</v>
      </c>
      <c r="AY42" s="9" t="str">
        <f>TKA[[#This Row],[Forwards MVA]]</f>
        <v>-</v>
      </c>
      <c r="AZ42" s="9" t="str">
        <f>TKA[[#This Row],[Relay MVA]]</f>
        <v>-</v>
      </c>
      <c r="BA42" s="9" t="str">
        <f>TKA[[#This Row],[CT MVA]]</f>
        <v>-</v>
      </c>
      <c r="BB42" s="9" t="str">
        <f>TKA[[#This Row],[Derating MVA]]</f>
        <v>-</v>
      </c>
      <c r="BC42" s="9" t="str">
        <f>TKA[[#This Row],[Station/Feeder]]&amp;TKA[[#This Row],[Lowest MVA]]</f>
        <v>UHT14.6814364082846</v>
      </c>
      <c r="BD42" s="9" t="str">
        <f>CONCATENATE(TKA[[#This Row],[Supply Level]],TKA[[#This Row],[Station/Feeder]],TKA[[#This Row],[Voltage]],TKA[[#This Row],[Lowest A-No PTX]])</f>
        <v>SubTransmissionUHT33256.858523103439</v>
      </c>
      <c r="BE42" s="9" t="str">
        <f>CONCATENATE(TKA[[#This Row],[Supply Level]],TKA[[#This Row],[Station/Feeder]],TKA[[#This Row],[Voltage]],TKA[[#This Row],[Lowest A-PTX]])</f>
        <v>SubTransmissionUHT33256.858523103439</v>
      </c>
      <c r="BF42" s="9">
        <f>IF(MIN(TKA[[#This Row],[Summ Cont Winter A]]:TKA[[#This Row],[Cable Derating]])=0,"",MIN(TKA[[#This Row],[Summ Cont Winter A]]:TKA[[#This Row],[Cable Derating]]))</f>
        <v>14.681436408284609</v>
      </c>
      <c r="BG42" s="9">
        <f>IFERROR(TKA[[#This Row],[Lowest MVA]]*1000/(TKA[[#This Row],[Voltage]]*SQRT(3)),"")</f>
        <v>256.85852310343915</v>
      </c>
      <c r="BH42" s="9">
        <f t="shared" si="80"/>
        <v>256.85852310343915</v>
      </c>
      <c r="BI42" s="9" t="str">
        <f>TKA[[#This Row],[From]]</f>
        <v>M34</v>
      </c>
      <c r="BJ42" s="9" t="str">
        <f>TKA[[#This Row],[To]]</f>
        <v>M73</v>
      </c>
      <c r="BK42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Line-DOG</v>
      </c>
      <c r="BL42" s="9">
        <f>TKA[[#This Row],[Voltage]]</f>
        <v>33</v>
      </c>
    </row>
    <row r="43" spans="1:64" s="1" customFormat="1" ht="15" customHeight="1" x14ac:dyDescent="0.25">
      <c r="A43" s="6" t="str">
        <f>CONCATENATE(TKA[[#This Row],[Supply Level]],TKA[[#This Row],[Station/Feeder]],TKA[[#This Row],[Voltage]])</f>
        <v>SubTransmissionUHT33</v>
      </c>
      <c r="B43" s="6" t="str">
        <f>CONCATENATE(TKA[[#This Row],[Supply Level]],TKA[[#This Row],[Station/Feeder]],TKA[[#This Row],[Equipment ID]],TKA[[#This Row],[Voltage]],TKA[[#This Row],[Device type]])</f>
        <v>SubTransmissionUHTFLOUNDER33-</v>
      </c>
      <c r="C43" s="6" t="s">
        <v>1245</v>
      </c>
      <c r="D43" s="6" t="s">
        <v>163</v>
      </c>
      <c r="E43" s="7" t="s">
        <v>396</v>
      </c>
      <c r="F43" s="7" t="s">
        <v>402</v>
      </c>
      <c r="G43" s="57">
        <v>6</v>
      </c>
      <c r="H43" s="46" t="s">
        <v>1289</v>
      </c>
      <c r="I43" s="46" t="s">
        <v>401</v>
      </c>
      <c r="J43" s="46" t="s">
        <v>69</v>
      </c>
      <c r="K43" s="46" t="s">
        <v>0</v>
      </c>
      <c r="L43" s="46" t="s">
        <v>0</v>
      </c>
      <c r="M43" s="57">
        <v>33</v>
      </c>
      <c r="N43" s="9">
        <v>128</v>
      </c>
      <c r="O43" s="9">
        <f t="shared" si="101"/>
        <v>7.3161826111709374</v>
      </c>
      <c r="P43" s="9" t="s">
        <v>0</v>
      </c>
      <c r="Q43" s="9" t="str">
        <f t="shared" si="102"/>
        <v>-</v>
      </c>
      <c r="R43" s="9">
        <v>98</v>
      </c>
      <c r="S43" s="9">
        <f t="shared" si="103"/>
        <v>5.6014523116777495</v>
      </c>
      <c r="T43" s="9" t="s">
        <v>0</v>
      </c>
      <c r="U43" s="9" t="str">
        <f t="shared" si="104"/>
        <v>-</v>
      </c>
      <c r="V43" s="9" t="s">
        <v>0</v>
      </c>
      <c r="W43" s="9" t="str">
        <f t="shared" si="105"/>
        <v>-</v>
      </c>
      <c r="X43" s="9" t="s">
        <v>0</v>
      </c>
      <c r="Y43" s="9" t="str">
        <f t="shared" si="106"/>
        <v>-</v>
      </c>
      <c r="Z43" s="9" t="s">
        <v>0</v>
      </c>
      <c r="AA43" s="9" t="str">
        <f t="shared" si="107"/>
        <v>-</v>
      </c>
      <c r="AB43" s="9" t="s">
        <v>0</v>
      </c>
      <c r="AC43" s="9" t="str">
        <f t="shared" si="108"/>
        <v>-</v>
      </c>
      <c r="AD43" s="9" t="s">
        <v>0</v>
      </c>
      <c r="AE43" s="9" t="str">
        <f t="shared" si="109"/>
        <v>-</v>
      </c>
      <c r="AF43" s="9" t="s">
        <v>0</v>
      </c>
      <c r="AG43" s="9" t="s">
        <v>0</v>
      </c>
      <c r="AH43" s="9">
        <v>217.5</v>
      </c>
      <c r="AI43" s="9" t="s">
        <v>0</v>
      </c>
      <c r="AJ43" s="9" t="s">
        <v>0</v>
      </c>
      <c r="AK43" s="9" t="s">
        <v>0</v>
      </c>
      <c r="AL43" s="43" t="s">
        <v>0</v>
      </c>
      <c r="AM43" s="9" t="s">
        <v>0</v>
      </c>
      <c r="AN43" s="43" t="s">
        <v>0</v>
      </c>
      <c r="AO43" s="9" t="s">
        <v>0</v>
      </c>
      <c r="AP43" s="43" t="s">
        <v>0</v>
      </c>
      <c r="AQ43" s="43" t="s">
        <v>0</v>
      </c>
      <c r="AR43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43" s="9" t="str">
        <f t="shared" si="110"/>
        <v>-</v>
      </c>
      <c r="AT43" s="9">
        <f>IF(RIGHT(TKA[[#This Row],[Device type]],7)="Winding","-",TKA[[#This Row],[Cont Winter MVA]])</f>
        <v>7.3161826111709374</v>
      </c>
      <c r="AU43" s="9" t="str">
        <f>IF(RIGHT(TKA[[#This Row],[Device type]],7)="Winding","-",TKA[[#This Row],[Cont Shoulder MVA]])</f>
        <v>-</v>
      </c>
      <c r="AV43" s="9">
        <f>IF(RIGHT(TKA[[#This Row],[Device type]],7)="Winding","-",TKA[[#This Row],[Cont Summer MVA]])</f>
        <v>5.6014523116777495</v>
      </c>
      <c r="AW43" s="9" t="str">
        <f>TKA[[#This Row],[24 Hr Winter MVA]]</f>
        <v>-</v>
      </c>
      <c r="AX43" s="9" t="str">
        <f>TKA[[#This Row],[24 Hr Summer MVA]]</f>
        <v>-</v>
      </c>
      <c r="AY43" s="9" t="str">
        <f>TKA[[#This Row],[Forwards MVA]]</f>
        <v>-</v>
      </c>
      <c r="AZ43" s="9" t="str">
        <f>TKA[[#This Row],[Relay MVA]]</f>
        <v>-</v>
      </c>
      <c r="BA43" s="9" t="str">
        <f>TKA[[#This Row],[CT MVA]]</f>
        <v>-</v>
      </c>
      <c r="BB43" s="9" t="str">
        <f>TKA[[#This Row],[Derating MVA]]</f>
        <v>-</v>
      </c>
      <c r="BC43" s="9" t="str">
        <f>TKA[[#This Row],[Station/Feeder]]&amp;TKA[[#This Row],[Lowest MVA]]</f>
        <v>UHT5.60145231167775</v>
      </c>
      <c r="BD43" s="9" t="str">
        <f>CONCATENATE(TKA[[#This Row],[Supply Level]],TKA[[#This Row],[Station/Feeder]],TKA[[#This Row],[Voltage]],TKA[[#This Row],[Lowest A-No PTX]])</f>
        <v>SubTransmissionUHT3398</v>
      </c>
      <c r="BE43" s="9" t="str">
        <f>CONCATENATE(TKA[[#This Row],[Supply Level]],TKA[[#This Row],[Station/Feeder]],TKA[[#This Row],[Voltage]],TKA[[#This Row],[Lowest A-PTX]])</f>
        <v>SubTransmissionUHT3398</v>
      </c>
      <c r="BF43" s="9">
        <f>IF(MIN(TKA[[#This Row],[Summ Cont Winter A]]:TKA[[#This Row],[Cable Derating]])=0,"",MIN(TKA[[#This Row],[Summ Cont Winter A]]:TKA[[#This Row],[Cable Derating]]))</f>
        <v>5.6014523116777495</v>
      </c>
      <c r="BG43" s="9">
        <f>IFERROR(TKA[[#This Row],[Lowest MVA]]*1000/(TKA[[#This Row],[Voltage]]*SQRT(3)),"")</f>
        <v>98.000000000000014</v>
      </c>
      <c r="BH43" s="9">
        <f t="shared" si="80"/>
        <v>98</v>
      </c>
      <c r="BI43" s="9" t="str">
        <f>TKA[[#This Row],[From]]</f>
        <v>M34</v>
      </c>
      <c r="BJ43" s="9" t="str">
        <f>TKA[[#This Row],[To]]</f>
        <v>M73</v>
      </c>
      <c r="BK43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Line-FLOUNDER</v>
      </c>
      <c r="BL43" s="9">
        <f>TKA[[#This Row],[Voltage]]</f>
        <v>33</v>
      </c>
    </row>
    <row r="44" spans="1:64" s="1" customFormat="1" ht="15" customHeight="1" x14ac:dyDescent="0.25">
      <c r="A44" s="6" t="str">
        <f>CONCATENATE(TKA[[#This Row],[Supply Level]],TKA[[#This Row],[Station/Feeder]],TKA[[#This Row],[Voltage]])</f>
        <v>SubTransmissionUHT33</v>
      </c>
      <c r="B44" s="6" t="str">
        <f>CONCATENATE(TKA[[#This Row],[Supply Level]],TKA[[#This Row],[Station/Feeder]],TKA[[#This Row],[Equipment ID]],TKA[[#This Row],[Voltage]],TKA[[#This Row],[Device type]])</f>
        <v>SubTransmissionUHTM7333-</v>
      </c>
      <c r="C44" s="6" t="s">
        <v>1245</v>
      </c>
      <c r="D44" s="6" t="s">
        <v>163</v>
      </c>
      <c r="E44" s="7" t="s">
        <v>402</v>
      </c>
      <c r="F44" s="7" t="s">
        <v>403</v>
      </c>
      <c r="G44" s="57">
        <v>7</v>
      </c>
      <c r="H44" s="46" t="s">
        <v>273</v>
      </c>
      <c r="I44" s="46" t="s">
        <v>402</v>
      </c>
      <c r="J44" s="46" t="s">
        <v>240</v>
      </c>
      <c r="K44" s="46" t="s">
        <v>0</v>
      </c>
      <c r="L44" s="46" t="s">
        <v>0</v>
      </c>
      <c r="M44" s="57">
        <v>33</v>
      </c>
      <c r="N44" s="9">
        <v>400</v>
      </c>
      <c r="O44" s="9">
        <f t="shared" si="101"/>
        <v>22.86307065990918</v>
      </c>
      <c r="P44" s="9">
        <v>400</v>
      </c>
      <c r="Q44" s="9">
        <f t="shared" si="102"/>
        <v>22.86307065990918</v>
      </c>
      <c r="R44" s="9">
        <v>400</v>
      </c>
      <c r="S44" s="9">
        <f t="shared" si="103"/>
        <v>22.86307065990918</v>
      </c>
      <c r="T44" s="9" t="s">
        <v>0</v>
      </c>
      <c r="U44" s="9" t="str">
        <f t="shared" si="104"/>
        <v>-</v>
      </c>
      <c r="V44" s="9" t="s">
        <v>0</v>
      </c>
      <c r="W44" s="9" t="str">
        <f t="shared" si="105"/>
        <v>-</v>
      </c>
      <c r="X44" s="9" t="s">
        <v>0</v>
      </c>
      <c r="Y44" s="9" t="str">
        <f t="shared" si="106"/>
        <v>-</v>
      </c>
      <c r="Z44" s="9" t="s">
        <v>0</v>
      </c>
      <c r="AA44" s="9" t="str">
        <f t="shared" si="107"/>
        <v>-</v>
      </c>
      <c r="AB44" s="9" t="s">
        <v>0</v>
      </c>
      <c r="AC44" s="9" t="str">
        <f t="shared" si="108"/>
        <v>-</v>
      </c>
      <c r="AD44" s="9" t="s">
        <v>0</v>
      </c>
      <c r="AE44" s="9" t="str">
        <f t="shared" si="109"/>
        <v>-</v>
      </c>
      <c r="AF44" s="9" t="s">
        <v>0</v>
      </c>
      <c r="AG44" s="9" t="s">
        <v>0</v>
      </c>
      <c r="AH44" s="9" t="s">
        <v>0</v>
      </c>
      <c r="AI44" s="9" t="s">
        <v>0</v>
      </c>
      <c r="AJ44" s="9" t="s">
        <v>0</v>
      </c>
      <c r="AK44" s="9" t="s">
        <v>0</v>
      </c>
      <c r="AL44" s="43" t="s">
        <v>0</v>
      </c>
      <c r="AM44" s="9" t="s">
        <v>0</v>
      </c>
      <c r="AN44" s="43" t="s">
        <v>0</v>
      </c>
      <c r="AO44" s="9" t="s">
        <v>0</v>
      </c>
      <c r="AP44" s="43" t="s">
        <v>0</v>
      </c>
      <c r="AQ44" s="43" t="s">
        <v>0</v>
      </c>
      <c r="AR44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44" s="9" t="str">
        <f t="shared" si="110"/>
        <v>-</v>
      </c>
      <c r="AT44" s="9">
        <f>IF(RIGHT(TKA[[#This Row],[Device type]],7)="Winding","-",TKA[[#This Row],[Cont Winter MVA]])</f>
        <v>22.86307065990918</v>
      </c>
      <c r="AU44" s="9">
        <f>IF(RIGHT(TKA[[#This Row],[Device type]],7)="Winding","-",TKA[[#This Row],[Cont Shoulder MVA]])</f>
        <v>22.86307065990918</v>
      </c>
      <c r="AV44" s="9">
        <f>IF(RIGHT(TKA[[#This Row],[Device type]],7)="Winding","-",TKA[[#This Row],[Cont Summer MVA]])</f>
        <v>22.86307065990918</v>
      </c>
      <c r="AW44" s="9" t="str">
        <f>TKA[[#This Row],[24 Hr Winter MVA]]</f>
        <v>-</v>
      </c>
      <c r="AX44" s="9" t="str">
        <f>TKA[[#This Row],[24 Hr Summer MVA]]</f>
        <v>-</v>
      </c>
      <c r="AY44" s="9" t="str">
        <f>TKA[[#This Row],[Forwards MVA]]</f>
        <v>-</v>
      </c>
      <c r="AZ44" s="9" t="str">
        <f>TKA[[#This Row],[Relay MVA]]</f>
        <v>-</v>
      </c>
      <c r="BA44" s="9" t="str">
        <f>TKA[[#This Row],[CT MVA]]</f>
        <v>-</v>
      </c>
      <c r="BB44" s="9" t="str">
        <f>TKA[[#This Row],[Derating MVA]]</f>
        <v>-</v>
      </c>
      <c r="BC44" s="9" t="str">
        <f>TKA[[#This Row],[Station/Feeder]]&amp;TKA[[#This Row],[Lowest MVA]]</f>
        <v>UHT22.8630706599092</v>
      </c>
      <c r="BD44" s="9" t="str">
        <f>CONCATENATE(TKA[[#This Row],[Supply Level]],TKA[[#This Row],[Station/Feeder]],TKA[[#This Row],[Voltage]],TKA[[#This Row],[Lowest A-No PTX]])</f>
        <v>SubTransmissionUHT33400</v>
      </c>
      <c r="BE44" s="9" t="str">
        <f>CONCATENATE(TKA[[#This Row],[Supply Level]],TKA[[#This Row],[Station/Feeder]],TKA[[#This Row],[Voltage]],TKA[[#This Row],[Lowest A-PTX]])</f>
        <v>SubTransmissionUHT33400</v>
      </c>
      <c r="BF44" s="9">
        <f>IF(MIN(TKA[[#This Row],[Summ Cont Winter A]]:TKA[[#This Row],[Cable Derating]])=0,"",MIN(TKA[[#This Row],[Summ Cont Winter A]]:TKA[[#This Row],[Cable Derating]]))</f>
        <v>22.86307065990918</v>
      </c>
      <c r="BG44" s="9">
        <f>IFERROR(TKA[[#This Row],[Lowest MVA]]*1000/(TKA[[#This Row],[Voltage]]*SQRT(3)),"")</f>
        <v>400</v>
      </c>
      <c r="BH44" s="9">
        <f t="shared" si="80"/>
        <v>400</v>
      </c>
      <c r="BI44" s="9" t="str">
        <f>TKA[[#This Row],[From]]</f>
        <v>M73</v>
      </c>
      <c r="BJ44" s="9" t="str">
        <f>TKA[[#This Row],[To]]</f>
        <v>M61</v>
      </c>
      <c r="BK44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ABS-M73</v>
      </c>
      <c r="BL44" s="9">
        <f>TKA[[#This Row],[Voltage]]</f>
        <v>33</v>
      </c>
    </row>
    <row r="45" spans="1:64" s="1" customFormat="1" ht="15" customHeight="1" x14ac:dyDescent="0.25">
      <c r="A45" s="6" t="str">
        <f>CONCATENATE(TKA[[#This Row],[Supply Level]],TKA[[#This Row],[Station/Feeder]],TKA[[#This Row],[Voltage]])</f>
        <v>SubTransmissionUHT33</v>
      </c>
      <c r="B45" s="6" t="str">
        <f>CONCATENATE(TKA[[#This Row],[Supply Level]],TKA[[#This Row],[Station/Feeder]],TKA[[#This Row],[Equipment ID]],TKA[[#This Row],[Voltage]],TKA[[#This Row],[Device type]])</f>
        <v>SubTransmissionUHTFLOUNDER33-</v>
      </c>
      <c r="C45" s="6" t="s">
        <v>1245</v>
      </c>
      <c r="D45" s="6" t="s">
        <v>163</v>
      </c>
      <c r="E45" s="7" t="s">
        <v>402</v>
      </c>
      <c r="F45" s="7" t="s">
        <v>403</v>
      </c>
      <c r="G45" s="57">
        <v>8</v>
      </c>
      <c r="H45" s="46" t="s">
        <v>1289</v>
      </c>
      <c r="I45" s="46" t="s">
        <v>401</v>
      </c>
      <c r="J45" s="46" t="s">
        <v>69</v>
      </c>
      <c r="K45" s="46" t="s">
        <v>0</v>
      </c>
      <c r="L45" s="46" t="s">
        <v>0</v>
      </c>
      <c r="M45" s="57">
        <v>33</v>
      </c>
      <c r="N45" s="9">
        <v>128</v>
      </c>
      <c r="O45" s="9">
        <f t="shared" si="101"/>
        <v>7.3161826111709374</v>
      </c>
      <c r="P45" s="9" t="s">
        <v>0</v>
      </c>
      <c r="Q45" s="9" t="str">
        <f t="shared" si="102"/>
        <v>-</v>
      </c>
      <c r="R45" s="9">
        <v>98</v>
      </c>
      <c r="S45" s="9">
        <f t="shared" si="103"/>
        <v>5.6014523116777495</v>
      </c>
      <c r="T45" s="9" t="s">
        <v>0</v>
      </c>
      <c r="U45" s="9" t="str">
        <f t="shared" si="104"/>
        <v>-</v>
      </c>
      <c r="V45" s="9" t="s">
        <v>0</v>
      </c>
      <c r="W45" s="9" t="str">
        <f t="shared" si="105"/>
        <v>-</v>
      </c>
      <c r="X45" s="9" t="s">
        <v>0</v>
      </c>
      <c r="Y45" s="9" t="str">
        <f t="shared" si="106"/>
        <v>-</v>
      </c>
      <c r="Z45" s="9" t="s">
        <v>0</v>
      </c>
      <c r="AA45" s="9" t="str">
        <f t="shared" si="107"/>
        <v>-</v>
      </c>
      <c r="AB45" s="9" t="s">
        <v>0</v>
      </c>
      <c r="AC45" s="9" t="str">
        <f t="shared" si="108"/>
        <v>-</v>
      </c>
      <c r="AD45" s="9" t="s">
        <v>0</v>
      </c>
      <c r="AE45" s="9" t="str">
        <f t="shared" si="109"/>
        <v>-</v>
      </c>
      <c r="AF45" s="9" t="s">
        <v>0</v>
      </c>
      <c r="AG45" s="9" t="s">
        <v>0</v>
      </c>
      <c r="AH45" s="9">
        <v>9683.2999999999993</v>
      </c>
      <c r="AI45" s="9" t="s">
        <v>0</v>
      </c>
      <c r="AJ45" s="9" t="s">
        <v>0</v>
      </c>
      <c r="AK45" s="9" t="s">
        <v>0</v>
      </c>
      <c r="AL45" s="43" t="s">
        <v>0</v>
      </c>
      <c r="AM45" s="9" t="s">
        <v>0</v>
      </c>
      <c r="AN45" s="43" t="s">
        <v>0</v>
      </c>
      <c r="AO45" s="9" t="s">
        <v>0</v>
      </c>
      <c r="AP45" s="43" t="s">
        <v>0</v>
      </c>
      <c r="AQ45" s="43" t="s">
        <v>0</v>
      </c>
      <c r="AR45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45" s="9" t="str">
        <f t="shared" si="110"/>
        <v>-</v>
      </c>
      <c r="AT45" s="9">
        <f>IF(RIGHT(TKA[[#This Row],[Device type]],7)="Winding","-",TKA[[#This Row],[Cont Winter MVA]])</f>
        <v>7.3161826111709374</v>
      </c>
      <c r="AU45" s="9" t="str">
        <f>IF(RIGHT(TKA[[#This Row],[Device type]],7)="Winding","-",TKA[[#This Row],[Cont Shoulder MVA]])</f>
        <v>-</v>
      </c>
      <c r="AV45" s="9">
        <f>IF(RIGHT(TKA[[#This Row],[Device type]],7)="Winding","-",TKA[[#This Row],[Cont Summer MVA]])</f>
        <v>5.6014523116777495</v>
      </c>
      <c r="AW45" s="9" t="str">
        <f>TKA[[#This Row],[24 Hr Winter MVA]]</f>
        <v>-</v>
      </c>
      <c r="AX45" s="9" t="str">
        <f>TKA[[#This Row],[24 Hr Summer MVA]]</f>
        <v>-</v>
      </c>
      <c r="AY45" s="9" t="str">
        <f>TKA[[#This Row],[Forwards MVA]]</f>
        <v>-</v>
      </c>
      <c r="AZ45" s="9" t="str">
        <f>TKA[[#This Row],[Relay MVA]]</f>
        <v>-</v>
      </c>
      <c r="BA45" s="9" t="str">
        <f>TKA[[#This Row],[CT MVA]]</f>
        <v>-</v>
      </c>
      <c r="BB45" s="9" t="str">
        <f>TKA[[#This Row],[Derating MVA]]</f>
        <v>-</v>
      </c>
      <c r="BC45" s="9" t="str">
        <f>TKA[[#This Row],[Station/Feeder]]&amp;TKA[[#This Row],[Lowest MVA]]</f>
        <v>UHT5.60145231167775</v>
      </c>
      <c r="BD45" s="9" t="str">
        <f>CONCATENATE(TKA[[#This Row],[Supply Level]],TKA[[#This Row],[Station/Feeder]],TKA[[#This Row],[Voltage]],TKA[[#This Row],[Lowest A-No PTX]])</f>
        <v>SubTransmissionUHT3398</v>
      </c>
      <c r="BE45" s="9" t="str">
        <f>CONCATENATE(TKA[[#This Row],[Supply Level]],TKA[[#This Row],[Station/Feeder]],TKA[[#This Row],[Voltage]],TKA[[#This Row],[Lowest A-PTX]])</f>
        <v>SubTransmissionUHT3398</v>
      </c>
      <c r="BF45" s="9">
        <f>IF(MIN(TKA[[#This Row],[Summ Cont Winter A]]:TKA[[#This Row],[Cable Derating]])=0,"",MIN(TKA[[#This Row],[Summ Cont Winter A]]:TKA[[#This Row],[Cable Derating]]))</f>
        <v>5.6014523116777495</v>
      </c>
      <c r="BG45" s="9">
        <f>IFERROR(TKA[[#This Row],[Lowest MVA]]*1000/(TKA[[#This Row],[Voltage]]*SQRT(3)),"")</f>
        <v>98.000000000000014</v>
      </c>
      <c r="BH45" s="9">
        <f t="shared" si="80"/>
        <v>98</v>
      </c>
      <c r="BI45" s="9" t="str">
        <f>TKA[[#This Row],[From]]</f>
        <v>M73</v>
      </c>
      <c r="BJ45" s="9" t="str">
        <f>TKA[[#This Row],[To]]</f>
        <v>M61</v>
      </c>
      <c r="BK45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Line-FLOUNDER</v>
      </c>
      <c r="BL45" s="9">
        <f>TKA[[#This Row],[Voltage]]</f>
        <v>33</v>
      </c>
    </row>
    <row r="46" spans="1:64" s="1" customFormat="1" ht="15" customHeight="1" x14ac:dyDescent="0.25">
      <c r="A46" s="6" t="str">
        <f>CONCATENATE(TKA[[#This Row],[Supply Level]],TKA[[#This Row],[Station/Feeder]],TKA[[#This Row],[Voltage]])</f>
        <v>SubTransmissionUHT33</v>
      </c>
      <c r="B46" s="6" t="str">
        <f>CONCATENATE(TKA[[#This Row],[Supply Level]],TKA[[#This Row],[Station/Feeder]],TKA[[#This Row],[Equipment ID]],TKA[[#This Row],[Voltage]],TKA[[#This Row],[Device type]])</f>
        <v>SubTransmissionUHTMINK33-</v>
      </c>
      <c r="C46" s="6" t="s">
        <v>1245</v>
      </c>
      <c r="D46" s="6" t="s">
        <v>163</v>
      </c>
      <c r="E46" s="7" t="s">
        <v>403</v>
      </c>
      <c r="F46" s="7" t="s">
        <v>404</v>
      </c>
      <c r="G46" s="57">
        <v>9</v>
      </c>
      <c r="H46" s="46" t="s">
        <v>1289</v>
      </c>
      <c r="I46" s="46" t="s">
        <v>282</v>
      </c>
      <c r="J46" s="46" t="s">
        <v>69</v>
      </c>
      <c r="K46" s="46" t="s">
        <v>0</v>
      </c>
      <c r="L46" s="46" t="s">
        <v>0</v>
      </c>
      <c r="M46" s="57">
        <v>33</v>
      </c>
      <c r="N46" s="9">
        <v>250.58233772128858</v>
      </c>
      <c r="O46" s="9">
        <f t="shared" si="101"/>
        <v>14.322704233617616</v>
      </c>
      <c r="P46" s="9" t="s">
        <v>0</v>
      </c>
      <c r="Q46" s="9" t="str">
        <f t="shared" si="102"/>
        <v>-</v>
      </c>
      <c r="R46" s="9">
        <v>188.62660722014468</v>
      </c>
      <c r="S46" s="9">
        <f t="shared" si="103"/>
        <v>10.781458623032757</v>
      </c>
      <c r="T46" s="9" t="s">
        <v>0</v>
      </c>
      <c r="U46" s="9" t="str">
        <f t="shared" si="104"/>
        <v>-</v>
      </c>
      <c r="V46" s="9" t="s">
        <v>0</v>
      </c>
      <c r="W46" s="9" t="str">
        <f t="shared" si="105"/>
        <v>-</v>
      </c>
      <c r="X46" s="9" t="s">
        <v>0</v>
      </c>
      <c r="Y46" s="9" t="str">
        <f t="shared" si="106"/>
        <v>-</v>
      </c>
      <c r="Z46" s="9" t="s">
        <v>0</v>
      </c>
      <c r="AA46" s="9" t="str">
        <f t="shared" si="107"/>
        <v>-</v>
      </c>
      <c r="AB46" s="9" t="s">
        <v>0</v>
      </c>
      <c r="AC46" s="9" t="str">
        <f t="shared" si="108"/>
        <v>-</v>
      </c>
      <c r="AD46" s="9" t="s">
        <v>0</v>
      </c>
      <c r="AE46" s="9" t="str">
        <f t="shared" si="109"/>
        <v>-</v>
      </c>
      <c r="AF46" s="9" t="s">
        <v>0</v>
      </c>
      <c r="AG46" s="9" t="s">
        <v>0</v>
      </c>
      <c r="AH46" s="9">
        <f>62.2+41.8</f>
        <v>104</v>
      </c>
      <c r="AI46" s="9" t="s">
        <v>0</v>
      </c>
      <c r="AJ46" s="9" t="s">
        <v>0</v>
      </c>
      <c r="AK46" s="9" t="s">
        <v>0</v>
      </c>
      <c r="AL46" s="43" t="s">
        <v>0</v>
      </c>
      <c r="AM46" s="9" t="s">
        <v>0</v>
      </c>
      <c r="AN46" s="43" t="s">
        <v>0</v>
      </c>
      <c r="AO46" s="9" t="s">
        <v>0</v>
      </c>
      <c r="AP46" s="43" t="s">
        <v>0</v>
      </c>
      <c r="AQ46" s="43" t="s">
        <v>0</v>
      </c>
      <c r="AR46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46" s="9" t="str">
        <f t="shared" si="110"/>
        <v>-</v>
      </c>
      <c r="AT46" s="9">
        <f>IF(RIGHT(TKA[[#This Row],[Device type]],7)="Winding","-",TKA[[#This Row],[Cont Winter MVA]])</f>
        <v>14.322704233617616</v>
      </c>
      <c r="AU46" s="9" t="str">
        <f>IF(RIGHT(TKA[[#This Row],[Device type]],7)="Winding","-",TKA[[#This Row],[Cont Shoulder MVA]])</f>
        <v>-</v>
      </c>
      <c r="AV46" s="9">
        <f>IF(RIGHT(TKA[[#This Row],[Device type]],7)="Winding","-",TKA[[#This Row],[Cont Summer MVA]])</f>
        <v>10.781458623032757</v>
      </c>
      <c r="AW46" s="9" t="str">
        <f>TKA[[#This Row],[24 Hr Winter MVA]]</f>
        <v>-</v>
      </c>
      <c r="AX46" s="9" t="str">
        <f>TKA[[#This Row],[24 Hr Summer MVA]]</f>
        <v>-</v>
      </c>
      <c r="AY46" s="9" t="str">
        <f>TKA[[#This Row],[Forwards MVA]]</f>
        <v>-</v>
      </c>
      <c r="AZ46" s="9" t="str">
        <f>TKA[[#This Row],[Relay MVA]]</f>
        <v>-</v>
      </c>
      <c r="BA46" s="9" t="str">
        <f>TKA[[#This Row],[CT MVA]]</f>
        <v>-</v>
      </c>
      <c r="BB46" s="9" t="str">
        <f>TKA[[#This Row],[Derating MVA]]</f>
        <v>-</v>
      </c>
      <c r="BC46" s="9" t="str">
        <f>TKA[[#This Row],[Station/Feeder]]&amp;TKA[[#This Row],[Lowest MVA]]</f>
        <v>UHT10.7814586230328</v>
      </c>
      <c r="BD46" s="9" t="str">
        <f>CONCATENATE(TKA[[#This Row],[Supply Level]],TKA[[#This Row],[Station/Feeder]],TKA[[#This Row],[Voltage]],TKA[[#This Row],[Lowest A-No PTX]])</f>
        <v>SubTransmissionUHT33188.626607220145</v>
      </c>
      <c r="BE46" s="9" t="str">
        <f>CONCATENATE(TKA[[#This Row],[Supply Level]],TKA[[#This Row],[Station/Feeder]],TKA[[#This Row],[Voltage]],TKA[[#This Row],[Lowest A-PTX]])</f>
        <v>SubTransmissionUHT33188.626607220145</v>
      </c>
      <c r="BF46" s="9">
        <f>IF(MIN(TKA[[#This Row],[Summ Cont Winter A]]:TKA[[#This Row],[Cable Derating]])=0,"",MIN(TKA[[#This Row],[Summ Cont Winter A]]:TKA[[#This Row],[Cable Derating]]))</f>
        <v>10.781458623032757</v>
      </c>
      <c r="BG46" s="9">
        <f>IFERROR(TKA[[#This Row],[Lowest MVA]]*1000/(TKA[[#This Row],[Voltage]]*SQRT(3)),"")</f>
        <v>188.62660722014468</v>
      </c>
      <c r="BH46" s="9">
        <f t="shared" si="80"/>
        <v>188.62660722014468</v>
      </c>
      <c r="BI46" s="9" t="str">
        <f>TKA[[#This Row],[From]]</f>
        <v>M61</v>
      </c>
      <c r="BJ46" s="9" t="str">
        <f>TKA[[#This Row],[To]]</f>
        <v>M271</v>
      </c>
      <c r="BK46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Line-MINK</v>
      </c>
      <c r="BL46" s="9">
        <f>TKA[[#This Row],[Voltage]]</f>
        <v>33</v>
      </c>
    </row>
    <row r="47" spans="1:64" s="1" customFormat="1" ht="15" customHeight="1" x14ac:dyDescent="0.25">
      <c r="A47" s="6" t="str">
        <f>CONCATENATE(TKA[[#This Row],[Supply Level]],TKA[[#This Row],[Station/Feeder]],TKA[[#This Row],[Voltage]])</f>
        <v>SubTransmissionUHT33</v>
      </c>
      <c r="B47" s="6" t="str">
        <f>CONCATENATE(TKA[[#This Row],[Supply Level]],TKA[[#This Row],[Station/Feeder]],TKA[[#This Row],[Equipment ID]],TKA[[#This Row],[Voltage]],TKA[[#This Row],[Device type]])</f>
        <v>SubTransmissionUHTM27133-</v>
      </c>
      <c r="C47" s="6" t="s">
        <v>1245</v>
      </c>
      <c r="D47" s="6" t="s">
        <v>163</v>
      </c>
      <c r="E47" s="7" t="s">
        <v>404</v>
      </c>
      <c r="F47" s="7" t="s">
        <v>407</v>
      </c>
      <c r="G47" s="57">
        <v>10</v>
      </c>
      <c r="H47" s="46" t="s">
        <v>273</v>
      </c>
      <c r="I47" s="46" t="s">
        <v>404</v>
      </c>
      <c r="J47" s="46" t="s">
        <v>249</v>
      </c>
      <c r="K47" s="46" t="s">
        <v>0</v>
      </c>
      <c r="L47" s="46" t="s">
        <v>0</v>
      </c>
      <c r="M47" s="57">
        <v>33</v>
      </c>
      <c r="N47" s="9">
        <v>600</v>
      </c>
      <c r="O47" s="9">
        <f t="shared" si="91"/>
        <v>34.294605989863769</v>
      </c>
      <c r="P47" s="9">
        <v>600</v>
      </c>
      <c r="Q47" s="9">
        <f t="shared" si="92"/>
        <v>34.294605989863769</v>
      </c>
      <c r="R47" s="9">
        <v>600</v>
      </c>
      <c r="S47" s="9">
        <f t="shared" si="93"/>
        <v>34.294605989863769</v>
      </c>
      <c r="T47" s="9" t="s">
        <v>0</v>
      </c>
      <c r="U47" s="9" t="str">
        <f t="shared" si="104"/>
        <v>-</v>
      </c>
      <c r="V47" s="9" t="s">
        <v>0</v>
      </c>
      <c r="W47" s="9" t="str">
        <f t="shared" si="105"/>
        <v>-</v>
      </c>
      <c r="X47" s="9" t="s">
        <v>0</v>
      </c>
      <c r="Y47" s="9" t="str">
        <f t="shared" si="106"/>
        <v>-</v>
      </c>
      <c r="Z47" s="9" t="s">
        <v>0</v>
      </c>
      <c r="AA47" s="9" t="str">
        <f t="shared" si="107"/>
        <v>-</v>
      </c>
      <c r="AB47" s="9" t="s">
        <v>0</v>
      </c>
      <c r="AC47" s="9" t="str">
        <f t="shared" si="108"/>
        <v>-</v>
      </c>
      <c r="AD47" s="9" t="s">
        <v>0</v>
      </c>
      <c r="AE47" s="9" t="str">
        <f t="shared" si="109"/>
        <v>-</v>
      </c>
      <c r="AF47" s="9" t="s">
        <v>0</v>
      </c>
      <c r="AG47" s="9" t="s">
        <v>0</v>
      </c>
      <c r="AH47" s="9" t="s">
        <v>0</v>
      </c>
      <c r="AI47" s="9" t="s">
        <v>0</v>
      </c>
      <c r="AJ47" s="9" t="s">
        <v>0</v>
      </c>
      <c r="AK47" s="9" t="s">
        <v>0</v>
      </c>
      <c r="AL47" s="43" t="s">
        <v>0</v>
      </c>
      <c r="AM47" s="9" t="s">
        <v>0</v>
      </c>
      <c r="AN47" s="43" t="s">
        <v>0</v>
      </c>
      <c r="AO47" s="9" t="s">
        <v>0</v>
      </c>
      <c r="AP47" s="43" t="s">
        <v>0</v>
      </c>
      <c r="AQ47" s="43" t="s">
        <v>0</v>
      </c>
      <c r="AR47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47" s="9" t="str">
        <f t="shared" si="110"/>
        <v>-</v>
      </c>
      <c r="AT47" s="9">
        <f>IF(RIGHT(TKA[[#This Row],[Device type]],7)="Winding","-",TKA[[#This Row],[Cont Winter MVA]])</f>
        <v>34.294605989863769</v>
      </c>
      <c r="AU47" s="9">
        <f>IF(RIGHT(TKA[[#This Row],[Device type]],7)="Winding","-",TKA[[#This Row],[Cont Shoulder MVA]])</f>
        <v>34.294605989863769</v>
      </c>
      <c r="AV47" s="9">
        <f>IF(RIGHT(TKA[[#This Row],[Device type]],7)="Winding","-",TKA[[#This Row],[Cont Summer MVA]])</f>
        <v>34.294605989863769</v>
      </c>
      <c r="AW47" s="9" t="str">
        <f>TKA[[#This Row],[24 Hr Winter MVA]]</f>
        <v>-</v>
      </c>
      <c r="AX47" s="9" t="str">
        <f>TKA[[#This Row],[24 Hr Summer MVA]]</f>
        <v>-</v>
      </c>
      <c r="AY47" s="9" t="str">
        <f>TKA[[#This Row],[Forwards MVA]]</f>
        <v>-</v>
      </c>
      <c r="AZ47" s="9" t="str">
        <f>TKA[[#This Row],[Relay MVA]]</f>
        <v>-</v>
      </c>
      <c r="BA47" s="9" t="str">
        <f>TKA[[#This Row],[CT MVA]]</f>
        <v>-</v>
      </c>
      <c r="BB47" s="9" t="str">
        <f>TKA[[#This Row],[Derating MVA]]</f>
        <v>-</v>
      </c>
      <c r="BC47" s="9" t="str">
        <f>TKA[[#This Row],[Station/Feeder]]&amp;TKA[[#This Row],[Lowest MVA]]</f>
        <v>UHT34.2946059898638</v>
      </c>
      <c r="BD47" s="9" t="str">
        <f>CONCATENATE(TKA[[#This Row],[Supply Level]],TKA[[#This Row],[Station/Feeder]],TKA[[#This Row],[Voltage]],TKA[[#This Row],[Lowest A-No PTX]])</f>
        <v>SubTransmissionUHT33600</v>
      </c>
      <c r="BE47" s="9" t="str">
        <f>CONCATENATE(TKA[[#This Row],[Supply Level]],TKA[[#This Row],[Station/Feeder]],TKA[[#This Row],[Voltage]],TKA[[#This Row],[Lowest A-PTX]])</f>
        <v>SubTransmissionUHT33600</v>
      </c>
      <c r="BF47" s="9">
        <f>IF(MIN(TKA[[#This Row],[Summ Cont Winter A]]:TKA[[#This Row],[Cable Derating]])=0,"",MIN(TKA[[#This Row],[Summ Cont Winter A]]:TKA[[#This Row],[Cable Derating]]))</f>
        <v>34.294605989863769</v>
      </c>
      <c r="BG47" s="9">
        <f>IFERROR(TKA[[#This Row],[Lowest MVA]]*1000/(TKA[[#This Row],[Voltage]]*SQRT(3)),"")</f>
        <v>600</v>
      </c>
      <c r="BH47" s="9">
        <f t="shared" si="80"/>
        <v>600</v>
      </c>
      <c r="BI47" s="9" t="str">
        <f>TKA[[#This Row],[From]]</f>
        <v>M271</v>
      </c>
      <c r="BJ47" s="9" t="str">
        <f>TKA[[#This Row],[To]]</f>
        <v>M54</v>
      </c>
      <c r="BK47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Link-M271</v>
      </c>
      <c r="BL47" s="9">
        <f>TKA[[#This Row],[Voltage]]</f>
        <v>33</v>
      </c>
    </row>
    <row r="48" spans="1:64" s="1" customFormat="1" ht="15" customHeight="1" x14ac:dyDescent="0.25">
      <c r="A48" s="6" t="str">
        <f>CONCATENATE(TKA[[#This Row],[Supply Level]],TKA[[#This Row],[Station/Feeder]],TKA[[#This Row],[Voltage]])</f>
        <v>SubTransmissionUHT33</v>
      </c>
      <c r="B48" s="6" t="str">
        <f>CONCATENATE(TKA[[#This Row],[Supply Level]],TKA[[#This Row],[Station/Feeder]],TKA[[#This Row],[Equipment ID]],TKA[[#This Row],[Voltage]],TKA[[#This Row],[Device type]])</f>
        <v>SubTransmissionUHTM27233Protection</v>
      </c>
      <c r="C48" s="6" t="s">
        <v>1245</v>
      </c>
      <c r="D48" s="6" t="s">
        <v>163</v>
      </c>
      <c r="E48" s="7" t="s">
        <v>404</v>
      </c>
      <c r="F48" s="7" t="s">
        <v>407</v>
      </c>
      <c r="G48" s="57">
        <v>11</v>
      </c>
      <c r="H48" s="46" t="s">
        <v>343</v>
      </c>
      <c r="I48" s="46" t="s">
        <v>405</v>
      </c>
      <c r="J48" s="46" t="s">
        <v>399</v>
      </c>
      <c r="K48" s="46" t="s">
        <v>1122</v>
      </c>
      <c r="L48" s="7" t="s">
        <v>1423</v>
      </c>
      <c r="M48" s="57">
        <v>33</v>
      </c>
      <c r="N48" s="9">
        <v>630</v>
      </c>
      <c r="O48" s="9">
        <f t="shared" si="91"/>
        <v>36.009336289356959</v>
      </c>
      <c r="P48" s="9">
        <v>630</v>
      </c>
      <c r="Q48" s="9">
        <f t="shared" si="92"/>
        <v>36.009336289356959</v>
      </c>
      <c r="R48" s="9">
        <v>630</v>
      </c>
      <c r="S48" s="9">
        <f t="shared" si="93"/>
        <v>36.009336289356959</v>
      </c>
      <c r="T48" s="9" t="s">
        <v>0</v>
      </c>
      <c r="U48" s="9" t="str">
        <f t="shared" si="94"/>
        <v>-</v>
      </c>
      <c r="V48" s="9" t="s">
        <v>0</v>
      </c>
      <c r="W48" s="9" t="str">
        <f t="shared" si="95"/>
        <v>-</v>
      </c>
      <c r="X48" s="9">
        <v>80</v>
      </c>
      <c r="Y48" s="9">
        <f t="shared" si="96"/>
        <v>4.5726141319818359</v>
      </c>
      <c r="Z48" s="9">
        <v>80</v>
      </c>
      <c r="AA48" s="9">
        <f t="shared" si="97"/>
        <v>4.5726141319818359</v>
      </c>
      <c r="AB48" s="9" t="s">
        <v>0</v>
      </c>
      <c r="AC48" s="9" t="str">
        <f t="shared" si="98"/>
        <v>-</v>
      </c>
      <c r="AD48" s="9">
        <v>1000</v>
      </c>
      <c r="AE48" s="9">
        <f t="shared" si="99"/>
        <v>57.157676649772945</v>
      </c>
      <c r="AF48" s="9" t="s">
        <v>0</v>
      </c>
      <c r="AG48" s="9" t="s">
        <v>0</v>
      </c>
      <c r="AH48" s="9" t="s">
        <v>0</v>
      </c>
      <c r="AI48" s="9" t="s">
        <v>0</v>
      </c>
      <c r="AJ48" s="9" t="s">
        <v>0</v>
      </c>
      <c r="AK48" s="9" t="s">
        <v>0</v>
      </c>
      <c r="AL48" s="43" t="s">
        <v>0</v>
      </c>
      <c r="AM48" s="9" t="s">
        <v>0</v>
      </c>
      <c r="AN48" s="43" t="s">
        <v>0</v>
      </c>
      <c r="AO48" s="9" t="s">
        <v>0</v>
      </c>
      <c r="AP48" s="43" t="s">
        <v>0</v>
      </c>
      <c r="AQ48" s="43" t="s">
        <v>0</v>
      </c>
      <c r="AR48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48" s="9" t="str">
        <f t="shared" si="100"/>
        <v>-</v>
      </c>
      <c r="AT48" s="9">
        <f>IF(RIGHT(TKA[[#This Row],[Device type]],7)="Winding","-",TKA[[#This Row],[Cont Winter MVA]])</f>
        <v>36.009336289356959</v>
      </c>
      <c r="AU48" s="9">
        <f>IF(RIGHT(TKA[[#This Row],[Device type]],7)="Winding","-",TKA[[#This Row],[Cont Shoulder MVA]])</f>
        <v>36.009336289356959</v>
      </c>
      <c r="AV48" s="9">
        <f>IF(RIGHT(TKA[[#This Row],[Device type]],7)="Winding","-",TKA[[#This Row],[Cont Summer MVA]])</f>
        <v>36.009336289356959</v>
      </c>
      <c r="AW48" s="9" t="str">
        <f>TKA[[#This Row],[24 Hr Winter MVA]]</f>
        <v>-</v>
      </c>
      <c r="AX48" s="9" t="str">
        <f>TKA[[#This Row],[24 Hr Summer MVA]]</f>
        <v>-</v>
      </c>
      <c r="AY48" s="9">
        <f>TKA[[#This Row],[Forwards MVA]]</f>
        <v>4.5726141319818359</v>
      </c>
      <c r="AZ48" s="9" t="str">
        <f>TKA[[#This Row],[Relay MVA]]</f>
        <v>-</v>
      </c>
      <c r="BA48" s="9">
        <f>TKA[[#This Row],[CT MVA]]</f>
        <v>57.157676649772945</v>
      </c>
      <c r="BB48" s="9" t="str">
        <f>TKA[[#This Row],[Derating MVA]]</f>
        <v>-</v>
      </c>
      <c r="BC48" s="9" t="str">
        <f>TKA[[#This Row],[Station/Feeder]]&amp;TKA[[#This Row],[Lowest MVA]]</f>
        <v>UHT4.57261413198184</v>
      </c>
      <c r="BD48" s="9" t="str">
        <f>CONCATENATE(TKA[[#This Row],[Supply Level]],TKA[[#This Row],[Station/Feeder]],TKA[[#This Row],[Voltage]],TKA[[#This Row],[Lowest A-No PTX]])</f>
        <v>SubTransmissionUHT3380</v>
      </c>
      <c r="BE48" s="9" t="str">
        <f>CONCATENATE(TKA[[#This Row],[Supply Level]],TKA[[#This Row],[Station/Feeder]],TKA[[#This Row],[Voltage]],TKA[[#This Row],[Lowest A-PTX]])</f>
        <v>SubTransmissionUHT3380</v>
      </c>
      <c r="BF48" s="9">
        <f>IF(MIN(TKA[[#This Row],[Summ Cont Winter A]]:TKA[[#This Row],[Cable Derating]])=0,"",MIN(TKA[[#This Row],[Summ Cont Winter A]]:TKA[[#This Row],[Cable Derating]]))</f>
        <v>4.5726141319818359</v>
      </c>
      <c r="BG48" s="9">
        <f>IFERROR(TKA[[#This Row],[Lowest MVA]]*1000/(TKA[[#This Row],[Voltage]]*SQRT(3)),"")</f>
        <v>80.000000000000014</v>
      </c>
      <c r="BH48" s="9">
        <f t="shared" si="80"/>
        <v>80</v>
      </c>
      <c r="BI48" s="9" t="str">
        <f>TKA[[#This Row],[From]]</f>
        <v>M271</v>
      </c>
      <c r="BJ48" s="9" t="str">
        <f>TKA[[#This Row],[To]]</f>
        <v>M54</v>
      </c>
      <c r="BK48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Secionaliser-M272-Protection</v>
      </c>
      <c r="BL48" s="9">
        <f>TKA[[#This Row],[Voltage]]</f>
        <v>33</v>
      </c>
    </row>
    <row r="49" spans="1:64" s="1" customFormat="1" ht="15" customHeight="1" x14ac:dyDescent="0.25">
      <c r="A49" s="6" t="str">
        <f>CONCATENATE(TKA[[#This Row],[Supply Level]],TKA[[#This Row],[Station/Feeder]],TKA[[#This Row],[Voltage]])</f>
        <v>SubTransmissionUHT33</v>
      </c>
      <c r="B49" s="6" t="str">
        <f>CONCATENATE(TKA[[#This Row],[Supply Level]],TKA[[#This Row],[Station/Feeder]],TKA[[#This Row],[Equipment ID]],TKA[[#This Row],[Voltage]],TKA[[#This Row],[Device type]])</f>
        <v>SubTransmissionUHTM27033-</v>
      </c>
      <c r="C49" s="6" t="s">
        <v>1245</v>
      </c>
      <c r="D49" s="6" t="s">
        <v>163</v>
      </c>
      <c r="E49" s="7" t="s">
        <v>404</v>
      </c>
      <c r="F49" s="7" t="s">
        <v>407</v>
      </c>
      <c r="G49" s="57">
        <v>12</v>
      </c>
      <c r="H49" s="46" t="s">
        <v>273</v>
      </c>
      <c r="I49" s="46" t="s">
        <v>406</v>
      </c>
      <c r="J49" s="46" t="s">
        <v>249</v>
      </c>
      <c r="K49" s="46" t="s">
        <v>0</v>
      </c>
      <c r="L49" s="46" t="s">
        <v>0</v>
      </c>
      <c r="M49" s="57">
        <v>33</v>
      </c>
      <c r="N49" s="9">
        <v>600</v>
      </c>
      <c r="O49" s="9">
        <f t="shared" si="91"/>
        <v>34.294605989863769</v>
      </c>
      <c r="P49" s="9">
        <v>600</v>
      </c>
      <c r="Q49" s="9">
        <f t="shared" si="92"/>
        <v>34.294605989863769</v>
      </c>
      <c r="R49" s="9">
        <v>600</v>
      </c>
      <c r="S49" s="9">
        <f t="shared" si="93"/>
        <v>34.294605989863769</v>
      </c>
      <c r="T49" s="9" t="s">
        <v>0</v>
      </c>
      <c r="U49" s="9" t="str">
        <f t="shared" si="94"/>
        <v>-</v>
      </c>
      <c r="V49" s="9" t="s">
        <v>0</v>
      </c>
      <c r="W49" s="9" t="str">
        <f t="shared" si="95"/>
        <v>-</v>
      </c>
      <c r="X49" s="9" t="s">
        <v>0</v>
      </c>
      <c r="Y49" s="9" t="str">
        <f t="shared" si="96"/>
        <v>-</v>
      </c>
      <c r="Z49" s="9" t="s">
        <v>0</v>
      </c>
      <c r="AA49" s="9" t="str">
        <f t="shared" si="97"/>
        <v>-</v>
      </c>
      <c r="AB49" s="9" t="s">
        <v>0</v>
      </c>
      <c r="AC49" s="9" t="str">
        <f t="shared" si="98"/>
        <v>-</v>
      </c>
      <c r="AD49" s="9" t="s">
        <v>0</v>
      </c>
      <c r="AE49" s="9" t="str">
        <f t="shared" si="99"/>
        <v>-</v>
      </c>
      <c r="AF49" s="9" t="s">
        <v>0</v>
      </c>
      <c r="AG49" s="9" t="s">
        <v>0</v>
      </c>
      <c r="AH49" s="9" t="s">
        <v>0</v>
      </c>
      <c r="AI49" s="9" t="s">
        <v>0</v>
      </c>
      <c r="AJ49" s="9" t="s">
        <v>0</v>
      </c>
      <c r="AK49" s="9" t="s">
        <v>0</v>
      </c>
      <c r="AL49" s="43" t="s">
        <v>0</v>
      </c>
      <c r="AM49" s="9" t="s">
        <v>0</v>
      </c>
      <c r="AN49" s="43" t="s">
        <v>0</v>
      </c>
      <c r="AO49" s="9" t="s">
        <v>0</v>
      </c>
      <c r="AP49" s="43" t="s">
        <v>0</v>
      </c>
      <c r="AQ49" s="43" t="s">
        <v>0</v>
      </c>
      <c r="AR49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49" s="9" t="str">
        <f t="shared" si="100"/>
        <v>-</v>
      </c>
      <c r="AT49" s="9">
        <f>IF(RIGHT(TKA[[#This Row],[Device type]],7)="Winding","-",TKA[[#This Row],[Cont Winter MVA]])</f>
        <v>34.294605989863769</v>
      </c>
      <c r="AU49" s="9">
        <f>IF(RIGHT(TKA[[#This Row],[Device type]],7)="Winding","-",TKA[[#This Row],[Cont Shoulder MVA]])</f>
        <v>34.294605989863769</v>
      </c>
      <c r="AV49" s="9">
        <f>IF(RIGHT(TKA[[#This Row],[Device type]],7)="Winding","-",TKA[[#This Row],[Cont Summer MVA]])</f>
        <v>34.294605989863769</v>
      </c>
      <c r="AW49" s="9" t="str">
        <f>TKA[[#This Row],[24 Hr Winter MVA]]</f>
        <v>-</v>
      </c>
      <c r="AX49" s="9" t="str">
        <f>TKA[[#This Row],[24 Hr Summer MVA]]</f>
        <v>-</v>
      </c>
      <c r="AY49" s="9" t="str">
        <f>TKA[[#This Row],[Forwards MVA]]</f>
        <v>-</v>
      </c>
      <c r="AZ49" s="9" t="str">
        <f>TKA[[#This Row],[Relay MVA]]</f>
        <v>-</v>
      </c>
      <c r="BA49" s="9" t="str">
        <f>TKA[[#This Row],[CT MVA]]</f>
        <v>-</v>
      </c>
      <c r="BB49" s="9" t="str">
        <f>TKA[[#This Row],[Derating MVA]]</f>
        <v>-</v>
      </c>
      <c r="BC49" s="9" t="str">
        <f>TKA[[#This Row],[Station/Feeder]]&amp;TKA[[#This Row],[Lowest MVA]]</f>
        <v>UHT34.2946059898638</v>
      </c>
      <c r="BD49" s="9" t="str">
        <f>CONCATENATE(TKA[[#This Row],[Supply Level]],TKA[[#This Row],[Station/Feeder]],TKA[[#This Row],[Voltage]],TKA[[#This Row],[Lowest A-No PTX]])</f>
        <v>SubTransmissionUHT33600</v>
      </c>
      <c r="BE49" s="9" t="str">
        <f>CONCATENATE(TKA[[#This Row],[Supply Level]],TKA[[#This Row],[Station/Feeder]],TKA[[#This Row],[Voltage]],TKA[[#This Row],[Lowest A-PTX]])</f>
        <v>SubTransmissionUHT33600</v>
      </c>
      <c r="BF49" s="9">
        <f>IF(MIN(TKA[[#This Row],[Summ Cont Winter A]]:TKA[[#This Row],[Cable Derating]])=0,"",MIN(TKA[[#This Row],[Summ Cont Winter A]]:TKA[[#This Row],[Cable Derating]]))</f>
        <v>34.294605989863769</v>
      </c>
      <c r="BG49" s="9">
        <f>IFERROR(TKA[[#This Row],[Lowest MVA]]*1000/(TKA[[#This Row],[Voltage]]*SQRT(3)),"")</f>
        <v>600</v>
      </c>
      <c r="BH49" s="9">
        <f t="shared" si="80"/>
        <v>600</v>
      </c>
      <c r="BI49" s="9" t="str">
        <f>TKA[[#This Row],[From]]</f>
        <v>M271</v>
      </c>
      <c r="BJ49" s="9" t="str">
        <f>TKA[[#This Row],[To]]</f>
        <v>M54</v>
      </c>
      <c r="BK49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Link-M270</v>
      </c>
      <c r="BL49" s="9">
        <f>TKA[[#This Row],[Voltage]]</f>
        <v>33</v>
      </c>
    </row>
    <row r="50" spans="1:64" s="1" customFormat="1" ht="15" customHeight="1" x14ac:dyDescent="0.25">
      <c r="A50" s="6" t="str">
        <f>CONCATENATE(TKA[[#This Row],[Supply Level]],TKA[[#This Row],[Station/Feeder]],TKA[[#This Row],[Voltage]])</f>
        <v>SubTransmissionUHT33</v>
      </c>
      <c r="B50" s="6" t="str">
        <f>CONCATENATE(TKA[[#This Row],[Supply Level]],TKA[[#This Row],[Station/Feeder]],TKA[[#This Row],[Equipment ID]],TKA[[#This Row],[Voltage]],TKA[[#This Row],[Device type]])</f>
        <v>SubTransmissionUHTMINK33-</v>
      </c>
      <c r="C50" s="6" t="s">
        <v>1245</v>
      </c>
      <c r="D50" s="6" t="s">
        <v>163</v>
      </c>
      <c r="E50" s="7" t="s">
        <v>404</v>
      </c>
      <c r="F50" s="7" t="s">
        <v>407</v>
      </c>
      <c r="G50" s="57">
        <v>13</v>
      </c>
      <c r="H50" s="46" t="s">
        <v>1289</v>
      </c>
      <c r="I50" s="46" t="s">
        <v>282</v>
      </c>
      <c r="J50" s="46" t="s">
        <v>69</v>
      </c>
      <c r="K50" s="46" t="s">
        <v>0</v>
      </c>
      <c r="L50" s="46" t="s">
        <v>0</v>
      </c>
      <c r="M50" s="57">
        <v>33</v>
      </c>
      <c r="N50" s="9">
        <v>250.58233772128858</v>
      </c>
      <c r="O50" s="9">
        <f t="shared" si="91"/>
        <v>14.322704233617616</v>
      </c>
      <c r="P50" s="9" t="s">
        <v>0</v>
      </c>
      <c r="Q50" s="9" t="str">
        <f t="shared" si="92"/>
        <v>-</v>
      </c>
      <c r="R50" s="9">
        <v>188.62660722014468</v>
      </c>
      <c r="S50" s="9">
        <f t="shared" si="93"/>
        <v>10.781458623032757</v>
      </c>
      <c r="T50" s="9" t="s">
        <v>0</v>
      </c>
      <c r="U50" s="9" t="str">
        <f t="shared" si="94"/>
        <v>-</v>
      </c>
      <c r="V50" s="9" t="s">
        <v>0</v>
      </c>
      <c r="W50" s="9" t="str">
        <f t="shared" si="95"/>
        <v>-</v>
      </c>
      <c r="X50" s="9" t="s">
        <v>0</v>
      </c>
      <c r="Y50" s="9" t="str">
        <f t="shared" si="96"/>
        <v>-</v>
      </c>
      <c r="Z50" s="9" t="s">
        <v>0</v>
      </c>
      <c r="AA50" s="9" t="str">
        <f t="shared" si="97"/>
        <v>-</v>
      </c>
      <c r="AB50" s="9" t="s">
        <v>0</v>
      </c>
      <c r="AC50" s="9" t="str">
        <f t="shared" si="98"/>
        <v>-</v>
      </c>
      <c r="AD50" s="9" t="s">
        <v>0</v>
      </c>
      <c r="AE50" s="9" t="str">
        <f t="shared" si="99"/>
        <v>-</v>
      </c>
      <c r="AF50" s="9" t="s">
        <v>0</v>
      </c>
      <c r="AG50" s="9" t="s">
        <v>0</v>
      </c>
      <c r="AH50" s="9">
        <v>2726.3</v>
      </c>
      <c r="AI50" s="9" t="s">
        <v>0</v>
      </c>
      <c r="AJ50" s="9" t="s">
        <v>0</v>
      </c>
      <c r="AK50" s="9" t="s">
        <v>0</v>
      </c>
      <c r="AL50" s="43" t="s">
        <v>0</v>
      </c>
      <c r="AM50" s="9" t="s">
        <v>0</v>
      </c>
      <c r="AN50" s="43" t="s">
        <v>0</v>
      </c>
      <c r="AO50" s="9" t="s">
        <v>0</v>
      </c>
      <c r="AP50" s="43" t="s">
        <v>0</v>
      </c>
      <c r="AQ50" s="43" t="s">
        <v>0</v>
      </c>
      <c r="AR50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50" s="9" t="str">
        <f t="shared" si="100"/>
        <v>-</v>
      </c>
      <c r="AT50" s="9">
        <f>IF(RIGHT(TKA[[#This Row],[Device type]],7)="Winding","-",TKA[[#This Row],[Cont Winter MVA]])</f>
        <v>14.322704233617616</v>
      </c>
      <c r="AU50" s="9" t="str">
        <f>IF(RIGHT(TKA[[#This Row],[Device type]],7)="Winding","-",TKA[[#This Row],[Cont Shoulder MVA]])</f>
        <v>-</v>
      </c>
      <c r="AV50" s="9">
        <f>IF(RIGHT(TKA[[#This Row],[Device type]],7)="Winding","-",TKA[[#This Row],[Cont Summer MVA]])</f>
        <v>10.781458623032757</v>
      </c>
      <c r="AW50" s="9" t="str">
        <f>TKA[[#This Row],[24 Hr Winter MVA]]</f>
        <v>-</v>
      </c>
      <c r="AX50" s="9" t="str">
        <f>TKA[[#This Row],[24 Hr Summer MVA]]</f>
        <v>-</v>
      </c>
      <c r="AY50" s="9" t="str">
        <f>TKA[[#This Row],[Forwards MVA]]</f>
        <v>-</v>
      </c>
      <c r="AZ50" s="9" t="str">
        <f>TKA[[#This Row],[Relay MVA]]</f>
        <v>-</v>
      </c>
      <c r="BA50" s="9" t="str">
        <f>TKA[[#This Row],[CT MVA]]</f>
        <v>-</v>
      </c>
      <c r="BB50" s="9" t="str">
        <f>TKA[[#This Row],[Derating MVA]]</f>
        <v>-</v>
      </c>
      <c r="BC50" s="9" t="str">
        <f>TKA[[#This Row],[Station/Feeder]]&amp;TKA[[#This Row],[Lowest MVA]]</f>
        <v>UHT10.7814586230328</v>
      </c>
      <c r="BD50" s="9" t="str">
        <f>CONCATENATE(TKA[[#This Row],[Supply Level]],TKA[[#This Row],[Station/Feeder]],TKA[[#This Row],[Voltage]],TKA[[#This Row],[Lowest A-No PTX]])</f>
        <v>SubTransmissionUHT33188.626607220145</v>
      </c>
      <c r="BE50" s="9" t="str">
        <f>CONCATENATE(TKA[[#This Row],[Supply Level]],TKA[[#This Row],[Station/Feeder]],TKA[[#This Row],[Voltage]],TKA[[#This Row],[Lowest A-PTX]])</f>
        <v>SubTransmissionUHT33188.626607220145</v>
      </c>
      <c r="BF50" s="9">
        <f>IF(MIN(TKA[[#This Row],[Summ Cont Winter A]]:TKA[[#This Row],[Cable Derating]])=0,"",MIN(TKA[[#This Row],[Summ Cont Winter A]]:TKA[[#This Row],[Cable Derating]]))</f>
        <v>10.781458623032757</v>
      </c>
      <c r="BG50" s="9">
        <f>IFERROR(TKA[[#This Row],[Lowest MVA]]*1000/(TKA[[#This Row],[Voltage]]*SQRT(3)),"")</f>
        <v>188.62660722014468</v>
      </c>
      <c r="BH50" s="9">
        <f t="shared" si="80"/>
        <v>188.62660722014468</v>
      </c>
      <c r="BI50" s="9" t="str">
        <f>TKA[[#This Row],[From]]</f>
        <v>M271</v>
      </c>
      <c r="BJ50" s="9" t="str">
        <f>TKA[[#This Row],[To]]</f>
        <v>M54</v>
      </c>
      <c r="BK50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Line-MINK</v>
      </c>
      <c r="BL50" s="9">
        <f>TKA[[#This Row],[Voltage]]</f>
        <v>33</v>
      </c>
    </row>
    <row r="51" spans="1:64" s="1" customFormat="1" ht="15" customHeight="1" x14ac:dyDescent="0.25">
      <c r="A51" s="6" t="str">
        <f>CONCATENATE(TKA[[#This Row],[Supply Level]],TKA[[#This Row],[Station/Feeder]],TKA[[#This Row],[Voltage]])</f>
        <v>SubTransmissionUHT33</v>
      </c>
      <c r="B51" s="6" t="str">
        <f>CONCATENATE(TKA[[#This Row],[Supply Level]],TKA[[#This Row],[Station/Feeder]],TKA[[#This Row],[Equipment ID]],TKA[[#This Row],[Voltage]],TKA[[#This Row],[Device type]])</f>
        <v>SubTransmissionUHTM5433-</v>
      </c>
      <c r="C51" s="6" t="s">
        <v>1245</v>
      </c>
      <c r="D51" s="6" t="s">
        <v>163</v>
      </c>
      <c r="E51" s="7" t="s">
        <v>407</v>
      </c>
      <c r="F51" s="7" t="s">
        <v>409</v>
      </c>
      <c r="G51" s="57">
        <v>14</v>
      </c>
      <c r="H51" s="46" t="s">
        <v>273</v>
      </c>
      <c r="I51" s="46" t="s">
        <v>407</v>
      </c>
      <c r="J51" s="46" t="s">
        <v>240</v>
      </c>
      <c r="K51" s="46" t="s">
        <v>0</v>
      </c>
      <c r="L51" s="46" t="s">
        <v>0</v>
      </c>
      <c r="M51" s="57">
        <v>33</v>
      </c>
      <c r="N51" s="9" t="s">
        <v>0</v>
      </c>
      <c r="O51" s="9" t="str">
        <f t="shared" si="91"/>
        <v>-</v>
      </c>
      <c r="P51" s="9" t="s">
        <v>0</v>
      </c>
      <c r="Q51" s="9" t="str">
        <f t="shared" si="92"/>
        <v>-</v>
      </c>
      <c r="R51" s="9" t="s">
        <v>0</v>
      </c>
      <c r="S51" s="9" t="str">
        <f t="shared" si="93"/>
        <v>-</v>
      </c>
      <c r="T51" s="9" t="s">
        <v>0</v>
      </c>
      <c r="U51" s="9" t="str">
        <f t="shared" si="94"/>
        <v>-</v>
      </c>
      <c r="V51" s="9" t="s">
        <v>0</v>
      </c>
      <c r="W51" s="9" t="str">
        <f t="shared" si="95"/>
        <v>-</v>
      </c>
      <c r="X51" s="9" t="s">
        <v>0</v>
      </c>
      <c r="Y51" s="9" t="str">
        <f t="shared" si="96"/>
        <v>-</v>
      </c>
      <c r="Z51" s="9" t="s">
        <v>0</v>
      </c>
      <c r="AA51" s="9" t="str">
        <f t="shared" si="97"/>
        <v>-</v>
      </c>
      <c r="AB51" s="9" t="s">
        <v>0</v>
      </c>
      <c r="AC51" s="9" t="str">
        <f t="shared" si="98"/>
        <v>-</v>
      </c>
      <c r="AD51" s="9" t="s">
        <v>0</v>
      </c>
      <c r="AE51" s="9" t="str">
        <f t="shared" si="99"/>
        <v>-</v>
      </c>
      <c r="AF51" s="9" t="s">
        <v>0</v>
      </c>
      <c r="AG51" s="9" t="s">
        <v>0</v>
      </c>
      <c r="AH51" s="9" t="s">
        <v>0</v>
      </c>
      <c r="AI51" s="9" t="s">
        <v>0</v>
      </c>
      <c r="AJ51" s="9" t="s">
        <v>0</v>
      </c>
      <c r="AK51" s="9" t="s">
        <v>0</v>
      </c>
      <c r="AL51" s="43" t="s">
        <v>0</v>
      </c>
      <c r="AM51" s="9" t="s">
        <v>0</v>
      </c>
      <c r="AN51" s="43" t="s">
        <v>0</v>
      </c>
      <c r="AO51" s="9" t="s">
        <v>0</v>
      </c>
      <c r="AP51" s="43" t="s">
        <v>0</v>
      </c>
      <c r="AQ51" s="43" t="s">
        <v>0</v>
      </c>
      <c r="AR51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51" s="9" t="str">
        <f t="shared" si="100"/>
        <v>-</v>
      </c>
      <c r="AT51" s="9" t="str">
        <f>IF(RIGHT(TKA[[#This Row],[Device type]],7)="Winding","-",TKA[[#This Row],[Cont Winter MVA]])</f>
        <v>-</v>
      </c>
      <c r="AU51" s="9" t="str">
        <f>IF(RIGHT(TKA[[#This Row],[Device type]],7)="Winding","-",TKA[[#This Row],[Cont Shoulder MVA]])</f>
        <v>-</v>
      </c>
      <c r="AV51" s="9" t="str">
        <f>IF(RIGHT(TKA[[#This Row],[Device type]],7)="Winding","-",TKA[[#This Row],[Cont Summer MVA]])</f>
        <v>-</v>
      </c>
      <c r="AW51" s="9" t="str">
        <f>TKA[[#This Row],[24 Hr Winter MVA]]</f>
        <v>-</v>
      </c>
      <c r="AX51" s="9" t="str">
        <f>TKA[[#This Row],[24 Hr Summer MVA]]</f>
        <v>-</v>
      </c>
      <c r="AY51" s="9" t="str">
        <f>TKA[[#This Row],[Forwards MVA]]</f>
        <v>-</v>
      </c>
      <c r="AZ51" s="9" t="str">
        <f>TKA[[#This Row],[Relay MVA]]</f>
        <v>-</v>
      </c>
      <c r="BA51" s="9" t="str">
        <f>TKA[[#This Row],[CT MVA]]</f>
        <v>-</v>
      </c>
      <c r="BB51" s="9" t="str">
        <f>TKA[[#This Row],[Derating MVA]]</f>
        <v>-</v>
      </c>
      <c r="BC51" s="9" t="str">
        <f>TKA[[#This Row],[Station/Feeder]]&amp;TKA[[#This Row],[Lowest MVA]]</f>
        <v>UHT</v>
      </c>
      <c r="BD51" s="9" t="str">
        <f>CONCATENATE(TKA[[#This Row],[Supply Level]],TKA[[#This Row],[Station/Feeder]],TKA[[#This Row],[Voltage]],TKA[[#This Row],[Lowest A-No PTX]])</f>
        <v>SubTransmissionUHT33</v>
      </c>
      <c r="BE51" s="9" t="str">
        <f>CONCATENATE(TKA[[#This Row],[Supply Level]],TKA[[#This Row],[Station/Feeder]],TKA[[#This Row],[Voltage]],TKA[[#This Row],[Lowest A-PTX]])</f>
        <v>SubTransmissionUHT33</v>
      </c>
      <c r="BF51" s="9" t="str">
        <f>IF(MIN(TKA[[#This Row],[Summ Cont Winter A]]:TKA[[#This Row],[Cable Derating]])=0,"",MIN(TKA[[#This Row],[Summ Cont Winter A]]:TKA[[#This Row],[Cable Derating]]))</f>
        <v/>
      </c>
      <c r="BG51" s="9" t="str">
        <f>IFERROR(TKA[[#This Row],[Lowest MVA]]*1000/(TKA[[#This Row],[Voltage]]*SQRT(3)),"")</f>
        <v/>
      </c>
      <c r="BH51" s="9" t="str">
        <f t="shared" si="80"/>
        <v/>
      </c>
      <c r="BI51" s="9" t="str">
        <f>TKA[[#This Row],[From]]</f>
        <v>M54</v>
      </c>
      <c r="BJ51" s="9" t="str">
        <f>TKA[[#This Row],[To]]</f>
        <v>M238</v>
      </c>
      <c r="BK51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ABS-M54</v>
      </c>
      <c r="BL51" s="9">
        <f>TKA[[#This Row],[Voltage]]</f>
        <v>33</v>
      </c>
    </row>
    <row r="52" spans="1:64" s="1" customFormat="1" ht="15" customHeight="1" x14ac:dyDescent="0.25">
      <c r="A52" s="6" t="str">
        <f>CONCATENATE(TKA[[#This Row],[Supply Level]],TKA[[#This Row],[Station/Feeder]],TKA[[#This Row],[Voltage]])</f>
        <v>SubTransmissionUHT33</v>
      </c>
      <c r="B52" s="6" t="str">
        <f>CONCATENATE(TKA[[#This Row],[Supply Level]],TKA[[#This Row],[Station/Feeder]],TKA[[#This Row],[Equipment ID]],TKA[[#This Row],[Voltage]],TKA[[#This Row],[Device type]])</f>
        <v>SubTransmissionUHTPETREL33-</v>
      </c>
      <c r="C52" s="6" t="s">
        <v>1245</v>
      </c>
      <c r="D52" s="6" t="s">
        <v>163</v>
      </c>
      <c r="E52" s="7" t="s">
        <v>407</v>
      </c>
      <c r="F52" s="7" t="s">
        <v>409</v>
      </c>
      <c r="G52" s="57">
        <v>15</v>
      </c>
      <c r="H52" s="46" t="s">
        <v>1289</v>
      </c>
      <c r="I52" s="46" t="s">
        <v>337</v>
      </c>
      <c r="J52" s="46" t="s">
        <v>69</v>
      </c>
      <c r="K52" s="46" t="s">
        <v>0</v>
      </c>
      <c r="L52" s="46" t="s">
        <v>0</v>
      </c>
      <c r="M52" s="57">
        <v>33</v>
      </c>
      <c r="N52" s="9">
        <v>230</v>
      </c>
      <c r="O52" s="9">
        <f t="shared" si="91"/>
        <v>13.146265629447779</v>
      </c>
      <c r="P52" s="9" t="s">
        <v>0</v>
      </c>
      <c r="Q52" s="9" t="str">
        <f t="shared" si="92"/>
        <v>-</v>
      </c>
      <c r="R52" s="9">
        <v>172.83709311979482</v>
      </c>
      <c r="S52" s="9">
        <f t="shared" si="93"/>
        <v>9.8789666816279293</v>
      </c>
      <c r="T52" s="9" t="s">
        <v>0</v>
      </c>
      <c r="U52" s="9" t="str">
        <f t="shared" si="94"/>
        <v>-</v>
      </c>
      <c r="V52" s="9" t="s">
        <v>0</v>
      </c>
      <c r="W52" s="9" t="str">
        <f t="shared" si="95"/>
        <v>-</v>
      </c>
      <c r="X52" s="9" t="s">
        <v>0</v>
      </c>
      <c r="Y52" s="9" t="str">
        <f t="shared" si="96"/>
        <v>-</v>
      </c>
      <c r="Z52" s="9" t="s">
        <v>0</v>
      </c>
      <c r="AA52" s="9" t="str">
        <f t="shared" si="97"/>
        <v>-</v>
      </c>
      <c r="AB52" s="9" t="s">
        <v>0</v>
      </c>
      <c r="AC52" s="9" t="str">
        <f t="shared" si="98"/>
        <v>-</v>
      </c>
      <c r="AD52" s="9" t="s">
        <v>0</v>
      </c>
      <c r="AE52" s="9" t="str">
        <f t="shared" si="99"/>
        <v>-</v>
      </c>
      <c r="AF52" s="9" t="s">
        <v>0</v>
      </c>
      <c r="AG52" s="9" t="s">
        <v>0</v>
      </c>
      <c r="AH52" s="9">
        <v>272.39999999999998</v>
      </c>
      <c r="AI52" s="9" t="s">
        <v>0</v>
      </c>
      <c r="AJ52" s="9" t="s">
        <v>0</v>
      </c>
      <c r="AK52" s="9" t="s">
        <v>0</v>
      </c>
      <c r="AL52" s="43" t="s">
        <v>0</v>
      </c>
      <c r="AM52" s="9" t="s">
        <v>0</v>
      </c>
      <c r="AN52" s="43" t="s">
        <v>0</v>
      </c>
      <c r="AO52" s="9" t="s">
        <v>0</v>
      </c>
      <c r="AP52" s="43" t="s">
        <v>0</v>
      </c>
      <c r="AQ52" s="43" t="s">
        <v>0</v>
      </c>
      <c r="AR52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52" s="9" t="str">
        <f t="shared" si="100"/>
        <v>-</v>
      </c>
      <c r="AT52" s="9">
        <f>IF(RIGHT(TKA[[#This Row],[Device type]],7)="Winding","-",TKA[[#This Row],[Cont Winter MVA]])</f>
        <v>13.146265629447779</v>
      </c>
      <c r="AU52" s="9" t="str">
        <f>IF(RIGHT(TKA[[#This Row],[Device type]],7)="Winding","-",TKA[[#This Row],[Cont Shoulder MVA]])</f>
        <v>-</v>
      </c>
      <c r="AV52" s="9">
        <f>IF(RIGHT(TKA[[#This Row],[Device type]],7)="Winding","-",TKA[[#This Row],[Cont Summer MVA]])</f>
        <v>9.8789666816279293</v>
      </c>
      <c r="AW52" s="9" t="str">
        <f>TKA[[#This Row],[24 Hr Winter MVA]]</f>
        <v>-</v>
      </c>
      <c r="AX52" s="9" t="str">
        <f>TKA[[#This Row],[24 Hr Summer MVA]]</f>
        <v>-</v>
      </c>
      <c r="AY52" s="9" t="str">
        <f>TKA[[#This Row],[Forwards MVA]]</f>
        <v>-</v>
      </c>
      <c r="AZ52" s="9" t="str">
        <f>TKA[[#This Row],[Relay MVA]]</f>
        <v>-</v>
      </c>
      <c r="BA52" s="9" t="str">
        <f>TKA[[#This Row],[CT MVA]]</f>
        <v>-</v>
      </c>
      <c r="BB52" s="9" t="str">
        <f>TKA[[#This Row],[Derating MVA]]</f>
        <v>-</v>
      </c>
      <c r="BC52" s="9" t="str">
        <f>TKA[[#This Row],[Station/Feeder]]&amp;TKA[[#This Row],[Lowest MVA]]</f>
        <v>UHT9.87896668162793</v>
      </c>
      <c r="BD52" s="9" t="str">
        <f>CONCATENATE(TKA[[#This Row],[Supply Level]],TKA[[#This Row],[Station/Feeder]],TKA[[#This Row],[Voltage]],TKA[[#This Row],[Lowest A-No PTX]])</f>
        <v>SubTransmissionUHT33172.837093119795</v>
      </c>
      <c r="BE52" s="9" t="str">
        <f>CONCATENATE(TKA[[#This Row],[Supply Level]],TKA[[#This Row],[Station/Feeder]],TKA[[#This Row],[Voltage]],TKA[[#This Row],[Lowest A-PTX]])</f>
        <v>SubTransmissionUHT33172.837093119795</v>
      </c>
      <c r="BF52" s="9">
        <f>IF(MIN(TKA[[#This Row],[Summ Cont Winter A]]:TKA[[#This Row],[Cable Derating]])=0,"",MIN(TKA[[#This Row],[Summ Cont Winter A]]:TKA[[#This Row],[Cable Derating]]))</f>
        <v>9.8789666816279293</v>
      </c>
      <c r="BG52" s="9">
        <f>IFERROR(TKA[[#This Row],[Lowest MVA]]*1000/(TKA[[#This Row],[Voltage]]*SQRT(3)),"")</f>
        <v>172.83709311979484</v>
      </c>
      <c r="BH52" s="9">
        <f t="shared" si="80"/>
        <v>172.83709311979482</v>
      </c>
      <c r="BI52" s="9" t="str">
        <f>TKA[[#This Row],[From]]</f>
        <v>M54</v>
      </c>
      <c r="BJ52" s="9" t="str">
        <f>TKA[[#This Row],[To]]</f>
        <v>M238</v>
      </c>
      <c r="BK52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Line-PETREL</v>
      </c>
      <c r="BL52" s="9">
        <f>TKA[[#This Row],[Voltage]]</f>
        <v>33</v>
      </c>
    </row>
    <row r="53" spans="1:64" s="1" customFormat="1" ht="15" customHeight="1" x14ac:dyDescent="0.25">
      <c r="A53" s="6" t="str">
        <f>CONCATENATE(TKA[[#This Row],[Supply Level]],TKA[[#This Row],[Station/Feeder]],TKA[[#This Row],[Voltage]])</f>
        <v>SubTransmissionUHT33</v>
      </c>
      <c r="B53" s="6" t="str">
        <f>CONCATENATE(TKA[[#This Row],[Supply Level]],TKA[[#This Row],[Station/Feeder]],TKA[[#This Row],[Equipment ID]],TKA[[#This Row],[Voltage]],TKA[[#This Row],[Device type]])</f>
        <v>SubTransmissionUHT7/12 Cu33-</v>
      </c>
      <c r="C53" s="6" t="s">
        <v>1245</v>
      </c>
      <c r="D53" s="6" t="s">
        <v>163</v>
      </c>
      <c r="E53" s="7" t="s">
        <v>407</v>
      </c>
      <c r="F53" s="7" t="s">
        <v>409</v>
      </c>
      <c r="G53" s="57">
        <v>16</v>
      </c>
      <c r="H53" s="46" t="s">
        <v>1289</v>
      </c>
      <c r="I53" s="46" t="s">
        <v>408</v>
      </c>
      <c r="J53" s="46" t="s">
        <v>69</v>
      </c>
      <c r="K53" s="46" t="s">
        <v>0</v>
      </c>
      <c r="L53" s="46" t="s">
        <v>0</v>
      </c>
      <c r="M53" s="57">
        <v>33</v>
      </c>
      <c r="N53" s="9">
        <v>229</v>
      </c>
      <c r="O53" s="9">
        <f t="shared" si="91"/>
        <v>13.089107952798006</v>
      </c>
      <c r="P53" s="9" t="s">
        <v>0</v>
      </c>
      <c r="Q53" s="9" t="str">
        <f t="shared" si="92"/>
        <v>-</v>
      </c>
      <c r="R53" s="9">
        <v>174</v>
      </c>
      <c r="S53" s="9">
        <f t="shared" si="93"/>
        <v>9.9454357370604924</v>
      </c>
      <c r="T53" s="9" t="s">
        <v>0</v>
      </c>
      <c r="U53" s="9" t="str">
        <f t="shared" si="94"/>
        <v>-</v>
      </c>
      <c r="V53" s="9" t="s">
        <v>0</v>
      </c>
      <c r="W53" s="9" t="str">
        <f t="shared" si="95"/>
        <v>-</v>
      </c>
      <c r="X53" s="9" t="s">
        <v>0</v>
      </c>
      <c r="Y53" s="9" t="str">
        <f t="shared" si="96"/>
        <v>-</v>
      </c>
      <c r="Z53" s="9" t="s">
        <v>0</v>
      </c>
      <c r="AA53" s="9" t="str">
        <f t="shared" si="97"/>
        <v>-</v>
      </c>
      <c r="AB53" s="9" t="s">
        <v>0</v>
      </c>
      <c r="AC53" s="9" t="str">
        <f t="shared" si="98"/>
        <v>-</v>
      </c>
      <c r="AD53" s="9" t="s">
        <v>0</v>
      </c>
      <c r="AE53" s="9" t="str">
        <f t="shared" si="99"/>
        <v>-</v>
      </c>
      <c r="AF53" s="9" t="s">
        <v>0</v>
      </c>
      <c r="AG53" s="9" t="s">
        <v>0</v>
      </c>
      <c r="AH53" s="9">
        <v>41</v>
      </c>
      <c r="AI53" s="9" t="s">
        <v>0</v>
      </c>
      <c r="AJ53" s="9" t="s">
        <v>0</v>
      </c>
      <c r="AK53" s="9" t="s">
        <v>0</v>
      </c>
      <c r="AL53" s="43" t="s">
        <v>0</v>
      </c>
      <c r="AM53" s="9" t="s">
        <v>0</v>
      </c>
      <c r="AN53" s="43" t="s">
        <v>0</v>
      </c>
      <c r="AO53" s="9" t="s">
        <v>0</v>
      </c>
      <c r="AP53" s="43" t="s">
        <v>0</v>
      </c>
      <c r="AQ53" s="43" t="s">
        <v>0</v>
      </c>
      <c r="AR53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53" s="9" t="str">
        <f t="shared" si="100"/>
        <v>-</v>
      </c>
      <c r="AT53" s="9">
        <f>IF(RIGHT(TKA[[#This Row],[Device type]],7)="Winding","-",TKA[[#This Row],[Cont Winter MVA]])</f>
        <v>13.089107952798006</v>
      </c>
      <c r="AU53" s="9" t="str">
        <f>IF(RIGHT(TKA[[#This Row],[Device type]],7)="Winding","-",TKA[[#This Row],[Cont Shoulder MVA]])</f>
        <v>-</v>
      </c>
      <c r="AV53" s="9">
        <f>IF(RIGHT(TKA[[#This Row],[Device type]],7)="Winding","-",TKA[[#This Row],[Cont Summer MVA]])</f>
        <v>9.9454357370604924</v>
      </c>
      <c r="AW53" s="9" t="str">
        <f>TKA[[#This Row],[24 Hr Winter MVA]]</f>
        <v>-</v>
      </c>
      <c r="AX53" s="9" t="str">
        <f>TKA[[#This Row],[24 Hr Summer MVA]]</f>
        <v>-</v>
      </c>
      <c r="AY53" s="9" t="str">
        <f>TKA[[#This Row],[Forwards MVA]]</f>
        <v>-</v>
      </c>
      <c r="AZ53" s="9" t="str">
        <f>TKA[[#This Row],[Relay MVA]]</f>
        <v>-</v>
      </c>
      <c r="BA53" s="9" t="str">
        <f>TKA[[#This Row],[CT MVA]]</f>
        <v>-</v>
      </c>
      <c r="BB53" s="9" t="str">
        <f>TKA[[#This Row],[Derating MVA]]</f>
        <v>-</v>
      </c>
      <c r="BC53" s="9" t="str">
        <f>TKA[[#This Row],[Station/Feeder]]&amp;TKA[[#This Row],[Lowest MVA]]</f>
        <v>UHT9.94543573706049</v>
      </c>
      <c r="BD53" s="9" t="str">
        <f>CONCATENATE(TKA[[#This Row],[Supply Level]],TKA[[#This Row],[Station/Feeder]],TKA[[#This Row],[Voltage]],TKA[[#This Row],[Lowest A-No PTX]])</f>
        <v>SubTransmissionUHT33174</v>
      </c>
      <c r="BE53" s="9" t="str">
        <f>CONCATENATE(TKA[[#This Row],[Supply Level]],TKA[[#This Row],[Station/Feeder]],TKA[[#This Row],[Voltage]],TKA[[#This Row],[Lowest A-PTX]])</f>
        <v>SubTransmissionUHT33174</v>
      </c>
      <c r="BF53" s="9">
        <f>IF(MIN(TKA[[#This Row],[Summ Cont Winter A]]:TKA[[#This Row],[Cable Derating]])=0,"",MIN(TKA[[#This Row],[Summ Cont Winter A]]:TKA[[#This Row],[Cable Derating]]))</f>
        <v>9.9454357370604924</v>
      </c>
      <c r="BG53" s="9">
        <f>IFERROR(TKA[[#This Row],[Lowest MVA]]*1000/(TKA[[#This Row],[Voltage]]*SQRT(3)),"")</f>
        <v>174</v>
      </c>
      <c r="BH53" s="9">
        <f t="shared" si="80"/>
        <v>174</v>
      </c>
      <c r="BI53" s="9" t="str">
        <f>TKA[[#This Row],[From]]</f>
        <v>M54</v>
      </c>
      <c r="BJ53" s="9" t="str">
        <f>TKA[[#This Row],[To]]</f>
        <v>M238</v>
      </c>
      <c r="BK53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Line-7/12 Cu</v>
      </c>
      <c r="BL53" s="9">
        <f>TKA[[#This Row],[Voltage]]</f>
        <v>33</v>
      </c>
    </row>
    <row r="54" spans="1:64" s="1" customFormat="1" ht="15" customHeight="1" x14ac:dyDescent="0.25">
      <c r="A54" s="6" t="str">
        <f>CONCATENATE(TKA[[#This Row],[Supply Level]],TKA[[#This Row],[Station/Feeder]],TKA[[#This Row],[Voltage]])</f>
        <v>SubTransmissionUHT33</v>
      </c>
      <c r="B54" s="6" t="str">
        <f>CONCATENATE(TKA[[#This Row],[Supply Level]],TKA[[#This Row],[Station/Feeder]],TKA[[#This Row],[Equipment ID]],TKA[[#This Row],[Voltage]],TKA[[#This Row],[Device type]])</f>
        <v>SubTransmissionUHTMINK33-</v>
      </c>
      <c r="C54" s="6" t="s">
        <v>1245</v>
      </c>
      <c r="D54" s="6" t="s">
        <v>163</v>
      </c>
      <c r="E54" s="7" t="s">
        <v>407</v>
      </c>
      <c r="F54" s="7" t="s">
        <v>409</v>
      </c>
      <c r="G54" s="57">
        <v>17</v>
      </c>
      <c r="H54" s="46" t="s">
        <v>1289</v>
      </c>
      <c r="I54" s="46" t="s">
        <v>282</v>
      </c>
      <c r="J54" s="46" t="s">
        <v>69</v>
      </c>
      <c r="K54" s="46" t="s">
        <v>0</v>
      </c>
      <c r="L54" s="46" t="s">
        <v>0</v>
      </c>
      <c r="M54" s="57">
        <v>33</v>
      </c>
      <c r="N54" s="9">
        <v>250.58233772128858</v>
      </c>
      <c r="O54" s="9">
        <f t="shared" si="91"/>
        <v>14.322704233617616</v>
      </c>
      <c r="P54" s="9" t="s">
        <v>0</v>
      </c>
      <c r="Q54" s="9" t="str">
        <f t="shared" si="92"/>
        <v>-</v>
      </c>
      <c r="R54" s="9">
        <v>188.62660722014468</v>
      </c>
      <c r="S54" s="9">
        <f t="shared" si="93"/>
        <v>10.781458623032757</v>
      </c>
      <c r="T54" s="9" t="s">
        <v>0</v>
      </c>
      <c r="U54" s="9" t="str">
        <f t="shared" si="94"/>
        <v>-</v>
      </c>
      <c r="V54" s="9" t="s">
        <v>0</v>
      </c>
      <c r="W54" s="9" t="str">
        <f t="shared" si="95"/>
        <v>-</v>
      </c>
      <c r="X54" s="9" t="s">
        <v>0</v>
      </c>
      <c r="Y54" s="9" t="str">
        <f t="shared" si="96"/>
        <v>-</v>
      </c>
      <c r="Z54" s="9" t="s">
        <v>0</v>
      </c>
      <c r="AA54" s="9" t="str">
        <f t="shared" si="97"/>
        <v>-</v>
      </c>
      <c r="AB54" s="9" t="s">
        <v>0</v>
      </c>
      <c r="AC54" s="9" t="str">
        <f t="shared" si="98"/>
        <v>-</v>
      </c>
      <c r="AD54" s="9" t="s">
        <v>0</v>
      </c>
      <c r="AE54" s="9" t="str">
        <f t="shared" si="99"/>
        <v>-</v>
      </c>
      <c r="AF54" s="9" t="s">
        <v>0</v>
      </c>
      <c r="AG54" s="9" t="s">
        <v>0</v>
      </c>
      <c r="AH54" s="9">
        <v>6827.3</v>
      </c>
      <c r="AI54" s="9" t="s">
        <v>0</v>
      </c>
      <c r="AJ54" s="9" t="s">
        <v>0</v>
      </c>
      <c r="AK54" s="9" t="s">
        <v>0</v>
      </c>
      <c r="AL54" s="43" t="s">
        <v>0</v>
      </c>
      <c r="AM54" s="9" t="s">
        <v>0</v>
      </c>
      <c r="AN54" s="43" t="s">
        <v>0</v>
      </c>
      <c r="AO54" s="9" t="s">
        <v>0</v>
      </c>
      <c r="AP54" s="43" t="s">
        <v>0</v>
      </c>
      <c r="AQ54" s="43" t="s">
        <v>0</v>
      </c>
      <c r="AR54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54" s="9" t="str">
        <f t="shared" si="100"/>
        <v>-</v>
      </c>
      <c r="AT54" s="9">
        <f>IF(RIGHT(TKA[[#This Row],[Device type]],7)="Winding","-",TKA[[#This Row],[Cont Winter MVA]])</f>
        <v>14.322704233617616</v>
      </c>
      <c r="AU54" s="9" t="str">
        <f>IF(RIGHT(TKA[[#This Row],[Device type]],7)="Winding","-",TKA[[#This Row],[Cont Shoulder MVA]])</f>
        <v>-</v>
      </c>
      <c r="AV54" s="9">
        <f>IF(RIGHT(TKA[[#This Row],[Device type]],7)="Winding","-",TKA[[#This Row],[Cont Summer MVA]])</f>
        <v>10.781458623032757</v>
      </c>
      <c r="AW54" s="9" t="str">
        <f>TKA[[#This Row],[24 Hr Winter MVA]]</f>
        <v>-</v>
      </c>
      <c r="AX54" s="9" t="str">
        <f>TKA[[#This Row],[24 Hr Summer MVA]]</f>
        <v>-</v>
      </c>
      <c r="AY54" s="9" t="str">
        <f>TKA[[#This Row],[Forwards MVA]]</f>
        <v>-</v>
      </c>
      <c r="AZ54" s="9" t="str">
        <f>TKA[[#This Row],[Relay MVA]]</f>
        <v>-</v>
      </c>
      <c r="BA54" s="9" t="str">
        <f>TKA[[#This Row],[CT MVA]]</f>
        <v>-</v>
      </c>
      <c r="BB54" s="9" t="str">
        <f>TKA[[#This Row],[Derating MVA]]</f>
        <v>-</v>
      </c>
      <c r="BC54" s="9" t="str">
        <f>TKA[[#This Row],[Station/Feeder]]&amp;TKA[[#This Row],[Lowest MVA]]</f>
        <v>UHT10.7814586230328</v>
      </c>
      <c r="BD54" s="9" t="str">
        <f>CONCATENATE(TKA[[#This Row],[Supply Level]],TKA[[#This Row],[Station/Feeder]],TKA[[#This Row],[Voltage]],TKA[[#This Row],[Lowest A-No PTX]])</f>
        <v>SubTransmissionUHT33188.626607220145</v>
      </c>
      <c r="BE54" s="9" t="str">
        <f>CONCATENATE(TKA[[#This Row],[Supply Level]],TKA[[#This Row],[Station/Feeder]],TKA[[#This Row],[Voltage]],TKA[[#This Row],[Lowest A-PTX]])</f>
        <v>SubTransmissionUHT33188.626607220145</v>
      </c>
      <c r="BF54" s="9">
        <f>IF(MIN(TKA[[#This Row],[Summ Cont Winter A]]:TKA[[#This Row],[Cable Derating]])=0,"",MIN(TKA[[#This Row],[Summ Cont Winter A]]:TKA[[#This Row],[Cable Derating]]))</f>
        <v>10.781458623032757</v>
      </c>
      <c r="BG54" s="9">
        <f>IFERROR(TKA[[#This Row],[Lowest MVA]]*1000/(TKA[[#This Row],[Voltage]]*SQRT(3)),"")</f>
        <v>188.62660722014468</v>
      </c>
      <c r="BH54" s="9">
        <f t="shared" si="80"/>
        <v>188.62660722014468</v>
      </c>
      <c r="BI54" s="9" t="str">
        <f>TKA[[#This Row],[From]]</f>
        <v>M54</v>
      </c>
      <c r="BJ54" s="9" t="str">
        <f>TKA[[#This Row],[To]]</f>
        <v>M238</v>
      </c>
      <c r="BK54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Line-MINK</v>
      </c>
      <c r="BL54" s="9">
        <f>TKA[[#This Row],[Voltage]]</f>
        <v>33</v>
      </c>
    </row>
    <row r="55" spans="1:64" s="1" customFormat="1" ht="15" customHeight="1" x14ac:dyDescent="0.25">
      <c r="A55" s="6" t="str">
        <f>CONCATENATE(TKA[[#This Row],[Supply Level]],TKA[[#This Row],[Station/Feeder]],TKA[[#This Row],[Voltage]])</f>
        <v>SubTransmissionUHT33</v>
      </c>
      <c r="B55" s="6" t="str">
        <f>CONCATENATE(TKA[[#This Row],[Supply Level]],TKA[[#This Row],[Station/Feeder]],TKA[[#This Row],[Equipment ID]],TKA[[#This Row],[Voltage]],TKA[[#This Row],[Device type]])</f>
        <v>SubTransmissionUHTPETREL33-</v>
      </c>
      <c r="C55" s="6" t="s">
        <v>1245</v>
      </c>
      <c r="D55" s="6" t="s">
        <v>163</v>
      </c>
      <c r="E55" s="7" t="s">
        <v>407</v>
      </c>
      <c r="F55" s="7" t="s">
        <v>409</v>
      </c>
      <c r="G55" s="57">
        <v>18</v>
      </c>
      <c r="H55" s="46" t="s">
        <v>1289</v>
      </c>
      <c r="I55" s="46" t="s">
        <v>337</v>
      </c>
      <c r="J55" s="46" t="s">
        <v>69</v>
      </c>
      <c r="K55" s="46" t="s">
        <v>0</v>
      </c>
      <c r="L55" s="46" t="s">
        <v>0</v>
      </c>
      <c r="M55" s="57">
        <v>33</v>
      </c>
      <c r="N55" s="9">
        <v>230</v>
      </c>
      <c r="O55" s="9">
        <f t="shared" si="91"/>
        <v>13.146265629447779</v>
      </c>
      <c r="P55" s="9" t="s">
        <v>0</v>
      </c>
      <c r="Q55" s="9" t="str">
        <f t="shared" si="92"/>
        <v>-</v>
      </c>
      <c r="R55" s="9">
        <v>172.83709311979482</v>
      </c>
      <c r="S55" s="9">
        <f t="shared" si="93"/>
        <v>9.8789666816279293</v>
      </c>
      <c r="T55" s="9" t="s">
        <v>0</v>
      </c>
      <c r="U55" s="9" t="str">
        <f t="shared" si="94"/>
        <v>-</v>
      </c>
      <c r="V55" s="9" t="s">
        <v>0</v>
      </c>
      <c r="W55" s="9" t="str">
        <f t="shared" si="95"/>
        <v>-</v>
      </c>
      <c r="X55" s="9" t="s">
        <v>0</v>
      </c>
      <c r="Y55" s="9" t="str">
        <f t="shared" si="96"/>
        <v>-</v>
      </c>
      <c r="Z55" s="9" t="s">
        <v>0</v>
      </c>
      <c r="AA55" s="9" t="str">
        <f t="shared" si="97"/>
        <v>-</v>
      </c>
      <c r="AB55" s="9" t="s">
        <v>0</v>
      </c>
      <c r="AC55" s="9" t="str">
        <f t="shared" si="98"/>
        <v>-</v>
      </c>
      <c r="AD55" s="9" t="s">
        <v>0</v>
      </c>
      <c r="AE55" s="9" t="str">
        <f t="shared" si="99"/>
        <v>-</v>
      </c>
      <c r="AF55" s="9" t="s">
        <v>0</v>
      </c>
      <c r="AG55" s="9" t="s">
        <v>0</v>
      </c>
      <c r="AH55" s="9">
        <v>267.8</v>
      </c>
      <c r="AI55" s="9" t="s">
        <v>0</v>
      </c>
      <c r="AJ55" s="9" t="s">
        <v>0</v>
      </c>
      <c r="AK55" s="9" t="s">
        <v>0</v>
      </c>
      <c r="AL55" s="43" t="s">
        <v>0</v>
      </c>
      <c r="AM55" s="9" t="s">
        <v>0</v>
      </c>
      <c r="AN55" s="43" t="s">
        <v>0</v>
      </c>
      <c r="AO55" s="9" t="s">
        <v>0</v>
      </c>
      <c r="AP55" s="43" t="s">
        <v>0</v>
      </c>
      <c r="AQ55" s="43" t="s">
        <v>0</v>
      </c>
      <c r="AR55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55" s="9" t="str">
        <f t="shared" si="100"/>
        <v>-</v>
      </c>
      <c r="AT55" s="9">
        <f>IF(RIGHT(TKA[[#This Row],[Device type]],7)="Winding","-",TKA[[#This Row],[Cont Winter MVA]])</f>
        <v>13.146265629447779</v>
      </c>
      <c r="AU55" s="9" t="str">
        <f>IF(RIGHT(TKA[[#This Row],[Device type]],7)="Winding","-",TKA[[#This Row],[Cont Shoulder MVA]])</f>
        <v>-</v>
      </c>
      <c r="AV55" s="9">
        <f>IF(RIGHT(TKA[[#This Row],[Device type]],7)="Winding","-",TKA[[#This Row],[Cont Summer MVA]])</f>
        <v>9.8789666816279293</v>
      </c>
      <c r="AW55" s="9" t="str">
        <f>TKA[[#This Row],[24 Hr Winter MVA]]</f>
        <v>-</v>
      </c>
      <c r="AX55" s="9" t="str">
        <f>TKA[[#This Row],[24 Hr Summer MVA]]</f>
        <v>-</v>
      </c>
      <c r="AY55" s="9" t="str">
        <f>TKA[[#This Row],[Forwards MVA]]</f>
        <v>-</v>
      </c>
      <c r="AZ55" s="9" t="str">
        <f>TKA[[#This Row],[Relay MVA]]</f>
        <v>-</v>
      </c>
      <c r="BA55" s="9" t="str">
        <f>TKA[[#This Row],[CT MVA]]</f>
        <v>-</v>
      </c>
      <c r="BB55" s="9" t="str">
        <f>TKA[[#This Row],[Derating MVA]]</f>
        <v>-</v>
      </c>
      <c r="BC55" s="9" t="str">
        <f>TKA[[#This Row],[Station/Feeder]]&amp;TKA[[#This Row],[Lowest MVA]]</f>
        <v>UHT9.87896668162793</v>
      </c>
      <c r="BD55" s="9" t="str">
        <f>CONCATENATE(TKA[[#This Row],[Supply Level]],TKA[[#This Row],[Station/Feeder]],TKA[[#This Row],[Voltage]],TKA[[#This Row],[Lowest A-No PTX]])</f>
        <v>SubTransmissionUHT33172.837093119795</v>
      </c>
      <c r="BE55" s="9" t="str">
        <f>CONCATENATE(TKA[[#This Row],[Supply Level]],TKA[[#This Row],[Station/Feeder]],TKA[[#This Row],[Voltage]],TKA[[#This Row],[Lowest A-PTX]])</f>
        <v>SubTransmissionUHT33172.837093119795</v>
      </c>
      <c r="BF55" s="9">
        <f>IF(MIN(TKA[[#This Row],[Summ Cont Winter A]]:TKA[[#This Row],[Cable Derating]])=0,"",MIN(TKA[[#This Row],[Summ Cont Winter A]]:TKA[[#This Row],[Cable Derating]]))</f>
        <v>9.8789666816279293</v>
      </c>
      <c r="BG55" s="9">
        <f>IFERROR(TKA[[#This Row],[Lowest MVA]]*1000/(TKA[[#This Row],[Voltage]]*SQRT(3)),"")</f>
        <v>172.83709311979484</v>
      </c>
      <c r="BH55" s="9">
        <f t="shared" si="80"/>
        <v>172.83709311979482</v>
      </c>
      <c r="BI55" s="9" t="str">
        <f>TKA[[#This Row],[From]]</f>
        <v>M54</v>
      </c>
      <c r="BJ55" s="9" t="str">
        <f>TKA[[#This Row],[To]]</f>
        <v>M238</v>
      </c>
      <c r="BK55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Line-PETREL</v>
      </c>
      <c r="BL55" s="9">
        <f>TKA[[#This Row],[Voltage]]</f>
        <v>33</v>
      </c>
    </row>
    <row r="56" spans="1:64" s="1" customFormat="1" ht="15" customHeight="1" x14ac:dyDescent="0.25">
      <c r="A56" s="6" t="str">
        <f>CONCATENATE(TKA[[#This Row],[Supply Level]],TKA[[#This Row],[Station/Feeder]],TKA[[#This Row],[Voltage]])</f>
        <v>SubTransmissionUHT33</v>
      </c>
      <c r="B56" s="6" t="str">
        <f>CONCATENATE(TKA[[#This Row],[Supply Level]],TKA[[#This Row],[Station/Feeder]],TKA[[#This Row],[Equipment ID]],TKA[[#This Row],[Voltage]],TKA[[#This Row],[Device type]])</f>
        <v>SubTransmissionUHTMINK33-</v>
      </c>
      <c r="C56" s="6" t="s">
        <v>1245</v>
      </c>
      <c r="D56" s="6" t="s">
        <v>163</v>
      </c>
      <c r="E56" s="7" t="s">
        <v>407</v>
      </c>
      <c r="F56" s="7" t="s">
        <v>409</v>
      </c>
      <c r="G56" s="57">
        <v>19</v>
      </c>
      <c r="H56" s="46" t="s">
        <v>1289</v>
      </c>
      <c r="I56" s="46" t="s">
        <v>282</v>
      </c>
      <c r="J56" s="46" t="s">
        <v>69</v>
      </c>
      <c r="K56" s="46" t="s">
        <v>0</v>
      </c>
      <c r="L56" s="46" t="s">
        <v>0</v>
      </c>
      <c r="M56" s="57">
        <v>33</v>
      </c>
      <c r="N56" s="9">
        <v>250.58233772128858</v>
      </c>
      <c r="O56" s="9">
        <f t="shared" si="91"/>
        <v>14.322704233617616</v>
      </c>
      <c r="P56" s="9" t="s">
        <v>0</v>
      </c>
      <c r="Q56" s="9" t="str">
        <f t="shared" si="92"/>
        <v>-</v>
      </c>
      <c r="R56" s="9">
        <v>188.62660722014468</v>
      </c>
      <c r="S56" s="9">
        <f t="shared" si="93"/>
        <v>10.781458623032757</v>
      </c>
      <c r="T56" s="9" t="s">
        <v>0</v>
      </c>
      <c r="U56" s="9" t="str">
        <f t="shared" si="94"/>
        <v>-</v>
      </c>
      <c r="V56" s="9" t="s">
        <v>0</v>
      </c>
      <c r="W56" s="9" t="str">
        <f t="shared" si="95"/>
        <v>-</v>
      </c>
      <c r="X56" s="9" t="s">
        <v>0</v>
      </c>
      <c r="Y56" s="9" t="str">
        <f t="shared" si="96"/>
        <v>-</v>
      </c>
      <c r="Z56" s="9" t="s">
        <v>0</v>
      </c>
      <c r="AA56" s="9" t="str">
        <f t="shared" si="97"/>
        <v>-</v>
      </c>
      <c r="AB56" s="9" t="s">
        <v>0</v>
      </c>
      <c r="AC56" s="9" t="str">
        <f t="shared" si="98"/>
        <v>-</v>
      </c>
      <c r="AD56" s="9" t="s">
        <v>0</v>
      </c>
      <c r="AE56" s="9" t="str">
        <f t="shared" si="99"/>
        <v>-</v>
      </c>
      <c r="AF56" s="9" t="s">
        <v>0</v>
      </c>
      <c r="AG56" s="9" t="s">
        <v>0</v>
      </c>
      <c r="AH56" s="9">
        <v>4686.8</v>
      </c>
      <c r="AI56" s="9" t="s">
        <v>0</v>
      </c>
      <c r="AJ56" s="9" t="s">
        <v>0</v>
      </c>
      <c r="AK56" s="9" t="s">
        <v>0</v>
      </c>
      <c r="AL56" s="43" t="s">
        <v>0</v>
      </c>
      <c r="AM56" s="9" t="s">
        <v>0</v>
      </c>
      <c r="AN56" s="43" t="s">
        <v>0</v>
      </c>
      <c r="AO56" s="9" t="s">
        <v>0</v>
      </c>
      <c r="AP56" s="43" t="s">
        <v>0</v>
      </c>
      <c r="AQ56" s="43" t="s">
        <v>0</v>
      </c>
      <c r="AR56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56" s="9" t="str">
        <f t="shared" si="100"/>
        <v>-</v>
      </c>
      <c r="AT56" s="9">
        <f>IF(RIGHT(TKA[[#This Row],[Device type]],7)="Winding","-",TKA[[#This Row],[Cont Winter MVA]])</f>
        <v>14.322704233617616</v>
      </c>
      <c r="AU56" s="9" t="str">
        <f>IF(RIGHT(TKA[[#This Row],[Device type]],7)="Winding","-",TKA[[#This Row],[Cont Shoulder MVA]])</f>
        <v>-</v>
      </c>
      <c r="AV56" s="9">
        <f>IF(RIGHT(TKA[[#This Row],[Device type]],7)="Winding","-",TKA[[#This Row],[Cont Summer MVA]])</f>
        <v>10.781458623032757</v>
      </c>
      <c r="AW56" s="9" t="str">
        <f>TKA[[#This Row],[24 Hr Winter MVA]]</f>
        <v>-</v>
      </c>
      <c r="AX56" s="9" t="str">
        <f>TKA[[#This Row],[24 Hr Summer MVA]]</f>
        <v>-</v>
      </c>
      <c r="AY56" s="9" t="str">
        <f>TKA[[#This Row],[Forwards MVA]]</f>
        <v>-</v>
      </c>
      <c r="AZ56" s="9" t="str">
        <f>TKA[[#This Row],[Relay MVA]]</f>
        <v>-</v>
      </c>
      <c r="BA56" s="9" t="str">
        <f>TKA[[#This Row],[CT MVA]]</f>
        <v>-</v>
      </c>
      <c r="BB56" s="9" t="str">
        <f>TKA[[#This Row],[Derating MVA]]</f>
        <v>-</v>
      </c>
      <c r="BC56" s="9" t="str">
        <f>TKA[[#This Row],[Station/Feeder]]&amp;TKA[[#This Row],[Lowest MVA]]</f>
        <v>UHT10.7814586230328</v>
      </c>
      <c r="BD56" s="9" t="str">
        <f>CONCATENATE(TKA[[#This Row],[Supply Level]],TKA[[#This Row],[Station/Feeder]],TKA[[#This Row],[Voltage]],TKA[[#This Row],[Lowest A-No PTX]])</f>
        <v>SubTransmissionUHT33188.626607220145</v>
      </c>
      <c r="BE56" s="9" t="str">
        <f>CONCATENATE(TKA[[#This Row],[Supply Level]],TKA[[#This Row],[Station/Feeder]],TKA[[#This Row],[Voltage]],TKA[[#This Row],[Lowest A-PTX]])</f>
        <v>SubTransmissionUHT33188.626607220145</v>
      </c>
      <c r="BF56" s="9">
        <f>IF(MIN(TKA[[#This Row],[Summ Cont Winter A]]:TKA[[#This Row],[Cable Derating]])=0,"",MIN(TKA[[#This Row],[Summ Cont Winter A]]:TKA[[#This Row],[Cable Derating]]))</f>
        <v>10.781458623032757</v>
      </c>
      <c r="BG56" s="9">
        <f>IFERROR(TKA[[#This Row],[Lowest MVA]]*1000/(TKA[[#This Row],[Voltage]]*SQRT(3)),"")</f>
        <v>188.62660722014468</v>
      </c>
      <c r="BH56" s="9">
        <f t="shared" si="80"/>
        <v>188.62660722014468</v>
      </c>
      <c r="BI56" s="9" t="str">
        <f>TKA[[#This Row],[From]]</f>
        <v>M54</v>
      </c>
      <c r="BJ56" s="9" t="str">
        <f>TKA[[#This Row],[To]]</f>
        <v>M238</v>
      </c>
      <c r="BK56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Line-MINK</v>
      </c>
      <c r="BL56" s="9">
        <f>TKA[[#This Row],[Voltage]]</f>
        <v>33</v>
      </c>
    </row>
    <row r="57" spans="1:64" s="1" customFormat="1" ht="15" customHeight="1" x14ac:dyDescent="0.25">
      <c r="A57" s="6" t="str">
        <f>CONCATENATE(TKA[[#This Row],[Supply Level]],TKA[[#This Row],[Station/Feeder]],TKA[[#This Row],[Voltage]])</f>
        <v>SubTransmissionUHT33</v>
      </c>
      <c r="B57" s="6" t="str">
        <f>CONCATENATE(TKA[[#This Row],[Supply Level]],TKA[[#This Row],[Station/Feeder]],TKA[[#This Row],[Equipment ID]],TKA[[#This Row],[Voltage]],TKA[[#This Row],[Device type]])</f>
        <v>SubTransmissionUHTM23833-</v>
      </c>
      <c r="C57" s="6" t="s">
        <v>1245</v>
      </c>
      <c r="D57" s="6" t="s">
        <v>163</v>
      </c>
      <c r="E57" s="7" t="s">
        <v>409</v>
      </c>
      <c r="F57" s="7" t="s">
        <v>1345</v>
      </c>
      <c r="G57" s="57">
        <v>20</v>
      </c>
      <c r="H57" s="46" t="s">
        <v>273</v>
      </c>
      <c r="I57" s="46" t="s">
        <v>409</v>
      </c>
      <c r="J57" s="46" t="s">
        <v>240</v>
      </c>
      <c r="K57" s="46" t="s">
        <v>0</v>
      </c>
      <c r="L57" s="46" t="s">
        <v>0</v>
      </c>
      <c r="M57" s="57">
        <v>33</v>
      </c>
      <c r="N57" s="9">
        <v>800</v>
      </c>
      <c r="O57" s="9">
        <f t="shared" ref="O57:O61" si="111">IF(OR(N57="",N57="-"),"-",N57*$M57*SQRT(3)/1000)</f>
        <v>45.72614131981836</v>
      </c>
      <c r="P57" s="9">
        <v>800</v>
      </c>
      <c r="Q57" s="9">
        <f t="shared" ref="Q57:Q61" si="112">IF(OR(P57="",P57="-"),"-",P57*$M57*SQRT(3)/1000)</f>
        <v>45.72614131981836</v>
      </c>
      <c r="R57" s="9">
        <v>800</v>
      </c>
      <c r="S57" s="9">
        <f t="shared" ref="S57:S61" si="113">IF(OR(R57="",R57="-"),"-",R57*$M57*SQRT(3)/1000)</f>
        <v>45.72614131981836</v>
      </c>
      <c r="T57" s="9" t="s">
        <v>0</v>
      </c>
      <c r="U57" s="9" t="str">
        <f t="shared" ref="U57:U61" si="114">IF(OR(T57="",T57="-"),"-",T57*$M57*SQRT(3)/1000)</f>
        <v>-</v>
      </c>
      <c r="V57" s="9" t="s">
        <v>0</v>
      </c>
      <c r="W57" s="9" t="str">
        <f t="shared" ref="W57:W61" si="115">IF(OR(V57="",V57="-"),"-",V57*$M57*SQRT(3)/1000)</f>
        <v>-</v>
      </c>
      <c r="X57" s="9" t="s">
        <v>0</v>
      </c>
      <c r="Y57" s="9" t="str">
        <f t="shared" ref="Y57:Y61" si="116">IF(OR(X57="",X57="-"),"-",X57*$M57*SQRT(3)/1000)</f>
        <v>-</v>
      </c>
      <c r="Z57" s="9" t="s">
        <v>0</v>
      </c>
      <c r="AA57" s="9" t="str">
        <f t="shared" ref="AA57:AA61" si="117">IF(OR(Z57="",Z57="-"),"-",Z57*$M57*SQRT(3)/1000)</f>
        <v>-</v>
      </c>
      <c r="AB57" s="9" t="s">
        <v>0</v>
      </c>
      <c r="AC57" s="9" t="str">
        <f t="shared" ref="AC57:AC61" si="118">IF(OR(AB57="",AB57="-"),"-",AB57*$M57*SQRT(3)/1000)</f>
        <v>-</v>
      </c>
      <c r="AD57" s="9" t="s">
        <v>0</v>
      </c>
      <c r="AE57" s="9" t="str">
        <f t="shared" ref="AE57:AE61" si="119">IF(OR(AD57="",AD57="-"),"-",AD57*$M57*SQRT(3)/1000)</f>
        <v>-</v>
      </c>
      <c r="AF57" s="9" t="s">
        <v>0</v>
      </c>
      <c r="AG57" s="9" t="s">
        <v>0</v>
      </c>
      <c r="AH57" s="9" t="s">
        <v>0</v>
      </c>
      <c r="AI57" s="9" t="s">
        <v>0</v>
      </c>
      <c r="AJ57" s="43" t="s">
        <v>0</v>
      </c>
      <c r="AK57" s="9" t="s">
        <v>0</v>
      </c>
      <c r="AL57" s="43" t="s">
        <v>0</v>
      </c>
      <c r="AM57" s="9" t="s">
        <v>0</v>
      </c>
      <c r="AN57" s="43" t="s">
        <v>0</v>
      </c>
      <c r="AO57" s="9" t="s">
        <v>0</v>
      </c>
      <c r="AP57" s="43" t="s">
        <v>0</v>
      </c>
      <c r="AQ57" s="43" t="s">
        <v>0</v>
      </c>
      <c r="AR57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57" s="9" t="str">
        <f t="shared" ref="AS57:AS61" si="120">IF(OR(AR57="",AR57="-"),"-",AR57*$M57*SQRT(3)/1000)</f>
        <v>-</v>
      </c>
      <c r="AT57" s="9">
        <f>IF(RIGHT(TKA[[#This Row],[Device type]],7)="Winding","-",TKA[[#This Row],[Cont Winter MVA]])</f>
        <v>45.72614131981836</v>
      </c>
      <c r="AU57" s="9">
        <f>IF(RIGHT(TKA[[#This Row],[Device type]],7)="Winding","-",TKA[[#This Row],[Cont Shoulder MVA]])</f>
        <v>45.72614131981836</v>
      </c>
      <c r="AV57" s="9">
        <f>IF(RIGHT(TKA[[#This Row],[Device type]],7)="Winding","-",TKA[[#This Row],[Cont Summer MVA]])</f>
        <v>45.72614131981836</v>
      </c>
      <c r="AW57" s="9" t="str">
        <f>TKA[[#This Row],[24 Hr Winter MVA]]</f>
        <v>-</v>
      </c>
      <c r="AX57" s="9" t="str">
        <f>TKA[[#This Row],[24 Hr Summer MVA]]</f>
        <v>-</v>
      </c>
      <c r="AY57" s="9" t="str">
        <f>TKA[[#This Row],[Forwards MVA]]</f>
        <v>-</v>
      </c>
      <c r="AZ57" s="9" t="str">
        <f>TKA[[#This Row],[Relay MVA]]</f>
        <v>-</v>
      </c>
      <c r="BA57" s="9" t="str">
        <f>TKA[[#This Row],[CT MVA]]</f>
        <v>-</v>
      </c>
      <c r="BB57" s="9" t="str">
        <f>TKA[[#This Row],[Derating MVA]]</f>
        <v>-</v>
      </c>
      <c r="BC57" s="9" t="str">
        <f>TKA[[#This Row],[Station/Feeder]]&amp;TKA[[#This Row],[Lowest MVA]]</f>
        <v>UHT45.7261413198184</v>
      </c>
      <c r="BD57" s="9" t="str">
        <f>CONCATENATE(TKA[[#This Row],[Supply Level]],TKA[[#This Row],[Station/Feeder]],TKA[[#This Row],[Voltage]],TKA[[#This Row],[Lowest A-No PTX]])</f>
        <v>SubTransmissionUHT33800</v>
      </c>
      <c r="BE57" s="9" t="str">
        <f>CONCATENATE(TKA[[#This Row],[Supply Level]],TKA[[#This Row],[Station/Feeder]],TKA[[#This Row],[Voltage]],TKA[[#This Row],[Lowest A-PTX]])</f>
        <v>SubTransmissionUHT33800</v>
      </c>
      <c r="BF57" s="9">
        <f>IF(MIN(TKA[[#This Row],[Summ Cont Winter A]]:TKA[[#This Row],[Cable Derating]])=0,"",MIN(TKA[[#This Row],[Summ Cont Winter A]]:TKA[[#This Row],[Cable Derating]]))</f>
        <v>45.72614131981836</v>
      </c>
      <c r="BG57" s="9">
        <f>IFERROR(TKA[[#This Row],[Lowest MVA]]*1000/(TKA[[#This Row],[Voltage]]*SQRT(3)),"")</f>
        <v>800</v>
      </c>
      <c r="BH57" s="9">
        <f t="shared" si="80"/>
        <v>800</v>
      </c>
      <c r="BI57" s="9" t="str">
        <f>TKA[[#This Row],[From]]</f>
        <v>M238</v>
      </c>
      <c r="BJ57" s="9" t="str">
        <f>TKA[[#This Row],[To]]</f>
        <v>M303</v>
      </c>
      <c r="BK57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ABS-M238</v>
      </c>
      <c r="BL57" s="9">
        <f>TKA[[#This Row],[Voltage]]</f>
        <v>33</v>
      </c>
    </row>
    <row r="58" spans="1:64" s="1" customFormat="1" ht="15" customHeight="1" x14ac:dyDescent="0.25">
      <c r="A58" s="6" t="str">
        <f>CONCATENATE(TKA[[#This Row],[Supply Level]],TKA[[#This Row],[Station/Feeder]],TKA[[#This Row],[Voltage]])</f>
        <v>SubTransmissionUHT33</v>
      </c>
      <c r="B58" s="6" t="str">
        <f>CONCATENATE(TKA[[#This Row],[Supply Level]],TKA[[#This Row],[Station/Feeder]],TKA[[#This Row],[Equipment ID]],TKA[[#This Row],[Voltage]],TKA[[#This Row],[Device type]])</f>
        <v>SubTransmissionUHTMINK33-</v>
      </c>
      <c r="C58" s="6" t="s">
        <v>1245</v>
      </c>
      <c r="D58" s="6" t="s">
        <v>163</v>
      </c>
      <c r="E58" s="7" t="s">
        <v>409</v>
      </c>
      <c r="F58" s="7" t="s">
        <v>1345</v>
      </c>
      <c r="G58" s="57">
        <v>21</v>
      </c>
      <c r="H58" s="46" t="s">
        <v>1289</v>
      </c>
      <c r="I58" s="46" t="s">
        <v>282</v>
      </c>
      <c r="J58" s="46" t="s">
        <v>69</v>
      </c>
      <c r="K58" s="46" t="s">
        <v>0</v>
      </c>
      <c r="L58" s="46" t="s">
        <v>0</v>
      </c>
      <c r="M58" s="57">
        <v>33</v>
      </c>
      <c r="N58" s="9">
        <v>250.58233772128858</v>
      </c>
      <c r="O58" s="9">
        <f t="shared" si="91"/>
        <v>14.322704233617616</v>
      </c>
      <c r="P58" s="9" t="s">
        <v>0</v>
      </c>
      <c r="Q58" s="9" t="str">
        <f t="shared" si="92"/>
        <v>-</v>
      </c>
      <c r="R58" s="9">
        <v>188.62660722014468</v>
      </c>
      <c r="S58" s="9">
        <f t="shared" si="93"/>
        <v>10.781458623032757</v>
      </c>
      <c r="T58" s="9" t="s">
        <v>0</v>
      </c>
      <c r="U58" s="9" t="str">
        <f t="shared" si="94"/>
        <v>-</v>
      </c>
      <c r="V58" s="9" t="s">
        <v>0</v>
      </c>
      <c r="W58" s="9" t="str">
        <f t="shared" si="95"/>
        <v>-</v>
      </c>
      <c r="X58" s="9" t="s">
        <v>0</v>
      </c>
      <c r="Y58" s="9" t="str">
        <f t="shared" si="96"/>
        <v>-</v>
      </c>
      <c r="Z58" s="9" t="s">
        <v>0</v>
      </c>
      <c r="AA58" s="9" t="str">
        <f t="shared" si="97"/>
        <v>-</v>
      </c>
      <c r="AB58" s="9" t="s">
        <v>0</v>
      </c>
      <c r="AC58" s="9" t="str">
        <f t="shared" si="98"/>
        <v>-</v>
      </c>
      <c r="AD58" s="9" t="s">
        <v>0</v>
      </c>
      <c r="AE58" s="9" t="str">
        <f t="shared" si="99"/>
        <v>-</v>
      </c>
      <c r="AF58" s="9" t="s">
        <v>0</v>
      </c>
      <c r="AG58" s="9" t="s">
        <v>0</v>
      </c>
      <c r="AH58" s="9">
        <v>7.7</v>
      </c>
      <c r="AI58" s="9" t="s">
        <v>0</v>
      </c>
      <c r="AJ58" s="9" t="s">
        <v>0</v>
      </c>
      <c r="AK58" s="9" t="s">
        <v>0</v>
      </c>
      <c r="AL58" s="43" t="s">
        <v>0</v>
      </c>
      <c r="AM58" s="9" t="s">
        <v>0</v>
      </c>
      <c r="AN58" s="43" t="s">
        <v>0</v>
      </c>
      <c r="AO58" s="9" t="s">
        <v>0</v>
      </c>
      <c r="AP58" s="43" t="s">
        <v>0</v>
      </c>
      <c r="AQ58" s="43" t="s">
        <v>0</v>
      </c>
      <c r="AR58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58" s="9" t="str">
        <f t="shared" si="120"/>
        <v>-</v>
      </c>
      <c r="AT58" s="9">
        <f>IF(RIGHT(TKA[[#This Row],[Device type]],7)="Winding","-",TKA[[#This Row],[Cont Winter MVA]])</f>
        <v>14.322704233617616</v>
      </c>
      <c r="AU58" s="9" t="str">
        <f>IF(RIGHT(TKA[[#This Row],[Device type]],7)="Winding","-",TKA[[#This Row],[Cont Shoulder MVA]])</f>
        <v>-</v>
      </c>
      <c r="AV58" s="9">
        <f>IF(RIGHT(TKA[[#This Row],[Device type]],7)="Winding","-",TKA[[#This Row],[Cont Summer MVA]])</f>
        <v>10.781458623032757</v>
      </c>
      <c r="AW58" s="9" t="str">
        <f>TKA[[#This Row],[24 Hr Winter MVA]]</f>
        <v>-</v>
      </c>
      <c r="AX58" s="9" t="str">
        <f>TKA[[#This Row],[24 Hr Summer MVA]]</f>
        <v>-</v>
      </c>
      <c r="AY58" s="9" t="str">
        <f>TKA[[#This Row],[Forwards MVA]]</f>
        <v>-</v>
      </c>
      <c r="AZ58" s="9" t="str">
        <f>TKA[[#This Row],[Relay MVA]]</f>
        <v>-</v>
      </c>
      <c r="BA58" s="9" t="str">
        <f>TKA[[#This Row],[CT MVA]]</f>
        <v>-</v>
      </c>
      <c r="BB58" s="9" t="str">
        <f>TKA[[#This Row],[Derating MVA]]</f>
        <v>-</v>
      </c>
      <c r="BC58" s="9" t="str">
        <f>TKA[[#This Row],[Station/Feeder]]&amp;TKA[[#This Row],[Lowest MVA]]</f>
        <v>UHT10.7814586230328</v>
      </c>
      <c r="BD58" s="9" t="str">
        <f>CONCATENATE(TKA[[#This Row],[Supply Level]],TKA[[#This Row],[Station/Feeder]],TKA[[#This Row],[Voltage]],TKA[[#This Row],[Lowest A-No PTX]])</f>
        <v>SubTransmissionUHT33188.626607220145</v>
      </c>
      <c r="BE58" s="9" t="str">
        <f>CONCATENATE(TKA[[#This Row],[Supply Level]],TKA[[#This Row],[Station/Feeder]],TKA[[#This Row],[Voltage]],TKA[[#This Row],[Lowest A-PTX]])</f>
        <v>SubTransmissionUHT33188.626607220145</v>
      </c>
      <c r="BF58" s="9">
        <f>IF(MIN(TKA[[#This Row],[Summ Cont Winter A]]:TKA[[#This Row],[Cable Derating]])=0,"",MIN(TKA[[#This Row],[Summ Cont Winter A]]:TKA[[#This Row],[Cable Derating]]))</f>
        <v>10.781458623032757</v>
      </c>
      <c r="BG58" s="9">
        <f>IFERROR(TKA[[#This Row],[Lowest MVA]]*1000/(TKA[[#This Row],[Voltage]]*SQRT(3)),"")</f>
        <v>188.62660722014468</v>
      </c>
      <c r="BH58" s="9">
        <f t="shared" si="80"/>
        <v>188.62660722014468</v>
      </c>
      <c r="BI58" s="9" t="str">
        <f>TKA[[#This Row],[From]]</f>
        <v>M238</v>
      </c>
      <c r="BJ58" s="9" t="str">
        <f>TKA[[#This Row],[To]]</f>
        <v>M303</v>
      </c>
      <c r="BK58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Line-MINK</v>
      </c>
      <c r="BL58" s="9">
        <f>TKA[[#This Row],[Voltage]]</f>
        <v>33</v>
      </c>
    </row>
    <row r="59" spans="1:64" s="1" customFormat="1" ht="15" customHeight="1" x14ac:dyDescent="0.25">
      <c r="A59" s="6" t="str">
        <f>CONCATENATE(TKA[[#This Row],[Supply Level]],TKA[[#This Row],[Station/Feeder]],TKA[[#This Row],[Voltage]])</f>
        <v>SubTransmissionUHT33</v>
      </c>
      <c r="B59" s="6" t="str">
        <f>CONCATENATE(TKA[[#This Row],[Supply Level]],TKA[[#This Row],[Station/Feeder]],TKA[[#This Row],[Equipment ID]],TKA[[#This Row],[Voltage]],TKA[[#This Row],[Device type]])</f>
        <v>SubTransmissionUHT3-1c 185 mm² AL XLPE33-</v>
      </c>
      <c r="C59" s="6" t="s">
        <v>1245</v>
      </c>
      <c r="D59" s="6" t="s">
        <v>163</v>
      </c>
      <c r="E59" s="7" t="s">
        <v>409</v>
      </c>
      <c r="F59" s="7" t="s">
        <v>1345</v>
      </c>
      <c r="G59" s="57">
        <v>22</v>
      </c>
      <c r="H59" s="46" t="s">
        <v>276</v>
      </c>
      <c r="I59" s="46" t="s">
        <v>561</v>
      </c>
      <c r="J59" s="46" t="s">
        <v>250</v>
      </c>
      <c r="K59" s="46" t="s">
        <v>0</v>
      </c>
      <c r="L59" s="46" t="s">
        <v>0</v>
      </c>
      <c r="M59" s="57">
        <v>33</v>
      </c>
      <c r="N59" s="9">
        <v>326</v>
      </c>
      <c r="O59" s="9">
        <f t="shared" si="91"/>
        <v>18.63340258782598</v>
      </c>
      <c r="P59" s="9">
        <v>326</v>
      </c>
      <c r="Q59" s="9">
        <f t="shared" si="92"/>
        <v>18.63340258782598</v>
      </c>
      <c r="R59" s="9">
        <v>326</v>
      </c>
      <c r="S59" s="9">
        <f t="shared" si="93"/>
        <v>18.63340258782598</v>
      </c>
      <c r="T59" s="9" t="s">
        <v>0</v>
      </c>
      <c r="U59" s="9" t="str">
        <f t="shared" si="94"/>
        <v>-</v>
      </c>
      <c r="V59" s="9" t="s">
        <v>0</v>
      </c>
      <c r="W59" s="9" t="str">
        <f t="shared" si="95"/>
        <v>-</v>
      </c>
      <c r="X59" s="9" t="s">
        <v>0</v>
      </c>
      <c r="Y59" s="9" t="str">
        <f t="shared" si="96"/>
        <v>-</v>
      </c>
      <c r="Z59" s="9" t="s">
        <v>0</v>
      </c>
      <c r="AA59" s="9" t="str">
        <f t="shared" si="97"/>
        <v>-</v>
      </c>
      <c r="AB59" s="9" t="s">
        <v>0</v>
      </c>
      <c r="AC59" s="9" t="str">
        <f t="shared" si="98"/>
        <v>-</v>
      </c>
      <c r="AD59" s="9" t="s">
        <v>0</v>
      </c>
      <c r="AE59" s="9" t="str">
        <f t="shared" si="99"/>
        <v>-</v>
      </c>
      <c r="AF59" s="9">
        <v>1</v>
      </c>
      <c r="AG59" s="9" t="s">
        <v>344</v>
      </c>
      <c r="AH59" s="9">
        <v>3.5</v>
      </c>
      <c r="AI59" s="9">
        <v>1</v>
      </c>
      <c r="AJ59" s="43">
        <v>0.98</v>
      </c>
      <c r="AK59" s="9">
        <v>15</v>
      </c>
      <c r="AL59" s="43">
        <v>1</v>
      </c>
      <c r="AM59" s="9">
        <v>1.2</v>
      </c>
      <c r="AN59" s="43">
        <v>1</v>
      </c>
      <c r="AO59" s="9">
        <v>1</v>
      </c>
      <c r="AP59" s="43" t="s">
        <v>0</v>
      </c>
      <c r="AQ59" s="43">
        <v>1</v>
      </c>
      <c r="AR59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319.48</v>
      </c>
      <c r="AS59" s="9">
        <f t="shared" si="120"/>
        <v>18.26073453606946</v>
      </c>
      <c r="AT59" s="9">
        <f>IF(RIGHT(TKA[[#This Row],[Device type]],7)="Winding","-",TKA[[#This Row],[Cont Winter MVA]])</f>
        <v>18.63340258782598</v>
      </c>
      <c r="AU59" s="9">
        <f>IF(RIGHT(TKA[[#This Row],[Device type]],7)="Winding","-",TKA[[#This Row],[Cont Shoulder MVA]])</f>
        <v>18.63340258782598</v>
      </c>
      <c r="AV59" s="9">
        <f>IF(RIGHT(TKA[[#This Row],[Device type]],7)="Winding","-",TKA[[#This Row],[Cont Summer MVA]])</f>
        <v>18.63340258782598</v>
      </c>
      <c r="AW59" s="9" t="str">
        <f>TKA[[#This Row],[24 Hr Winter MVA]]</f>
        <v>-</v>
      </c>
      <c r="AX59" s="9" t="str">
        <f>TKA[[#This Row],[24 Hr Summer MVA]]</f>
        <v>-</v>
      </c>
      <c r="AY59" s="9" t="str">
        <f>TKA[[#This Row],[Forwards MVA]]</f>
        <v>-</v>
      </c>
      <c r="AZ59" s="9" t="str">
        <f>TKA[[#This Row],[Relay MVA]]</f>
        <v>-</v>
      </c>
      <c r="BA59" s="9" t="str">
        <f>TKA[[#This Row],[CT MVA]]</f>
        <v>-</v>
      </c>
      <c r="BB59" s="9">
        <f>TKA[[#This Row],[Derating MVA]]</f>
        <v>18.26073453606946</v>
      </c>
      <c r="BC59" s="9" t="str">
        <f>TKA[[#This Row],[Station/Feeder]]&amp;TKA[[#This Row],[Lowest MVA]]</f>
        <v>UHT18.2607345360695</v>
      </c>
      <c r="BD59" s="9" t="str">
        <f>CONCATENATE(TKA[[#This Row],[Supply Level]],TKA[[#This Row],[Station/Feeder]],TKA[[#This Row],[Voltage]],TKA[[#This Row],[Lowest A-No PTX]])</f>
        <v>SubTransmissionUHT33319.48</v>
      </c>
      <c r="BE59" s="9" t="str">
        <f>CONCATENATE(TKA[[#This Row],[Supply Level]],TKA[[#This Row],[Station/Feeder]],TKA[[#This Row],[Voltage]],TKA[[#This Row],[Lowest A-PTX]])</f>
        <v>SubTransmissionUHT33319.48</v>
      </c>
      <c r="BF59" s="9">
        <f>IF(MIN(TKA[[#This Row],[Summ Cont Winter A]]:TKA[[#This Row],[Cable Derating]])=0,"",MIN(TKA[[#This Row],[Summ Cont Winter A]]:TKA[[#This Row],[Cable Derating]]))</f>
        <v>18.26073453606946</v>
      </c>
      <c r="BG59" s="9">
        <f>IFERROR(TKA[[#This Row],[Lowest MVA]]*1000/(TKA[[#This Row],[Voltage]]*SQRT(3)),"")</f>
        <v>319.47999999999996</v>
      </c>
      <c r="BH59" s="9">
        <f t="shared" si="80"/>
        <v>319.48</v>
      </c>
      <c r="BI59" s="9" t="str">
        <f>TKA[[#This Row],[From]]</f>
        <v>M238</v>
      </c>
      <c r="BJ59" s="9" t="str">
        <f>TKA[[#This Row],[To]]</f>
        <v>M303</v>
      </c>
      <c r="BK59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Cable-3-1c 185 mm² AL XLPE</v>
      </c>
      <c r="BL59" s="9">
        <f>TKA[[#This Row],[Voltage]]</f>
        <v>33</v>
      </c>
    </row>
    <row r="60" spans="1:64" s="1" customFormat="1" ht="15" customHeight="1" x14ac:dyDescent="0.25">
      <c r="A60" s="6" t="str">
        <f>CONCATENATE(TKA[[#This Row],[Supply Level]],TKA[[#This Row],[Station/Feeder]],TKA[[#This Row],[Voltage]])</f>
        <v>ZoneSubstationUHT33</v>
      </c>
      <c r="B60" s="6" t="str">
        <f>CONCATENATE(TKA[[#This Row],[Supply Level]],TKA[[#This Row],[Station/Feeder]],TKA[[#This Row],[Equipment ID]],TKA[[#This Row],[Voltage]],TKA[[#This Row],[Device type]])</f>
        <v>ZoneSubstationUHTM30333-</v>
      </c>
      <c r="C60" s="6" t="s">
        <v>1246</v>
      </c>
      <c r="D60" s="6" t="s">
        <v>163</v>
      </c>
      <c r="E60" s="7" t="s">
        <v>1345</v>
      </c>
      <c r="F60" s="7" t="s">
        <v>1346</v>
      </c>
      <c r="G60" s="57">
        <v>1</v>
      </c>
      <c r="H60" s="46" t="s">
        <v>273</v>
      </c>
      <c r="I60" s="46" t="s">
        <v>1345</v>
      </c>
      <c r="J60" s="46" t="s">
        <v>670</v>
      </c>
      <c r="K60" s="46" t="s">
        <v>0</v>
      </c>
      <c r="L60" s="46" t="s">
        <v>0</v>
      </c>
      <c r="M60" s="57">
        <v>33</v>
      </c>
      <c r="N60" s="9">
        <v>630</v>
      </c>
      <c r="O60" s="9">
        <f t="shared" si="111"/>
        <v>36.009336289356959</v>
      </c>
      <c r="P60" s="9">
        <v>630</v>
      </c>
      <c r="Q60" s="9">
        <f t="shared" si="112"/>
        <v>36.009336289356959</v>
      </c>
      <c r="R60" s="9">
        <v>630</v>
      </c>
      <c r="S60" s="9">
        <f t="shared" si="113"/>
        <v>36.009336289356959</v>
      </c>
      <c r="T60" s="9" t="s">
        <v>0</v>
      </c>
      <c r="U60" s="9" t="str">
        <f t="shared" si="114"/>
        <v>-</v>
      </c>
      <c r="V60" s="9" t="s">
        <v>0</v>
      </c>
      <c r="W60" s="9" t="str">
        <f t="shared" si="115"/>
        <v>-</v>
      </c>
      <c r="X60" s="9" t="s">
        <v>0</v>
      </c>
      <c r="Y60" s="9" t="str">
        <f t="shared" si="116"/>
        <v>-</v>
      </c>
      <c r="Z60" s="9" t="s">
        <v>0</v>
      </c>
      <c r="AA60" s="9" t="str">
        <f t="shared" si="117"/>
        <v>-</v>
      </c>
      <c r="AB60" s="9" t="s">
        <v>0</v>
      </c>
      <c r="AC60" s="9" t="str">
        <f t="shared" si="118"/>
        <v>-</v>
      </c>
      <c r="AD60" s="9" t="s">
        <v>0</v>
      </c>
      <c r="AE60" s="9" t="str">
        <f t="shared" si="119"/>
        <v>-</v>
      </c>
      <c r="AF60" s="9" t="s">
        <v>0</v>
      </c>
      <c r="AG60" s="9" t="s">
        <v>0</v>
      </c>
      <c r="AH60" s="9" t="s">
        <v>0</v>
      </c>
      <c r="AI60" s="9" t="s">
        <v>0</v>
      </c>
      <c r="AJ60" s="43" t="s">
        <v>0</v>
      </c>
      <c r="AK60" s="9" t="s">
        <v>0</v>
      </c>
      <c r="AL60" s="43" t="s">
        <v>0</v>
      </c>
      <c r="AM60" s="9" t="s">
        <v>0</v>
      </c>
      <c r="AN60" s="43" t="s">
        <v>0</v>
      </c>
      <c r="AO60" s="9" t="s">
        <v>0</v>
      </c>
      <c r="AP60" s="43" t="s">
        <v>0</v>
      </c>
      <c r="AQ60" s="43" t="s">
        <v>0</v>
      </c>
      <c r="AR60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60" s="9" t="str">
        <f t="shared" si="120"/>
        <v>-</v>
      </c>
      <c r="AT60" s="9">
        <f>IF(RIGHT(TKA[[#This Row],[Device type]],7)="Winding","-",TKA[[#This Row],[Cont Winter MVA]])</f>
        <v>36.009336289356959</v>
      </c>
      <c r="AU60" s="9">
        <f>IF(RIGHT(TKA[[#This Row],[Device type]],7)="Winding","-",TKA[[#This Row],[Cont Shoulder MVA]])</f>
        <v>36.009336289356959</v>
      </c>
      <c r="AV60" s="9">
        <f>IF(RIGHT(TKA[[#This Row],[Device type]],7)="Winding","-",TKA[[#This Row],[Cont Summer MVA]])</f>
        <v>36.009336289356959</v>
      </c>
      <c r="AW60" s="9" t="str">
        <f>TKA[[#This Row],[24 Hr Winter MVA]]</f>
        <v>-</v>
      </c>
      <c r="AX60" s="9" t="str">
        <f>TKA[[#This Row],[24 Hr Summer MVA]]</f>
        <v>-</v>
      </c>
      <c r="AY60" s="9" t="str">
        <f>TKA[[#This Row],[Forwards MVA]]</f>
        <v>-</v>
      </c>
      <c r="AZ60" s="9" t="str">
        <f>TKA[[#This Row],[Relay MVA]]</f>
        <v>-</v>
      </c>
      <c r="BA60" s="9" t="str">
        <f>TKA[[#This Row],[CT MVA]]</f>
        <v>-</v>
      </c>
      <c r="BB60" s="9" t="str">
        <f>TKA[[#This Row],[Derating MVA]]</f>
        <v>-</v>
      </c>
      <c r="BC60" s="9" t="str">
        <f>TKA[[#This Row],[Station/Feeder]]&amp;TKA[[#This Row],[Lowest MVA]]</f>
        <v>UHT36.009336289357</v>
      </c>
      <c r="BD60" s="9" t="str">
        <f>CONCATENATE(TKA[[#This Row],[Supply Level]],TKA[[#This Row],[Station/Feeder]],TKA[[#This Row],[Voltage]],TKA[[#This Row],[Lowest A-No PTX]])</f>
        <v>ZoneSubstationUHT33630</v>
      </c>
      <c r="BE60" s="9" t="str">
        <f>CONCATENATE(TKA[[#This Row],[Supply Level]],TKA[[#This Row],[Station/Feeder]],TKA[[#This Row],[Voltage]],TKA[[#This Row],[Lowest A-PTX]])</f>
        <v>ZoneSubstationUHT33630</v>
      </c>
      <c r="BF60" s="9">
        <f>IF(MIN(TKA[[#This Row],[Summ Cont Winter A]]:TKA[[#This Row],[Cable Derating]])=0,"",MIN(TKA[[#This Row],[Summ Cont Winter A]]:TKA[[#This Row],[Cable Derating]]))</f>
        <v>36.009336289356959</v>
      </c>
      <c r="BG60" s="9">
        <f>IFERROR(TKA[[#This Row],[Lowest MVA]]*1000/(TKA[[#This Row],[Voltage]]*SQRT(3)),"")</f>
        <v>630</v>
      </c>
      <c r="BH60" s="9">
        <f t="shared" si="80"/>
        <v>630</v>
      </c>
      <c r="BI60" s="9" t="str">
        <f>TKA[[#This Row],[From]]</f>
        <v>M303</v>
      </c>
      <c r="BJ60" s="9" t="str">
        <f>TKA[[#This Row],[To]]</f>
        <v>M301</v>
      </c>
      <c r="BK60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RMU Switch-M303</v>
      </c>
      <c r="BL60" s="9">
        <f>TKA[[#This Row],[Voltage]]</f>
        <v>33</v>
      </c>
    </row>
    <row r="61" spans="1:64" s="1" customFormat="1" ht="15" customHeight="1" x14ac:dyDescent="0.25">
      <c r="A61" s="6" t="str">
        <f>CONCATENATE(TKA[[#This Row],[Supply Level]],TKA[[#This Row],[Station/Feeder]],TKA[[#This Row],[Voltage]])</f>
        <v>ZoneSubstationUHT33</v>
      </c>
      <c r="B61" s="6" t="str">
        <f>CONCATENATE(TKA[[#This Row],[Supply Level]],TKA[[#This Row],[Station/Feeder]],TKA[[#This Row],[Equipment ID]],TKA[[#This Row],[Voltage]],TKA[[#This Row],[Device type]])</f>
        <v>ZoneSubstationUHTUHT-M30233Protection</v>
      </c>
      <c r="C61" s="6" t="s">
        <v>1246</v>
      </c>
      <c r="D61" s="6" t="s">
        <v>163</v>
      </c>
      <c r="E61" s="7" t="s">
        <v>1345</v>
      </c>
      <c r="F61" s="7" t="s">
        <v>1346</v>
      </c>
      <c r="G61" s="57">
        <v>2</v>
      </c>
      <c r="H61" s="46" t="s">
        <v>343</v>
      </c>
      <c r="I61" s="46" t="s">
        <v>2423</v>
      </c>
      <c r="J61" s="46" t="s">
        <v>15</v>
      </c>
      <c r="K61" s="46" t="s">
        <v>1353</v>
      </c>
      <c r="L61" s="46" t="s">
        <v>1423</v>
      </c>
      <c r="M61" s="57">
        <v>33</v>
      </c>
      <c r="N61" s="9">
        <v>630</v>
      </c>
      <c r="O61" s="9">
        <f t="shared" si="111"/>
        <v>36.009336289356959</v>
      </c>
      <c r="P61" s="9">
        <v>630</v>
      </c>
      <c r="Q61" s="9">
        <f t="shared" si="112"/>
        <v>36.009336289356959</v>
      </c>
      <c r="R61" s="9">
        <v>630</v>
      </c>
      <c r="S61" s="9">
        <f t="shared" si="113"/>
        <v>36.009336289356959</v>
      </c>
      <c r="T61" s="9" t="s">
        <v>0</v>
      </c>
      <c r="U61" s="9" t="str">
        <f t="shared" si="114"/>
        <v>-</v>
      </c>
      <c r="V61" s="9" t="s">
        <v>0</v>
      </c>
      <c r="W61" s="9" t="str">
        <f t="shared" si="115"/>
        <v>-</v>
      </c>
      <c r="X61" s="9">
        <f>VLOOKUP(TKA[[#This Row],[Equipment ID]],AEL_Protection_Data[#All],12,0)</f>
        <v>50</v>
      </c>
      <c r="Y61" s="9">
        <f t="shared" si="116"/>
        <v>2.8578838324886475</v>
      </c>
      <c r="Z61" s="9" t="s">
        <v>0</v>
      </c>
      <c r="AA61" s="9" t="str">
        <f t="shared" si="117"/>
        <v>-</v>
      </c>
      <c r="AB61" s="9" t="s">
        <v>0</v>
      </c>
      <c r="AC61" s="9" t="str">
        <f t="shared" si="118"/>
        <v>-</v>
      </c>
      <c r="AD61" s="9" t="s">
        <v>0</v>
      </c>
      <c r="AE61" s="9" t="str">
        <f t="shared" si="119"/>
        <v>-</v>
      </c>
      <c r="AF61" s="9" t="s">
        <v>0</v>
      </c>
      <c r="AG61" s="9" t="s">
        <v>0</v>
      </c>
      <c r="AH61" s="9" t="s">
        <v>0</v>
      </c>
      <c r="AI61" s="9" t="s">
        <v>0</v>
      </c>
      <c r="AJ61" s="43" t="s">
        <v>0</v>
      </c>
      <c r="AK61" s="9" t="s">
        <v>0</v>
      </c>
      <c r="AL61" s="43" t="s">
        <v>0</v>
      </c>
      <c r="AM61" s="9" t="s">
        <v>0</v>
      </c>
      <c r="AN61" s="43" t="s">
        <v>0</v>
      </c>
      <c r="AO61" s="9" t="s">
        <v>0</v>
      </c>
      <c r="AP61" s="43" t="s">
        <v>0</v>
      </c>
      <c r="AQ61" s="43" t="s">
        <v>0</v>
      </c>
      <c r="AR61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61" s="9" t="str">
        <f t="shared" si="120"/>
        <v>-</v>
      </c>
      <c r="AT61" s="9">
        <f>IF(RIGHT(TKA[[#This Row],[Device type]],7)="Winding","-",TKA[[#This Row],[Cont Winter MVA]])</f>
        <v>36.009336289356959</v>
      </c>
      <c r="AU61" s="9">
        <f>IF(RIGHT(TKA[[#This Row],[Device type]],7)="Winding","-",TKA[[#This Row],[Cont Shoulder MVA]])</f>
        <v>36.009336289356959</v>
      </c>
      <c r="AV61" s="9">
        <f>IF(RIGHT(TKA[[#This Row],[Device type]],7)="Winding","-",TKA[[#This Row],[Cont Summer MVA]])</f>
        <v>36.009336289356959</v>
      </c>
      <c r="AW61" s="9" t="str">
        <f>TKA[[#This Row],[24 Hr Winter MVA]]</f>
        <v>-</v>
      </c>
      <c r="AX61" s="9" t="str">
        <f>TKA[[#This Row],[24 Hr Summer MVA]]</f>
        <v>-</v>
      </c>
      <c r="AY61" s="9">
        <f>TKA[[#This Row],[Forwards MVA]]</f>
        <v>2.8578838324886475</v>
      </c>
      <c r="AZ61" s="9" t="str">
        <f>TKA[[#This Row],[Relay MVA]]</f>
        <v>-</v>
      </c>
      <c r="BA61" s="9" t="str">
        <f>TKA[[#This Row],[CT MVA]]</f>
        <v>-</v>
      </c>
      <c r="BB61" s="9" t="str">
        <f>TKA[[#This Row],[Derating MVA]]</f>
        <v>-</v>
      </c>
      <c r="BC61" s="9" t="str">
        <f>TKA[[#This Row],[Station/Feeder]]&amp;TKA[[#This Row],[Lowest MVA]]</f>
        <v>UHT2.85788383248865</v>
      </c>
      <c r="BD61" s="9" t="str">
        <f>CONCATENATE(TKA[[#This Row],[Supply Level]],TKA[[#This Row],[Station/Feeder]],TKA[[#This Row],[Voltage]],TKA[[#This Row],[Lowest A-No PTX]])</f>
        <v>ZoneSubstationUHT3350</v>
      </c>
      <c r="BE61" s="9" t="str">
        <f>CONCATENATE(TKA[[#This Row],[Supply Level]],TKA[[#This Row],[Station/Feeder]],TKA[[#This Row],[Voltage]],TKA[[#This Row],[Lowest A-PTX]])</f>
        <v>ZoneSubstationUHT3350</v>
      </c>
      <c r="BF61" s="9">
        <f>IF(MIN(TKA[[#This Row],[Summ Cont Winter A]]:TKA[[#This Row],[Cable Derating]])=0,"",MIN(TKA[[#This Row],[Summ Cont Winter A]]:TKA[[#This Row],[Cable Derating]]))</f>
        <v>2.8578838324886475</v>
      </c>
      <c r="BG61" s="9">
        <f>IFERROR(TKA[[#This Row],[Lowest MVA]]*1000/(TKA[[#This Row],[Voltage]]*SQRT(3)),"")</f>
        <v>50</v>
      </c>
      <c r="BH61" s="9">
        <f t="shared" si="80"/>
        <v>50</v>
      </c>
      <c r="BI61" s="9" t="str">
        <f>TKA[[#This Row],[From]]</f>
        <v>M303</v>
      </c>
      <c r="BJ61" s="9" t="str">
        <f>TKA[[#This Row],[To]]</f>
        <v>M301</v>
      </c>
      <c r="BK61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Circuit Breaker-UHT-M302-Protection</v>
      </c>
      <c r="BL61" s="9">
        <f>TKA[[#This Row],[Voltage]]</f>
        <v>33</v>
      </c>
    </row>
    <row r="62" spans="1:64" s="1" customFormat="1" ht="15" customHeight="1" x14ac:dyDescent="0.25">
      <c r="A62" s="6" t="str">
        <f>CONCATENATE(TKA[[#This Row],[Supply Level]],TKA[[#This Row],[Station/Feeder]],TKA[[#This Row],[Voltage]])</f>
        <v>ZoneSubstationUHT33</v>
      </c>
      <c r="B62" s="6" t="str">
        <f>CONCATENATE(TKA[[#This Row],[Supply Level]],TKA[[#This Row],[Station/Feeder]],TKA[[#This Row],[Equipment ID]],TKA[[#This Row],[Voltage]],TKA[[#This Row],[Device type]])</f>
        <v>ZoneSubstationUHTM36533-</v>
      </c>
      <c r="C62" s="6" t="s">
        <v>1246</v>
      </c>
      <c r="D62" s="6" t="s">
        <v>163</v>
      </c>
      <c r="E62" s="7" t="s">
        <v>1345</v>
      </c>
      <c r="F62" s="7" t="s">
        <v>1346</v>
      </c>
      <c r="G62" s="57">
        <v>3</v>
      </c>
      <c r="H62" s="46" t="s">
        <v>273</v>
      </c>
      <c r="I62" s="46" t="s">
        <v>1348</v>
      </c>
      <c r="J62" s="46" t="s">
        <v>670</v>
      </c>
      <c r="K62" s="46" t="s">
        <v>0</v>
      </c>
      <c r="L62" s="46" t="s">
        <v>0</v>
      </c>
      <c r="M62" s="57">
        <v>33</v>
      </c>
      <c r="N62" s="9">
        <v>630</v>
      </c>
      <c r="O62" s="9">
        <f t="shared" ref="O62" si="121">IF(OR(N62="",N62="-"),"-",N62*$M62*SQRT(3)/1000)</f>
        <v>36.009336289356959</v>
      </c>
      <c r="P62" s="9">
        <v>630</v>
      </c>
      <c r="Q62" s="9">
        <f t="shared" ref="Q62" si="122">IF(OR(P62="",P62="-"),"-",P62*$M62*SQRT(3)/1000)</f>
        <v>36.009336289356959</v>
      </c>
      <c r="R62" s="9">
        <v>630</v>
      </c>
      <c r="S62" s="9">
        <f t="shared" ref="S62" si="123">IF(OR(R62="",R62="-"),"-",R62*$M62*SQRT(3)/1000)</f>
        <v>36.009336289356959</v>
      </c>
      <c r="T62" s="9" t="s">
        <v>0</v>
      </c>
      <c r="U62" s="9" t="str">
        <f t="shared" ref="U62" si="124">IF(OR(T62="",T62="-"),"-",T62*$M62*SQRT(3)/1000)</f>
        <v>-</v>
      </c>
      <c r="V62" s="9" t="s">
        <v>0</v>
      </c>
      <c r="W62" s="9" t="str">
        <f t="shared" ref="W62" si="125">IF(OR(V62="",V62="-"),"-",V62*$M62*SQRT(3)/1000)</f>
        <v>-</v>
      </c>
      <c r="X62" s="9" t="s">
        <v>0</v>
      </c>
      <c r="Y62" s="9" t="str">
        <f t="shared" ref="Y62" si="126">IF(OR(X62="",X62="-"),"-",X62*$M62*SQRT(3)/1000)</f>
        <v>-</v>
      </c>
      <c r="Z62" s="9" t="s">
        <v>0</v>
      </c>
      <c r="AA62" s="9" t="str">
        <f t="shared" ref="AA62" si="127">IF(OR(Z62="",Z62="-"),"-",Z62*$M62*SQRT(3)/1000)</f>
        <v>-</v>
      </c>
      <c r="AB62" s="9" t="s">
        <v>0</v>
      </c>
      <c r="AC62" s="9" t="str">
        <f t="shared" ref="AC62" si="128">IF(OR(AB62="",AB62="-"),"-",AB62*$M62*SQRT(3)/1000)</f>
        <v>-</v>
      </c>
      <c r="AD62" s="9" t="s">
        <v>0</v>
      </c>
      <c r="AE62" s="9" t="str">
        <f t="shared" ref="AE62" si="129">IF(OR(AD62="",AD62="-"),"-",AD62*$M62*SQRT(3)/1000)</f>
        <v>-</v>
      </c>
      <c r="AF62" s="9" t="s">
        <v>0</v>
      </c>
      <c r="AG62" s="9" t="s">
        <v>0</v>
      </c>
      <c r="AH62" s="9" t="s">
        <v>0</v>
      </c>
      <c r="AI62" s="9" t="s">
        <v>0</v>
      </c>
      <c r="AJ62" s="43" t="s">
        <v>0</v>
      </c>
      <c r="AK62" s="9" t="s">
        <v>0</v>
      </c>
      <c r="AL62" s="43" t="s">
        <v>0</v>
      </c>
      <c r="AM62" s="9" t="s">
        <v>0</v>
      </c>
      <c r="AN62" s="43" t="s">
        <v>0</v>
      </c>
      <c r="AO62" s="9" t="s">
        <v>0</v>
      </c>
      <c r="AP62" s="43" t="s">
        <v>0</v>
      </c>
      <c r="AQ62" s="43" t="s">
        <v>0</v>
      </c>
      <c r="AR62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62" s="9" t="str">
        <f t="shared" ref="AS62" si="130">IF(OR(AR62="",AR62="-"),"-",AR62*$M62*SQRT(3)/1000)</f>
        <v>-</v>
      </c>
      <c r="AT62" s="9">
        <f>IF(RIGHT(TKA[[#This Row],[Device type]],7)="Winding","-",TKA[[#This Row],[Cont Winter MVA]])</f>
        <v>36.009336289356959</v>
      </c>
      <c r="AU62" s="9">
        <f>IF(RIGHT(TKA[[#This Row],[Device type]],7)="Winding","-",TKA[[#This Row],[Cont Shoulder MVA]])</f>
        <v>36.009336289356959</v>
      </c>
      <c r="AV62" s="9">
        <f>IF(RIGHT(TKA[[#This Row],[Device type]],7)="Winding","-",TKA[[#This Row],[Cont Summer MVA]])</f>
        <v>36.009336289356959</v>
      </c>
      <c r="AW62" s="9" t="str">
        <f>TKA[[#This Row],[24 Hr Winter MVA]]</f>
        <v>-</v>
      </c>
      <c r="AX62" s="9" t="str">
        <f>TKA[[#This Row],[24 Hr Summer MVA]]</f>
        <v>-</v>
      </c>
      <c r="AY62" s="9" t="str">
        <f>TKA[[#This Row],[Forwards MVA]]</f>
        <v>-</v>
      </c>
      <c r="AZ62" s="9" t="str">
        <f>TKA[[#This Row],[Relay MVA]]</f>
        <v>-</v>
      </c>
      <c r="BA62" s="9" t="str">
        <f>TKA[[#This Row],[CT MVA]]</f>
        <v>-</v>
      </c>
      <c r="BB62" s="9" t="str">
        <f>TKA[[#This Row],[Derating MVA]]</f>
        <v>-</v>
      </c>
      <c r="BC62" s="9" t="str">
        <f>TKA[[#This Row],[Station/Feeder]]&amp;TKA[[#This Row],[Lowest MVA]]</f>
        <v>UHT36.009336289357</v>
      </c>
      <c r="BD62" s="9" t="str">
        <f>CONCATENATE(TKA[[#This Row],[Supply Level]],TKA[[#This Row],[Station/Feeder]],TKA[[#This Row],[Voltage]],TKA[[#This Row],[Lowest A-No PTX]])</f>
        <v>ZoneSubstationUHT33630</v>
      </c>
      <c r="BE62" s="9" t="str">
        <f>CONCATENATE(TKA[[#This Row],[Supply Level]],TKA[[#This Row],[Station/Feeder]],TKA[[#This Row],[Voltage]],TKA[[#This Row],[Lowest A-PTX]])</f>
        <v>ZoneSubstationUHT33630</v>
      </c>
      <c r="BF62" s="9">
        <f>IF(MIN(TKA[[#This Row],[Summ Cont Winter A]]:TKA[[#This Row],[Cable Derating]])=0,"",MIN(TKA[[#This Row],[Summ Cont Winter A]]:TKA[[#This Row],[Cable Derating]]))</f>
        <v>36.009336289356959</v>
      </c>
      <c r="BG62" s="9">
        <f>IFERROR(TKA[[#This Row],[Lowest MVA]]*1000/(TKA[[#This Row],[Voltage]]*SQRT(3)),"")</f>
        <v>630</v>
      </c>
      <c r="BH62" s="9">
        <f t="shared" si="80"/>
        <v>630</v>
      </c>
      <c r="BI62" s="9" t="str">
        <f>TKA[[#This Row],[From]]</f>
        <v>M303</v>
      </c>
      <c r="BJ62" s="9" t="str">
        <f>TKA[[#This Row],[To]]</f>
        <v>M301</v>
      </c>
      <c r="BK62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RMU Switch-M365</v>
      </c>
      <c r="BL62" s="9">
        <f>TKA[[#This Row],[Voltage]]</f>
        <v>33</v>
      </c>
    </row>
    <row r="63" spans="1:64" s="1" customFormat="1" ht="15" customHeight="1" x14ac:dyDescent="0.25">
      <c r="A63" s="6" t="str">
        <f>CONCATENATE(TKA[[#This Row],[Supply Level]],TKA[[#This Row],[Station/Feeder]],TKA[[#This Row],[Voltage]])</f>
        <v>ZoneSubstationUHT33</v>
      </c>
      <c r="B63" s="6" t="str">
        <f>CONCATENATE(TKA[[#This Row],[Supply Level]],TKA[[#This Row],[Station/Feeder]],TKA[[#This Row],[Equipment ID]],TKA[[#This Row],[Voltage]],TKA[[#This Row],[Device type]])</f>
        <v>ZoneSubstationUHTE15233HV Winding</v>
      </c>
      <c r="C63" s="6" t="s">
        <v>1246</v>
      </c>
      <c r="D63" s="6" t="s">
        <v>163</v>
      </c>
      <c r="E63" s="7" t="s">
        <v>1345</v>
      </c>
      <c r="F63" s="7" t="s">
        <v>1346</v>
      </c>
      <c r="G63" s="57">
        <v>4</v>
      </c>
      <c r="H63" s="46" t="s">
        <v>275</v>
      </c>
      <c r="I63" s="46" t="s">
        <v>411</v>
      </c>
      <c r="J63" s="46" t="s">
        <v>19</v>
      </c>
      <c r="K63" s="46" t="s">
        <v>0</v>
      </c>
      <c r="L63" s="46" t="s">
        <v>36</v>
      </c>
      <c r="M63" s="57">
        <v>33</v>
      </c>
      <c r="N63" s="9">
        <f>1.5*1000/(TKA[[#This Row],[Voltage]]*SQRT(3))</f>
        <v>26.2431940540739</v>
      </c>
      <c r="O63" s="9">
        <f t="shared" ref="O63:O66" si="131">IF(OR(N63="",N63="-"),"-",N63*$M63*SQRT(3)/1000)</f>
        <v>1.5</v>
      </c>
      <c r="P63" s="9" t="s">
        <v>0</v>
      </c>
      <c r="Q63" s="9" t="str">
        <f t="shared" ref="Q63:Q66" si="132">IF(OR(P63="",P63="-"),"-",P63*$M63*SQRT(3)/1000)</f>
        <v>-</v>
      </c>
      <c r="R63" s="9" t="s">
        <v>0</v>
      </c>
      <c r="S63" s="9" t="str">
        <f t="shared" ref="S63:S66" si="133">IF(OR(R63="",R63="-"),"-",R63*$M63*SQRT(3)/1000)</f>
        <v>-</v>
      </c>
      <c r="T63" s="9" t="s">
        <v>0</v>
      </c>
      <c r="U63" s="9" t="str">
        <f t="shared" ref="U63:U66" si="134">IF(OR(T63="",T63="-"),"-",T63*$M63*SQRT(3)/1000)</f>
        <v>-</v>
      </c>
      <c r="V63" s="9" t="s">
        <v>0</v>
      </c>
      <c r="W63" s="9" t="str">
        <f t="shared" ref="W63:W66" si="135">IF(OR(V63="",V63="-"),"-",V63*$M63*SQRT(3)/1000)</f>
        <v>-</v>
      </c>
      <c r="X63" s="9" t="s">
        <v>0</v>
      </c>
      <c r="Y63" s="9" t="str">
        <f t="shared" ref="Y63:Y66" si="136">IF(OR(X63="",X63="-"),"-",X63*$M63*SQRT(3)/1000)</f>
        <v>-</v>
      </c>
      <c r="Z63" s="9" t="s">
        <v>0</v>
      </c>
      <c r="AA63" s="9" t="str">
        <f t="shared" ref="AA63:AA66" si="137">IF(OR(Z63="",Z63="-"),"-",Z63*$M63*SQRT(3)/1000)</f>
        <v>-</v>
      </c>
      <c r="AB63" s="9" t="s">
        <v>0</v>
      </c>
      <c r="AC63" s="9" t="str">
        <f t="shared" ref="AC63:AC66" si="138">IF(OR(AB63="",AB63="-"),"-",AB63*$M63*SQRT(3)/1000)</f>
        <v>-</v>
      </c>
      <c r="AD63" s="9" t="s">
        <v>0</v>
      </c>
      <c r="AE63" s="9" t="str">
        <f t="shared" ref="AE63:AE66" si="139">IF(OR(AD63="",AD63="-"),"-",AD63*$M63*SQRT(3)/1000)</f>
        <v>-</v>
      </c>
      <c r="AF63" s="9" t="s">
        <v>0</v>
      </c>
      <c r="AG63" s="9" t="s">
        <v>0</v>
      </c>
      <c r="AH63" s="9" t="s">
        <v>0</v>
      </c>
      <c r="AI63" s="9" t="s">
        <v>0</v>
      </c>
      <c r="AJ63" s="43" t="s">
        <v>0</v>
      </c>
      <c r="AK63" s="9" t="s">
        <v>0</v>
      </c>
      <c r="AL63" s="43" t="s">
        <v>0</v>
      </c>
      <c r="AM63" s="9" t="s">
        <v>0</v>
      </c>
      <c r="AN63" s="43" t="s">
        <v>0</v>
      </c>
      <c r="AO63" s="9" t="s">
        <v>0</v>
      </c>
      <c r="AP63" s="43" t="s">
        <v>0</v>
      </c>
      <c r="AQ63" s="43" t="s">
        <v>0</v>
      </c>
      <c r="AR63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63" s="9" t="str">
        <f t="shared" ref="AS63:AS66" si="140">IF(OR(AR63="",AR63="-"),"-",AR63*$M63*SQRT(3)/1000)</f>
        <v>-</v>
      </c>
      <c r="AT63" s="9" t="str">
        <f>IF(RIGHT(TKA[[#This Row],[Device type]],7)="Winding","-",TKA[[#This Row],[Cont Winter MVA]])</f>
        <v>-</v>
      </c>
      <c r="AU63" s="9" t="str">
        <f>IF(RIGHT(TKA[[#This Row],[Device type]],7)="Winding","-",TKA[[#This Row],[Cont Shoulder MVA]])</f>
        <v>-</v>
      </c>
      <c r="AV63" s="9" t="str">
        <f>IF(RIGHT(TKA[[#This Row],[Device type]],7)="Winding","-",TKA[[#This Row],[Cont Summer MVA]])</f>
        <v>-</v>
      </c>
      <c r="AW63" s="9" t="str">
        <f>TKA[[#This Row],[24 Hr Winter MVA]]</f>
        <v>-</v>
      </c>
      <c r="AX63" s="9" t="str">
        <f>TKA[[#This Row],[24 Hr Summer MVA]]</f>
        <v>-</v>
      </c>
      <c r="AY63" s="9" t="str">
        <f>TKA[[#This Row],[Forwards MVA]]</f>
        <v>-</v>
      </c>
      <c r="AZ63" s="9" t="str">
        <f>TKA[[#This Row],[Relay MVA]]</f>
        <v>-</v>
      </c>
      <c r="BA63" s="9" t="str">
        <f>TKA[[#This Row],[CT MVA]]</f>
        <v>-</v>
      </c>
      <c r="BB63" s="9" t="str">
        <f>TKA[[#This Row],[Derating MVA]]</f>
        <v>-</v>
      </c>
      <c r="BC63" s="9" t="str">
        <f>TKA[[#This Row],[Station/Feeder]]&amp;TKA[[#This Row],[Lowest MVA]]</f>
        <v>UHT</v>
      </c>
      <c r="BD63" s="9" t="str">
        <f>CONCATENATE(TKA[[#This Row],[Supply Level]],TKA[[#This Row],[Station/Feeder]],TKA[[#This Row],[Voltage]],TKA[[#This Row],[Lowest A-No PTX]])</f>
        <v>ZoneSubstationUHT33</v>
      </c>
      <c r="BE63" s="9" t="str">
        <f>CONCATENATE(TKA[[#This Row],[Supply Level]],TKA[[#This Row],[Station/Feeder]],TKA[[#This Row],[Voltage]],TKA[[#This Row],[Lowest A-PTX]])</f>
        <v>ZoneSubstationUHT3326.2431940540739</v>
      </c>
      <c r="BF63" s="9" t="str">
        <f>IF(MIN(TKA[[#This Row],[Summ Cont Winter A]]:TKA[[#This Row],[Cable Derating]])=0,"",MIN(TKA[[#This Row],[Summ Cont Winter A]]:TKA[[#This Row],[Cable Derating]]))</f>
        <v/>
      </c>
      <c r="BG63" s="9" t="str">
        <f>IFERROR(TKA[[#This Row],[Lowest MVA]]*1000/(TKA[[#This Row],[Voltage]]*SQRT(3)),"")</f>
        <v/>
      </c>
      <c r="BH63" s="9">
        <f t="shared" si="80"/>
        <v>26.2431940540739</v>
      </c>
      <c r="BI63" s="9" t="str">
        <f>TKA[[#This Row],[From]]</f>
        <v>M303</v>
      </c>
      <c r="BJ63" s="9" t="str">
        <f>TKA[[#This Row],[To]]</f>
        <v>M301</v>
      </c>
      <c r="BK63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Transformer-E152-HV Winding</v>
      </c>
      <c r="BL63" s="9">
        <f>TKA[[#This Row],[Voltage]]</f>
        <v>33</v>
      </c>
    </row>
    <row r="64" spans="1:64" s="1" customFormat="1" ht="15" customHeight="1" x14ac:dyDescent="0.25">
      <c r="A64" s="6" t="str">
        <f>CONCATENATE(TKA[[#This Row],[Supply Level]],TKA[[#This Row],[Station/Feeder]],TKA[[#This Row],[Voltage]])</f>
        <v>ZoneSubstationUHT11</v>
      </c>
      <c r="B64" s="6" t="str">
        <f>CONCATENATE(TKA[[#This Row],[Supply Level]],TKA[[#This Row],[Station/Feeder]],TKA[[#This Row],[Equipment ID]],TKA[[#This Row],[Voltage]],TKA[[#This Row],[Device type]])</f>
        <v>ZoneSubstationUHTE15211LV Winding</v>
      </c>
      <c r="C64" s="6" t="s">
        <v>1246</v>
      </c>
      <c r="D64" s="6" t="s">
        <v>163</v>
      </c>
      <c r="E64" s="7" t="s">
        <v>1345</v>
      </c>
      <c r="F64" s="7" t="s">
        <v>1346</v>
      </c>
      <c r="G64" s="57">
        <v>5</v>
      </c>
      <c r="H64" s="46" t="s">
        <v>275</v>
      </c>
      <c r="I64" s="46" t="s">
        <v>411</v>
      </c>
      <c r="J64" s="46" t="s">
        <v>19</v>
      </c>
      <c r="K64" s="46" t="s">
        <v>0</v>
      </c>
      <c r="L64" s="46" t="s">
        <v>37</v>
      </c>
      <c r="M64" s="57">
        <v>11</v>
      </c>
      <c r="N64" s="9">
        <f>1.5*1000/(TKA[[#This Row],[Voltage]]*SQRT(3))</f>
        <v>78.729582162221703</v>
      </c>
      <c r="O64" s="9">
        <f t="shared" si="131"/>
        <v>1.5</v>
      </c>
      <c r="P64" s="9" t="s">
        <v>0</v>
      </c>
      <c r="Q64" s="9" t="str">
        <f t="shared" si="132"/>
        <v>-</v>
      </c>
      <c r="R64" s="9" t="s">
        <v>0</v>
      </c>
      <c r="S64" s="9" t="str">
        <f t="shared" si="133"/>
        <v>-</v>
      </c>
      <c r="T64" s="9" t="s">
        <v>0</v>
      </c>
      <c r="U64" s="9" t="str">
        <f t="shared" si="134"/>
        <v>-</v>
      </c>
      <c r="V64" s="9" t="s">
        <v>0</v>
      </c>
      <c r="W64" s="9" t="str">
        <f t="shared" si="135"/>
        <v>-</v>
      </c>
      <c r="X64" s="9" t="s">
        <v>0</v>
      </c>
      <c r="Y64" s="9" t="str">
        <f t="shared" si="136"/>
        <v>-</v>
      </c>
      <c r="Z64" s="9" t="s">
        <v>0</v>
      </c>
      <c r="AA64" s="9" t="str">
        <f t="shared" si="137"/>
        <v>-</v>
      </c>
      <c r="AB64" s="9" t="s">
        <v>0</v>
      </c>
      <c r="AC64" s="9" t="str">
        <f t="shared" si="138"/>
        <v>-</v>
      </c>
      <c r="AD64" s="9" t="s">
        <v>0</v>
      </c>
      <c r="AE64" s="9" t="str">
        <f t="shared" si="139"/>
        <v>-</v>
      </c>
      <c r="AF64" s="9" t="s">
        <v>0</v>
      </c>
      <c r="AG64" s="9" t="s">
        <v>0</v>
      </c>
      <c r="AH64" s="9" t="s">
        <v>0</v>
      </c>
      <c r="AI64" s="9" t="s">
        <v>0</v>
      </c>
      <c r="AJ64" s="43" t="s">
        <v>0</v>
      </c>
      <c r="AK64" s="9" t="s">
        <v>0</v>
      </c>
      <c r="AL64" s="43" t="s">
        <v>0</v>
      </c>
      <c r="AM64" s="9" t="s">
        <v>0</v>
      </c>
      <c r="AN64" s="43" t="s">
        <v>0</v>
      </c>
      <c r="AO64" s="9" t="s">
        <v>0</v>
      </c>
      <c r="AP64" s="43" t="s">
        <v>0</v>
      </c>
      <c r="AQ64" s="43" t="s">
        <v>0</v>
      </c>
      <c r="AR64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64" s="9" t="str">
        <f t="shared" si="140"/>
        <v>-</v>
      </c>
      <c r="AT64" s="9" t="str">
        <f>IF(RIGHT(TKA[[#This Row],[Device type]],7)="Winding","-",TKA[[#This Row],[Cont Winter MVA]])</f>
        <v>-</v>
      </c>
      <c r="AU64" s="9" t="str">
        <f>IF(RIGHT(TKA[[#This Row],[Device type]],7)="Winding","-",TKA[[#This Row],[Cont Shoulder MVA]])</f>
        <v>-</v>
      </c>
      <c r="AV64" s="9" t="str">
        <f>IF(RIGHT(TKA[[#This Row],[Device type]],7)="Winding","-",TKA[[#This Row],[Cont Summer MVA]])</f>
        <v>-</v>
      </c>
      <c r="AW64" s="9" t="str">
        <f>TKA[[#This Row],[24 Hr Winter MVA]]</f>
        <v>-</v>
      </c>
      <c r="AX64" s="9" t="str">
        <f>TKA[[#This Row],[24 Hr Summer MVA]]</f>
        <v>-</v>
      </c>
      <c r="AY64" s="9" t="str">
        <f>TKA[[#This Row],[Forwards MVA]]</f>
        <v>-</v>
      </c>
      <c r="AZ64" s="9" t="str">
        <f>TKA[[#This Row],[Relay MVA]]</f>
        <v>-</v>
      </c>
      <c r="BA64" s="9" t="str">
        <f>TKA[[#This Row],[CT MVA]]</f>
        <v>-</v>
      </c>
      <c r="BB64" s="9" t="str">
        <f>TKA[[#This Row],[Derating MVA]]</f>
        <v>-</v>
      </c>
      <c r="BC64" s="9" t="str">
        <f>TKA[[#This Row],[Station/Feeder]]&amp;TKA[[#This Row],[Lowest MVA]]</f>
        <v>UHT</v>
      </c>
      <c r="BD64" s="9" t="str">
        <f>CONCATENATE(TKA[[#This Row],[Supply Level]],TKA[[#This Row],[Station/Feeder]],TKA[[#This Row],[Voltage]],TKA[[#This Row],[Lowest A-No PTX]])</f>
        <v>ZoneSubstationUHT11</v>
      </c>
      <c r="BE64" s="9" t="str">
        <f>CONCATENATE(TKA[[#This Row],[Supply Level]],TKA[[#This Row],[Station/Feeder]],TKA[[#This Row],[Voltage]],TKA[[#This Row],[Lowest A-PTX]])</f>
        <v>ZoneSubstationUHT1178.7295821622217</v>
      </c>
      <c r="BF64" s="9" t="str">
        <f>IF(MIN(TKA[[#This Row],[Summ Cont Winter A]]:TKA[[#This Row],[Cable Derating]])=0,"",MIN(TKA[[#This Row],[Summ Cont Winter A]]:TKA[[#This Row],[Cable Derating]]))</f>
        <v/>
      </c>
      <c r="BG64" s="9" t="str">
        <f>IFERROR(TKA[[#This Row],[Lowest MVA]]*1000/(TKA[[#This Row],[Voltage]]*SQRT(3)),"")</f>
        <v/>
      </c>
      <c r="BH64" s="9">
        <f t="shared" si="80"/>
        <v>78.729582162221703</v>
      </c>
      <c r="BI64" s="9" t="str">
        <f>TKA[[#This Row],[From]]</f>
        <v>M303</v>
      </c>
      <c r="BJ64" s="9" t="str">
        <f>TKA[[#This Row],[To]]</f>
        <v>M301</v>
      </c>
      <c r="BK64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Transformer-E152-LV Winding</v>
      </c>
      <c r="BL64" s="9">
        <f>TKA[[#This Row],[Voltage]]</f>
        <v>11</v>
      </c>
    </row>
    <row r="65" spans="1:64" s="1" customFormat="1" ht="15" customHeight="1" x14ac:dyDescent="0.25">
      <c r="A65" s="6" t="str">
        <f>CONCATENATE(TKA[[#This Row],[Supply Level]],TKA[[#This Row],[Station/Feeder]],TKA[[#This Row],[Voltage]])</f>
        <v>ZoneSubstationUHT11</v>
      </c>
      <c r="B65" s="6" t="str">
        <f>CONCATENATE(TKA[[#This Row],[Supply Level]],TKA[[#This Row],[Station/Feeder]],TKA[[#This Row],[Equipment ID]],TKA[[#This Row],[Voltage]],TKA[[#This Row],[Device type]])</f>
        <v>ZoneSubstationUHT3-1c 185 mm² AL XLPE11-</v>
      </c>
      <c r="C65" s="6" t="s">
        <v>1246</v>
      </c>
      <c r="D65" s="6" t="s">
        <v>163</v>
      </c>
      <c r="E65" s="7" t="s">
        <v>1345</v>
      </c>
      <c r="F65" s="7" t="s">
        <v>1346</v>
      </c>
      <c r="G65" s="57">
        <v>6</v>
      </c>
      <c r="H65" s="46" t="s">
        <v>276</v>
      </c>
      <c r="I65" s="46" t="s">
        <v>561</v>
      </c>
      <c r="J65" s="46" t="s">
        <v>250</v>
      </c>
      <c r="K65" s="46" t="s">
        <v>0</v>
      </c>
      <c r="L65" s="46" t="s">
        <v>0</v>
      </c>
      <c r="M65" s="57">
        <v>11</v>
      </c>
      <c r="N65" s="9">
        <v>326</v>
      </c>
      <c r="O65" s="9">
        <f t="shared" si="131"/>
        <v>6.2111341959419937</v>
      </c>
      <c r="P65" s="9">
        <v>326</v>
      </c>
      <c r="Q65" s="9">
        <f t="shared" si="132"/>
        <v>6.2111341959419937</v>
      </c>
      <c r="R65" s="9">
        <v>326</v>
      </c>
      <c r="S65" s="9">
        <f t="shared" si="133"/>
        <v>6.2111341959419937</v>
      </c>
      <c r="T65" s="9" t="s">
        <v>0</v>
      </c>
      <c r="U65" s="9" t="str">
        <f t="shared" si="134"/>
        <v>-</v>
      </c>
      <c r="V65" s="9" t="s">
        <v>0</v>
      </c>
      <c r="W65" s="9" t="str">
        <f t="shared" si="135"/>
        <v>-</v>
      </c>
      <c r="X65" s="9" t="s">
        <v>0</v>
      </c>
      <c r="Y65" s="9" t="str">
        <f t="shared" si="136"/>
        <v>-</v>
      </c>
      <c r="Z65" s="9" t="s">
        <v>0</v>
      </c>
      <c r="AA65" s="9" t="str">
        <f t="shared" si="137"/>
        <v>-</v>
      </c>
      <c r="AB65" s="9" t="s">
        <v>0</v>
      </c>
      <c r="AC65" s="9" t="str">
        <f t="shared" si="138"/>
        <v>-</v>
      </c>
      <c r="AD65" s="9" t="s">
        <v>0</v>
      </c>
      <c r="AE65" s="9" t="str">
        <f t="shared" si="139"/>
        <v>-</v>
      </c>
      <c r="AF65" s="9">
        <v>1</v>
      </c>
      <c r="AG65" s="9" t="s">
        <v>265</v>
      </c>
      <c r="AH65" s="9">
        <v>8.1999999999999993</v>
      </c>
      <c r="AI65" s="9">
        <v>1</v>
      </c>
      <c r="AJ65" s="43">
        <v>0.98</v>
      </c>
      <c r="AK65" s="9">
        <v>15</v>
      </c>
      <c r="AL65" s="43">
        <v>1</v>
      </c>
      <c r="AM65" s="9">
        <v>1.2</v>
      </c>
      <c r="AN65" s="43">
        <v>1</v>
      </c>
      <c r="AO65" s="9">
        <v>1</v>
      </c>
      <c r="AP65" s="43" t="s">
        <v>0</v>
      </c>
      <c r="AQ65" s="43">
        <v>1</v>
      </c>
      <c r="AR65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319.48</v>
      </c>
      <c r="AS65" s="9">
        <f t="shared" si="140"/>
        <v>6.0869115120231543</v>
      </c>
      <c r="AT65" s="9">
        <f>IF(RIGHT(TKA[[#This Row],[Device type]],7)="Winding","-",TKA[[#This Row],[Cont Winter MVA]])</f>
        <v>6.2111341959419937</v>
      </c>
      <c r="AU65" s="9">
        <f>IF(RIGHT(TKA[[#This Row],[Device type]],7)="Winding","-",TKA[[#This Row],[Cont Shoulder MVA]])</f>
        <v>6.2111341959419937</v>
      </c>
      <c r="AV65" s="9">
        <f>IF(RIGHT(TKA[[#This Row],[Device type]],7)="Winding","-",TKA[[#This Row],[Cont Summer MVA]])</f>
        <v>6.2111341959419937</v>
      </c>
      <c r="AW65" s="9" t="str">
        <f>TKA[[#This Row],[24 Hr Winter MVA]]</f>
        <v>-</v>
      </c>
      <c r="AX65" s="9" t="str">
        <f>TKA[[#This Row],[24 Hr Summer MVA]]</f>
        <v>-</v>
      </c>
      <c r="AY65" s="9" t="str">
        <f>TKA[[#This Row],[Forwards MVA]]</f>
        <v>-</v>
      </c>
      <c r="AZ65" s="9" t="str">
        <f>TKA[[#This Row],[Relay MVA]]</f>
        <v>-</v>
      </c>
      <c r="BA65" s="9" t="str">
        <f>TKA[[#This Row],[CT MVA]]</f>
        <v>-</v>
      </c>
      <c r="BB65" s="9">
        <f>TKA[[#This Row],[Derating MVA]]</f>
        <v>6.0869115120231543</v>
      </c>
      <c r="BC65" s="9" t="str">
        <f>TKA[[#This Row],[Station/Feeder]]&amp;TKA[[#This Row],[Lowest MVA]]</f>
        <v>UHT6.08691151202315</v>
      </c>
      <c r="BD65" s="9" t="str">
        <f>CONCATENATE(TKA[[#This Row],[Supply Level]],TKA[[#This Row],[Station/Feeder]],TKA[[#This Row],[Voltage]],TKA[[#This Row],[Lowest A-No PTX]])</f>
        <v>ZoneSubstationUHT11319.48</v>
      </c>
      <c r="BE65" s="9" t="str">
        <f>CONCATENATE(TKA[[#This Row],[Supply Level]],TKA[[#This Row],[Station/Feeder]],TKA[[#This Row],[Voltage]],TKA[[#This Row],[Lowest A-PTX]])</f>
        <v>ZoneSubstationUHT11319.48</v>
      </c>
      <c r="BF65" s="9">
        <f>IF(MIN(TKA[[#This Row],[Summ Cont Winter A]]:TKA[[#This Row],[Cable Derating]])=0,"",MIN(TKA[[#This Row],[Summ Cont Winter A]]:TKA[[#This Row],[Cable Derating]]))</f>
        <v>6.0869115120231543</v>
      </c>
      <c r="BG65" s="9">
        <f>IFERROR(TKA[[#This Row],[Lowest MVA]]*1000/(TKA[[#This Row],[Voltage]]*SQRT(3)),"")</f>
        <v>319.48</v>
      </c>
      <c r="BH65" s="9">
        <f t="shared" si="80"/>
        <v>319.48</v>
      </c>
      <c r="BI65" s="9" t="str">
        <f>TKA[[#This Row],[From]]</f>
        <v>M303</v>
      </c>
      <c r="BJ65" s="9" t="str">
        <f>TKA[[#This Row],[To]]</f>
        <v>M301</v>
      </c>
      <c r="BK65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Cable-3-1c 185 mm² AL XLPE</v>
      </c>
      <c r="BL65" s="9">
        <f>TKA[[#This Row],[Voltage]]</f>
        <v>11</v>
      </c>
    </row>
    <row r="66" spans="1:64" s="1" customFormat="1" ht="15" customHeight="1" x14ac:dyDescent="0.25">
      <c r="A66" s="6" t="str">
        <f>CONCATENATE(TKA[[#This Row],[Supply Level]],TKA[[#This Row],[Station/Feeder]],TKA[[#This Row],[Voltage]])</f>
        <v>ZoneSubstationUHT11</v>
      </c>
      <c r="B66" s="6" t="str">
        <f>CONCATENATE(TKA[[#This Row],[Supply Level]],TKA[[#This Row],[Station/Feeder]],TKA[[#This Row],[Equipment ID]],TKA[[#This Row],[Voltage]],TKA[[#This Row],[Device type]])</f>
        <v>ZoneSubstationUHTM30111-</v>
      </c>
      <c r="C66" s="6" t="s">
        <v>1246</v>
      </c>
      <c r="D66" s="6" t="s">
        <v>163</v>
      </c>
      <c r="E66" s="7" t="s">
        <v>1345</v>
      </c>
      <c r="F66" s="7" t="s">
        <v>1346</v>
      </c>
      <c r="G66" s="57">
        <v>7</v>
      </c>
      <c r="H66" s="46" t="s">
        <v>273</v>
      </c>
      <c r="I66" s="46" t="s">
        <v>1346</v>
      </c>
      <c r="J66" s="46" t="s">
        <v>670</v>
      </c>
      <c r="K66" s="46" t="s">
        <v>0</v>
      </c>
      <c r="L66" s="46" t="s">
        <v>0</v>
      </c>
      <c r="M66" s="57">
        <v>11</v>
      </c>
      <c r="N66" s="9">
        <v>630</v>
      </c>
      <c r="O66" s="9">
        <f t="shared" si="131"/>
        <v>12.00311209645232</v>
      </c>
      <c r="P66" s="9">
        <v>630</v>
      </c>
      <c r="Q66" s="9">
        <f t="shared" si="132"/>
        <v>12.00311209645232</v>
      </c>
      <c r="R66" s="9">
        <v>630</v>
      </c>
      <c r="S66" s="9">
        <f t="shared" si="133"/>
        <v>12.00311209645232</v>
      </c>
      <c r="T66" s="9" t="s">
        <v>0</v>
      </c>
      <c r="U66" s="9" t="str">
        <f t="shared" si="134"/>
        <v>-</v>
      </c>
      <c r="V66" s="9" t="s">
        <v>0</v>
      </c>
      <c r="W66" s="9" t="str">
        <f t="shared" si="135"/>
        <v>-</v>
      </c>
      <c r="X66" s="9" t="s">
        <v>0</v>
      </c>
      <c r="Y66" s="9" t="str">
        <f t="shared" si="136"/>
        <v>-</v>
      </c>
      <c r="Z66" s="9" t="s">
        <v>0</v>
      </c>
      <c r="AA66" s="9" t="str">
        <f t="shared" si="137"/>
        <v>-</v>
      </c>
      <c r="AB66" s="9" t="s">
        <v>0</v>
      </c>
      <c r="AC66" s="9" t="str">
        <f t="shared" si="138"/>
        <v>-</v>
      </c>
      <c r="AD66" s="9" t="s">
        <v>0</v>
      </c>
      <c r="AE66" s="9" t="str">
        <f t="shared" si="139"/>
        <v>-</v>
      </c>
      <c r="AF66" s="9" t="s">
        <v>0</v>
      </c>
      <c r="AG66" s="9" t="s">
        <v>0</v>
      </c>
      <c r="AH66" s="9" t="s">
        <v>0</v>
      </c>
      <c r="AI66" s="9" t="s">
        <v>0</v>
      </c>
      <c r="AJ66" s="43" t="s">
        <v>0</v>
      </c>
      <c r="AK66" s="9" t="s">
        <v>0</v>
      </c>
      <c r="AL66" s="43" t="s">
        <v>0</v>
      </c>
      <c r="AM66" s="9" t="s">
        <v>0</v>
      </c>
      <c r="AN66" s="43" t="s">
        <v>0</v>
      </c>
      <c r="AO66" s="9" t="s">
        <v>0</v>
      </c>
      <c r="AP66" s="43" t="s">
        <v>0</v>
      </c>
      <c r="AQ66" s="43" t="s">
        <v>0</v>
      </c>
      <c r="AR66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66" s="9" t="str">
        <f t="shared" si="140"/>
        <v>-</v>
      </c>
      <c r="AT66" s="9">
        <f>IF(RIGHT(TKA[[#This Row],[Device type]],7)="Winding","-",TKA[[#This Row],[Cont Winter MVA]])</f>
        <v>12.00311209645232</v>
      </c>
      <c r="AU66" s="9">
        <f>IF(RIGHT(TKA[[#This Row],[Device type]],7)="Winding","-",TKA[[#This Row],[Cont Shoulder MVA]])</f>
        <v>12.00311209645232</v>
      </c>
      <c r="AV66" s="9">
        <f>IF(RIGHT(TKA[[#This Row],[Device type]],7)="Winding","-",TKA[[#This Row],[Cont Summer MVA]])</f>
        <v>12.00311209645232</v>
      </c>
      <c r="AW66" s="9" t="str">
        <f>TKA[[#This Row],[24 Hr Winter MVA]]</f>
        <v>-</v>
      </c>
      <c r="AX66" s="9" t="str">
        <f>TKA[[#This Row],[24 Hr Summer MVA]]</f>
        <v>-</v>
      </c>
      <c r="AY66" s="9" t="str">
        <f>TKA[[#This Row],[Forwards MVA]]</f>
        <v>-</v>
      </c>
      <c r="AZ66" s="9" t="str">
        <f>TKA[[#This Row],[Relay MVA]]</f>
        <v>-</v>
      </c>
      <c r="BA66" s="9" t="str">
        <f>TKA[[#This Row],[CT MVA]]</f>
        <v>-</v>
      </c>
      <c r="BB66" s="9" t="str">
        <f>TKA[[#This Row],[Derating MVA]]</f>
        <v>-</v>
      </c>
      <c r="BC66" s="9" t="str">
        <f>TKA[[#This Row],[Station/Feeder]]&amp;TKA[[#This Row],[Lowest MVA]]</f>
        <v>UHT12.0031120964523</v>
      </c>
      <c r="BD66" s="9" t="str">
        <f>CONCATENATE(TKA[[#This Row],[Supply Level]],TKA[[#This Row],[Station/Feeder]],TKA[[#This Row],[Voltage]],TKA[[#This Row],[Lowest A-No PTX]])</f>
        <v>ZoneSubstationUHT11630</v>
      </c>
      <c r="BE66" s="9" t="str">
        <f>CONCATENATE(TKA[[#This Row],[Supply Level]],TKA[[#This Row],[Station/Feeder]],TKA[[#This Row],[Voltage]],TKA[[#This Row],[Lowest A-PTX]])</f>
        <v>ZoneSubstationUHT11630</v>
      </c>
      <c r="BF66" s="9">
        <f>IF(MIN(TKA[[#This Row],[Summ Cont Winter A]]:TKA[[#This Row],[Cable Derating]])=0,"",MIN(TKA[[#This Row],[Summ Cont Winter A]]:TKA[[#This Row],[Cable Derating]]))</f>
        <v>12.00311209645232</v>
      </c>
      <c r="BG66" s="9">
        <f>IFERROR(TKA[[#This Row],[Lowest MVA]]*1000/(TKA[[#This Row],[Voltage]]*SQRT(3)),"")</f>
        <v>630</v>
      </c>
      <c r="BH66" s="9">
        <f t="shared" si="80"/>
        <v>630</v>
      </c>
      <c r="BI66" s="9" t="str">
        <f>TKA[[#This Row],[From]]</f>
        <v>M303</v>
      </c>
      <c r="BJ66" s="9" t="str">
        <f>TKA[[#This Row],[To]]</f>
        <v>M301</v>
      </c>
      <c r="BK66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RMU Switch-M301</v>
      </c>
      <c r="BL66" s="9">
        <f>TKA[[#This Row],[Voltage]]</f>
        <v>11</v>
      </c>
    </row>
    <row r="67" spans="1:64" s="1" customFormat="1" ht="15" customHeight="1" x14ac:dyDescent="0.25">
      <c r="A67" s="6" t="str">
        <f>CONCATENATE(TKA[[#This Row],[Supply Level]],TKA[[#This Row],[Station/Feeder]],TKA[[#This Row],[Voltage]])</f>
        <v>DistributionFeederM158_Village11</v>
      </c>
      <c r="B67" s="6" t="str">
        <f>CONCATENATE(TKA[[#This Row],[Supply Level]],TKA[[#This Row],[Station/Feeder]],TKA[[#This Row],[Equipment ID]],TKA[[#This Row],[Voltage]],TKA[[#This Row],[Device type]])</f>
        <v>DistributionFeederM158_VillageUHT-M15811Protection</v>
      </c>
      <c r="C67" s="6" t="s">
        <v>1276</v>
      </c>
      <c r="D67" s="6" t="s">
        <v>172</v>
      </c>
      <c r="E67" s="7" t="s">
        <v>413</v>
      </c>
      <c r="F67" s="7" t="s">
        <v>412</v>
      </c>
      <c r="G67" s="57">
        <v>1</v>
      </c>
      <c r="H67" s="46" t="s">
        <v>343</v>
      </c>
      <c r="I67" s="46" t="s">
        <v>2424</v>
      </c>
      <c r="J67" s="46" t="s">
        <v>15</v>
      </c>
      <c r="K67" s="46" t="s">
        <v>1349</v>
      </c>
      <c r="L67" s="46" t="s">
        <v>1423</v>
      </c>
      <c r="M67" s="57">
        <v>11</v>
      </c>
      <c r="N67" s="9">
        <v>630</v>
      </c>
      <c r="O67" s="9">
        <f t="shared" ref="O67:O76" si="141">IF(OR(N67="",N67="-"),"-",N67*$M67*SQRT(3)/1000)</f>
        <v>12.00311209645232</v>
      </c>
      <c r="P67" s="9">
        <v>630</v>
      </c>
      <c r="Q67" s="9">
        <f t="shared" ref="Q67:Q76" si="142">IF(OR(P67="",P67="-"),"-",P67*$M67*SQRT(3)/1000)</f>
        <v>12.00311209645232</v>
      </c>
      <c r="R67" s="9">
        <v>630</v>
      </c>
      <c r="S67" s="9">
        <f t="shared" ref="S67:S76" si="143">IF(OR(R67="",R67="-"),"-",R67*$M67*SQRT(3)/1000)</f>
        <v>12.00311209645232</v>
      </c>
      <c r="T67" s="9" t="s">
        <v>0</v>
      </c>
      <c r="U67" s="9" t="str">
        <f t="shared" ref="U67:U76" si="144">IF(OR(T67="",T67="-"),"-",T67*$M67*SQRT(3)/1000)</f>
        <v>-</v>
      </c>
      <c r="V67" s="9" t="s">
        <v>0</v>
      </c>
      <c r="W67" s="9" t="str">
        <f t="shared" ref="W67:W76" si="145">IF(OR(V67="",V67="-"),"-",V67*$M67*SQRT(3)/1000)</f>
        <v>-</v>
      </c>
      <c r="X67" s="9">
        <f>VLOOKUP(TKA[[#This Row],[Equipment ID]],AEL_Protection_Data[#All],12,0)</f>
        <v>100</v>
      </c>
      <c r="Y67" s="9">
        <f t="shared" ref="Y67:Y76" si="146">IF(OR(X67="",X67="-"),"-",X67*$M67*SQRT(3)/1000)</f>
        <v>1.9052558883257651</v>
      </c>
      <c r="Z67" s="9" t="s">
        <v>0</v>
      </c>
      <c r="AA67" s="9" t="str">
        <f t="shared" ref="AA67:AA76" si="147">IF(OR(Z67="",Z67="-"),"-",Z67*$M67*SQRT(3)/1000)</f>
        <v>-</v>
      </c>
      <c r="AB67" s="9" t="s">
        <v>0</v>
      </c>
      <c r="AC67" s="9" t="str">
        <f t="shared" ref="AC67:AC76" si="148">IF(OR(AB67="",AB67="-"),"-",AB67*$M67*SQRT(3)/1000)</f>
        <v>-</v>
      </c>
      <c r="AD67" s="9" t="s">
        <v>0</v>
      </c>
      <c r="AE67" s="9" t="str">
        <f t="shared" ref="AE67:AE76" si="149">IF(OR(AD67="",AD67="-"),"-",AD67*$M67*SQRT(3)/1000)</f>
        <v>-</v>
      </c>
      <c r="AF67" s="9" t="s">
        <v>0</v>
      </c>
      <c r="AG67" s="9" t="s">
        <v>0</v>
      </c>
      <c r="AH67" s="9" t="s">
        <v>0</v>
      </c>
      <c r="AI67" s="9" t="s">
        <v>0</v>
      </c>
      <c r="AJ67" s="43" t="s">
        <v>0</v>
      </c>
      <c r="AK67" s="9" t="s">
        <v>0</v>
      </c>
      <c r="AL67" s="43" t="s">
        <v>0</v>
      </c>
      <c r="AM67" s="9" t="s">
        <v>0</v>
      </c>
      <c r="AN67" s="43" t="s">
        <v>0</v>
      </c>
      <c r="AO67" s="9" t="s">
        <v>0</v>
      </c>
      <c r="AP67" s="43" t="s">
        <v>0</v>
      </c>
      <c r="AQ67" s="43" t="s">
        <v>0</v>
      </c>
      <c r="AR67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67" s="9" t="str">
        <f t="shared" ref="AS67:AS76" si="150">IF(OR(AR67="",AR67="-"),"-",AR67*$M67*SQRT(3)/1000)</f>
        <v>-</v>
      </c>
      <c r="AT67" s="9">
        <f>IF(RIGHT(TKA[[#This Row],[Device type]],7)="Winding","-",TKA[[#This Row],[Cont Winter MVA]])</f>
        <v>12.00311209645232</v>
      </c>
      <c r="AU67" s="9">
        <f>IF(RIGHT(TKA[[#This Row],[Device type]],7)="Winding","-",TKA[[#This Row],[Cont Shoulder MVA]])</f>
        <v>12.00311209645232</v>
      </c>
      <c r="AV67" s="9">
        <f>IF(RIGHT(TKA[[#This Row],[Device type]],7)="Winding","-",TKA[[#This Row],[Cont Summer MVA]])</f>
        <v>12.00311209645232</v>
      </c>
      <c r="AW67" s="9" t="str">
        <f>TKA[[#This Row],[24 Hr Winter MVA]]</f>
        <v>-</v>
      </c>
      <c r="AX67" s="9" t="str">
        <f>TKA[[#This Row],[24 Hr Summer MVA]]</f>
        <v>-</v>
      </c>
      <c r="AY67" s="9">
        <f>TKA[[#This Row],[Forwards MVA]]</f>
        <v>1.9052558883257651</v>
      </c>
      <c r="AZ67" s="9" t="str">
        <f>TKA[[#This Row],[Relay MVA]]</f>
        <v>-</v>
      </c>
      <c r="BA67" s="9" t="str">
        <f>TKA[[#This Row],[CT MVA]]</f>
        <v>-</v>
      </c>
      <c r="BB67" s="9" t="str">
        <f>TKA[[#This Row],[Derating MVA]]</f>
        <v>-</v>
      </c>
      <c r="BC67" s="9" t="str">
        <f>TKA[[#This Row],[Station/Feeder]]&amp;TKA[[#This Row],[Lowest MVA]]</f>
        <v>M158_Village1.90525588832577</v>
      </c>
      <c r="BD67" s="9" t="str">
        <f>CONCATENATE(TKA[[#This Row],[Supply Level]],TKA[[#This Row],[Station/Feeder]],TKA[[#This Row],[Voltage]],TKA[[#This Row],[Lowest A-No PTX]])</f>
        <v>DistributionFeederM158_Village11100</v>
      </c>
      <c r="BE67" s="9" t="str">
        <f>CONCATENATE(TKA[[#This Row],[Supply Level]],TKA[[#This Row],[Station/Feeder]],TKA[[#This Row],[Voltage]],TKA[[#This Row],[Lowest A-PTX]])</f>
        <v>DistributionFeederM158_Village11100</v>
      </c>
      <c r="BF67" s="9">
        <f>IF(MIN(TKA[[#This Row],[Summ Cont Winter A]]:TKA[[#This Row],[Cable Derating]])=0,"",MIN(TKA[[#This Row],[Summ Cont Winter A]]:TKA[[#This Row],[Cable Derating]]))</f>
        <v>1.9052558883257651</v>
      </c>
      <c r="BG67" s="9">
        <f>IFERROR(TKA[[#This Row],[Lowest MVA]]*1000/(TKA[[#This Row],[Voltage]]*SQRT(3)),"")</f>
        <v>100</v>
      </c>
      <c r="BH67" s="9">
        <f t="shared" ref="BH67:BH76" si="151">IF(MIN(N67,P67,R67,T67,V67,X67,Z67,AB67,AD67,AR67)=0,"",MIN(N67,P67,R67,T67,V67,X67,Z67,AB67,AD67,AR67))</f>
        <v>100</v>
      </c>
      <c r="BI67" s="9" t="str">
        <f>TKA[[#This Row],[From]]</f>
        <v>M158</v>
      </c>
      <c r="BJ67" s="9" t="str">
        <f>TKA[[#This Row],[To]]</f>
        <v>M148</v>
      </c>
      <c r="BK67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Circuit Breaker-UHT-M158-Protection</v>
      </c>
      <c r="BL67" s="9">
        <f>TKA[[#This Row],[Voltage]]</f>
        <v>11</v>
      </c>
    </row>
    <row r="68" spans="1:64" s="1" customFormat="1" ht="15" customHeight="1" x14ac:dyDescent="0.25">
      <c r="A68" s="6" t="str">
        <f>CONCATENATE(TKA[[#This Row],[Supply Level]],TKA[[#This Row],[Station/Feeder]],TKA[[#This Row],[Voltage]])</f>
        <v>DistributionFeederM158_Village11</v>
      </c>
      <c r="B68" s="6" t="str">
        <f>CONCATENATE(TKA[[#This Row],[Supply Level]],TKA[[#This Row],[Station/Feeder]],TKA[[#This Row],[Equipment ID]],TKA[[#This Row],[Voltage]],TKA[[#This Row],[Device type]])</f>
        <v>DistributionFeederM158_VillageM36411-</v>
      </c>
      <c r="C68" s="6" t="s">
        <v>1276</v>
      </c>
      <c r="D68" s="6" t="s">
        <v>172</v>
      </c>
      <c r="E68" s="7" t="s">
        <v>413</v>
      </c>
      <c r="F68" s="7" t="s">
        <v>412</v>
      </c>
      <c r="G68" s="57">
        <v>2</v>
      </c>
      <c r="H68" s="46" t="s">
        <v>273</v>
      </c>
      <c r="I68" s="46" t="s">
        <v>1351</v>
      </c>
      <c r="J68" s="46" t="s">
        <v>670</v>
      </c>
      <c r="K68" s="46" t="s">
        <v>0</v>
      </c>
      <c r="L68" s="46" t="s">
        <v>0</v>
      </c>
      <c r="M68" s="57">
        <v>11</v>
      </c>
      <c r="N68" s="9">
        <v>630</v>
      </c>
      <c r="O68" s="9">
        <f t="shared" si="141"/>
        <v>12.00311209645232</v>
      </c>
      <c r="P68" s="9">
        <v>630</v>
      </c>
      <c r="Q68" s="9">
        <f t="shared" si="142"/>
        <v>12.00311209645232</v>
      </c>
      <c r="R68" s="9">
        <v>630</v>
      </c>
      <c r="S68" s="9">
        <f t="shared" si="143"/>
        <v>12.00311209645232</v>
      </c>
      <c r="T68" s="9" t="s">
        <v>0</v>
      </c>
      <c r="U68" s="9" t="str">
        <f t="shared" si="144"/>
        <v>-</v>
      </c>
      <c r="V68" s="9" t="s">
        <v>0</v>
      </c>
      <c r="W68" s="9" t="str">
        <f t="shared" si="145"/>
        <v>-</v>
      </c>
      <c r="X68" s="9" t="s">
        <v>0</v>
      </c>
      <c r="Y68" s="9" t="str">
        <f t="shared" si="146"/>
        <v>-</v>
      </c>
      <c r="Z68" s="9" t="s">
        <v>0</v>
      </c>
      <c r="AA68" s="9" t="str">
        <f t="shared" si="147"/>
        <v>-</v>
      </c>
      <c r="AB68" s="9" t="s">
        <v>0</v>
      </c>
      <c r="AC68" s="9" t="str">
        <f t="shared" si="148"/>
        <v>-</v>
      </c>
      <c r="AD68" s="9" t="s">
        <v>0</v>
      </c>
      <c r="AE68" s="9" t="str">
        <f t="shared" si="149"/>
        <v>-</v>
      </c>
      <c r="AF68" s="9" t="s">
        <v>0</v>
      </c>
      <c r="AG68" s="9" t="s">
        <v>0</v>
      </c>
      <c r="AH68" s="9" t="s">
        <v>0</v>
      </c>
      <c r="AI68" s="9" t="s">
        <v>0</v>
      </c>
      <c r="AJ68" s="43" t="s">
        <v>0</v>
      </c>
      <c r="AK68" s="9" t="s">
        <v>0</v>
      </c>
      <c r="AL68" s="43" t="s">
        <v>0</v>
      </c>
      <c r="AM68" s="9" t="s">
        <v>0</v>
      </c>
      <c r="AN68" s="43" t="s">
        <v>0</v>
      </c>
      <c r="AO68" s="9" t="s">
        <v>0</v>
      </c>
      <c r="AP68" s="43" t="s">
        <v>0</v>
      </c>
      <c r="AQ68" s="43" t="s">
        <v>0</v>
      </c>
      <c r="AR68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68" s="9" t="str">
        <f t="shared" si="150"/>
        <v>-</v>
      </c>
      <c r="AT68" s="9">
        <f>IF(RIGHT(TKA[[#This Row],[Device type]],7)="Winding","-",TKA[[#This Row],[Cont Winter MVA]])</f>
        <v>12.00311209645232</v>
      </c>
      <c r="AU68" s="9">
        <f>IF(RIGHT(TKA[[#This Row],[Device type]],7)="Winding","-",TKA[[#This Row],[Cont Shoulder MVA]])</f>
        <v>12.00311209645232</v>
      </c>
      <c r="AV68" s="9">
        <f>IF(RIGHT(TKA[[#This Row],[Device type]],7)="Winding","-",TKA[[#This Row],[Cont Summer MVA]])</f>
        <v>12.00311209645232</v>
      </c>
      <c r="AW68" s="9" t="str">
        <f>TKA[[#This Row],[24 Hr Winter MVA]]</f>
        <v>-</v>
      </c>
      <c r="AX68" s="9" t="str">
        <f>TKA[[#This Row],[24 Hr Summer MVA]]</f>
        <v>-</v>
      </c>
      <c r="AY68" s="9" t="str">
        <f>TKA[[#This Row],[Forwards MVA]]</f>
        <v>-</v>
      </c>
      <c r="AZ68" s="9" t="str">
        <f>TKA[[#This Row],[Relay MVA]]</f>
        <v>-</v>
      </c>
      <c r="BA68" s="9" t="str">
        <f>TKA[[#This Row],[CT MVA]]</f>
        <v>-</v>
      </c>
      <c r="BB68" s="9" t="str">
        <f>TKA[[#This Row],[Derating MVA]]</f>
        <v>-</v>
      </c>
      <c r="BC68" s="9" t="str">
        <f>TKA[[#This Row],[Station/Feeder]]&amp;TKA[[#This Row],[Lowest MVA]]</f>
        <v>M158_Village12.0031120964523</v>
      </c>
      <c r="BD68" s="9" t="str">
        <f>CONCATENATE(TKA[[#This Row],[Supply Level]],TKA[[#This Row],[Station/Feeder]],TKA[[#This Row],[Voltage]],TKA[[#This Row],[Lowest A-No PTX]])</f>
        <v>DistributionFeederM158_Village11630</v>
      </c>
      <c r="BE68" s="9" t="str">
        <f>CONCATENATE(TKA[[#This Row],[Supply Level]],TKA[[#This Row],[Station/Feeder]],TKA[[#This Row],[Voltage]],TKA[[#This Row],[Lowest A-PTX]])</f>
        <v>DistributionFeederM158_Village11630</v>
      </c>
      <c r="BF68" s="9">
        <f>IF(MIN(TKA[[#This Row],[Summ Cont Winter A]]:TKA[[#This Row],[Cable Derating]])=0,"",MIN(TKA[[#This Row],[Summ Cont Winter A]]:TKA[[#This Row],[Cable Derating]]))</f>
        <v>12.00311209645232</v>
      </c>
      <c r="BG68" s="9">
        <f>IFERROR(TKA[[#This Row],[Lowest MVA]]*1000/(TKA[[#This Row],[Voltage]]*SQRT(3)),"")</f>
        <v>630</v>
      </c>
      <c r="BH68" s="9">
        <f t="shared" si="151"/>
        <v>630</v>
      </c>
      <c r="BI68" s="9" t="str">
        <f>TKA[[#This Row],[From]]</f>
        <v>M158</v>
      </c>
      <c r="BJ68" s="9" t="str">
        <f>TKA[[#This Row],[To]]</f>
        <v>M148</v>
      </c>
      <c r="BK68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RMU Switch-M364</v>
      </c>
      <c r="BL68" s="9">
        <f>TKA[[#This Row],[Voltage]]</f>
        <v>11</v>
      </c>
    </row>
    <row r="69" spans="1:64" s="1" customFormat="1" ht="15" customHeight="1" x14ac:dyDescent="0.25">
      <c r="A69" s="6" t="str">
        <f>CONCATENATE(TKA[[#This Row],[Supply Level]],TKA[[#This Row],[Station/Feeder]],TKA[[#This Row],[Voltage]])</f>
        <v>DistributionFeederM158_Village11</v>
      </c>
      <c r="B69" s="6" t="str">
        <f>CONCATENATE(TKA[[#This Row],[Supply Level]],TKA[[#This Row],[Station/Feeder]],TKA[[#This Row],[Equipment ID]],TKA[[#This Row],[Voltage]],TKA[[#This Row],[Device type]])</f>
        <v>DistributionFeederM158_Village3-1c 185 mm² AL XLPE11-</v>
      </c>
      <c r="C69" s="6" t="s">
        <v>1276</v>
      </c>
      <c r="D69" s="6" t="s">
        <v>172</v>
      </c>
      <c r="E69" s="7" t="s">
        <v>413</v>
      </c>
      <c r="F69" s="7" t="s">
        <v>412</v>
      </c>
      <c r="G69" s="57">
        <v>3</v>
      </c>
      <c r="H69" s="46" t="s">
        <v>276</v>
      </c>
      <c r="I69" s="46" t="s">
        <v>561</v>
      </c>
      <c r="J69" s="46" t="s">
        <v>250</v>
      </c>
      <c r="K69" s="46" t="s">
        <v>0</v>
      </c>
      <c r="L69" s="46" t="s">
        <v>0</v>
      </c>
      <c r="M69" s="57">
        <v>11</v>
      </c>
      <c r="N69" s="9">
        <v>326</v>
      </c>
      <c r="O69" s="9">
        <f t="shared" si="141"/>
        <v>6.2111341959419937</v>
      </c>
      <c r="P69" s="9">
        <v>326</v>
      </c>
      <c r="Q69" s="9">
        <f t="shared" si="142"/>
        <v>6.2111341959419937</v>
      </c>
      <c r="R69" s="9">
        <v>326</v>
      </c>
      <c r="S69" s="9">
        <f t="shared" si="143"/>
        <v>6.2111341959419937</v>
      </c>
      <c r="T69" s="9" t="s">
        <v>0</v>
      </c>
      <c r="U69" s="9" t="str">
        <f t="shared" si="144"/>
        <v>-</v>
      </c>
      <c r="V69" s="9" t="s">
        <v>0</v>
      </c>
      <c r="W69" s="9" t="str">
        <f t="shared" si="145"/>
        <v>-</v>
      </c>
      <c r="X69" s="9" t="s">
        <v>0</v>
      </c>
      <c r="Y69" s="9" t="str">
        <f t="shared" si="146"/>
        <v>-</v>
      </c>
      <c r="Z69" s="9" t="s">
        <v>0</v>
      </c>
      <c r="AA69" s="9" t="str">
        <f t="shared" si="147"/>
        <v>-</v>
      </c>
      <c r="AB69" s="9" t="s">
        <v>0</v>
      </c>
      <c r="AC69" s="9" t="str">
        <f t="shared" si="148"/>
        <v>-</v>
      </c>
      <c r="AD69" s="9" t="s">
        <v>0</v>
      </c>
      <c r="AE69" s="9" t="str">
        <f t="shared" si="149"/>
        <v>-</v>
      </c>
      <c r="AF69" s="9">
        <v>1</v>
      </c>
      <c r="AG69" s="9" t="s">
        <v>265</v>
      </c>
      <c r="AH69" s="9">
        <v>16.399999999999999</v>
      </c>
      <c r="AI69" s="9">
        <v>1</v>
      </c>
      <c r="AJ69" s="43">
        <v>0.98</v>
      </c>
      <c r="AK69" s="9">
        <v>15</v>
      </c>
      <c r="AL69" s="43">
        <v>1</v>
      </c>
      <c r="AM69" s="9">
        <v>1.2</v>
      </c>
      <c r="AN69" s="43">
        <v>1</v>
      </c>
      <c r="AO69" s="9">
        <v>2</v>
      </c>
      <c r="AP69" s="43">
        <v>0.6</v>
      </c>
      <c r="AQ69" s="43">
        <v>0.9</v>
      </c>
      <c r="AR69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287.53199999999998</v>
      </c>
      <c r="AS69" s="9">
        <f t="shared" si="150"/>
        <v>5.4782203608208384</v>
      </c>
      <c r="AT69" s="9">
        <f>IF(RIGHT(TKA[[#This Row],[Device type]],7)="Winding","-",TKA[[#This Row],[Cont Winter MVA]])</f>
        <v>6.2111341959419937</v>
      </c>
      <c r="AU69" s="9">
        <f>IF(RIGHT(TKA[[#This Row],[Device type]],7)="Winding","-",TKA[[#This Row],[Cont Shoulder MVA]])</f>
        <v>6.2111341959419937</v>
      </c>
      <c r="AV69" s="9">
        <f>IF(RIGHT(TKA[[#This Row],[Device type]],7)="Winding","-",TKA[[#This Row],[Cont Summer MVA]])</f>
        <v>6.2111341959419937</v>
      </c>
      <c r="AW69" s="9" t="str">
        <f>TKA[[#This Row],[24 Hr Winter MVA]]</f>
        <v>-</v>
      </c>
      <c r="AX69" s="9" t="str">
        <f>TKA[[#This Row],[24 Hr Summer MVA]]</f>
        <v>-</v>
      </c>
      <c r="AY69" s="9" t="str">
        <f>TKA[[#This Row],[Forwards MVA]]</f>
        <v>-</v>
      </c>
      <c r="AZ69" s="9" t="str">
        <f>TKA[[#This Row],[Relay MVA]]</f>
        <v>-</v>
      </c>
      <c r="BA69" s="9" t="str">
        <f>TKA[[#This Row],[CT MVA]]</f>
        <v>-</v>
      </c>
      <c r="BB69" s="9">
        <f>TKA[[#This Row],[Derating MVA]]</f>
        <v>5.4782203608208384</v>
      </c>
      <c r="BC69" s="9" t="str">
        <f>TKA[[#This Row],[Station/Feeder]]&amp;TKA[[#This Row],[Lowest MVA]]</f>
        <v>M158_Village5.47822036082084</v>
      </c>
      <c r="BD69" s="9" t="str">
        <f>CONCATENATE(TKA[[#This Row],[Supply Level]],TKA[[#This Row],[Station/Feeder]],TKA[[#This Row],[Voltage]],TKA[[#This Row],[Lowest A-No PTX]])</f>
        <v>DistributionFeederM158_Village11287.532</v>
      </c>
      <c r="BE69" s="9" t="str">
        <f>CONCATENATE(TKA[[#This Row],[Supply Level]],TKA[[#This Row],[Station/Feeder]],TKA[[#This Row],[Voltage]],TKA[[#This Row],[Lowest A-PTX]])</f>
        <v>DistributionFeederM158_Village11287.532</v>
      </c>
      <c r="BF69" s="9">
        <f>IF(MIN(TKA[[#This Row],[Summ Cont Winter A]]:TKA[[#This Row],[Cable Derating]])=0,"",MIN(TKA[[#This Row],[Summ Cont Winter A]]:TKA[[#This Row],[Cable Derating]]))</f>
        <v>5.4782203608208384</v>
      </c>
      <c r="BG69" s="9">
        <f>IFERROR(TKA[[#This Row],[Lowest MVA]]*1000/(TKA[[#This Row],[Voltage]]*SQRT(3)),"")</f>
        <v>287.53199999999998</v>
      </c>
      <c r="BH69" s="9">
        <f t="shared" si="151"/>
        <v>287.53199999999998</v>
      </c>
      <c r="BI69" s="9" t="str">
        <f>TKA[[#This Row],[From]]</f>
        <v>M158</v>
      </c>
      <c r="BJ69" s="9" t="str">
        <f>TKA[[#This Row],[To]]</f>
        <v>M148</v>
      </c>
      <c r="BK69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Cable-3-1c 185 mm² AL XLPE</v>
      </c>
      <c r="BL69" s="9">
        <f>TKA[[#This Row],[Voltage]]</f>
        <v>11</v>
      </c>
    </row>
    <row r="70" spans="1:64" s="1" customFormat="1" ht="15" customHeight="1" x14ac:dyDescent="0.25">
      <c r="A70" s="6" t="str">
        <f>CONCATENATE(TKA[[#This Row],[Supply Level]],TKA[[#This Row],[Station/Feeder]],TKA[[#This Row],[Voltage]])</f>
        <v>DistributionFeederM158_Village11</v>
      </c>
      <c r="B70" s="6" t="str">
        <f>CONCATENATE(TKA[[#This Row],[Supply Level]],TKA[[#This Row],[Station/Feeder]],TKA[[#This Row],[Equipment ID]],TKA[[#This Row],[Voltage]],TKA[[#This Row],[Device type]])</f>
        <v>DistributionFeederM158_VillageM26811-</v>
      </c>
      <c r="C70" s="6" t="s">
        <v>1276</v>
      </c>
      <c r="D70" s="6" t="s">
        <v>172</v>
      </c>
      <c r="E70" s="7" t="s">
        <v>413</v>
      </c>
      <c r="F70" s="7" t="s">
        <v>412</v>
      </c>
      <c r="G70" s="57">
        <v>4</v>
      </c>
      <c r="H70" s="46" t="s">
        <v>273</v>
      </c>
      <c r="I70" s="46" t="s">
        <v>1350</v>
      </c>
      <c r="J70" s="46" t="s">
        <v>249</v>
      </c>
      <c r="K70" s="46" t="s">
        <v>0</v>
      </c>
      <c r="L70" s="46" t="s">
        <v>0</v>
      </c>
      <c r="M70" s="57">
        <v>11</v>
      </c>
      <c r="N70" s="9" t="s">
        <v>0</v>
      </c>
      <c r="O70" s="9" t="str">
        <f t="shared" si="141"/>
        <v>-</v>
      </c>
      <c r="P70" s="9" t="s">
        <v>0</v>
      </c>
      <c r="Q70" s="9" t="str">
        <f t="shared" si="142"/>
        <v>-</v>
      </c>
      <c r="R70" s="9" t="s">
        <v>0</v>
      </c>
      <c r="S70" s="9" t="str">
        <f t="shared" si="143"/>
        <v>-</v>
      </c>
      <c r="T70" s="9" t="s">
        <v>0</v>
      </c>
      <c r="U70" s="9" t="str">
        <f t="shared" si="144"/>
        <v>-</v>
      </c>
      <c r="V70" s="9" t="s">
        <v>0</v>
      </c>
      <c r="W70" s="9" t="str">
        <f t="shared" si="145"/>
        <v>-</v>
      </c>
      <c r="X70" s="9" t="s">
        <v>0</v>
      </c>
      <c r="Y70" s="9" t="str">
        <f t="shared" si="146"/>
        <v>-</v>
      </c>
      <c r="Z70" s="9" t="s">
        <v>0</v>
      </c>
      <c r="AA70" s="9" t="str">
        <f t="shared" si="147"/>
        <v>-</v>
      </c>
      <c r="AB70" s="9" t="s">
        <v>0</v>
      </c>
      <c r="AC70" s="9" t="str">
        <f t="shared" si="148"/>
        <v>-</v>
      </c>
      <c r="AD70" s="9" t="s">
        <v>0</v>
      </c>
      <c r="AE70" s="9" t="str">
        <f t="shared" si="149"/>
        <v>-</v>
      </c>
      <c r="AF70" s="9" t="s">
        <v>0</v>
      </c>
      <c r="AG70" s="9" t="s">
        <v>0</v>
      </c>
      <c r="AH70" s="9" t="s">
        <v>0</v>
      </c>
      <c r="AI70" s="9" t="s">
        <v>0</v>
      </c>
      <c r="AJ70" s="43" t="s">
        <v>0</v>
      </c>
      <c r="AK70" s="9" t="s">
        <v>0</v>
      </c>
      <c r="AL70" s="43" t="s">
        <v>0</v>
      </c>
      <c r="AM70" s="9" t="s">
        <v>0</v>
      </c>
      <c r="AN70" s="43" t="s">
        <v>0</v>
      </c>
      <c r="AO70" s="9" t="s">
        <v>0</v>
      </c>
      <c r="AP70" s="43" t="s">
        <v>0</v>
      </c>
      <c r="AQ70" s="43" t="s">
        <v>0</v>
      </c>
      <c r="AR70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70" s="9" t="str">
        <f t="shared" si="150"/>
        <v>-</v>
      </c>
      <c r="AT70" s="9" t="str">
        <f>IF(RIGHT(TKA[[#This Row],[Device type]],7)="Winding","-",TKA[[#This Row],[Cont Winter MVA]])</f>
        <v>-</v>
      </c>
      <c r="AU70" s="9" t="str">
        <f>IF(RIGHT(TKA[[#This Row],[Device type]],7)="Winding","-",TKA[[#This Row],[Cont Shoulder MVA]])</f>
        <v>-</v>
      </c>
      <c r="AV70" s="9" t="str">
        <f>IF(RIGHT(TKA[[#This Row],[Device type]],7)="Winding","-",TKA[[#This Row],[Cont Summer MVA]])</f>
        <v>-</v>
      </c>
      <c r="AW70" s="9" t="str">
        <f>TKA[[#This Row],[24 Hr Winter MVA]]</f>
        <v>-</v>
      </c>
      <c r="AX70" s="9" t="str">
        <f>TKA[[#This Row],[24 Hr Summer MVA]]</f>
        <v>-</v>
      </c>
      <c r="AY70" s="9" t="str">
        <f>TKA[[#This Row],[Forwards MVA]]</f>
        <v>-</v>
      </c>
      <c r="AZ70" s="9" t="str">
        <f>TKA[[#This Row],[Relay MVA]]</f>
        <v>-</v>
      </c>
      <c r="BA70" s="9" t="str">
        <f>TKA[[#This Row],[CT MVA]]</f>
        <v>-</v>
      </c>
      <c r="BB70" s="9" t="str">
        <f>TKA[[#This Row],[Derating MVA]]</f>
        <v>-</v>
      </c>
      <c r="BC70" s="9" t="str">
        <f>TKA[[#This Row],[Station/Feeder]]&amp;TKA[[#This Row],[Lowest MVA]]</f>
        <v>M158_Village</v>
      </c>
      <c r="BD70" s="9" t="str">
        <f>CONCATENATE(TKA[[#This Row],[Supply Level]],TKA[[#This Row],[Station/Feeder]],TKA[[#This Row],[Voltage]],TKA[[#This Row],[Lowest A-No PTX]])</f>
        <v>DistributionFeederM158_Village11</v>
      </c>
      <c r="BE70" s="9" t="str">
        <f>CONCATENATE(TKA[[#This Row],[Supply Level]],TKA[[#This Row],[Station/Feeder]],TKA[[#This Row],[Voltage]],TKA[[#This Row],[Lowest A-PTX]])</f>
        <v>DistributionFeederM158_Village11</v>
      </c>
      <c r="BF70" s="9" t="str">
        <f>IF(MIN(TKA[[#This Row],[Summ Cont Winter A]]:TKA[[#This Row],[Cable Derating]])=0,"",MIN(TKA[[#This Row],[Summ Cont Winter A]]:TKA[[#This Row],[Cable Derating]]))</f>
        <v/>
      </c>
      <c r="BG70" s="9" t="str">
        <f>IFERROR(TKA[[#This Row],[Lowest MVA]]*1000/(TKA[[#This Row],[Voltage]]*SQRT(3)),"")</f>
        <v/>
      </c>
      <c r="BH70" s="9" t="str">
        <f t="shared" si="151"/>
        <v/>
      </c>
      <c r="BI70" s="9" t="str">
        <f>TKA[[#This Row],[From]]</f>
        <v>M158</v>
      </c>
      <c r="BJ70" s="9" t="str">
        <f>TKA[[#This Row],[To]]</f>
        <v>M148</v>
      </c>
      <c r="BK70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Link-M268</v>
      </c>
      <c r="BL70" s="9">
        <f>TKA[[#This Row],[Voltage]]</f>
        <v>11</v>
      </c>
    </row>
    <row r="71" spans="1:64" s="1" customFormat="1" ht="15.75" customHeight="1" x14ac:dyDescent="0.25">
      <c r="A71" s="6" t="str">
        <f>CONCATENATE(TKA[[#This Row],[Supply Level]],TKA[[#This Row],[Station/Feeder]],TKA[[#This Row],[Voltage]])</f>
        <v>DistributionFeederM158_Village11</v>
      </c>
      <c r="B71" s="6" t="str">
        <f>CONCATENATE(TKA[[#This Row],[Supply Level]],TKA[[#This Row],[Station/Feeder]],TKA[[#This Row],[Equipment ID]],TKA[[#This Row],[Voltage]],TKA[[#This Row],[Device type]])</f>
        <v>DistributionFeederM158_Village3-1c 185 mm² AL XLPE11-</v>
      </c>
      <c r="C71" s="6" t="s">
        <v>1276</v>
      </c>
      <c r="D71" s="6" t="s">
        <v>172</v>
      </c>
      <c r="E71" s="7" t="s">
        <v>413</v>
      </c>
      <c r="F71" s="7" t="s">
        <v>412</v>
      </c>
      <c r="G71" s="57">
        <v>5</v>
      </c>
      <c r="H71" s="46" t="s">
        <v>276</v>
      </c>
      <c r="I71" s="46" t="s">
        <v>561</v>
      </c>
      <c r="J71" s="46" t="s">
        <v>250</v>
      </c>
      <c r="K71" s="46" t="s">
        <v>0</v>
      </c>
      <c r="L71" s="46" t="s">
        <v>0</v>
      </c>
      <c r="M71" s="57">
        <v>11</v>
      </c>
      <c r="N71" s="9">
        <v>326</v>
      </c>
      <c r="O71" s="9">
        <f t="shared" si="141"/>
        <v>6.2111341959419937</v>
      </c>
      <c r="P71" s="9">
        <v>326</v>
      </c>
      <c r="Q71" s="9">
        <f t="shared" si="142"/>
        <v>6.2111341959419937</v>
      </c>
      <c r="R71" s="9">
        <v>326</v>
      </c>
      <c r="S71" s="9">
        <f t="shared" si="143"/>
        <v>6.2111341959419937</v>
      </c>
      <c r="T71" s="9" t="s">
        <v>0</v>
      </c>
      <c r="U71" s="9" t="str">
        <f t="shared" si="144"/>
        <v>-</v>
      </c>
      <c r="V71" s="9" t="s">
        <v>0</v>
      </c>
      <c r="W71" s="9" t="str">
        <f t="shared" si="145"/>
        <v>-</v>
      </c>
      <c r="X71" s="9" t="s">
        <v>0</v>
      </c>
      <c r="Y71" s="9" t="str">
        <f t="shared" si="146"/>
        <v>-</v>
      </c>
      <c r="Z71" s="9" t="s">
        <v>0</v>
      </c>
      <c r="AA71" s="9" t="str">
        <f t="shared" si="147"/>
        <v>-</v>
      </c>
      <c r="AB71" s="9" t="s">
        <v>0</v>
      </c>
      <c r="AC71" s="9" t="str">
        <f t="shared" si="148"/>
        <v>-</v>
      </c>
      <c r="AD71" s="9" t="s">
        <v>0</v>
      </c>
      <c r="AE71" s="9" t="str">
        <f t="shared" si="149"/>
        <v>-</v>
      </c>
      <c r="AF71" s="9">
        <v>1</v>
      </c>
      <c r="AG71" s="9" t="s">
        <v>265</v>
      </c>
      <c r="AH71" s="9">
        <v>10.9</v>
      </c>
      <c r="AI71" s="9">
        <v>1</v>
      </c>
      <c r="AJ71" s="43">
        <v>0.98</v>
      </c>
      <c r="AK71" s="9">
        <v>15</v>
      </c>
      <c r="AL71" s="43">
        <v>1</v>
      </c>
      <c r="AM71" s="9">
        <v>1.2</v>
      </c>
      <c r="AN71" s="43">
        <v>1</v>
      </c>
      <c r="AO71" s="9">
        <v>2</v>
      </c>
      <c r="AP71" s="43">
        <v>0.6</v>
      </c>
      <c r="AQ71" s="43">
        <v>0.9</v>
      </c>
      <c r="AR71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287.53199999999998</v>
      </c>
      <c r="AS71" s="9">
        <f t="shared" si="150"/>
        <v>5.4782203608208384</v>
      </c>
      <c r="AT71" s="9">
        <f>IF(RIGHT(TKA[[#This Row],[Device type]],7)="Winding","-",TKA[[#This Row],[Cont Winter MVA]])</f>
        <v>6.2111341959419937</v>
      </c>
      <c r="AU71" s="9">
        <f>IF(RIGHT(TKA[[#This Row],[Device type]],7)="Winding","-",TKA[[#This Row],[Cont Shoulder MVA]])</f>
        <v>6.2111341959419937</v>
      </c>
      <c r="AV71" s="9">
        <f>IF(RIGHT(TKA[[#This Row],[Device type]],7)="Winding","-",TKA[[#This Row],[Cont Summer MVA]])</f>
        <v>6.2111341959419937</v>
      </c>
      <c r="AW71" s="9" t="str">
        <f>TKA[[#This Row],[24 Hr Winter MVA]]</f>
        <v>-</v>
      </c>
      <c r="AX71" s="9" t="str">
        <f>TKA[[#This Row],[24 Hr Summer MVA]]</f>
        <v>-</v>
      </c>
      <c r="AY71" s="9" t="str">
        <f>TKA[[#This Row],[Forwards MVA]]</f>
        <v>-</v>
      </c>
      <c r="AZ71" s="9" t="str">
        <f>TKA[[#This Row],[Relay MVA]]</f>
        <v>-</v>
      </c>
      <c r="BA71" s="9" t="str">
        <f>TKA[[#This Row],[CT MVA]]</f>
        <v>-</v>
      </c>
      <c r="BB71" s="9">
        <f>TKA[[#This Row],[Derating MVA]]</f>
        <v>5.4782203608208384</v>
      </c>
      <c r="BC71" s="9" t="str">
        <f>TKA[[#This Row],[Station/Feeder]]&amp;TKA[[#This Row],[Lowest MVA]]</f>
        <v>M158_Village5.47822036082084</v>
      </c>
      <c r="BD71" s="9" t="str">
        <f>CONCATENATE(TKA[[#This Row],[Supply Level]],TKA[[#This Row],[Station/Feeder]],TKA[[#This Row],[Voltage]],TKA[[#This Row],[Lowest A-No PTX]])</f>
        <v>DistributionFeederM158_Village11287.532</v>
      </c>
      <c r="BE71" s="9" t="str">
        <f>CONCATENATE(TKA[[#This Row],[Supply Level]],TKA[[#This Row],[Station/Feeder]],TKA[[#This Row],[Voltage]],TKA[[#This Row],[Lowest A-PTX]])</f>
        <v>DistributionFeederM158_Village11287.532</v>
      </c>
      <c r="BF71" s="9">
        <f>IF(MIN(TKA[[#This Row],[Summ Cont Winter A]]:TKA[[#This Row],[Cable Derating]])=0,"",MIN(TKA[[#This Row],[Summ Cont Winter A]]:TKA[[#This Row],[Cable Derating]]))</f>
        <v>5.4782203608208384</v>
      </c>
      <c r="BG71" s="9">
        <f>IFERROR(TKA[[#This Row],[Lowest MVA]]*1000/(TKA[[#This Row],[Voltage]]*SQRT(3)),"")</f>
        <v>287.53199999999998</v>
      </c>
      <c r="BH71" s="9">
        <f t="shared" si="151"/>
        <v>287.53199999999998</v>
      </c>
      <c r="BI71" s="9" t="str">
        <f>TKA[[#This Row],[From]]</f>
        <v>M158</v>
      </c>
      <c r="BJ71" s="9" t="str">
        <f>TKA[[#This Row],[To]]</f>
        <v>M148</v>
      </c>
      <c r="BK71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Cable-3-1c 185 mm² AL XLPE</v>
      </c>
      <c r="BL71" s="9">
        <f>TKA[[#This Row],[Voltage]]</f>
        <v>11</v>
      </c>
    </row>
    <row r="72" spans="1:64" s="1" customFormat="1" ht="15" customHeight="1" x14ac:dyDescent="0.25">
      <c r="A72" s="6" t="str">
        <f>CONCATENATE(TKA[[#This Row],[Supply Level]],TKA[[#This Row],[Station/Feeder]],TKA[[#This Row],[Voltage]])</f>
        <v>DistributionFeederM158_Village11</v>
      </c>
      <c r="B72" s="6" t="str">
        <f>CONCATENATE(TKA[[#This Row],[Supply Level]],TKA[[#This Row],[Station/Feeder]],TKA[[#This Row],[Equipment ID]],TKA[[#This Row],[Voltage]],TKA[[#This Row],[Device type]])</f>
        <v>DistributionFeederM158_Village1-3c 150 mm² Al PILC11-</v>
      </c>
      <c r="C72" s="6" t="s">
        <v>1276</v>
      </c>
      <c r="D72" s="6" t="s">
        <v>172</v>
      </c>
      <c r="E72" s="7" t="s">
        <v>413</v>
      </c>
      <c r="F72" s="7" t="s">
        <v>412</v>
      </c>
      <c r="G72" s="57">
        <v>6</v>
      </c>
      <c r="H72" s="46" t="s">
        <v>276</v>
      </c>
      <c r="I72" s="46" t="s">
        <v>568</v>
      </c>
      <c r="J72" s="46" t="s">
        <v>250</v>
      </c>
      <c r="K72" s="46" t="s">
        <v>0</v>
      </c>
      <c r="L72" s="46" t="s">
        <v>0</v>
      </c>
      <c r="M72" s="57">
        <v>11</v>
      </c>
      <c r="N72" s="9">
        <v>265</v>
      </c>
      <c r="O72" s="9">
        <f t="shared" si="141"/>
        <v>5.0489281040632772</v>
      </c>
      <c r="P72" s="9">
        <v>265</v>
      </c>
      <c r="Q72" s="9">
        <f t="shared" si="142"/>
        <v>5.0489281040632772</v>
      </c>
      <c r="R72" s="9">
        <v>265</v>
      </c>
      <c r="S72" s="9">
        <f t="shared" si="143"/>
        <v>5.0489281040632772</v>
      </c>
      <c r="T72" s="9" t="s">
        <v>0</v>
      </c>
      <c r="U72" s="9" t="str">
        <f t="shared" si="144"/>
        <v>-</v>
      </c>
      <c r="V72" s="9" t="s">
        <v>0</v>
      </c>
      <c r="W72" s="9" t="str">
        <f t="shared" si="145"/>
        <v>-</v>
      </c>
      <c r="X72" s="9" t="s">
        <v>0</v>
      </c>
      <c r="Y72" s="9" t="str">
        <f t="shared" si="146"/>
        <v>-</v>
      </c>
      <c r="Z72" s="9" t="s">
        <v>0</v>
      </c>
      <c r="AA72" s="9" t="str">
        <f t="shared" si="147"/>
        <v>-</v>
      </c>
      <c r="AB72" s="9" t="s">
        <v>0</v>
      </c>
      <c r="AC72" s="9" t="str">
        <f t="shared" si="148"/>
        <v>-</v>
      </c>
      <c r="AD72" s="9" t="s">
        <v>0</v>
      </c>
      <c r="AE72" s="9" t="str">
        <f t="shared" si="149"/>
        <v>-</v>
      </c>
      <c r="AF72" s="9">
        <v>3</v>
      </c>
      <c r="AG72" s="9" t="s">
        <v>265</v>
      </c>
      <c r="AH72" s="9">
        <v>3586.8</v>
      </c>
      <c r="AI72" s="9">
        <v>1</v>
      </c>
      <c r="AJ72" s="43">
        <v>0.98</v>
      </c>
      <c r="AK72" s="9">
        <v>15</v>
      </c>
      <c r="AL72" s="43">
        <v>1</v>
      </c>
      <c r="AM72" s="9">
        <v>1.2</v>
      </c>
      <c r="AN72" s="43">
        <v>1</v>
      </c>
      <c r="AO72" s="9">
        <v>2</v>
      </c>
      <c r="AP72" s="43">
        <v>0.92</v>
      </c>
      <c r="AQ72" s="43">
        <v>1</v>
      </c>
      <c r="AR72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259.7</v>
      </c>
      <c r="AS72" s="9">
        <f t="shared" si="150"/>
        <v>4.9479495419820116</v>
      </c>
      <c r="AT72" s="9">
        <f>IF(RIGHT(TKA[[#This Row],[Device type]],7)="Winding","-",TKA[[#This Row],[Cont Winter MVA]])</f>
        <v>5.0489281040632772</v>
      </c>
      <c r="AU72" s="9">
        <f>IF(RIGHT(TKA[[#This Row],[Device type]],7)="Winding","-",TKA[[#This Row],[Cont Shoulder MVA]])</f>
        <v>5.0489281040632772</v>
      </c>
      <c r="AV72" s="9">
        <f>IF(RIGHT(TKA[[#This Row],[Device type]],7)="Winding","-",TKA[[#This Row],[Cont Summer MVA]])</f>
        <v>5.0489281040632772</v>
      </c>
      <c r="AW72" s="9" t="str">
        <f>TKA[[#This Row],[24 Hr Winter MVA]]</f>
        <v>-</v>
      </c>
      <c r="AX72" s="9" t="str">
        <f>TKA[[#This Row],[24 Hr Summer MVA]]</f>
        <v>-</v>
      </c>
      <c r="AY72" s="9" t="str">
        <f>TKA[[#This Row],[Forwards MVA]]</f>
        <v>-</v>
      </c>
      <c r="AZ72" s="9" t="str">
        <f>TKA[[#This Row],[Relay MVA]]</f>
        <v>-</v>
      </c>
      <c r="BA72" s="9" t="str">
        <f>TKA[[#This Row],[CT MVA]]</f>
        <v>-</v>
      </c>
      <c r="BB72" s="9">
        <f>TKA[[#This Row],[Derating MVA]]</f>
        <v>4.9479495419820116</v>
      </c>
      <c r="BC72" s="9" t="str">
        <f>TKA[[#This Row],[Station/Feeder]]&amp;TKA[[#This Row],[Lowest MVA]]</f>
        <v>M158_Village4.94794954198201</v>
      </c>
      <c r="BD72" s="9" t="str">
        <f>CONCATENATE(TKA[[#This Row],[Supply Level]],TKA[[#This Row],[Station/Feeder]],TKA[[#This Row],[Voltage]],TKA[[#This Row],[Lowest A-No PTX]])</f>
        <v>DistributionFeederM158_Village11259.7</v>
      </c>
      <c r="BE72" s="9" t="str">
        <f>CONCATENATE(TKA[[#This Row],[Supply Level]],TKA[[#This Row],[Station/Feeder]],TKA[[#This Row],[Voltage]],TKA[[#This Row],[Lowest A-PTX]])</f>
        <v>DistributionFeederM158_Village11259.7</v>
      </c>
      <c r="BF72" s="9">
        <f>IF(MIN(TKA[[#This Row],[Summ Cont Winter A]]:TKA[[#This Row],[Cable Derating]])=0,"",MIN(TKA[[#This Row],[Summ Cont Winter A]]:TKA[[#This Row],[Cable Derating]]))</f>
        <v>4.9479495419820116</v>
      </c>
      <c r="BG72" s="9">
        <f>IFERROR(TKA[[#This Row],[Lowest MVA]]*1000/(TKA[[#This Row],[Voltage]]*SQRT(3)),"")</f>
        <v>259.7</v>
      </c>
      <c r="BH72" s="9">
        <f t="shared" si="151"/>
        <v>259.7</v>
      </c>
      <c r="BI72" s="9" t="str">
        <f>TKA[[#This Row],[From]]</f>
        <v>M158</v>
      </c>
      <c r="BJ72" s="9" t="str">
        <f>TKA[[#This Row],[To]]</f>
        <v>M148</v>
      </c>
      <c r="BK72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Cable-1-3c 150 mm² Al PILC</v>
      </c>
      <c r="BL72" s="9">
        <f>TKA[[#This Row],[Voltage]]</f>
        <v>11</v>
      </c>
    </row>
    <row r="73" spans="1:64" s="1" customFormat="1" ht="15" customHeight="1" x14ac:dyDescent="0.25">
      <c r="A73" s="6" t="str">
        <f>CONCATENATE(TKA[[#This Row],[Supply Level]],TKA[[#This Row],[Station/Feeder]],TKA[[#This Row],[Voltage]])</f>
        <v>DistributionFeederM159_Village11</v>
      </c>
      <c r="B73" s="6" t="str">
        <f>CONCATENATE(TKA[[#This Row],[Supply Level]],TKA[[#This Row],[Station/Feeder]],TKA[[#This Row],[Equipment ID]],TKA[[#This Row],[Voltage]],TKA[[#This Row],[Device type]])</f>
        <v>DistributionFeederM159_VillageUHT-M15911Protection</v>
      </c>
      <c r="C73" s="6" t="s">
        <v>1276</v>
      </c>
      <c r="D73" s="6" t="s">
        <v>178</v>
      </c>
      <c r="E73" s="7" t="s">
        <v>416</v>
      </c>
      <c r="F73" s="7" t="s">
        <v>415</v>
      </c>
      <c r="G73" s="57">
        <v>1</v>
      </c>
      <c r="H73" s="46" t="s">
        <v>343</v>
      </c>
      <c r="I73" s="46" t="s">
        <v>2425</v>
      </c>
      <c r="J73" s="46" t="s">
        <v>15</v>
      </c>
      <c r="K73" s="46" t="s">
        <v>1349</v>
      </c>
      <c r="L73" s="46" t="s">
        <v>1423</v>
      </c>
      <c r="M73" s="57">
        <v>11</v>
      </c>
      <c r="N73" s="9">
        <v>630</v>
      </c>
      <c r="O73" s="9">
        <f t="shared" si="141"/>
        <v>12.00311209645232</v>
      </c>
      <c r="P73" s="9">
        <v>630</v>
      </c>
      <c r="Q73" s="9">
        <f t="shared" si="142"/>
        <v>12.00311209645232</v>
      </c>
      <c r="R73" s="9">
        <v>630</v>
      </c>
      <c r="S73" s="9">
        <f t="shared" si="143"/>
        <v>12.00311209645232</v>
      </c>
      <c r="T73" s="9" t="s">
        <v>0</v>
      </c>
      <c r="U73" s="9" t="str">
        <f t="shared" si="144"/>
        <v>-</v>
      </c>
      <c r="V73" s="9" t="s">
        <v>0</v>
      </c>
      <c r="W73" s="9" t="str">
        <f t="shared" si="145"/>
        <v>-</v>
      </c>
      <c r="X73" s="9">
        <f>VLOOKUP(TKA[[#This Row],[Equipment ID]],AEL_Protection_Data[#All],12,0)</f>
        <v>100</v>
      </c>
      <c r="Y73" s="9">
        <f t="shared" si="146"/>
        <v>1.9052558883257651</v>
      </c>
      <c r="Z73" s="9" t="s">
        <v>0</v>
      </c>
      <c r="AA73" s="9" t="str">
        <f t="shared" si="147"/>
        <v>-</v>
      </c>
      <c r="AB73" s="9" t="s">
        <v>0</v>
      </c>
      <c r="AC73" s="9" t="str">
        <f t="shared" si="148"/>
        <v>-</v>
      </c>
      <c r="AD73" s="9" t="s">
        <v>0</v>
      </c>
      <c r="AE73" s="9" t="str">
        <f t="shared" si="149"/>
        <v>-</v>
      </c>
      <c r="AF73" s="9" t="s">
        <v>0</v>
      </c>
      <c r="AG73" s="9" t="s">
        <v>0</v>
      </c>
      <c r="AH73" s="9" t="s">
        <v>0</v>
      </c>
      <c r="AI73" s="9" t="s">
        <v>0</v>
      </c>
      <c r="AJ73" s="43" t="s">
        <v>0</v>
      </c>
      <c r="AK73" s="9" t="s">
        <v>0</v>
      </c>
      <c r="AL73" s="43" t="s">
        <v>0</v>
      </c>
      <c r="AM73" s="9" t="s">
        <v>0</v>
      </c>
      <c r="AN73" s="43" t="s">
        <v>0</v>
      </c>
      <c r="AO73" s="9" t="s">
        <v>0</v>
      </c>
      <c r="AP73" s="43" t="s">
        <v>0</v>
      </c>
      <c r="AQ73" s="43" t="s">
        <v>0</v>
      </c>
      <c r="AR73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73" s="9" t="str">
        <f t="shared" si="150"/>
        <v>-</v>
      </c>
      <c r="AT73" s="9">
        <f>IF(RIGHT(TKA[[#This Row],[Device type]],7)="Winding","-",TKA[[#This Row],[Cont Winter MVA]])</f>
        <v>12.00311209645232</v>
      </c>
      <c r="AU73" s="9">
        <f>IF(RIGHT(TKA[[#This Row],[Device type]],7)="Winding","-",TKA[[#This Row],[Cont Shoulder MVA]])</f>
        <v>12.00311209645232</v>
      </c>
      <c r="AV73" s="9">
        <f>IF(RIGHT(TKA[[#This Row],[Device type]],7)="Winding","-",TKA[[#This Row],[Cont Summer MVA]])</f>
        <v>12.00311209645232</v>
      </c>
      <c r="AW73" s="9" t="str">
        <f>TKA[[#This Row],[24 Hr Winter MVA]]</f>
        <v>-</v>
      </c>
      <c r="AX73" s="9" t="str">
        <f>TKA[[#This Row],[24 Hr Summer MVA]]</f>
        <v>-</v>
      </c>
      <c r="AY73" s="9">
        <f>TKA[[#This Row],[Forwards MVA]]</f>
        <v>1.9052558883257651</v>
      </c>
      <c r="AZ73" s="9" t="str">
        <f>TKA[[#This Row],[Relay MVA]]</f>
        <v>-</v>
      </c>
      <c r="BA73" s="9" t="str">
        <f>TKA[[#This Row],[CT MVA]]</f>
        <v>-</v>
      </c>
      <c r="BB73" s="9" t="str">
        <f>TKA[[#This Row],[Derating MVA]]</f>
        <v>-</v>
      </c>
      <c r="BC73" s="9" t="str">
        <f>TKA[[#This Row],[Station/Feeder]]&amp;TKA[[#This Row],[Lowest MVA]]</f>
        <v>M159_Village1.90525588832577</v>
      </c>
      <c r="BD73" s="9" t="str">
        <f>CONCATENATE(TKA[[#This Row],[Supply Level]],TKA[[#This Row],[Station/Feeder]],TKA[[#This Row],[Voltage]],TKA[[#This Row],[Lowest A-No PTX]])</f>
        <v>DistributionFeederM159_Village11100</v>
      </c>
      <c r="BE73" s="9" t="str">
        <f>CONCATENATE(TKA[[#This Row],[Supply Level]],TKA[[#This Row],[Station/Feeder]],TKA[[#This Row],[Voltage]],TKA[[#This Row],[Lowest A-PTX]])</f>
        <v>DistributionFeederM159_Village11100</v>
      </c>
      <c r="BF73" s="9">
        <f>IF(MIN(TKA[[#This Row],[Summ Cont Winter A]]:TKA[[#This Row],[Cable Derating]])=0,"",MIN(TKA[[#This Row],[Summ Cont Winter A]]:TKA[[#This Row],[Cable Derating]]))</f>
        <v>1.9052558883257651</v>
      </c>
      <c r="BG73" s="9">
        <f>IFERROR(TKA[[#This Row],[Lowest MVA]]*1000/(TKA[[#This Row],[Voltage]]*SQRT(3)),"")</f>
        <v>100</v>
      </c>
      <c r="BH73" s="9">
        <f t="shared" si="151"/>
        <v>100</v>
      </c>
      <c r="BI73" s="9" t="str">
        <f>TKA[[#This Row],[From]]</f>
        <v>M159</v>
      </c>
      <c r="BJ73" s="9" t="str">
        <f>TKA[[#This Row],[To]]</f>
        <v>M160</v>
      </c>
      <c r="BK73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Circuit Breaker-UHT-M159-Protection</v>
      </c>
      <c r="BL73" s="9">
        <f>TKA[[#This Row],[Voltage]]</f>
        <v>11</v>
      </c>
    </row>
    <row r="74" spans="1:64" s="1" customFormat="1" ht="15" customHeight="1" x14ac:dyDescent="0.25">
      <c r="A74" s="6" t="str">
        <f>CONCATENATE(TKA[[#This Row],[Supply Level]],TKA[[#This Row],[Station/Feeder]],TKA[[#This Row],[Voltage]])</f>
        <v>DistributionFeederM159_Village11</v>
      </c>
      <c r="B74" s="6" t="str">
        <f>CONCATENATE(TKA[[#This Row],[Supply Level]],TKA[[#This Row],[Station/Feeder]],TKA[[#This Row],[Equipment ID]],TKA[[#This Row],[Voltage]],TKA[[#This Row],[Device type]])</f>
        <v>DistributionFeederM159_VillageM36311-</v>
      </c>
      <c r="C74" s="6" t="s">
        <v>1276</v>
      </c>
      <c r="D74" s="6" t="s">
        <v>178</v>
      </c>
      <c r="E74" s="7" t="s">
        <v>416</v>
      </c>
      <c r="F74" s="7" t="s">
        <v>415</v>
      </c>
      <c r="G74" s="57">
        <v>2</v>
      </c>
      <c r="H74" s="46" t="s">
        <v>273</v>
      </c>
      <c r="I74" s="46" t="s">
        <v>1352</v>
      </c>
      <c r="J74" s="46" t="s">
        <v>670</v>
      </c>
      <c r="K74" s="46" t="s">
        <v>0</v>
      </c>
      <c r="L74" s="46" t="s">
        <v>0</v>
      </c>
      <c r="M74" s="57">
        <v>11</v>
      </c>
      <c r="N74" s="9">
        <v>630</v>
      </c>
      <c r="O74" s="9">
        <f t="shared" si="141"/>
        <v>12.00311209645232</v>
      </c>
      <c r="P74" s="9">
        <v>630</v>
      </c>
      <c r="Q74" s="9">
        <f t="shared" si="142"/>
        <v>12.00311209645232</v>
      </c>
      <c r="R74" s="9">
        <v>630</v>
      </c>
      <c r="S74" s="9">
        <f t="shared" si="143"/>
        <v>12.00311209645232</v>
      </c>
      <c r="T74" s="9" t="s">
        <v>0</v>
      </c>
      <c r="U74" s="9" t="str">
        <f t="shared" si="144"/>
        <v>-</v>
      </c>
      <c r="V74" s="9" t="s">
        <v>0</v>
      </c>
      <c r="W74" s="9" t="str">
        <f t="shared" si="145"/>
        <v>-</v>
      </c>
      <c r="X74" s="9" t="s">
        <v>0</v>
      </c>
      <c r="Y74" s="9" t="str">
        <f t="shared" si="146"/>
        <v>-</v>
      </c>
      <c r="Z74" s="9" t="s">
        <v>0</v>
      </c>
      <c r="AA74" s="9" t="str">
        <f t="shared" si="147"/>
        <v>-</v>
      </c>
      <c r="AB74" s="9" t="s">
        <v>0</v>
      </c>
      <c r="AC74" s="9" t="str">
        <f t="shared" si="148"/>
        <v>-</v>
      </c>
      <c r="AD74" s="9" t="s">
        <v>0</v>
      </c>
      <c r="AE74" s="9" t="str">
        <f t="shared" si="149"/>
        <v>-</v>
      </c>
      <c r="AF74" s="9" t="s">
        <v>0</v>
      </c>
      <c r="AG74" s="9" t="s">
        <v>0</v>
      </c>
      <c r="AH74" s="9" t="s">
        <v>0</v>
      </c>
      <c r="AI74" s="9" t="s">
        <v>0</v>
      </c>
      <c r="AJ74" s="43" t="s">
        <v>0</v>
      </c>
      <c r="AK74" s="9" t="s">
        <v>0</v>
      </c>
      <c r="AL74" s="43" t="s">
        <v>0</v>
      </c>
      <c r="AM74" s="9" t="s">
        <v>0</v>
      </c>
      <c r="AN74" s="43" t="s">
        <v>0</v>
      </c>
      <c r="AO74" s="9" t="s">
        <v>0</v>
      </c>
      <c r="AP74" s="43" t="s">
        <v>0</v>
      </c>
      <c r="AQ74" s="43" t="s">
        <v>0</v>
      </c>
      <c r="AR74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74" s="9" t="str">
        <f t="shared" si="150"/>
        <v>-</v>
      </c>
      <c r="AT74" s="9">
        <f>IF(RIGHT(TKA[[#This Row],[Device type]],7)="Winding","-",TKA[[#This Row],[Cont Winter MVA]])</f>
        <v>12.00311209645232</v>
      </c>
      <c r="AU74" s="9">
        <f>IF(RIGHT(TKA[[#This Row],[Device type]],7)="Winding","-",TKA[[#This Row],[Cont Shoulder MVA]])</f>
        <v>12.00311209645232</v>
      </c>
      <c r="AV74" s="9">
        <f>IF(RIGHT(TKA[[#This Row],[Device type]],7)="Winding","-",TKA[[#This Row],[Cont Summer MVA]])</f>
        <v>12.00311209645232</v>
      </c>
      <c r="AW74" s="9" t="str">
        <f>TKA[[#This Row],[24 Hr Winter MVA]]</f>
        <v>-</v>
      </c>
      <c r="AX74" s="9" t="str">
        <f>TKA[[#This Row],[24 Hr Summer MVA]]</f>
        <v>-</v>
      </c>
      <c r="AY74" s="9" t="str">
        <f>TKA[[#This Row],[Forwards MVA]]</f>
        <v>-</v>
      </c>
      <c r="AZ74" s="9" t="str">
        <f>TKA[[#This Row],[Relay MVA]]</f>
        <v>-</v>
      </c>
      <c r="BA74" s="9" t="str">
        <f>TKA[[#This Row],[CT MVA]]</f>
        <v>-</v>
      </c>
      <c r="BB74" s="9" t="str">
        <f>TKA[[#This Row],[Derating MVA]]</f>
        <v>-</v>
      </c>
      <c r="BC74" s="9" t="str">
        <f>TKA[[#This Row],[Station/Feeder]]&amp;TKA[[#This Row],[Lowest MVA]]</f>
        <v>M159_Village12.0031120964523</v>
      </c>
      <c r="BD74" s="9" t="str">
        <f>CONCATENATE(TKA[[#This Row],[Supply Level]],TKA[[#This Row],[Station/Feeder]],TKA[[#This Row],[Voltage]],TKA[[#This Row],[Lowest A-No PTX]])</f>
        <v>DistributionFeederM159_Village11630</v>
      </c>
      <c r="BE74" s="9" t="str">
        <f>CONCATENATE(TKA[[#This Row],[Supply Level]],TKA[[#This Row],[Station/Feeder]],TKA[[#This Row],[Voltage]],TKA[[#This Row],[Lowest A-PTX]])</f>
        <v>DistributionFeederM159_Village11630</v>
      </c>
      <c r="BF74" s="9">
        <f>IF(MIN(TKA[[#This Row],[Summ Cont Winter A]]:TKA[[#This Row],[Cable Derating]])=0,"",MIN(TKA[[#This Row],[Summ Cont Winter A]]:TKA[[#This Row],[Cable Derating]]))</f>
        <v>12.00311209645232</v>
      </c>
      <c r="BG74" s="9">
        <f>IFERROR(TKA[[#This Row],[Lowest MVA]]*1000/(TKA[[#This Row],[Voltage]]*SQRT(3)),"")</f>
        <v>630</v>
      </c>
      <c r="BH74" s="9">
        <f t="shared" si="151"/>
        <v>630</v>
      </c>
      <c r="BI74" s="9" t="str">
        <f>TKA[[#This Row],[From]]</f>
        <v>M159</v>
      </c>
      <c r="BJ74" s="9" t="str">
        <f>TKA[[#This Row],[To]]</f>
        <v>M160</v>
      </c>
      <c r="BK74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RMU Switch-M363</v>
      </c>
      <c r="BL74" s="9">
        <f>TKA[[#This Row],[Voltage]]</f>
        <v>11</v>
      </c>
    </row>
    <row r="75" spans="1:64" s="1" customFormat="1" ht="15" customHeight="1" x14ac:dyDescent="0.25">
      <c r="A75" s="6" t="str">
        <f>CONCATENATE(TKA[[#This Row],[Supply Level]],TKA[[#This Row],[Station/Feeder]],TKA[[#This Row],[Voltage]])</f>
        <v>DistributionFeederM159_Village11</v>
      </c>
      <c r="B75" s="6" t="str">
        <f>CONCATENATE(TKA[[#This Row],[Supply Level]],TKA[[#This Row],[Station/Feeder]],TKA[[#This Row],[Equipment ID]],TKA[[#This Row],[Voltage]],TKA[[#This Row],[Device type]])</f>
        <v>DistributionFeederM159_Village3-1c 185 mm² AL XLPE11-</v>
      </c>
      <c r="C75" s="6" t="s">
        <v>1276</v>
      </c>
      <c r="D75" s="6" t="s">
        <v>178</v>
      </c>
      <c r="E75" s="7" t="s">
        <v>416</v>
      </c>
      <c r="F75" s="7" t="s">
        <v>415</v>
      </c>
      <c r="G75" s="57">
        <v>3</v>
      </c>
      <c r="H75" s="46" t="s">
        <v>276</v>
      </c>
      <c r="I75" s="46" t="s">
        <v>561</v>
      </c>
      <c r="J75" s="46" t="s">
        <v>250</v>
      </c>
      <c r="K75" s="46" t="s">
        <v>0</v>
      </c>
      <c r="L75" s="46" t="s">
        <v>0</v>
      </c>
      <c r="M75" s="57">
        <v>11</v>
      </c>
      <c r="N75" s="9">
        <v>326</v>
      </c>
      <c r="O75" s="9">
        <f t="shared" si="141"/>
        <v>6.2111341959419937</v>
      </c>
      <c r="P75" s="9">
        <v>326</v>
      </c>
      <c r="Q75" s="9">
        <f t="shared" si="142"/>
        <v>6.2111341959419937</v>
      </c>
      <c r="R75" s="9">
        <v>326</v>
      </c>
      <c r="S75" s="9">
        <f t="shared" si="143"/>
        <v>6.2111341959419937</v>
      </c>
      <c r="T75" s="9" t="s">
        <v>0</v>
      </c>
      <c r="U75" s="9" t="str">
        <f t="shared" si="144"/>
        <v>-</v>
      </c>
      <c r="V75" s="9" t="s">
        <v>0</v>
      </c>
      <c r="W75" s="9" t="str">
        <f t="shared" si="145"/>
        <v>-</v>
      </c>
      <c r="X75" s="9" t="s">
        <v>0</v>
      </c>
      <c r="Y75" s="9" t="str">
        <f t="shared" si="146"/>
        <v>-</v>
      </c>
      <c r="Z75" s="9" t="s">
        <v>0</v>
      </c>
      <c r="AA75" s="9" t="str">
        <f t="shared" si="147"/>
        <v>-</v>
      </c>
      <c r="AB75" s="9" t="s">
        <v>0</v>
      </c>
      <c r="AC75" s="9" t="str">
        <f t="shared" si="148"/>
        <v>-</v>
      </c>
      <c r="AD75" s="9" t="s">
        <v>0</v>
      </c>
      <c r="AE75" s="9" t="str">
        <f t="shared" si="149"/>
        <v>-</v>
      </c>
      <c r="AF75" s="9">
        <v>1</v>
      </c>
      <c r="AG75" s="9" t="s">
        <v>265</v>
      </c>
      <c r="AH75" s="9">
        <f>7.4+12.1</f>
        <v>19.5</v>
      </c>
      <c r="AI75" s="9">
        <v>1</v>
      </c>
      <c r="AJ75" s="43">
        <v>0.98</v>
      </c>
      <c r="AK75" s="9">
        <v>15</v>
      </c>
      <c r="AL75" s="43">
        <v>1</v>
      </c>
      <c r="AM75" s="9">
        <v>1.2</v>
      </c>
      <c r="AN75" s="43">
        <v>1</v>
      </c>
      <c r="AO75" s="9">
        <v>2</v>
      </c>
      <c r="AP75" s="43">
        <v>0.6</v>
      </c>
      <c r="AQ75" s="43">
        <v>0.9</v>
      </c>
      <c r="AR75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287.53199999999998</v>
      </c>
      <c r="AS75" s="9">
        <f t="shared" si="150"/>
        <v>5.4782203608208384</v>
      </c>
      <c r="AT75" s="9">
        <f>IF(RIGHT(TKA[[#This Row],[Device type]],7)="Winding","-",TKA[[#This Row],[Cont Winter MVA]])</f>
        <v>6.2111341959419937</v>
      </c>
      <c r="AU75" s="9">
        <f>IF(RIGHT(TKA[[#This Row],[Device type]],7)="Winding","-",TKA[[#This Row],[Cont Shoulder MVA]])</f>
        <v>6.2111341959419937</v>
      </c>
      <c r="AV75" s="9">
        <f>IF(RIGHT(TKA[[#This Row],[Device type]],7)="Winding","-",TKA[[#This Row],[Cont Summer MVA]])</f>
        <v>6.2111341959419937</v>
      </c>
      <c r="AW75" s="9" t="str">
        <f>TKA[[#This Row],[24 Hr Winter MVA]]</f>
        <v>-</v>
      </c>
      <c r="AX75" s="9" t="str">
        <f>TKA[[#This Row],[24 Hr Summer MVA]]</f>
        <v>-</v>
      </c>
      <c r="AY75" s="9" t="str">
        <f>TKA[[#This Row],[Forwards MVA]]</f>
        <v>-</v>
      </c>
      <c r="AZ75" s="9" t="str">
        <f>TKA[[#This Row],[Relay MVA]]</f>
        <v>-</v>
      </c>
      <c r="BA75" s="9" t="str">
        <f>TKA[[#This Row],[CT MVA]]</f>
        <v>-</v>
      </c>
      <c r="BB75" s="9">
        <f>TKA[[#This Row],[Derating MVA]]</f>
        <v>5.4782203608208384</v>
      </c>
      <c r="BC75" s="9" t="str">
        <f>TKA[[#This Row],[Station/Feeder]]&amp;TKA[[#This Row],[Lowest MVA]]</f>
        <v>M159_Village5.47822036082084</v>
      </c>
      <c r="BD75" s="9" t="str">
        <f>CONCATENATE(TKA[[#This Row],[Supply Level]],TKA[[#This Row],[Station/Feeder]],TKA[[#This Row],[Voltage]],TKA[[#This Row],[Lowest A-No PTX]])</f>
        <v>DistributionFeederM159_Village11287.532</v>
      </c>
      <c r="BE75" s="9" t="str">
        <f>CONCATENATE(TKA[[#This Row],[Supply Level]],TKA[[#This Row],[Station/Feeder]],TKA[[#This Row],[Voltage]],TKA[[#This Row],[Lowest A-PTX]])</f>
        <v>DistributionFeederM159_Village11287.532</v>
      </c>
      <c r="BF75" s="9">
        <f>IF(MIN(TKA[[#This Row],[Summ Cont Winter A]]:TKA[[#This Row],[Cable Derating]])=0,"",MIN(TKA[[#This Row],[Summ Cont Winter A]]:TKA[[#This Row],[Cable Derating]]))</f>
        <v>5.4782203608208384</v>
      </c>
      <c r="BG75" s="9">
        <f>IFERROR(TKA[[#This Row],[Lowest MVA]]*1000/(TKA[[#This Row],[Voltage]]*SQRT(3)),"")</f>
        <v>287.53199999999998</v>
      </c>
      <c r="BH75" s="9">
        <f t="shared" si="151"/>
        <v>287.53199999999998</v>
      </c>
      <c r="BI75" s="9" t="str">
        <f>TKA[[#This Row],[From]]</f>
        <v>M159</v>
      </c>
      <c r="BJ75" s="9" t="str">
        <f>TKA[[#This Row],[To]]</f>
        <v>M160</v>
      </c>
      <c r="BK75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Cable-3-1c 185 mm² AL XLPE</v>
      </c>
      <c r="BL75" s="9">
        <f>TKA[[#This Row],[Voltage]]</f>
        <v>11</v>
      </c>
    </row>
    <row r="76" spans="1:64" s="1" customFormat="1" ht="15" customHeight="1" thickBot="1" x14ac:dyDescent="0.3">
      <c r="A76" s="191" t="str">
        <f>CONCATENATE(TKA[[#This Row],[Supply Level]],TKA[[#This Row],[Station/Feeder]],TKA[[#This Row],[Voltage]])</f>
        <v>DistributionFeederM159_Village11</v>
      </c>
      <c r="B76" s="191" t="str">
        <f>CONCATENATE(TKA[[#This Row],[Supply Level]],TKA[[#This Row],[Station/Feeder]],TKA[[#This Row],[Equipment ID]],TKA[[#This Row],[Voltage]],TKA[[#This Row],[Device type]])</f>
        <v>DistributionFeederM159_Village1-3c 150 mm² Al PILC11-</v>
      </c>
      <c r="C76" s="191" t="s">
        <v>1276</v>
      </c>
      <c r="D76" s="191" t="s">
        <v>178</v>
      </c>
      <c r="E76" s="193" t="s">
        <v>416</v>
      </c>
      <c r="F76" s="193" t="s">
        <v>415</v>
      </c>
      <c r="G76" s="197">
        <v>4</v>
      </c>
      <c r="H76" s="196" t="s">
        <v>276</v>
      </c>
      <c r="I76" s="196" t="s">
        <v>568</v>
      </c>
      <c r="J76" s="196" t="s">
        <v>250</v>
      </c>
      <c r="K76" s="196" t="s">
        <v>0</v>
      </c>
      <c r="L76" s="196" t="s">
        <v>0</v>
      </c>
      <c r="M76" s="197">
        <v>11</v>
      </c>
      <c r="N76" s="155">
        <v>265</v>
      </c>
      <c r="O76" s="155">
        <f t="shared" si="141"/>
        <v>5.0489281040632772</v>
      </c>
      <c r="P76" s="155">
        <v>265</v>
      </c>
      <c r="Q76" s="155">
        <f t="shared" si="142"/>
        <v>5.0489281040632772</v>
      </c>
      <c r="R76" s="155">
        <v>265</v>
      </c>
      <c r="S76" s="155">
        <f t="shared" si="143"/>
        <v>5.0489281040632772</v>
      </c>
      <c r="T76" s="155" t="s">
        <v>0</v>
      </c>
      <c r="U76" s="155" t="str">
        <f t="shared" si="144"/>
        <v>-</v>
      </c>
      <c r="V76" s="155" t="s">
        <v>0</v>
      </c>
      <c r="W76" s="155" t="str">
        <f t="shared" si="145"/>
        <v>-</v>
      </c>
      <c r="X76" s="155" t="s">
        <v>0</v>
      </c>
      <c r="Y76" s="155" t="str">
        <f t="shared" si="146"/>
        <v>-</v>
      </c>
      <c r="Z76" s="155" t="s">
        <v>0</v>
      </c>
      <c r="AA76" s="155" t="str">
        <f t="shared" si="147"/>
        <v>-</v>
      </c>
      <c r="AB76" s="155" t="s">
        <v>0</v>
      </c>
      <c r="AC76" s="155" t="str">
        <f t="shared" si="148"/>
        <v>-</v>
      </c>
      <c r="AD76" s="155" t="s">
        <v>0</v>
      </c>
      <c r="AE76" s="155" t="str">
        <f t="shared" si="149"/>
        <v>-</v>
      </c>
      <c r="AF76" s="155">
        <v>3</v>
      </c>
      <c r="AG76" s="155" t="s">
        <v>265</v>
      </c>
      <c r="AH76" s="155">
        <v>3586.8</v>
      </c>
      <c r="AI76" s="155">
        <v>1</v>
      </c>
      <c r="AJ76" s="175">
        <v>0.98</v>
      </c>
      <c r="AK76" s="155">
        <v>15</v>
      </c>
      <c r="AL76" s="175">
        <v>1</v>
      </c>
      <c r="AM76" s="155">
        <v>1.2</v>
      </c>
      <c r="AN76" s="175">
        <v>1</v>
      </c>
      <c r="AO76" s="155">
        <v>2</v>
      </c>
      <c r="AP76" s="175">
        <v>0.92</v>
      </c>
      <c r="AQ76" s="175">
        <v>1</v>
      </c>
      <c r="AR76" s="155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259.7</v>
      </c>
      <c r="AS76" s="155">
        <f t="shared" si="150"/>
        <v>4.9479495419820116</v>
      </c>
      <c r="AT76" s="155">
        <f>IF(RIGHT(TKA[[#This Row],[Device type]],7)="Winding","-",TKA[[#This Row],[Cont Winter MVA]])</f>
        <v>5.0489281040632772</v>
      </c>
      <c r="AU76" s="155">
        <f>IF(RIGHT(TKA[[#This Row],[Device type]],7)="Winding","-",TKA[[#This Row],[Cont Shoulder MVA]])</f>
        <v>5.0489281040632772</v>
      </c>
      <c r="AV76" s="155">
        <f>IF(RIGHT(TKA[[#This Row],[Device type]],7)="Winding","-",TKA[[#This Row],[Cont Summer MVA]])</f>
        <v>5.0489281040632772</v>
      </c>
      <c r="AW76" s="155" t="str">
        <f>TKA[[#This Row],[24 Hr Winter MVA]]</f>
        <v>-</v>
      </c>
      <c r="AX76" s="155" t="str">
        <f>TKA[[#This Row],[24 Hr Summer MVA]]</f>
        <v>-</v>
      </c>
      <c r="AY76" s="155" t="str">
        <f>TKA[[#This Row],[Forwards MVA]]</f>
        <v>-</v>
      </c>
      <c r="AZ76" s="155" t="str">
        <f>TKA[[#This Row],[Relay MVA]]</f>
        <v>-</v>
      </c>
      <c r="BA76" s="155" t="str">
        <f>TKA[[#This Row],[CT MVA]]</f>
        <v>-</v>
      </c>
      <c r="BB76" s="155">
        <f>TKA[[#This Row],[Derating MVA]]</f>
        <v>4.9479495419820116</v>
      </c>
      <c r="BC76" s="155" t="str">
        <f>TKA[[#This Row],[Station/Feeder]]&amp;TKA[[#This Row],[Lowest MVA]]</f>
        <v>M159_Village4.94794954198201</v>
      </c>
      <c r="BD76" s="155" t="str">
        <f>CONCATENATE(TKA[[#This Row],[Supply Level]],TKA[[#This Row],[Station/Feeder]],TKA[[#This Row],[Voltage]],TKA[[#This Row],[Lowest A-No PTX]])</f>
        <v>DistributionFeederM159_Village11259.7</v>
      </c>
      <c r="BE76" s="155" t="str">
        <f>CONCATENATE(TKA[[#This Row],[Supply Level]],TKA[[#This Row],[Station/Feeder]],TKA[[#This Row],[Voltage]],TKA[[#This Row],[Lowest A-PTX]])</f>
        <v>DistributionFeederM159_Village11259.7</v>
      </c>
      <c r="BF76" s="155">
        <f>IF(MIN(TKA[[#This Row],[Summ Cont Winter A]]:TKA[[#This Row],[Cable Derating]])=0,"",MIN(TKA[[#This Row],[Summ Cont Winter A]]:TKA[[#This Row],[Cable Derating]]))</f>
        <v>4.9479495419820116</v>
      </c>
      <c r="BG76" s="155">
        <f>IFERROR(TKA[[#This Row],[Lowest MVA]]*1000/(TKA[[#This Row],[Voltage]]*SQRT(3)),"")</f>
        <v>259.7</v>
      </c>
      <c r="BH76" s="155">
        <f t="shared" si="151"/>
        <v>259.7</v>
      </c>
      <c r="BI76" s="155" t="str">
        <f>TKA[[#This Row],[From]]</f>
        <v>M159</v>
      </c>
      <c r="BJ76" s="155" t="str">
        <f>TKA[[#This Row],[To]]</f>
        <v>M160</v>
      </c>
      <c r="BK76" s="19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Cable-1-3c 150 mm² Al PILC</v>
      </c>
      <c r="BL76" s="155">
        <f>TKA[[#This Row],[Voltage]]</f>
        <v>11</v>
      </c>
    </row>
    <row r="77" spans="1:64" s="1" customFormat="1" ht="15" customHeight="1" x14ac:dyDescent="0.25">
      <c r="A77" s="3" t="str">
        <f>CONCATENATE(TKA[[#This Row],[Supply Level]],TKA[[#This Row],[Station/Feeder]],TKA[[#This Row],[Voltage]])</f>
        <v>ZoneSubstationTEK33</v>
      </c>
      <c r="B77" s="3" t="str">
        <f>CONCATENATE(TKA[[#This Row],[Supply Level]],TKA[[#This Row],[Station/Feeder]],TKA[[#This Row],[Equipment ID]],TKA[[#This Row],[Voltage]],TKA[[#This Row],[Device type]])</f>
        <v>ZoneSubstationTEKUnknown Line33-</v>
      </c>
      <c r="C77" s="3" t="s">
        <v>1246</v>
      </c>
      <c r="D77" s="3" t="s">
        <v>83</v>
      </c>
      <c r="E77" s="38" t="s">
        <v>384</v>
      </c>
      <c r="F77" s="38" t="s">
        <v>243</v>
      </c>
      <c r="G77" s="61">
        <v>1</v>
      </c>
      <c r="H77" s="38" t="s">
        <v>1289</v>
      </c>
      <c r="I77" s="38" t="s">
        <v>388</v>
      </c>
      <c r="J77" s="38" t="s">
        <v>69</v>
      </c>
      <c r="K77" s="38" t="s">
        <v>0</v>
      </c>
      <c r="L77" s="38" t="s">
        <v>0</v>
      </c>
      <c r="M77" s="61">
        <v>33</v>
      </c>
      <c r="N77" s="5" t="s">
        <v>0</v>
      </c>
      <c r="O77" s="5" t="str">
        <f t="shared" ref="O77:O118" si="152">IF(OR(N77="",N77="-"),"-",N77*$M77*SQRT(3)/1000)</f>
        <v>-</v>
      </c>
      <c r="P77" s="5" t="s">
        <v>0</v>
      </c>
      <c r="Q77" s="5" t="str">
        <f t="shared" ref="Q77:Q118" si="153">IF(OR(P77="",P77="-"),"-",P77*$M77*SQRT(3)/1000)</f>
        <v>-</v>
      </c>
      <c r="R77" s="5" t="s">
        <v>0</v>
      </c>
      <c r="S77" s="5" t="str">
        <f t="shared" ref="S77:S118" si="154">IF(OR(R77="",R77="-"),"-",R77*$M77*SQRT(3)/1000)</f>
        <v>-</v>
      </c>
      <c r="T77" s="5" t="s">
        <v>0</v>
      </c>
      <c r="U77" s="5" t="str">
        <f t="shared" ref="U77:U118" si="155">IF(OR(T77="",T77="-"),"-",T77*$M77*SQRT(3)/1000)</f>
        <v>-</v>
      </c>
      <c r="V77" s="5" t="s">
        <v>0</v>
      </c>
      <c r="W77" s="5" t="str">
        <f t="shared" ref="W77:W118" si="156">IF(OR(V77="",V77="-"),"-",V77*$M77*SQRT(3)/1000)</f>
        <v>-</v>
      </c>
      <c r="X77" s="5" t="s">
        <v>0</v>
      </c>
      <c r="Y77" s="5" t="str">
        <f t="shared" ref="Y77:Y118" si="157">IF(OR(X77="",X77="-"),"-",X77*$M77*SQRT(3)/1000)</f>
        <v>-</v>
      </c>
      <c r="Z77" s="5" t="s">
        <v>0</v>
      </c>
      <c r="AA77" s="5" t="str">
        <f t="shared" ref="AA77:AA118" si="158">IF(OR(Z77="",Z77="-"),"-",Z77*$M77*SQRT(3)/1000)</f>
        <v>-</v>
      </c>
      <c r="AB77" s="5" t="s">
        <v>0</v>
      </c>
      <c r="AC77" s="5" t="str">
        <f t="shared" ref="AC77:AC118" si="159">IF(OR(AB77="",AB77="-"),"-",AB77*$M77*SQRT(3)/1000)</f>
        <v>-</v>
      </c>
      <c r="AD77" s="5" t="s">
        <v>0</v>
      </c>
      <c r="AE77" s="5" t="str">
        <f t="shared" ref="AE77:AE118" si="160">IF(OR(AD77="",AD77="-"),"-",AD77*$M77*SQRT(3)/1000)</f>
        <v>-</v>
      </c>
      <c r="AF77" s="5" t="s">
        <v>0</v>
      </c>
      <c r="AG77" s="5" t="s">
        <v>0</v>
      </c>
      <c r="AH77" s="5">
        <v>2.2999999999999998</v>
      </c>
      <c r="AI77" s="5" t="s">
        <v>0</v>
      </c>
      <c r="AJ77" s="139" t="s">
        <v>0</v>
      </c>
      <c r="AK77" s="5" t="s">
        <v>0</v>
      </c>
      <c r="AL77" s="139" t="s">
        <v>0</v>
      </c>
      <c r="AM77" s="5" t="s">
        <v>0</v>
      </c>
      <c r="AN77" s="139" t="s">
        <v>0</v>
      </c>
      <c r="AO77" s="5" t="s">
        <v>0</v>
      </c>
      <c r="AP77" s="5" t="s">
        <v>0</v>
      </c>
      <c r="AQ77" s="139" t="s">
        <v>0</v>
      </c>
      <c r="AR77" s="5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77" s="5" t="str">
        <f t="shared" ref="AS77:AS118" si="161">IF(OR(AR77="",AR77="-"),"-",AR77*$M77*SQRT(3)/1000)</f>
        <v>-</v>
      </c>
      <c r="AT77" s="5" t="str">
        <f>IF(RIGHT(TKA[[#This Row],[Device type]],7)="Winding","-",TKA[[#This Row],[Cont Winter MVA]])</f>
        <v>-</v>
      </c>
      <c r="AU77" s="5" t="str">
        <f>IF(RIGHT(TKA[[#This Row],[Device type]],7)="Winding","-",TKA[[#This Row],[Cont Shoulder MVA]])</f>
        <v>-</v>
      </c>
      <c r="AV77" s="5" t="str">
        <f>IF(RIGHT(TKA[[#This Row],[Device type]],7)="Winding","-",TKA[[#This Row],[Cont Summer MVA]])</f>
        <v>-</v>
      </c>
      <c r="AW77" s="5" t="str">
        <f>TKA[[#This Row],[24 Hr Winter MVA]]</f>
        <v>-</v>
      </c>
      <c r="AX77" s="5" t="str">
        <f>TKA[[#This Row],[24 Hr Summer MVA]]</f>
        <v>-</v>
      </c>
      <c r="AY77" s="5" t="str">
        <f>TKA[[#This Row],[Forwards MVA]]</f>
        <v>-</v>
      </c>
      <c r="AZ77" s="5" t="str">
        <f>TKA[[#This Row],[Relay MVA]]</f>
        <v>-</v>
      </c>
      <c r="BA77" s="5" t="str">
        <f>TKA[[#This Row],[CT MVA]]</f>
        <v>-</v>
      </c>
      <c r="BB77" s="5" t="str">
        <f>TKA[[#This Row],[Derating MVA]]</f>
        <v>-</v>
      </c>
      <c r="BC77" s="5" t="str">
        <f>TKA[[#This Row],[Station/Feeder]]&amp;TKA[[#This Row],[Lowest MVA]]</f>
        <v>TEK</v>
      </c>
      <c r="BD77" s="5" t="str">
        <f>CONCATENATE(TKA[[#This Row],[Supply Level]],TKA[[#This Row],[Station/Feeder]],TKA[[#This Row],[Voltage]],TKA[[#This Row],[Lowest A-No PTX]])</f>
        <v>ZoneSubstationTEK33</v>
      </c>
      <c r="BE77" s="5" t="str">
        <f>CONCATENATE(TKA[[#This Row],[Supply Level]],TKA[[#This Row],[Station/Feeder]],TKA[[#This Row],[Voltage]],TKA[[#This Row],[Lowest A-PTX]])</f>
        <v>ZoneSubstationTEK33</v>
      </c>
      <c r="BF77" s="5" t="str">
        <f>IF(MIN(TKA[[#This Row],[Summ Cont Winter A]]:TKA[[#This Row],[Cable Derating]])=0,"",MIN(TKA[[#This Row],[Summ Cont Winter A]]:TKA[[#This Row],[Cable Derating]]))</f>
        <v/>
      </c>
      <c r="BG77" s="5" t="str">
        <f>IFERROR(TKA[[#This Row],[Lowest MVA]]*1000/(TKA[[#This Row],[Voltage]]*SQRT(3)),"")</f>
        <v/>
      </c>
      <c r="BH77" s="5" t="str">
        <f t="shared" ref="BH77:BH120" si="162">IF(MIN(N77,P77,R77,T77,V77,X77,Z77,AB77,AD77,AR77)=0,"",MIN(N77,P77,R77,T77,V77,X77,Z77,AB77,AD77,AR77))</f>
        <v/>
      </c>
      <c r="BI77" s="5" t="str">
        <f>TKA[[#This Row],[From]]</f>
        <v>M11 T-off</v>
      </c>
      <c r="BJ77" s="5" t="str">
        <f>TKA[[#This Row],[To]]</f>
        <v>11 kV Bus</v>
      </c>
      <c r="BK77" s="188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Line-Unknown Line</v>
      </c>
      <c r="BL77" s="5">
        <f>TKA[[#This Row],[Voltage]]</f>
        <v>33</v>
      </c>
    </row>
    <row r="78" spans="1:64" s="1" customFormat="1" ht="15" customHeight="1" x14ac:dyDescent="0.25">
      <c r="A78" s="6" t="str">
        <f>CONCATENATE(TKA[[#This Row],[Supply Level]],TKA[[#This Row],[Station/Feeder]],TKA[[#This Row],[Voltage]])</f>
        <v>ZoneSubstationTEK33</v>
      </c>
      <c r="B78" s="6" t="str">
        <f>CONCATENATE(TKA[[#This Row],[Supply Level]],TKA[[#This Row],[Station/Feeder]],TKA[[#This Row],[Equipment ID]],TKA[[#This Row],[Voltage]],TKA[[#This Row],[Device type]])</f>
        <v>ZoneSubstationTEKM16633-</v>
      </c>
      <c r="C78" s="6" t="s">
        <v>1246</v>
      </c>
      <c r="D78" s="6" t="s">
        <v>83</v>
      </c>
      <c r="E78" s="7" t="s">
        <v>384</v>
      </c>
      <c r="F78" s="7" t="s">
        <v>243</v>
      </c>
      <c r="G78" s="57">
        <v>2</v>
      </c>
      <c r="H78" s="7" t="s">
        <v>273</v>
      </c>
      <c r="I78" s="7" t="s">
        <v>389</v>
      </c>
      <c r="J78" s="7" t="s">
        <v>240</v>
      </c>
      <c r="K78" s="7" t="s">
        <v>0</v>
      </c>
      <c r="L78" s="7" t="s">
        <v>0</v>
      </c>
      <c r="M78" s="57">
        <v>33</v>
      </c>
      <c r="N78" s="9" t="s">
        <v>0</v>
      </c>
      <c r="O78" s="9" t="str">
        <f t="shared" si="152"/>
        <v>-</v>
      </c>
      <c r="P78" s="9" t="s">
        <v>0</v>
      </c>
      <c r="Q78" s="9" t="str">
        <f t="shared" si="153"/>
        <v>-</v>
      </c>
      <c r="R78" s="9" t="s">
        <v>0</v>
      </c>
      <c r="S78" s="9" t="str">
        <f t="shared" si="154"/>
        <v>-</v>
      </c>
      <c r="T78" s="9" t="s">
        <v>0</v>
      </c>
      <c r="U78" s="9" t="str">
        <f t="shared" si="155"/>
        <v>-</v>
      </c>
      <c r="V78" s="9" t="s">
        <v>0</v>
      </c>
      <c r="W78" s="9" t="str">
        <f t="shared" si="156"/>
        <v>-</v>
      </c>
      <c r="X78" s="9" t="s">
        <v>0</v>
      </c>
      <c r="Y78" s="9" t="str">
        <f t="shared" si="157"/>
        <v>-</v>
      </c>
      <c r="Z78" s="9" t="s">
        <v>0</v>
      </c>
      <c r="AA78" s="9" t="str">
        <f t="shared" si="158"/>
        <v>-</v>
      </c>
      <c r="AB78" s="9" t="s">
        <v>0</v>
      </c>
      <c r="AC78" s="9" t="str">
        <f t="shared" si="159"/>
        <v>-</v>
      </c>
      <c r="AD78" s="9" t="s">
        <v>0</v>
      </c>
      <c r="AE78" s="9" t="str">
        <f t="shared" si="160"/>
        <v>-</v>
      </c>
      <c r="AF78" s="9" t="s">
        <v>0</v>
      </c>
      <c r="AG78" s="9" t="s">
        <v>0</v>
      </c>
      <c r="AH78" s="9" t="s">
        <v>0</v>
      </c>
      <c r="AI78" s="9" t="s">
        <v>0</v>
      </c>
      <c r="AJ78" s="43" t="s">
        <v>0</v>
      </c>
      <c r="AK78" s="9" t="s">
        <v>0</v>
      </c>
      <c r="AL78" s="43" t="s">
        <v>0</v>
      </c>
      <c r="AM78" s="9" t="s">
        <v>0</v>
      </c>
      <c r="AN78" s="43" t="s">
        <v>0</v>
      </c>
      <c r="AO78" s="9" t="s">
        <v>0</v>
      </c>
      <c r="AP78" s="9" t="s">
        <v>0</v>
      </c>
      <c r="AQ78" s="43" t="s">
        <v>0</v>
      </c>
      <c r="AR78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78" s="9" t="str">
        <f t="shared" si="161"/>
        <v>-</v>
      </c>
      <c r="AT78" s="9" t="str">
        <f>IF(RIGHT(TKA[[#This Row],[Device type]],7)="Winding","-",TKA[[#This Row],[Cont Winter MVA]])</f>
        <v>-</v>
      </c>
      <c r="AU78" s="9" t="str">
        <f>IF(RIGHT(TKA[[#This Row],[Device type]],7)="Winding","-",TKA[[#This Row],[Cont Shoulder MVA]])</f>
        <v>-</v>
      </c>
      <c r="AV78" s="9" t="str">
        <f>IF(RIGHT(TKA[[#This Row],[Device type]],7)="Winding","-",TKA[[#This Row],[Cont Summer MVA]])</f>
        <v>-</v>
      </c>
      <c r="AW78" s="9" t="str">
        <f>TKA[[#This Row],[24 Hr Winter MVA]]</f>
        <v>-</v>
      </c>
      <c r="AX78" s="9" t="str">
        <f>TKA[[#This Row],[24 Hr Summer MVA]]</f>
        <v>-</v>
      </c>
      <c r="AY78" s="9" t="str">
        <f>TKA[[#This Row],[Forwards MVA]]</f>
        <v>-</v>
      </c>
      <c r="AZ78" s="9" t="str">
        <f>TKA[[#This Row],[Relay MVA]]</f>
        <v>-</v>
      </c>
      <c r="BA78" s="9" t="str">
        <f>TKA[[#This Row],[CT MVA]]</f>
        <v>-</v>
      </c>
      <c r="BB78" s="9" t="str">
        <f>TKA[[#This Row],[Derating MVA]]</f>
        <v>-</v>
      </c>
      <c r="BC78" s="9" t="str">
        <f>TKA[[#This Row],[Station/Feeder]]&amp;TKA[[#This Row],[Lowest MVA]]</f>
        <v>TEK</v>
      </c>
      <c r="BD78" s="9" t="str">
        <f>CONCATENATE(TKA[[#This Row],[Supply Level]],TKA[[#This Row],[Station/Feeder]],TKA[[#This Row],[Voltage]],TKA[[#This Row],[Lowest A-No PTX]])</f>
        <v>ZoneSubstationTEK33</v>
      </c>
      <c r="BE78" s="9" t="str">
        <f>CONCATENATE(TKA[[#This Row],[Supply Level]],TKA[[#This Row],[Station/Feeder]],TKA[[#This Row],[Voltage]],TKA[[#This Row],[Lowest A-PTX]])</f>
        <v>ZoneSubstationTEK33</v>
      </c>
      <c r="BF78" s="9" t="str">
        <f>IF(MIN(TKA[[#This Row],[Summ Cont Winter A]]:TKA[[#This Row],[Cable Derating]])=0,"",MIN(TKA[[#This Row],[Summ Cont Winter A]]:TKA[[#This Row],[Cable Derating]]))</f>
        <v/>
      </c>
      <c r="BG78" s="9" t="str">
        <f>IFERROR(TKA[[#This Row],[Lowest MVA]]*1000/(TKA[[#This Row],[Voltage]]*SQRT(3)),"")</f>
        <v/>
      </c>
      <c r="BH78" s="9" t="str">
        <f t="shared" si="162"/>
        <v/>
      </c>
      <c r="BI78" s="9" t="str">
        <f>TKA[[#This Row],[From]]</f>
        <v>M11 T-off</v>
      </c>
      <c r="BJ78" s="9" t="str">
        <f>TKA[[#This Row],[To]]</f>
        <v>11 kV Bus</v>
      </c>
      <c r="BK78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ABS-M166</v>
      </c>
      <c r="BL78" s="9">
        <f>TKA[[#This Row],[Voltage]]</f>
        <v>33</v>
      </c>
    </row>
    <row r="79" spans="1:64" s="1" customFormat="1" ht="15" customHeight="1" x14ac:dyDescent="0.25">
      <c r="A79" s="6" t="str">
        <f>CONCATENATE(TKA[[#This Row],[Supply Level]],TKA[[#This Row],[Station/Feeder]],TKA[[#This Row],[Voltage]])</f>
        <v>ZoneSubstationTEK33</v>
      </c>
      <c r="B79" s="6" t="str">
        <f>CONCATENATE(TKA[[#This Row],[Supply Level]],TKA[[#This Row],[Station/Feeder]],TKA[[#This Row],[Equipment ID]],TKA[[#This Row],[Voltage]],TKA[[#This Row],[Device type]])</f>
        <v>ZoneSubstationTEKTEK-M16733Protection</v>
      </c>
      <c r="C79" s="6" t="s">
        <v>1246</v>
      </c>
      <c r="D79" s="6" t="s">
        <v>83</v>
      </c>
      <c r="E79" s="7" t="s">
        <v>384</v>
      </c>
      <c r="F79" s="7" t="s">
        <v>243</v>
      </c>
      <c r="G79" s="57">
        <v>3</v>
      </c>
      <c r="H79" s="46" t="s">
        <v>343</v>
      </c>
      <c r="I79" s="7" t="s">
        <v>2427</v>
      </c>
      <c r="J79" s="7" t="s">
        <v>15</v>
      </c>
      <c r="K79" s="7" t="s">
        <v>792</v>
      </c>
      <c r="L79" s="7" t="s">
        <v>1423</v>
      </c>
      <c r="M79" s="57">
        <v>33</v>
      </c>
      <c r="N79" s="9">
        <v>2000</v>
      </c>
      <c r="O79" s="9">
        <f t="shared" si="152"/>
        <v>114.31535329954589</v>
      </c>
      <c r="P79" s="9">
        <v>2000</v>
      </c>
      <c r="Q79" s="9">
        <f t="shared" si="153"/>
        <v>114.31535329954589</v>
      </c>
      <c r="R79" s="9">
        <v>2000</v>
      </c>
      <c r="S79" s="9">
        <f t="shared" si="154"/>
        <v>114.31535329954589</v>
      </c>
      <c r="T79" s="9" t="s">
        <v>0</v>
      </c>
      <c r="U79" s="9" t="str">
        <f t="shared" si="155"/>
        <v>-</v>
      </c>
      <c r="V79" s="9" t="s">
        <v>0</v>
      </c>
      <c r="W79" s="9" t="str">
        <f t="shared" si="156"/>
        <v>-</v>
      </c>
      <c r="X79" s="9">
        <f>VLOOKUP(TKA[[#This Row],[Equipment ID]],AEL_Protection_Data[#All],12,0)</f>
        <v>150</v>
      </c>
      <c r="Y79" s="9">
        <f t="shared" si="157"/>
        <v>8.5736514974659421</v>
      </c>
      <c r="Z79" s="9" t="s">
        <v>0</v>
      </c>
      <c r="AA79" s="9" t="str">
        <f t="shared" si="158"/>
        <v>-</v>
      </c>
      <c r="AB79" s="9" t="s">
        <v>0</v>
      </c>
      <c r="AC79" s="9" t="str">
        <f t="shared" si="159"/>
        <v>-</v>
      </c>
      <c r="AD79" s="9">
        <v>200</v>
      </c>
      <c r="AE79" s="9">
        <f t="shared" si="160"/>
        <v>11.43153532995459</v>
      </c>
      <c r="AF79" s="9" t="s">
        <v>0</v>
      </c>
      <c r="AG79" s="9" t="s">
        <v>0</v>
      </c>
      <c r="AH79" s="9" t="s">
        <v>0</v>
      </c>
      <c r="AI79" s="9" t="s">
        <v>0</v>
      </c>
      <c r="AJ79" s="43" t="s">
        <v>0</v>
      </c>
      <c r="AK79" s="9" t="s">
        <v>0</v>
      </c>
      <c r="AL79" s="43" t="s">
        <v>0</v>
      </c>
      <c r="AM79" s="9" t="s">
        <v>0</v>
      </c>
      <c r="AN79" s="43" t="s">
        <v>0</v>
      </c>
      <c r="AO79" s="9" t="s">
        <v>0</v>
      </c>
      <c r="AP79" s="9" t="s">
        <v>0</v>
      </c>
      <c r="AQ79" s="43" t="s">
        <v>0</v>
      </c>
      <c r="AR79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79" s="9" t="str">
        <f t="shared" si="161"/>
        <v>-</v>
      </c>
      <c r="AT79" s="9">
        <f>IF(RIGHT(TKA[[#This Row],[Device type]],7)="Winding","-",TKA[[#This Row],[Cont Winter MVA]])</f>
        <v>114.31535329954589</v>
      </c>
      <c r="AU79" s="9">
        <f>IF(RIGHT(TKA[[#This Row],[Device type]],7)="Winding","-",TKA[[#This Row],[Cont Shoulder MVA]])</f>
        <v>114.31535329954589</v>
      </c>
      <c r="AV79" s="9">
        <f>IF(RIGHT(TKA[[#This Row],[Device type]],7)="Winding","-",TKA[[#This Row],[Cont Summer MVA]])</f>
        <v>114.31535329954589</v>
      </c>
      <c r="AW79" s="9" t="str">
        <f>TKA[[#This Row],[24 Hr Winter MVA]]</f>
        <v>-</v>
      </c>
      <c r="AX79" s="9" t="str">
        <f>TKA[[#This Row],[24 Hr Summer MVA]]</f>
        <v>-</v>
      </c>
      <c r="AY79" s="9">
        <f>TKA[[#This Row],[Forwards MVA]]</f>
        <v>8.5736514974659421</v>
      </c>
      <c r="AZ79" s="9" t="str">
        <f>TKA[[#This Row],[Relay MVA]]</f>
        <v>-</v>
      </c>
      <c r="BA79" s="9">
        <f>TKA[[#This Row],[CT MVA]]</f>
        <v>11.43153532995459</v>
      </c>
      <c r="BB79" s="9" t="str">
        <f>TKA[[#This Row],[Derating MVA]]</f>
        <v>-</v>
      </c>
      <c r="BC79" s="9" t="str">
        <f>TKA[[#This Row],[Station/Feeder]]&amp;TKA[[#This Row],[Lowest MVA]]</f>
        <v>TEK8.57365149746594</v>
      </c>
      <c r="BD79" s="9" t="str">
        <f>CONCATENATE(TKA[[#This Row],[Supply Level]],TKA[[#This Row],[Station/Feeder]],TKA[[#This Row],[Voltage]],TKA[[#This Row],[Lowest A-No PTX]])</f>
        <v>ZoneSubstationTEK33150</v>
      </c>
      <c r="BE79" s="9" t="str">
        <f>CONCATENATE(TKA[[#This Row],[Supply Level]],TKA[[#This Row],[Station/Feeder]],TKA[[#This Row],[Voltage]],TKA[[#This Row],[Lowest A-PTX]])</f>
        <v>ZoneSubstationTEK33150</v>
      </c>
      <c r="BF79" s="9">
        <f>IF(MIN(TKA[[#This Row],[Summ Cont Winter A]]:TKA[[#This Row],[Cable Derating]])=0,"",MIN(TKA[[#This Row],[Summ Cont Winter A]]:TKA[[#This Row],[Cable Derating]]))</f>
        <v>8.5736514974659421</v>
      </c>
      <c r="BG79" s="9">
        <f>IFERROR(TKA[[#This Row],[Lowest MVA]]*1000/(TKA[[#This Row],[Voltage]]*SQRT(3)),"")</f>
        <v>150</v>
      </c>
      <c r="BH79" s="9">
        <f t="shared" si="162"/>
        <v>150</v>
      </c>
      <c r="BI79" s="9" t="str">
        <f>TKA[[#This Row],[From]]</f>
        <v>M11 T-off</v>
      </c>
      <c r="BJ79" s="9" t="str">
        <f>TKA[[#This Row],[To]]</f>
        <v>11 kV Bus</v>
      </c>
      <c r="BK79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Circuit Breaker-TEK-M167-Protection</v>
      </c>
      <c r="BL79" s="9">
        <f>TKA[[#This Row],[Voltage]]</f>
        <v>33</v>
      </c>
    </row>
    <row r="80" spans="1:64" s="1" customFormat="1" ht="15" customHeight="1" x14ac:dyDescent="0.25">
      <c r="A80" s="6" t="str">
        <f>CONCATENATE(TKA[[#This Row],[Supply Level]],TKA[[#This Row],[Station/Feeder]],TKA[[#This Row],[Voltage]])</f>
        <v>ZoneSubstationTEK33</v>
      </c>
      <c r="B80" s="6" t="str">
        <f>CONCATENATE(TKA[[#This Row],[Supply Level]],TKA[[#This Row],[Station/Feeder]],TKA[[#This Row],[Equipment ID]],TKA[[#This Row],[Voltage]],TKA[[#This Row],[Device type]])</f>
        <v>ZoneSubstationTEKM16833-</v>
      </c>
      <c r="C80" s="6" t="s">
        <v>1246</v>
      </c>
      <c r="D80" s="6" t="s">
        <v>83</v>
      </c>
      <c r="E80" s="7" t="s">
        <v>384</v>
      </c>
      <c r="F80" s="7" t="s">
        <v>243</v>
      </c>
      <c r="G80" s="57">
        <v>4</v>
      </c>
      <c r="H80" s="7" t="s">
        <v>273</v>
      </c>
      <c r="I80" s="7" t="s">
        <v>391</v>
      </c>
      <c r="J80" s="7" t="s">
        <v>240</v>
      </c>
      <c r="K80" s="7" t="s">
        <v>0</v>
      </c>
      <c r="L80" s="7" t="s">
        <v>0</v>
      </c>
      <c r="M80" s="57">
        <v>33</v>
      </c>
      <c r="N80" s="9" t="s">
        <v>0</v>
      </c>
      <c r="O80" s="9" t="str">
        <f t="shared" si="152"/>
        <v>-</v>
      </c>
      <c r="P80" s="9" t="s">
        <v>0</v>
      </c>
      <c r="Q80" s="9" t="str">
        <f t="shared" si="153"/>
        <v>-</v>
      </c>
      <c r="R80" s="9" t="s">
        <v>0</v>
      </c>
      <c r="S80" s="9" t="str">
        <f t="shared" si="154"/>
        <v>-</v>
      </c>
      <c r="T80" s="9" t="s">
        <v>0</v>
      </c>
      <c r="U80" s="9" t="str">
        <f t="shared" si="155"/>
        <v>-</v>
      </c>
      <c r="V80" s="9" t="s">
        <v>0</v>
      </c>
      <c r="W80" s="9" t="str">
        <f t="shared" si="156"/>
        <v>-</v>
      </c>
      <c r="X80" s="9" t="s">
        <v>0</v>
      </c>
      <c r="Y80" s="9" t="str">
        <f t="shared" si="157"/>
        <v>-</v>
      </c>
      <c r="Z80" s="9" t="s">
        <v>0</v>
      </c>
      <c r="AA80" s="9" t="str">
        <f t="shared" si="158"/>
        <v>-</v>
      </c>
      <c r="AB80" s="9" t="s">
        <v>0</v>
      </c>
      <c r="AC80" s="9" t="str">
        <f t="shared" si="159"/>
        <v>-</v>
      </c>
      <c r="AD80" s="9" t="s">
        <v>0</v>
      </c>
      <c r="AE80" s="9" t="str">
        <f t="shared" si="160"/>
        <v>-</v>
      </c>
      <c r="AF80" s="9" t="s">
        <v>0</v>
      </c>
      <c r="AG80" s="9" t="s">
        <v>0</v>
      </c>
      <c r="AH80" s="9" t="s">
        <v>0</v>
      </c>
      <c r="AI80" s="9" t="s">
        <v>0</v>
      </c>
      <c r="AJ80" s="43" t="s">
        <v>0</v>
      </c>
      <c r="AK80" s="9" t="s">
        <v>0</v>
      </c>
      <c r="AL80" s="43" t="s">
        <v>0</v>
      </c>
      <c r="AM80" s="9" t="s">
        <v>0</v>
      </c>
      <c r="AN80" s="43" t="s">
        <v>0</v>
      </c>
      <c r="AO80" s="9" t="s">
        <v>0</v>
      </c>
      <c r="AP80" s="9" t="s">
        <v>0</v>
      </c>
      <c r="AQ80" s="43" t="s">
        <v>0</v>
      </c>
      <c r="AR80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80" s="9" t="str">
        <f t="shared" si="161"/>
        <v>-</v>
      </c>
      <c r="AT80" s="9" t="str">
        <f>IF(RIGHT(TKA[[#This Row],[Device type]],7)="Winding","-",TKA[[#This Row],[Cont Winter MVA]])</f>
        <v>-</v>
      </c>
      <c r="AU80" s="9" t="str">
        <f>IF(RIGHT(TKA[[#This Row],[Device type]],7)="Winding","-",TKA[[#This Row],[Cont Shoulder MVA]])</f>
        <v>-</v>
      </c>
      <c r="AV80" s="9" t="str">
        <f>IF(RIGHT(TKA[[#This Row],[Device type]],7)="Winding","-",TKA[[#This Row],[Cont Summer MVA]])</f>
        <v>-</v>
      </c>
      <c r="AW80" s="9" t="str">
        <f>TKA[[#This Row],[24 Hr Winter MVA]]</f>
        <v>-</v>
      </c>
      <c r="AX80" s="9" t="str">
        <f>TKA[[#This Row],[24 Hr Summer MVA]]</f>
        <v>-</v>
      </c>
      <c r="AY80" s="9" t="str">
        <f>TKA[[#This Row],[Forwards MVA]]</f>
        <v>-</v>
      </c>
      <c r="AZ80" s="9" t="str">
        <f>TKA[[#This Row],[Relay MVA]]</f>
        <v>-</v>
      </c>
      <c r="BA80" s="9" t="str">
        <f>TKA[[#This Row],[CT MVA]]</f>
        <v>-</v>
      </c>
      <c r="BB80" s="9" t="str">
        <f>TKA[[#This Row],[Derating MVA]]</f>
        <v>-</v>
      </c>
      <c r="BC80" s="9" t="str">
        <f>TKA[[#This Row],[Station/Feeder]]&amp;TKA[[#This Row],[Lowest MVA]]</f>
        <v>TEK</v>
      </c>
      <c r="BD80" s="9" t="str">
        <f>CONCATENATE(TKA[[#This Row],[Supply Level]],TKA[[#This Row],[Station/Feeder]],TKA[[#This Row],[Voltage]],TKA[[#This Row],[Lowest A-No PTX]])</f>
        <v>ZoneSubstationTEK33</v>
      </c>
      <c r="BE80" s="9" t="str">
        <f>CONCATENATE(TKA[[#This Row],[Supply Level]],TKA[[#This Row],[Station/Feeder]],TKA[[#This Row],[Voltage]],TKA[[#This Row],[Lowest A-PTX]])</f>
        <v>ZoneSubstationTEK33</v>
      </c>
      <c r="BF80" s="9" t="str">
        <f>IF(MIN(TKA[[#This Row],[Summ Cont Winter A]]:TKA[[#This Row],[Cable Derating]])=0,"",MIN(TKA[[#This Row],[Summ Cont Winter A]]:TKA[[#This Row],[Cable Derating]]))</f>
        <v/>
      </c>
      <c r="BG80" s="9" t="str">
        <f>IFERROR(TKA[[#This Row],[Lowest MVA]]*1000/(TKA[[#This Row],[Voltage]]*SQRT(3)),"")</f>
        <v/>
      </c>
      <c r="BH80" s="9" t="str">
        <f t="shared" si="162"/>
        <v/>
      </c>
      <c r="BI80" s="9" t="str">
        <f>TKA[[#This Row],[From]]</f>
        <v>M11 T-off</v>
      </c>
      <c r="BJ80" s="9" t="str">
        <f>TKA[[#This Row],[To]]</f>
        <v>11 kV Bus</v>
      </c>
      <c r="BK80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ABS-M168</v>
      </c>
      <c r="BL80" s="9">
        <f>TKA[[#This Row],[Voltage]]</f>
        <v>33</v>
      </c>
    </row>
    <row r="81" spans="1:64" s="1" customFormat="1" ht="15" customHeight="1" x14ac:dyDescent="0.25">
      <c r="A81" s="6" t="str">
        <f>CONCATENATE(TKA[[#This Row],[Supply Level]],TKA[[#This Row],[Station/Feeder]],TKA[[#This Row],[Voltage]])</f>
        <v>ZoneSubstationTEK33</v>
      </c>
      <c r="B81" s="6" t="str">
        <f>CONCATENATE(TKA[[#This Row],[Supply Level]],TKA[[#This Row],[Station/Feeder]],TKA[[#This Row],[Equipment ID]],TKA[[#This Row],[Voltage]],TKA[[#This Row],[Device type]])</f>
        <v>ZoneSubstationTEKIODINE33-</v>
      </c>
      <c r="C81" s="6" t="s">
        <v>1246</v>
      </c>
      <c r="D81" s="6" t="s">
        <v>83</v>
      </c>
      <c r="E81" s="7" t="s">
        <v>384</v>
      </c>
      <c r="F81" s="7" t="s">
        <v>243</v>
      </c>
      <c r="G81" s="57">
        <v>5</v>
      </c>
      <c r="H81" s="46" t="s">
        <v>1289</v>
      </c>
      <c r="I81" s="46" t="s">
        <v>329</v>
      </c>
      <c r="J81" s="46" t="s">
        <v>69</v>
      </c>
      <c r="K81" s="46" t="s">
        <v>0</v>
      </c>
      <c r="L81" s="46" t="s">
        <v>0</v>
      </c>
      <c r="M81" s="57">
        <v>33</v>
      </c>
      <c r="N81" s="9">
        <v>471.54603117335654</v>
      </c>
      <c r="O81" s="9">
        <f t="shared" si="152"/>
        <v>26.952475575290467</v>
      </c>
      <c r="P81" s="9" t="s">
        <v>0</v>
      </c>
      <c r="Q81" s="9" t="str">
        <f t="shared" si="153"/>
        <v>-</v>
      </c>
      <c r="R81" s="9">
        <v>408.8746259503921</v>
      </c>
      <c r="S81" s="9">
        <f t="shared" si="154"/>
        <v>23.370323660369372</v>
      </c>
      <c r="T81" s="9" t="s">
        <v>0</v>
      </c>
      <c r="U81" s="9" t="str">
        <f t="shared" si="155"/>
        <v>-</v>
      </c>
      <c r="V81" s="9" t="s">
        <v>0</v>
      </c>
      <c r="W81" s="9" t="str">
        <f t="shared" si="156"/>
        <v>-</v>
      </c>
      <c r="X81" s="9" t="s">
        <v>0</v>
      </c>
      <c r="Y81" s="9" t="str">
        <f t="shared" si="157"/>
        <v>-</v>
      </c>
      <c r="Z81" s="9" t="s">
        <v>0</v>
      </c>
      <c r="AA81" s="9" t="str">
        <f t="shared" si="158"/>
        <v>-</v>
      </c>
      <c r="AB81" s="9" t="s">
        <v>0</v>
      </c>
      <c r="AC81" s="9" t="str">
        <f t="shared" si="159"/>
        <v>-</v>
      </c>
      <c r="AD81" s="9" t="s">
        <v>0</v>
      </c>
      <c r="AE81" s="9" t="str">
        <f t="shared" si="160"/>
        <v>-</v>
      </c>
      <c r="AF81" s="9" t="s">
        <v>0</v>
      </c>
      <c r="AG81" s="9" t="s">
        <v>0</v>
      </c>
      <c r="AH81" s="9">
        <v>6.2</v>
      </c>
      <c r="AI81" s="9" t="s">
        <v>0</v>
      </c>
      <c r="AJ81" s="43" t="s">
        <v>0</v>
      </c>
      <c r="AK81" s="9" t="s">
        <v>0</v>
      </c>
      <c r="AL81" s="43" t="s">
        <v>0</v>
      </c>
      <c r="AM81" s="9" t="s">
        <v>0</v>
      </c>
      <c r="AN81" s="43" t="s">
        <v>0</v>
      </c>
      <c r="AO81" s="9" t="s">
        <v>0</v>
      </c>
      <c r="AP81" s="9" t="s">
        <v>0</v>
      </c>
      <c r="AQ81" s="43" t="s">
        <v>0</v>
      </c>
      <c r="AR81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81" s="9" t="str">
        <f t="shared" si="161"/>
        <v>-</v>
      </c>
      <c r="AT81" s="9">
        <f>IF(RIGHT(TKA[[#This Row],[Device type]],7)="Winding","-",TKA[[#This Row],[Cont Winter MVA]])</f>
        <v>26.952475575290467</v>
      </c>
      <c r="AU81" s="9" t="str">
        <f>IF(RIGHT(TKA[[#This Row],[Device type]],7)="Winding","-",TKA[[#This Row],[Cont Shoulder MVA]])</f>
        <v>-</v>
      </c>
      <c r="AV81" s="9">
        <f>IF(RIGHT(TKA[[#This Row],[Device type]],7)="Winding","-",TKA[[#This Row],[Cont Summer MVA]])</f>
        <v>23.370323660369372</v>
      </c>
      <c r="AW81" s="9" t="str">
        <f>TKA[[#This Row],[24 Hr Winter MVA]]</f>
        <v>-</v>
      </c>
      <c r="AX81" s="9" t="str">
        <f>TKA[[#This Row],[24 Hr Summer MVA]]</f>
        <v>-</v>
      </c>
      <c r="AY81" s="9" t="str">
        <f>TKA[[#This Row],[Forwards MVA]]</f>
        <v>-</v>
      </c>
      <c r="AZ81" s="9" t="str">
        <f>TKA[[#This Row],[Relay MVA]]</f>
        <v>-</v>
      </c>
      <c r="BA81" s="9" t="str">
        <f>TKA[[#This Row],[CT MVA]]</f>
        <v>-</v>
      </c>
      <c r="BB81" s="9" t="str">
        <f>TKA[[#This Row],[Derating MVA]]</f>
        <v>-</v>
      </c>
      <c r="BC81" s="9" t="str">
        <f>TKA[[#This Row],[Station/Feeder]]&amp;TKA[[#This Row],[Lowest MVA]]</f>
        <v>TEK23.3703236603694</v>
      </c>
      <c r="BD81" s="9" t="str">
        <f>CONCATENATE(TKA[[#This Row],[Supply Level]],TKA[[#This Row],[Station/Feeder]],TKA[[#This Row],[Voltage]],TKA[[#This Row],[Lowest A-No PTX]])</f>
        <v>ZoneSubstationTEK33408.874625950392</v>
      </c>
      <c r="BE81" s="9" t="str">
        <f>CONCATENATE(TKA[[#This Row],[Supply Level]],TKA[[#This Row],[Station/Feeder]],TKA[[#This Row],[Voltage]],TKA[[#This Row],[Lowest A-PTX]])</f>
        <v>ZoneSubstationTEK33408.874625950392</v>
      </c>
      <c r="BF81" s="9">
        <f>IF(MIN(TKA[[#This Row],[Summ Cont Winter A]]:TKA[[#This Row],[Cable Derating]])=0,"",MIN(TKA[[#This Row],[Summ Cont Winter A]]:TKA[[#This Row],[Cable Derating]]))</f>
        <v>23.370323660369372</v>
      </c>
      <c r="BG81" s="9">
        <f>IFERROR(TKA[[#This Row],[Lowest MVA]]*1000/(TKA[[#This Row],[Voltage]]*SQRT(3)),"")</f>
        <v>408.8746259503921</v>
      </c>
      <c r="BH81" s="9">
        <f t="shared" si="162"/>
        <v>408.8746259503921</v>
      </c>
      <c r="BI81" s="9" t="str">
        <f>TKA[[#This Row],[From]]</f>
        <v>M11 T-off</v>
      </c>
      <c r="BJ81" s="9" t="str">
        <f>TKA[[#This Row],[To]]</f>
        <v>11 kV Bus</v>
      </c>
      <c r="BK81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Line-IODINE</v>
      </c>
      <c r="BL81" s="9">
        <f>TKA[[#This Row],[Voltage]]</f>
        <v>33</v>
      </c>
    </row>
    <row r="82" spans="1:64" s="1" customFormat="1" ht="15" customHeight="1" x14ac:dyDescent="0.25">
      <c r="A82" s="6" t="str">
        <f>CONCATENATE(TKA[[#This Row],[Supply Level]],TKA[[#This Row],[Station/Feeder]],TKA[[#This Row],[Voltage]])</f>
        <v>ZoneSubstationTEK33</v>
      </c>
      <c r="B82" s="6" t="str">
        <f>CONCATENATE(TKA[[#This Row],[Supply Level]],TKA[[#This Row],[Station/Feeder]],TKA[[#This Row],[Equipment ID]],TKA[[#This Row],[Voltage]],TKA[[#This Row],[Device type]])</f>
        <v>ZoneSubstationTEKE19733HV Winding</v>
      </c>
      <c r="C82" s="6" t="s">
        <v>1246</v>
      </c>
      <c r="D82" s="6" t="s">
        <v>83</v>
      </c>
      <c r="E82" s="7" t="s">
        <v>384</v>
      </c>
      <c r="F82" s="7" t="s">
        <v>243</v>
      </c>
      <c r="G82" s="57">
        <v>6</v>
      </c>
      <c r="H82" s="46" t="s">
        <v>275</v>
      </c>
      <c r="I82" s="46" t="s">
        <v>392</v>
      </c>
      <c r="J82" s="46" t="s">
        <v>19</v>
      </c>
      <c r="K82" s="46" t="s">
        <v>0</v>
      </c>
      <c r="L82" s="46" t="s">
        <v>36</v>
      </c>
      <c r="M82" s="57">
        <v>33</v>
      </c>
      <c r="N82" s="9">
        <f>6.25*1000/(TKA[[#This Row],[Voltage]]*SQRT(3))</f>
        <v>109.34664189197458</v>
      </c>
      <c r="O82" s="9">
        <f t="shared" si="152"/>
        <v>6.25</v>
      </c>
      <c r="P82" s="9" t="s">
        <v>0</v>
      </c>
      <c r="Q82" s="9" t="str">
        <f t="shared" si="153"/>
        <v>-</v>
      </c>
      <c r="R82" s="9" t="s">
        <v>0</v>
      </c>
      <c r="S82" s="9" t="str">
        <f t="shared" si="154"/>
        <v>-</v>
      </c>
      <c r="T82" s="9" t="s">
        <v>0</v>
      </c>
      <c r="U82" s="9" t="str">
        <f t="shared" si="155"/>
        <v>-</v>
      </c>
      <c r="V82" s="9" t="s">
        <v>0</v>
      </c>
      <c r="W82" s="9" t="str">
        <f t="shared" si="156"/>
        <v>-</v>
      </c>
      <c r="X82" s="9" t="s">
        <v>0</v>
      </c>
      <c r="Y82" s="9" t="str">
        <f t="shared" si="157"/>
        <v>-</v>
      </c>
      <c r="Z82" s="9" t="s">
        <v>0</v>
      </c>
      <c r="AA82" s="9" t="str">
        <f t="shared" si="158"/>
        <v>-</v>
      </c>
      <c r="AB82" s="9" t="s">
        <v>0</v>
      </c>
      <c r="AC82" s="9" t="str">
        <f t="shared" si="159"/>
        <v>-</v>
      </c>
      <c r="AD82" s="9" t="s">
        <v>0</v>
      </c>
      <c r="AE82" s="9" t="str">
        <f t="shared" si="160"/>
        <v>-</v>
      </c>
      <c r="AF82" s="9" t="s">
        <v>0</v>
      </c>
      <c r="AG82" s="9" t="s">
        <v>0</v>
      </c>
      <c r="AH82" s="9" t="s">
        <v>0</v>
      </c>
      <c r="AI82" s="9" t="s">
        <v>0</v>
      </c>
      <c r="AJ82" s="43" t="s">
        <v>0</v>
      </c>
      <c r="AK82" s="9" t="s">
        <v>0</v>
      </c>
      <c r="AL82" s="43" t="s">
        <v>0</v>
      </c>
      <c r="AM82" s="9" t="s">
        <v>0</v>
      </c>
      <c r="AN82" s="43" t="s">
        <v>0</v>
      </c>
      <c r="AO82" s="9" t="s">
        <v>0</v>
      </c>
      <c r="AP82" s="9" t="s">
        <v>0</v>
      </c>
      <c r="AQ82" s="43" t="s">
        <v>0</v>
      </c>
      <c r="AR82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82" s="9" t="str">
        <f t="shared" si="161"/>
        <v>-</v>
      </c>
      <c r="AT82" s="9" t="str">
        <f>IF(RIGHT(TKA[[#This Row],[Device type]],7)="Winding","-",TKA[[#This Row],[Cont Winter MVA]])</f>
        <v>-</v>
      </c>
      <c r="AU82" s="9" t="str">
        <f>IF(RIGHT(TKA[[#This Row],[Device type]],7)="Winding","-",TKA[[#This Row],[Cont Shoulder MVA]])</f>
        <v>-</v>
      </c>
      <c r="AV82" s="9" t="str">
        <f>IF(RIGHT(TKA[[#This Row],[Device type]],7)="Winding","-",TKA[[#This Row],[Cont Summer MVA]])</f>
        <v>-</v>
      </c>
      <c r="AW82" s="9" t="str">
        <f>TKA[[#This Row],[24 Hr Winter MVA]]</f>
        <v>-</v>
      </c>
      <c r="AX82" s="9" t="str">
        <f>TKA[[#This Row],[24 Hr Summer MVA]]</f>
        <v>-</v>
      </c>
      <c r="AY82" s="9" t="str">
        <f>TKA[[#This Row],[Forwards MVA]]</f>
        <v>-</v>
      </c>
      <c r="AZ82" s="9" t="str">
        <f>TKA[[#This Row],[Relay MVA]]</f>
        <v>-</v>
      </c>
      <c r="BA82" s="9" t="str">
        <f>TKA[[#This Row],[CT MVA]]</f>
        <v>-</v>
      </c>
      <c r="BB82" s="9" t="str">
        <f>TKA[[#This Row],[Derating MVA]]</f>
        <v>-</v>
      </c>
      <c r="BC82" s="9" t="str">
        <f>TKA[[#This Row],[Station/Feeder]]&amp;TKA[[#This Row],[Lowest MVA]]</f>
        <v>TEK</v>
      </c>
      <c r="BD82" s="9" t="str">
        <f>CONCATENATE(TKA[[#This Row],[Supply Level]],TKA[[#This Row],[Station/Feeder]],TKA[[#This Row],[Voltage]],TKA[[#This Row],[Lowest A-No PTX]])</f>
        <v>ZoneSubstationTEK33</v>
      </c>
      <c r="BE82" s="9" t="str">
        <f>CONCATENATE(TKA[[#This Row],[Supply Level]],TKA[[#This Row],[Station/Feeder]],TKA[[#This Row],[Voltage]],TKA[[#This Row],[Lowest A-PTX]])</f>
        <v>ZoneSubstationTEK33109.346641891975</v>
      </c>
      <c r="BF82" s="9" t="str">
        <f>IF(MIN(TKA[[#This Row],[Summ Cont Winter A]]:TKA[[#This Row],[Cable Derating]])=0,"",MIN(TKA[[#This Row],[Summ Cont Winter A]]:TKA[[#This Row],[Cable Derating]]))</f>
        <v/>
      </c>
      <c r="BG82" s="9" t="str">
        <f>IFERROR(TKA[[#This Row],[Lowest MVA]]*1000/(TKA[[#This Row],[Voltage]]*SQRT(3)),"")</f>
        <v/>
      </c>
      <c r="BH82" s="9">
        <f t="shared" si="162"/>
        <v>109.34664189197458</v>
      </c>
      <c r="BI82" s="9" t="str">
        <f>TKA[[#This Row],[From]]</f>
        <v>M11 T-off</v>
      </c>
      <c r="BJ82" s="9" t="str">
        <f>TKA[[#This Row],[To]]</f>
        <v>11 kV Bus</v>
      </c>
      <c r="BK82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Transformer-E197-HV Winding</v>
      </c>
      <c r="BL82" s="9">
        <f>TKA[[#This Row],[Voltage]]</f>
        <v>33</v>
      </c>
    </row>
    <row r="83" spans="1:64" s="1" customFormat="1" ht="15" customHeight="1" x14ac:dyDescent="0.25">
      <c r="A83" s="6" t="str">
        <f>CONCATENATE(TKA[[#This Row],[Supply Level]],TKA[[#This Row],[Station/Feeder]],TKA[[#This Row],[Voltage]])</f>
        <v>ZoneSubstationTEK11</v>
      </c>
      <c r="B83" s="6" t="str">
        <f>CONCATENATE(TKA[[#This Row],[Supply Level]],TKA[[#This Row],[Station/Feeder]],TKA[[#This Row],[Equipment ID]],TKA[[#This Row],[Voltage]],TKA[[#This Row],[Device type]])</f>
        <v>ZoneSubstationTEKE19711LV Winding</v>
      </c>
      <c r="C83" s="6" t="s">
        <v>1246</v>
      </c>
      <c r="D83" s="6" t="s">
        <v>83</v>
      </c>
      <c r="E83" s="7" t="s">
        <v>384</v>
      </c>
      <c r="F83" s="7" t="s">
        <v>243</v>
      </c>
      <c r="G83" s="57">
        <v>7</v>
      </c>
      <c r="H83" s="46" t="s">
        <v>275</v>
      </c>
      <c r="I83" s="46" t="s">
        <v>392</v>
      </c>
      <c r="J83" s="46" t="s">
        <v>19</v>
      </c>
      <c r="K83" s="46" t="s">
        <v>0</v>
      </c>
      <c r="L83" s="46" t="s">
        <v>37</v>
      </c>
      <c r="M83" s="57">
        <v>11</v>
      </c>
      <c r="N83" s="9">
        <f>6.25*1000/(TKA[[#This Row],[Voltage]]*SQRT(3))</f>
        <v>328.03992567592377</v>
      </c>
      <c r="O83" s="9">
        <f t="shared" si="152"/>
        <v>6.25</v>
      </c>
      <c r="P83" s="9" t="s">
        <v>0</v>
      </c>
      <c r="Q83" s="9" t="str">
        <f t="shared" si="153"/>
        <v>-</v>
      </c>
      <c r="R83" s="9" t="s">
        <v>0</v>
      </c>
      <c r="S83" s="9" t="str">
        <f t="shared" si="154"/>
        <v>-</v>
      </c>
      <c r="T83" s="9" t="s">
        <v>0</v>
      </c>
      <c r="U83" s="9" t="str">
        <f t="shared" si="155"/>
        <v>-</v>
      </c>
      <c r="V83" s="9" t="s">
        <v>0</v>
      </c>
      <c r="W83" s="9" t="str">
        <f t="shared" si="156"/>
        <v>-</v>
      </c>
      <c r="X83" s="9" t="s">
        <v>0</v>
      </c>
      <c r="Y83" s="9" t="str">
        <f t="shared" si="157"/>
        <v>-</v>
      </c>
      <c r="Z83" s="9" t="s">
        <v>0</v>
      </c>
      <c r="AA83" s="9" t="str">
        <f t="shared" si="158"/>
        <v>-</v>
      </c>
      <c r="AB83" s="9" t="s">
        <v>0</v>
      </c>
      <c r="AC83" s="9" t="str">
        <f t="shared" si="159"/>
        <v>-</v>
      </c>
      <c r="AD83" s="9" t="s">
        <v>0</v>
      </c>
      <c r="AE83" s="9" t="str">
        <f t="shared" si="160"/>
        <v>-</v>
      </c>
      <c r="AF83" s="9" t="s">
        <v>0</v>
      </c>
      <c r="AG83" s="9" t="s">
        <v>0</v>
      </c>
      <c r="AH83" s="9" t="s">
        <v>0</v>
      </c>
      <c r="AI83" s="9" t="s">
        <v>0</v>
      </c>
      <c r="AJ83" s="43" t="s">
        <v>0</v>
      </c>
      <c r="AK83" s="9" t="s">
        <v>0</v>
      </c>
      <c r="AL83" s="43" t="s">
        <v>0</v>
      </c>
      <c r="AM83" s="9" t="s">
        <v>0</v>
      </c>
      <c r="AN83" s="43" t="s">
        <v>0</v>
      </c>
      <c r="AO83" s="9" t="s">
        <v>0</v>
      </c>
      <c r="AP83" s="9" t="s">
        <v>0</v>
      </c>
      <c r="AQ83" s="43" t="s">
        <v>0</v>
      </c>
      <c r="AR83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83" s="9" t="str">
        <f t="shared" si="161"/>
        <v>-</v>
      </c>
      <c r="AT83" s="9" t="str">
        <f>IF(RIGHT(TKA[[#This Row],[Device type]],7)="Winding","-",TKA[[#This Row],[Cont Winter MVA]])</f>
        <v>-</v>
      </c>
      <c r="AU83" s="9" t="str">
        <f>IF(RIGHT(TKA[[#This Row],[Device type]],7)="Winding","-",TKA[[#This Row],[Cont Shoulder MVA]])</f>
        <v>-</v>
      </c>
      <c r="AV83" s="9" t="str">
        <f>IF(RIGHT(TKA[[#This Row],[Device type]],7)="Winding","-",TKA[[#This Row],[Cont Summer MVA]])</f>
        <v>-</v>
      </c>
      <c r="AW83" s="9" t="str">
        <f>TKA[[#This Row],[24 Hr Winter MVA]]</f>
        <v>-</v>
      </c>
      <c r="AX83" s="9" t="str">
        <f>TKA[[#This Row],[24 Hr Summer MVA]]</f>
        <v>-</v>
      </c>
      <c r="AY83" s="9" t="str">
        <f>TKA[[#This Row],[Forwards MVA]]</f>
        <v>-</v>
      </c>
      <c r="AZ83" s="9" t="str">
        <f>TKA[[#This Row],[Relay MVA]]</f>
        <v>-</v>
      </c>
      <c r="BA83" s="9" t="str">
        <f>TKA[[#This Row],[CT MVA]]</f>
        <v>-</v>
      </c>
      <c r="BB83" s="9" t="str">
        <f>TKA[[#This Row],[Derating MVA]]</f>
        <v>-</v>
      </c>
      <c r="BC83" s="9" t="str">
        <f>TKA[[#This Row],[Station/Feeder]]&amp;TKA[[#This Row],[Lowest MVA]]</f>
        <v>TEK</v>
      </c>
      <c r="BD83" s="9" t="str">
        <f>CONCATENATE(TKA[[#This Row],[Supply Level]],TKA[[#This Row],[Station/Feeder]],TKA[[#This Row],[Voltage]],TKA[[#This Row],[Lowest A-No PTX]])</f>
        <v>ZoneSubstationTEK11</v>
      </c>
      <c r="BE83" s="9" t="str">
        <f>CONCATENATE(TKA[[#This Row],[Supply Level]],TKA[[#This Row],[Station/Feeder]],TKA[[#This Row],[Voltage]],TKA[[#This Row],[Lowest A-PTX]])</f>
        <v>ZoneSubstationTEK11328.039925675924</v>
      </c>
      <c r="BF83" s="9" t="str">
        <f>IF(MIN(TKA[[#This Row],[Summ Cont Winter A]]:TKA[[#This Row],[Cable Derating]])=0,"",MIN(TKA[[#This Row],[Summ Cont Winter A]]:TKA[[#This Row],[Cable Derating]]))</f>
        <v/>
      </c>
      <c r="BG83" s="9" t="str">
        <f>IFERROR(TKA[[#This Row],[Lowest MVA]]*1000/(TKA[[#This Row],[Voltage]]*SQRT(3)),"")</f>
        <v/>
      </c>
      <c r="BH83" s="9">
        <f t="shared" si="162"/>
        <v>328.03992567592377</v>
      </c>
      <c r="BI83" s="9" t="str">
        <f>TKA[[#This Row],[From]]</f>
        <v>M11 T-off</v>
      </c>
      <c r="BJ83" s="9" t="str">
        <f>TKA[[#This Row],[To]]</f>
        <v>11 kV Bus</v>
      </c>
      <c r="BK83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Transformer-E197-LV Winding</v>
      </c>
      <c r="BL83" s="9">
        <f>TKA[[#This Row],[Voltage]]</f>
        <v>11</v>
      </c>
    </row>
    <row r="84" spans="1:64" s="1" customFormat="1" ht="15" customHeight="1" x14ac:dyDescent="0.25">
      <c r="A84" s="6" t="str">
        <f>CONCATENATE(TKA[[#This Row],[Supply Level]],TKA[[#This Row],[Station/Feeder]],TKA[[#This Row],[Voltage]])</f>
        <v>ZoneSubstationTEK11</v>
      </c>
      <c r="B84" s="6" t="str">
        <f>CONCATENATE(TKA[[#This Row],[Supply Level]],TKA[[#This Row],[Station/Feeder]],TKA[[#This Row],[Equipment ID]],TKA[[#This Row],[Voltage]],TKA[[#This Row],[Device type]])</f>
        <v>ZoneSubstationTEKIODINE11-</v>
      </c>
      <c r="C84" s="6" t="s">
        <v>1246</v>
      </c>
      <c r="D84" s="6" t="s">
        <v>83</v>
      </c>
      <c r="E84" s="7" t="s">
        <v>384</v>
      </c>
      <c r="F84" s="7" t="s">
        <v>243</v>
      </c>
      <c r="G84" s="57">
        <v>8</v>
      </c>
      <c r="H84" s="46" t="s">
        <v>1289</v>
      </c>
      <c r="I84" s="46" t="s">
        <v>329</v>
      </c>
      <c r="J84" s="46" t="s">
        <v>69</v>
      </c>
      <c r="K84" s="46" t="s">
        <v>0</v>
      </c>
      <c r="L84" s="46" t="s">
        <v>0</v>
      </c>
      <c r="M84" s="57">
        <v>11</v>
      </c>
      <c r="N84" s="9">
        <v>471.54603117335654</v>
      </c>
      <c r="O84" s="9">
        <f t="shared" si="152"/>
        <v>8.9841585250968237</v>
      </c>
      <c r="P84" s="9" t="s">
        <v>0</v>
      </c>
      <c r="Q84" s="9" t="str">
        <f t="shared" si="153"/>
        <v>-</v>
      </c>
      <c r="R84" s="9">
        <v>408.8746259503921</v>
      </c>
      <c r="S84" s="9">
        <f t="shared" si="154"/>
        <v>7.7901078867897917</v>
      </c>
      <c r="T84" s="9" t="s">
        <v>0</v>
      </c>
      <c r="U84" s="9" t="str">
        <f t="shared" si="155"/>
        <v>-</v>
      </c>
      <c r="V84" s="9" t="s">
        <v>0</v>
      </c>
      <c r="W84" s="9" t="str">
        <f t="shared" si="156"/>
        <v>-</v>
      </c>
      <c r="X84" s="9" t="s">
        <v>0</v>
      </c>
      <c r="Y84" s="9" t="str">
        <f t="shared" si="157"/>
        <v>-</v>
      </c>
      <c r="Z84" s="9" t="s">
        <v>0</v>
      </c>
      <c r="AA84" s="9" t="str">
        <f t="shared" si="158"/>
        <v>-</v>
      </c>
      <c r="AB84" s="9" t="s">
        <v>0</v>
      </c>
      <c r="AC84" s="9" t="str">
        <f t="shared" si="159"/>
        <v>-</v>
      </c>
      <c r="AD84" s="9" t="s">
        <v>0</v>
      </c>
      <c r="AE84" s="9" t="str">
        <f t="shared" si="160"/>
        <v>-</v>
      </c>
      <c r="AF84" s="9" t="s">
        <v>0</v>
      </c>
      <c r="AG84" s="9" t="s">
        <v>0</v>
      </c>
      <c r="AH84" s="9">
        <v>2.1</v>
      </c>
      <c r="AI84" s="9" t="s">
        <v>0</v>
      </c>
      <c r="AJ84" s="43" t="s">
        <v>0</v>
      </c>
      <c r="AK84" s="9" t="s">
        <v>0</v>
      </c>
      <c r="AL84" s="43" t="s">
        <v>0</v>
      </c>
      <c r="AM84" s="9" t="s">
        <v>0</v>
      </c>
      <c r="AN84" s="43" t="s">
        <v>0</v>
      </c>
      <c r="AO84" s="9" t="s">
        <v>0</v>
      </c>
      <c r="AP84" s="9" t="s">
        <v>0</v>
      </c>
      <c r="AQ84" s="43" t="s">
        <v>0</v>
      </c>
      <c r="AR84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84" s="9" t="str">
        <f t="shared" si="161"/>
        <v>-</v>
      </c>
      <c r="AT84" s="9">
        <f>IF(RIGHT(TKA[[#This Row],[Device type]],7)="Winding","-",TKA[[#This Row],[Cont Winter MVA]])</f>
        <v>8.9841585250968237</v>
      </c>
      <c r="AU84" s="9" t="str">
        <f>IF(RIGHT(TKA[[#This Row],[Device type]],7)="Winding","-",TKA[[#This Row],[Cont Shoulder MVA]])</f>
        <v>-</v>
      </c>
      <c r="AV84" s="9">
        <f>IF(RIGHT(TKA[[#This Row],[Device type]],7)="Winding","-",TKA[[#This Row],[Cont Summer MVA]])</f>
        <v>7.7901078867897917</v>
      </c>
      <c r="AW84" s="9" t="str">
        <f>TKA[[#This Row],[24 Hr Winter MVA]]</f>
        <v>-</v>
      </c>
      <c r="AX84" s="9" t="str">
        <f>TKA[[#This Row],[24 Hr Summer MVA]]</f>
        <v>-</v>
      </c>
      <c r="AY84" s="9" t="str">
        <f>TKA[[#This Row],[Forwards MVA]]</f>
        <v>-</v>
      </c>
      <c r="AZ84" s="9" t="str">
        <f>TKA[[#This Row],[Relay MVA]]</f>
        <v>-</v>
      </c>
      <c r="BA84" s="9" t="str">
        <f>TKA[[#This Row],[CT MVA]]</f>
        <v>-</v>
      </c>
      <c r="BB84" s="9" t="str">
        <f>TKA[[#This Row],[Derating MVA]]</f>
        <v>-</v>
      </c>
      <c r="BC84" s="9" t="str">
        <f>TKA[[#This Row],[Station/Feeder]]&amp;TKA[[#This Row],[Lowest MVA]]</f>
        <v>TEK7.79010788678979</v>
      </c>
      <c r="BD84" s="9" t="str">
        <f>CONCATENATE(TKA[[#This Row],[Supply Level]],TKA[[#This Row],[Station/Feeder]],TKA[[#This Row],[Voltage]],TKA[[#This Row],[Lowest A-No PTX]])</f>
        <v>ZoneSubstationTEK11408.874625950392</v>
      </c>
      <c r="BE84" s="9" t="str">
        <f>CONCATENATE(TKA[[#This Row],[Supply Level]],TKA[[#This Row],[Station/Feeder]],TKA[[#This Row],[Voltage]],TKA[[#This Row],[Lowest A-PTX]])</f>
        <v>ZoneSubstationTEK11408.874625950392</v>
      </c>
      <c r="BF84" s="9">
        <f>IF(MIN(TKA[[#This Row],[Summ Cont Winter A]]:TKA[[#This Row],[Cable Derating]])=0,"",MIN(TKA[[#This Row],[Summ Cont Winter A]]:TKA[[#This Row],[Cable Derating]]))</f>
        <v>7.7901078867897917</v>
      </c>
      <c r="BG84" s="9">
        <f>IFERROR(TKA[[#This Row],[Lowest MVA]]*1000/(TKA[[#This Row],[Voltage]]*SQRT(3)),"")</f>
        <v>408.8746259503921</v>
      </c>
      <c r="BH84" s="9">
        <f t="shared" si="162"/>
        <v>408.8746259503921</v>
      </c>
      <c r="BI84" s="9" t="str">
        <f>TKA[[#This Row],[From]]</f>
        <v>M11 T-off</v>
      </c>
      <c r="BJ84" s="9" t="str">
        <f>TKA[[#This Row],[To]]</f>
        <v>11 kV Bus</v>
      </c>
      <c r="BK84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Line-IODINE</v>
      </c>
      <c r="BL84" s="9">
        <f>TKA[[#This Row],[Voltage]]</f>
        <v>11</v>
      </c>
    </row>
    <row r="85" spans="1:64" s="1" customFormat="1" ht="15" customHeight="1" x14ac:dyDescent="0.25">
      <c r="A85" s="6" t="str">
        <f>CONCATENATE(TKA[[#This Row],[Supply Level]],TKA[[#This Row],[Station/Feeder]],TKA[[#This Row],[Voltage]])</f>
        <v>ZoneSubstationTEK11</v>
      </c>
      <c r="B85" s="6" t="str">
        <f>CONCATENATE(TKA[[#This Row],[Supply Level]],TKA[[#This Row],[Station/Feeder]],TKA[[#This Row],[Equipment ID]],TKA[[#This Row],[Voltage]],TKA[[#This Row],[Device type]])</f>
        <v>ZoneSubstationTEKM17011-</v>
      </c>
      <c r="C85" s="6" t="s">
        <v>1246</v>
      </c>
      <c r="D85" s="6" t="s">
        <v>83</v>
      </c>
      <c r="E85" s="7" t="s">
        <v>384</v>
      </c>
      <c r="F85" s="7" t="s">
        <v>243</v>
      </c>
      <c r="G85" s="57">
        <v>9</v>
      </c>
      <c r="H85" s="46" t="s">
        <v>273</v>
      </c>
      <c r="I85" s="46" t="s">
        <v>393</v>
      </c>
      <c r="J85" s="46" t="s">
        <v>249</v>
      </c>
      <c r="K85" s="46" t="s">
        <v>0</v>
      </c>
      <c r="L85" s="46" t="s">
        <v>0</v>
      </c>
      <c r="M85" s="57">
        <v>11</v>
      </c>
      <c r="N85" s="9" t="s">
        <v>0</v>
      </c>
      <c r="O85" s="9" t="str">
        <f t="shared" si="152"/>
        <v>-</v>
      </c>
      <c r="P85" s="9" t="s">
        <v>0</v>
      </c>
      <c r="Q85" s="9" t="str">
        <f t="shared" si="153"/>
        <v>-</v>
      </c>
      <c r="R85" s="9" t="s">
        <v>0</v>
      </c>
      <c r="S85" s="9" t="str">
        <f t="shared" si="154"/>
        <v>-</v>
      </c>
      <c r="T85" s="9" t="s">
        <v>0</v>
      </c>
      <c r="U85" s="9" t="str">
        <f t="shared" si="155"/>
        <v>-</v>
      </c>
      <c r="V85" s="9" t="s">
        <v>0</v>
      </c>
      <c r="W85" s="9" t="str">
        <f t="shared" si="156"/>
        <v>-</v>
      </c>
      <c r="X85" s="9" t="s">
        <v>0</v>
      </c>
      <c r="Y85" s="9" t="str">
        <f t="shared" si="157"/>
        <v>-</v>
      </c>
      <c r="Z85" s="9" t="s">
        <v>0</v>
      </c>
      <c r="AA85" s="9" t="str">
        <f t="shared" si="158"/>
        <v>-</v>
      </c>
      <c r="AB85" s="9" t="s">
        <v>0</v>
      </c>
      <c r="AC85" s="9" t="str">
        <f t="shared" si="159"/>
        <v>-</v>
      </c>
      <c r="AD85" s="9" t="s">
        <v>0</v>
      </c>
      <c r="AE85" s="9" t="str">
        <f t="shared" si="160"/>
        <v>-</v>
      </c>
      <c r="AF85" s="9" t="s">
        <v>0</v>
      </c>
      <c r="AG85" s="9" t="s">
        <v>0</v>
      </c>
      <c r="AH85" s="9" t="s">
        <v>0</v>
      </c>
      <c r="AI85" s="9" t="s">
        <v>0</v>
      </c>
      <c r="AJ85" s="43" t="s">
        <v>0</v>
      </c>
      <c r="AK85" s="9" t="s">
        <v>0</v>
      </c>
      <c r="AL85" s="43" t="s">
        <v>0</v>
      </c>
      <c r="AM85" s="9" t="s">
        <v>0</v>
      </c>
      <c r="AN85" s="43" t="s">
        <v>0</v>
      </c>
      <c r="AO85" s="9" t="s">
        <v>0</v>
      </c>
      <c r="AP85" s="9" t="s">
        <v>0</v>
      </c>
      <c r="AQ85" s="43" t="s">
        <v>0</v>
      </c>
      <c r="AR85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85" s="9" t="str">
        <f t="shared" si="161"/>
        <v>-</v>
      </c>
      <c r="AT85" s="9" t="str">
        <f>IF(RIGHT(TKA[[#This Row],[Device type]],7)="Winding","-",TKA[[#This Row],[Cont Winter MVA]])</f>
        <v>-</v>
      </c>
      <c r="AU85" s="9" t="str">
        <f>IF(RIGHT(TKA[[#This Row],[Device type]],7)="Winding","-",TKA[[#This Row],[Cont Shoulder MVA]])</f>
        <v>-</v>
      </c>
      <c r="AV85" s="9" t="str">
        <f>IF(RIGHT(TKA[[#This Row],[Device type]],7)="Winding","-",TKA[[#This Row],[Cont Summer MVA]])</f>
        <v>-</v>
      </c>
      <c r="AW85" s="9" t="str">
        <f>TKA[[#This Row],[24 Hr Winter MVA]]</f>
        <v>-</v>
      </c>
      <c r="AX85" s="9" t="str">
        <f>TKA[[#This Row],[24 Hr Summer MVA]]</f>
        <v>-</v>
      </c>
      <c r="AY85" s="9" t="str">
        <f>TKA[[#This Row],[Forwards MVA]]</f>
        <v>-</v>
      </c>
      <c r="AZ85" s="9" t="str">
        <f>TKA[[#This Row],[Relay MVA]]</f>
        <v>-</v>
      </c>
      <c r="BA85" s="9" t="str">
        <f>TKA[[#This Row],[CT MVA]]</f>
        <v>-</v>
      </c>
      <c r="BB85" s="9" t="str">
        <f>TKA[[#This Row],[Derating MVA]]</f>
        <v>-</v>
      </c>
      <c r="BC85" s="9" t="str">
        <f>TKA[[#This Row],[Station/Feeder]]&amp;TKA[[#This Row],[Lowest MVA]]</f>
        <v>TEK</v>
      </c>
      <c r="BD85" s="9" t="str">
        <f>CONCATENATE(TKA[[#This Row],[Supply Level]],TKA[[#This Row],[Station/Feeder]],TKA[[#This Row],[Voltage]],TKA[[#This Row],[Lowest A-No PTX]])</f>
        <v>ZoneSubstationTEK11</v>
      </c>
      <c r="BE85" s="9" t="str">
        <f>CONCATENATE(TKA[[#This Row],[Supply Level]],TKA[[#This Row],[Station/Feeder]],TKA[[#This Row],[Voltage]],TKA[[#This Row],[Lowest A-PTX]])</f>
        <v>ZoneSubstationTEK11</v>
      </c>
      <c r="BF85" s="9" t="str">
        <f>IF(MIN(TKA[[#This Row],[Summ Cont Winter A]]:TKA[[#This Row],[Cable Derating]])=0,"",MIN(TKA[[#This Row],[Summ Cont Winter A]]:TKA[[#This Row],[Cable Derating]]))</f>
        <v/>
      </c>
      <c r="BG85" s="9" t="str">
        <f>IFERROR(TKA[[#This Row],[Lowest MVA]]*1000/(TKA[[#This Row],[Voltage]]*SQRT(3)),"")</f>
        <v/>
      </c>
      <c r="BH85" s="9" t="str">
        <f t="shared" si="162"/>
        <v/>
      </c>
      <c r="BI85" s="9" t="str">
        <f>TKA[[#This Row],[From]]</f>
        <v>M11 T-off</v>
      </c>
      <c r="BJ85" s="9" t="str">
        <f>TKA[[#This Row],[To]]</f>
        <v>11 kV Bus</v>
      </c>
      <c r="BK85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Link-M170</v>
      </c>
      <c r="BL85" s="9">
        <f>TKA[[#This Row],[Voltage]]</f>
        <v>11</v>
      </c>
    </row>
    <row r="86" spans="1:64" s="1" customFormat="1" ht="15" customHeight="1" x14ac:dyDescent="0.25">
      <c r="A86" s="6" t="str">
        <f>CONCATENATE(TKA[[#This Row],[Supply Level]],TKA[[#This Row],[Station/Feeder]],TKA[[#This Row],[Voltage]])</f>
        <v>ZoneSubstationTEK11</v>
      </c>
      <c r="B86" s="6" t="str">
        <f>CONCATENATE(TKA[[#This Row],[Supply Level]],TKA[[#This Row],[Station/Feeder]],TKA[[#This Row],[Equipment ID]],TKA[[#This Row],[Voltage]],TKA[[#This Row],[Device type]])</f>
        <v>ZoneSubstationTEK3-1c 400 mm² Al XLPE11-</v>
      </c>
      <c r="C86" s="6" t="s">
        <v>1246</v>
      </c>
      <c r="D86" s="6" t="s">
        <v>83</v>
      </c>
      <c r="E86" s="7" t="s">
        <v>384</v>
      </c>
      <c r="F86" s="7" t="s">
        <v>243</v>
      </c>
      <c r="G86" s="57">
        <v>10</v>
      </c>
      <c r="H86" s="46" t="s">
        <v>276</v>
      </c>
      <c r="I86" s="46" t="s">
        <v>559</v>
      </c>
      <c r="J86" s="46" t="s">
        <v>250</v>
      </c>
      <c r="K86" s="46" t="s">
        <v>0</v>
      </c>
      <c r="L86" s="46" t="s">
        <v>0</v>
      </c>
      <c r="M86" s="57">
        <v>11</v>
      </c>
      <c r="N86" s="9">
        <v>537</v>
      </c>
      <c r="O86" s="9">
        <f t="shared" si="152"/>
        <v>10.231224120309358</v>
      </c>
      <c r="P86" s="9">
        <v>537</v>
      </c>
      <c r="Q86" s="9">
        <f t="shared" si="153"/>
        <v>10.231224120309358</v>
      </c>
      <c r="R86" s="9">
        <v>537</v>
      </c>
      <c r="S86" s="9">
        <f t="shared" si="154"/>
        <v>10.231224120309358</v>
      </c>
      <c r="T86" s="9" t="s">
        <v>0</v>
      </c>
      <c r="U86" s="9" t="str">
        <f t="shared" si="155"/>
        <v>-</v>
      </c>
      <c r="V86" s="9" t="s">
        <v>0</v>
      </c>
      <c r="W86" s="9" t="str">
        <f t="shared" si="156"/>
        <v>-</v>
      </c>
      <c r="X86" s="9" t="s">
        <v>0</v>
      </c>
      <c r="Y86" s="9" t="str">
        <f t="shared" si="157"/>
        <v>-</v>
      </c>
      <c r="Z86" s="9" t="s">
        <v>0</v>
      </c>
      <c r="AA86" s="9" t="str">
        <f t="shared" si="158"/>
        <v>-</v>
      </c>
      <c r="AB86" s="9" t="s">
        <v>0</v>
      </c>
      <c r="AC86" s="9" t="str">
        <f t="shared" si="159"/>
        <v>-</v>
      </c>
      <c r="AD86" s="9" t="s">
        <v>0</v>
      </c>
      <c r="AE86" s="9" t="str">
        <f t="shared" si="160"/>
        <v>-</v>
      </c>
      <c r="AF86" s="9">
        <v>1</v>
      </c>
      <c r="AG86" s="9" t="s">
        <v>265</v>
      </c>
      <c r="AH86" s="9">
        <v>74.8</v>
      </c>
      <c r="AI86" s="9">
        <v>1</v>
      </c>
      <c r="AJ86" s="43">
        <v>0.97</v>
      </c>
      <c r="AK86" s="9">
        <v>15</v>
      </c>
      <c r="AL86" s="43">
        <v>1</v>
      </c>
      <c r="AM86" s="9">
        <v>0.9</v>
      </c>
      <c r="AN86" s="43">
        <v>1.1200000000000001</v>
      </c>
      <c r="AO86" s="9">
        <v>4</v>
      </c>
      <c r="AP86" s="9">
        <v>0.3</v>
      </c>
      <c r="AQ86" s="43">
        <v>0.96</v>
      </c>
      <c r="AR86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560.0609280000001</v>
      </c>
      <c r="AS86" s="9">
        <f t="shared" si="161"/>
        <v>10.670593808931924</v>
      </c>
      <c r="AT86" s="9">
        <f>IF(RIGHT(TKA[[#This Row],[Device type]],7)="Winding","-",TKA[[#This Row],[Cont Winter MVA]])</f>
        <v>10.231224120309358</v>
      </c>
      <c r="AU86" s="9">
        <f>IF(RIGHT(TKA[[#This Row],[Device type]],7)="Winding","-",TKA[[#This Row],[Cont Shoulder MVA]])</f>
        <v>10.231224120309358</v>
      </c>
      <c r="AV86" s="9">
        <f>IF(RIGHT(TKA[[#This Row],[Device type]],7)="Winding","-",TKA[[#This Row],[Cont Summer MVA]])</f>
        <v>10.231224120309358</v>
      </c>
      <c r="AW86" s="9" t="str">
        <f>TKA[[#This Row],[24 Hr Winter MVA]]</f>
        <v>-</v>
      </c>
      <c r="AX86" s="9" t="str">
        <f>TKA[[#This Row],[24 Hr Summer MVA]]</f>
        <v>-</v>
      </c>
      <c r="AY86" s="9" t="str">
        <f>TKA[[#This Row],[Forwards MVA]]</f>
        <v>-</v>
      </c>
      <c r="AZ86" s="9" t="str">
        <f>TKA[[#This Row],[Relay MVA]]</f>
        <v>-</v>
      </c>
      <c r="BA86" s="9" t="str">
        <f>TKA[[#This Row],[CT MVA]]</f>
        <v>-</v>
      </c>
      <c r="BB86" s="9">
        <f>TKA[[#This Row],[Derating MVA]]</f>
        <v>10.670593808931924</v>
      </c>
      <c r="BC86" s="9" t="str">
        <f>TKA[[#This Row],[Station/Feeder]]&amp;TKA[[#This Row],[Lowest MVA]]</f>
        <v>TEK10.2312241203094</v>
      </c>
      <c r="BD86" s="9" t="str">
        <f>CONCATENATE(TKA[[#This Row],[Supply Level]],TKA[[#This Row],[Station/Feeder]],TKA[[#This Row],[Voltage]],TKA[[#This Row],[Lowest A-No PTX]])</f>
        <v>ZoneSubstationTEK11537</v>
      </c>
      <c r="BE86" s="9" t="str">
        <f>CONCATENATE(TKA[[#This Row],[Supply Level]],TKA[[#This Row],[Station/Feeder]],TKA[[#This Row],[Voltage]],TKA[[#This Row],[Lowest A-PTX]])</f>
        <v>ZoneSubstationTEK11537</v>
      </c>
      <c r="BF86" s="9">
        <f>IF(MIN(TKA[[#This Row],[Summ Cont Winter A]]:TKA[[#This Row],[Cable Derating]])=0,"",MIN(TKA[[#This Row],[Summ Cont Winter A]]:TKA[[#This Row],[Cable Derating]]))</f>
        <v>10.231224120309358</v>
      </c>
      <c r="BG86" s="9">
        <f>IFERROR(TKA[[#This Row],[Lowest MVA]]*1000/(TKA[[#This Row],[Voltage]]*SQRT(3)),"")</f>
        <v>537</v>
      </c>
      <c r="BH86" s="9">
        <f t="shared" si="162"/>
        <v>537</v>
      </c>
      <c r="BI86" s="9" t="str">
        <f>TKA[[#This Row],[From]]</f>
        <v>M11 T-off</v>
      </c>
      <c r="BJ86" s="9" t="str">
        <f>TKA[[#This Row],[To]]</f>
        <v>11 kV Bus</v>
      </c>
      <c r="BK86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Cable-3-1c 400 mm² Al XLPE</v>
      </c>
      <c r="BL86" s="9">
        <f>TKA[[#This Row],[Voltage]]</f>
        <v>11</v>
      </c>
    </row>
    <row r="87" spans="1:64" s="1" customFormat="1" ht="15" customHeight="1" x14ac:dyDescent="0.25">
      <c r="A87" s="6" t="str">
        <f>CONCATENATE(TKA[[#This Row],[Supply Level]],TKA[[#This Row],[Station/Feeder]],TKA[[#This Row],[Voltage]])</f>
        <v>ZoneSubstationTEK11</v>
      </c>
      <c r="B87" s="6" t="str">
        <f>CONCATENATE(TKA[[#This Row],[Supply Level]],TKA[[#This Row],[Station/Feeder]],TKA[[#This Row],[Equipment ID]],TKA[[#This Row],[Voltage]],TKA[[#This Row],[Device type]])</f>
        <v>ZoneSubstationTEKTEK-M20211Protection</v>
      </c>
      <c r="C87" s="6" t="s">
        <v>1246</v>
      </c>
      <c r="D87" s="6" t="s">
        <v>83</v>
      </c>
      <c r="E87" s="7" t="s">
        <v>384</v>
      </c>
      <c r="F87" s="7" t="s">
        <v>243</v>
      </c>
      <c r="G87" s="57">
        <v>11</v>
      </c>
      <c r="H87" s="46" t="s">
        <v>343</v>
      </c>
      <c r="I87" s="7" t="s">
        <v>2428</v>
      </c>
      <c r="J87" s="7" t="s">
        <v>15</v>
      </c>
      <c r="K87" s="7" t="s">
        <v>791</v>
      </c>
      <c r="L87" s="7" t="s">
        <v>1423</v>
      </c>
      <c r="M87" s="57">
        <v>11</v>
      </c>
      <c r="N87" s="9">
        <v>600</v>
      </c>
      <c r="O87" s="9">
        <f t="shared" si="152"/>
        <v>11.43153532995459</v>
      </c>
      <c r="P87" s="9">
        <v>600</v>
      </c>
      <c r="Q87" s="9">
        <f t="shared" si="153"/>
        <v>11.43153532995459</v>
      </c>
      <c r="R87" s="9">
        <v>600</v>
      </c>
      <c r="S87" s="9">
        <f t="shared" si="154"/>
        <v>11.43153532995459</v>
      </c>
      <c r="T87" s="9" t="s">
        <v>0</v>
      </c>
      <c r="U87" s="9" t="str">
        <f t="shared" si="155"/>
        <v>-</v>
      </c>
      <c r="V87" s="9" t="s">
        <v>0</v>
      </c>
      <c r="W87" s="9" t="str">
        <f t="shared" si="156"/>
        <v>-</v>
      </c>
      <c r="X87" s="9">
        <f>VLOOKUP(TKA[[#This Row],[Equipment ID]],AEL_Protection_Data[#All],12,0)</f>
        <v>400</v>
      </c>
      <c r="Y87" s="9">
        <f t="shared" si="157"/>
        <v>7.6210235533030604</v>
      </c>
      <c r="Z87" s="9" t="s">
        <v>0</v>
      </c>
      <c r="AA87" s="9" t="str">
        <f t="shared" si="158"/>
        <v>-</v>
      </c>
      <c r="AB87" s="9" t="s">
        <v>0</v>
      </c>
      <c r="AC87" s="9" t="str">
        <f t="shared" si="159"/>
        <v>-</v>
      </c>
      <c r="AD87" s="9">
        <v>400</v>
      </c>
      <c r="AE87" s="9">
        <f t="shared" si="160"/>
        <v>7.6210235533030604</v>
      </c>
      <c r="AF87" s="9" t="s">
        <v>0</v>
      </c>
      <c r="AG87" s="9" t="s">
        <v>0</v>
      </c>
      <c r="AH87" s="9" t="s">
        <v>0</v>
      </c>
      <c r="AI87" s="9" t="s">
        <v>0</v>
      </c>
      <c r="AJ87" s="43" t="s">
        <v>0</v>
      </c>
      <c r="AK87" s="9" t="s">
        <v>0</v>
      </c>
      <c r="AL87" s="43" t="s">
        <v>0</v>
      </c>
      <c r="AM87" s="9" t="s">
        <v>0</v>
      </c>
      <c r="AN87" s="43" t="s">
        <v>0</v>
      </c>
      <c r="AO87" s="9" t="s">
        <v>0</v>
      </c>
      <c r="AP87" s="9" t="s">
        <v>0</v>
      </c>
      <c r="AQ87" s="43" t="s">
        <v>0</v>
      </c>
      <c r="AR87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87" s="9" t="str">
        <f t="shared" si="161"/>
        <v>-</v>
      </c>
      <c r="AT87" s="9">
        <f>IF(RIGHT(TKA[[#This Row],[Device type]],7)="Winding","-",TKA[[#This Row],[Cont Winter MVA]])</f>
        <v>11.43153532995459</v>
      </c>
      <c r="AU87" s="9">
        <f>IF(RIGHT(TKA[[#This Row],[Device type]],7)="Winding","-",TKA[[#This Row],[Cont Shoulder MVA]])</f>
        <v>11.43153532995459</v>
      </c>
      <c r="AV87" s="9">
        <f>IF(RIGHT(TKA[[#This Row],[Device type]],7)="Winding","-",TKA[[#This Row],[Cont Summer MVA]])</f>
        <v>11.43153532995459</v>
      </c>
      <c r="AW87" s="9" t="str">
        <f>TKA[[#This Row],[24 Hr Winter MVA]]</f>
        <v>-</v>
      </c>
      <c r="AX87" s="9" t="str">
        <f>TKA[[#This Row],[24 Hr Summer MVA]]</f>
        <v>-</v>
      </c>
      <c r="AY87" s="9">
        <f>TKA[[#This Row],[Forwards MVA]]</f>
        <v>7.6210235533030604</v>
      </c>
      <c r="AZ87" s="9" t="str">
        <f>TKA[[#This Row],[Relay MVA]]</f>
        <v>-</v>
      </c>
      <c r="BA87" s="9">
        <f>TKA[[#This Row],[CT MVA]]</f>
        <v>7.6210235533030604</v>
      </c>
      <c r="BB87" s="9" t="str">
        <f>TKA[[#This Row],[Derating MVA]]</f>
        <v>-</v>
      </c>
      <c r="BC87" s="9" t="str">
        <f>TKA[[#This Row],[Station/Feeder]]&amp;TKA[[#This Row],[Lowest MVA]]</f>
        <v>TEK7.62102355330306</v>
      </c>
      <c r="BD87" s="9" t="str">
        <f>CONCATENATE(TKA[[#This Row],[Supply Level]],TKA[[#This Row],[Station/Feeder]],TKA[[#This Row],[Voltage]],TKA[[#This Row],[Lowest A-No PTX]])</f>
        <v>ZoneSubstationTEK11400</v>
      </c>
      <c r="BE87" s="9" t="str">
        <f>CONCATENATE(TKA[[#This Row],[Supply Level]],TKA[[#This Row],[Station/Feeder]],TKA[[#This Row],[Voltage]],TKA[[#This Row],[Lowest A-PTX]])</f>
        <v>ZoneSubstationTEK11400</v>
      </c>
      <c r="BF87" s="9">
        <f>IF(MIN(TKA[[#This Row],[Summ Cont Winter A]]:TKA[[#This Row],[Cable Derating]])=0,"",MIN(TKA[[#This Row],[Summ Cont Winter A]]:TKA[[#This Row],[Cable Derating]]))</f>
        <v>7.6210235533030604</v>
      </c>
      <c r="BG87" s="9">
        <f>IFERROR(TKA[[#This Row],[Lowest MVA]]*1000/(TKA[[#This Row],[Voltage]]*SQRT(3)),"")</f>
        <v>400</v>
      </c>
      <c r="BH87" s="9">
        <f t="shared" si="162"/>
        <v>400</v>
      </c>
      <c r="BI87" s="9" t="str">
        <f>TKA[[#This Row],[From]]</f>
        <v>M11 T-off</v>
      </c>
      <c r="BJ87" s="9" t="str">
        <f>TKA[[#This Row],[To]]</f>
        <v>11 kV Bus</v>
      </c>
      <c r="BK87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Circuit Breaker-TEK-M202-Protection</v>
      </c>
      <c r="BL87" s="9">
        <f>TKA[[#This Row],[Voltage]]</f>
        <v>11</v>
      </c>
    </row>
    <row r="88" spans="1:64" s="1" customFormat="1" ht="15" customHeight="1" x14ac:dyDescent="0.25">
      <c r="A88" s="6" t="str">
        <f>CONCATENATE(TKA[[#This Row],[Supply Level]],TKA[[#This Row],[Station/Feeder]],TKA[[#This Row],[Voltage]])</f>
        <v>DistributionFeederM200_Haldon_Lilybank11</v>
      </c>
      <c r="B88" s="6" t="str">
        <f>CONCATENATE(TKA[[#This Row],[Supply Level]],TKA[[#This Row],[Station/Feeder]],TKA[[#This Row],[Equipment ID]],TKA[[#This Row],[Voltage]],TKA[[#This Row],[Device type]])</f>
        <v>DistributionFeederM200_Haldon_LilybankTEK-M20011Protection</v>
      </c>
      <c r="C88" s="6" t="s">
        <v>1276</v>
      </c>
      <c r="D88" s="6" t="s">
        <v>94</v>
      </c>
      <c r="E88" s="7" t="s">
        <v>243</v>
      </c>
      <c r="F88" s="7" t="s">
        <v>425</v>
      </c>
      <c r="G88" s="57">
        <v>1</v>
      </c>
      <c r="H88" s="46" t="s">
        <v>343</v>
      </c>
      <c r="I88" s="7" t="s">
        <v>2429</v>
      </c>
      <c r="J88" s="7" t="s">
        <v>15</v>
      </c>
      <c r="K88" s="7" t="s">
        <v>791</v>
      </c>
      <c r="L88" s="7" t="s">
        <v>1423</v>
      </c>
      <c r="M88" s="57">
        <v>11</v>
      </c>
      <c r="N88" s="9">
        <v>600</v>
      </c>
      <c r="O88" s="9">
        <f t="shared" ref="O88:O113" si="163">IF(OR(N88="",N88="-"),"-",N88*$M88*SQRT(3)/1000)</f>
        <v>11.43153532995459</v>
      </c>
      <c r="P88" s="9">
        <v>600</v>
      </c>
      <c r="Q88" s="9">
        <f t="shared" ref="Q88:Q113" si="164">IF(OR(P88="",P88="-"),"-",P88*$M88*SQRT(3)/1000)</f>
        <v>11.43153532995459</v>
      </c>
      <c r="R88" s="9">
        <v>600</v>
      </c>
      <c r="S88" s="9">
        <f t="shared" ref="S88:S113" si="165">IF(OR(R88="",R88="-"),"-",R88*$M88*SQRT(3)/1000)</f>
        <v>11.43153532995459</v>
      </c>
      <c r="T88" s="9" t="s">
        <v>0</v>
      </c>
      <c r="U88" s="9" t="str">
        <f t="shared" ref="U88:U113" si="166">IF(OR(T88="",T88="-"),"-",T88*$M88*SQRT(3)/1000)</f>
        <v>-</v>
      </c>
      <c r="V88" s="9" t="s">
        <v>0</v>
      </c>
      <c r="W88" s="9" t="str">
        <f t="shared" ref="W88:W113" si="167">IF(OR(V88="",V88="-"),"-",V88*$M88*SQRT(3)/1000)</f>
        <v>-</v>
      </c>
      <c r="X88" s="9">
        <f>VLOOKUP(TKA[[#This Row],[Equipment ID]],AEL_Protection_Data[#All],12,0)</f>
        <v>276</v>
      </c>
      <c r="Y88" s="9">
        <f t="shared" ref="Y88:Y113" si="168">IF(OR(X88="",X88="-"),"-",X88*$M88*SQRT(3)/1000)</f>
        <v>5.258506251779111</v>
      </c>
      <c r="Z88" s="9" t="s">
        <v>0</v>
      </c>
      <c r="AA88" s="9" t="str">
        <f t="shared" ref="AA88:AA113" si="169">IF(OR(Z88="",Z88="-"),"-",Z88*$M88*SQRT(3)/1000)</f>
        <v>-</v>
      </c>
      <c r="AB88" s="9" t="s">
        <v>0</v>
      </c>
      <c r="AC88" s="9" t="str">
        <f t="shared" ref="AC88:AC113" si="170">IF(OR(AB88="",AB88="-"),"-",AB88*$M88*SQRT(3)/1000)</f>
        <v>-</v>
      </c>
      <c r="AD88" s="9" t="s">
        <v>0</v>
      </c>
      <c r="AE88" s="9" t="str">
        <f t="shared" ref="AE88:AE113" si="171">IF(OR(AD88="",AD88="-"),"-",AD88*$M88*SQRT(3)/1000)</f>
        <v>-</v>
      </c>
      <c r="AF88" s="9" t="s">
        <v>0</v>
      </c>
      <c r="AG88" s="9" t="s">
        <v>0</v>
      </c>
      <c r="AH88" s="9" t="s">
        <v>0</v>
      </c>
      <c r="AI88" s="9" t="s">
        <v>0</v>
      </c>
      <c r="AJ88" s="43" t="s">
        <v>0</v>
      </c>
      <c r="AK88" s="9" t="s">
        <v>0</v>
      </c>
      <c r="AL88" s="43" t="s">
        <v>0</v>
      </c>
      <c r="AM88" s="9" t="s">
        <v>0</v>
      </c>
      <c r="AN88" s="43" t="s">
        <v>0</v>
      </c>
      <c r="AO88" s="9" t="s">
        <v>0</v>
      </c>
      <c r="AP88" s="9" t="s">
        <v>0</v>
      </c>
      <c r="AQ88" s="43" t="s">
        <v>0</v>
      </c>
      <c r="AR88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88" s="9" t="str">
        <f t="shared" ref="AS88:AS113" si="172">IF(OR(AR88="",AR88="-"),"-",AR88*$M88*SQRT(3)/1000)</f>
        <v>-</v>
      </c>
      <c r="AT88" s="9">
        <f>IF(RIGHT(TKA[[#This Row],[Device type]],7)="Winding","-",TKA[[#This Row],[Cont Winter MVA]])</f>
        <v>11.43153532995459</v>
      </c>
      <c r="AU88" s="9">
        <f>IF(RIGHT(TKA[[#This Row],[Device type]],7)="Winding","-",TKA[[#This Row],[Cont Shoulder MVA]])</f>
        <v>11.43153532995459</v>
      </c>
      <c r="AV88" s="9">
        <f>IF(RIGHT(TKA[[#This Row],[Device type]],7)="Winding","-",TKA[[#This Row],[Cont Summer MVA]])</f>
        <v>11.43153532995459</v>
      </c>
      <c r="AW88" s="9" t="str">
        <f>TKA[[#This Row],[24 Hr Winter MVA]]</f>
        <v>-</v>
      </c>
      <c r="AX88" s="9" t="str">
        <f>TKA[[#This Row],[24 Hr Summer MVA]]</f>
        <v>-</v>
      </c>
      <c r="AY88" s="9">
        <f>TKA[[#This Row],[Forwards MVA]]</f>
        <v>5.258506251779111</v>
      </c>
      <c r="AZ88" s="9" t="str">
        <f>TKA[[#This Row],[Relay MVA]]</f>
        <v>-</v>
      </c>
      <c r="BA88" s="9" t="str">
        <f>TKA[[#This Row],[CT MVA]]</f>
        <v>-</v>
      </c>
      <c r="BB88" s="9" t="str">
        <f>TKA[[#This Row],[Derating MVA]]</f>
        <v>-</v>
      </c>
      <c r="BC88" s="9" t="str">
        <f>TKA[[#This Row],[Station/Feeder]]&amp;TKA[[#This Row],[Lowest MVA]]</f>
        <v>M200_Haldon_Lilybank5.25850625177911</v>
      </c>
      <c r="BD88" s="9" t="str">
        <f>CONCATENATE(TKA[[#This Row],[Supply Level]],TKA[[#This Row],[Station/Feeder]],TKA[[#This Row],[Voltage]],TKA[[#This Row],[Lowest A-No PTX]])</f>
        <v>DistributionFeederM200_Haldon_Lilybank11276</v>
      </c>
      <c r="BE88" s="9" t="str">
        <f>CONCATENATE(TKA[[#This Row],[Supply Level]],TKA[[#This Row],[Station/Feeder]],TKA[[#This Row],[Voltage]],TKA[[#This Row],[Lowest A-PTX]])</f>
        <v>DistributionFeederM200_Haldon_Lilybank11276</v>
      </c>
      <c r="BF88" s="9">
        <f>IF(MIN(TKA[[#This Row],[Summ Cont Winter A]]:TKA[[#This Row],[Cable Derating]])=0,"",MIN(TKA[[#This Row],[Summ Cont Winter A]]:TKA[[#This Row],[Cable Derating]]))</f>
        <v>5.258506251779111</v>
      </c>
      <c r="BG88" s="9">
        <f>IFERROR(TKA[[#This Row],[Lowest MVA]]*1000/(TKA[[#This Row],[Voltage]]*SQRT(3)),"")</f>
        <v>276</v>
      </c>
      <c r="BH88" s="9">
        <f t="shared" ref="BH88:BH110" si="173">IF(MIN(N88,P88,R88,T88,V88,X88,Z88,AB88,AD88,AR88)=0,"",MIN(N88,P88,R88,T88,V88,X88,Z88,AB88,AD88,AR88))</f>
        <v>276</v>
      </c>
      <c r="BI88" s="9" t="str">
        <f>TKA[[#This Row],[From]]</f>
        <v>11 kV Bus</v>
      </c>
      <c r="BJ88" s="9" t="str">
        <f>TKA[[#This Row],[To]]</f>
        <v>M194</v>
      </c>
      <c r="BK88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Circuit Breaker-TEK-M200-Protection</v>
      </c>
      <c r="BL88" s="9">
        <f>TKA[[#This Row],[Voltage]]</f>
        <v>11</v>
      </c>
    </row>
    <row r="89" spans="1:64" s="1" customFormat="1" ht="15" customHeight="1" x14ac:dyDescent="0.25">
      <c r="A89" s="6" t="str">
        <f>CONCATENATE(TKA[[#This Row],[Supply Level]],TKA[[#This Row],[Station/Feeder]],TKA[[#This Row],[Voltage]])</f>
        <v>DistributionFeederM200_Haldon_Lilybank11</v>
      </c>
      <c r="B89" s="6" t="str">
        <f>CONCATENATE(TKA[[#This Row],[Supply Level]],TKA[[#This Row],[Station/Feeder]],TKA[[#This Row],[Equipment ID]],TKA[[#This Row],[Voltage]],TKA[[#This Row],[Device type]])</f>
        <v>DistributionFeederM200_Haldon_Lilybank1-3c 150 mm² Al PILC11-</v>
      </c>
      <c r="C89" s="6" t="s">
        <v>1276</v>
      </c>
      <c r="D89" s="6" t="s">
        <v>94</v>
      </c>
      <c r="E89" s="7" t="s">
        <v>243</v>
      </c>
      <c r="F89" s="7" t="s">
        <v>425</v>
      </c>
      <c r="G89" s="57">
        <v>2</v>
      </c>
      <c r="H89" s="46" t="s">
        <v>276</v>
      </c>
      <c r="I89" s="46" t="s">
        <v>568</v>
      </c>
      <c r="J89" s="46" t="s">
        <v>250</v>
      </c>
      <c r="K89" s="46" t="s">
        <v>0</v>
      </c>
      <c r="L89" s="46" t="s">
        <v>0</v>
      </c>
      <c r="M89" s="57">
        <v>11</v>
      </c>
      <c r="N89" s="9">
        <v>265</v>
      </c>
      <c r="O89" s="9">
        <f t="shared" si="163"/>
        <v>5.0489281040632772</v>
      </c>
      <c r="P89" s="9">
        <v>265</v>
      </c>
      <c r="Q89" s="9">
        <f t="shared" si="164"/>
        <v>5.0489281040632772</v>
      </c>
      <c r="R89" s="9">
        <v>265</v>
      </c>
      <c r="S89" s="9">
        <f t="shared" si="165"/>
        <v>5.0489281040632772</v>
      </c>
      <c r="T89" s="9" t="s">
        <v>0</v>
      </c>
      <c r="U89" s="9" t="str">
        <f t="shared" si="166"/>
        <v>-</v>
      </c>
      <c r="V89" s="9" t="s">
        <v>0</v>
      </c>
      <c r="W89" s="9" t="str">
        <f t="shared" si="167"/>
        <v>-</v>
      </c>
      <c r="X89" s="9" t="s">
        <v>0</v>
      </c>
      <c r="Y89" s="9" t="str">
        <f t="shared" si="168"/>
        <v>-</v>
      </c>
      <c r="Z89" s="9" t="s">
        <v>0</v>
      </c>
      <c r="AA89" s="9" t="str">
        <f t="shared" si="169"/>
        <v>-</v>
      </c>
      <c r="AB89" s="9" t="s">
        <v>0</v>
      </c>
      <c r="AC89" s="9" t="str">
        <f t="shared" si="170"/>
        <v>-</v>
      </c>
      <c r="AD89" s="9" t="s">
        <v>0</v>
      </c>
      <c r="AE89" s="9" t="str">
        <f t="shared" si="171"/>
        <v>-</v>
      </c>
      <c r="AF89" s="9">
        <v>3</v>
      </c>
      <c r="AG89" s="9" t="s">
        <v>265</v>
      </c>
      <c r="AH89" s="9">
        <v>75.900000000000006</v>
      </c>
      <c r="AI89" s="9">
        <v>1.1000000000000001</v>
      </c>
      <c r="AJ89" s="43">
        <v>0.97</v>
      </c>
      <c r="AK89" s="9">
        <v>15</v>
      </c>
      <c r="AL89" s="43">
        <v>1</v>
      </c>
      <c r="AM89" s="9">
        <v>0.9</v>
      </c>
      <c r="AN89" s="43">
        <v>1.1000000000000001</v>
      </c>
      <c r="AO89" s="9">
        <v>5</v>
      </c>
      <c r="AP89" s="9">
        <v>0.15</v>
      </c>
      <c r="AQ89" s="43">
        <v>0.66</v>
      </c>
      <c r="AR89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186.61829999999998</v>
      </c>
      <c r="AS89" s="9">
        <f t="shared" si="172"/>
        <v>3.5555561494434405</v>
      </c>
      <c r="AT89" s="9">
        <f>IF(RIGHT(TKA[[#This Row],[Device type]],7)="Winding","-",TKA[[#This Row],[Cont Winter MVA]])</f>
        <v>5.0489281040632772</v>
      </c>
      <c r="AU89" s="9">
        <f>IF(RIGHT(TKA[[#This Row],[Device type]],7)="Winding","-",TKA[[#This Row],[Cont Shoulder MVA]])</f>
        <v>5.0489281040632772</v>
      </c>
      <c r="AV89" s="9">
        <f>IF(RIGHT(TKA[[#This Row],[Device type]],7)="Winding","-",TKA[[#This Row],[Cont Summer MVA]])</f>
        <v>5.0489281040632772</v>
      </c>
      <c r="AW89" s="9" t="str">
        <f>TKA[[#This Row],[24 Hr Winter MVA]]</f>
        <v>-</v>
      </c>
      <c r="AX89" s="9" t="str">
        <f>TKA[[#This Row],[24 Hr Summer MVA]]</f>
        <v>-</v>
      </c>
      <c r="AY89" s="9" t="str">
        <f>TKA[[#This Row],[Forwards MVA]]</f>
        <v>-</v>
      </c>
      <c r="AZ89" s="9" t="str">
        <f>TKA[[#This Row],[Relay MVA]]</f>
        <v>-</v>
      </c>
      <c r="BA89" s="9" t="str">
        <f>TKA[[#This Row],[CT MVA]]</f>
        <v>-</v>
      </c>
      <c r="BB89" s="9">
        <f>TKA[[#This Row],[Derating MVA]]</f>
        <v>3.5555561494434405</v>
      </c>
      <c r="BC89" s="9" t="str">
        <f>TKA[[#This Row],[Station/Feeder]]&amp;TKA[[#This Row],[Lowest MVA]]</f>
        <v>M200_Haldon_Lilybank3.55555614944344</v>
      </c>
      <c r="BD89" s="9" t="str">
        <f>CONCATENATE(TKA[[#This Row],[Supply Level]],TKA[[#This Row],[Station/Feeder]],TKA[[#This Row],[Voltage]],TKA[[#This Row],[Lowest A-No PTX]])</f>
        <v>DistributionFeederM200_Haldon_Lilybank11186.6183</v>
      </c>
      <c r="BE89" s="9" t="str">
        <f>CONCATENATE(TKA[[#This Row],[Supply Level]],TKA[[#This Row],[Station/Feeder]],TKA[[#This Row],[Voltage]],TKA[[#This Row],[Lowest A-PTX]])</f>
        <v>DistributionFeederM200_Haldon_Lilybank11186.6183</v>
      </c>
      <c r="BF89" s="9">
        <f>IF(MIN(TKA[[#This Row],[Summ Cont Winter A]]:TKA[[#This Row],[Cable Derating]])=0,"",MIN(TKA[[#This Row],[Summ Cont Winter A]]:TKA[[#This Row],[Cable Derating]]))</f>
        <v>3.5555561494434405</v>
      </c>
      <c r="BG89" s="9">
        <f>IFERROR(TKA[[#This Row],[Lowest MVA]]*1000/(TKA[[#This Row],[Voltage]]*SQRT(3)),"")</f>
        <v>186.61829999999998</v>
      </c>
      <c r="BH89" s="9">
        <f t="shared" si="173"/>
        <v>186.61829999999998</v>
      </c>
      <c r="BI89" s="9" t="str">
        <f>TKA[[#This Row],[From]]</f>
        <v>11 kV Bus</v>
      </c>
      <c r="BJ89" s="9" t="str">
        <f>TKA[[#This Row],[To]]</f>
        <v>M194</v>
      </c>
      <c r="BK89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Cable-1-3c 150 mm² Al PILC</v>
      </c>
      <c r="BL89" s="9">
        <f>TKA[[#This Row],[Voltage]]</f>
        <v>11</v>
      </c>
    </row>
    <row r="90" spans="1:64" s="1" customFormat="1" ht="15" customHeight="1" x14ac:dyDescent="0.25">
      <c r="A90" s="6" t="str">
        <f>CONCATENATE(TKA[[#This Row],[Supply Level]],TKA[[#This Row],[Station/Feeder]],TKA[[#This Row],[Voltage]])</f>
        <v>DistributionFeederM200_Haldon_Lilybank11</v>
      </c>
      <c r="B90" s="6" t="str">
        <f>CONCATENATE(TKA[[#This Row],[Supply Level]],TKA[[#This Row],[Station/Feeder]],TKA[[#This Row],[Equipment ID]],TKA[[#This Row],[Voltage]],TKA[[#This Row],[Device type]])</f>
        <v>DistributionFeederM200_Haldon_LilybankM19411-</v>
      </c>
      <c r="C90" s="6" t="s">
        <v>1276</v>
      </c>
      <c r="D90" s="6" t="s">
        <v>94</v>
      </c>
      <c r="E90" s="7" t="s">
        <v>243</v>
      </c>
      <c r="F90" s="7" t="s">
        <v>425</v>
      </c>
      <c r="G90" s="57">
        <v>3</v>
      </c>
      <c r="H90" s="46" t="s">
        <v>273</v>
      </c>
      <c r="I90" s="46" t="s">
        <v>425</v>
      </c>
      <c r="J90" s="46" t="s">
        <v>249</v>
      </c>
      <c r="K90" s="46" t="s">
        <v>0</v>
      </c>
      <c r="L90" s="46" t="s">
        <v>0</v>
      </c>
      <c r="M90" s="57">
        <v>11</v>
      </c>
      <c r="N90" s="9" t="s">
        <v>0</v>
      </c>
      <c r="O90" s="9" t="str">
        <f t="shared" si="163"/>
        <v>-</v>
      </c>
      <c r="P90" s="9" t="s">
        <v>0</v>
      </c>
      <c r="Q90" s="9" t="str">
        <f t="shared" si="164"/>
        <v>-</v>
      </c>
      <c r="R90" s="9" t="s">
        <v>0</v>
      </c>
      <c r="S90" s="9" t="str">
        <f t="shared" si="165"/>
        <v>-</v>
      </c>
      <c r="T90" s="9" t="s">
        <v>0</v>
      </c>
      <c r="U90" s="9" t="str">
        <f t="shared" si="166"/>
        <v>-</v>
      </c>
      <c r="V90" s="9" t="s">
        <v>0</v>
      </c>
      <c r="W90" s="9" t="str">
        <f t="shared" si="167"/>
        <v>-</v>
      </c>
      <c r="X90" s="9" t="s">
        <v>0</v>
      </c>
      <c r="Y90" s="9" t="str">
        <f t="shared" si="168"/>
        <v>-</v>
      </c>
      <c r="Z90" s="9" t="s">
        <v>0</v>
      </c>
      <c r="AA90" s="9" t="str">
        <f t="shared" si="169"/>
        <v>-</v>
      </c>
      <c r="AB90" s="9" t="s">
        <v>0</v>
      </c>
      <c r="AC90" s="9" t="str">
        <f t="shared" si="170"/>
        <v>-</v>
      </c>
      <c r="AD90" s="9" t="s">
        <v>0</v>
      </c>
      <c r="AE90" s="9" t="str">
        <f t="shared" si="171"/>
        <v>-</v>
      </c>
      <c r="AF90" s="9" t="s">
        <v>0</v>
      </c>
      <c r="AG90" s="9" t="s">
        <v>0</v>
      </c>
      <c r="AH90" s="9" t="s">
        <v>0</v>
      </c>
      <c r="AI90" s="9" t="s">
        <v>0</v>
      </c>
      <c r="AJ90" s="43" t="s">
        <v>0</v>
      </c>
      <c r="AK90" s="9" t="s">
        <v>0</v>
      </c>
      <c r="AL90" s="43" t="s">
        <v>0</v>
      </c>
      <c r="AM90" s="9" t="s">
        <v>0</v>
      </c>
      <c r="AN90" s="43" t="s">
        <v>0</v>
      </c>
      <c r="AO90" s="9" t="s">
        <v>0</v>
      </c>
      <c r="AP90" s="9" t="s">
        <v>0</v>
      </c>
      <c r="AQ90" s="43" t="s">
        <v>0</v>
      </c>
      <c r="AR90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90" s="9" t="str">
        <f t="shared" si="172"/>
        <v>-</v>
      </c>
      <c r="AT90" s="9" t="str">
        <f>IF(RIGHT(TKA[[#This Row],[Device type]],7)="Winding","-",TKA[[#This Row],[Cont Winter MVA]])</f>
        <v>-</v>
      </c>
      <c r="AU90" s="9" t="str">
        <f>IF(RIGHT(TKA[[#This Row],[Device type]],7)="Winding","-",TKA[[#This Row],[Cont Shoulder MVA]])</f>
        <v>-</v>
      </c>
      <c r="AV90" s="9" t="str">
        <f>IF(RIGHT(TKA[[#This Row],[Device type]],7)="Winding","-",TKA[[#This Row],[Cont Summer MVA]])</f>
        <v>-</v>
      </c>
      <c r="AW90" s="9" t="str">
        <f>TKA[[#This Row],[24 Hr Winter MVA]]</f>
        <v>-</v>
      </c>
      <c r="AX90" s="9" t="str">
        <f>TKA[[#This Row],[24 Hr Summer MVA]]</f>
        <v>-</v>
      </c>
      <c r="AY90" s="9" t="str">
        <f>TKA[[#This Row],[Forwards MVA]]</f>
        <v>-</v>
      </c>
      <c r="AZ90" s="9" t="str">
        <f>TKA[[#This Row],[Relay MVA]]</f>
        <v>-</v>
      </c>
      <c r="BA90" s="9" t="str">
        <f>TKA[[#This Row],[CT MVA]]</f>
        <v>-</v>
      </c>
      <c r="BB90" s="9" t="str">
        <f>TKA[[#This Row],[Derating MVA]]</f>
        <v>-</v>
      </c>
      <c r="BC90" s="9" t="str">
        <f>TKA[[#This Row],[Station/Feeder]]&amp;TKA[[#This Row],[Lowest MVA]]</f>
        <v>M200_Haldon_Lilybank</v>
      </c>
      <c r="BD90" s="9" t="str">
        <f>CONCATENATE(TKA[[#This Row],[Supply Level]],TKA[[#This Row],[Station/Feeder]],TKA[[#This Row],[Voltage]],TKA[[#This Row],[Lowest A-No PTX]])</f>
        <v>DistributionFeederM200_Haldon_Lilybank11</v>
      </c>
      <c r="BE90" s="9" t="str">
        <f>CONCATENATE(TKA[[#This Row],[Supply Level]],TKA[[#This Row],[Station/Feeder]],TKA[[#This Row],[Voltage]],TKA[[#This Row],[Lowest A-PTX]])</f>
        <v>DistributionFeederM200_Haldon_Lilybank11</v>
      </c>
      <c r="BF90" s="9" t="str">
        <f>IF(MIN(TKA[[#This Row],[Summ Cont Winter A]]:TKA[[#This Row],[Cable Derating]])=0,"",MIN(TKA[[#This Row],[Summ Cont Winter A]]:TKA[[#This Row],[Cable Derating]]))</f>
        <v/>
      </c>
      <c r="BG90" s="9" t="str">
        <f>IFERROR(TKA[[#This Row],[Lowest MVA]]*1000/(TKA[[#This Row],[Voltage]]*SQRT(3)),"")</f>
        <v/>
      </c>
      <c r="BH90" s="9" t="str">
        <f t="shared" si="173"/>
        <v/>
      </c>
      <c r="BI90" s="9" t="str">
        <f>TKA[[#This Row],[From]]</f>
        <v>11 kV Bus</v>
      </c>
      <c r="BJ90" s="9" t="str">
        <f>TKA[[#This Row],[To]]</f>
        <v>M194</v>
      </c>
      <c r="BK90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Link-M194</v>
      </c>
      <c r="BL90" s="9">
        <f>TKA[[#This Row],[Voltage]]</f>
        <v>11</v>
      </c>
    </row>
    <row r="91" spans="1:64" s="1" customFormat="1" ht="15" customHeight="1" x14ac:dyDescent="0.25">
      <c r="A91" s="6" t="str">
        <f>CONCATENATE(TKA[[#This Row],[Supply Level]],TKA[[#This Row],[Station/Feeder]],TKA[[#This Row],[Voltage]])</f>
        <v>DistributionFeederM200_Haldon_Lilybank11</v>
      </c>
      <c r="B91" s="6" t="str">
        <f>CONCATENATE(TKA[[#This Row],[Supply Level]],TKA[[#This Row],[Station/Feeder]],TKA[[#This Row],[Equipment ID]],TKA[[#This Row],[Voltage]],TKA[[#This Row],[Device type]])</f>
        <v>DistributionFeederM200_Haldon_LilybankUnknown Line11-</v>
      </c>
      <c r="C91" s="6" t="s">
        <v>1276</v>
      </c>
      <c r="D91" s="6" t="s">
        <v>94</v>
      </c>
      <c r="E91" s="7" t="s">
        <v>425</v>
      </c>
      <c r="F91" s="7" t="s">
        <v>418</v>
      </c>
      <c r="G91" s="57">
        <v>4</v>
      </c>
      <c r="H91" s="7" t="s">
        <v>1289</v>
      </c>
      <c r="I91" s="7" t="s">
        <v>388</v>
      </c>
      <c r="J91" s="7" t="s">
        <v>69</v>
      </c>
      <c r="K91" s="7" t="s">
        <v>0</v>
      </c>
      <c r="L91" s="7" t="s">
        <v>0</v>
      </c>
      <c r="M91" s="57">
        <v>11</v>
      </c>
      <c r="N91" s="9" t="s">
        <v>0</v>
      </c>
      <c r="O91" s="9" t="str">
        <f t="shared" si="163"/>
        <v>-</v>
      </c>
      <c r="P91" s="9" t="s">
        <v>0</v>
      </c>
      <c r="Q91" s="9" t="str">
        <f t="shared" si="164"/>
        <v>-</v>
      </c>
      <c r="R91" s="9" t="s">
        <v>0</v>
      </c>
      <c r="S91" s="9" t="str">
        <f t="shared" si="165"/>
        <v>-</v>
      </c>
      <c r="T91" s="9" t="s">
        <v>0</v>
      </c>
      <c r="U91" s="9" t="str">
        <f t="shared" si="166"/>
        <v>-</v>
      </c>
      <c r="V91" s="9" t="s">
        <v>0</v>
      </c>
      <c r="W91" s="9" t="str">
        <f t="shared" si="167"/>
        <v>-</v>
      </c>
      <c r="X91" s="9" t="s">
        <v>0</v>
      </c>
      <c r="Y91" s="9" t="str">
        <f t="shared" si="168"/>
        <v>-</v>
      </c>
      <c r="Z91" s="9" t="s">
        <v>0</v>
      </c>
      <c r="AA91" s="9" t="str">
        <f t="shared" si="169"/>
        <v>-</v>
      </c>
      <c r="AB91" s="9" t="s">
        <v>0</v>
      </c>
      <c r="AC91" s="9" t="str">
        <f t="shared" si="170"/>
        <v>-</v>
      </c>
      <c r="AD91" s="9" t="s">
        <v>0</v>
      </c>
      <c r="AE91" s="9" t="str">
        <f t="shared" si="171"/>
        <v>-</v>
      </c>
      <c r="AF91" s="9" t="s">
        <v>0</v>
      </c>
      <c r="AG91" s="9" t="s">
        <v>0</v>
      </c>
      <c r="AH91" s="9" t="s">
        <v>0</v>
      </c>
      <c r="AI91" s="9" t="s">
        <v>0</v>
      </c>
      <c r="AJ91" s="43" t="s">
        <v>0</v>
      </c>
      <c r="AK91" s="9" t="s">
        <v>0</v>
      </c>
      <c r="AL91" s="43" t="s">
        <v>0</v>
      </c>
      <c r="AM91" s="9" t="s">
        <v>0</v>
      </c>
      <c r="AN91" s="43" t="s">
        <v>0</v>
      </c>
      <c r="AO91" s="9" t="s">
        <v>0</v>
      </c>
      <c r="AP91" s="9" t="s">
        <v>0</v>
      </c>
      <c r="AQ91" s="43" t="s">
        <v>0</v>
      </c>
      <c r="AR91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91" s="9" t="str">
        <f t="shared" si="172"/>
        <v>-</v>
      </c>
      <c r="AT91" s="9" t="str">
        <f>IF(RIGHT(TKA[[#This Row],[Device type]],7)="Winding","-",TKA[[#This Row],[Cont Winter MVA]])</f>
        <v>-</v>
      </c>
      <c r="AU91" s="9" t="str">
        <f>IF(RIGHT(TKA[[#This Row],[Device type]],7)="Winding","-",TKA[[#This Row],[Cont Shoulder MVA]])</f>
        <v>-</v>
      </c>
      <c r="AV91" s="9" t="str">
        <f>IF(RIGHT(TKA[[#This Row],[Device type]],7)="Winding","-",TKA[[#This Row],[Cont Summer MVA]])</f>
        <v>-</v>
      </c>
      <c r="AW91" s="9" t="str">
        <f>TKA[[#This Row],[24 Hr Winter MVA]]</f>
        <v>-</v>
      </c>
      <c r="AX91" s="9" t="str">
        <f>TKA[[#This Row],[24 Hr Summer MVA]]</f>
        <v>-</v>
      </c>
      <c r="AY91" s="9" t="str">
        <f>TKA[[#This Row],[Forwards MVA]]</f>
        <v>-</v>
      </c>
      <c r="AZ91" s="9" t="str">
        <f>TKA[[#This Row],[Relay MVA]]</f>
        <v>-</v>
      </c>
      <c r="BA91" s="9" t="str">
        <f>TKA[[#This Row],[CT MVA]]</f>
        <v>-</v>
      </c>
      <c r="BB91" s="9" t="str">
        <f>TKA[[#This Row],[Derating MVA]]</f>
        <v>-</v>
      </c>
      <c r="BC91" s="9" t="str">
        <f>TKA[[#This Row],[Station/Feeder]]&amp;TKA[[#This Row],[Lowest MVA]]</f>
        <v>M200_Haldon_Lilybank</v>
      </c>
      <c r="BD91" s="9" t="str">
        <f>CONCATENATE(TKA[[#This Row],[Supply Level]],TKA[[#This Row],[Station/Feeder]],TKA[[#This Row],[Voltage]],TKA[[#This Row],[Lowest A-No PTX]])</f>
        <v>DistributionFeederM200_Haldon_Lilybank11</v>
      </c>
      <c r="BE91" s="9" t="str">
        <f>CONCATENATE(TKA[[#This Row],[Supply Level]],TKA[[#This Row],[Station/Feeder]],TKA[[#This Row],[Voltage]],TKA[[#This Row],[Lowest A-PTX]])</f>
        <v>DistributionFeederM200_Haldon_Lilybank11</v>
      </c>
      <c r="BF91" s="9" t="str">
        <f>IF(MIN(TKA[[#This Row],[Summ Cont Winter A]]:TKA[[#This Row],[Cable Derating]])=0,"",MIN(TKA[[#This Row],[Summ Cont Winter A]]:TKA[[#This Row],[Cable Derating]]))</f>
        <v/>
      </c>
      <c r="BG91" s="9" t="str">
        <f>IFERROR(TKA[[#This Row],[Lowest MVA]]*1000/(TKA[[#This Row],[Voltage]]*SQRT(3)),"")</f>
        <v/>
      </c>
      <c r="BH91" s="9" t="str">
        <f t="shared" si="173"/>
        <v/>
      </c>
      <c r="BI91" s="9" t="str">
        <f>TKA[[#This Row],[From]]</f>
        <v>M194</v>
      </c>
      <c r="BJ91" s="9" t="str">
        <f>TKA[[#This Row],[To]]</f>
        <v>Pole 14140</v>
      </c>
      <c r="BK91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Line-Unknown Line</v>
      </c>
      <c r="BL91" s="9">
        <f>TKA[[#This Row],[Voltage]]</f>
        <v>11</v>
      </c>
    </row>
    <row r="92" spans="1:64" s="1" customFormat="1" ht="15.75" customHeight="1" x14ac:dyDescent="0.25">
      <c r="A92" s="6" t="str">
        <f>CONCATENATE(TKA[[#This Row],[Supply Level]],TKA[[#This Row],[Station/Feeder]],TKA[[#This Row],[Voltage]])</f>
        <v>DistributionFeederM200_Haldon_Lilybank11</v>
      </c>
      <c r="B92" s="6" t="str">
        <f>CONCATENATE(TKA[[#This Row],[Supply Level]],TKA[[#This Row],[Station/Feeder]],TKA[[#This Row],[Equipment ID]],TKA[[#This Row],[Voltage]],TKA[[#This Row],[Device type]])</f>
        <v>DistributionFeederM200_Haldon_LilybankMINK11-</v>
      </c>
      <c r="C92" s="6" t="s">
        <v>1276</v>
      </c>
      <c r="D92" s="6" t="s">
        <v>94</v>
      </c>
      <c r="E92" s="7" t="s">
        <v>425</v>
      </c>
      <c r="F92" s="7" t="s">
        <v>418</v>
      </c>
      <c r="G92" s="57">
        <v>5</v>
      </c>
      <c r="H92" s="46" t="s">
        <v>1289</v>
      </c>
      <c r="I92" s="46" t="s">
        <v>282</v>
      </c>
      <c r="J92" s="46" t="s">
        <v>69</v>
      </c>
      <c r="K92" s="46" t="s">
        <v>0</v>
      </c>
      <c r="L92" s="46" t="s">
        <v>0</v>
      </c>
      <c r="M92" s="57">
        <v>11</v>
      </c>
      <c r="N92" s="9">
        <v>250.58233772128858</v>
      </c>
      <c r="O92" s="9">
        <f t="shared" si="163"/>
        <v>4.7742347445392053</v>
      </c>
      <c r="P92" s="9" t="s">
        <v>0</v>
      </c>
      <c r="Q92" s="9" t="str">
        <f t="shared" si="164"/>
        <v>-</v>
      </c>
      <c r="R92" s="9">
        <v>188.62660722014468</v>
      </c>
      <c r="S92" s="9">
        <f t="shared" si="165"/>
        <v>3.5938195410109186</v>
      </c>
      <c r="T92" s="9" t="s">
        <v>0</v>
      </c>
      <c r="U92" s="9" t="str">
        <f t="shared" si="166"/>
        <v>-</v>
      </c>
      <c r="V92" s="9" t="s">
        <v>0</v>
      </c>
      <c r="W92" s="9" t="str">
        <f t="shared" si="167"/>
        <v>-</v>
      </c>
      <c r="X92" s="9" t="s">
        <v>0</v>
      </c>
      <c r="Y92" s="9" t="str">
        <f t="shared" si="168"/>
        <v>-</v>
      </c>
      <c r="Z92" s="9" t="s">
        <v>0</v>
      </c>
      <c r="AA92" s="9" t="str">
        <f t="shared" si="169"/>
        <v>-</v>
      </c>
      <c r="AB92" s="9" t="s">
        <v>0</v>
      </c>
      <c r="AC92" s="9" t="str">
        <f t="shared" si="170"/>
        <v>-</v>
      </c>
      <c r="AD92" s="9" t="s">
        <v>0</v>
      </c>
      <c r="AE92" s="9" t="str">
        <f t="shared" si="171"/>
        <v>-</v>
      </c>
      <c r="AF92" s="9" t="s">
        <v>0</v>
      </c>
      <c r="AG92" s="9" t="s">
        <v>0</v>
      </c>
      <c r="AH92" s="9">
        <v>252.2</v>
      </c>
      <c r="AI92" s="9" t="s">
        <v>0</v>
      </c>
      <c r="AJ92" s="43" t="s">
        <v>0</v>
      </c>
      <c r="AK92" s="9" t="s">
        <v>0</v>
      </c>
      <c r="AL92" s="43" t="s">
        <v>0</v>
      </c>
      <c r="AM92" s="9" t="s">
        <v>0</v>
      </c>
      <c r="AN92" s="43" t="s">
        <v>0</v>
      </c>
      <c r="AO92" s="9" t="s">
        <v>0</v>
      </c>
      <c r="AP92" s="9" t="s">
        <v>0</v>
      </c>
      <c r="AQ92" s="43" t="s">
        <v>0</v>
      </c>
      <c r="AR92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92" s="9" t="str">
        <f t="shared" si="172"/>
        <v>-</v>
      </c>
      <c r="AT92" s="9">
        <f>IF(RIGHT(TKA[[#This Row],[Device type]],7)="Winding","-",TKA[[#This Row],[Cont Winter MVA]])</f>
        <v>4.7742347445392053</v>
      </c>
      <c r="AU92" s="9" t="str">
        <f>IF(RIGHT(TKA[[#This Row],[Device type]],7)="Winding","-",TKA[[#This Row],[Cont Shoulder MVA]])</f>
        <v>-</v>
      </c>
      <c r="AV92" s="9">
        <f>IF(RIGHT(TKA[[#This Row],[Device type]],7)="Winding","-",TKA[[#This Row],[Cont Summer MVA]])</f>
        <v>3.5938195410109186</v>
      </c>
      <c r="AW92" s="9" t="str">
        <f>TKA[[#This Row],[24 Hr Winter MVA]]</f>
        <v>-</v>
      </c>
      <c r="AX92" s="9" t="str">
        <f>TKA[[#This Row],[24 Hr Summer MVA]]</f>
        <v>-</v>
      </c>
      <c r="AY92" s="9" t="str">
        <f>TKA[[#This Row],[Forwards MVA]]</f>
        <v>-</v>
      </c>
      <c r="AZ92" s="9" t="str">
        <f>TKA[[#This Row],[Relay MVA]]</f>
        <v>-</v>
      </c>
      <c r="BA92" s="9" t="str">
        <f>TKA[[#This Row],[CT MVA]]</f>
        <v>-</v>
      </c>
      <c r="BB92" s="9" t="str">
        <f>TKA[[#This Row],[Derating MVA]]</f>
        <v>-</v>
      </c>
      <c r="BC92" s="9" t="str">
        <f>TKA[[#This Row],[Station/Feeder]]&amp;TKA[[#This Row],[Lowest MVA]]</f>
        <v>M200_Haldon_Lilybank3.59381954101092</v>
      </c>
      <c r="BD92" s="9" t="str">
        <f>CONCATENATE(TKA[[#This Row],[Supply Level]],TKA[[#This Row],[Station/Feeder]],TKA[[#This Row],[Voltage]],TKA[[#This Row],[Lowest A-No PTX]])</f>
        <v>DistributionFeederM200_Haldon_Lilybank11188.626607220145</v>
      </c>
      <c r="BE92" s="9" t="str">
        <f>CONCATENATE(TKA[[#This Row],[Supply Level]],TKA[[#This Row],[Station/Feeder]],TKA[[#This Row],[Voltage]],TKA[[#This Row],[Lowest A-PTX]])</f>
        <v>DistributionFeederM200_Haldon_Lilybank11188.626607220145</v>
      </c>
      <c r="BF92" s="9">
        <f>IF(MIN(TKA[[#This Row],[Summ Cont Winter A]]:TKA[[#This Row],[Cable Derating]])=0,"",MIN(TKA[[#This Row],[Summ Cont Winter A]]:TKA[[#This Row],[Cable Derating]]))</f>
        <v>3.5938195410109186</v>
      </c>
      <c r="BG92" s="9">
        <f>IFERROR(TKA[[#This Row],[Lowest MVA]]*1000/(TKA[[#This Row],[Voltage]]*SQRT(3)),"")</f>
        <v>188.62660722014468</v>
      </c>
      <c r="BH92" s="9">
        <f t="shared" si="173"/>
        <v>188.62660722014468</v>
      </c>
      <c r="BI92" s="9" t="str">
        <f>TKA[[#This Row],[From]]</f>
        <v>M194</v>
      </c>
      <c r="BJ92" s="9" t="str">
        <f>TKA[[#This Row],[To]]</f>
        <v>Pole 14140</v>
      </c>
      <c r="BK92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Line-MINK</v>
      </c>
      <c r="BL92" s="9">
        <f>TKA[[#This Row],[Voltage]]</f>
        <v>11</v>
      </c>
    </row>
    <row r="93" spans="1:64" s="1" customFormat="1" ht="15" customHeight="1" x14ac:dyDescent="0.25">
      <c r="A93" s="6" t="str">
        <f>CONCATENATE(TKA[[#This Row],[Supply Level]],TKA[[#This Row],[Station/Feeder]],TKA[[#This Row],[Voltage]])</f>
        <v>DistributionFeederM200_Haldon_Lilybank11</v>
      </c>
      <c r="B93" s="6" t="str">
        <f>CONCATENATE(TKA[[#This Row],[Supply Level]],TKA[[#This Row],[Station/Feeder]],TKA[[#This Row],[Equipment ID]],TKA[[#This Row],[Voltage]],TKA[[#This Row],[Device type]])</f>
        <v>DistributionFeederM200_Haldon_LilybankDOG11-</v>
      </c>
      <c r="C93" s="6" t="s">
        <v>1276</v>
      </c>
      <c r="D93" s="6" t="s">
        <v>94</v>
      </c>
      <c r="E93" s="7" t="s">
        <v>425</v>
      </c>
      <c r="F93" s="7" t="s">
        <v>418</v>
      </c>
      <c r="G93" s="57">
        <v>6</v>
      </c>
      <c r="H93" s="46" t="s">
        <v>1289</v>
      </c>
      <c r="I93" s="46" t="s">
        <v>318</v>
      </c>
      <c r="J93" s="46" t="s">
        <v>69</v>
      </c>
      <c r="K93" s="46" t="s">
        <v>0</v>
      </c>
      <c r="L93" s="46" t="s">
        <v>0</v>
      </c>
      <c r="M93" s="57">
        <v>11</v>
      </c>
      <c r="N93" s="9">
        <v>343.69342642524197</v>
      </c>
      <c r="O93" s="9">
        <f t="shared" si="163"/>
        <v>6.5482392447555027</v>
      </c>
      <c r="P93" s="9" t="s">
        <v>0</v>
      </c>
      <c r="Q93" s="9" t="str">
        <f t="shared" si="164"/>
        <v>-</v>
      </c>
      <c r="R93" s="9">
        <v>256.85852310343915</v>
      </c>
      <c r="S93" s="9">
        <f t="shared" si="165"/>
        <v>4.8938121360948701</v>
      </c>
      <c r="T93" s="9" t="s">
        <v>0</v>
      </c>
      <c r="U93" s="9" t="str">
        <f t="shared" si="166"/>
        <v>-</v>
      </c>
      <c r="V93" s="9" t="s">
        <v>0</v>
      </c>
      <c r="W93" s="9" t="str">
        <f t="shared" si="167"/>
        <v>-</v>
      </c>
      <c r="X93" s="9" t="s">
        <v>0</v>
      </c>
      <c r="Y93" s="9" t="str">
        <f t="shared" si="168"/>
        <v>-</v>
      </c>
      <c r="Z93" s="9" t="s">
        <v>0</v>
      </c>
      <c r="AA93" s="9" t="str">
        <f t="shared" si="169"/>
        <v>-</v>
      </c>
      <c r="AB93" s="9" t="s">
        <v>0</v>
      </c>
      <c r="AC93" s="9" t="str">
        <f t="shared" si="170"/>
        <v>-</v>
      </c>
      <c r="AD93" s="9" t="s">
        <v>0</v>
      </c>
      <c r="AE93" s="9" t="str">
        <f t="shared" si="171"/>
        <v>-</v>
      </c>
      <c r="AF93" s="9" t="s">
        <v>0</v>
      </c>
      <c r="AG93" s="9" t="s">
        <v>0</v>
      </c>
      <c r="AH93" s="9">
        <v>822.3</v>
      </c>
      <c r="AI93" s="9" t="s">
        <v>0</v>
      </c>
      <c r="AJ93" s="43" t="s">
        <v>0</v>
      </c>
      <c r="AK93" s="9" t="s">
        <v>0</v>
      </c>
      <c r="AL93" s="43" t="s">
        <v>0</v>
      </c>
      <c r="AM93" s="9" t="s">
        <v>0</v>
      </c>
      <c r="AN93" s="43" t="s">
        <v>0</v>
      </c>
      <c r="AO93" s="9" t="s">
        <v>0</v>
      </c>
      <c r="AP93" s="9" t="s">
        <v>0</v>
      </c>
      <c r="AQ93" s="43" t="s">
        <v>0</v>
      </c>
      <c r="AR93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93" s="9" t="str">
        <f t="shared" si="172"/>
        <v>-</v>
      </c>
      <c r="AT93" s="9">
        <f>IF(RIGHT(TKA[[#This Row],[Device type]],7)="Winding","-",TKA[[#This Row],[Cont Winter MVA]])</f>
        <v>6.5482392447555027</v>
      </c>
      <c r="AU93" s="9" t="str">
        <f>IF(RIGHT(TKA[[#This Row],[Device type]],7)="Winding","-",TKA[[#This Row],[Cont Shoulder MVA]])</f>
        <v>-</v>
      </c>
      <c r="AV93" s="9">
        <f>IF(RIGHT(TKA[[#This Row],[Device type]],7)="Winding","-",TKA[[#This Row],[Cont Summer MVA]])</f>
        <v>4.8938121360948701</v>
      </c>
      <c r="AW93" s="9" t="str">
        <f>TKA[[#This Row],[24 Hr Winter MVA]]</f>
        <v>-</v>
      </c>
      <c r="AX93" s="9" t="str">
        <f>TKA[[#This Row],[24 Hr Summer MVA]]</f>
        <v>-</v>
      </c>
      <c r="AY93" s="9" t="str">
        <f>TKA[[#This Row],[Forwards MVA]]</f>
        <v>-</v>
      </c>
      <c r="AZ93" s="9" t="str">
        <f>TKA[[#This Row],[Relay MVA]]</f>
        <v>-</v>
      </c>
      <c r="BA93" s="9" t="str">
        <f>TKA[[#This Row],[CT MVA]]</f>
        <v>-</v>
      </c>
      <c r="BB93" s="9" t="str">
        <f>TKA[[#This Row],[Derating MVA]]</f>
        <v>-</v>
      </c>
      <c r="BC93" s="9" t="str">
        <f>TKA[[#This Row],[Station/Feeder]]&amp;TKA[[#This Row],[Lowest MVA]]</f>
        <v>M200_Haldon_Lilybank4.89381213609487</v>
      </c>
      <c r="BD93" s="9" t="str">
        <f>CONCATENATE(TKA[[#This Row],[Supply Level]],TKA[[#This Row],[Station/Feeder]],TKA[[#This Row],[Voltage]],TKA[[#This Row],[Lowest A-No PTX]])</f>
        <v>DistributionFeederM200_Haldon_Lilybank11256.858523103439</v>
      </c>
      <c r="BE93" s="9" t="str">
        <f>CONCATENATE(TKA[[#This Row],[Supply Level]],TKA[[#This Row],[Station/Feeder]],TKA[[#This Row],[Voltage]],TKA[[#This Row],[Lowest A-PTX]])</f>
        <v>DistributionFeederM200_Haldon_Lilybank11256.858523103439</v>
      </c>
      <c r="BF93" s="9">
        <f>IF(MIN(TKA[[#This Row],[Summ Cont Winter A]]:TKA[[#This Row],[Cable Derating]])=0,"",MIN(TKA[[#This Row],[Summ Cont Winter A]]:TKA[[#This Row],[Cable Derating]]))</f>
        <v>4.8938121360948701</v>
      </c>
      <c r="BG93" s="9">
        <f>IFERROR(TKA[[#This Row],[Lowest MVA]]*1000/(TKA[[#This Row],[Voltage]]*SQRT(3)),"")</f>
        <v>256.85852310343915</v>
      </c>
      <c r="BH93" s="9">
        <f t="shared" si="173"/>
        <v>256.85852310343915</v>
      </c>
      <c r="BI93" s="9" t="str">
        <f>TKA[[#This Row],[From]]</f>
        <v>M194</v>
      </c>
      <c r="BJ93" s="9" t="str">
        <f>TKA[[#This Row],[To]]</f>
        <v>Pole 14140</v>
      </c>
      <c r="BK93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Line-DOG</v>
      </c>
      <c r="BL93" s="9">
        <f>TKA[[#This Row],[Voltage]]</f>
        <v>11</v>
      </c>
    </row>
    <row r="94" spans="1:64" s="1" customFormat="1" ht="15" customHeight="1" x14ac:dyDescent="0.25">
      <c r="A94" s="6" t="str">
        <f>CONCATENATE(TKA[[#This Row],[Supply Level]],TKA[[#This Row],[Station/Feeder]],TKA[[#This Row],[Voltage]])</f>
        <v>DistributionFeederM201_Simons11</v>
      </c>
      <c r="B94" s="6" t="str">
        <f>CONCATENATE(TKA[[#This Row],[Supply Level]],TKA[[#This Row],[Station/Feeder]],TKA[[#This Row],[Equipment ID]],TKA[[#This Row],[Voltage]],TKA[[#This Row],[Device type]])</f>
        <v>DistributionFeederM201_SimonsTEK-M20111Protection</v>
      </c>
      <c r="C94" s="6" t="s">
        <v>1276</v>
      </c>
      <c r="D94" s="6" t="s">
        <v>107</v>
      </c>
      <c r="E94" s="7" t="s">
        <v>243</v>
      </c>
      <c r="F94" s="46" t="s">
        <v>442</v>
      </c>
      <c r="G94" s="57">
        <v>1</v>
      </c>
      <c r="H94" s="46" t="s">
        <v>343</v>
      </c>
      <c r="I94" s="7" t="s">
        <v>2430</v>
      </c>
      <c r="J94" s="7" t="s">
        <v>15</v>
      </c>
      <c r="K94" s="7" t="s">
        <v>791</v>
      </c>
      <c r="L94" s="7" t="s">
        <v>1423</v>
      </c>
      <c r="M94" s="57">
        <v>11</v>
      </c>
      <c r="N94" s="9">
        <v>600</v>
      </c>
      <c r="O94" s="9">
        <f t="shared" si="163"/>
        <v>11.43153532995459</v>
      </c>
      <c r="P94" s="9">
        <v>600</v>
      </c>
      <c r="Q94" s="9">
        <f t="shared" si="164"/>
        <v>11.43153532995459</v>
      </c>
      <c r="R94" s="9">
        <v>600</v>
      </c>
      <c r="S94" s="9">
        <f t="shared" si="165"/>
        <v>11.43153532995459</v>
      </c>
      <c r="T94" s="9" t="s">
        <v>0</v>
      </c>
      <c r="U94" s="9" t="str">
        <f t="shared" si="166"/>
        <v>-</v>
      </c>
      <c r="V94" s="9" t="s">
        <v>0</v>
      </c>
      <c r="W94" s="9" t="str">
        <f t="shared" si="167"/>
        <v>-</v>
      </c>
      <c r="X94" s="9">
        <f>VLOOKUP(TKA[[#This Row],[Equipment ID]],AEL_Protection_Data[#All],12,0)</f>
        <v>250</v>
      </c>
      <c r="Y94" s="9">
        <f t="shared" si="168"/>
        <v>4.7631397208144124</v>
      </c>
      <c r="Z94" s="9" t="s">
        <v>0</v>
      </c>
      <c r="AA94" s="9" t="str">
        <f t="shared" si="169"/>
        <v>-</v>
      </c>
      <c r="AB94" s="9" t="s">
        <v>0</v>
      </c>
      <c r="AC94" s="9" t="str">
        <f t="shared" si="170"/>
        <v>-</v>
      </c>
      <c r="AD94" s="9" t="s">
        <v>0</v>
      </c>
      <c r="AE94" s="9" t="str">
        <f t="shared" si="171"/>
        <v>-</v>
      </c>
      <c r="AF94" s="9" t="s">
        <v>0</v>
      </c>
      <c r="AG94" s="9" t="s">
        <v>0</v>
      </c>
      <c r="AH94" s="9" t="s">
        <v>0</v>
      </c>
      <c r="AI94" s="9" t="s">
        <v>0</v>
      </c>
      <c r="AJ94" s="43" t="s">
        <v>0</v>
      </c>
      <c r="AK94" s="9" t="s">
        <v>0</v>
      </c>
      <c r="AL94" s="43" t="s">
        <v>0</v>
      </c>
      <c r="AM94" s="9" t="s">
        <v>0</v>
      </c>
      <c r="AN94" s="43" t="s">
        <v>0</v>
      </c>
      <c r="AO94" s="9" t="s">
        <v>0</v>
      </c>
      <c r="AP94" s="9" t="s">
        <v>0</v>
      </c>
      <c r="AQ94" s="43" t="s">
        <v>0</v>
      </c>
      <c r="AR94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94" s="9" t="str">
        <f t="shared" si="172"/>
        <v>-</v>
      </c>
      <c r="AT94" s="9">
        <f>IF(RIGHT(TKA[[#This Row],[Device type]],7)="Winding","-",TKA[[#This Row],[Cont Winter MVA]])</f>
        <v>11.43153532995459</v>
      </c>
      <c r="AU94" s="9">
        <f>IF(RIGHT(TKA[[#This Row],[Device type]],7)="Winding","-",TKA[[#This Row],[Cont Shoulder MVA]])</f>
        <v>11.43153532995459</v>
      </c>
      <c r="AV94" s="9">
        <f>IF(RIGHT(TKA[[#This Row],[Device type]],7)="Winding","-",TKA[[#This Row],[Cont Summer MVA]])</f>
        <v>11.43153532995459</v>
      </c>
      <c r="AW94" s="9" t="str">
        <f>TKA[[#This Row],[24 Hr Winter MVA]]</f>
        <v>-</v>
      </c>
      <c r="AX94" s="9" t="str">
        <f>TKA[[#This Row],[24 Hr Summer MVA]]</f>
        <v>-</v>
      </c>
      <c r="AY94" s="9">
        <f>TKA[[#This Row],[Forwards MVA]]</f>
        <v>4.7631397208144124</v>
      </c>
      <c r="AZ94" s="9" t="str">
        <f>TKA[[#This Row],[Relay MVA]]</f>
        <v>-</v>
      </c>
      <c r="BA94" s="9" t="str">
        <f>TKA[[#This Row],[CT MVA]]</f>
        <v>-</v>
      </c>
      <c r="BB94" s="9" t="str">
        <f>TKA[[#This Row],[Derating MVA]]</f>
        <v>-</v>
      </c>
      <c r="BC94" s="9" t="str">
        <f>TKA[[#This Row],[Station/Feeder]]&amp;TKA[[#This Row],[Lowest MVA]]</f>
        <v>M201_Simons4.76313972081441</v>
      </c>
      <c r="BD94" s="9" t="str">
        <f>CONCATENATE(TKA[[#This Row],[Supply Level]],TKA[[#This Row],[Station/Feeder]],TKA[[#This Row],[Voltage]],TKA[[#This Row],[Lowest A-No PTX]])</f>
        <v>DistributionFeederM201_Simons11250</v>
      </c>
      <c r="BE94" s="9" t="str">
        <f>CONCATENATE(TKA[[#This Row],[Supply Level]],TKA[[#This Row],[Station/Feeder]],TKA[[#This Row],[Voltage]],TKA[[#This Row],[Lowest A-PTX]])</f>
        <v>DistributionFeederM201_Simons11250</v>
      </c>
      <c r="BF94" s="9">
        <f>IF(MIN(TKA[[#This Row],[Summ Cont Winter A]]:TKA[[#This Row],[Cable Derating]])=0,"",MIN(TKA[[#This Row],[Summ Cont Winter A]]:TKA[[#This Row],[Cable Derating]]))</f>
        <v>4.7631397208144124</v>
      </c>
      <c r="BG94" s="9">
        <f>IFERROR(TKA[[#This Row],[Lowest MVA]]*1000/(TKA[[#This Row],[Voltage]]*SQRT(3)),"")</f>
        <v>250</v>
      </c>
      <c r="BH94" s="9">
        <f t="shared" si="173"/>
        <v>250</v>
      </c>
      <c r="BI94" s="9" t="str">
        <f>TKA[[#This Row],[From]]</f>
        <v>11 kV Bus</v>
      </c>
      <c r="BJ94" s="9" t="str">
        <f>TKA[[#This Row],[To]]</f>
        <v>M175</v>
      </c>
      <c r="BK94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Circuit Breaker-TEK-M201-Protection</v>
      </c>
      <c r="BL94" s="9">
        <f>TKA[[#This Row],[Voltage]]</f>
        <v>11</v>
      </c>
    </row>
    <row r="95" spans="1:64" s="1" customFormat="1" ht="15" customHeight="1" x14ac:dyDescent="0.25">
      <c r="A95" s="6" t="str">
        <f>CONCATENATE(TKA[[#This Row],[Supply Level]],TKA[[#This Row],[Station/Feeder]],TKA[[#This Row],[Voltage]])</f>
        <v>DistributionFeederM201_Simons11</v>
      </c>
      <c r="B95" s="6" t="str">
        <f>CONCATENATE(TKA[[#This Row],[Supply Level]],TKA[[#This Row],[Station/Feeder]],TKA[[#This Row],[Equipment ID]],TKA[[#This Row],[Voltage]],TKA[[#This Row],[Device type]])</f>
        <v>DistributionFeederM201_Simons1-3c 150 mm² Al PILC11-</v>
      </c>
      <c r="C95" s="6" t="s">
        <v>1276</v>
      </c>
      <c r="D95" s="6" t="s">
        <v>107</v>
      </c>
      <c r="E95" s="7" t="s">
        <v>243</v>
      </c>
      <c r="F95" s="46" t="s">
        <v>442</v>
      </c>
      <c r="G95" s="57">
        <v>2</v>
      </c>
      <c r="H95" s="46" t="s">
        <v>276</v>
      </c>
      <c r="I95" s="46" t="s">
        <v>568</v>
      </c>
      <c r="J95" s="46" t="s">
        <v>250</v>
      </c>
      <c r="K95" s="46" t="s">
        <v>0</v>
      </c>
      <c r="L95" s="46" t="s">
        <v>0</v>
      </c>
      <c r="M95" s="57">
        <v>11</v>
      </c>
      <c r="N95" s="9">
        <v>265</v>
      </c>
      <c r="O95" s="9">
        <f t="shared" si="163"/>
        <v>5.0489281040632772</v>
      </c>
      <c r="P95" s="9">
        <v>265</v>
      </c>
      <c r="Q95" s="9">
        <f t="shared" si="164"/>
        <v>5.0489281040632772</v>
      </c>
      <c r="R95" s="9">
        <v>265</v>
      </c>
      <c r="S95" s="9">
        <f t="shared" si="165"/>
        <v>5.0489281040632772</v>
      </c>
      <c r="T95" s="9" t="s">
        <v>0</v>
      </c>
      <c r="U95" s="9" t="str">
        <f t="shared" si="166"/>
        <v>-</v>
      </c>
      <c r="V95" s="9" t="s">
        <v>0</v>
      </c>
      <c r="W95" s="9" t="str">
        <f t="shared" si="167"/>
        <v>-</v>
      </c>
      <c r="X95" s="9" t="s">
        <v>0</v>
      </c>
      <c r="Y95" s="9" t="str">
        <f t="shared" si="168"/>
        <v>-</v>
      </c>
      <c r="Z95" s="9" t="s">
        <v>0</v>
      </c>
      <c r="AA95" s="9" t="str">
        <f t="shared" si="169"/>
        <v>-</v>
      </c>
      <c r="AB95" s="9" t="s">
        <v>0</v>
      </c>
      <c r="AC95" s="9" t="str">
        <f t="shared" si="170"/>
        <v>-</v>
      </c>
      <c r="AD95" s="9" t="s">
        <v>0</v>
      </c>
      <c r="AE95" s="9" t="str">
        <f t="shared" si="171"/>
        <v>-</v>
      </c>
      <c r="AF95" s="9">
        <v>3</v>
      </c>
      <c r="AG95" s="9" t="s">
        <v>265</v>
      </c>
      <c r="AH95" s="9">
        <v>70.7</v>
      </c>
      <c r="AI95" s="9">
        <v>1.1000000000000001</v>
      </c>
      <c r="AJ95" s="43">
        <v>0.97</v>
      </c>
      <c r="AK95" s="9">
        <v>15</v>
      </c>
      <c r="AL95" s="43">
        <v>1</v>
      </c>
      <c r="AM95" s="9">
        <v>0.9</v>
      </c>
      <c r="AN95" s="43">
        <v>1.1000000000000001</v>
      </c>
      <c r="AO95" s="9">
        <v>5</v>
      </c>
      <c r="AP95" s="9">
        <v>0.15</v>
      </c>
      <c r="AQ95" s="43">
        <v>0.66</v>
      </c>
      <c r="AR95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186.61829999999998</v>
      </c>
      <c r="AS95" s="9">
        <f t="shared" si="172"/>
        <v>3.5555561494434405</v>
      </c>
      <c r="AT95" s="9">
        <f>IF(RIGHT(TKA[[#This Row],[Device type]],7)="Winding","-",TKA[[#This Row],[Cont Winter MVA]])</f>
        <v>5.0489281040632772</v>
      </c>
      <c r="AU95" s="9">
        <f>IF(RIGHT(TKA[[#This Row],[Device type]],7)="Winding","-",TKA[[#This Row],[Cont Shoulder MVA]])</f>
        <v>5.0489281040632772</v>
      </c>
      <c r="AV95" s="9">
        <f>IF(RIGHT(TKA[[#This Row],[Device type]],7)="Winding","-",TKA[[#This Row],[Cont Summer MVA]])</f>
        <v>5.0489281040632772</v>
      </c>
      <c r="AW95" s="9" t="str">
        <f>TKA[[#This Row],[24 Hr Winter MVA]]</f>
        <v>-</v>
      </c>
      <c r="AX95" s="9" t="str">
        <f>TKA[[#This Row],[24 Hr Summer MVA]]</f>
        <v>-</v>
      </c>
      <c r="AY95" s="9" t="str">
        <f>TKA[[#This Row],[Forwards MVA]]</f>
        <v>-</v>
      </c>
      <c r="AZ95" s="9" t="str">
        <f>TKA[[#This Row],[Relay MVA]]</f>
        <v>-</v>
      </c>
      <c r="BA95" s="9" t="str">
        <f>TKA[[#This Row],[CT MVA]]</f>
        <v>-</v>
      </c>
      <c r="BB95" s="9">
        <f>TKA[[#This Row],[Derating MVA]]</f>
        <v>3.5555561494434405</v>
      </c>
      <c r="BC95" s="9" t="str">
        <f>TKA[[#This Row],[Station/Feeder]]&amp;TKA[[#This Row],[Lowest MVA]]</f>
        <v>M201_Simons3.55555614944344</v>
      </c>
      <c r="BD95" s="9" t="str">
        <f>CONCATENATE(TKA[[#This Row],[Supply Level]],TKA[[#This Row],[Station/Feeder]],TKA[[#This Row],[Voltage]],TKA[[#This Row],[Lowest A-No PTX]])</f>
        <v>DistributionFeederM201_Simons11186.6183</v>
      </c>
      <c r="BE95" s="9" t="str">
        <f>CONCATENATE(TKA[[#This Row],[Supply Level]],TKA[[#This Row],[Station/Feeder]],TKA[[#This Row],[Voltage]],TKA[[#This Row],[Lowest A-PTX]])</f>
        <v>DistributionFeederM201_Simons11186.6183</v>
      </c>
      <c r="BF95" s="9">
        <f>IF(MIN(TKA[[#This Row],[Summ Cont Winter A]]:TKA[[#This Row],[Cable Derating]])=0,"",MIN(TKA[[#This Row],[Summ Cont Winter A]]:TKA[[#This Row],[Cable Derating]]))</f>
        <v>3.5555561494434405</v>
      </c>
      <c r="BG95" s="9">
        <f>IFERROR(TKA[[#This Row],[Lowest MVA]]*1000/(TKA[[#This Row],[Voltage]]*SQRT(3)),"")</f>
        <v>186.61829999999998</v>
      </c>
      <c r="BH95" s="9">
        <f t="shared" si="173"/>
        <v>186.61829999999998</v>
      </c>
      <c r="BI95" s="9" t="str">
        <f>TKA[[#This Row],[From]]</f>
        <v>11 kV Bus</v>
      </c>
      <c r="BJ95" s="9" t="str">
        <f>TKA[[#This Row],[To]]</f>
        <v>M175</v>
      </c>
      <c r="BK95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Cable-1-3c 150 mm² Al PILC</v>
      </c>
      <c r="BL95" s="9">
        <f>TKA[[#This Row],[Voltage]]</f>
        <v>11</v>
      </c>
    </row>
    <row r="96" spans="1:64" s="1" customFormat="1" ht="15" customHeight="1" x14ac:dyDescent="0.25">
      <c r="A96" s="6" t="str">
        <f>CONCATENATE(TKA[[#This Row],[Supply Level]],TKA[[#This Row],[Station/Feeder]],TKA[[#This Row],[Voltage]])</f>
        <v>DistributionFeederM201_Simons11</v>
      </c>
      <c r="B96" s="6" t="str">
        <f>CONCATENATE(TKA[[#This Row],[Supply Level]],TKA[[#This Row],[Station/Feeder]],TKA[[#This Row],[Equipment ID]],TKA[[#This Row],[Voltage]],TKA[[#This Row],[Device type]])</f>
        <v>DistributionFeederM201_SimonsM17511</v>
      </c>
      <c r="C96" s="6" t="s">
        <v>1276</v>
      </c>
      <c r="D96" s="6" t="s">
        <v>107</v>
      </c>
      <c r="E96" s="46" t="s">
        <v>442</v>
      </c>
      <c r="F96" s="46" t="s">
        <v>443</v>
      </c>
      <c r="G96" s="57">
        <v>3</v>
      </c>
      <c r="H96" s="46" t="s">
        <v>273</v>
      </c>
      <c r="I96" s="46" t="s">
        <v>442</v>
      </c>
      <c r="J96" s="46" t="s">
        <v>249</v>
      </c>
      <c r="K96" s="46"/>
      <c r="L96" s="46"/>
      <c r="M96" s="57">
        <v>11</v>
      </c>
      <c r="N96" s="9" t="s">
        <v>0</v>
      </c>
      <c r="O96" s="9" t="str">
        <f t="shared" si="163"/>
        <v>-</v>
      </c>
      <c r="P96" s="9" t="s">
        <v>0</v>
      </c>
      <c r="Q96" s="9" t="str">
        <f t="shared" si="164"/>
        <v>-</v>
      </c>
      <c r="R96" s="9" t="s">
        <v>0</v>
      </c>
      <c r="S96" s="9" t="str">
        <f t="shared" si="165"/>
        <v>-</v>
      </c>
      <c r="T96" s="9" t="s">
        <v>0</v>
      </c>
      <c r="U96" s="9" t="str">
        <f t="shared" si="166"/>
        <v>-</v>
      </c>
      <c r="V96" s="9" t="s">
        <v>0</v>
      </c>
      <c r="W96" s="9" t="str">
        <f t="shared" si="167"/>
        <v>-</v>
      </c>
      <c r="X96" s="9" t="s">
        <v>0</v>
      </c>
      <c r="Y96" s="9" t="str">
        <f t="shared" si="168"/>
        <v>-</v>
      </c>
      <c r="Z96" s="9" t="s">
        <v>0</v>
      </c>
      <c r="AA96" s="9" t="str">
        <f t="shared" si="169"/>
        <v>-</v>
      </c>
      <c r="AB96" s="9" t="s">
        <v>0</v>
      </c>
      <c r="AC96" s="9" t="str">
        <f t="shared" si="170"/>
        <v>-</v>
      </c>
      <c r="AD96" s="9" t="s">
        <v>0</v>
      </c>
      <c r="AE96" s="9" t="str">
        <f t="shared" si="171"/>
        <v>-</v>
      </c>
      <c r="AF96" s="9" t="s">
        <v>0</v>
      </c>
      <c r="AG96" s="9" t="s">
        <v>0</v>
      </c>
      <c r="AH96" s="9" t="s">
        <v>0</v>
      </c>
      <c r="AI96" s="9" t="s">
        <v>0</v>
      </c>
      <c r="AJ96" s="43" t="s">
        <v>0</v>
      </c>
      <c r="AK96" s="9" t="s">
        <v>0</v>
      </c>
      <c r="AL96" s="43" t="s">
        <v>0</v>
      </c>
      <c r="AM96" s="9" t="s">
        <v>0</v>
      </c>
      <c r="AN96" s="43" t="s">
        <v>0</v>
      </c>
      <c r="AO96" s="9" t="s">
        <v>0</v>
      </c>
      <c r="AP96" s="43" t="s">
        <v>0</v>
      </c>
      <c r="AQ96" s="43" t="s">
        <v>0</v>
      </c>
      <c r="AR96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96" s="9" t="str">
        <f t="shared" si="172"/>
        <v>-</v>
      </c>
      <c r="AT96" s="9" t="str">
        <f>IF(RIGHT(TKA[[#This Row],[Device type]],7)="Winding","-",TKA[[#This Row],[Cont Winter MVA]])</f>
        <v>-</v>
      </c>
      <c r="AU96" s="9" t="str">
        <f>IF(RIGHT(TKA[[#This Row],[Device type]],7)="Winding","-",TKA[[#This Row],[Cont Shoulder MVA]])</f>
        <v>-</v>
      </c>
      <c r="AV96" s="9" t="str">
        <f>IF(RIGHT(TKA[[#This Row],[Device type]],7)="Winding","-",TKA[[#This Row],[Cont Summer MVA]])</f>
        <v>-</v>
      </c>
      <c r="AW96" s="9" t="str">
        <f>TKA[[#This Row],[24 Hr Winter MVA]]</f>
        <v>-</v>
      </c>
      <c r="AX96" s="9" t="str">
        <f>TKA[[#This Row],[24 Hr Summer MVA]]</f>
        <v>-</v>
      </c>
      <c r="AY96" s="9" t="str">
        <f>TKA[[#This Row],[Forwards MVA]]</f>
        <v>-</v>
      </c>
      <c r="AZ96" s="9" t="str">
        <f>TKA[[#This Row],[Relay MVA]]</f>
        <v>-</v>
      </c>
      <c r="BA96" s="9" t="str">
        <f>TKA[[#This Row],[CT MVA]]</f>
        <v>-</v>
      </c>
      <c r="BB96" s="9" t="str">
        <f>TKA[[#This Row],[Derating MVA]]</f>
        <v>-</v>
      </c>
      <c r="BC96" s="9" t="str">
        <f>TKA[[#This Row],[Station/Feeder]]&amp;TKA[[#This Row],[Lowest MVA]]</f>
        <v>M201_Simons</v>
      </c>
      <c r="BD96" s="9" t="str">
        <f>CONCATENATE(TKA[[#This Row],[Supply Level]],TKA[[#This Row],[Station/Feeder]],TKA[[#This Row],[Voltage]],TKA[[#This Row],[Lowest A-No PTX]])</f>
        <v>DistributionFeederM201_Simons11</v>
      </c>
      <c r="BE96" s="9" t="str">
        <f>CONCATENATE(TKA[[#This Row],[Supply Level]],TKA[[#This Row],[Station/Feeder]],TKA[[#This Row],[Voltage]],TKA[[#This Row],[Lowest A-PTX]])</f>
        <v>DistributionFeederM201_Simons11</v>
      </c>
      <c r="BF96" s="9" t="str">
        <f>IF(MIN(TKA[[#This Row],[Summ Cont Winter A]]:TKA[[#This Row],[Cable Derating]])=0,"",MIN(TKA[[#This Row],[Summ Cont Winter A]]:TKA[[#This Row],[Cable Derating]]))</f>
        <v/>
      </c>
      <c r="BG96" s="9" t="str">
        <f>IFERROR(TKA[[#This Row],[Lowest MVA]]*1000/(TKA[[#This Row],[Voltage]]*SQRT(3)),"")</f>
        <v/>
      </c>
      <c r="BH96" s="9" t="str">
        <f t="shared" si="173"/>
        <v/>
      </c>
      <c r="BI96" s="9" t="str">
        <f>TKA[[#This Row],[From]]</f>
        <v>M175</v>
      </c>
      <c r="BJ96" s="9" t="str">
        <f>TKA[[#This Row],[To]]</f>
        <v>Pole 25260</v>
      </c>
      <c r="BK96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Link-M175-</v>
      </c>
      <c r="BL96" s="9">
        <f>TKA[[#This Row],[Voltage]]</f>
        <v>11</v>
      </c>
    </row>
    <row r="97" spans="1:64" s="1" customFormat="1" ht="15" customHeight="1" x14ac:dyDescent="0.25">
      <c r="A97" s="6" t="str">
        <f>CONCATENATE(TKA[[#This Row],[Supply Level]],TKA[[#This Row],[Station/Feeder]],TKA[[#This Row],[Voltage]])</f>
        <v>DistributionFeederM201_Simons11</v>
      </c>
      <c r="B97" s="6" t="str">
        <f>CONCATENATE(TKA[[#This Row],[Supply Level]],TKA[[#This Row],[Station/Feeder]],TKA[[#This Row],[Equipment ID]],TKA[[#This Row],[Voltage]],TKA[[#This Row],[Device type]])</f>
        <v>DistributionFeederM201_SimonsHERRING11-</v>
      </c>
      <c r="C97" s="6" t="s">
        <v>1276</v>
      </c>
      <c r="D97" s="6" t="s">
        <v>107</v>
      </c>
      <c r="E97" s="46" t="s">
        <v>442</v>
      </c>
      <c r="F97" s="46" t="s">
        <v>443</v>
      </c>
      <c r="G97" s="57">
        <v>4</v>
      </c>
      <c r="H97" s="46" t="s">
        <v>1289</v>
      </c>
      <c r="I97" s="46" t="s">
        <v>429</v>
      </c>
      <c r="J97" s="46" t="s">
        <v>69</v>
      </c>
      <c r="K97" s="46" t="s">
        <v>0</v>
      </c>
      <c r="L97" s="46" t="s">
        <v>0</v>
      </c>
      <c r="M97" s="57">
        <v>11</v>
      </c>
      <c r="N97" s="9">
        <v>96.377308793119241</v>
      </c>
      <c r="O97" s="9">
        <f t="shared" si="163"/>
        <v>1.8362343507908094</v>
      </c>
      <c r="P97" s="9" t="s">
        <v>0</v>
      </c>
      <c r="Q97" s="9" t="str">
        <f t="shared" si="164"/>
        <v>-</v>
      </c>
      <c r="R97" s="9">
        <v>73.709391096942639</v>
      </c>
      <c r="S97" s="9">
        <f t="shared" si="165"/>
        <v>1.4043525141235669</v>
      </c>
      <c r="T97" s="9" t="s">
        <v>0</v>
      </c>
      <c r="U97" s="9" t="str">
        <f t="shared" si="166"/>
        <v>-</v>
      </c>
      <c r="V97" s="9" t="s">
        <v>0</v>
      </c>
      <c r="W97" s="9" t="str">
        <f t="shared" si="167"/>
        <v>-</v>
      </c>
      <c r="X97" s="9" t="s">
        <v>0</v>
      </c>
      <c r="Y97" s="9" t="str">
        <f t="shared" si="168"/>
        <v>-</v>
      </c>
      <c r="Z97" s="9" t="s">
        <v>0</v>
      </c>
      <c r="AA97" s="9" t="str">
        <f t="shared" si="169"/>
        <v>-</v>
      </c>
      <c r="AB97" s="9" t="s">
        <v>0</v>
      </c>
      <c r="AC97" s="9" t="str">
        <f t="shared" si="170"/>
        <v>-</v>
      </c>
      <c r="AD97" s="9" t="s">
        <v>0</v>
      </c>
      <c r="AE97" s="9" t="str">
        <f t="shared" si="171"/>
        <v>-</v>
      </c>
      <c r="AF97" s="9" t="s">
        <v>0</v>
      </c>
      <c r="AG97" s="9" t="s">
        <v>0</v>
      </c>
      <c r="AH97" s="9">
        <v>2.5</v>
      </c>
      <c r="AI97" s="9" t="s">
        <v>0</v>
      </c>
      <c r="AJ97" s="43" t="s">
        <v>0</v>
      </c>
      <c r="AK97" s="9" t="s">
        <v>0</v>
      </c>
      <c r="AL97" s="43" t="s">
        <v>0</v>
      </c>
      <c r="AM97" s="9" t="s">
        <v>0</v>
      </c>
      <c r="AN97" s="43" t="s">
        <v>0</v>
      </c>
      <c r="AO97" s="9" t="s">
        <v>0</v>
      </c>
      <c r="AP97" s="9" t="s">
        <v>0</v>
      </c>
      <c r="AQ97" s="43" t="s">
        <v>0</v>
      </c>
      <c r="AR97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97" s="9" t="str">
        <f t="shared" si="172"/>
        <v>-</v>
      </c>
      <c r="AT97" s="9">
        <f>IF(RIGHT(TKA[[#This Row],[Device type]],7)="Winding","-",TKA[[#This Row],[Cont Winter MVA]])</f>
        <v>1.8362343507908094</v>
      </c>
      <c r="AU97" s="9" t="str">
        <f>IF(RIGHT(TKA[[#This Row],[Device type]],7)="Winding","-",TKA[[#This Row],[Cont Shoulder MVA]])</f>
        <v>-</v>
      </c>
      <c r="AV97" s="9">
        <f>IF(RIGHT(TKA[[#This Row],[Device type]],7)="Winding","-",TKA[[#This Row],[Cont Summer MVA]])</f>
        <v>1.4043525141235669</v>
      </c>
      <c r="AW97" s="9" t="str">
        <f>TKA[[#This Row],[24 Hr Winter MVA]]</f>
        <v>-</v>
      </c>
      <c r="AX97" s="9" t="str">
        <f>TKA[[#This Row],[24 Hr Summer MVA]]</f>
        <v>-</v>
      </c>
      <c r="AY97" s="9" t="str">
        <f>TKA[[#This Row],[Forwards MVA]]</f>
        <v>-</v>
      </c>
      <c r="AZ97" s="9" t="str">
        <f>TKA[[#This Row],[Relay MVA]]</f>
        <v>-</v>
      </c>
      <c r="BA97" s="9" t="str">
        <f>TKA[[#This Row],[CT MVA]]</f>
        <v>-</v>
      </c>
      <c r="BB97" s="9" t="str">
        <f>TKA[[#This Row],[Derating MVA]]</f>
        <v>-</v>
      </c>
      <c r="BC97" s="9" t="str">
        <f>TKA[[#This Row],[Station/Feeder]]&amp;TKA[[#This Row],[Lowest MVA]]</f>
        <v>M201_Simons1.40435251412357</v>
      </c>
      <c r="BD97" s="9" t="str">
        <f>CONCATENATE(TKA[[#This Row],[Supply Level]],TKA[[#This Row],[Station/Feeder]],TKA[[#This Row],[Voltage]],TKA[[#This Row],[Lowest A-No PTX]])</f>
        <v>DistributionFeederM201_Simons1173.7093910969426</v>
      </c>
      <c r="BE97" s="9" t="str">
        <f>CONCATENATE(TKA[[#This Row],[Supply Level]],TKA[[#This Row],[Station/Feeder]],TKA[[#This Row],[Voltage]],TKA[[#This Row],[Lowest A-PTX]])</f>
        <v>DistributionFeederM201_Simons1173.7093910969426</v>
      </c>
      <c r="BF97" s="9">
        <f>IF(MIN(TKA[[#This Row],[Summ Cont Winter A]]:TKA[[#This Row],[Cable Derating]])=0,"",MIN(TKA[[#This Row],[Summ Cont Winter A]]:TKA[[#This Row],[Cable Derating]]))</f>
        <v>1.4043525141235669</v>
      </c>
      <c r="BG97" s="9">
        <f>IFERROR(TKA[[#This Row],[Lowest MVA]]*1000/(TKA[[#This Row],[Voltage]]*SQRT(3)),"")</f>
        <v>73.709391096942639</v>
      </c>
      <c r="BH97" s="9">
        <f t="shared" si="173"/>
        <v>73.709391096942639</v>
      </c>
      <c r="BI97" s="9" t="str">
        <f>TKA[[#This Row],[From]]</f>
        <v>M175</v>
      </c>
      <c r="BJ97" s="9" t="str">
        <f>TKA[[#This Row],[To]]</f>
        <v>Pole 25260</v>
      </c>
      <c r="BK97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Line-HERRING</v>
      </c>
      <c r="BL97" s="9">
        <f>TKA[[#This Row],[Voltage]]</f>
        <v>11</v>
      </c>
    </row>
    <row r="98" spans="1:64" s="1" customFormat="1" ht="15" customHeight="1" x14ac:dyDescent="0.25">
      <c r="A98" s="6" t="str">
        <f>CONCATENATE(TKA[[#This Row],[Supply Level]],TKA[[#This Row],[Station/Feeder]],TKA[[#This Row],[Voltage]])</f>
        <v>DistributionFeederM201_Simons11</v>
      </c>
      <c r="B98" s="6" t="str">
        <f>CONCATENATE(TKA[[#This Row],[Supply Level]],TKA[[#This Row],[Station/Feeder]],TKA[[#This Row],[Equipment ID]],TKA[[#This Row],[Voltage]],TKA[[#This Row],[Device type]])</f>
        <v>DistributionFeederM201_SimonsM29711</v>
      </c>
      <c r="C98" s="6" t="s">
        <v>1276</v>
      </c>
      <c r="D98" s="6" t="s">
        <v>107</v>
      </c>
      <c r="E98" s="46" t="s">
        <v>442</v>
      </c>
      <c r="F98" s="46" t="s">
        <v>443</v>
      </c>
      <c r="G98" s="57">
        <v>5</v>
      </c>
      <c r="H98" s="46" t="s">
        <v>273</v>
      </c>
      <c r="I98" s="46" t="s">
        <v>444</v>
      </c>
      <c r="J98" s="46" t="s">
        <v>249</v>
      </c>
      <c r="K98" s="46"/>
      <c r="L98" s="46"/>
      <c r="M98" s="57">
        <v>11</v>
      </c>
      <c r="N98" s="9">
        <v>300</v>
      </c>
      <c r="O98" s="9">
        <f t="shared" si="163"/>
        <v>5.715767664977295</v>
      </c>
      <c r="P98" s="9">
        <v>300</v>
      </c>
      <c r="Q98" s="9">
        <f t="shared" si="164"/>
        <v>5.715767664977295</v>
      </c>
      <c r="R98" s="9">
        <v>300</v>
      </c>
      <c r="S98" s="9">
        <f t="shared" si="165"/>
        <v>5.715767664977295</v>
      </c>
      <c r="T98" s="9" t="s">
        <v>0</v>
      </c>
      <c r="U98" s="9" t="str">
        <f t="shared" si="166"/>
        <v>-</v>
      </c>
      <c r="V98" s="9" t="s">
        <v>0</v>
      </c>
      <c r="W98" s="9" t="str">
        <f t="shared" si="167"/>
        <v>-</v>
      </c>
      <c r="X98" s="9" t="s">
        <v>0</v>
      </c>
      <c r="Y98" s="9" t="str">
        <f t="shared" si="168"/>
        <v>-</v>
      </c>
      <c r="Z98" s="9" t="s">
        <v>0</v>
      </c>
      <c r="AA98" s="9" t="str">
        <f t="shared" si="169"/>
        <v>-</v>
      </c>
      <c r="AB98" s="9" t="s">
        <v>0</v>
      </c>
      <c r="AC98" s="9" t="str">
        <f t="shared" si="170"/>
        <v>-</v>
      </c>
      <c r="AD98" s="9" t="s">
        <v>0</v>
      </c>
      <c r="AE98" s="9" t="str">
        <f t="shared" si="171"/>
        <v>-</v>
      </c>
      <c r="AF98" s="9" t="s">
        <v>0</v>
      </c>
      <c r="AG98" s="9" t="s">
        <v>0</v>
      </c>
      <c r="AH98" s="9" t="s">
        <v>0</v>
      </c>
      <c r="AI98" s="9" t="s">
        <v>0</v>
      </c>
      <c r="AJ98" s="43" t="s">
        <v>0</v>
      </c>
      <c r="AK98" s="9" t="s">
        <v>0</v>
      </c>
      <c r="AL98" s="43" t="s">
        <v>0</v>
      </c>
      <c r="AM98" s="9" t="s">
        <v>0</v>
      </c>
      <c r="AN98" s="43" t="s">
        <v>0</v>
      </c>
      <c r="AO98" s="9" t="s">
        <v>0</v>
      </c>
      <c r="AP98" s="43" t="s">
        <v>0</v>
      </c>
      <c r="AQ98" s="43" t="s">
        <v>0</v>
      </c>
      <c r="AR98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98" s="9" t="str">
        <f t="shared" si="172"/>
        <v>-</v>
      </c>
      <c r="AT98" s="9">
        <f>IF(RIGHT(TKA[[#This Row],[Device type]],7)="Winding","-",TKA[[#This Row],[Cont Winter MVA]])</f>
        <v>5.715767664977295</v>
      </c>
      <c r="AU98" s="9">
        <f>IF(RIGHT(TKA[[#This Row],[Device type]],7)="Winding","-",TKA[[#This Row],[Cont Shoulder MVA]])</f>
        <v>5.715767664977295</v>
      </c>
      <c r="AV98" s="9">
        <f>IF(RIGHT(TKA[[#This Row],[Device type]],7)="Winding","-",TKA[[#This Row],[Cont Summer MVA]])</f>
        <v>5.715767664977295</v>
      </c>
      <c r="AW98" s="9" t="str">
        <f>TKA[[#This Row],[24 Hr Winter MVA]]</f>
        <v>-</v>
      </c>
      <c r="AX98" s="9" t="str">
        <f>TKA[[#This Row],[24 Hr Summer MVA]]</f>
        <v>-</v>
      </c>
      <c r="AY98" s="9" t="str">
        <f>TKA[[#This Row],[Forwards MVA]]</f>
        <v>-</v>
      </c>
      <c r="AZ98" s="9" t="str">
        <f>TKA[[#This Row],[Relay MVA]]</f>
        <v>-</v>
      </c>
      <c r="BA98" s="9" t="str">
        <f>TKA[[#This Row],[CT MVA]]</f>
        <v>-</v>
      </c>
      <c r="BB98" s="9" t="str">
        <f>TKA[[#This Row],[Derating MVA]]</f>
        <v>-</v>
      </c>
      <c r="BC98" s="9" t="str">
        <f>TKA[[#This Row],[Station/Feeder]]&amp;TKA[[#This Row],[Lowest MVA]]</f>
        <v>M201_Simons5.7157676649773</v>
      </c>
      <c r="BD98" s="9" t="str">
        <f>CONCATENATE(TKA[[#This Row],[Supply Level]],TKA[[#This Row],[Station/Feeder]],TKA[[#This Row],[Voltage]],TKA[[#This Row],[Lowest A-No PTX]])</f>
        <v>DistributionFeederM201_Simons11300</v>
      </c>
      <c r="BE98" s="9" t="str">
        <f>CONCATENATE(TKA[[#This Row],[Supply Level]],TKA[[#This Row],[Station/Feeder]],TKA[[#This Row],[Voltage]],TKA[[#This Row],[Lowest A-PTX]])</f>
        <v>DistributionFeederM201_Simons11300</v>
      </c>
      <c r="BF98" s="9">
        <f>IF(MIN(TKA[[#This Row],[Summ Cont Winter A]]:TKA[[#This Row],[Cable Derating]])=0,"",MIN(TKA[[#This Row],[Summ Cont Winter A]]:TKA[[#This Row],[Cable Derating]]))</f>
        <v>5.715767664977295</v>
      </c>
      <c r="BG98" s="9">
        <f>IFERROR(TKA[[#This Row],[Lowest MVA]]*1000/(TKA[[#This Row],[Voltage]]*SQRT(3)),"")</f>
        <v>300</v>
      </c>
      <c r="BH98" s="9">
        <f t="shared" si="173"/>
        <v>300</v>
      </c>
      <c r="BI98" s="9" t="str">
        <f>TKA[[#This Row],[From]]</f>
        <v>M175</v>
      </c>
      <c r="BJ98" s="9" t="str">
        <f>TKA[[#This Row],[To]]</f>
        <v>Pole 25260</v>
      </c>
      <c r="BK98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Link-M297-</v>
      </c>
      <c r="BL98" s="9">
        <f>TKA[[#This Row],[Voltage]]</f>
        <v>11</v>
      </c>
    </row>
    <row r="99" spans="1:64" s="1" customFormat="1" ht="15" customHeight="1" x14ac:dyDescent="0.25">
      <c r="A99" s="6" t="str">
        <f>CONCATENATE(TKA[[#This Row],[Supply Level]],TKA[[#This Row],[Station/Feeder]],TKA[[#This Row],[Voltage]])</f>
        <v>DistributionFeederM201_Simons11</v>
      </c>
      <c r="B99" s="6" t="str">
        <f>CONCATENATE(TKA[[#This Row],[Supply Level]],TKA[[#This Row],[Station/Feeder]],TKA[[#This Row],[Equipment ID]],TKA[[#This Row],[Voltage]],TKA[[#This Row],[Device type]])</f>
        <v>DistributionFeederM201_SimonsHERRING11-</v>
      </c>
      <c r="C99" s="6" t="s">
        <v>1276</v>
      </c>
      <c r="D99" s="6" t="s">
        <v>107</v>
      </c>
      <c r="E99" s="46" t="s">
        <v>442</v>
      </c>
      <c r="F99" s="46" t="s">
        <v>443</v>
      </c>
      <c r="G99" s="57">
        <v>6</v>
      </c>
      <c r="H99" s="46" t="s">
        <v>1289</v>
      </c>
      <c r="I99" s="46" t="s">
        <v>429</v>
      </c>
      <c r="J99" s="46" t="s">
        <v>69</v>
      </c>
      <c r="K99" s="46" t="s">
        <v>0</v>
      </c>
      <c r="L99" s="46" t="s">
        <v>0</v>
      </c>
      <c r="M99" s="57">
        <v>11</v>
      </c>
      <c r="N99" s="9">
        <v>96.377308793119241</v>
      </c>
      <c r="O99" s="9">
        <f t="shared" si="163"/>
        <v>1.8362343507908094</v>
      </c>
      <c r="P99" s="9" t="s">
        <v>0</v>
      </c>
      <c r="Q99" s="9" t="str">
        <f t="shared" si="164"/>
        <v>-</v>
      </c>
      <c r="R99" s="9">
        <v>73.709391096942639</v>
      </c>
      <c r="S99" s="9">
        <f t="shared" si="165"/>
        <v>1.4043525141235669</v>
      </c>
      <c r="T99" s="9" t="s">
        <v>0</v>
      </c>
      <c r="U99" s="9" t="str">
        <f t="shared" si="166"/>
        <v>-</v>
      </c>
      <c r="V99" s="9" t="s">
        <v>0</v>
      </c>
      <c r="W99" s="9" t="str">
        <f t="shared" si="167"/>
        <v>-</v>
      </c>
      <c r="X99" s="9" t="s">
        <v>0</v>
      </c>
      <c r="Y99" s="9" t="str">
        <f t="shared" si="168"/>
        <v>-</v>
      </c>
      <c r="Z99" s="9" t="s">
        <v>0</v>
      </c>
      <c r="AA99" s="9" t="str">
        <f t="shared" si="169"/>
        <v>-</v>
      </c>
      <c r="AB99" s="9" t="s">
        <v>0</v>
      </c>
      <c r="AC99" s="9" t="str">
        <f t="shared" si="170"/>
        <v>-</v>
      </c>
      <c r="AD99" s="9" t="s">
        <v>0</v>
      </c>
      <c r="AE99" s="9" t="str">
        <f t="shared" si="171"/>
        <v>-</v>
      </c>
      <c r="AF99" s="9" t="s">
        <v>0</v>
      </c>
      <c r="AG99" s="9" t="s">
        <v>0</v>
      </c>
      <c r="AH99" s="9">
        <v>1169.5</v>
      </c>
      <c r="AI99" s="9" t="s">
        <v>0</v>
      </c>
      <c r="AJ99" s="43" t="s">
        <v>0</v>
      </c>
      <c r="AK99" s="9" t="s">
        <v>0</v>
      </c>
      <c r="AL99" s="43" t="s">
        <v>0</v>
      </c>
      <c r="AM99" s="9" t="s">
        <v>0</v>
      </c>
      <c r="AN99" s="43" t="s">
        <v>0</v>
      </c>
      <c r="AO99" s="9" t="s">
        <v>0</v>
      </c>
      <c r="AP99" s="9" t="s">
        <v>0</v>
      </c>
      <c r="AQ99" s="43" t="s">
        <v>0</v>
      </c>
      <c r="AR99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99" s="9" t="str">
        <f t="shared" si="172"/>
        <v>-</v>
      </c>
      <c r="AT99" s="9">
        <f>IF(RIGHT(TKA[[#This Row],[Device type]],7)="Winding","-",TKA[[#This Row],[Cont Winter MVA]])</f>
        <v>1.8362343507908094</v>
      </c>
      <c r="AU99" s="9" t="str">
        <f>IF(RIGHT(TKA[[#This Row],[Device type]],7)="Winding","-",TKA[[#This Row],[Cont Shoulder MVA]])</f>
        <v>-</v>
      </c>
      <c r="AV99" s="9">
        <f>IF(RIGHT(TKA[[#This Row],[Device type]],7)="Winding","-",TKA[[#This Row],[Cont Summer MVA]])</f>
        <v>1.4043525141235669</v>
      </c>
      <c r="AW99" s="9" t="str">
        <f>TKA[[#This Row],[24 Hr Winter MVA]]</f>
        <v>-</v>
      </c>
      <c r="AX99" s="9" t="str">
        <f>TKA[[#This Row],[24 Hr Summer MVA]]</f>
        <v>-</v>
      </c>
      <c r="AY99" s="9" t="str">
        <f>TKA[[#This Row],[Forwards MVA]]</f>
        <v>-</v>
      </c>
      <c r="AZ99" s="9" t="str">
        <f>TKA[[#This Row],[Relay MVA]]</f>
        <v>-</v>
      </c>
      <c r="BA99" s="9" t="str">
        <f>TKA[[#This Row],[CT MVA]]</f>
        <v>-</v>
      </c>
      <c r="BB99" s="9" t="str">
        <f>TKA[[#This Row],[Derating MVA]]</f>
        <v>-</v>
      </c>
      <c r="BC99" s="9" t="str">
        <f>TKA[[#This Row],[Station/Feeder]]&amp;TKA[[#This Row],[Lowest MVA]]</f>
        <v>M201_Simons1.40435251412357</v>
      </c>
      <c r="BD99" s="9" t="str">
        <f>CONCATENATE(TKA[[#This Row],[Supply Level]],TKA[[#This Row],[Station/Feeder]],TKA[[#This Row],[Voltage]],TKA[[#This Row],[Lowest A-No PTX]])</f>
        <v>DistributionFeederM201_Simons1173.7093910969426</v>
      </c>
      <c r="BE99" s="9" t="str">
        <f>CONCATENATE(TKA[[#This Row],[Supply Level]],TKA[[#This Row],[Station/Feeder]],TKA[[#This Row],[Voltage]],TKA[[#This Row],[Lowest A-PTX]])</f>
        <v>DistributionFeederM201_Simons1173.7093910969426</v>
      </c>
      <c r="BF99" s="9">
        <f>IF(MIN(TKA[[#This Row],[Summ Cont Winter A]]:TKA[[#This Row],[Cable Derating]])=0,"",MIN(TKA[[#This Row],[Summ Cont Winter A]]:TKA[[#This Row],[Cable Derating]]))</f>
        <v>1.4043525141235669</v>
      </c>
      <c r="BG99" s="9">
        <f>IFERROR(TKA[[#This Row],[Lowest MVA]]*1000/(TKA[[#This Row],[Voltage]]*SQRT(3)),"")</f>
        <v>73.709391096942639</v>
      </c>
      <c r="BH99" s="9">
        <f t="shared" si="173"/>
        <v>73.709391096942639</v>
      </c>
      <c r="BI99" s="9" t="str">
        <f>TKA[[#This Row],[From]]</f>
        <v>M175</v>
      </c>
      <c r="BJ99" s="9" t="str">
        <f>TKA[[#This Row],[To]]</f>
        <v>Pole 25260</v>
      </c>
      <c r="BK99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Line-HERRING</v>
      </c>
      <c r="BL99" s="9">
        <f>TKA[[#This Row],[Voltage]]</f>
        <v>11</v>
      </c>
    </row>
    <row r="100" spans="1:64" s="1" customFormat="1" ht="15" customHeight="1" x14ac:dyDescent="0.25">
      <c r="A100" s="6" t="str">
        <f>CONCATENATE(TKA[[#This Row],[Supply Level]],TKA[[#This Row],[Station/Feeder]],TKA[[#This Row],[Voltage]])</f>
        <v>DistributionFeederM205_Godley11</v>
      </c>
      <c r="B100" s="6" t="str">
        <f>CONCATENATE(TKA[[#This Row],[Supply Level]],TKA[[#This Row],[Station/Feeder]],TKA[[#This Row],[Equipment ID]],TKA[[#This Row],[Voltage]],TKA[[#This Row],[Device type]])</f>
        <v>DistributionFeederM205_GodleyTEK-M20511Protection</v>
      </c>
      <c r="C100" s="6" t="s">
        <v>1276</v>
      </c>
      <c r="D100" s="6" t="s">
        <v>118</v>
      </c>
      <c r="E100" s="7" t="s">
        <v>243</v>
      </c>
      <c r="F100" s="46" t="s">
        <v>453</v>
      </c>
      <c r="G100" s="57">
        <v>1</v>
      </c>
      <c r="H100" s="46" t="s">
        <v>343</v>
      </c>
      <c r="I100" s="7" t="s">
        <v>2426</v>
      </c>
      <c r="J100" s="7" t="s">
        <v>15</v>
      </c>
      <c r="K100" s="7" t="s">
        <v>791</v>
      </c>
      <c r="L100" s="7" t="s">
        <v>1423</v>
      </c>
      <c r="M100" s="57">
        <v>11</v>
      </c>
      <c r="N100" s="9">
        <v>600</v>
      </c>
      <c r="O100" s="9">
        <f t="shared" si="163"/>
        <v>11.43153532995459</v>
      </c>
      <c r="P100" s="9">
        <v>600</v>
      </c>
      <c r="Q100" s="9">
        <f t="shared" si="164"/>
        <v>11.43153532995459</v>
      </c>
      <c r="R100" s="9">
        <v>600</v>
      </c>
      <c r="S100" s="9">
        <f t="shared" si="165"/>
        <v>11.43153532995459</v>
      </c>
      <c r="T100" s="9" t="s">
        <v>0</v>
      </c>
      <c r="U100" s="9" t="str">
        <f t="shared" si="166"/>
        <v>-</v>
      </c>
      <c r="V100" s="9" t="s">
        <v>0</v>
      </c>
      <c r="W100" s="9" t="str">
        <f t="shared" si="167"/>
        <v>-</v>
      </c>
      <c r="X100" s="9">
        <f>VLOOKUP(TKA[[#This Row],[Equipment ID]],AEL_Protection_Data[#All],12,0)</f>
        <v>200</v>
      </c>
      <c r="Y100" s="9">
        <f t="shared" si="168"/>
        <v>3.8105117766515302</v>
      </c>
      <c r="Z100" s="9" t="s">
        <v>0</v>
      </c>
      <c r="AA100" s="9" t="str">
        <f t="shared" si="169"/>
        <v>-</v>
      </c>
      <c r="AB100" s="9" t="s">
        <v>0</v>
      </c>
      <c r="AC100" s="9" t="str">
        <f t="shared" si="170"/>
        <v>-</v>
      </c>
      <c r="AD100" s="9">
        <v>100</v>
      </c>
      <c r="AE100" s="9">
        <f t="shared" si="171"/>
        <v>1.9052558883257651</v>
      </c>
      <c r="AF100" s="9" t="s">
        <v>0</v>
      </c>
      <c r="AG100" s="9" t="s">
        <v>0</v>
      </c>
      <c r="AH100" s="9" t="s">
        <v>0</v>
      </c>
      <c r="AI100" s="9" t="s">
        <v>0</v>
      </c>
      <c r="AJ100" s="43" t="s">
        <v>0</v>
      </c>
      <c r="AK100" s="9" t="s">
        <v>0</v>
      </c>
      <c r="AL100" s="43" t="s">
        <v>0</v>
      </c>
      <c r="AM100" s="9" t="s">
        <v>0</v>
      </c>
      <c r="AN100" s="43" t="s">
        <v>0</v>
      </c>
      <c r="AO100" s="9" t="s">
        <v>0</v>
      </c>
      <c r="AP100" s="9" t="s">
        <v>0</v>
      </c>
      <c r="AQ100" s="43" t="s">
        <v>0</v>
      </c>
      <c r="AR100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00" s="9" t="str">
        <f t="shared" si="172"/>
        <v>-</v>
      </c>
      <c r="AT100" s="9">
        <f>IF(RIGHT(TKA[[#This Row],[Device type]],7)="Winding","-",TKA[[#This Row],[Cont Winter MVA]])</f>
        <v>11.43153532995459</v>
      </c>
      <c r="AU100" s="9">
        <f>IF(RIGHT(TKA[[#This Row],[Device type]],7)="Winding","-",TKA[[#This Row],[Cont Shoulder MVA]])</f>
        <v>11.43153532995459</v>
      </c>
      <c r="AV100" s="9">
        <f>IF(RIGHT(TKA[[#This Row],[Device type]],7)="Winding","-",TKA[[#This Row],[Cont Summer MVA]])</f>
        <v>11.43153532995459</v>
      </c>
      <c r="AW100" s="9" t="str">
        <f>TKA[[#This Row],[24 Hr Winter MVA]]</f>
        <v>-</v>
      </c>
      <c r="AX100" s="9" t="str">
        <f>TKA[[#This Row],[24 Hr Summer MVA]]</f>
        <v>-</v>
      </c>
      <c r="AY100" s="9">
        <f>TKA[[#This Row],[Forwards MVA]]</f>
        <v>3.8105117766515302</v>
      </c>
      <c r="AZ100" s="9" t="str">
        <f>TKA[[#This Row],[Relay MVA]]</f>
        <v>-</v>
      </c>
      <c r="BA100" s="9">
        <f>TKA[[#This Row],[CT MVA]]</f>
        <v>1.9052558883257651</v>
      </c>
      <c r="BB100" s="9" t="str">
        <f>TKA[[#This Row],[Derating MVA]]</f>
        <v>-</v>
      </c>
      <c r="BC100" s="9" t="str">
        <f>TKA[[#This Row],[Station/Feeder]]&amp;TKA[[#This Row],[Lowest MVA]]</f>
        <v>M205_Godley1.90525588832577</v>
      </c>
      <c r="BD100" s="9" t="str">
        <f>CONCATENATE(TKA[[#This Row],[Supply Level]],TKA[[#This Row],[Station/Feeder]],TKA[[#This Row],[Voltage]],TKA[[#This Row],[Lowest A-No PTX]])</f>
        <v>DistributionFeederM205_Godley11100</v>
      </c>
      <c r="BE100" s="9" t="str">
        <f>CONCATENATE(TKA[[#This Row],[Supply Level]],TKA[[#This Row],[Station/Feeder]],TKA[[#This Row],[Voltage]],TKA[[#This Row],[Lowest A-PTX]])</f>
        <v>DistributionFeederM205_Godley11100</v>
      </c>
      <c r="BF100" s="9">
        <f>IF(MIN(TKA[[#This Row],[Summ Cont Winter A]]:TKA[[#This Row],[Cable Derating]])=0,"",MIN(TKA[[#This Row],[Summ Cont Winter A]]:TKA[[#This Row],[Cable Derating]]))</f>
        <v>1.9052558883257651</v>
      </c>
      <c r="BG100" s="9">
        <f>IFERROR(TKA[[#This Row],[Lowest MVA]]*1000/(TKA[[#This Row],[Voltage]]*SQRT(3)),"")</f>
        <v>100</v>
      </c>
      <c r="BH100" s="9">
        <f t="shared" si="173"/>
        <v>100</v>
      </c>
      <c r="BI100" s="9" t="str">
        <f>TKA[[#This Row],[From]]</f>
        <v>11 kV Bus</v>
      </c>
      <c r="BJ100" s="9" t="str">
        <f>TKA[[#This Row],[To]]</f>
        <v>M184</v>
      </c>
      <c r="BK100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Circuit Breaker-TEK-M205-Protection</v>
      </c>
      <c r="BL100" s="9">
        <f>TKA[[#This Row],[Voltage]]</f>
        <v>11</v>
      </c>
    </row>
    <row r="101" spans="1:64" s="1" customFormat="1" ht="15" customHeight="1" x14ac:dyDescent="0.25">
      <c r="A101" s="6" t="str">
        <f>CONCATENATE(TKA[[#This Row],[Supply Level]],TKA[[#This Row],[Station/Feeder]],TKA[[#This Row],[Voltage]])</f>
        <v>DistributionFeederM205_Godley11</v>
      </c>
      <c r="B101" s="6" t="str">
        <f>CONCATENATE(TKA[[#This Row],[Supply Level]],TKA[[#This Row],[Station/Feeder]],TKA[[#This Row],[Equipment ID]],TKA[[#This Row],[Voltage]],TKA[[#This Row],[Device type]])</f>
        <v>DistributionFeederM205_Godley1-3c 150 mm² Al PILC11-</v>
      </c>
      <c r="C101" s="6" t="s">
        <v>1276</v>
      </c>
      <c r="D101" s="6" t="s">
        <v>118</v>
      </c>
      <c r="E101" s="7" t="s">
        <v>243</v>
      </c>
      <c r="F101" s="46" t="s">
        <v>453</v>
      </c>
      <c r="G101" s="57">
        <v>2</v>
      </c>
      <c r="H101" s="46" t="s">
        <v>276</v>
      </c>
      <c r="I101" s="46" t="s">
        <v>568</v>
      </c>
      <c r="J101" s="46" t="s">
        <v>250</v>
      </c>
      <c r="K101" s="46" t="s">
        <v>0</v>
      </c>
      <c r="L101" s="46" t="s">
        <v>0</v>
      </c>
      <c r="M101" s="57">
        <v>11</v>
      </c>
      <c r="N101" s="9">
        <v>265</v>
      </c>
      <c r="O101" s="9">
        <f t="shared" si="163"/>
        <v>5.0489281040632772</v>
      </c>
      <c r="P101" s="9">
        <v>265</v>
      </c>
      <c r="Q101" s="9">
        <f t="shared" si="164"/>
        <v>5.0489281040632772</v>
      </c>
      <c r="R101" s="9">
        <v>265</v>
      </c>
      <c r="S101" s="9">
        <f t="shared" si="165"/>
        <v>5.0489281040632772</v>
      </c>
      <c r="T101" s="9" t="s">
        <v>0</v>
      </c>
      <c r="U101" s="9" t="str">
        <f t="shared" si="166"/>
        <v>-</v>
      </c>
      <c r="V101" s="9" t="s">
        <v>0</v>
      </c>
      <c r="W101" s="9" t="str">
        <f t="shared" si="167"/>
        <v>-</v>
      </c>
      <c r="X101" s="9" t="s">
        <v>0</v>
      </c>
      <c r="Y101" s="9" t="str">
        <f t="shared" si="168"/>
        <v>-</v>
      </c>
      <c r="Z101" s="9" t="s">
        <v>0</v>
      </c>
      <c r="AA101" s="9" t="str">
        <f t="shared" si="169"/>
        <v>-</v>
      </c>
      <c r="AB101" s="9" t="s">
        <v>0</v>
      </c>
      <c r="AC101" s="9" t="str">
        <f t="shared" si="170"/>
        <v>-</v>
      </c>
      <c r="AD101" s="9" t="s">
        <v>0</v>
      </c>
      <c r="AE101" s="9" t="str">
        <f t="shared" si="171"/>
        <v>-</v>
      </c>
      <c r="AF101" s="9">
        <v>3</v>
      </c>
      <c r="AG101" s="9" t="s">
        <v>265</v>
      </c>
      <c r="AH101" s="9">
        <v>70.7</v>
      </c>
      <c r="AI101" s="9">
        <v>1.1000000000000001</v>
      </c>
      <c r="AJ101" s="43">
        <v>0.97</v>
      </c>
      <c r="AK101" s="9">
        <v>15</v>
      </c>
      <c r="AL101" s="43">
        <v>1</v>
      </c>
      <c r="AM101" s="9">
        <v>0.9</v>
      </c>
      <c r="AN101" s="43">
        <v>1.1000000000000001</v>
      </c>
      <c r="AO101" s="9">
        <v>5</v>
      </c>
      <c r="AP101" s="9">
        <v>0.15</v>
      </c>
      <c r="AQ101" s="43">
        <v>0.66</v>
      </c>
      <c r="AR101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186.61829999999998</v>
      </c>
      <c r="AS101" s="9">
        <f t="shared" si="172"/>
        <v>3.5555561494434405</v>
      </c>
      <c r="AT101" s="9">
        <f>IF(RIGHT(TKA[[#This Row],[Device type]],7)="Winding","-",TKA[[#This Row],[Cont Winter MVA]])</f>
        <v>5.0489281040632772</v>
      </c>
      <c r="AU101" s="9">
        <f>IF(RIGHT(TKA[[#This Row],[Device type]],7)="Winding","-",TKA[[#This Row],[Cont Shoulder MVA]])</f>
        <v>5.0489281040632772</v>
      </c>
      <c r="AV101" s="9">
        <f>IF(RIGHT(TKA[[#This Row],[Device type]],7)="Winding","-",TKA[[#This Row],[Cont Summer MVA]])</f>
        <v>5.0489281040632772</v>
      </c>
      <c r="AW101" s="9" t="str">
        <f>TKA[[#This Row],[24 Hr Winter MVA]]</f>
        <v>-</v>
      </c>
      <c r="AX101" s="9" t="str">
        <f>TKA[[#This Row],[24 Hr Summer MVA]]</f>
        <v>-</v>
      </c>
      <c r="AY101" s="9" t="str">
        <f>TKA[[#This Row],[Forwards MVA]]</f>
        <v>-</v>
      </c>
      <c r="AZ101" s="9" t="str">
        <f>TKA[[#This Row],[Relay MVA]]</f>
        <v>-</v>
      </c>
      <c r="BA101" s="9" t="str">
        <f>TKA[[#This Row],[CT MVA]]</f>
        <v>-</v>
      </c>
      <c r="BB101" s="9">
        <f>TKA[[#This Row],[Derating MVA]]</f>
        <v>3.5555561494434405</v>
      </c>
      <c r="BC101" s="9" t="str">
        <f>TKA[[#This Row],[Station/Feeder]]&amp;TKA[[#This Row],[Lowest MVA]]</f>
        <v>M205_Godley3.55555614944344</v>
      </c>
      <c r="BD101" s="9" t="str">
        <f>CONCATENATE(TKA[[#This Row],[Supply Level]],TKA[[#This Row],[Station/Feeder]],TKA[[#This Row],[Voltage]],TKA[[#This Row],[Lowest A-No PTX]])</f>
        <v>DistributionFeederM205_Godley11186.6183</v>
      </c>
      <c r="BE101" s="9" t="str">
        <f>CONCATENATE(TKA[[#This Row],[Supply Level]],TKA[[#This Row],[Station/Feeder]],TKA[[#This Row],[Voltage]],TKA[[#This Row],[Lowest A-PTX]])</f>
        <v>DistributionFeederM205_Godley11186.6183</v>
      </c>
      <c r="BF101" s="9">
        <f>IF(MIN(TKA[[#This Row],[Summ Cont Winter A]]:TKA[[#This Row],[Cable Derating]])=0,"",MIN(TKA[[#This Row],[Summ Cont Winter A]]:TKA[[#This Row],[Cable Derating]]))</f>
        <v>3.5555561494434405</v>
      </c>
      <c r="BG101" s="9">
        <f>IFERROR(TKA[[#This Row],[Lowest MVA]]*1000/(TKA[[#This Row],[Voltage]]*SQRT(3)),"")</f>
        <v>186.61829999999998</v>
      </c>
      <c r="BH101" s="9">
        <f t="shared" si="173"/>
        <v>186.61829999999998</v>
      </c>
      <c r="BI101" s="9" t="str">
        <f>TKA[[#This Row],[From]]</f>
        <v>11 kV Bus</v>
      </c>
      <c r="BJ101" s="9" t="str">
        <f>TKA[[#This Row],[To]]</f>
        <v>M184</v>
      </c>
      <c r="BK101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Cable-1-3c 150 mm² Al PILC</v>
      </c>
      <c r="BL101" s="9">
        <f>TKA[[#This Row],[Voltage]]</f>
        <v>11</v>
      </c>
    </row>
    <row r="102" spans="1:64" s="1" customFormat="1" ht="15" customHeight="1" x14ac:dyDescent="0.25">
      <c r="A102" s="6" t="str">
        <f>CONCATENATE(TKA[[#This Row],[Supply Level]],TKA[[#This Row],[Station/Feeder]],TKA[[#This Row],[Voltage]])</f>
        <v>DistributionFeederM205_Godley11</v>
      </c>
      <c r="B102" s="6" t="str">
        <f>CONCATENATE(TKA[[#This Row],[Supply Level]],TKA[[#This Row],[Station/Feeder]],TKA[[#This Row],[Equipment ID]],TKA[[#This Row],[Voltage]],TKA[[#This Row],[Device type]])</f>
        <v>DistributionFeederM205_GodleyM18411-</v>
      </c>
      <c r="C102" s="6" t="s">
        <v>1276</v>
      </c>
      <c r="D102" s="6" t="s">
        <v>118</v>
      </c>
      <c r="E102" s="7" t="s">
        <v>243</v>
      </c>
      <c r="F102" s="46" t="s">
        <v>453</v>
      </c>
      <c r="G102" s="57">
        <v>3</v>
      </c>
      <c r="H102" s="46" t="s">
        <v>273</v>
      </c>
      <c r="I102" s="46" t="s">
        <v>453</v>
      </c>
      <c r="J102" s="46" t="s">
        <v>249</v>
      </c>
      <c r="K102" s="46" t="s">
        <v>0</v>
      </c>
      <c r="L102" s="46" t="s">
        <v>0</v>
      </c>
      <c r="M102" s="57">
        <v>11</v>
      </c>
      <c r="N102" s="9" t="s">
        <v>0</v>
      </c>
      <c r="O102" s="9" t="str">
        <f t="shared" si="163"/>
        <v>-</v>
      </c>
      <c r="P102" s="9" t="s">
        <v>0</v>
      </c>
      <c r="Q102" s="9" t="str">
        <f t="shared" si="164"/>
        <v>-</v>
      </c>
      <c r="R102" s="9" t="s">
        <v>0</v>
      </c>
      <c r="S102" s="9" t="str">
        <f t="shared" si="165"/>
        <v>-</v>
      </c>
      <c r="T102" s="9" t="s">
        <v>0</v>
      </c>
      <c r="U102" s="9" t="str">
        <f t="shared" si="166"/>
        <v>-</v>
      </c>
      <c r="V102" s="9" t="s">
        <v>0</v>
      </c>
      <c r="W102" s="9" t="str">
        <f t="shared" si="167"/>
        <v>-</v>
      </c>
      <c r="X102" s="9" t="s">
        <v>0</v>
      </c>
      <c r="Y102" s="9" t="str">
        <f t="shared" si="168"/>
        <v>-</v>
      </c>
      <c r="Z102" s="9" t="s">
        <v>0</v>
      </c>
      <c r="AA102" s="9" t="str">
        <f t="shared" si="169"/>
        <v>-</v>
      </c>
      <c r="AB102" s="9" t="s">
        <v>0</v>
      </c>
      <c r="AC102" s="9" t="str">
        <f t="shared" si="170"/>
        <v>-</v>
      </c>
      <c r="AD102" s="9" t="s">
        <v>0</v>
      </c>
      <c r="AE102" s="9" t="str">
        <f t="shared" si="171"/>
        <v>-</v>
      </c>
      <c r="AF102" s="9" t="s">
        <v>0</v>
      </c>
      <c r="AG102" s="9" t="s">
        <v>0</v>
      </c>
      <c r="AH102" s="9" t="s">
        <v>0</v>
      </c>
      <c r="AI102" s="9" t="s">
        <v>0</v>
      </c>
      <c r="AJ102" s="43" t="s">
        <v>0</v>
      </c>
      <c r="AK102" s="9" t="s">
        <v>0</v>
      </c>
      <c r="AL102" s="43" t="s">
        <v>0</v>
      </c>
      <c r="AM102" s="9" t="s">
        <v>0</v>
      </c>
      <c r="AN102" s="43" t="s">
        <v>0</v>
      </c>
      <c r="AO102" s="9" t="s">
        <v>0</v>
      </c>
      <c r="AP102" s="43" t="s">
        <v>0</v>
      </c>
      <c r="AQ102" s="43" t="s">
        <v>0</v>
      </c>
      <c r="AR102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02" s="9" t="str">
        <f t="shared" si="172"/>
        <v>-</v>
      </c>
      <c r="AT102" s="9" t="str">
        <f>IF(RIGHT(TKA[[#This Row],[Device type]],7)="Winding","-",TKA[[#This Row],[Cont Winter MVA]])</f>
        <v>-</v>
      </c>
      <c r="AU102" s="9" t="str">
        <f>IF(RIGHT(TKA[[#This Row],[Device type]],7)="Winding","-",TKA[[#This Row],[Cont Shoulder MVA]])</f>
        <v>-</v>
      </c>
      <c r="AV102" s="9" t="str">
        <f>IF(RIGHT(TKA[[#This Row],[Device type]],7)="Winding","-",TKA[[#This Row],[Cont Summer MVA]])</f>
        <v>-</v>
      </c>
      <c r="AW102" s="9" t="str">
        <f>TKA[[#This Row],[24 Hr Winter MVA]]</f>
        <v>-</v>
      </c>
      <c r="AX102" s="9" t="str">
        <f>TKA[[#This Row],[24 Hr Summer MVA]]</f>
        <v>-</v>
      </c>
      <c r="AY102" s="9" t="str">
        <f>TKA[[#This Row],[Forwards MVA]]</f>
        <v>-</v>
      </c>
      <c r="AZ102" s="9" t="str">
        <f>TKA[[#This Row],[Relay MVA]]</f>
        <v>-</v>
      </c>
      <c r="BA102" s="9" t="str">
        <f>TKA[[#This Row],[CT MVA]]</f>
        <v>-</v>
      </c>
      <c r="BB102" s="9" t="str">
        <f>TKA[[#This Row],[Derating MVA]]</f>
        <v>-</v>
      </c>
      <c r="BC102" s="9" t="str">
        <f>TKA[[#This Row],[Station/Feeder]]&amp;TKA[[#This Row],[Lowest MVA]]</f>
        <v>M205_Godley</v>
      </c>
      <c r="BD102" s="9" t="str">
        <f>CONCATENATE(TKA[[#This Row],[Supply Level]],TKA[[#This Row],[Station/Feeder]],TKA[[#This Row],[Voltage]],TKA[[#This Row],[Lowest A-No PTX]])</f>
        <v>DistributionFeederM205_Godley11</v>
      </c>
      <c r="BE102" s="9" t="str">
        <f>CONCATENATE(TKA[[#This Row],[Supply Level]],TKA[[#This Row],[Station/Feeder]],TKA[[#This Row],[Voltage]],TKA[[#This Row],[Lowest A-PTX]])</f>
        <v>DistributionFeederM205_Godley11</v>
      </c>
      <c r="BF102" s="9" t="str">
        <f>IF(MIN(TKA[[#This Row],[Summ Cont Winter A]]:TKA[[#This Row],[Cable Derating]])=0,"",MIN(TKA[[#This Row],[Summ Cont Winter A]]:TKA[[#This Row],[Cable Derating]]))</f>
        <v/>
      </c>
      <c r="BG102" s="9" t="str">
        <f>IFERROR(TKA[[#This Row],[Lowest MVA]]*1000/(TKA[[#This Row],[Voltage]]*SQRT(3)),"")</f>
        <v/>
      </c>
      <c r="BH102" s="9" t="str">
        <f t="shared" si="173"/>
        <v/>
      </c>
      <c r="BI102" s="9" t="str">
        <f>TKA[[#This Row],[From]]</f>
        <v>11 kV Bus</v>
      </c>
      <c r="BJ102" s="9" t="str">
        <f>TKA[[#This Row],[To]]</f>
        <v>M184</v>
      </c>
      <c r="BK102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Link-M184</v>
      </c>
      <c r="BL102" s="9">
        <f>TKA[[#This Row],[Voltage]]</f>
        <v>11</v>
      </c>
    </row>
    <row r="103" spans="1:64" s="1" customFormat="1" ht="15" customHeight="1" x14ac:dyDescent="0.25">
      <c r="A103" s="6" t="str">
        <f>CONCATENATE(TKA[[#This Row],[Supply Level]],TKA[[#This Row],[Station/Feeder]],TKA[[#This Row],[Voltage]])</f>
        <v>DistributionFeederM205_Godley11</v>
      </c>
      <c r="B103" s="6" t="str">
        <f>CONCATENATE(TKA[[#This Row],[Supply Level]],TKA[[#This Row],[Station/Feeder]],TKA[[#This Row],[Equipment ID]],TKA[[#This Row],[Voltage]],TKA[[#This Row],[Device type]])</f>
        <v>DistributionFeederM205_GodleyUnknown Line11-</v>
      </c>
      <c r="C103" s="6" t="s">
        <v>1276</v>
      </c>
      <c r="D103" s="6" t="s">
        <v>118</v>
      </c>
      <c r="E103" s="46" t="s">
        <v>453</v>
      </c>
      <c r="F103" s="46" t="s">
        <v>454</v>
      </c>
      <c r="G103" s="57">
        <v>4</v>
      </c>
      <c r="H103" s="46" t="s">
        <v>1289</v>
      </c>
      <c r="I103" s="46" t="s">
        <v>388</v>
      </c>
      <c r="J103" s="46" t="s">
        <v>69</v>
      </c>
      <c r="K103" s="46" t="s">
        <v>0</v>
      </c>
      <c r="L103" s="46" t="s">
        <v>0</v>
      </c>
      <c r="M103" s="57">
        <v>11</v>
      </c>
      <c r="N103" s="9" t="s">
        <v>0</v>
      </c>
      <c r="O103" s="9" t="str">
        <f t="shared" si="163"/>
        <v>-</v>
      </c>
      <c r="P103" s="9" t="s">
        <v>0</v>
      </c>
      <c r="Q103" s="9" t="str">
        <f t="shared" si="164"/>
        <v>-</v>
      </c>
      <c r="R103" s="9" t="s">
        <v>0</v>
      </c>
      <c r="S103" s="9" t="str">
        <f t="shared" si="165"/>
        <v>-</v>
      </c>
      <c r="T103" s="9" t="s">
        <v>0</v>
      </c>
      <c r="U103" s="9" t="str">
        <f t="shared" si="166"/>
        <v>-</v>
      </c>
      <c r="V103" s="9" t="s">
        <v>0</v>
      </c>
      <c r="W103" s="9" t="str">
        <f t="shared" si="167"/>
        <v>-</v>
      </c>
      <c r="X103" s="9" t="s">
        <v>0</v>
      </c>
      <c r="Y103" s="9" t="str">
        <f t="shared" si="168"/>
        <v>-</v>
      </c>
      <c r="Z103" s="9" t="s">
        <v>0</v>
      </c>
      <c r="AA103" s="9" t="str">
        <f t="shared" si="169"/>
        <v>-</v>
      </c>
      <c r="AB103" s="9" t="s">
        <v>0</v>
      </c>
      <c r="AC103" s="9" t="str">
        <f t="shared" si="170"/>
        <v>-</v>
      </c>
      <c r="AD103" s="9" t="s">
        <v>0</v>
      </c>
      <c r="AE103" s="9" t="str">
        <f t="shared" si="171"/>
        <v>-</v>
      </c>
      <c r="AF103" s="9" t="s">
        <v>0</v>
      </c>
      <c r="AG103" s="9" t="s">
        <v>0</v>
      </c>
      <c r="AH103" s="9">
        <v>8.5</v>
      </c>
      <c r="AI103" s="9" t="s">
        <v>0</v>
      </c>
      <c r="AJ103" s="43" t="s">
        <v>0</v>
      </c>
      <c r="AK103" s="9" t="s">
        <v>0</v>
      </c>
      <c r="AL103" s="43" t="s">
        <v>0</v>
      </c>
      <c r="AM103" s="9" t="s">
        <v>0</v>
      </c>
      <c r="AN103" s="43" t="s">
        <v>0</v>
      </c>
      <c r="AO103" s="9" t="s">
        <v>0</v>
      </c>
      <c r="AP103" s="9" t="s">
        <v>0</v>
      </c>
      <c r="AQ103" s="43" t="s">
        <v>0</v>
      </c>
      <c r="AR103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03" s="9" t="str">
        <f t="shared" si="172"/>
        <v>-</v>
      </c>
      <c r="AT103" s="9" t="str">
        <f>IF(RIGHT(TKA[[#This Row],[Device type]],7)="Winding","-",TKA[[#This Row],[Cont Winter MVA]])</f>
        <v>-</v>
      </c>
      <c r="AU103" s="9" t="str">
        <f>IF(RIGHT(TKA[[#This Row],[Device type]],7)="Winding","-",TKA[[#This Row],[Cont Shoulder MVA]])</f>
        <v>-</v>
      </c>
      <c r="AV103" s="9" t="str">
        <f>IF(RIGHT(TKA[[#This Row],[Device type]],7)="Winding","-",TKA[[#This Row],[Cont Summer MVA]])</f>
        <v>-</v>
      </c>
      <c r="AW103" s="9" t="str">
        <f>TKA[[#This Row],[24 Hr Winter MVA]]</f>
        <v>-</v>
      </c>
      <c r="AX103" s="9" t="str">
        <f>TKA[[#This Row],[24 Hr Summer MVA]]</f>
        <v>-</v>
      </c>
      <c r="AY103" s="9" t="str">
        <f>TKA[[#This Row],[Forwards MVA]]</f>
        <v>-</v>
      </c>
      <c r="AZ103" s="9" t="str">
        <f>TKA[[#This Row],[Relay MVA]]</f>
        <v>-</v>
      </c>
      <c r="BA103" s="9" t="str">
        <f>TKA[[#This Row],[CT MVA]]</f>
        <v>-</v>
      </c>
      <c r="BB103" s="9" t="str">
        <f>TKA[[#This Row],[Derating MVA]]</f>
        <v>-</v>
      </c>
      <c r="BC103" s="9" t="str">
        <f>TKA[[#This Row],[Station/Feeder]]&amp;TKA[[#This Row],[Lowest MVA]]</f>
        <v>M205_Godley</v>
      </c>
      <c r="BD103" s="9" t="str">
        <f>CONCATENATE(TKA[[#This Row],[Supply Level]],TKA[[#This Row],[Station/Feeder]],TKA[[#This Row],[Voltage]],TKA[[#This Row],[Lowest A-No PTX]])</f>
        <v>DistributionFeederM205_Godley11</v>
      </c>
      <c r="BE103" s="9" t="str">
        <f>CONCATENATE(TKA[[#This Row],[Supply Level]],TKA[[#This Row],[Station/Feeder]],TKA[[#This Row],[Voltage]],TKA[[#This Row],[Lowest A-PTX]])</f>
        <v>DistributionFeederM205_Godley11</v>
      </c>
      <c r="BF103" s="9" t="str">
        <f>IF(MIN(TKA[[#This Row],[Summ Cont Winter A]]:TKA[[#This Row],[Cable Derating]])=0,"",MIN(TKA[[#This Row],[Summ Cont Winter A]]:TKA[[#This Row],[Cable Derating]]))</f>
        <v/>
      </c>
      <c r="BG103" s="9" t="str">
        <f>IFERROR(TKA[[#This Row],[Lowest MVA]]*1000/(TKA[[#This Row],[Voltage]]*SQRT(3)),"")</f>
        <v/>
      </c>
      <c r="BH103" s="9" t="str">
        <f t="shared" si="173"/>
        <v/>
      </c>
      <c r="BI103" s="9" t="str">
        <f>TKA[[#This Row],[From]]</f>
        <v>M184</v>
      </c>
      <c r="BJ103" s="9" t="str">
        <f>TKA[[#This Row],[To]]</f>
        <v>M186</v>
      </c>
      <c r="BK103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Line-Unknown Line</v>
      </c>
      <c r="BL103" s="9">
        <f>TKA[[#This Row],[Voltage]]</f>
        <v>11</v>
      </c>
    </row>
    <row r="104" spans="1:64" s="1" customFormat="1" ht="15" customHeight="1" x14ac:dyDescent="0.25">
      <c r="A104" s="6" t="str">
        <f>CONCATENATE(TKA[[#This Row],[Supply Level]],TKA[[#This Row],[Station/Feeder]],TKA[[#This Row],[Voltage]])</f>
        <v>DistributionFeederM205_Godley11</v>
      </c>
      <c r="B104" s="6" t="str">
        <f>CONCATENATE(TKA[[#This Row],[Supply Level]],TKA[[#This Row],[Station/Feeder]],TKA[[#This Row],[Equipment ID]],TKA[[#This Row],[Voltage]],TKA[[#This Row],[Device type]])</f>
        <v>DistributionFeederM205_GodleyM18611-</v>
      </c>
      <c r="C104" s="6" t="s">
        <v>1276</v>
      </c>
      <c r="D104" s="6" t="s">
        <v>118</v>
      </c>
      <c r="E104" s="46" t="s">
        <v>454</v>
      </c>
      <c r="F104" s="46" t="s">
        <v>455</v>
      </c>
      <c r="G104" s="57">
        <v>5</v>
      </c>
      <c r="H104" s="46" t="s">
        <v>273</v>
      </c>
      <c r="I104" s="46" t="s">
        <v>454</v>
      </c>
      <c r="J104" s="46" t="s">
        <v>240</v>
      </c>
      <c r="K104" s="46" t="s">
        <v>0</v>
      </c>
      <c r="L104" s="46" t="s">
        <v>0</v>
      </c>
      <c r="M104" s="57">
        <v>11</v>
      </c>
      <c r="N104" s="9" t="s">
        <v>0</v>
      </c>
      <c r="O104" s="9" t="str">
        <f t="shared" si="163"/>
        <v>-</v>
      </c>
      <c r="P104" s="9" t="s">
        <v>0</v>
      </c>
      <c r="Q104" s="9" t="str">
        <f t="shared" si="164"/>
        <v>-</v>
      </c>
      <c r="R104" s="9" t="s">
        <v>0</v>
      </c>
      <c r="S104" s="9" t="str">
        <f t="shared" si="165"/>
        <v>-</v>
      </c>
      <c r="T104" s="9" t="s">
        <v>0</v>
      </c>
      <c r="U104" s="9" t="str">
        <f t="shared" si="166"/>
        <v>-</v>
      </c>
      <c r="V104" s="9" t="s">
        <v>0</v>
      </c>
      <c r="W104" s="9" t="str">
        <f t="shared" si="167"/>
        <v>-</v>
      </c>
      <c r="X104" s="9" t="s">
        <v>0</v>
      </c>
      <c r="Y104" s="9" t="str">
        <f t="shared" si="168"/>
        <v>-</v>
      </c>
      <c r="Z104" s="9" t="s">
        <v>0</v>
      </c>
      <c r="AA104" s="9" t="str">
        <f t="shared" si="169"/>
        <v>-</v>
      </c>
      <c r="AB104" s="9" t="s">
        <v>0</v>
      </c>
      <c r="AC104" s="9" t="str">
        <f t="shared" si="170"/>
        <v>-</v>
      </c>
      <c r="AD104" s="9" t="s">
        <v>0</v>
      </c>
      <c r="AE104" s="9" t="str">
        <f t="shared" si="171"/>
        <v>-</v>
      </c>
      <c r="AF104" s="9" t="s">
        <v>0</v>
      </c>
      <c r="AG104" s="9" t="s">
        <v>0</v>
      </c>
      <c r="AH104" s="9" t="s">
        <v>0</v>
      </c>
      <c r="AI104" s="9" t="s">
        <v>0</v>
      </c>
      <c r="AJ104" s="43" t="s">
        <v>0</v>
      </c>
      <c r="AK104" s="9" t="s">
        <v>0</v>
      </c>
      <c r="AL104" s="43" t="s">
        <v>0</v>
      </c>
      <c r="AM104" s="9" t="s">
        <v>0</v>
      </c>
      <c r="AN104" s="43" t="s">
        <v>0</v>
      </c>
      <c r="AO104" s="9" t="s">
        <v>0</v>
      </c>
      <c r="AP104" s="43" t="s">
        <v>0</v>
      </c>
      <c r="AQ104" s="43" t="s">
        <v>0</v>
      </c>
      <c r="AR104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04" s="9" t="str">
        <f t="shared" si="172"/>
        <v>-</v>
      </c>
      <c r="AT104" s="9" t="str">
        <f>IF(RIGHT(TKA[[#This Row],[Device type]],7)="Winding","-",TKA[[#This Row],[Cont Winter MVA]])</f>
        <v>-</v>
      </c>
      <c r="AU104" s="9" t="str">
        <f>IF(RIGHT(TKA[[#This Row],[Device type]],7)="Winding","-",TKA[[#This Row],[Cont Shoulder MVA]])</f>
        <v>-</v>
      </c>
      <c r="AV104" s="9" t="str">
        <f>IF(RIGHT(TKA[[#This Row],[Device type]],7)="Winding","-",TKA[[#This Row],[Cont Summer MVA]])</f>
        <v>-</v>
      </c>
      <c r="AW104" s="9" t="str">
        <f>TKA[[#This Row],[24 Hr Winter MVA]]</f>
        <v>-</v>
      </c>
      <c r="AX104" s="9" t="str">
        <f>TKA[[#This Row],[24 Hr Summer MVA]]</f>
        <v>-</v>
      </c>
      <c r="AY104" s="9" t="str">
        <f>TKA[[#This Row],[Forwards MVA]]</f>
        <v>-</v>
      </c>
      <c r="AZ104" s="9" t="str">
        <f>TKA[[#This Row],[Relay MVA]]</f>
        <v>-</v>
      </c>
      <c r="BA104" s="9" t="str">
        <f>TKA[[#This Row],[CT MVA]]</f>
        <v>-</v>
      </c>
      <c r="BB104" s="9" t="str">
        <f>TKA[[#This Row],[Derating MVA]]</f>
        <v>-</v>
      </c>
      <c r="BC104" s="9" t="str">
        <f>TKA[[#This Row],[Station/Feeder]]&amp;TKA[[#This Row],[Lowest MVA]]</f>
        <v>M205_Godley</v>
      </c>
      <c r="BD104" s="9" t="str">
        <f>CONCATENATE(TKA[[#This Row],[Supply Level]],TKA[[#This Row],[Station/Feeder]],TKA[[#This Row],[Voltage]],TKA[[#This Row],[Lowest A-No PTX]])</f>
        <v>DistributionFeederM205_Godley11</v>
      </c>
      <c r="BE104" s="9" t="str">
        <f>CONCATENATE(TKA[[#This Row],[Supply Level]],TKA[[#This Row],[Station/Feeder]],TKA[[#This Row],[Voltage]],TKA[[#This Row],[Lowest A-PTX]])</f>
        <v>DistributionFeederM205_Godley11</v>
      </c>
      <c r="BF104" s="9" t="str">
        <f>IF(MIN(TKA[[#This Row],[Summ Cont Winter A]]:TKA[[#This Row],[Cable Derating]])=0,"",MIN(TKA[[#This Row],[Summ Cont Winter A]]:TKA[[#This Row],[Cable Derating]]))</f>
        <v/>
      </c>
      <c r="BG104" s="9" t="str">
        <f>IFERROR(TKA[[#This Row],[Lowest MVA]]*1000/(TKA[[#This Row],[Voltage]]*SQRT(3)),"")</f>
        <v/>
      </c>
      <c r="BH104" s="9" t="str">
        <f t="shared" si="173"/>
        <v/>
      </c>
      <c r="BI104" s="9" t="str">
        <f>TKA[[#This Row],[From]]</f>
        <v>M186</v>
      </c>
      <c r="BJ104" s="9" t="str">
        <f>TKA[[#This Row],[To]]</f>
        <v>M296</v>
      </c>
      <c r="BK104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ABS-M186</v>
      </c>
      <c r="BL104" s="9">
        <f>TKA[[#This Row],[Voltage]]</f>
        <v>11</v>
      </c>
    </row>
    <row r="105" spans="1:64" s="1" customFormat="1" ht="15" customHeight="1" x14ac:dyDescent="0.25">
      <c r="A105" s="6" t="str">
        <f>CONCATENATE(TKA[[#This Row],[Supply Level]],TKA[[#This Row],[Station/Feeder]],TKA[[#This Row],[Voltage]])</f>
        <v>DistributionFeederM205_Godley11</v>
      </c>
      <c r="B105" s="6" t="str">
        <f>CONCATENATE(TKA[[#This Row],[Supply Level]],TKA[[#This Row],[Station/Feeder]],TKA[[#This Row],[Equipment ID]],TKA[[#This Row],[Voltage]],TKA[[#This Row],[Device type]])</f>
        <v>DistributionFeederM205_GodleyHERRING11-</v>
      </c>
      <c r="C105" s="6" t="s">
        <v>1276</v>
      </c>
      <c r="D105" s="6" t="s">
        <v>118</v>
      </c>
      <c r="E105" s="46" t="s">
        <v>454</v>
      </c>
      <c r="F105" s="46" t="s">
        <v>455</v>
      </c>
      <c r="G105" s="57">
        <v>6</v>
      </c>
      <c r="H105" s="46" t="s">
        <v>1289</v>
      </c>
      <c r="I105" s="46" t="s">
        <v>429</v>
      </c>
      <c r="J105" s="46" t="s">
        <v>69</v>
      </c>
      <c r="K105" s="46" t="s">
        <v>0</v>
      </c>
      <c r="L105" s="46" t="s">
        <v>0</v>
      </c>
      <c r="M105" s="57">
        <v>11</v>
      </c>
      <c r="N105" s="9">
        <v>96.377308793119241</v>
      </c>
      <c r="O105" s="9">
        <f t="shared" si="163"/>
        <v>1.8362343507908094</v>
      </c>
      <c r="P105" s="9" t="s">
        <v>0</v>
      </c>
      <c r="Q105" s="9" t="str">
        <f t="shared" si="164"/>
        <v>-</v>
      </c>
      <c r="R105" s="9">
        <v>73.709391096942639</v>
      </c>
      <c r="S105" s="9">
        <f t="shared" si="165"/>
        <v>1.4043525141235669</v>
      </c>
      <c r="T105" s="9" t="s">
        <v>0</v>
      </c>
      <c r="U105" s="9" t="str">
        <f t="shared" si="166"/>
        <v>-</v>
      </c>
      <c r="V105" s="9" t="s">
        <v>0</v>
      </c>
      <c r="W105" s="9" t="str">
        <f t="shared" si="167"/>
        <v>-</v>
      </c>
      <c r="X105" s="9" t="s">
        <v>0</v>
      </c>
      <c r="Y105" s="9" t="str">
        <f t="shared" si="168"/>
        <v>-</v>
      </c>
      <c r="Z105" s="9" t="s">
        <v>0</v>
      </c>
      <c r="AA105" s="9" t="str">
        <f t="shared" si="169"/>
        <v>-</v>
      </c>
      <c r="AB105" s="9" t="s">
        <v>0</v>
      </c>
      <c r="AC105" s="9" t="str">
        <f t="shared" si="170"/>
        <v>-</v>
      </c>
      <c r="AD105" s="9" t="s">
        <v>0</v>
      </c>
      <c r="AE105" s="9" t="str">
        <f t="shared" si="171"/>
        <v>-</v>
      </c>
      <c r="AF105" s="9" t="s">
        <v>0</v>
      </c>
      <c r="AG105" s="9" t="s">
        <v>0</v>
      </c>
      <c r="AH105" s="9">
        <v>12.4</v>
      </c>
      <c r="AI105" s="9" t="s">
        <v>0</v>
      </c>
      <c r="AJ105" s="43" t="s">
        <v>0</v>
      </c>
      <c r="AK105" s="9" t="s">
        <v>0</v>
      </c>
      <c r="AL105" s="43" t="s">
        <v>0</v>
      </c>
      <c r="AM105" s="9" t="s">
        <v>0</v>
      </c>
      <c r="AN105" s="43" t="s">
        <v>0</v>
      </c>
      <c r="AO105" s="9" t="s">
        <v>0</v>
      </c>
      <c r="AP105" s="9" t="s">
        <v>0</v>
      </c>
      <c r="AQ105" s="43" t="s">
        <v>0</v>
      </c>
      <c r="AR105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05" s="9" t="str">
        <f t="shared" si="172"/>
        <v>-</v>
      </c>
      <c r="AT105" s="9">
        <f>IF(RIGHT(TKA[[#This Row],[Device type]],7)="Winding","-",TKA[[#This Row],[Cont Winter MVA]])</f>
        <v>1.8362343507908094</v>
      </c>
      <c r="AU105" s="9" t="str">
        <f>IF(RIGHT(TKA[[#This Row],[Device type]],7)="Winding","-",TKA[[#This Row],[Cont Shoulder MVA]])</f>
        <v>-</v>
      </c>
      <c r="AV105" s="9">
        <f>IF(RIGHT(TKA[[#This Row],[Device type]],7)="Winding","-",TKA[[#This Row],[Cont Summer MVA]])</f>
        <v>1.4043525141235669</v>
      </c>
      <c r="AW105" s="9" t="str">
        <f>TKA[[#This Row],[24 Hr Winter MVA]]</f>
        <v>-</v>
      </c>
      <c r="AX105" s="9" t="str">
        <f>TKA[[#This Row],[24 Hr Summer MVA]]</f>
        <v>-</v>
      </c>
      <c r="AY105" s="9" t="str">
        <f>TKA[[#This Row],[Forwards MVA]]</f>
        <v>-</v>
      </c>
      <c r="AZ105" s="9" t="str">
        <f>TKA[[#This Row],[Relay MVA]]</f>
        <v>-</v>
      </c>
      <c r="BA105" s="9" t="str">
        <f>TKA[[#This Row],[CT MVA]]</f>
        <v>-</v>
      </c>
      <c r="BB105" s="9" t="str">
        <f>TKA[[#This Row],[Derating MVA]]</f>
        <v>-</v>
      </c>
      <c r="BC105" s="9" t="str">
        <f>TKA[[#This Row],[Station/Feeder]]&amp;TKA[[#This Row],[Lowest MVA]]</f>
        <v>M205_Godley1.40435251412357</v>
      </c>
      <c r="BD105" s="9" t="str">
        <f>CONCATENATE(TKA[[#This Row],[Supply Level]],TKA[[#This Row],[Station/Feeder]],TKA[[#This Row],[Voltage]],TKA[[#This Row],[Lowest A-No PTX]])</f>
        <v>DistributionFeederM205_Godley1173.7093910969426</v>
      </c>
      <c r="BE105" s="9" t="str">
        <f>CONCATENATE(TKA[[#This Row],[Supply Level]],TKA[[#This Row],[Station/Feeder]],TKA[[#This Row],[Voltage]],TKA[[#This Row],[Lowest A-PTX]])</f>
        <v>DistributionFeederM205_Godley1173.7093910969426</v>
      </c>
      <c r="BF105" s="9">
        <f>IF(MIN(TKA[[#This Row],[Summ Cont Winter A]]:TKA[[#This Row],[Cable Derating]])=0,"",MIN(TKA[[#This Row],[Summ Cont Winter A]]:TKA[[#This Row],[Cable Derating]]))</f>
        <v>1.4043525141235669</v>
      </c>
      <c r="BG105" s="9">
        <f>IFERROR(TKA[[#This Row],[Lowest MVA]]*1000/(TKA[[#This Row],[Voltage]]*SQRT(3)),"")</f>
        <v>73.709391096942639</v>
      </c>
      <c r="BH105" s="9">
        <f t="shared" si="173"/>
        <v>73.709391096942639</v>
      </c>
      <c r="BI105" s="9" t="str">
        <f>TKA[[#This Row],[From]]</f>
        <v>M186</v>
      </c>
      <c r="BJ105" s="9" t="str">
        <f>TKA[[#This Row],[To]]</f>
        <v>M296</v>
      </c>
      <c r="BK105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Line-HERRING</v>
      </c>
      <c r="BL105" s="9">
        <f>TKA[[#This Row],[Voltage]]</f>
        <v>11</v>
      </c>
    </row>
    <row r="106" spans="1:64" s="1" customFormat="1" ht="15" customHeight="1" x14ac:dyDescent="0.25">
      <c r="A106" s="6" t="str">
        <f>CONCATENATE(TKA[[#This Row],[Supply Level]],TKA[[#This Row],[Station/Feeder]],TKA[[#This Row],[Voltage]])</f>
        <v>DistributionFeederM205_Godley11</v>
      </c>
      <c r="B106" s="6" t="str">
        <f>CONCATENATE(TKA[[#This Row],[Supply Level]],TKA[[#This Row],[Station/Feeder]],TKA[[#This Row],[Equipment ID]],TKA[[#This Row],[Voltage]],TKA[[#This Row],[Device type]])</f>
        <v>DistributionFeederM205_GodleyHERRING11-</v>
      </c>
      <c r="C106" s="6" t="s">
        <v>1276</v>
      </c>
      <c r="D106" s="6" t="s">
        <v>118</v>
      </c>
      <c r="E106" s="46" t="s">
        <v>455</v>
      </c>
      <c r="F106" s="46" t="s">
        <v>456</v>
      </c>
      <c r="G106" s="57">
        <v>8</v>
      </c>
      <c r="H106" s="46" t="s">
        <v>1289</v>
      </c>
      <c r="I106" s="46" t="s">
        <v>429</v>
      </c>
      <c r="J106" s="46" t="s">
        <v>69</v>
      </c>
      <c r="K106" s="46" t="s">
        <v>0</v>
      </c>
      <c r="L106" s="46" t="s">
        <v>0</v>
      </c>
      <c r="M106" s="57">
        <v>11</v>
      </c>
      <c r="N106" s="9">
        <v>96.377308793119241</v>
      </c>
      <c r="O106" s="9">
        <f t="shared" si="163"/>
        <v>1.8362343507908094</v>
      </c>
      <c r="P106" s="9" t="s">
        <v>0</v>
      </c>
      <c r="Q106" s="9" t="str">
        <f t="shared" si="164"/>
        <v>-</v>
      </c>
      <c r="R106" s="9">
        <v>73.709391096942639</v>
      </c>
      <c r="S106" s="9">
        <f t="shared" si="165"/>
        <v>1.4043525141235669</v>
      </c>
      <c r="T106" s="9" t="s">
        <v>0</v>
      </c>
      <c r="U106" s="9" t="str">
        <f t="shared" si="166"/>
        <v>-</v>
      </c>
      <c r="V106" s="9" t="s">
        <v>0</v>
      </c>
      <c r="W106" s="9" t="str">
        <f t="shared" si="167"/>
        <v>-</v>
      </c>
      <c r="X106" s="9" t="s">
        <v>0</v>
      </c>
      <c r="Y106" s="9" t="str">
        <f t="shared" si="168"/>
        <v>-</v>
      </c>
      <c r="Z106" s="9" t="s">
        <v>0</v>
      </c>
      <c r="AA106" s="9" t="str">
        <f t="shared" si="169"/>
        <v>-</v>
      </c>
      <c r="AB106" s="9" t="s">
        <v>0</v>
      </c>
      <c r="AC106" s="9" t="str">
        <f t="shared" si="170"/>
        <v>-</v>
      </c>
      <c r="AD106" s="9" t="s">
        <v>0</v>
      </c>
      <c r="AE106" s="9" t="str">
        <f t="shared" si="171"/>
        <v>-</v>
      </c>
      <c r="AF106" s="9" t="s">
        <v>0</v>
      </c>
      <c r="AG106" s="9" t="s">
        <v>0</v>
      </c>
      <c r="AH106" s="9">
        <v>1176.2</v>
      </c>
      <c r="AI106" s="9" t="s">
        <v>0</v>
      </c>
      <c r="AJ106" s="43" t="s">
        <v>0</v>
      </c>
      <c r="AK106" s="9" t="s">
        <v>0</v>
      </c>
      <c r="AL106" s="43" t="s">
        <v>0</v>
      </c>
      <c r="AM106" s="9" t="s">
        <v>0</v>
      </c>
      <c r="AN106" s="43" t="s">
        <v>0</v>
      </c>
      <c r="AO106" s="9" t="s">
        <v>0</v>
      </c>
      <c r="AP106" s="9" t="s">
        <v>0</v>
      </c>
      <c r="AQ106" s="43" t="s">
        <v>0</v>
      </c>
      <c r="AR106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06" s="9" t="str">
        <f t="shared" si="172"/>
        <v>-</v>
      </c>
      <c r="AT106" s="9">
        <f>IF(RIGHT(TKA[[#This Row],[Device type]],7)="Winding","-",TKA[[#This Row],[Cont Winter MVA]])</f>
        <v>1.8362343507908094</v>
      </c>
      <c r="AU106" s="9" t="str">
        <f>IF(RIGHT(TKA[[#This Row],[Device type]],7)="Winding","-",TKA[[#This Row],[Cont Shoulder MVA]])</f>
        <v>-</v>
      </c>
      <c r="AV106" s="9">
        <f>IF(RIGHT(TKA[[#This Row],[Device type]],7)="Winding","-",TKA[[#This Row],[Cont Summer MVA]])</f>
        <v>1.4043525141235669</v>
      </c>
      <c r="AW106" s="9" t="str">
        <f>TKA[[#This Row],[24 Hr Winter MVA]]</f>
        <v>-</v>
      </c>
      <c r="AX106" s="9" t="str">
        <f>TKA[[#This Row],[24 Hr Summer MVA]]</f>
        <v>-</v>
      </c>
      <c r="AY106" s="9" t="str">
        <f>TKA[[#This Row],[Forwards MVA]]</f>
        <v>-</v>
      </c>
      <c r="AZ106" s="9" t="str">
        <f>TKA[[#This Row],[Relay MVA]]</f>
        <v>-</v>
      </c>
      <c r="BA106" s="9" t="str">
        <f>TKA[[#This Row],[CT MVA]]</f>
        <v>-</v>
      </c>
      <c r="BB106" s="9" t="str">
        <f>TKA[[#This Row],[Derating MVA]]</f>
        <v>-</v>
      </c>
      <c r="BC106" s="9" t="str">
        <f>TKA[[#This Row],[Station/Feeder]]&amp;TKA[[#This Row],[Lowest MVA]]</f>
        <v>M205_Godley1.40435251412357</v>
      </c>
      <c r="BD106" s="9" t="str">
        <f>CONCATENATE(TKA[[#This Row],[Supply Level]],TKA[[#This Row],[Station/Feeder]],TKA[[#This Row],[Voltage]],TKA[[#This Row],[Lowest A-No PTX]])</f>
        <v>DistributionFeederM205_Godley1173.7093910969426</v>
      </c>
      <c r="BE106" s="9" t="str">
        <f>CONCATENATE(TKA[[#This Row],[Supply Level]],TKA[[#This Row],[Station/Feeder]],TKA[[#This Row],[Voltage]],TKA[[#This Row],[Lowest A-PTX]])</f>
        <v>DistributionFeederM205_Godley1173.7093910969426</v>
      </c>
      <c r="BF106" s="9">
        <f>IF(MIN(TKA[[#This Row],[Summ Cont Winter A]]:TKA[[#This Row],[Cable Derating]])=0,"",MIN(TKA[[#This Row],[Summ Cont Winter A]]:TKA[[#This Row],[Cable Derating]]))</f>
        <v>1.4043525141235669</v>
      </c>
      <c r="BG106" s="9">
        <f>IFERROR(TKA[[#This Row],[Lowest MVA]]*1000/(TKA[[#This Row],[Voltage]]*SQRT(3)),"")</f>
        <v>73.709391096942639</v>
      </c>
      <c r="BH106" s="9">
        <f t="shared" si="173"/>
        <v>73.709391096942639</v>
      </c>
      <c r="BI106" s="9" t="str">
        <f>TKA[[#This Row],[From]]</f>
        <v>M296</v>
      </c>
      <c r="BJ106" s="9" t="str">
        <f>TKA[[#This Row],[To]]</f>
        <v>Pole 14106</v>
      </c>
      <c r="BK106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Line-HERRING</v>
      </c>
      <c r="BL106" s="9">
        <f>TKA[[#This Row],[Voltage]]</f>
        <v>11</v>
      </c>
    </row>
    <row r="107" spans="1:64" s="1" customFormat="1" ht="15" customHeight="1" x14ac:dyDescent="0.25">
      <c r="A107" s="6" t="str">
        <f>CONCATENATE(TKA[[#This Row],[Supply Level]],TKA[[#This Row],[Station/Feeder]],TKA[[#This Row],[Voltage]])</f>
        <v>DistributionFeederM205_Godley11</v>
      </c>
      <c r="B107" s="6" t="str">
        <f>CONCATENATE(TKA[[#This Row],[Supply Level]],TKA[[#This Row],[Station/Feeder]],TKA[[#This Row],[Equipment ID]],TKA[[#This Row],[Voltage]],TKA[[#This Row],[Device type]])</f>
        <v>DistributionFeederM205_GodleyM29611-</v>
      </c>
      <c r="C107" s="6" t="s">
        <v>1276</v>
      </c>
      <c r="D107" s="6" t="s">
        <v>118</v>
      </c>
      <c r="E107" s="46" t="s">
        <v>454</v>
      </c>
      <c r="F107" s="46" t="s">
        <v>455</v>
      </c>
      <c r="G107" s="57">
        <v>7</v>
      </c>
      <c r="H107" s="46" t="s">
        <v>273</v>
      </c>
      <c r="I107" s="46" t="s">
        <v>455</v>
      </c>
      <c r="J107" s="46" t="s">
        <v>249</v>
      </c>
      <c r="K107" s="46" t="s">
        <v>0</v>
      </c>
      <c r="L107" s="46" t="s">
        <v>0</v>
      </c>
      <c r="M107" s="57">
        <v>11</v>
      </c>
      <c r="N107" s="9">
        <v>300</v>
      </c>
      <c r="O107" s="9">
        <f t="shared" si="163"/>
        <v>5.715767664977295</v>
      </c>
      <c r="P107" s="9">
        <v>300</v>
      </c>
      <c r="Q107" s="9">
        <f t="shared" si="164"/>
        <v>5.715767664977295</v>
      </c>
      <c r="R107" s="9">
        <v>300</v>
      </c>
      <c r="S107" s="9">
        <f t="shared" si="165"/>
        <v>5.715767664977295</v>
      </c>
      <c r="T107" s="9" t="s">
        <v>0</v>
      </c>
      <c r="U107" s="9" t="str">
        <f t="shared" si="166"/>
        <v>-</v>
      </c>
      <c r="V107" s="9" t="s">
        <v>0</v>
      </c>
      <c r="W107" s="9" t="str">
        <f t="shared" si="167"/>
        <v>-</v>
      </c>
      <c r="X107" s="9" t="s">
        <v>0</v>
      </c>
      <c r="Y107" s="9" t="str">
        <f t="shared" si="168"/>
        <v>-</v>
      </c>
      <c r="Z107" s="9" t="s">
        <v>0</v>
      </c>
      <c r="AA107" s="9" t="str">
        <f t="shared" si="169"/>
        <v>-</v>
      </c>
      <c r="AB107" s="9" t="s">
        <v>0</v>
      </c>
      <c r="AC107" s="9" t="str">
        <f t="shared" si="170"/>
        <v>-</v>
      </c>
      <c r="AD107" s="9" t="s">
        <v>0</v>
      </c>
      <c r="AE107" s="9" t="str">
        <f t="shared" si="171"/>
        <v>-</v>
      </c>
      <c r="AF107" s="9" t="s">
        <v>0</v>
      </c>
      <c r="AG107" s="9" t="s">
        <v>0</v>
      </c>
      <c r="AH107" s="9" t="s">
        <v>0</v>
      </c>
      <c r="AI107" s="9" t="s">
        <v>0</v>
      </c>
      <c r="AJ107" s="43" t="s">
        <v>0</v>
      </c>
      <c r="AK107" s="9" t="s">
        <v>0</v>
      </c>
      <c r="AL107" s="43" t="s">
        <v>0</v>
      </c>
      <c r="AM107" s="9" t="s">
        <v>0</v>
      </c>
      <c r="AN107" s="43" t="s">
        <v>0</v>
      </c>
      <c r="AO107" s="9" t="s">
        <v>0</v>
      </c>
      <c r="AP107" s="43" t="s">
        <v>0</v>
      </c>
      <c r="AQ107" s="43" t="s">
        <v>0</v>
      </c>
      <c r="AR107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07" s="9" t="str">
        <f t="shared" si="172"/>
        <v>-</v>
      </c>
      <c r="AT107" s="9">
        <f>IF(RIGHT(TKA[[#This Row],[Device type]],7)="Winding","-",TKA[[#This Row],[Cont Winter MVA]])</f>
        <v>5.715767664977295</v>
      </c>
      <c r="AU107" s="9">
        <f>IF(RIGHT(TKA[[#This Row],[Device type]],7)="Winding","-",TKA[[#This Row],[Cont Shoulder MVA]])</f>
        <v>5.715767664977295</v>
      </c>
      <c r="AV107" s="9">
        <f>IF(RIGHT(TKA[[#This Row],[Device type]],7)="Winding","-",TKA[[#This Row],[Cont Summer MVA]])</f>
        <v>5.715767664977295</v>
      </c>
      <c r="AW107" s="9" t="str">
        <f>TKA[[#This Row],[24 Hr Winter MVA]]</f>
        <v>-</v>
      </c>
      <c r="AX107" s="9" t="str">
        <f>TKA[[#This Row],[24 Hr Summer MVA]]</f>
        <v>-</v>
      </c>
      <c r="AY107" s="9" t="str">
        <f>TKA[[#This Row],[Forwards MVA]]</f>
        <v>-</v>
      </c>
      <c r="AZ107" s="9" t="str">
        <f>TKA[[#This Row],[Relay MVA]]</f>
        <v>-</v>
      </c>
      <c r="BA107" s="9" t="str">
        <f>TKA[[#This Row],[CT MVA]]</f>
        <v>-</v>
      </c>
      <c r="BB107" s="9" t="str">
        <f>TKA[[#This Row],[Derating MVA]]</f>
        <v>-</v>
      </c>
      <c r="BC107" s="9" t="str">
        <f>TKA[[#This Row],[Station/Feeder]]&amp;TKA[[#This Row],[Lowest MVA]]</f>
        <v>M205_Godley5.7157676649773</v>
      </c>
      <c r="BD107" s="9" t="str">
        <f>CONCATENATE(TKA[[#This Row],[Supply Level]],TKA[[#This Row],[Station/Feeder]],TKA[[#This Row],[Voltage]],TKA[[#This Row],[Lowest A-No PTX]])</f>
        <v>DistributionFeederM205_Godley11300</v>
      </c>
      <c r="BE107" s="9" t="str">
        <f>CONCATENATE(TKA[[#This Row],[Supply Level]],TKA[[#This Row],[Station/Feeder]],TKA[[#This Row],[Voltage]],TKA[[#This Row],[Lowest A-PTX]])</f>
        <v>DistributionFeederM205_Godley11300</v>
      </c>
      <c r="BF107" s="9">
        <f>IF(MIN(TKA[[#This Row],[Summ Cont Winter A]]:TKA[[#This Row],[Cable Derating]])=0,"",MIN(TKA[[#This Row],[Summ Cont Winter A]]:TKA[[#This Row],[Cable Derating]]))</f>
        <v>5.715767664977295</v>
      </c>
      <c r="BG107" s="9">
        <f>IFERROR(TKA[[#This Row],[Lowest MVA]]*1000/(TKA[[#This Row],[Voltage]]*SQRT(3)),"")</f>
        <v>300</v>
      </c>
      <c r="BH107" s="9">
        <f t="shared" si="173"/>
        <v>300</v>
      </c>
      <c r="BI107" s="9" t="str">
        <f>TKA[[#This Row],[From]]</f>
        <v>M186</v>
      </c>
      <c r="BJ107" s="9" t="str">
        <f>TKA[[#This Row],[To]]</f>
        <v>M296</v>
      </c>
      <c r="BK107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Link-M296</v>
      </c>
      <c r="BL107" s="9">
        <f>TKA[[#This Row],[Voltage]]</f>
        <v>11</v>
      </c>
    </row>
    <row r="108" spans="1:64" s="1" customFormat="1" ht="15" customHeight="1" x14ac:dyDescent="0.25">
      <c r="A108" s="6" t="str">
        <f>CONCATENATE(TKA[[#This Row],[Supply Level]],TKA[[#This Row],[Station/Feeder]],TKA[[#This Row],[Voltage]])</f>
        <v>DistributionFeederM206_Tekapo Township11</v>
      </c>
      <c r="B108" s="6" t="str">
        <f>CONCATENATE(TKA[[#This Row],[Supply Level]],TKA[[#This Row],[Station/Feeder]],TKA[[#This Row],[Equipment ID]],TKA[[#This Row],[Voltage]],TKA[[#This Row],[Device type]])</f>
        <v>DistributionFeederM206_Tekapo TownshipTEK-M20611Protection</v>
      </c>
      <c r="C108" s="6" t="s">
        <v>1276</v>
      </c>
      <c r="D108" s="6" t="s">
        <v>129</v>
      </c>
      <c r="E108" s="7" t="s">
        <v>243</v>
      </c>
      <c r="F108" s="46" t="s">
        <v>457</v>
      </c>
      <c r="G108" s="57">
        <v>1</v>
      </c>
      <c r="H108" s="46" t="s">
        <v>343</v>
      </c>
      <c r="I108" s="7" t="s">
        <v>2431</v>
      </c>
      <c r="J108" s="7" t="s">
        <v>15</v>
      </c>
      <c r="K108" s="7" t="s">
        <v>791</v>
      </c>
      <c r="L108" s="7" t="s">
        <v>1423</v>
      </c>
      <c r="M108" s="57">
        <v>11</v>
      </c>
      <c r="N108" s="9">
        <v>600</v>
      </c>
      <c r="O108" s="9">
        <f t="shared" si="163"/>
        <v>11.43153532995459</v>
      </c>
      <c r="P108" s="9">
        <v>600</v>
      </c>
      <c r="Q108" s="9">
        <f t="shared" si="164"/>
        <v>11.43153532995459</v>
      </c>
      <c r="R108" s="9">
        <v>600</v>
      </c>
      <c r="S108" s="9">
        <f t="shared" si="165"/>
        <v>11.43153532995459</v>
      </c>
      <c r="T108" s="9" t="s">
        <v>0</v>
      </c>
      <c r="U108" s="9" t="str">
        <f t="shared" si="166"/>
        <v>-</v>
      </c>
      <c r="V108" s="9" t="s">
        <v>0</v>
      </c>
      <c r="W108" s="9" t="str">
        <f t="shared" si="167"/>
        <v>-</v>
      </c>
      <c r="X108" s="9">
        <f>VLOOKUP(TKA[[#This Row],[Equipment ID]],AEL_Protection_Data[#All],12,0)</f>
        <v>276</v>
      </c>
      <c r="Y108" s="9">
        <f t="shared" si="168"/>
        <v>5.258506251779111</v>
      </c>
      <c r="Z108" s="9" t="s">
        <v>0</v>
      </c>
      <c r="AA108" s="9" t="str">
        <f t="shared" si="169"/>
        <v>-</v>
      </c>
      <c r="AB108" s="9" t="s">
        <v>0</v>
      </c>
      <c r="AC108" s="9" t="str">
        <f t="shared" si="170"/>
        <v>-</v>
      </c>
      <c r="AD108" s="9" t="s">
        <v>0</v>
      </c>
      <c r="AE108" s="9" t="str">
        <f t="shared" si="171"/>
        <v>-</v>
      </c>
      <c r="AF108" s="9" t="s">
        <v>0</v>
      </c>
      <c r="AG108" s="9" t="s">
        <v>0</v>
      </c>
      <c r="AH108" s="9" t="s">
        <v>0</v>
      </c>
      <c r="AI108" s="9" t="s">
        <v>0</v>
      </c>
      <c r="AJ108" s="43" t="s">
        <v>0</v>
      </c>
      <c r="AK108" s="9" t="s">
        <v>0</v>
      </c>
      <c r="AL108" s="43" t="s">
        <v>0</v>
      </c>
      <c r="AM108" s="9" t="s">
        <v>0</v>
      </c>
      <c r="AN108" s="43" t="s">
        <v>0</v>
      </c>
      <c r="AO108" s="9" t="s">
        <v>0</v>
      </c>
      <c r="AP108" s="9" t="s">
        <v>0</v>
      </c>
      <c r="AQ108" s="43" t="s">
        <v>0</v>
      </c>
      <c r="AR108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08" s="9" t="str">
        <f t="shared" si="172"/>
        <v>-</v>
      </c>
      <c r="AT108" s="9">
        <f>IF(RIGHT(TKA[[#This Row],[Device type]],7)="Winding","-",TKA[[#This Row],[Cont Winter MVA]])</f>
        <v>11.43153532995459</v>
      </c>
      <c r="AU108" s="9">
        <f>IF(RIGHT(TKA[[#This Row],[Device type]],7)="Winding","-",TKA[[#This Row],[Cont Shoulder MVA]])</f>
        <v>11.43153532995459</v>
      </c>
      <c r="AV108" s="9">
        <f>IF(RIGHT(TKA[[#This Row],[Device type]],7)="Winding","-",TKA[[#This Row],[Cont Summer MVA]])</f>
        <v>11.43153532995459</v>
      </c>
      <c r="AW108" s="9" t="str">
        <f>TKA[[#This Row],[24 Hr Winter MVA]]</f>
        <v>-</v>
      </c>
      <c r="AX108" s="9" t="str">
        <f>TKA[[#This Row],[24 Hr Summer MVA]]</f>
        <v>-</v>
      </c>
      <c r="AY108" s="9">
        <f>TKA[[#This Row],[Forwards MVA]]</f>
        <v>5.258506251779111</v>
      </c>
      <c r="AZ108" s="9" t="str">
        <f>TKA[[#This Row],[Relay MVA]]</f>
        <v>-</v>
      </c>
      <c r="BA108" s="9" t="str">
        <f>TKA[[#This Row],[CT MVA]]</f>
        <v>-</v>
      </c>
      <c r="BB108" s="9" t="str">
        <f>TKA[[#This Row],[Derating MVA]]</f>
        <v>-</v>
      </c>
      <c r="BC108" s="9" t="str">
        <f>TKA[[#This Row],[Station/Feeder]]&amp;TKA[[#This Row],[Lowest MVA]]</f>
        <v>M206_Tekapo Township5.25850625177911</v>
      </c>
      <c r="BD108" s="9" t="str">
        <f>CONCATENATE(TKA[[#This Row],[Supply Level]],TKA[[#This Row],[Station/Feeder]],TKA[[#This Row],[Voltage]],TKA[[#This Row],[Lowest A-No PTX]])</f>
        <v>DistributionFeederM206_Tekapo Township11276</v>
      </c>
      <c r="BE108" s="9" t="str">
        <f>CONCATENATE(TKA[[#This Row],[Supply Level]],TKA[[#This Row],[Station/Feeder]],TKA[[#This Row],[Voltage]],TKA[[#This Row],[Lowest A-PTX]])</f>
        <v>DistributionFeederM206_Tekapo Township11276</v>
      </c>
      <c r="BF108" s="9">
        <f>IF(MIN(TKA[[#This Row],[Summ Cont Winter A]]:TKA[[#This Row],[Cable Derating]])=0,"",MIN(TKA[[#This Row],[Summ Cont Winter A]]:TKA[[#This Row],[Cable Derating]]))</f>
        <v>5.258506251779111</v>
      </c>
      <c r="BG108" s="9">
        <f>IFERROR(TKA[[#This Row],[Lowest MVA]]*1000/(TKA[[#This Row],[Voltage]]*SQRT(3)),"")</f>
        <v>276</v>
      </c>
      <c r="BH108" s="9">
        <f t="shared" si="173"/>
        <v>276</v>
      </c>
      <c r="BI108" s="9" t="str">
        <f>TKA[[#This Row],[From]]</f>
        <v>11 kV Bus</v>
      </c>
      <c r="BJ108" s="9" t="str">
        <f>TKA[[#This Row],[To]]</f>
        <v>M180</v>
      </c>
      <c r="BK108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Circuit Breaker-TEK-M206-Protection</v>
      </c>
      <c r="BL108" s="9">
        <f>TKA[[#This Row],[Voltage]]</f>
        <v>11</v>
      </c>
    </row>
    <row r="109" spans="1:64" s="1" customFormat="1" ht="15" customHeight="1" x14ac:dyDescent="0.25">
      <c r="A109" s="6" t="str">
        <f>CONCATENATE(TKA[[#This Row],[Supply Level]],TKA[[#This Row],[Station/Feeder]],TKA[[#This Row],[Voltage]])</f>
        <v>DistributionFeederM206_Tekapo Township11</v>
      </c>
      <c r="B109" s="6" t="str">
        <f>CONCATENATE(TKA[[#This Row],[Supply Level]],TKA[[#This Row],[Station/Feeder]],TKA[[#This Row],[Equipment ID]],TKA[[#This Row],[Voltage]],TKA[[#This Row],[Device type]])</f>
        <v>DistributionFeederM206_Tekapo Township1-3c 150 mm² Al PILC11-</v>
      </c>
      <c r="C109" s="6" t="s">
        <v>1276</v>
      </c>
      <c r="D109" s="6" t="s">
        <v>129</v>
      </c>
      <c r="E109" s="7" t="s">
        <v>243</v>
      </c>
      <c r="F109" s="46" t="s">
        <v>457</v>
      </c>
      <c r="G109" s="57">
        <v>2</v>
      </c>
      <c r="H109" s="46" t="s">
        <v>276</v>
      </c>
      <c r="I109" s="46" t="s">
        <v>568</v>
      </c>
      <c r="J109" s="46" t="s">
        <v>250</v>
      </c>
      <c r="K109" s="46" t="s">
        <v>0</v>
      </c>
      <c r="L109" s="46" t="s">
        <v>0</v>
      </c>
      <c r="M109" s="57">
        <v>11</v>
      </c>
      <c r="N109" s="9">
        <v>265</v>
      </c>
      <c r="O109" s="9">
        <f t="shared" si="163"/>
        <v>5.0489281040632772</v>
      </c>
      <c r="P109" s="9">
        <v>265</v>
      </c>
      <c r="Q109" s="9">
        <f t="shared" si="164"/>
        <v>5.0489281040632772</v>
      </c>
      <c r="R109" s="9">
        <v>265</v>
      </c>
      <c r="S109" s="9">
        <f t="shared" si="165"/>
        <v>5.0489281040632772</v>
      </c>
      <c r="T109" s="9" t="s">
        <v>0</v>
      </c>
      <c r="U109" s="9" t="str">
        <f t="shared" si="166"/>
        <v>-</v>
      </c>
      <c r="V109" s="9" t="s">
        <v>0</v>
      </c>
      <c r="W109" s="9" t="str">
        <f t="shared" si="167"/>
        <v>-</v>
      </c>
      <c r="X109" s="9" t="s">
        <v>0</v>
      </c>
      <c r="Y109" s="9" t="str">
        <f t="shared" si="168"/>
        <v>-</v>
      </c>
      <c r="Z109" s="9" t="s">
        <v>0</v>
      </c>
      <c r="AA109" s="9" t="str">
        <f t="shared" si="169"/>
        <v>-</v>
      </c>
      <c r="AB109" s="9" t="s">
        <v>0</v>
      </c>
      <c r="AC109" s="9" t="str">
        <f t="shared" si="170"/>
        <v>-</v>
      </c>
      <c r="AD109" s="9" t="s">
        <v>0</v>
      </c>
      <c r="AE109" s="9" t="str">
        <f t="shared" si="171"/>
        <v>-</v>
      </c>
      <c r="AF109" s="9">
        <v>3</v>
      </c>
      <c r="AG109" s="9" t="s">
        <v>265</v>
      </c>
      <c r="AH109" s="9">
        <v>68</v>
      </c>
      <c r="AI109" s="9">
        <v>1.1000000000000001</v>
      </c>
      <c r="AJ109" s="43">
        <v>0.97</v>
      </c>
      <c r="AK109" s="9">
        <v>15</v>
      </c>
      <c r="AL109" s="43">
        <v>1</v>
      </c>
      <c r="AM109" s="9">
        <v>0.9</v>
      </c>
      <c r="AN109" s="43">
        <v>1.1000000000000001</v>
      </c>
      <c r="AO109" s="9">
        <v>5</v>
      </c>
      <c r="AP109" s="9">
        <v>0.15</v>
      </c>
      <c r="AQ109" s="43">
        <v>0.66</v>
      </c>
      <c r="AR109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186.61829999999998</v>
      </c>
      <c r="AS109" s="9">
        <f t="shared" si="172"/>
        <v>3.5555561494434405</v>
      </c>
      <c r="AT109" s="9">
        <f>IF(RIGHT(TKA[[#This Row],[Device type]],7)="Winding","-",TKA[[#This Row],[Cont Winter MVA]])</f>
        <v>5.0489281040632772</v>
      </c>
      <c r="AU109" s="9">
        <f>IF(RIGHT(TKA[[#This Row],[Device type]],7)="Winding","-",TKA[[#This Row],[Cont Shoulder MVA]])</f>
        <v>5.0489281040632772</v>
      </c>
      <c r="AV109" s="9">
        <f>IF(RIGHT(TKA[[#This Row],[Device type]],7)="Winding","-",TKA[[#This Row],[Cont Summer MVA]])</f>
        <v>5.0489281040632772</v>
      </c>
      <c r="AW109" s="9" t="str">
        <f>TKA[[#This Row],[24 Hr Winter MVA]]</f>
        <v>-</v>
      </c>
      <c r="AX109" s="9" t="str">
        <f>TKA[[#This Row],[24 Hr Summer MVA]]</f>
        <v>-</v>
      </c>
      <c r="AY109" s="9" t="str">
        <f>TKA[[#This Row],[Forwards MVA]]</f>
        <v>-</v>
      </c>
      <c r="AZ109" s="9" t="str">
        <f>TKA[[#This Row],[Relay MVA]]</f>
        <v>-</v>
      </c>
      <c r="BA109" s="9" t="str">
        <f>TKA[[#This Row],[CT MVA]]</f>
        <v>-</v>
      </c>
      <c r="BB109" s="9">
        <f>TKA[[#This Row],[Derating MVA]]</f>
        <v>3.5555561494434405</v>
      </c>
      <c r="BC109" s="9" t="str">
        <f>TKA[[#This Row],[Station/Feeder]]&amp;TKA[[#This Row],[Lowest MVA]]</f>
        <v>M206_Tekapo Township3.55555614944344</v>
      </c>
      <c r="BD109" s="9" t="str">
        <f>CONCATENATE(TKA[[#This Row],[Supply Level]],TKA[[#This Row],[Station/Feeder]],TKA[[#This Row],[Voltage]],TKA[[#This Row],[Lowest A-No PTX]])</f>
        <v>DistributionFeederM206_Tekapo Township11186.6183</v>
      </c>
      <c r="BE109" s="9" t="str">
        <f>CONCATENATE(TKA[[#This Row],[Supply Level]],TKA[[#This Row],[Station/Feeder]],TKA[[#This Row],[Voltage]],TKA[[#This Row],[Lowest A-PTX]])</f>
        <v>DistributionFeederM206_Tekapo Township11186.6183</v>
      </c>
      <c r="BF109" s="9">
        <f>IF(MIN(TKA[[#This Row],[Summ Cont Winter A]]:TKA[[#This Row],[Cable Derating]])=0,"",MIN(TKA[[#This Row],[Summ Cont Winter A]]:TKA[[#This Row],[Cable Derating]]))</f>
        <v>3.5555561494434405</v>
      </c>
      <c r="BG109" s="9">
        <f>IFERROR(TKA[[#This Row],[Lowest MVA]]*1000/(TKA[[#This Row],[Voltage]]*SQRT(3)),"")</f>
        <v>186.61829999999998</v>
      </c>
      <c r="BH109" s="9">
        <f t="shared" si="173"/>
        <v>186.61829999999998</v>
      </c>
      <c r="BI109" s="9" t="str">
        <f>TKA[[#This Row],[From]]</f>
        <v>11 kV Bus</v>
      </c>
      <c r="BJ109" s="9" t="str">
        <f>TKA[[#This Row],[To]]</f>
        <v>M180</v>
      </c>
      <c r="BK109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Cable-1-3c 150 mm² Al PILC</v>
      </c>
      <c r="BL109" s="9">
        <f>TKA[[#This Row],[Voltage]]</f>
        <v>11</v>
      </c>
    </row>
    <row r="110" spans="1:64" s="1" customFormat="1" ht="15" customHeight="1" x14ac:dyDescent="0.25">
      <c r="A110" s="6" t="str">
        <f>CONCATENATE(TKA[[#This Row],[Supply Level]],TKA[[#This Row],[Station/Feeder]],TKA[[#This Row],[Voltage]])</f>
        <v>DistributionFeederM206_Tekapo Township11</v>
      </c>
      <c r="B110" s="6" t="str">
        <f>CONCATENATE(TKA[[#This Row],[Supply Level]],TKA[[#This Row],[Station/Feeder]],TKA[[#This Row],[Equipment ID]],TKA[[#This Row],[Voltage]],TKA[[#This Row],[Device type]])</f>
        <v>DistributionFeederM206_Tekapo Township3-1c 185 mm² Al XLPE11-</v>
      </c>
      <c r="C110" s="6" t="s">
        <v>1276</v>
      </c>
      <c r="D110" s="6" t="s">
        <v>129</v>
      </c>
      <c r="E110" s="7" t="s">
        <v>243</v>
      </c>
      <c r="F110" s="46" t="s">
        <v>457</v>
      </c>
      <c r="G110" s="57">
        <v>3</v>
      </c>
      <c r="H110" s="46" t="s">
        <v>276</v>
      </c>
      <c r="I110" s="46" t="s">
        <v>563</v>
      </c>
      <c r="J110" s="46" t="s">
        <v>250</v>
      </c>
      <c r="K110" s="46" t="s">
        <v>0</v>
      </c>
      <c r="L110" s="46" t="s">
        <v>0</v>
      </c>
      <c r="M110" s="57">
        <v>11</v>
      </c>
      <c r="N110" s="9">
        <v>362</v>
      </c>
      <c r="O110" s="9">
        <f t="shared" si="163"/>
        <v>6.8970263157392688</v>
      </c>
      <c r="P110" s="9">
        <v>362</v>
      </c>
      <c r="Q110" s="9">
        <f t="shared" si="164"/>
        <v>6.8970263157392688</v>
      </c>
      <c r="R110" s="9">
        <v>362</v>
      </c>
      <c r="S110" s="9">
        <f t="shared" si="165"/>
        <v>6.8970263157392688</v>
      </c>
      <c r="T110" s="9" t="s">
        <v>0</v>
      </c>
      <c r="U110" s="9" t="str">
        <f t="shared" si="166"/>
        <v>-</v>
      </c>
      <c r="V110" s="9" t="s">
        <v>0</v>
      </c>
      <c r="W110" s="9" t="str">
        <f t="shared" si="167"/>
        <v>-</v>
      </c>
      <c r="X110" s="9" t="s">
        <v>0</v>
      </c>
      <c r="Y110" s="9" t="str">
        <f t="shared" si="168"/>
        <v>-</v>
      </c>
      <c r="Z110" s="9" t="s">
        <v>0</v>
      </c>
      <c r="AA110" s="9" t="str">
        <f t="shared" si="169"/>
        <v>-</v>
      </c>
      <c r="AB110" s="9" t="s">
        <v>0</v>
      </c>
      <c r="AC110" s="9" t="str">
        <f t="shared" si="170"/>
        <v>-</v>
      </c>
      <c r="AD110" s="9" t="s">
        <v>0</v>
      </c>
      <c r="AE110" s="9" t="str">
        <f t="shared" si="171"/>
        <v>-</v>
      </c>
      <c r="AF110" s="9">
        <v>1</v>
      </c>
      <c r="AG110" s="9" t="s">
        <v>265</v>
      </c>
      <c r="AH110" s="9">
        <v>3.5</v>
      </c>
      <c r="AI110" s="9">
        <v>1</v>
      </c>
      <c r="AJ110" s="43">
        <v>0.98</v>
      </c>
      <c r="AK110" s="9">
        <v>15</v>
      </c>
      <c r="AL110" s="43">
        <v>1</v>
      </c>
      <c r="AM110" s="9">
        <v>0.9</v>
      </c>
      <c r="AN110" s="43">
        <v>1.1200000000000001</v>
      </c>
      <c r="AO110" s="9">
        <v>1</v>
      </c>
      <c r="AP110" s="43">
        <v>0</v>
      </c>
      <c r="AQ110" s="43">
        <v>1</v>
      </c>
      <c r="AR110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397.33120000000002</v>
      </c>
      <c r="AS110" s="9">
        <f t="shared" si="172"/>
        <v>7.5701760841554222</v>
      </c>
      <c r="AT110" s="9">
        <f>IF(RIGHT(TKA[[#This Row],[Device type]],7)="Winding","-",TKA[[#This Row],[Cont Winter MVA]])</f>
        <v>6.8970263157392688</v>
      </c>
      <c r="AU110" s="9">
        <f>IF(RIGHT(TKA[[#This Row],[Device type]],7)="Winding","-",TKA[[#This Row],[Cont Shoulder MVA]])</f>
        <v>6.8970263157392688</v>
      </c>
      <c r="AV110" s="9">
        <f>IF(RIGHT(TKA[[#This Row],[Device type]],7)="Winding","-",TKA[[#This Row],[Cont Summer MVA]])</f>
        <v>6.8970263157392688</v>
      </c>
      <c r="AW110" s="9" t="str">
        <f>TKA[[#This Row],[24 Hr Winter MVA]]</f>
        <v>-</v>
      </c>
      <c r="AX110" s="9" t="str">
        <f>TKA[[#This Row],[24 Hr Summer MVA]]</f>
        <v>-</v>
      </c>
      <c r="AY110" s="9" t="str">
        <f>TKA[[#This Row],[Forwards MVA]]</f>
        <v>-</v>
      </c>
      <c r="AZ110" s="9" t="str">
        <f>TKA[[#This Row],[Relay MVA]]</f>
        <v>-</v>
      </c>
      <c r="BA110" s="9" t="str">
        <f>TKA[[#This Row],[CT MVA]]</f>
        <v>-</v>
      </c>
      <c r="BB110" s="9">
        <f>TKA[[#This Row],[Derating MVA]]</f>
        <v>7.5701760841554222</v>
      </c>
      <c r="BC110" s="9" t="str">
        <f>TKA[[#This Row],[Station/Feeder]]&amp;TKA[[#This Row],[Lowest MVA]]</f>
        <v>M206_Tekapo Township6.89702631573927</v>
      </c>
      <c r="BD110" s="9" t="str">
        <f>CONCATENATE(TKA[[#This Row],[Supply Level]],TKA[[#This Row],[Station/Feeder]],TKA[[#This Row],[Voltage]],TKA[[#This Row],[Lowest A-No PTX]])</f>
        <v>DistributionFeederM206_Tekapo Township11362</v>
      </c>
      <c r="BE110" s="9" t="str">
        <f>CONCATENATE(TKA[[#This Row],[Supply Level]],TKA[[#This Row],[Station/Feeder]],TKA[[#This Row],[Voltage]],TKA[[#This Row],[Lowest A-PTX]])</f>
        <v>DistributionFeederM206_Tekapo Township11362</v>
      </c>
      <c r="BF110" s="9">
        <f>IF(MIN(TKA[[#This Row],[Summ Cont Winter A]]:TKA[[#This Row],[Cable Derating]])=0,"",MIN(TKA[[#This Row],[Summ Cont Winter A]]:TKA[[#This Row],[Cable Derating]]))</f>
        <v>6.8970263157392688</v>
      </c>
      <c r="BG110" s="9">
        <f>IFERROR(TKA[[#This Row],[Lowest MVA]]*1000/(TKA[[#This Row],[Voltage]]*SQRT(3)),"")</f>
        <v>362</v>
      </c>
      <c r="BH110" s="9">
        <f t="shared" si="173"/>
        <v>362</v>
      </c>
      <c r="BI110" s="9" t="str">
        <f>TKA[[#This Row],[From]]</f>
        <v>11 kV Bus</v>
      </c>
      <c r="BJ110" s="9" t="str">
        <f>TKA[[#This Row],[To]]</f>
        <v>M180</v>
      </c>
      <c r="BK110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Cable-3-1c 185 mm² Al XLPE</v>
      </c>
      <c r="BL110" s="9">
        <f>TKA[[#This Row],[Voltage]]</f>
        <v>11</v>
      </c>
    </row>
    <row r="111" spans="1:64" s="1" customFormat="1" ht="15.75" customHeight="1" x14ac:dyDescent="0.25">
      <c r="A111" s="6" t="str">
        <f>CONCATENATE(TKA[[#This Row],[Supply Level]],TKA[[#This Row],[Station/Feeder]],TKA[[#This Row],[Voltage]])</f>
        <v>DistributionFeederM206_Tekapo Township11</v>
      </c>
      <c r="B111" s="6" t="str">
        <f>CONCATENATE(TKA[[#This Row],[Supply Level]],TKA[[#This Row],[Station/Feeder]],TKA[[#This Row],[Equipment ID]],TKA[[#This Row],[Voltage]],TKA[[#This Row],[Device type]])</f>
        <v>DistributionFeederM206_Tekapo TownshipM18011-</v>
      </c>
      <c r="C111" s="6" t="s">
        <v>1276</v>
      </c>
      <c r="D111" s="6" t="s">
        <v>129</v>
      </c>
      <c r="E111" s="7" t="s">
        <v>243</v>
      </c>
      <c r="F111" s="46" t="s">
        <v>457</v>
      </c>
      <c r="G111" s="57">
        <v>4</v>
      </c>
      <c r="H111" s="46" t="s">
        <v>273</v>
      </c>
      <c r="I111" s="46" t="s">
        <v>457</v>
      </c>
      <c r="J111" s="46" t="s">
        <v>249</v>
      </c>
      <c r="K111" s="46" t="s">
        <v>0</v>
      </c>
      <c r="L111" s="46" t="s">
        <v>0</v>
      </c>
      <c r="M111" s="57">
        <v>11</v>
      </c>
      <c r="N111" s="9" t="s">
        <v>0</v>
      </c>
      <c r="O111" s="9" t="str">
        <f t="shared" si="163"/>
        <v>-</v>
      </c>
      <c r="P111" s="9" t="s">
        <v>0</v>
      </c>
      <c r="Q111" s="9" t="str">
        <f t="shared" si="164"/>
        <v>-</v>
      </c>
      <c r="R111" s="9" t="s">
        <v>0</v>
      </c>
      <c r="S111" s="9" t="str">
        <f t="shared" si="165"/>
        <v>-</v>
      </c>
      <c r="T111" s="9" t="s">
        <v>0</v>
      </c>
      <c r="U111" s="9" t="str">
        <f t="shared" si="166"/>
        <v>-</v>
      </c>
      <c r="V111" s="9" t="s">
        <v>0</v>
      </c>
      <c r="W111" s="9" t="str">
        <f t="shared" si="167"/>
        <v>-</v>
      </c>
      <c r="X111" s="9" t="s">
        <v>0</v>
      </c>
      <c r="Y111" s="9" t="str">
        <f t="shared" si="168"/>
        <v>-</v>
      </c>
      <c r="Z111" s="9" t="s">
        <v>0</v>
      </c>
      <c r="AA111" s="9" t="str">
        <f t="shared" si="169"/>
        <v>-</v>
      </c>
      <c r="AB111" s="9" t="s">
        <v>0</v>
      </c>
      <c r="AC111" s="9" t="str">
        <f t="shared" si="170"/>
        <v>-</v>
      </c>
      <c r="AD111" s="9" t="s">
        <v>0</v>
      </c>
      <c r="AE111" s="9" t="str">
        <f t="shared" si="171"/>
        <v>-</v>
      </c>
      <c r="AF111" s="9" t="s">
        <v>0</v>
      </c>
      <c r="AG111" s="9" t="s">
        <v>0</v>
      </c>
      <c r="AH111" s="9" t="s">
        <v>0</v>
      </c>
      <c r="AI111" s="9" t="s">
        <v>0</v>
      </c>
      <c r="AJ111" s="43" t="s">
        <v>0</v>
      </c>
      <c r="AK111" s="9" t="s">
        <v>0</v>
      </c>
      <c r="AL111" s="43" t="s">
        <v>0</v>
      </c>
      <c r="AM111" s="9" t="s">
        <v>0</v>
      </c>
      <c r="AN111" s="43" t="s">
        <v>0</v>
      </c>
      <c r="AO111" s="9" t="s">
        <v>0</v>
      </c>
      <c r="AP111" s="9" t="s">
        <v>0</v>
      </c>
      <c r="AQ111" s="43" t="s">
        <v>0</v>
      </c>
      <c r="AR111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11" s="9" t="str">
        <f t="shared" si="172"/>
        <v>-</v>
      </c>
      <c r="AT111" s="9" t="str">
        <f>IF(RIGHT(TKA[[#This Row],[Device type]],7)="Winding","-",TKA[[#This Row],[Cont Winter MVA]])</f>
        <v>-</v>
      </c>
      <c r="AU111" s="9" t="str">
        <f>IF(RIGHT(TKA[[#This Row],[Device type]],7)="Winding","-",TKA[[#This Row],[Cont Shoulder MVA]])</f>
        <v>-</v>
      </c>
      <c r="AV111" s="9" t="str">
        <f>IF(RIGHT(TKA[[#This Row],[Device type]],7)="Winding","-",TKA[[#This Row],[Cont Summer MVA]])</f>
        <v>-</v>
      </c>
      <c r="AW111" s="9" t="str">
        <f>TKA[[#This Row],[24 Hr Winter MVA]]</f>
        <v>-</v>
      </c>
      <c r="AX111" s="9" t="str">
        <f>TKA[[#This Row],[24 Hr Summer MVA]]</f>
        <v>-</v>
      </c>
      <c r="AY111" s="9" t="str">
        <f>TKA[[#This Row],[Forwards MVA]]</f>
        <v>-</v>
      </c>
      <c r="AZ111" s="9" t="str">
        <f>TKA[[#This Row],[Relay MVA]]</f>
        <v>-</v>
      </c>
      <c r="BA111" s="9" t="str">
        <f>TKA[[#This Row],[CT MVA]]</f>
        <v>-</v>
      </c>
      <c r="BB111" s="9" t="str">
        <f>TKA[[#This Row],[Derating MVA]]</f>
        <v>-</v>
      </c>
      <c r="BC111" s="9" t="str">
        <f>TKA[[#This Row],[Station/Feeder]]&amp;TKA[[#This Row],[Lowest MVA]]</f>
        <v>M206_Tekapo Township</v>
      </c>
      <c r="BD111" s="9" t="str">
        <f>CONCATENATE(TKA[[#This Row],[Supply Level]],TKA[[#This Row],[Station/Feeder]],TKA[[#This Row],[Voltage]],TKA[[#This Row],[Lowest A-No PTX]])</f>
        <v>DistributionFeederM206_Tekapo Township11</v>
      </c>
      <c r="BE111" s="9" t="str">
        <f>CONCATENATE(TKA[[#This Row],[Supply Level]],TKA[[#This Row],[Station/Feeder]],TKA[[#This Row],[Voltage]],TKA[[#This Row],[Lowest A-PTX]])</f>
        <v>DistributionFeederM206_Tekapo Township11</v>
      </c>
      <c r="BF111" s="9" t="str">
        <f>IF(MIN(TKA[[#This Row],[Summ Cont Winter A]]:TKA[[#This Row],[Cable Derating]])=0,"",MIN(TKA[[#This Row],[Summ Cont Winter A]]:TKA[[#This Row],[Cable Derating]]))</f>
        <v/>
      </c>
      <c r="BG111" s="9" t="str">
        <f>IFERROR(TKA[[#This Row],[Lowest MVA]]*1000/(TKA[[#This Row],[Voltage]]*SQRT(3)),"")</f>
        <v/>
      </c>
      <c r="BH111" s="9" t="str">
        <f t="shared" ref="BH111" si="174">IF(MIN(N111,P111,R111,T111,V111,X111,Z111,AB111,AD111,AR111)=0,"",MIN(N111,P111,R111,T111,V111,X111,Z111,AB111,AD111,AR111))</f>
        <v/>
      </c>
      <c r="BI111" s="9" t="str">
        <f>TKA[[#This Row],[From]]</f>
        <v>11 kV Bus</v>
      </c>
      <c r="BJ111" s="9" t="str">
        <f>TKA[[#This Row],[To]]</f>
        <v>M180</v>
      </c>
      <c r="BK111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Link-M180</v>
      </c>
      <c r="BL111" s="9">
        <f>TKA[[#This Row],[Voltage]]</f>
        <v>11</v>
      </c>
    </row>
    <row r="112" spans="1:64" s="1" customFormat="1" ht="15" customHeight="1" x14ac:dyDescent="0.25">
      <c r="A112" s="6" t="str">
        <f>CONCATENATE(TKA[[#This Row],[Supply Level]],TKA[[#This Row],[Station/Feeder]],TKA[[#This Row],[Voltage]])</f>
        <v>DistributionFeederM206_Tekapo Township11</v>
      </c>
      <c r="B112" s="6" t="str">
        <f>CONCATENATE(TKA[[#This Row],[Supply Level]],TKA[[#This Row],[Station/Feeder]],TKA[[#This Row],[Equipment ID]],TKA[[#This Row],[Voltage]],TKA[[#This Row],[Device type]])</f>
        <v>DistributionFeederM206_Tekapo TownshipMINK11-</v>
      </c>
      <c r="C112" s="6" t="s">
        <v>1276</v>
      </c>
      <c r="D112" s="6" t="s">
        <v>129</v>
      </c>
      <c r="E112" s="46" t="s">
        <v>457</v>
      </c>
      <c r="F112" s="46" t="s">
        <v>458</v>
      </c>
      <c r="G112" s="57">
        <v>5</v>
      </c>
      <c r="H112" s="46" t="s">
        <v>1289</v>
      </c>
      <c r="I112" s="46" t="s">
        <v>282</v>
      </c>
      <c r="J112" s="46" t="s">
        <v>69</v>
      </c>
      <c r="K112" s="46" t="s">
        <v>0</v>
      </c>
      <c r="L112" s="46" t="s">
        <v>0</v>
      </c>
      <c r="M112" s="57">
        <v>11</v>
      </c>
      <c r="N112" s="9">
        <v>250.58233772128858</v>
      </c>
      <c r="O112" s="9">
        <f t="shared" si="163"/>
        <v>4.7742347445392053</v>
      </c>
      <c r="P112" s="9" t="s">
        <v>0</v>
      </c>
      <c r="Q112" s="9" t="str">
        <f t="shared" si="164"/>
        <v>-</v>
      </c>
      <c r="R112" s="9">
        <v>188.62660722014468</v>
      </c>
      <c r="S112" s="9">
        <f t="shared" si="165"/>
        <v>3.5938195410109186</v>
      </c>
      <c r="T112" s="9" t="s">
        <v>0</v>
      </c>
      <c r="U112" s="9" t="str">
        <f t="shared" si="166"/>
        <v>-</v>
      </c>
      <c r="V112" s="9" t="s">
        <v>0</v>
      </c>
      <c r="W112" s="9" t="str">
        <f t="shared" si="167"/>
        <v>-</v>
      </c>
      <c r="X112" s="9" t="s">
        <v>0</v>
      </c>
      <c r="Y112" s="9" t="str">
        <f t="shared" si="168"/>
        <v>-</v>
      </c>
      <c r="Z112" s="9" t="s">
        <v>0</v>
      </c>
      <c r="AA112" s="9" t="str">
        <f t="shared" si="169"/>
        <v>-</v>
      </c>
      <c r="AB112" s="9" t="s">
        <v>0</v>
      </c>
      <c r="AC112" s="9" t="str">
        <f t="shared" si="170"/>
        <v>-</v>
      </c>
      <c r="AD112" s="9" t="s">
        <v>0</v>
      </c>
      <c r="AE112" s="9" t="str">
        <f t="shared" si="171"/>
        <v>-</v>
      </c>
      <c r="AF112" s="9" t="s">
        <v>0</v>
      </c>
      <c r="AG112" s="9" t="s">
        <v>0</v>
      </c>
      <c r="AH112" s="9">
        <v>254.9</v>
      </c>
      <c r="AI112" s="9" t="s">
        <v>0</v>
      </c>
      <c r="AJ112" s="43" t="s">
        <v>0</v>
      </c>
      <c r="AK112" s="9" t="s">
        <v>0</v>
      </c>
      <c r="AL112" s="43" t="s">
        <v>0</v>
      </c>
      <c r="AM112" s="9" t="s">
        <v>0</v>
      </c>
      <c r="AN112" s="43" t="s">
        <v>0</v>
      </c>
      <c r="AO112" s="9" t="s">
        <v>0</v>
      </c>
      <c r="AP112" s="9" t="s">
        <v>0</v>
      </c>
      <c r="AQ112" s="43" t="s">
        <v>0</v>
      </c>
      <c r="AR112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12" s="9" t="str">
        <f t="shared" si="172"/>
        <v>-</v>
      </c>
      <c r="AT112" s="9">
        <f>IF(RIGHT(TKA[[#This Row],[Device type]],7)="Winding","-",TKA[[#This Row],[Cont Winter MVA]])</f>
        <v>4.7742347445392053</v>
      </c>
      <c r="AU112" s="9" t="str">
        <f>IF(RIGHT(TKA[[#This Row],[Device type]],7)="Winding","-",TKA[[#This Row],[Cont Shoulder MVA]])</f>
        <v>-</v>
      </c>
      <c r="AV112" s="9">
        <f>IF(RIGHT(TKA[[#This Row],[Device type]],7)="Winding","-",TKA[[#This Row],[Cont Summer MVA]])</f>
        <v>3.5938195410109186</v>
      </c>
      <c r="AW112" s="9" t="str">
        <f>TKA[[#This Row],[24 Hr Winter MVA]]</f>
        <v>-</v>
      </c>
      <c r="AX112" s="9" t="str">
        <f>TKA[[#This Row],[24 Hr Summer MVA]]</f>
        <v>-</v>
      </c>
      <c r="AY112" s="9" t="str">
        <f>TKA[[#This Row],[Forwards MVA]]</f>
        <v>-</v>
      </c>
      <c r="AZ112" s="9" t="str">
        <f>TKA[[#This Row],[Relay MVA]]</f>
        <v>-</v>
      </c>
      <c r="BA112" s="9" t="str">
        <f>TKA[[#This Row],[CT MVA]]</f>
        <v>-</v>
      </c>
      <c r="BB112" s="9" t="str">
        <f>TKA[[#This Row],[Derating MVA]]</f>
        <v>-</v>
      </c>
      <c r="BC112" s="9" t="str">
        <f>TKA[[#This Row],[Station/Feeder]]&amp;TKA[[#This Row],[Lowest MVA]]</f>
        <v>M206_Tekapo Township3.59381954101092</v>
      </c>
      <c r="BD112" s="9" t="str">
        <f>CONCATENATE(TKA[[#This Row],[Supply Level]],TKA[[#This Row],[Station/Feeder]],TKA[[#This Row],[Voltage]],TKA[[#This Row],[Lowest A-No PTX]])</f>
        <v>DistributionFeederM206_Tekapo Township11188.626607220145</v>
      </c>
      <c r="BE112" s="9" t="str">
        <f>CONCATENATE(TKA[[#This Row],[Supply Level]],TKA[[#This Row],[Station/Feeder]],TKA[[#This Row],[Voltage]],TKA[[#This Row],[Lowest A-PTX]])</f>
        <v>DistributionFeederM206_Tekapo Township11188.626607220145</v>
      </c>
      <c r="BF112" s="9">
        <f>IF(MIN(TKA[[#This Row],[Summ Cont Winter A]]:TKA[[#This Row],[Cable Derating]])=0,"",MIN(TKA[[#This Row],[Summ Cont Winter A]]:TKA[[#This Row],[Cable Derating]]))</f>
        <v>3.5938195410109186</v>
      </c>
      <c r="BG112" s="9">
        <f>IFERROR(TKA[[#This Row],[Lowest MVA]]*1000/(TKA[[#This Row],[Voltage]]*SQRT(3)),"")</f>
        <v>188.62660722014468</v>
      </c>
      <c r="BH112" s="9">
        <f>IF(MIN(N112,P112,R112,T112,V112,X112,Z112,AB112,AD112,AR112)=0,"",MIN(N112,P112,R112,T112,V112,X112,Z112,AB112,AD112,AR112))</f>
        <v>188.62660722014468</v>
      </c>
      <c r="BI112" s="9" t="str">
        <f>TKA[[#This Row],[From]]</f>
        <v>M180</v>
      </c>
      <c r="BJ112" s="9" t="str">
        <f>TKA[[#This Row],[To]]</f>
        <v>Pole 14122</v>
      </c>
      <c r="BK112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Line-MINK</v>
      </c>
      <c r="BL112" s="9">
        <f>TKA[[#This Row],[Voltage]]</f>
        <v>11</v>
      </c>
    </row>
    <row r="113" spans="1:64" s="1" customFormat="1" ht="15" customHeight="1" thickBot="1" x14ac:dyDescent="0.3">
      <c r="A113" s="191" t="str">
        <f>CONCATENATE(TKA[[#This Row],[Supply Level]],TKA[[#This Row],[Station/Feeder]],TKA[[#This Row],[Voltage]])</f>
        <v>DistributionFeederM206_Tekapo Township11</v>
      </c>
      <c r="B113" s="191" t="str">
        <f>CONCATENATE(TKA[[#This Row],[Supply Level]],TKA[[#This Row],[Station/Feeder]],TKA[[#This Row],[Equipment ID]],TKA[[#This Row],[Voltage]],TKA[[#This Row],[Device type]])</f>
        <v>DistributionFeederM206_Tekapo TownshipDOG11-</v>
      </c>
      <c r="C113" s="191" t="s">
        <v>1276</v>
      </c>
      <c r="D113" s="191" t="s">
        <v>129</v>
      </c>
      <c r="E113" s="196" t="s">
        <v>459</v>
      </c>
      <c r="F113" s="196" t="s">
        <v>460</v>
      </c>
      <c r="G113" s="197">
        <v>6</v>
      </c>
      <c r="H113" s="196" t="s">
        <v>1289</v>
      </c>
      <c r="I113" s="196" t="s">
        <v>318</v>
      </c>
      <c r="J113" s="196" t="s">
        <v>69</v>
      </c>
      <c r="K113" s="196" t="s">
        <v>0</v>
      </c>
      <c r="L113" s="196" t="s">
        <v>0</v>
      </c>
      <c r="M113" s="197">
        <v>11</v>
      </c>
      <c r="N113" s="155">
        <v>343.69342642524197</v>
      </c>
      <c r="O113" s="155">
        <f t="shared" si="163"/>
        <v>6.5482392447555027</v>
      </c>
      <c r="P113" s="155" t="s">
        <v>0</v>
      </c>
      <c r="Q113" s="155" t="str">
        <f t="shared" si="164"/>
        <v>-</v>
      </c>
      <c r="R113" s="155">
        <v>256.85852310343915</v>
      </c>
      <c r="S113" s="155">
        <f t="shared" si="165"/>
        <v>4.8938121360948701</v>
      </c>
      <c r="T113" s="155" t="s">
        <v>0</v>
      </c>
      <c r="U113" s="155" t="str">
        <f t="shared" si="166"/>
        <v>-</v>
      </c>
      <c r="V113" s="155" t="s">
        <v>0</v>
      </c>
      <c r="W113" s="155" t="str">
        <f t="shared" si="167"/>
        <v>-</v>
      </c>
      <c r="X113" s="155" t="s">
        <v>0</v>
      </c>
      <c r="Y113" s="155" t="str">
        <f t="shared" si="168"/>
        <v>-</v>
      </c>
      <c r="Z113" s="155" t="s">
        <v>0</v>
      </c>
      <c r="AA113" s="155" t="str">
        <f t="shared" si="169"/>
        <v>-</v>
      </c>
      <c r="AB113" s="155" t="s">
        <v>0</v>
      </c>
      <c r="AC113" s="155" t="str">
        <f t="shared" si="170"/>
        <v>-</v>
      </c>
      <c r="AD113" s="155" t="s">
        <v>0</v>
      </c>
      <c r="AE113" s="155" t="str">
        <f t="shared" si="171"/>
        <v>-</v>
      </c>
      <c r="AF113" s="155" t="s">
        <v>0</v>
      </c>
      <c r="AG113" s="155" t="s">
        <v>0</v>
      </c>
      <c r="AH113" s="155">
        <v>222.5</v>
      </c>
      <c r="AI113" s="155" t="s">
        <v>0</v>
      </c>
      <c r="AJ113" s="175" t="s">
        <v>0</v>
      </c>
      <c r="AK113" s="155" t="s">
        <v>0</v>
      </c>
      <c r="AL113" s="175" t="s">
        <v>0</v>
      </c>
      <c r="AM113" s="155" t="s">
        <v>0</v>
      </c>
      <c r="AN113" s="175" t="s">
        <v>0</v>
      </c>
      <c r="AO113" s="155" t="s">
        <v>0</v>
      </c>
      <c r="AP113" s="155" t="s">
        <v>0</v>
      </c>
      <c r="AQ113" s="175" t="s">
        <v>0</v>
      </c>
      <c r="AR113" s="155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13" s="155" t="str">
        <f t="shared" si="172"/>
        <v>-</v>
      </c>
      <c r="AT113" s="155">
        <f>IF(RIGHT(TKA[[#This Row],[Device type]],7)="Winding","-",TKA[[#This Row],[Cont Winter MVA]])</f>
        <v>6.5482392447555027</v>
      </c>
      <c r="AU113" s="155" t="str">
        <f>IF(RIGHT(TKA[[#This Row],[Device type]],7)="Winding","-",TKA[[#This Row],[Cont Shoulder MVA]])</f>
        <v>-</v>
      </c>
      <c r="AV113" s="155">
        <f>IF(RIGHT(TKA[[#This Row],[Device type]],7)="Winding","-",TKA[[#This Row],[Cont Summer MVA]])</f>
        <v>4.8938121360948701</v>
      </c>
      <c r="AW113" s="155" t="str">
        <f>TKA[[#This Row],[24 Hr Winter MVA]]</f>
        <v>-</v>
      </c>
      <c r="AX113" s="155" t="str">
        <f>TKA[[#This Row],[24 Hr Summer MVA]]</f>
        <v>-</v>
      </c>
      <c r="AY113" s="155" t="str">
        <f>TKA[[#This Row],[Forwards MVA]]</f>
        <v>-</v>
      </c>
      <c r="AZ113" s="155" t="str">
        <f>TKA[[#This Row],[Relay MVA]]</f>
        <v>-</v>
      </c>
      <c r="BA113" s="155" t="str">
        <f>TKA[[#This Row],[CT MVA]]</f>
        <v>-</v>
      </c>
      <c r="BB113" s="155" t="str">
        <f>TKA[[#This Row],[Derating MVA]]</f>
        <v>-</v>
      </c>
      <c r="BC113" s="155" t="str">
        <f>TKA[[#This Row],[Station/Feeder]]&amp;TKA[[#This Row],[Lowest MVA]]</f>
        <v>M206_Tekapo Township4.89381213609487</v>
      </c>
      <c r="BD113" s="155" t="str">
        <f>CONCATENATE(TKA[[#This Row],[Supply Level]],TKA[[#This Row],[Station/Feeder]],TKA[[#This Row],[Voltage]],TKA[[#This Row],[Lowest A-No PTX]])</f>
        <v>DistributionFeederM206_Tekapo Township11256.858523103439</v>
      </c>
      <c r="BE113" s="155" t="str">
        <f>CONCATENATE(TKA[[#This Row],[Supply Level]],TKA[[#This Row],[Station/Feeder]],TKA[[#This Row],[Voltage]],TKA[[#This Row],[Lowest A-PTX]])</f>
        <v>DistributionFeederM206_Tekapo Township11256.858523103439</v>
      </c>
      <c r="BF113" s="155">
        <f>IF(MIN(TKA[[#This Row],[Summ Cont Winter A]]:TKA[[#This Row],[Cable Derating]])=0,"",MIN(TKA[[#This Row],[Summ Cont Winter A]]:TKA[[#This Row],[Cable Derating]]))</f>
        <v>4.8938121360948701</v>
      </c>
      <c r="BG113" s="155">
        <f>IFERROR(TKA[[#This Row],[Lowest MVA]]*1000/(TKA[[#This Row],[Voltage]]*SQRT(3)),"")</f>
        <v>256.85852310343915</v>
      </c>
      <c r="BH113" s="155">
        <f>IF(MIN(N113,P113,R113,T113,V113,X113,Z113,AB113,AD113,AR113)=0,"",MIN(N113,P113,R113,T113,V113,X113,Z113,AB113,AD113,AR113))</f>
        <v>256.85852310343915</v>
      </c>
      <c r="BI113" s="155" t="str">
        <f>TKA[[#This Row],[From]]</f>
        <v>M181</v>
      </c>
      <c r="BJ113" s="155" t="str">
        <f>TKA[[#This Row],[To]]</f>
        <v>Pole 14123</v>
      </c>
      <c r="BK113" s="19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Line-DOG</v>
      </c>
      <c r="BL113" s="155">
        <f>TKA[[#This Row],[Voltage]]</f>
        <v>11</v>
      </c>
    </row>
    <row r="114" spans="1:64" s="1" customFormat="1" ht="15" customHeight="1" x14ac:dyDescent="0.25">
      <c r="A114" s="3" t="str">
        <f>CONCATENATE(TKA[[#This Row],[Supply Level]],TKA[[#This Row],[Station/Feeder]],TKA[[#This Row],[Voltage]])</f>
        <v>SecondarySubstationHLB11</v>
      </c>
      <c r="B114" s="3" t="str">
        <f>CONCATENATE(TKA[[#This Row],[Supply Level]],TKA[[#This Row],[Station/Feeder]],TKA[[#This Row],[Equipment ID]],TKA[[#This Row],[Voltage]],TKA[[#This Row],[Device type]])</f>
        <v>SecondarySubstationHLBTEK-M20011Protection</v>
      </c>
      <c r="C114" s="3" t="s">
        <v>1277</v>
      </c>
      <c r="D114" s="3" t="s">
        <v>164</v>
      </c>
      <c r="E114" s="38" t="s">
        <v>417</v>
      </c>
      <c r="F114" s="38" t="s">
        <v>425</v>
      </c>
      <c r="G114" s="61">
        <v>1</v>
      </c>
      <c r="H114" s="188" t="s">
        <v>343</v>
      </c>
      <c r="I114" s="38" t="s">
        <v>2429</v>
      </c>
      <c r="J114" s="38" t="s">
        <v>15</v>
      </c>
      <c r="K114" s="38" t="s">
        <v>791</v>
      </c>
      <c r="L114" s="38" t="s">
        <v>1423</v>
      </c>
      <c r="M114" s="61">
        <v>11</v>
      </c>
      <c r="N114" s="5">
        <v>600</v>
      </c>
      <c r="O114" s="5">
        <f t="shared" si="152"/>
        <v>11.43153532995459</v>
      </c>
      <c r="P114" s="5">
        <v>600</v>
      </c>
      <c r="Q114" s="5">
        <f t="shared" si="153"/>
        <v>11.43153532995459</v>
      </c>
      <c r="R114" s="5">
        <v>600</v>
      </c>
      <c r="S114" s="5">
        <f t="shared" si="154"/>
        <v>11.43153532995459</v>
      </c>
      <c r="T114" s="5" t="s">
        <v>0</v>
      </c>
      <c r="U114" s="5" t="str">
        <f t="shared" si="155"/>
        <v>-</v>
      </c>
      <c r="V114" s="5" t="s">
        <v>0</v>
      </c>
      <c r="W114" s="5" t="str">
        <f t="shared" si="156"/>
        <v>-</v>
      </c>
      <c r="X114" s="5">
        <f>VLOOKUP(TKA[[#This Row],[Equipment ID]],AEL_Protection_Data[#All],12,0)</f>
        <v>276</v>
      </c>
      <c r="Y114" s="5">
        <f t="shared" si="157"/>
        <v>5.258506251779111</v>
      </c>
      <c r="Z114" s="5" t="s">
        <v>0</v>
      </c>
      <c r="AA114" s="5" t="str">
        <f t="shared" si="158"/>
        <v>-</v>
      </c>
      <c r="AB114" s="5" t="s">
        <v>0</v>
      </c>
      <c r="AC114" s="5" t="str">
        <f t="shared" si="159"/>
        <v>-</v>
      </c>
      <c r="AD114" s="5" t="s">
        <v>0</v>
      </c>
      <c r="AE114" s="5" t="str">
        <f t="shared" si="160"/>
        <v>-</v>
      </c>
      <c r="AF114" s="5" t="s">
        <v>0</v>
      </c>
      <c r="AG114" s="5" t="s">
        <v>0</v>
      </c>
      <c r="AH114" s="5" t="s">
        <v>0</v>
      </c>
      <c r="AI114" s="5" t="s">
        <v>0</v>
      </c>
      <c r="AJ114" s="139" t="s">
        <v>0</v>
      </c>
      <c r="AK114" s="5" t="s">
        <v>0</v>
      </c>
      <c r="AL114" s="139" t="s">
        <v>0</v>
      </c>
      <c r="AM114" s="5" t="s">
        <v>0</v>
      </c>
      <c r="AN114" s="139" t="s">
        <v>0</v>
      </c>
      <c r="AO114" s="5" t="s">
        <v>0</v>
      </c>
      <c r="AP114" s="5" t="s">
        <v>0</v>
      </c>
      <c r="AQ114" s="139" t="s">
        <v>0</v>
      </c>
      <c r="AR114" s="5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14" s="5" t="str">
        <f t="shared" si="161"/>
        <v>-</v>
      </c>
      <c r="AT114" s="5">
        <f>IF(RIGHT(TKA[[#This Row],[Device type]],7)="Winding","-",TKA[[#This Row],[Cont Winter MVA]])</f>
        <v>11.43153532995459</v>
      </c>
      <c r="AU114" s="5">
        <f>IF(RIGHT(TKA[[#This Row],[Device type]],7)="Winding","-",TKA[[#This Row],[Cont Shoulder MVA]])</f>
        <v>11.43153532995459</v>
      </c>
      <c r="AV114" s="5">
        <f>IF(RIGHT(TKA[[#This Row],[Device type]],7)="Winding","-",TKA[[#This Row],[Cont Summer MVA]])</f>
        <v>11.43153532995459</v>
      </c>
      <c r="AW114" s="5" t="str">
        <f>TKA[[#This Row],[24 Hr Winter MVA]]</f>
        <v>-</v>
      </c>
      <c r="AX114" s="5" t="str">
        <f>TKA[[#This Row],[24 Hr Summer MVA]]</f>
        <v>-</v>
      </c>
      <c r="AY114" s="5">
        <f>TKA[[#This Row],[Forwards MVA]]</f>
        <v>5.258506251779111</v>
      </c>
      <c r="AZ114" s="5" t="str">
        <f>TKA[[#This Row],[Relay MVA]]</f>
        <v>-</v>
      </c>
      <c r="BA114" s="5" t="str">
        <f>TKA[[#This Row],[CT MVA]]</f>
        <v>-</v>
      </c>
      <c r="BB114" s="5" t="str">
        <f>TKA[[#This Row],[Derating MVA]]</f>
        <v>-</v>
      </c>
      <c r="BC114" s="5" t="str">
        <f>TKA[[#This Row],[Station/Feeder]]&amp;TKA[[#This Row],[Lowest MVA]]</f>
        <v>HLB5.25850625177911</v>
      </c>
      <c r="BD114" s="5" t="str">
        <f>CONCATENATE(TKA[[#This Row],[Supply Level]],TKA[[#This Row],[Station/Feeder]],TKA[[#This Row],[Voltage]],TKA[[#This Row],[Lowest A-No PTX]])</f>
        <v>SecondarySubstationHLB11276</v>
      </c>
      <c r="BE114" s="5" t="str">
        <f>CONCATENATE(TKA[[#This Row],[Supply Level]],TKA[[#This Row],[Station/Feeder]],TKA[[#This Row],[Voltage]],TKA[[#This Row],[Lowest A-PTX]])</f>
        <v>SecondarySubstationHLB11276</v>
      </c>
      <c r="BF114" s="5">
        <f>IF(MIN(TKA[[#This Row],[Summ Cont Winter A]]:TKA[[#This Row],[Cable Derating]])=0,"",MIN(TKA[[#This Row],[Summ Cont Winter A]]:TKA[[#This Row],[Cable Derating]]))</f>
        <v>5.258506251779111</v>
      </c>
      <c r="BG114" s="5">
        <f>IFERROR(TKA[[#This Row],[Lowest MVA]]*1000/(TKA[[#This Row],[Voltage]]*SQRT(3)),"")</f>
        <v>276</v>
      </c>
      <c r="BH114" s="5">
        <f t="shared" si="162"/>
        <v>276</v>
      </c>
      <c r="BI114" s="5" t="str">
        <f>TKA[[#This Row],[From]]</f>
        <v>M200</v>
      </c>
      <c r="BJ114" s="5" t="str">
        <f>TKA[[#This Row],[To]]</f>
        <v>M194</v>
      </c>
      <c r="BK114" s="188" t="str">
        <f>IF(TKA[[#This Row],[Device type]]="-",TKA[[#This Row],[Equipment Type]]&amp;"-"&amp;TKA[[#This Row],[Equipment ID]],TKA[[#This Row],[Equipment Type]]&amp;"-"&amp;TKA[[#This Row],[Equipment ID]]&amp;"-"&amp;TKA[[#This Row],[Device type]])</f>
        <v>Circuit Breaker-TEK-M200-Protection</v>
      </c>
      <c r="BL114" s="5">
        <f>TKA[[#This Row],[Voltage]]</f>
        <v>11</v>
      </c>
    </row>
    <row r="115" spans="1:64" s="1" customFormat="1" ht="15" customHeight="1" x14ac:dyDescent="0.25">
      <c r="A115" s="6" t="str">
        <f>CONCATENATE(TKA[[#This Row],[Supply Level]],TKA[[#This Row],[Station/Feeder]],TKA[[#This Row],[Voltage]])</f>
        <v>SecondarySubstationHLB11</v>
      </c>
      <c r="B115" s="6" t="str">
        <f>CONCATENATE(TKA[[#This Row],[Supply Level]],TKA[[#This Row],[Station/Feeder]],TKA[[#This Row],[Equipment ID]],TKA[[#This Row],[Voltage]],TKA[[#This Row],[Device type]])</f>
        <v>SecondarySubstationHLB1-3c 150 mm² Al PILC11-</v>
      </c>
      <c r="C115" s="6" t="s">
        <v>1277</v>
      </c>
      <c r="D115" s="6" t="s">
        <v>164</v>
      </c>
      <c r="E115" s="7" t="s">
        <v>417</v>
      </c>
      <c r="F115" s="7" t="s">
        <v>425</v>
      </c>
      <c r="G115" s="57">
        <v>2</v>
      </c>
      <c r="H115" s="46" t="s">
        <v>276</v>
      </c>
      <c r="I115" s="46" t="s">
        <v>568</v>
      </c>
      <c r="J115" s="46" t="s">
        <v>250</v>
      </c>
      <c r="K115" s="46" t="s">
        <v>0</v>
      </c>
      <c r="L115" s="46" t="s">
        <v>0</v>
      </c>
      <c r="M115" s="57">
        <v>11</v>
      </c>
      <c r="N115" s="9">
        <v>265</v>
      </c>
      <c r="O115" s="9">
        <f t="shared" si="152"/>
        <v>5.0489281040632772</v>
      </c>
      <c r="P115" s="9">
        <v>265</v>
      </c>
      <c r="Q115" s="9">
        <f t="shared" si="153"/>
        <v>5.0489281040632772</v>
      </c>
      <c r="R115" s="9">
        <v>265</v>
      </c>
      <c r="S115" s="9">
        <f t="shared" si="154"/>
        <v>5.0489281040632772</v>
      </c>
      <c r="T115" s="9" t="s">
        <v>0</v>
      </c>
      <c r="U115" s="9" t="str">
        <f t="shared" si="155"/>
        <v>-</v>
      </c>
      <c r="V115" s="9" t="s">
        <v>0</v>
      </c>
      <c r="W115" s="9" t="str">
        <f t="shared" si="156"/>
        <v>-</v>
      </c>
      <c r="X115" s="9" t="s">
        <v>0</v>
      </c>
      <c r="Y115" s="9" t="str">
        <f t="shared" si="157"/>
        <v>-</v>
      </c>
      <c r="Z115" s="9" t="s">
        <v>0</v>
      </c>
      <c r="AA115" s="9" t="str">
        <f t="shared" si="158"/>
        <v>-</v>
      </c>
      <c r="AB115" s="9" t="s">
        <v>0</v>
      </c>
      <c r="AC115" s="9" t="str">
        <f t="shared" si="159"/>
        <v>-</v>
      </c>
      <c r="AD115" s="9" t="s">
        <v>0</v>
      </c>
      <c r="AE115" s="9" t="str">
        <f t="shared" si="160"/>
        <v>-</v>
      </c>
      <c r="AF115" s="9">
        <v>3</v>
      </c>
      <c r="AG115" s="9" t="s">
        <v>265</v>
      </c>
      <c r="AH115" s="9">
        <v>75.900000000000006</v>
      </c>
      <c r="AI115" s="9">
        <v>1.1000000000000001</v>
      </c>
      <c r="AJ115" s="43">
        <v>0.97</v>
      </c>
      <c r="AK115" s="9">
        <v>15</v>
      </c>
      <c r="AL115" s="43">
        <v>1</v>
      </c>
      <c r="AM115" s="9">
        <v>0.9</v>
      </c>
      <c r="AN115" s="43">
        <v>1.1000000000000001</v>
      </c>
      <c r="AO115" s="9">
        <v>5</v>
      </c>
      <c r="AP115" s="9">
        <v>0.15</v>
      </c>
      <c r="AQ115" s="43">
        <v>0.66</v>
      </c>
      <c r="AR115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186.61829999999998</v>
      </c>
      <c r="AS115" s="9">
        <f t="shared" si="161"/>
        <v>3.5555561494434405</v>
      </c>
      <c r="AT115" s="9">
        <f>IF(RIGHT(TKA[[#This Row],[Device type]],7)="Winding","-",TKA[[#This Row],[Cont Winter MVA]])</f>
        <v>5.0489281040632772</v>
      </c>
      <c r="AU115" s="9">
        <f>IF(RIGHT(TKA[[#This Row],[Device type]],7)="Winding","-",TKA[[#This Row],[Cont Shoulder MVA]])</f>
        <v>5.0489281040632772</v>
      </c>
      <c r="AV115" s="9">
        <f>IF(RIGHT(TKA[[#This Row],[Device type]],7)="Winding","-",TKA[[#This Row],[Cont Summer MVA]])</f>
        <v>5.0489281040632772</v>
      </c>
      <c r="AW115" s="9" t="str">
        <f>TKA[[#This Row],[24 Hr Winter MVA]]</f>
        <v>-</v>
      </c>
      <c r="AX115" s="9" t="str">
        <f>TKA[[#This Row],[24 Hr Summer MVA]]</f>
        <v>-</v>
      </c>
      <c r="AY115" s="9" t="str">
        <f>TKA[[#This Row],[Forwards MVA]]</f>
        <v>-</v>
      </c>
      <c r="AZ115" s="9" t="str">
        <f>TKA[[#This Row],[Relay MVA]]</f>
        <v>-</v>
      </c>
      <c r="BA115" s="9" t="str">
        <f>TKA[[#This Row],[CT MVA]]</f>
        <v>-</v>
      </c>
      <c r="BB115" s="9">
        <f>TKA[[#This Row],[Derating MVA]]</f>
        <v>3.5555561494434405</v>
      </c>
      <c r="BC115" s="9" t="str">
        <f>TKA[[#This Row],[Station/Feeder]]&amp;TKA[[#This Row],[Lowest MVA]]</f>
        <v>HLB3.55555614944344</v>
      </c>
      <c r="BD115" s="9" t="str">
        <f>CONCATENATE(TKA[[#This Row],[Supply Level]],TKA[[#This Row],[Station/Feeder]],TKA[[#This Row],[Voltage]],TKA[[#This Row],[Lowest A-No PTX]])</f>
        <v>SecondarySubstationHLB11186.6183</v>
      </c>
      <c r="BE115" s="9" t="str">
        <f>CONCATENATE(TKA[[#This Row],[Supply Level]],TKA[[#This Row],[Station/Feeder]],TKA[[#This Row],[Voltage]],TKA[[#This Row],[Lowest A-PTX]])</f>
        <v>SecondarySubstationHLB11186.6183</v>
      </c>
      <c r="BF115" s="9">
        <f>IF(MIN(TKA[[#This Row],[Summ Cont Winter A]]:TKA[[#This Row],[Cable Derating]])=0,"",MIN(TKA[[#This Row],[Summ Cont Winter A]]:TKA[[#This Row],[Cable Derating]]))</f>
        <v>3.5555561494434405</v>
      </c>
      <c r="BG115" s="9">
        <f>IFERROR(TKA[[#This Row],[Lowest MVA]]*1000/(TKA[[#This Row],[Voltage]]*SQRT(3)),"")</f>
        <v>186.61829999999998</v>
      </c>
      <c r="BH115" s="9">
        <f t="shared" si="162"/>
        <v>186.61829999999998</v>
      </c>
      <c r="BI115" s="9" t="str">
        <f>TKA[[#This Row],[From]]</f>
        <v>M200</v>
      </c>
      <c r="BJ115" s="9" t="str">
        <f>TKA[[#This Row],[To]]</f>
        <v>M194</v>
      </c>
      <c r="BK115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Cable-1-3c 150 mm² Al PILC</v>
      </c>
      <c r="BL115" s="9">
        <f>TKA[[#This Row],[Voltage]]</f>
        <v>11</v>
      </c>
    </row>
    <row r="116" spans="1:64" s="1" customFormat="1" ht="15" customHeight="1" x14ac:dyDescent="0.25">
      <c r="A116" s="6" t="str">
        <f>CONCATENATE(TKA[[#This Row],[Supply Level]],TKA[[#This Row],[Station/Feeder]],TKA[[#This Row],[Voltage]])</f>
        <v>SecondarySubstationHLB11</v>
      </c>
      <c r="B116" s="6" t="str">
        <f>CONCATENATE(TKA[[#This Row],[Supply Level]],TKA[[#This Row],[Station/Feeder]],TKA[[#This Row],[Equipment ID]],TKA[[#This Row],[Voltage]],TKA[[#This Row],[Device type]])</f>
        <v>SecondarySubstationHLBM19411-</v>
      </c>
      <c r="C116" s="6" t="s">
        <v>1277</v>
      </c>
      <c r="D116" s="6" t="s">
        <v>164</v>
      </c>
      <c r="E116" s="7" t="s">
        <v>417</v>
      </c>
      <c r="F116" s="7" t="s">
        <v>425</v>
      </c>
      <c r="G116" s="57">
        <v>3</v>
      </c>
      <c r="H116" s="46" t="s">
        <v>273</v>
      </c>
      <c r="I116" s="46" t="s">
        <v>425</v>
      </c>
      <c r="J116" s="46" t="s">
        <v>249</v>
      </c>
      <c r="K116" s="46" t="s">
        <v>0</v>
      </c>
      <c r="L116" s="46" t="s">
        <v>0</v>
      </c>
      <c r="M116" s="57">
        <v>11</v>
      </c>
      <c r="N116" s="9" t="s">
        <v>0</v>
      </c>
      <c r="O116" s="9" t="str">
        <f t="shared" si="152"/>
        <v>-</v>
      </c>
      <c r="P116" s="9" t="s">
        <v>0</v>
      </c>
      <c r="Q116" s="9" t="str">
        <f t="shared" si="153"/>
        <v>-</v>
      </c>
      <c r="R116" s="9" t="s">
        <v>0</v>
      </c>
      <c r="S116" s="9" t="str">
        <f t="shared" si="154"/>
        <v>-</v>
      </c>
      <c r="T116" s="9" t="s">
        <v>0</v>
      </c>
      <c r="U116" s="9" t="str">
        <f t="shared" si="155"/>
        <v>-</v>
      </c>
      <c r="V116" s="9" t="s">
        <v>0</v>
      </c>
      <c r="W116" s="9" t="str">
        <f t="shared" si="156"/>
        <v>-</v>
      </c>
      <c r="X116" s="9" t="s">
        <v>0</v>
      </c>
      <c r="Y116" s="9" t="str">
        <f t="shared" si="157"/>
        <v>-</v>
      </c>
      <c r="Z116" s="9" t="s">
        <v>0</v>
      </c>
      <c r="AA116" s="9" t="str">
        <f t="shared" si="158"/>
        <v>-</v>
      </c>
      <c r="AB116" s="9" t="s">
        <v>0</v>
      </c>
      <c r="AC116" s="9" t="str">
        <f t="shared" si="159"/>
        <v>-</v>
      </c>
      <c r="AD116" s="9" t="s">
        <v>0</v>
      </c>
      <c r="AE116" s="9" t="str">
        <f t="shared" si="160"/>
        <v>-</v>
      </c>
      <c r="AF116" s="9" t="s">
        <v>0</v>
      </c>
      <c r="AG116" s="9" t="s">
        <v>0</v>
      </c>
      <c r="AH116" s="9" t="s">
        <v>0</v>
      </c>
      <c r="AI116" s="9" t="s">
        <v>0</v>
      </c>
      <c r="AJ116" s="43" t="s">
        <v>0</v>
      </c>
      <c r="AK116" s="9" t="s">
        <v>0</v>
      </c>
      <c r="AL116" s="43" t="s">
        <v>0</v>
      </c>
      <c r="AM116" s="9" t="s">
        <v>0</v>
      </c>
      <c r="AN116" s="43" t="s">
        <v>0</v>
      </c>
      <c r="AO116" s="9" t="s">
        <v>0</v>
      </c>
      <c r="AP116" s="9" t="s">
        <v>0</v>
      </c>
      <c r="AQ116" s="43" t="s">
        <v>0</v>
      </c>
      <c r="AR116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16" s="9" t="str">
        <f t="shared" si="161"/>
        <v>-</v>
      </c>
      <c r="AT116" s="9" t="str">
        <f>IF(RIGHT(TKA[[#This Row],[Device type]],7)="Winding","-",TKA[[#This Row],[Cont Winter MVA]])</f>
        <v>-</v>
      </c>
      <c r="AU116" s="9" t="str">
        <f>IF(RIGHT(TKA[[#This Row],[Device type]],7)="Winding","-",TKA[[#This Row],[Cont Shoulder MVA]])</f>
        <v>-</v>
      </c>
      <c r="AV116" s="9" t="str">
        <f>IF(RIGHT(TKA[[#This Row],[Device type]],7)="Winding","-",TKA[[#This Row],[Cont Summer MVA]])</f>
        <v>-</v>
      </c>
      <c r="AW116" s="9" t="str">
        <f>TKA[[#This Row],[24 Hr Winter MVA]]</f>
        <v>-</v>
      </c>
      <c r="AX116" s="9" t="str">
        <f>TKA[[#This Row],[24 Hr Summer MVA]]</f>
        <v>-</v>
      </c>
      <c r="AY116" s="9" t="str">
        <f>TKA[[#This Row],[Forwards MVA]]</f>
        <v>-</v>
      </c>
      <c r="AZ116" s="9" t="str">
        <f>TKA[[#This Row],[Relay MVA]]</f>
        <v>-</v>
      </c>
      <c r="BA116" s="9" t="str">
        <f>TKA[[#This Row],[CT MVA]]</f>
        <v>-</v>
      </c>
      <c r="BB116" s="9" t="str">
        <f>TKA[[#This Row],[Derating MVA]]</f>
        <v>-</v>
      </c>
      <c r="BC116" s="9" t="str">
        <f>TKA[[#This Row],[Station/Feeder]]&amp;TKA[[#This Row],[Lowest MVA]]</f>
        <v>HLB</v>
      </c>
      <c r="BD116" s="9" t="str">
        <f>CONCATENATE(TKA[[#This Row],[Supply Level]],TKA[[#This Row],[Station/Feeder]],TKA[[#This Row],[Voltage]],TKA[[#This Row],[Lowest A-No PTX]])</f>
        <v>SecondarySubstationHLB11</v>
      </c>
      <c r="BE116" s="9" t="str">
        <f>CONCATENATE(TKA[[#This Row],[Supply Level]],TKA[[#This Row],[Station/Feeder]],TKA[[#This Row],[Voltage]],TKA[[#This Row],[Lowest A-PTX]])</f>
        <v>SecondarySubstationHLB11</v>
      </c>
      <c r="BF116" s="9" t="str">
        <f>IF(MIN(TKA[[#This Row],[Summ Cont Winter A]]:TKA[[#This Row],[Cable Derating]])=0,"",MIN(TKA[[#This Row],[Summ Cont Winter A]]:TKA[[#This Row],[Cable Derating]]))</f>
        <v/>
      </c>
      <c r="BG116" s="9" t="str">
        <f>IFERROR(TKA[[#This Row],[Lowest MVA]]*1000/(TKA[[#This Row],[Voltage]]*SQRT(3)),"")</f>
        <v/>
      </c>
      <c r="BH116" s="9" t="str">
        <f t="shared" si="162"/>
        <v/>
      </c>
      <c r="BI116" s="9" t="str">
        <f>TKA[[#This Row],[From]]</f>
        <v>M200</v>
      </c>
      <c r="BJ116" s="9" t="str">
        <f>TKA[[#This Row],[To]]</f>
        <v>M194</v>
      </c>
      <c r="BK116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Link-M194</v>
      </c>
      <c r="BL116" s="9">
        <f>TKA[[#This Row],[Voltage]]</f>
        <v>11</v>
      </c>
    </row>
    <row r="117" spans="1:64" s="1" customFormat="1" ht="15" customHeight="1" x14ac:dyDescent="0.25">
      <c r="A117" s="6" t="str">
        <f>CONCATENATE(TKA[[#This Row],[Supply Level]],TKA[[#This Row],[Station/Feeder]],TKA[[#This Row],[Voltage]])</f>
        <v>SecondarySubstationHLB11</v>
      </c>
      <c r="B117" s="6" t="str">
        <f>CONCATENATE(TKA[[#This Row],[Supply Level]],TKA[[#This Row],[Station/Feeder]],TKA[[#This Row],[Equipment ID]],TKA[[#This Row],[Voltage]],TKA[[#This Row],[Device type]])</f>
        <v>SecondarySubstationHLBUnknown Line11-</v>
      </c>
      <c r="C117" s="6" t="s">
        <v>1277</v>
      </c>
      <c r="D117" s="6" t="s">
        <v>164</v>
      </c>
      <c r="E117" s="7" t="s">
        <v>425</v>
      </c>
      <c r="F117" s="7" t="s">
        <v>418</v>
      </c>
      <c r="G117" s="57">
        <v>4</v>
      </c>
      <c r="H117" s="7" t="s">
        <v>1289</v>
      </c>
      <c r="I117" s="7" t="s">
        <v>388</v>
      </c>
      <c r="J117" s="7" t="s">
        <v>69</v>
      </c>
      <c r="K117" s="7" t="s">
        <v>0</v>
      </c>
      <c r="L117" s="7" t="s">
        <v>0</v>
      </c>
      <c r="M117" s="57">
        <v>11</v>
      </c>
      <c r="N117" s="9" t="s">
        <v>0</v>
      </c>
      <c r="O117" s="9" t="str">
        <f t="shared" si="152"/>
        <v>-</v>
      </c>
      <c r="P117" s="9" t="s">
        <v>0</v>
      </c>
      <c r="Q117" s="9" t="str">
        <f t="shared" si="153"/>
        <v>-</v>
      </c>
      <c r="R117" s="9" t="s">
        <v>0</v>
      </c>
      <c r="S117" s="9" t="str">
        <f t="shared" si="154"/>
        <v>-</v>
      </c>
      <c r="T117" s="9" t="s">
        <v>0</v>
      </c>
      <c r="U117" s="9" t="str">
        <f t="shared" si="155"/>
        <v>-</v>
      </c>
      <c r="V117" s="9" t="s">
        <v>0</v>
      </c>
      <c r="W117" s="9" t="str">
        <f t="shared" si="156"/>
        <v>-</v>
      </c>
      <c r="X117" s="9" t="s">
        <v>0</v>
      </c>
      <c r="Y117" s="9" t="str">
        <f t="shared" si="157"/>
        <v>-</v>
      </c>
      <c r="Z117" s="9" t="s">
        <v>0</v>
      </c>
      <c r="AA117" s="9" t="str">
        <f t="shared" si="158"/>
        <v>-</v>
      </c>
      <c r="AB117" s="9" t="s">
        <v>0</v>
      </c>
      <c r="AC117" s="9" t="str">
        <f t="shared" si="159"/>
        <v>-</v>
      </c>
      <c r="AD117" s="9" t="s">
        <v>0</v>
      </c>
      <c r="AE117" s="9" t="str">
        <f t="shared" si="160"/>
        <v>-</v>
      </c>
      <c r="AF117" s="9" t="s">
        <v>0</v>
      </c>
      <c r="AG117" s="9" t="s">
        <v>0</v>
      </c>
      <c r="AH117" s="9" t="s">
        <v>0</v>
      </c>
      <c r="AI117" s="9" t="s">
        <v>0</v>
      </c>
      <c r="AJ117" s="43" t="s">
        <v>0</v>
      </c>
      <c r="AK117" s="9" t="s">
        <v>0</v>
      </c>
      <c r="AL117" s="43" t="s">
        <v>0</v>
      </c>
      <c r="AM117" s="9" t="s">
        <v>0</v>
      </c>
      <c r="AN117" s="43" t="s">
        <v>0</v>
      </c>
      <c r="AO117" s="9" t="s">
        <v>0</v>
      </c>
      <c r="AP117" s="9" t="s">
        <v>0</v>
      </c>
      <c r="AQ117" s="43" t="s">
        <v>0</v>
      </c>
      <c r="AR117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17" s="9" t="str">
        <f t="shared" si="161"/>
        <v>-</v>
      </c>
      <c r="AT117" s="9" t="str">
        <f>IF(RIGHT(TKA[[#This Row],[Device type]],7)="Winding","-",TKA[[#This Row],[Cont Winter MVA]])</f>
        <v>-</v>
      </c>
      <c r="AU117" s="9" t="str">
        <f>IF(RIGHT(TKA[[#This Row],[Device type]],7)="Winding","-",TKA[[#This Row],[Cont Shoulder MVA]])</f>
        <v>-</v>
      </c>
      <c r="AV117" s="9" t="str">
        <f>IF(RIGHT(TKA[[#This Row],[Device type]],7)="Winding","-",TKA[[#This Row],[Cont Summer MVA]])</f>
        <v>-</v>
      </c>
      <c r="AW117" s="9" t="str">
        <f>TKA[[#This Row],[24 Hr Winter MVA]]</f>
        <v>-</v>
      </c>
      <c r="AX117" s="9" t="str">
        <f>TKA[[#This Row],[24 Hr Summer MVA]]</f>
        <v>-</v>
      </c>
      <c r="AY117" s="9" t="str">
        <f>TKA[[#This Row],[Forwards MVA]]</f>
        <v>-</v>
      </c>
      <c r="AZ117" s="9" t="str">
        <f>TKA[[#This Row],[Relay MVA]]</f>
        <v>-</v>
      </c>
      <c r="BA117" s="9" t="str">
        <f>TKA[[#This Row],[CT MVA]]</f>
        <v>-</v>
      </c>
      <c r="BB117" s="9" t="str">
        <f>TKA[[#This Row],[Derating MVA]]</f>
        <v>-</v>
      </c>
      <c r="BC117" s="9" t="str">
        <f>TKA[[#This Row],[Station/Feeder]]&amp;TKA[[#This Row],[Lowest MVA]]</f>
        <v>HLB</v>
      </c>
      <c r="BD117" s="9" t="str">
        <f>CONCATENATE(TKA[[#This Row],[Supply Level]],TKA[[#This Row],[Station/Feeder]],TKA[[#This Row],[Voltage]],TKA[[#This Row],[Lowest A-No PTX]])</f>
        <v>SecondarySubstationHLB11</v>
      </c>
      <c r="BE117" s="9" t="str">
        <f>CONCATENATE(TKA[[#This Row],[Supply Level]],TKA[[#This Row],[Station/Feeder]],TKA[[#This Row],[Voltage]],TKA[[#This Row],[Lowest A-PTX]])</f>
        <v>SecondarySubstationHLB11</v>
      </c>
      <c r="BF117" s="9" t="str">
        <f>IF(MIN(TKA[[#This Row],[Summ Cont Winter A]]:TKA[[#This Row],[Cable Derating]])=0,"",MIN(TKA[[#This Row],[Summ Cont Winter A]]:TKA[[#This Row],[Cable Derating]]))</f>
        <v/>
      </c>
      <c r="BG117" s="9" t="str">
        <f>IFERROR(TKA[[#This Row],[Lowest MVA]]*1000/(TKA[[#This Row],[Voltage]]*SQRT(3)),"")</f>
        <v/>
      </c>
      <c r="BH117" s="9" t="str">
        <f t="shared" si="162"/>
        <v/>
      </c>
      <c r="BI117" s="9" t="str">
        <f>TKA[[#This Row],[From]]</f>
        <v>M194</v>
      </c>
      <c r="BJ117" s="9" t="str">
        <f>TKA[[#This Row],[To]]</f>
        <v>Pole 14140</v>
      </c>
      <c r="BK117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Line-Unknown Line</v>
      </c>
      <c r="BL117" s="9">
        <f>TKA[[#This Row],[Voltage]]</f>
        <v>11</v>
      </c>
    </row>
    <row r="118" spans="1:64" s="1" customFormat="1" ht="15" customHeight="1" x14ac:dyDescent="0.25">
      <c r="A118" s="6" t="str">
        <f>CONCATENATE(TKA[[#This Row],[Supply Level]],TKA[[#This Row],[Station/Feeder]],TKA[[#This Row],[Voltage]])</f>
        <v>SecondarySubstationHLB11</v>
      </c>
      <c r="B118" s="6" t="str">
        <f>CONCATENATE(TKA[[#This Row],[Supply Level]],TKA[[#This Row],[Station/Feeder]],TKA[[#This Row],[Equipment ID]],TKA[[#This Row],[Voltage]],TKA[[#This Row],[Device type]])</f>
        <v>SecondarySubstationHLBMINK11-</v>
      </c>
      <c r="C118" s="6" t="s">
        <v>1277</v>
      </c>
      <c r="D118" s="6" t="s">
        <v>164</v>
      </c>
      <c r="E118" s="7" t="s">
        <v>425</v>
      </c>
      <c r="F118" s="7" t="s">
        <v>418</v>
      </c>
      <c r="G118" s="57">
        <v>5</v>
      </c>
      <c r="H118" s="46" t="s">
        <v>1289</v>
      </c>
      <c r="I118" s="46" t="s">
        <v>282</v>
      </c>
      <c r="J118" s="46" t="s">
        <v>69</v>
      </c>
      <c r="K118" s="46" t="s">
        <v>0</v>
      </c>
      <c r="L118" s="46" t="s">
        <v>0</v>
      </c>
      <c r="M118" s="57">
        <v>11</v>
      </c>
      <c r="N118" s="9">
        <v>250.58233772128858</v>
      </c>
      <c r="O118" s="9">
        <f t="shared" si="152"/>
        <v>4.7742347445392053</v>
      </c>
      <c r="P118" s="9" t="s">
        <v>0</v>
      </c>
      <c r="Q118" s="9" t="str">
        <f t="shared" si="153"/>
        <v>-</v>
      </c>
      <c r="R118" s="9">
        <v>188.62660722014468</v>
      </c>
      <c r="S118" s="9">
        <f t="shared" si="154"/>
        <v>3.5938195410109186</v>
      </c>
      <c r="T118" s="9" t="s">
        <v>0</v>
      </c>
      <c r="U118" s="9" t="str">
        <f t="shared" si="155"/>
        <v>-</v>
      </c>
      <c r="V118" s="9" t="s">
        <v>0</v>
      </c>
      <c r="W118" s="9" t="str">
        <f t="shared" si="156"/>
        <v>-</v>
      </c>
      <c r="X118" s="9" t="s">
        <v>0</v>
      </c>
      <c r="Y118" s="9" t="str">
        <f t="shared" si="157"/>
        <v>-</v>
      </c>
      <c r="Z118" s="9" t="s">
        <v>0</v>
      </c>
      <c r="AA118" s="9" t="str">
        <f t="shared" si="158"/>
        <v>-</v>
      </c>
      <c r="AB118" s="9" t="s">
        <v>0</v>
      </c>
      <c r="AC118" s="9" t="str">
        <f t="shared" si="159"/>
        <v>-</v>
      </c>
      <c r="AD118" s="9" t="s">
        <v>0</v>
      </c>
      <c r="AE118" s="9" t="str">
        <f t="shared" si="160"/>
        <v>-</v>
      </c>
      <c r="AF118" s="9" t="s">
        <v>0</v>
      </c>
      <c r="AG118" s="9" t="s">
        <v>0</v>
      </c>
      <c r="AH118" s="9">
        <v>252.2</v>
      </c>
      <c r="AI118" s="9" t="s">
        <v>0</v>
      </c>
      <c r="AJ118" s="43" t="s">
        <v>0</v>
      </c>
      <c r="AK118" s="9" t="s">
        <v>0</v>
      </c>
      <c r="AL118" s="43" t="s">
        <v>0</v>
      </c>
      <c r="AM118" s="9" t="s">
        <v>0</v>
      </c>
      <c r="AN118" s="43" t="s">
        <v>0</v>
      </c>
      <c r="AO118" s="9" t="s">
        <v>0</v>
      </c>
      <c r="AP118" s="9" t="s">
        <v>0</v>
      </c>
      <c r="AQ118" s="43" t="s">
        <v>0</v>
      </c>
      <c r="AR118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18" s="9" t="str">
        <f t="shared" si="161"/>
        <v>-</v>
      </c>
      <c r="AT118" s="9">
        <f>IF(RIGHT(TKA[[#This Row],[Device type]],7)="Winding","-",TKA[[#This Row],[Cont Winter MVA]])</f>
        <v>4.7742347445392053</v>
      </c>
      <c r="AU118" s="9" t="str">
        <f>IF(RIGHT(TKA[[#This Row],[Device type]],7)="Winding","-",TKA[[#This Row],[Cont Shoulder MVA]])</f>
        <v>-</v>
      </c>
      <c r="AV118" s="9">
        <f>IF(RIGHT(TKA[[#This Row],[Device type]],7)="Winding","-",TKA[[#This Row],[Cont Summer MVA]])</f>
        <v>3.5938195410109186</v>
      </c>
      <c r="AW118" s="9" t="str">
        <f>TKA[[#This Row],[24 Hr Winter MVA]]</f>
        <v>-</v>
      </c>
      <c r="AX118" s="9" t="str">
        <f>TKA[[#This Row],[24 Hr Summer MVA]]</f>
        <v>-</v>
      </c>
      <c r="AY118" s="9" t="str">
        <f>TKA[[#This Row],[Forwards MVA]]</f>
        <v>-</v>
      </c>
      <c r="AZ118" s="9" t="str">
        <f>TKA[[#This Row],[Relay MVA]]</f>
        <v>-</v>
      </c>
      <c r="BA118" s="9" t="str">
        <f>TKA[[#This Row],[CT MVA]]</f>
        <v>-</v>
      </c>
      <c r="BB118" s="9" t="str">
        <f>TKA[[#This Row],[Derating MVA]]</f>
        <v>-</v>
      </c>
      <c r="BC118" s="9" t="str">
        <f>TKA[[#This Row],[Station/Feeder]]&amp;TKA[[#This Row],[Lowest MVA]]</f>
        <v>HLB3.59381954101092</v>
      </c>
      <c r="BD118" s="9" t="str">
        <f>CONCATENATE(TKA[[#This Row],[Supply Level]],TKA[[#This Row],[Station/Feeder]],TKA[[#This Row],[Voltage]],TKA[[#This Row],[Lowest A-No PTX]])</f>
        <v>SecondarySubstationHLB11188.626607220145</v>
      </c>
      <c r="BE118" s="9" t="str">
        <f>CONCATENATE(TKA[[#This Row],[Supply Level]],TKA[[#This Row],[Station/Feeder]],TKA[[#This Row],[Voltage]],TKA[[#This Row],[Lowest A-PTX]])</f>
        <v>SecondarySubstationHLB11188.626607220145</v>
      </c>
      <c r="BF118" s="9">
        <f>IF(MIN(TKA[[#This Row],[Summ Cont Winter A]]:TKA[[#This Row],[Cable Derating]])=0,"",MIN(TKA[[#This Row],[Summ Cont Winter A]]:TKA[[#This Row],[Cable Derating]]))</f>
        <v>3.5938195410109186</v>
      </c>
      <c r="BG118" s="9">
        <f>IFERROR(TKA[[#This Row],[Lowest MVA]]*1000/(TKA[[#This Row],[Voltage]]*SQRT(3)),"")</f>
        <v>188.62660722014468</v>
      </c>
      <c r="BH118" s="9">
        <f t="shared" si="162"/>
        <v>188.62660722014468</v>
      </c>
      <c r="BI118" s="9" t="str">
        <f>TKA[[#This Row],[From]]</f>
        <v>M194</v>
      </c>
      <c r="BJ118" s="9" t="str">
        <f>TKA[[#This Row],[To]]</f>
        <v>Pole 14140</v>
      </c>
      <c r="BK118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Line-MINK</v>
      </c>
      <c r="BL118" s="9">
        <f>TKA[[#This Row],[Voltage]]</f>
        <v>11</v>
      </c>
    </row>
    <row r="119" spans="1:64" s="1" customFormat="1" ht="15" customHeight="1" x14ac:dyDescent="0.25">
      <c r="A119" s="6" t="str">
        <f>CONCATENATE(TKA[[#This Row],[Supply Level]],TKA[[#This Row],[Station/Feeder]],TKA[[#This Row],[Voltage]])</f>
        <v>SecondarySubstationHLB11</v>
      </c>
      <c r="B119" s="6" t="str">
        <f>CONCATENATE(TKA[[#This Row],[Supply Level]],TKA[[#This Row],[Station/Feeder]],TKA[[#This Row],[Equipment ID]],TKA[[#This Row],[Voltage]],TKA[[#This Row],[Device type]])</f>
        <v>SecondarySubstationHLBDOG11-</v>
      </c>
      <c r="C119" s="6" t="s">
        <v>1277</v>
      </c>
      <c r="D119" s="6" t="s">
        <v>164</v>
      </c>
      <c r="E119" s="7" t="s">
        <v>425</v>
      </c>
      <c r="F119" s="7" t="s">
        <v>418</v>
      </c>
      <c r="G119" s="57">
        <v>6</v>
      </c>
      <c r="H119" s="46" t="s">
        <v>1289</v>
      </c>
      <c r="I119" s="46" t="s">
        <v>318</v>
      </c>
      <c r="J119" s="46" t="s">
        <v>69</v>
      </c>
      <c r="K119" s="46" t="s">
        <v>0</v>
      </c>
      <c r="L119" s="46" t="s">
        <v>0</v>
      </c>
      <c r="M119" s="57">
        <v>11</v>
      </c>
      <c r="N119" s="9">
        <v>343.69342642524197</v>
      </c>
      <c r="O119" s="9">
        <f t="shared" ref="O119:O144" si="175">IF(OR(N119="",N119="-"),"-",N119*$M119*SQRT(3)/1000)</f>
        <v>6.5482392447555027</v>
      </c>
      <c r="P119" s="9" t="s">
        <v>0</v>
      </c>
      <c r="Q119" s="9" t="str">
        <f t="shared" ref="Q119:Q144" si="176">IF(OR(P119="",P119="-"),"-",P119*$M119*SQRT(3)/1000)</f>
        <v>-</v>
      </c>
      <c r="R119" s="9">
        <v>256.85852310343915</v>
      </c>
      <c r="S119" s="9">
        <f t="shared" ref="S119:S144" si="177">IF(OR(R119="",R119="-"),"-",R119*$M119*SQRT(3)/1000)</f>
        <v>4.8938121360948701</v>
      </c>
      <c r="T119" s="9" t="s">
        <v>0</v>
      </c>
      <c r="U119" s="9" t="str">
        <f t="shared" ref="U119:U144" si="178">IF(OR(T119="",T119="-"),"-",T119*$M119*SQRT(3)/1000)</f>
        <v>-</v>
      </c>
      <c r="V119" s="9" t="s">
        <v>0</v>
      </c>
      <c r="W119" s="9" t="str">
        <f t="shared" ref="W119:W144" si="179">IF(OR(V119="",V119="-"),"-",V119*$M119*SQRT(3)/1000)</f>
        <v>-</v>
      </c>
      <c r="X119" s="9" t="s">
        <v>0</v>
      </c>
      <c r="Y119" s="9" t="str">
        <f t="shared" ref="Y119:Y144" si="180">IF(OR(X119="",X119="-"),"-",X119*$M119*SQRT(3)/1000)</f>
        <v>-</v>
      </c>
      <c r="Z119" s="9" t="s">
        <v>0</v>
      </c>
      <c r="AA119" s="9" t="str">
        <f t="shared" ref="AA119:AA144" si="181">IF(OR(Z119="",Z119="-"),"-",Z119*$M119*SQRT(3)/1000)</f>
        <v>-</v>
      </c>
      <c r="AB119" s="9" t="s">
        <v>0</v>
      </c>
      <c r="AC119" s="9" t="str">
        <f t="shared" ref="AC119:AC144" si="182">IF(OR(AB119="",AB119="-"),"-",AB119*$M119*SQRT(3)/1000)</f>
        <v>-</v>
      </c>
      <c r="AD119" s="9" t="s">
        <v>0</v>
      </c>
      <c r="AE119" s="9" t="str">
        <f t="shared" ref="AE119:AE144" si="183">IF(OR(AD119="",AD119="-"),"-",AD119*$M119*SQRT(3)/1000)</f>
        <v>-</v>
      </c>
      <c r="AF119" s="9" t="s">
        <v>0</v>
      </c>
      <c r="AG119" s="9" t="s">
        <v>0</v>
      </c>
      <c r="AH119" s="9">
        <v>822.3</v>
      </c>
      <c r="AI119" s="9" t="s">
        <v>0</v>
      </c>
      <c r="AJ119" s="43" t="s">
        <v>0</v>
      </c>
      <c r="AK119" s="9" t="s">
        <v>0</v>
      </c>
      <c r="AL119" s="43" t="s">
        <v>0</v>
      </c>
      <c r="AM119" s="9" t="s">
        <v>0</v>
      </c>
      <c r="AN119" s="43" t="s">
        <v>0</v>
      </c>
      <c r="AO119" s="9" t="s">
        <v>0</v>
      </c>
      <c r="AP119" s="9" t="s">
        <v>0</v>
      </c>
      <c r="AQ119" s="43" t="s">
        <v>0</v>
      </c>
      <c r="AR119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19" s="9" t="str">
        <f t="shared" ref="AS119:AS144" si="184">IF(OR(AR119="",AR119="-"),"-",AR119*$M119*SQRT(3)/1000)</f>
        <v>-</v>
      </c>
      <c r="AT119" s="9">
        <f>IF(RIGHT(TKA[[#This Row],[Device type]],7)="Winding","-",TKA[[#This Row],[Cont Winter MVA]])</f>
        <v>6.5482392447555027</v>
      </c>
      <c r="AU119" s="9" t="str">
        <f>IF(RIGHT(TKA[[#This Row],[Device type]],7)="Winding","-",TKA[[#This Row],[Cont Shoulder MVA]])</f>
        <v>-</v>
      </c>
      <c r="AV119" s="9">
        <f>IF(RIGHT(TKA[[#This Row],[Device type]],7)="Winding","-",TKA[[#This Row],[Cont Summer MVA]])</f>
        <v>4.8938121360948701</v>
      </c>
      <c r="AW119" s="9" t="str">
        <f>TKA[[#This Row],[24 Hr Winter MVA]]</f>
        <v>-</v>
      </c>
      <c r="AX119" s="9" t="str">
        <f>TKA[[#This Row],[24 Hr Summer MVA]]</f>
        <v>-</v>
      </c>
      <c r="AY119" s="9" t="str">
        <f>TKA[[#This Row],[Forwards MVA]]</f>
        <v>-</v>
      </c>
      <c r="AZ119" s="9" t="str">
        <f>TKA[[#This Row],[Relay MVA]]</f>
        <v>-</v>
      </c>
      <c r="BA119" s="9" t="str">
        <f>TKA[[#This Row],[CT MVA]]</f>
        <v>-</v>
      </c>
      <c r="BB119" s="9" t="str">
        <f>TKA[[#This Row],[Derating MVA]]</f>
        <v>-</v>
      </c>
      <c r="BC119" s="9" t="str">
        <f>TKA[[#This Row],[Station/Feeder]]&amp;TKA[[#This Row],[Lowest MVA]]</f>
        <v>HLB4.89381213609487</v>
      </c>
      <c r="BD119" s="9" t="str">
        <f>CONCATENATE(TKA[[#This Row],[Supply Level]],TKA[[#This Row],[Station/Feeder]],TKA[[#This Row],[Voltage]],TKA[[#This Row],[Lowest A-No PTX]])</f>
        <v>SecondarySubstationHLB11256.858523103439</v>
      </c>
      <c r="BE119" s="9" t="str">
        <f>CONCATENATE(TKA[[#This Row],[Supply Level]],TKA[[#This Row],[Station/Feeder]],TKA[[#This Row],[Voltage]],TKA[[#This Row],[Lowest A-PTX]])</f>
        <v>SecondarySubstationHLB11256.858523103439</v>
      </c>
      <c r="BF119" s="9">
        <f>IF(MIN(TKA[[#This Row],[Summ Cont Winter A]]:TKA[[#This Row],[Cable Derating]])=0,"",MIN(TKA[[#This Row],[Summ Cont Winter A]]:TKA[[#This Row],[Cable Derating]]))</f>
        <v>4.8938121360948701</v>
      </c>
      <c r="BG119" s="9">
        <f>IFERROR(TKA[[#This Row],[Lowest MVA]]*1000/(TKA[[#This Row],[Voltage]]*SQRT(3)),"")</f>
        <v>256.85852310343915</v>
      </c>
      <c r="BH119" s="9">
        <f t="shared" si="162"/>
        <v>256.85852310343915</v>
      </c>
      <c r="BI119" s="9" t="str">
        <f>TKA[[#This Row],[From]]</f>
        <v>M194</v>
      </c>
      <c r="BJ119" s="9" t="str">
        <f>TKA[[#This Row],[To]]</f>
        <v>Pole 14140</v>
      </c>
      <c r="BK119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Line-DOG</v>
      </c>
      <c r="BL119" s="9">
        <f>TKA[[#This Row],[Voltage]]</f>
        <v>11</v>
      </c>
    </row>
    <row r="120" spans="1:64" s="1" customFormat="1" ht="15" customHeight="1" x14ac:dyDescent="0.25">
      <c r="A120" s="6" t="str">
        <f>CONCATENATE(TKA[[#This Row],[Supply Level]],TKA[[#This Row],[Station/Feeder]],TKA[[#This Row],[Voltage]])</f>
        <v>SecondarySubstationHLB11</v>
      </c>
      <c r="B120" s="6" t="str">
        <f>CONCATENATE(TKA[[#This Row],[Supply Level]],TKA[[#This Row],[Station/Feeder]],TKA[[#This Row],[Equipment ID]],TKA[[#This Row],[Voltage]],TKA[[#This Row],[Device type]])</f>
        <v>SecondarySubstationHLB1-3c 300 mm² Al XLPE11-</v>
      </c>
      <c r="C120" s="6" t="s">
        <v>1277</v>
      </c>
      <c r="D120" s="6" t="s">
        <v>164</v>
      </c>
      <c r="E120" s="7" t="s">
        <v>418</v>
      </c>
      <c r="F120" s="7" t="s">
        <v>410</v>
      </c>
      <c r="G120" s="57">
        <v>7</v>
      </c>
      <c r="H120" s="46" t="s">
        <v>276</v>
      </c>
      <c r="I120" s="46" t="s">
        <v>569</v>
      </c>
      <c r="J120" s="46" t="s">
        <v>250</v>
      </c>
      <c r="K120" s="46" t="s">
        <v>0</v>
      </c>
      <c r="L120" s="46" t="s">
        <v>0</v>
      </c>
      <c r="M120" s="57">
        <v>11</v>
      </c>
      <c r="N120" s="9">
        <v>476</v>
      </c>
      <c r="O120" s="9">
        <f t="shared" si="175"/>
        <v>9.0690180284306408</v>
      </c>
      <c r="P120" s="9">
        <v>476</v>
      </c>
      <c r="Q120" s="9">
        <f t="shared" si="176"/>
        <v>9.0690180284306408</v>
      </c>
      <c r="R120" s="9">
        <v>476</v>
      </c>
      <c r="S120" s="9">
        <f t="shared" si="177"/>
        <v>9.0690180284306408</v>
      </c>
      <c r="T120" s="9" t="s">
        <v>0</v>
      </c>
      <c r="U120" s="9" t="str">
        <f t="shared" si="178"/>
        <v>-</v>
      </c>
      <c r="V120" s="9" t="s">
        <v>0</v>
      </c>
      <c r="W120" s="9" t="str">
        <f t="shared" si="179"/>
        <v>-</v>
      </c>
      <c r="X120" s="9" t="s">
        <v>0</v>
      </c>
      <c r="Y120" s="9" t="str">
        <f t="shared" si="180"/>
        <v>-</v>
      </c>
      <c r="Z120" s="9" t="s">
        <v>0</v>
      </c>
      <c r="AA120" s="9" t="str">
        <f t="shared" si="181"/>
        <v>-</v>
      </c>
      <c r="AB120" s="9" t="s">
        <v>0</v>
      </c>
      <c r="AC120" s="9" t="str">
        <f t="shared" si="182"/>
        <v>-</v>
      </c>
      <c r="AD120" s="9" t="s">
        <v>0</v>
      </c>
      <c r="AE120" s="9" t="str">
        <f t="shared" si="183"/>
        <v>-</v>
      </c>
      <c r="AF120" s="9">
        <v>3</v>
      </c>
      <c r="AG120" s="9" t="s">
        <v>265</v>
      </c>
      <c r="AH120" s="9">
        <v>528.5</v>
      </c>
      <c r="AI120" s="9">
        <v>1.3</v>
      </c>
      <c r="AJ120" s="43">
        <v>0.95899999999999996</v>
      </c>
      <c r="AK120" s="9">
        <v>15</v>
      </c>
      <c r="AL120" s="43">
        <v>1</v>
      </c>
      <c r="AM120" s="9">
        <v>0.9</v>
      </c>
      <c r="AN120" s="43">
        <v>1.1100000000000001</v>
      </c>
      <c r="AO120" s="9">
        <v>3</v>
      </c>
      <c r="AP120" s="9">
        <v>0.6</v>
      </c>
      <c r="AQ120" s="43">
        <v>0.85</v>
      </c>
      <c r="AR120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430.69265400000006</v>
      </c>
      <c r="AS120" s="9">
        <f t="shared" si="184"/>
        <v>8.2057971509215157</v>
      </c>
      <c r="AT120" s="9">
        <f>IF(RIGHT(TKA[[#This Row],[Device type]],7)="Winding","-",TKA[[#This Row],[Cont Winter MVA]])</f>
        <v>9.0690180284306408</v>
      </c>
      <c r="AU120" s="9">
        <f>IF(RIGHT(TKA[[#This Row],[Device type]],7)="Winding","-",TKA[[#This Row],[Cont Shoulder MVA]])</f>
        <v>9.0690180284306408</v>
      </c>
      <c r="AV120" s="9">
        <f>IF(RIGHT(TKA[[#This Row],[Device type]],7)="Winding","-",TKA[[#This Row],[Cont Summer MVA]])</f>
        <v>9.0690180284306408</v>
      </c>
      <c r="AW120" s="9" t="str">
        <f>TKA[[#This Row],[24 Hr Winter MVA]]</f>
        <v>-</v>
      </c>
      <c r="AX120" s="9" t="str">
        <f>TKA[[#This Row],[24 Hr Summer MVA]]</f>
        <v>-</v>
      </c>
      <c r="AY120" s="9" t="str">
        <f>TKA[[#This Row],[Forwards MVA]]</f>
        <v>-</v>
      </c>
      <c r="AZ120" s="9" t="str">
        <f>TKA[[#This Row],[Relay MVA]]</f>
        <v>-</v>
      </c>
      <c r="BA120" s="9" t="str">
        <f>TKA[[#This Row],[CT MVA]]</f>
        <v>-</v>
      </c>
      <c r="BB120" s="9">
        <f>TKA[[#This Row],[Derating MVA]]</f>
        <v>8.2057971509215157</v>
      </c>
      <c r="BC120" s="9" t="str">
        <f>TKA[[#This Row],[Station/Feeder]]&amp;TKA[[#This Row],[Lowest MVA]]</f>
        <v>HLB8.20579715092152</v>
      </c>
      <c r="BD120" s="9" t="str">
        <f>CONCATENATE(TKA[[#This Row],[Supply Level]],TKA[[#This Row],[Station/Feeder]],TKA[[#This Row],[Voltage]],TKA[[#This Row],[Lowest A-No PTX]])</f>
        <v>SecondarySubstationHLB11430.692654</v>
      </c>
      <c r="BE120" s="9" t="str">
        <f>CONCATENATE(TKA[[#This Row],[Supply Level]],TKA[[#This Row],[Station/Feeder]],TKA[[#This Row],[Voltage]],TKA[[#This Row],[Lowest A-PTX]])</f>
        <v>SecondarySubstationHLB11430.692654</v>
      </c>
      <c r="BF120" s="9">
        <f>IF(MIN(TKA[[#This Row],[Summ Cont Winter A]]:TKA[[#This Row],[Cable Derating]])=0,"",MIN(TKA[[#This Row],[Summ Cont Winter A]]:TKA[[#This Row],[Cable Derating]]))</f>
        <v>8.2057971509215157</v>
      </c>
      <c r="BG120" s="9">
        <f>IFERROR(TKA[[#This Row],[Lowest MVA]]*1000/(TKA[[#This Row],[Voltage]]*SQRT(3)),"")</f>
        <v>430.69265400000006</v>
      </c>
      <c r="BH120" s="9">
        <f t="shared" si="162"/>
        <v>430.69265400000006</v>
      </c>
      <c r="BI120" s="9" t="str">
        <f>TKA[[#This Row],[From]]</f>
        <v>Pole 14140</v>
      </c>
      <c r="BJ120" s="9" t="str">
        <f>TKA[[#This Row],[To]]</f>
        <v>M242</v>
      </c>
      <c r="BK120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Cable-1-3c 300 mm² Al XLPE</v>
      </c>
      <c r="BL120" s="9">
        <f>TKA[[#This Row],[Voltage]]</f>
        <v>11</v>
      </c>
    </row>
    <row r="121" spans="1:64" s="1" customFormat="1" ht="15" customHeight="1" x14ac:dyDescent="0.25">
      <c r="A121" s="6" t="str">
        <f>CONCATENATE(TKA[[#This Row],[Supply Level]],TKA[[#This Row],[Station/Feeder]],TKA[[#This Row],[Voltage]])</f>
        <v>SecondarySubstationHLB11</v>
      </c>
      <c r="B121" s="6" t="str">
        <f>CONCATENATE(TKA[[#This Row],[Supply Level]],TKA[[#This Row],[Station/Feeder]],TKA[[#This Row],[Equipment ID]],TKA[[#This Row],[Voltage]],TKA[[#This Row],[Device type]])</f>
        <v>SecondarySubstationHLB1-3c 95 mm² Al PILC11-</v>
      </c>
      <c r="C121" s="6" t="s">
        <v>1277</v>
      </c>
      <c r="D121" s="6" t="s">
        <v>164</v>
      </c>
      <c r="E121" s="7" t="s">
        <v>427</v>
      </c>
      <c r="F121" s="7" t="s">
        <v>428</v>
      </c>
      <c r="G121" s="57">
        <v>8</v>
      </c>
      <c r="H121" s="46" t="s">
        <v>276</v>
      </c>
      <c r="I121" s="46" t="s">
        <v>570</v>
      </c>
      <c r="J121" s="46" t="s">
        <v>250</v>
      </c>
      <c r="K121" s="46" t="s">
        <v>0</v>
      </c>
      <c r="L121" s="46" t="s">
        <v>0</v>
      </c>
      <c r="M121" s="57">
        <v>11</v>
      </c>
      <c r="N121" s="9">
        <v>205</v>
      </c>
      <c r="O121" s="9">
        <f t="shared" si="175"/>
        <v>3.905774571067818</v>
      </c>
      <c r="P121" s="9">
        <v>205</v>
      </c>
      <c r="Q121" s="9">
        <f t="shared" si="176"/>
        <v>3.905774571067818</v>
      </c>
      <c r="R121" s="9">
        <v>205</v>
      </c>
      <c r="S121" s="9">
        <f t="shared" si="177"/>
        <v>3.905774571067818</v>
      </c>
      <c r="T121" s="9" t="s">
        <v>0</v>
      </c>
      <c r="U121" s="9" t="str">
        <f t="shared" si="178"/>
        <v>-</v>
      </c>
      <c r="V121" s="9" t="s">
        <v>0</v>
      </c>
      <c r="W121" s="9" t="str">
        <f t="shared" si="179"/>
        <v>-</v>
      </c>
      <c r="X121" s="9" t="s">
        <v>0</v>
      </c>
      <c r="Y121" s="9" t="str">
        <f t="shared" si="180"/>
        <v>-</v>
      </c>
      <c r="Z121" s="9" t="s">
        <v>0</v>
      </c>
      <c r="AA121" s="9" t="str">
        <f t="shared" si="181"/>
        <v>-</v>
      </c>
      <c r="AB121" s="9" t="s">
        <v>0</v>
      </c>
      <c r="AC121" s="9" t="str">
        <f t="shared" si="182"/>
        <v>-</v>
      </c>
      <c r="AD121" s="9" t="s">
        <v>0</v>
      </c>
      <c r="AE121" s="9" t="str">
        <f t="shared" si="183"/>
        <v>-</v>
      </c>
      <c r="AF121" s="9">
        <v>3</v>
      </c>
      <c r="AG121" s="9" t="s">
        <v>265</v>
      </c>
      <c r="AH121" s="9">
        <v>438.8</v>
      </c>
      <c r="AI121" s="9">
        <v>1</v>
      </c>
      <c r="AJ121" s="43">
        <v>0.98</v>
      </c>
      <c r="AK121" s="9">
        <v>15</v>
      </c>
      <c r="AL121" s="43">
        <v>1</v>
      </c>
      <c r="AM121" s="9">
        <v>0.9</v>
      </c>
      <c r="AN121" s="43">
        <v>1.1000000000000001</v>
      </c>
      <c r="AO121" s="9">
        <v>3</v>
      </c>
      <c r="AP121" s="9">
        <v>0.6</v>
      </c>
      <c r="AQ121" s="43">
        <v>0.86</v>
      </c>
      <c r="AR121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190.0514</v>
      </c>
      <c r="AS121" s="9">
        <f t="shared" si="184"/>
        <v>3.6209654893455525</v>
      </c>
      <c r="AT121" s="9">
        <f>IF(RIGHT(TKA[[#This Row],[Device type]],7)="Winding","-",TKA[[#This Row],[Cont Winter MVA]])</f>
        <v>3.905774571067818</v>
      </c>
      <c r="AU121" s="9">
        <f>IF(RIGHT(TKA[[#This Row],[Device type]],7)="Winding","-",TKA[[#This Row],[Cont Shoulder MVA]])</f>
        <v>3.905774571067818</v>
      </c>
      <c r="AV121" s="9">
        <f>IF(RIGHT(TKA[[#This Row],[Device type]],7)="Winding","-",TKA[[#This Row],[Cont Summer MVA]])</f>
        <v>3.905774571067818</v>
      </c>
      <c r="AW121" s="9" t="str">
        <f>TKA[[#This Row],[24 Hr Winter MVA]]</f>
        <v>-</v>
      </c>
      <c r="AX121" s="9" t="str">
        <f>TKA[[#This Row],[24 Hr Summer MVA]]</f>
        <v>-</v>
      </c>
      <c r="AY121" s="9" t="str">
        <f>TKA[[#This Row],[Forwards MVA]]</f>
        <v>-</v>
      </c>
      <c r="AZ121" s="9" t="str">
        <f>TKA[[#This Row],[Relay MVA]]</f>
        <v>-</v>
      </c>
      <c r="BA121" s="9" t="str">
        <f>TKA[[#This Row],[CT MVA]]</f>
        <v>-</v>
      </c>
      <c r="BB121" s="9">
        <f>TKA[[#This Row],[Derating MVA]]</f>
        <v>3.6209654893455525</v>
      </c>
      <c r="BC121" s="9" t="str">
        <f>TKA[[#This Row],[Station/Feeder]]&amp;TKA[[#This Row],[Lowest MVA]]</f>
        <v>HLB3.62096548934555</v>
      </c>
      <c r="BD121" s="9" t="str">
        <f>CONCATENATE(TKA[[#This Row],[Supply Level]],TKA[[#This Row],[Station/Feeder]],TKA[[#This Row],[Voltage]],TKA[[#This Row],[Lowest A-No PTX]])</f>
        <v>SecondarySubstationHLB11190.0514</v>
      </c>
      <c r="BE121" s="9" t="str">
        <f>CONCATENATE(TKA[[#This Row],[Supply Level]],TKA[[#This Row],[Station/Feeder]],TKA[[#This Row],[Voltage]],TKA[[#This Row],[Lowest A-PTX]])</f>
        <v>SecondarySubstationHLB11190.0514</v>
      </c>
      <c r="BF121" s="9">
        <f>IF(MIN(TKA[[#This Row],[Summ Cont Winter A]]:TKA[[#This Row],[Cable Derating]])=0,"",MIN(TKA[[#This Row],[Summ Cont Winter A]]:TKA[[#This Row],[Cable Derating]]))</f>
        <v>3.6209654893455525</v>
      </c>
      <c r="BG121" s="9">
        <f>IFERROR(TKA[[#This Row],[Lowest MVA]]*1000/(TKA[[#This Row],[Voltage]]*SQRT(3)),"")</f>
        <v>190.0514</v>
      </c>
      <c r="BH121" s="9">
        <f t="shared" ref="BH121:BH146" si="185">IF(MIN(N121,P121,R121,T121,V121,X121,Z121,AB121,AD121,AR121)=0,"",MIN(N121,P121,R121,T121,V121,X121,Z121,AB121,AD121,AR121))</f>
        <v>190.0514</v>
      </c>
      <c r="BI121" s="9" t="str">
        <f>TKA[[#This Row],[From]]</f>
        <v>M244</v>
      </c>
      <c r="BJ121" s="9" t="str">
        <f>TKA[[#This Row],[To]]</f>
        <v>M193</v>
      </c>
      <c r="BK121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Cable-1-3c 95 mm² Al PILC</v>
      </c>
      <c r="BL121" s="9">
        <f>TKA[[#This Row],[Voltage]]</f>
        <v>11</v>
      </c>
    </row>
    <row r="122" spans="1:64" s="1" customFormat="1" ht="15" customHeight="1" x14ac:dyDescent="0.25">
      <c r="A122" s="6" t="str">
        <f>CONCATENATE(TKA[[#This Row],[Supply Level]],TKA[[#This Row],[Station/Feeder]],TKA[[#This Row],[Voltage]])</f>
        <v>SecondarySubstationHLB11</v>
      </c>
      <c r="B122" s="6" t="str">
        <f>CONCATENATE(TKA[[#This Row],[Supply Level]],TKA[[#This Row],[Station/Feeder]],TKA[[#This Row],[Equipment ID]],TKA[[#This Row],[Voltage]],TKA[[#This Row],[Device type]])</f>
        <v>SecondarySubstationHLB1-3c 95 mm² Al XLPE11-</v>
      </c>
      <c r="C122" s="6" t="s">
        <v>1277</v>
      </c>
      <c r="D122" s="6" t="s">
        <v>164</v>
      </c>
      <c r="E122" s="7" t="s">
        <v>427</v>
      </c>
      <c r="F122" s="7" t="s">
        <v>428</v>
      </c>
      <c r="G122" s="57">
        <v>9</v>
      </c>
      <c r="H122" s="46" t="s">
        <v>276</v>
      </c>
      <c r="I122" s="46" t="s">
        <v>571</v>
      </c>
      <c r="J122" s="46" t="s">
        <v>250</v>
      </c>
      <c r="K122" s="46" t="s">
        <v>0</v>
      </c>
      <c r="L122" s="46" t="s">
        <v>0</v>
      </c>
      <c r="M122" s="57">
        <v>11</v>
      </c>
      <c r="N122" s="9">
        <v>253</v>
      </c>
      <c r="O122" s="9">
        <f t="shared" si="175"/>
        <v>4.8202973974641852</v>
      </c>
      <c r="P122" s="9">
        <v>253</v>
      </c>
      <c r="Q122" s="9">
        <f t="shared" si="176"/>
        <v>4.8202973974641852</v>
      </c>
      <c r="R122" s="9">
        <v>253</v>
      </c>
      <c r="S122" s="9">
        <f t="shared" si="177"/>
        <v>4.8202973974641852</v>
      </c>
      <c r="T122" s="9" t="s">
        <v>0</v>
      </c>
      <c r="U122" s="9" t="str">
        <f t="shared" si="178"/>
        <v>-</v>
      </c>
      <c r="V122" s="9" t="s">
        <v>0</v>
      </c>
      <c r="W122" s="9" t="str">
        <f t="shared" si="179"/>
        <v>-</v>
      </c>
      <c r="X122" s="9" t="s">
        <v>0</v>
      </c>
      <c r="Y122" s="9" t="str">
        <f t="shared" si="180"/>
        <v>-</v>
      </c>
      <c r="Z122" s="9" t="s">
        <v>0</v>
      </c>
      <c r="AA122" s="9" t="str">
        <f t="shared" si="181"/>
        <v>-</v>
      </c>
      <c r="AB122" s="9" t="s">
        <v>0</v>
      </c>
      <c r="AC122" s="9" t="str">
        <f t="shared" si="182"/>
        <v>-</v>
      </c>
      <c r="AD122" s="9" t="s">
        <v>0</v>
      </c>
      <c r="AE122" s="9" t="str">
        <f t="shared" si="183"/>
        <v>-</v>
      </c>
      <c r="AF122" s="9">
        <v>3</v>
      </c>
      <c r="AG122" s="9" t="s">
        <v>265</v>
      </c>
      <c r="AH122" s="9">
        <v>4.7</v>
      </c>
      <c r="AI122" s="9">
        <v>1</v>
      </c>
      <c r="AJ122" s="43">
        <v>0.98</v>
      </c>
      <c r="AK122" s="9">
        <v>15</v>
      </c>
      <c r="AL122" s="43">
        <v>1</v>
      </c>
      <c r="AM122" s="9">
        <v>0.9</v>
      </c>
      <c r="AN122" s="43">
        <v>1.1000000000000001</v>
      </c>
      <c r="AO122" s="9">
        <v>3</v>
      </c>
      <c r="AP122" s="9">
        <v>0.6</v>
      </c>
      <c r="AQ122" s="43">
        <v>0.86</v>
      </c>
      <c r="AR122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234.55124000000001</v>
      </c>
      <c r="AS122" s="9">
        <f t="shared" si="184"/>
        <v>4.4688013112410969</v>
      </c>
      <c r="AT122" s="9">
        <f>IF(RIGHT(TKA[[#This Row],[Device type]],7)="Winding","-",TKA[[#This Row],[Cont Winter MVA]])</f>
        <v>4.8202973974641852</v>
      </c>
      <c r="AU122" s="9">
        <f>IF(RIGHT(TKA[[#This Row],[Device type]],7)="Winding","-",TKA[[#This Row],[Cont Shoulder MVA]])</f>
        <v>4.8202973974641852</v>
      </c>
      <c r="AV122" s="9">
        <f>IF(RIGHT(TKA[[#This Row],[Device type]],7)="Winding","-",TKA[[#This Row],[Cont Summer MVA]])</f>
        <v>4.8202973974641852</v>
      </c>
      <c r="AW122" s="9" t="str">
        <f>TKA[[#This Row],[24 Hr Winter MVA]]</f>
        <v>-</v>
      </c>
      <c r="AX122" s="9" t="str">
        <f>TKA[[#This Row],[24 Hr Summer MVA]]</f>
        <v>-</v>
      </c>
      <c r="AY122" s="9" t="str">
        <f>TKA[[#This Row],[Forwards MVA]]</f>
        <v>-</v>
      </c>
      <c r="AZ122" s="9" t="str">
        <f>TKA[[#This Row],[Relay MVA]]</f>
        <v>-</v>
      </c>
      <c r="BA122" s="9" t="str">
        <f>TKA[[#This Row],[CT MVA]]</f>
        <v>-</v>
      </c>
      <c r="BB122" s="9">
        <f>TKA[[#This Row],[Derating MVA]]</f>
        <v>4.4688013112410969</v>
      </c>
      <c r="BC122" s="9" t="str">
        <f>TKA[[#This Row],[Station/Feeder]]&amp;TKA[[#This Row],[Lowest MVA]]</f>
        <v>HLB4.4688013112411</v>
      </c>
      <c r="BD122" s="9" t="str">
        <f>CONCATENATE(TKA[[#This Row],[Supply Level]],TKA[[#This Row],[Station/Feeder]],TKA[[#This Row],[Voltage]],TKA[[#This Row],[Lowest A-No PTX]])</f>
        <v>SecondarySubstationHLB11234.55124</v>
      </c>
      <c r="BE122" s="9" t="str">
        <f>CONCATENATE(TKA[[#This Row],[Supply Level]],TKA[[#This Row],[Station/Feeder]],TKA[[#This Row],[Voltage]],TKA[[#This Row],[Lowest A-PTX]])</f>
        <v>SecondarySubstationHLB11234.55124</v>
      </c>
      <c r="BF122" s="9">
        <f>IF(MIN(TKA[[#This Row],[Summ Cont Winter A]]:TKA[[#This Row],[Cable Derating]])=0,"",MIN(TKA[[#This Row],[Summ Cont Winter A]]:TKA[[#This Row],[Cable Derating]]))</f>
        <v>4.4688013112410969</v>
      </c>
      <c r="BG122" s="9">
        <f>IFERROR(TKA[[#This Row],[Lowest MVA]]*1000/(TKA[[#This Row],[Voltage]]*SQRT(3)),"")</f>
        <v>234.55124000000001</v>
      </c>
      <c r="BH122" s="9">
        <f t="shared" si="185"/>
        <v>234.55124000000001</v>
      </c>
      <c r="BI122" s="9" t="str">
        <f>TKA[[#This Row],[From]]</f>
        <v>M244</v>
      </c>
      <c r="BJ122" s="9" t="str">
        <f>TKA[[#This Row],[To]]</f>
        <v>M193</v>
      </c>
      <c r="BK122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Cable-1-3c 95 mm² Al XLPE</v>
      </c>
      <c r="BL122" s="9">
        <f>TKA[[#This Row],[Voltage]]</f>
        <v>11</v>
      </c>
    </row>
    <row r="123" spans="1:64" s="1" customFormat="1" ht="15" customHeight="1" x14ac:dyDescent="0.25">
      <c r="A123" s="6" t="str">
        <f>CONCATENATE(TKA[[#This Row],[Supply Level]],TKA[[#This Row],[Station/Feeder]],TKA[[#This Row],[Voltage]])</f>
        <v>SecondarySubstationHLB11</v>
      </c>
      <c r="B123" s="6" t="str">
        <f>CONCATENATE(TKA[[#This Row],[Supply Level]],TKA[[#This Row],[Station/Feeder]],TKA[[#This Row],[Equipment ID]],TKA[[#This Row],[Voltage]],TKA[[#This Row],[Device type]])</f>
        <v>SecondarySubstationHLB1-3c 95 mm² Al PILC11-</v>
      </c>
      <c r="C123" s="6" t="s">
        <v>1277</v>
      </c>
      <c r="D123" s="6" t="s">
        <v>164</v>
      </c>
      <c r="E123" s="7" t="s">
        <v>427</v>
      </c>
      <c r="F123" s="7" t="s">
        <v>428</v>
      </c>
      <c r="G123" s="57">
        <v>10</v>
      </c>
      <c r="H123" s="46" t="s">
        <v>276</v>
      </c>
      <c r="I123" s="46" t="s">
        <v>570</v>
      </c>
      <c r="J123" s="46" t="s">
        <v>250</v>
      </c>
      <c r="K123" s="46" t="s">
        <v>0</v>
      </c>
      <c r="L123" s="46" t="s">
        <v>0</v>
      </c>
      <c r="M123" s="57">
        <v>11</v>
      </c>
      <c r="N123" s="9">
        <v>205</v>
      </c>
      <c r="O123" s="9">
        <f t="shared" si="175"/>
        <v>3.905774571067818</v>
      </c>
      <c r="P123" s="9">
        <v>205</v>
      </c>
      <c r="Q123" s="9">
        <f t="shared" si="176"/>
        <v>3.905774571067818</v>
      </c>
      <c r="R123" s="9">
        <v>205</v>
      </c>
      <c r="S123" s="9">
        <f t="shared" si="177"/>
        <v>3.905774571067818</v>
      </c>
      <c r="T123" s="9" t="s">
        <v>0</v>
      </c>
      <c r="U123" s="9" t="str">
        <f t="shared" si="178"/>
        <v>-</v>
      </c>
      <c r="V123" s="9" t="s">
        <v>0</v>
      </c>
      <c r="W123" s="9" t="str">
        <f t="shared" si="179"/>
        <v>-</v>
      </c>
      <c r="X123" s="9" t="s">
        <v>0</v>
      </c>
      <c r="Y123" s="9" t="str">
        <f t="shared" si="180"/>
        <v>-</v>
      </c>
      <c r="Z123" s="9" t="s">
        <v>0</v>
      </c>
      <c r="AA123" s="9" t="str">
        <f t="shared" si="181"/>
        <v>-</v>
      </c>
      <c r="AB123" s="9" t="s">
        <v>0</v>
      </c>
      <c r="AC123" s="9" t="str">
        <f t="shared" si="182"/>
        <v>-</v>
      </c>
      <c r="AD123" s="9" t="s">
        <v>0</v>
      </c>
      <c r="AE123" s="9" t="str">
        <f t="shared" si="183"/>
        <v>-</v>
      </c>
      <c r="AF123" s="9">
        <v>3</v>
      </c>
      <c r="AG123" s="9" t="s">
        <v>265</v>
      </c>
      <c r="AH123" s="9">
        <v>416.9</v>
      </c>
      <c r="AI123" s="9">
        <v>1</v>
      </c>
      <c r="AJ123" s="43">
        <v>0.98</v>
      </c>
      <c r="AK123" s="9">
        <v>15</v>
      </c>
      <c r="AL123" s="43">
        <v>1</v>
      </c>
      <c r="AM123" s="9">
        <v>0.9</v>
      </c>
      <c r="AN123" s="43">
        <v>1.1000000000000001</v>
      </c>
      <c r="AO123" s="9">
        <v>1</v>
      </c>
      <c r="AP123" s="9">
        <v>0</v>
      </c>
      <c r="AQ123" s="43">
        <v>1</v>
      </c>
      <c r="AR123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220.99</v>
      </c>
      <c r="AS123" s="9">
        <f t="shared" si="184"/>
        <v>4.2104249876111082</v>
      </c>
      <c r="AT123" s="9">
        <f>IF(RIGHT(TKA[[#This Row],[Device type]],7)="Winding","-",TKA[[#This Row],[Cont Winter MVA]])</f>
        <v>3.905774571067818</v>
      </c>
      <c r="AU123" s="9">
        <f>IF(RIGHT(TKA[[#This Row],[Device type]],7)="Winding","-",TKA[[#This Row],[Cont Shoulder MVA]])</f>
        <v>3.905774571067818</v>
      </c>
      <c r="AV123" s="9">
        <f>IF(RIGHT(TKA[[#This Row],[Device type]],7)="Winding","-",TKA[[#This Row],[Cont Summer MVA]])</f>
        <v>3.905774571067818</v>
      </c>
      <c r="AW123" s="9" t="str">
        <f>TKA[[#This Row],[24 Hr Winter MVA]]</f>
        <v>-</v>
      </c>
      <c r="AX123" s="9" t="str">
        <f>TKA[[#This Row],[24 Hr Summer MVA]]</f>
        <v>-</v>
      </c>
      <c r="AY123" s="9" t="str">
        <f>TKA[[#This Row],[Forwards MVA]]</f>
        <v>-</v>
      </c>
      <c r="AZ123" s="9" t="str">
        <f>TKA[[#This Row],[Relay MVA]]</f>
        <v>-</v>
      </c>
      <c r="BA123" s="9" t="str">
        <f>TKA[[#This Row],[CT MVA]]</f>
        <v>-</v>
      </c>
      <c r="BB123" s="9">
        <f>TKA[[#This Row],[Derating MVA]]</f>
        <v>4.2104249876111082</v>
      </c>
      <c r="BC123" s="9" t="str">
        <f>TKA[[#This Row],[Station/Feeder]]&amp;TKA[[#This Row],[Lowest MVA]]</f>
        <v>HLB3.90577457106782</v>
      </c>
      <c r="BD123" s="9" t="str">
        <f>CONCATENATE(TKA[[#This Row],[Supply Level]],TKA[[#This Row],[Station/Feeder]],TKA[[#This Row],[Voltage]],TKA[[#This Row],[Lowest A-No PTX]])</f>
        <v>SecondarySubstationHLB11205</v>
      </c>
      <c r="BE123" s="9" t="str">
        <f>CONCATENATE(TKA[[#This Row],[Supply Level]],TKA[[#This Row],[Station/Feeder]],TKA[[#This Row],[Voltage]],TKA[[#This Row],[Lowest A-PTX]])</f>
        <v>SecondarySubstationHLB11205</v>
      </c>
      <c r="BF123" s="9">
        <f>IF(MIN(TKA[[#This Row],[Summ Cont Winter A]]:TKA[[#This Row],[Cable Derating]])=0,"",MIN(TKA[[#This Row],[Summ Cont Winter A]]:TKA[[#This Row],[Cable Derating]]))</f>
        <v>3.905774571067818</v>
      </c>
      <c r="BG123" s="9">
        <f>IFERROR(TKA[[#This Row],[Lowest MVA]]*1000/(TKA[[#This Row],[Voltage]]*SQRT(3)),"")</f>
        <v>205</v>
      </c>
      <c r="BH123" s="9">
        <f t="shared" si="185"/>
        <v>205</v>
      </c>
      <c r="BI123" s="9" t="str">
        <f>TKA[[#This Row],[From]]</f>
        <v>M244</v>
      </c>
      <c r="BJ123" s="9" t="str">
        <f>TKA[[#This Row],[To]]</f>
        <v>M193</v>
      </c>
      <c r="BK123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Cable-1-3c 95 mm² Al PILC</v>
      </c>
      <c r="BL123" s="9">
        <f>TKA[[#This Row],[Voltage]]</f>
        <v>11</v>
      </c>
    </row>
    <row r="124" spans="1:64" s="1" customFormat="1" ht="15" customHeight="1" x14ac:dyDescent="0.25">
      <c r="A124" s="6" t="str">
        <f>CONCATENATE(TKA[[#This Row],[Supply Level]],TKA[[#This Row],[Station/Feeder]],TKA[[#This Row],[Voltage]])</f>
        <v>SecondarySubstationHLB11</v>
      </c>
      <c r="B124" s="6" t="str">
        <f>CONCATENATE(TKA[[#This Row],[Supply Level]],TKA[[#This Row],[Station/Feeder]],TKA[[#This Row],[Equipment ID]],TKA[[#This Row],[Voltage]],TKA[[#This Row],[Device type]])</f>
        <v>SecondarySubstationHLBM19311-</v>
      </c>
      <c r="C124" s="6" t="s">
        <v>1277</v>
      </c>
      <c r="D124" s="6" t="s">
        <v>164</v>
      </c>
      <c r="E124" s="7" t="s">
        <v>427</v>
      </c>
      <c r="F124" s="7" t="s">
        <v>428</v>
      </c>
      <c r="G124" s="57">
        <v>11</v>
      </c>
      <c r="H124" s="7" t="s">
        <v>273</v>
      </c>
      <c r="I124" s="7" t="s">
        <v>428</v>
      </c>
      <c r="J124" s="7" t="s">
        <v>240</v>
      </c>
      <c r="K124" s="46" t="s">
        <v>0</v>
      </c>
      <c r="L124" s="46" t="s">
        <v>0</v>
      </c>
      <c r="M124" s="57">
        <v>11</v>
      </c>
      <c r="N124" s="9" t="s">
        <v>0</v>
      </c>
      <c r="O124" s="9" t="str">
        <f t="shared" si="175"/>
        <v>-</v>
      </c>
      <c r="P124" s="9" t="s">
        <v>0</v>
      </c>
      <c r="Q124" s="9" t="str">
        <f t="shared" si="176"/>
        <v>-</v>
      </c>
      <c r="R124" s="9" t="s">
        <v>0</v>
      </c>
      <c r="S124" s="9" t="str">
        <f t="shared" si="177"/>
        <v>-</v>
      </c>
      <c r="T124" s="9" t="s">
        <v>0</v>
      </c>
      <c r="U124" s="9" t="str">
        <f t="shared" si="178"/>
        <v>-</v>
      </c>
      <c r="V124" s="9" t="s">
        <v>0</v>
      </c>
      <c r="W124" s="9" t="str">
        <f t="shared" si="179"/>
        <v>-</v>
      </c>
      <c r="X124" s="9" t="s">
        <v>0</v>
      </c>
      <c r="Y124" s="9" t="str">
        <f t="shared" si="180"/>
        <v>-</v>
      </c>
      <c r="Z124" s="9" t="s">
        <v>0</v>
      </c>
      <c r="AA124" s="9" t="str">
        <f t="shared" si="181"/>
        <v>-</v>
      </c>
      <c r="AB124" s="9" t="s">
        <v>0</v>
      </c>
      <c r="AC124" s="9" t="str">
        <f t="shared" si="182"/>
        <v>-</v>
      </c>
      <c r="AD124" s="9" t="s">
        <v>0</v>
      </c>
      <c r="AE124" s="9" t="str">
        <f t="shared" si="183"/>
        <v>-</v>
      </c>
      <c r="AF124" s="9" t="s">
        <v>0</v>
      </c>
      <c r="AG124" s="9" t="s">
        <v>0</v>
      </c>
      <c r="AH124" s="9" t="s">
        <v>0</v>
      </c>
      <c r="AI124" s="9" t="s">
        <v>0</v>
      </c>
      <c r="AJ124" s="43" t="s">
        <v>0</v>
      </c>
      <c r="AK124" s="9" t="s">
        <v>0</v>
      </c>
      <c r="AL124" s="43" t="s">
        <v>0</v>
      </c>
      <c r="AM124" s="9" t="s">
        <v>0</v>
      </c>
      <c r="AN124" s="43" t="s">
        <v>0</v>
      </c>
      <c r="AO124" s="9" t="s">
        <v>0</v>
      </c>
      <c r="AP124" s="9" t="s">
        <v>0</v>
      </c>
      <c r="AQ124" s="43" t="s">
        <v>0</v>
      </c>
      <c r="AR124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24" s="9" t="str">
        <f t="shared" si="184"/>
        <v>-</v>
      </c>
      <c r="AT124" s="9" t="str">
        <f>IF(RIGHT(TKA[[#This Row],[Device type]],7)="Winding","-",TKA[[#This Row],[Cont Winter MVA]])</f>
        <v>-</v>
      </c>
      <c r="AU124" s="9" t="str">
        <f>IF(RIGHT(TKA[[#This Row],[Device type]],7)="Winding","-",TKA[[#This Row],[Cont Shoulder MVA]])</f>
        <v>-</v>
      </c>
      <c r="AV124" s="9" t="str">
        <f>IF(RIGHT(TKA[[#This Row],[Device type]],7)="Winding","-",TKA[[#This Row],[Cont Summer MVA]])</f>
        <v>-</v>
      </c>
      <c r="AW124" s="9" t="str">
        <f>TKA[[#This Row],[24 Hr Winter MVA]]</f>
        <v>-</v>
      </c>
      <c r="AX124" s="9" t="str">
        <f>TKA[[#This Row],[24 Hr Summer MVA]]</f>
        <v>-</v>
      </c>
      <c r="AY124" s="9" t="str">
        <f>TKA[[#This Row],[Forwards MVA]]</f>
        <v>-</v>
      </c>
      <c r="AZ124" s="9" t="str">
        <f>TKA[[#This Row],[Relay MVA]]</f>
        <v>-</v>
      </c>
      <c r="BA124" s="9" t="str">
        <f>TKA[[#This Row],[CT MVA]]</f>
        <v>-</v>
      </c>
      <c r="BB124" s="9" t="str">
        <f>TKA[[#This Row],[Derating MVA]]</f>
        <v>-</v>
      </c>
      <c r="BC124" s="9" t="str">
        <f>TKA[[#This Row],[Station/Feeder]]&amp;TKA[[#This Row],[Lowest MVA]]</f>
        <v>HLB</v>
      </c>
      <c r="BD124" s="9" t="str">
        <f>CONCATENATE(TKA[[#This Row],[Supply Level]],TKA[[#This Row],[Station/Feeder]],TKA[[#This Row],[Voltage]],TKA[[#This Row],[Lowest A-No PTX]])</f>
        <v>SecondarySubstationHLB11</v>
      </c>
      <c r="BE124" s="9" t="str">
        <f>CONCATENATE(TKA[[#This Row],[Supply Level]],TKA[[#This Row],[Station/Feeder]],TKA[[#This Row],[Voltage]],TKA[[#This Row],[Lowest A-PTX]])</f>
        <v>SecondarySubstationHLB11</v>
      </c>
      <c r="BF124" s="9" t="str">
        <f>IF(MIN(TKA[[#This Row],[Summ Cont Winter A]]:TKA[[#This Row],[Cable Derating]])=0,"",MIN(TKA[[#This Row],[Summ Cont Winter A]]:TKA[[#This Row],[Cable Derating]]))</f>
        <v/>
      </c>
      <c r="BG124" s="9" t="str">
        <f>IFERROR(TKA[[#This Row],[Lowest MVA]]*1000/(TKA[[#This Row],[Voltage]]*SQRT(3)),"")</f>
        <v/>
      </c>
      <c r="BH124" s="9" t="str">
        <f t="shared" si="185"/>
        <v/>
      </c>
      <c r="BI124" s="9" t="str">
        <f>TKA[[#This Row],[From]]</f>
        <v>M244</v>
      </c>
      <c r="BJ124" s="9" t="str">
        <f>TKA[[#This Row],[To]]</f>
        <v>M193</v>
      </c>
      <c r="BK124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ABS-M193</v>
      </c>
      <c r="BL124" s="9">
        <f>TKA[[#This Row],[Voltage]]</f>
        <v>11</v>
      </c>
    </row>
    <row r="125" spans="1:64" s="1" customFormat="1" ht="15" customHeight="1" x14ac:dyDescent="0.25">
      <c r="A125" s="6" t="str">
        <f>CONCATENATE(TKA[[#This Row],[Supply Level]],TKA[[#This Row],[Station/Feeder]],TKA[[#This Row],[Voltage]])</f>
        <v>SecondarySubstationHLB11</v>
      </c>
      <c r="B125" s="6" t="str">
        <f>CONCATENATE(TKA[[#This Row],[Supply Level]],TKA[[#This Row],[Station/Feeder]],TKA[[#This Row],[Equipment ID]],TKA[[#This Row],[Voltage]],TKA[[#This Row],[Device type]])</f>
        <v>SecondarySubstationHLBHERRING11-</v>
      </c>
      <c r="C125" s="6" t="s">
        <v>1277</v>
      </c>
      <c r="D125" s="6" t="s">
        <v>164</v>
      </c>
      <c r="E125" s="7" t="s">
        <v>428</v>
      </c>
      <c r="F125" s="7" t="s">
        <v>422</v>
      </c>
      <c r="G125" s="57">
        <v>12</v>
      </c>
      <c r="H125" s="46" t="s">
        <v>1289</v>
      </c>
      <c r="I125" s="46" t="s">
        <v>429</v>
      </c>
      <c r="J125" s="46" t="s">
        <v>69</v>
      </c>
      <c r="K125" s="46" t="s">
        <v>0</v>
      </c>
      <c r="L125" s="46" t="s">
        <v>0</v>
      </c>
      <c r="M125" s="57">
        <v>11</v>
      </c>
      <c r="N125" s="9">
        <v>96.377308793119241</v>
      </c>
      <c r="O125" s="9">
        <f t="shared" si="175"/>
        <v>1.8362343507908094</v>
      </c>
      <c r="P125" s="9" t="s">
        <v>0</v>
      </c>
      <c r="Q125" s="9" t="str">
        <f t="shared" si="176"/>
        <v>-</v>
      </c>
      <c r="R125" s="9">
        <v>73.709391096942639</v>
      </c>
      <c r="S125" s="9">
        <f t="shared" si="177"/>
        <v>1.4043525141235669</v>
      </c>
      <c r="T125" s="9" t="s">
        <v>0</v>
      </c>
      <c r="U125" s="9" t="str">
        <f t="shared" si="178"/>
        <v>-</v>
      </c>
      <c r="V125" s="9" t="s">
        <v>0</v>
      </c>
      <c r="W125" s="9" t="str">
        <f t="shared" si="179"/>
        <v>-</v>
      </c>
      <c r="X125" s="9" t="s">
        <v>0</v>
      </c>
      <c r="Y125" s="9" t="str">
        <f t="shared" si="180"/>
        <v>-</v>
      </c>
      <c r="Z125" s="9" t="s">
        <v>0</v>
      </c>
      <c r="AA125" s="9" t="str">
        <f t="shared" si="181"/>
        <v>-</v>
      </c>
      <c r="AB125" s="9" t="s">
        <v>0</v>
      </c>
      <c r="AC125" s="9" t="str">
        <f t="shared" si="182"/>
        <v>-</v>
      </c>
      <c r="AD125" s="9" t="s">
        <v>0</v>
      </c>
      <c r="AE125" s="9" t="str">
        <f t="shared" si="183"/>
        <v>-</v>
      </c>
      <c r="AF125" s="9" t="s">
        <v>0</v>
      </c>
      <c r="AG125" s="9" t="s">
        <v>0</v>
      </c>
      <c r="AH125" s="9">
        <v>427.7</v>
      </c>
      <c r="AI125" s="9" t="s">
        <v>0</v>
      </c>
      <c r="AJ125" s="43" t="s">
        <v>0</v>
      </c>
      <c r="AK125" s="9" t="s">
        <v>0</v>
      </c>
      <c r="AL125" s="43" t="s">
        <v>0</v>
      </c>
      <c r="AM125" s="9" t="s">
        <v>0</v>
      </c>
      <c r="AN125" s="43" t="s">
        <v>0</v>
      </c>
      <c r="AO125" s="9" t="s">
        <v>0</v>
      </c>
      <c r="AP125" s="9" t="s">
        <v>0</v>
      </c>
      <c r="AQ125" s="43" t="s">
        <v>0</v>
      </c>
      <c r="AR125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25" s="9" t="str">
        <f t="shared" si="184"/>
        <v>-</v>
      </c>
      <c r="AT125" s="9">
        <f>IF(RIGHT(TKA[[#This Row],[Device type]],7)="Winding","-",TKA[[#This Row],[Cont Winter MVA]])</f>
        <v>1.8362343507908094</v>
      </c>
      <c r="AU125" s="9" t="str">
        <f>IF(RIGHT(TKA[[#This Row],[Device type]],7)="Winding","-",TKA[[#This Row],[Cont Shoulder MVA]])</f>
        <v>-</v>
      </c>
      <c r="AV125" s="9">
        <f>IF(RIGHT(TKA[[#This Row],[Device type]],7)="Winding","-",TKA[[#This Row],[Cont Summer MVA]])</f>
        <v>1.4043525141235669</v>
      </c>
      <c r="AW125" s="9" t="str">
        <f>TKA[[#This Row],[24 Hr Winter MVA]]</f>
        <v>-</v>
      </c>
      <c r="AX125" s="9" t="str">
        <f>TKA[[#This Row],[24 Hr Summer MVA]]</f>
        <v>-</v>
      </c>
      <c r="AY125" s="9" t="str">
        <f>TKA[[#This Row],[Forwards MVA]]</f>
        <v>-</v>
      </c>
      <c r="AZ125" s="9" t="str">
        <f>TKA[[#This Row],[Relay MVA]]</f>
        <v>-</v>
      </c>
      <c r="BA125" s="9" t="str">
        <f>TKA[[#This Row],[CT MVA]]</f>
        <v>-</v>
      </c>
      <c r="BB125" s="9" t="str">
        <f>TKA[[#This Row],[Derating MVA]]</f>
        <v>-</v>
      </c>
      <c r="BC125" s="9" t="str">
        <f>TKA[[#This Row],[Station/Feeder]]&amp;TKA[[#This Row],[Lowest MVA]]</f>
        <v>HLB1.40435251412357</v>
      </c>
      <c r="BD125" s="9" t="str">
        <f>CONCATENATE(TKA[[#This Row],[Supply Level]],TKA[[#This Row],[Station/Feeder]],TKA[[#This Row],[Voltage]],TKA[[#This Row],[Lowest A-No PTX]])</f>
        <v>SecondarySubstationHLB1173.7093910969426</v>
      </c>
      <c r="BE125" s="9" t="str">
        <f>CONCATENATE(TKA[[#This Row],[Supply Level]],TKA[[#This Row],[Station/Feeder]],TKA[[#This Row],[Voltage]],TKA[[#This Row],[Lowest A-PTX]])</f>
        <v>SecondarySubstationHLB1173.7093910969426</v>
      </c>
      <c r="BF125" s="9">
        <f>IF(MIN(TKA[[#This Row],[Summ Cont Winter A]]:TKA[[#This Row],[Cable Derating]])=0,"",MIN(TKA[[#This Row],[Summ Cont Winter A]]:TKA[[#This Row],[Cable Derating]]))</f>
        <v>1.4043525141235669</v>
      </c>
      <c r="BG125" s="9">
        <f>IFERROR(TKA[[#This Row],[Lowest MVA]]*1000/(TKA[[#This Row],[Voltage]]*SQRT(3)),"")</f>
        <v>73.709391096942639</v>
      </c>
      <c r="BH125" s="9">
        <f t="shared" si="185"/>
        <v>73.709391096942639</v>
      </c>
      <c r="BI125" s="9" t="str">
        <f>TKA[[#This Row],[From]]</f>
        <v>M193</v>
      </c>
      <c r="BJ125" s="9" t="str">
        <f>TKA[[#This Row],[To]]</f>
        <v>Pole 14149</v>
      </c>
      <c r="BK125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Line-HERRING</v>
      </c>
      <c r="BL125" s="9">
        <f>TKA[[#This Row],[Voltage]]</f>
        <v>11</v>
      </c>
    </row>
    <row r="126" spans="1:64" s="1" customFormat="1" ht="15" customHeight="1" x14ac:dyDescent="0.25">
      <c r="A126" s="6" t="str">
        <f>CONCATENATE(TKA[[#This Row],[Supply Level]],TKA[[#This Row],[Station/Feeder]],TKA[[#This Row],[Voltage]])</f>
        <v>SecondarySubstationHLB11</v>
      </c>
      <c r="B126" s="6" t="str">
        <f>CONCATENATE(TKA[[#This Row],[Supply Level]],TKA[[#This Row],[Station/Feeder]],TKA[[#This Row],[Equipment ID]],TKA[[#This Row],[Voltage]],TKA[[#This Row],[Device type]])</f>
        <v>SecondarySubstationHLB1-3c 95 mm² Al XLPE11-</v>
      </c>
      <c r="C126" s="6" t="s">
        <v>1277</v>
      </c>
      <c r="D126" s="6" t="s">
        <v>164</v>
      </c>
      <c r="E126" s="7" t="s">
        <v>422</v>
      </c>
      <c r="F126" s="7" t="s">
        <v>423</v>
      </c>
      <c r="G126" s="57">
        <v>13</v>
      </c>
      <c r="H126" s="46" t="s">
        <v>276</v>
      </c>
      <c r="I126" s="46" t="s">
        <v>571</v>
      </c>
      <c r="J126" s="46" t="s">
        <v>250</v>
      </c>
      <c r="K126" s="46" t="s">
        <v>0</v>
      </c>
      <c r="L126" s="46" t="s">
        <v>0</v>
      </c>
      <c r="M126" s="57">
        <v>11</v>
      </c>
      <c r="N126" s="9">
        <v>253</v>
      </c>
      <c r="O126" s="9">
        <f t="shared" si="175"/>
        <v>4.8202973974641852</v>
      </c>
      <c r="P126" s="9">
        <v>253</v>
      </c>
      <c r="Q126" s="9">
        <f t="shared" si="176"/>
        <v>4.8202973974641852</v>
      </c>
      <c r="R126" s="9">
        <v>253</v>
      </c>
      <c r="S126" s="9">
        <f t="shared" si="177"/>
        <v>4.8202973974641852</v>
      </c>
      <c r="T126" s="9" t="s">
        <v>0</v>
      </c>
      <c r="U126" s="9" t="str">
        <f t="shared" si="178"/>
        <v>-</v>
      </c>
      <c r="V126" s="9" t="s">
        <v>0</v>
      </c>
      <c r="W126" s="9" t="str">
        <f t="shared" si="179"/>
        <v>-</v>
      </c>
      <c r="X126" s="9" t="s">
        <v>0</v>
      </c>
      <c r="Y126" s="9" t="str">
        <f t="shared" si="180"/>
        <v>-</v>
      </c>
      <c r="Z126" s="9" t="s">
        <v>0</v>
      </c>
      <c r="AA126" s="9" t="str">
        <f t="shared" si="181"/>
        <v>-</v>
      </c>
      <c r="AB126" s="9" t="s">
        <v>0</v>
      </c>
      <c r="AC126" s="9" t="str">
        <f t="shared" si="182"/>
        <v>-</v>
      </c>
      <c r="AD126" s="9" t="s">
        <v>0</v>
      </c>
      <c r="AE126" s="9" t="str">
        <f t="shared" si="183"/>
        <v>-</v>
      </c>
      <c r="AF126" s="9">
        <v>3</v>
      </c>
      <c r="AG126" s="9" t="s">
        <v>265</v>
      </c>
      <c r="AH126" s="9">
        <v>533.70000000000005</v>
      </c>
      <c r="AI126" s="9">
        <v>1</v>
      </c>
      <c r="AJ126" s="43">
        <v>0.98</v>
      </c>
      <c r="AK126" s="9">
        <v>15</v>
      </c>
      <c r="AL126" s="43">
        <v>1</v>
      </c>
      <c r="AM126" s="9">
        <v>0.9</v>
      </c>
      <c r="AN126" s="43">
        <v>1.1000000000000001</v>
      </c>
      <c r="AO126" s="9">
        <v>1</v>
      </c>
      <c r="AP126" s="9">
        <v>0</v>
      </c>
      <c r="AQ126" s="43">
        <v>1</v>
      </c>
      <c r="AR126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272.73400000000004</v>
      </c>
      <c r="AS126" s="9">
        <f t="shared" si="184"/>
        <v>5.1962805944663923</v>
      </c>
      <c r="AT126" s="9">
        <f>IF(RIGHT(TKA[[#This Row],[Device type]],7)="Winding","-",TKA[[#This Row],[Cont Winter MVA]])</f>
        <v>4.8202973974641852</v>
      </c>
      <c r="AU126" s="9">
        <f>IF(RIGHT(TKA[[#This Row],[Device type]],7)="Winding","-",TKA[[#This Row],[Cont Shoulder MVA]])</f>
        <v>4.8202973974641852</v>
      </c>
      <c r="AV126" s="9">
        <f>IF(RIGHT(TKA[[#This Row],[Device type]],7)="Winding","-",TKA[[#This Row],[Cont Summer MVA]])</f>
        <v>4.8202973974641852</v>
      </c>
      <c r="AW126" s="9" t="str">
        <f>TKA[[#This Row],[24 Hr Winter MVA]]</f>
        <v>-</v>
      </c>
      <c r="AX126" s="9" t="str">
        <f>TKA[[#This Row],[24 Hr Summer MVA]]</f>
        <v>-</v>
      </c>
      <c r="AY126" s="9" t="str">
        <f>TKA[[#This Row],[Forwards MVA]]</f>
        <v>-</v>
      </c>
      <c r="AZ126" s="9" t="str">
        <f>TKA[[#This Row],[Relay MVA]]</f>
        <v>-</v>
      </c>
      <c r="BA126" s="9" t="str">
        <f>TKA[[#This Row],[CT MVA]]</f>
        <v>-</v>
      </c>
      <c r="BB126" s="9">
        <f>TKA[[#This Row],[Derating MVA]]</f>
        <v>5.1962805944663923</v>
      </c>
      <c r="BC126" s="9" t="str">
        <f>TKA[[#This Row],[Station/Feeder]]&amp;TKA[[#This Row],[Lowest MVA]]</f>
        <v>HLB4.82029739746419</v>
      </c>
      <c r="BD126" s="9" t="str">
        <f>CONCATENATE(TKA[[#This Row],[Supply Level]],TKA[[#This Row],[Station/Feeder]],TKA[[#This Row],[Voltage]],TKA[[#This Row],[Lowest A-No PTX]])</f>
        <v>SecondarySubstationHLB11253</v>
      </c>
      <c r="BE126" s="9" t="str">
        <f>CONCATENATE(TKA[[#This Row],[Supply Level]],TKA[[#This Row],[Station/Feeder]],TKA[[#This Row],[Voltage]],TKA[[#This Row],[Lowest A-PTX]])</f>
        <v>SecondarySubstationHLB11253</v>
      </c>
      <c r="BF126" s="9">
        <f>IF(MIN(TKA[[#This Row],[Summ Cont Winter A]]:TKA[[#This Row],[Cable Derating]])=0,"",MIN(TKA[[#This Row],[Summ Cont Winter A]]:TKA[[#This Row],[Cable Derating]]))</f>
        <v>4.8202973974641852</v>
      </c>
      <c r="BG126" s="9">
        <f>IFERROR(TKA[[#This Row],[Lowest MVA]]*1000/(TKA[[#This Row],[Voltage]]*SQRT(3)),"")</f>
        <v>253</v>
      </c>
      <c r="BH126" s="9">
        <f t="shared" si="185"/>
        <v>253</v>
      </c>
      <c r="BI126" s="9" t="str">
        <f>TKA[[#This Row],[From]]</f>
        <v>Pole 14149</v>
      </c>
      <c r="BJ126" s="9" t="str">
        <f>TKA[[#This Row],[To]]</f>
        <v>Pole 14150</v>
      </c>
      <c r="BK126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Cable-1-3c 95 mm² Al XLPE</v>
      </c>
      <c r="BL126" s="9">
        <f>TKA[[#This Row],[Voltage]]</f>
        <v>11</v>
      </c>
    </row>
    <row r="127" spans="1:64" s="1" customFormat="1" ht="15" customHeight="1" x14ac:dyDescent="0.25">
      <c r="A127" s="6" t="str">
        <f>CONCATENATE(TKA[[#This Row],[Supply Level]],TKA[[#This Row],[Station/Feeder]],TKA[[#This Row],[Voltage]])</f>
        <v>SecondarySubstationHLB11</v>
      </c>
      <c r="B127" s="6" t="str">
        <f>CONCATENATE(TKA[[#This Row],[Supply Level]],TKA[[#This Row],[Station/Feeder]],TKA[[#This Row],[Equipment ID]],TKA[[#This Row],[Voltage]],TKA[[#This Row],[Device type]])</f>
        <v>SecondarySubstationHLBHERRING11-</v>
      </c>
      <c r="C127" s="6" t="s">
        <v>1277</v>
      </c>
      <c r="D127" s="6" t="s">
        <v>164</v>
      </c>
      <c r="E127" s="7" t="s">
        <v>423</v>
      </c>
      <c r="F127" s="7" t="s">
        <v>437</v>
      </c>
      <c r="G127" s="57">
        <v>14</v>
      </c>
      <c r="H127" s="46" t="s">
        <v>1289</v>
      </c>
      <c r="I127" s="46" t="s">
        <v>429</v>
      </c>
      <c r="J127" s="46" t="s">
        <v>69</v>
      </c>
      <c r="K127" s="46" t="s">
        <v>0</v>
      </c>
      <c r="L127" s="46" t="s">
        <v>0</v>
      </c>
      <c r="M127" s="57">
        <v>11</v>
      </c>
      <c r="N127" s="9">
        <v>96.377308793119241</v>
      </c>
      <c r="O127" s="9">
        <f t="shared" si="175"/>
        <v>1.8362343507908094</v>
      </c>
      <c r="P127" s="9" t="s">
        <v>0</v>
      </c>
      <c r="Q127" s="9" t="str">
        <f t="shared" si="176"/>
        <v>-</v>
      </c>
      <c r="R127" s="9">
        <v>73.709391096942639</v>
      </c>
      <c r="S127" s="9">
        <f t="shared" si="177"/>
        <v>1.4043525141235669</v>
      </c>
      <c r="T127" s="9" t="s">
        <v>0</v>
      </c>
      <c r="U127" s="9" t="str">
        <f t="shared" si="178"/>
        <v>-</v>
      </c>
      <c r="V127" s="9" t="s">
        <v>0</v>
      </c>
      <c r="W127" s="9" t="str">
        <f t="shared" si="179"/>
        <v>-</v>
      </c>
      <c r="X127" s="9" t="s">
        <v>0</v>
      </c>
      <c r="Y127" s="9" t="str">
        <f t="shared" si="180"/>
        <v>-</v>
      </c>
      <c r="Z127" s="9" t="s">
        <v>0</v>
      </c>
      <c r="AA127" s="9" t="str">
        <f t="shared" si="181"/>
        <v>-</v>
      </c>
      <c r="AB127" s="9" t="s">
        <v>0</v>
      </c>
      <c r="AC127" s="9" t="str">
        <f t="shared" si="182"/>
        <v>-</v>
      </c>
      <c r="AD127" s="9" t="s">
        <v>0</v>
      </c>
      <c r="AE127" s="9" t="str">
        <f t="shared" si="183"/>
        <v>-</v>
      </c>
      <c r="AF127" s="9" t="s">
        <v>0</v>
      </c>
      <c r="AG127" s="9" t="s">
        <v>0</v>
      </c>
      <c r="AH127" s="9">
        <v>347.7</v>
      </c>
      <c r="AI127" s="9" t="s">
        <v>0</v>
      </c>
      <c r="AJ127" s="43" t="s">
        <v>0</v>
      </c>
      <c r="AK127" s="9" t="s">
        <v>0</v>
      </c>
      <c r="AL127" s="43" t="s">
        <v>0</v>
      </c>
      <c r="AM127" s="9" t="s">
        <v>0</v>
      </c>
      <c r="AN127" s="43" t="s">
        <v>0</v>
      </c>
      <c r="AO127" s="9" t="s">
        <v>0</v>
      </c>
      <c r="AP127" s="9" t="s">
        <v>0</v>
      </c>
      <c r="AQ127" s="43" t="s">
        <v>0</v>
      </c>
      <c r="AR127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27" s="9" t="str">
        <f t="shared" si="184"/>
        <v>-</v>
      </c>
      <c r="AT127" s="9">
        <f>IF(RIGHT(TKA[[#This Row],[Device type]],7)="Winding","-",TKA[[#This Row],[Cont Winter MVA]])</f>
        <v>1.8362343507908094</v>
      </c>
      <c r="AU127" s="9" t="str">
        <f>IF(RIGHT(TKA[[#This Row],[Device type]],7)="Winding","-",TKA[[#This Row],[Cont Shoulder MVA]])</f>
        <v>-</v>
      </c>
      <c r="AV127" s="9">
        <f>IF(RIGHT(TKA[[#This Row],[Device type]],7)="Winding","-",TKA[[#This Row],[Cont Summer MVA]])</f>
        <v>1.4043525141235669</v>
      </c>
      <c r="AW127" s="9" t="str">
        <f>TKA[[#This Row],[24 Hr Winter MVA]]</f>
        <v>-</v>
      </c>
      <c r="AX127" s="9" t="str">
        <f>TKA[[#This Row],[24 Hr Summer MVA]]</f>
        <v>-</v>
      </c>
      <c r="AY127" s="9" t="str">
        <f>TKA[[#This Row],[Forwards MVA]]</f>
        <v>-</v>
      </c>
      <c r="AZ127" s="9" t="str">
        <f>TKA[[#This Row],[Relay MVA]]</f>
        <v>-</v>
      </c>
      <c r="BA127" s="9" t="str">
        <f>TKA[[#This Row],[CT MVA]]</f>
        <v>-</v>
      </c>
      <c r="BB127" s="9" t="str">
        <f>TKA[[#This Row],[Derating MVA]]</f>
        <v>-</v>
      </c>
      <c r="BC127" s="9" t="str">
        <f>TKA[[#This Row],[Station/Feeder]]&amp;TKA[[#This Row],[Lowest MVA]]</f>
        <v>HLB1.40435251412357</v>
      </c>
      <c r="BD127" s="9" t="str">
        <f>CONCATENATE(TKA[[#This Row],[Supply Level]],TKA[[#This Row],[Station/Feeder]],TKA[[#This Row],[Voltage]],TKA[[#This Row],[Lowest A-No PTX]])</f>
        <v>SecondarySubstationHLB1173.7093910969426</v>
      </c>
      <c r="BE127" s="9" t="str">
        <f>CONCATENATE(TKA[[#This Row],[Supply Level]],TKA[[#This Row],[Station/Feeder]],TKA[[#This Row],[Voltage]],TKA[[#This Row],[Lowest A-PTX]])</f>
        <v>SecondarySubstationHLB1173.7093910969426</v>
      </c>
      <c r="BF127" s="9">
        <f>IF(MIN(TKA[[#This Row],[Summ Cont Winter A]]:TKA[[#This Row],[Cable Derating]])=0,"",MIN(TKA[[#This Row],[Summ Cont Winter A]]:TKA[[#This Row],[Cable Derating]]))</f>
        <v>1.4043525141235669</v>
      </c>
      <c r="BG127" s="9">
        <f>IFERROR(TKA[[#This Row],[Lowest MVA]]*1000/(TKA[[#This Row],[Voltage]]*SQRT(3)),"")</f>
        <v>73.709391096942639</v>
      </c>
      <c r="BH127" s="9">
        <f t="shared" si="185"/>
        <v>73.709391096942639</v>
      </c>
      <c r="BI127" s="9" t="str">
        <f>TKA[[#This Row],[From]]</f>
        <v>Pole 14150</v>
      </c>
      <c r="BJ127" s="9" t="str">
        <f>TKA[[#This Row],[To]]</f>
        <v>TX E117</v>
      </c>
      <c r="BK127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Line-HERRING</v>
      </c>
      <c r="BL127" s="9">
        <f>TKA[[#This Row],[Voltage]]</f>
        <v>11</v>
      </c>
    </row>
    <row r="128" spans="1:64" s="1" customFormat="1" ht="15" customHeight="1" x14ac:dyDescent="0.25">
      <c r="A128" s="6" t="str">
        <f>CONCATENATE(TKA[[#This Row],[Supply Level]],TKA[[#This Row],[Station/Feeder]],TKA[[#This Row],[Voltage]])</f>
        <v>SecondarySubstationHLB11</v>
      </c>
      <c r="B128" s="6" t="str">
        <f>CONCATENATE(TKA[[#This Row],[Supply Level]],TKA[[#This Row],[Station/Feeder]],TKA[[#This Row],[Equipment ID]],TKA[[#This Row],[Voltage]],TKA[[#This Row],[Device type]])</f>
        <v>SecondarySubstationHLBM8111-</v>
      </c>
      <c r="C128" s="6" t="s">
        <v>1277</v>
      </c>
      <c r="D128" s="6" t="s">
        <v>164</v>
      </c>
      <c r="E128" s="7" t="s">
        <v>423</v>
      </c>
      <c r="F128" s="7" t="s">
        <v>437</v>
      </c>
      <c r="G128" s="57">
        <v>1</v>
      </c>
      <c r="H128" s="46" t="s">
        <v>273</v>
      </c>
      <c r="I128" s="46" t="s">
        <v>431</v>
      </c>
      <c r="J128" s="46" t="s">
        <v>249</v>
      </c>
      <c r="K128" s="46" t="s">
        <v>0</v>
      </c>
      <c r="L128" s="46" t="s">
        <v>0</v>
      </c>
      <c r="M128" s="57">
        <v>11</v>
      </c>
      <c r="N128" s="9">
        <v>300</v>
      </c>
      <c r="O128" s="9">
        <f t="shared" si="175"/>
        <v>5.715767664977295</v>
      </c>
      <c r="P128" s="9">
        <v>300</v>
      </c>
      <c r="Q128" s="9">
        <f t="shared" si="176"/>
        <v>5.715767664977295</v>
      </c>
      <c r="R128" s="9">
        <v>300</v>
      </c>
      <c r="S128" s="9">
        <f t="shared" si="177"/>
        <v>5.715767664977295</v>
      </c>
      <c r="T128" s="9" t="s">
        <v>0</v>
      </c>
      <c r="U128" s="9" t="str">
        <f t="shared" si="178"/>
        <v>-</v>
      </c>
      <c r="V128" s="9" t="s">
        <v>0</v>
      </c>
      <c r="W128" s="9" t="str">
        <f t="shared" si="179"/>
        <v>-</v>
      </c>
      <c r="X128" s="9" t="s">
        <v>0</v>
      </c>
      <c r="Y128" s="9" t="str">
        <f t="shared" si="180"/>
        <v>-</v>
      </c>
      <c r="Z128" s="9" t="s">
        <v>0</v>
      </c>
      <c r="AA128" s="9" t="str">
        <f t="shared" si="181"/>
        <v>-</v>
      </c>
      <c r="AB128" s="9" t="s">
        <v>0</v>
      </c>
      <c r="AC128" s="9" t="str">
        <f t="shared" si="182"/>
        <v>-</v>
      </c>
      <c r="AD128" s="9" t="s">
        <v>0</v>
      </c>
      <c r="AE128" s="9" t="str">
        <f t="shared" si="183"/>
        <v>-</v>
      </c>
      <c r="AF128" s="9" t="s">
        <v>0</v>
      </c>
      <c r="AG128" s="9" t="s">
        <v>0</v>
      </c>
      <c r="AH128" s="9" t="s">
        <v>0</v>
      </c>
      <c r="AI128" s="9" t="s">
        <v>0</v>
      </c>
      <c r="AJ128" s="43" t="s">
        <v>0</v>
      </c>
      <c r="AK128" s="9" t="s">
        <v>0</v>
      </c>
      <c r="AL128" s="43" t="s">
        <v>0</v>
      </c>
      <c r="AM128" s="9" t="s">
        <v>0</v>
      </c>
      <c r="AN128" s="43" t="s">
        <v>0</v>
      </c>
      <c r="AO128" s="9" t="s">
        <v>0</v>
      </c>
      <c r="AP128" s="9" t="s">
        <v>0</v>
      </c>
      <c r="AQ128" s="43" t="s">
        <v>0</v>
      </c>
      <c r="AR128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28" s="9" t="str">
        <f t="shared" si="184"/>
        <v>-</v>
      </c>
      <c r="AT128" s="9">
        <f>IF(RIGHT(TKA[[#This Row],[Device type]],7)="Winding","-",TKA[[#This Row],[Cont Winter MVA]])</f>
        <v>5.715767664977295</v>
      </c>
      <c r="AU128" s="9">
        <f>IF(RIGHT(TKA[[#This Row],[Device type]],7)="Winding","-",TKA[[#This Row],[Cont Shoulder MVA]])</f>
        <v>5.715767664977295</v>
      </c>
      <c r="AV128" s="9">
        <f>IF(RIGHT(TKA[[#This Row],[Device type]],7)="Winding","-",TKA[[#This Row],[Cont Summer MVA]])</f>
        <v>5.715767664977295</v>
      </c>
      <c r="AW128" s="9" t="str">
        <f>TKA[[#This Row],[24 Hr Winter MVA]]</f>
        <v>-</v>
      </c>
      <c r="AX128" s="9" t="str">
        <f>TKA[[#This Row],[24 Hr Summer MVA]]</f>
        <v>-</v>
      </c>
      <c r="AY128" s="9" t="str">
        <f>TKA[[#This Row],[Forwards MVA]]</f>
        <v>-</v>
      </c>
      <c r="AZ128" s="9" t="str">
        <f>TKA[[#This Row],[Relay MVA]]</f>
        <v>-</v>
      </c>
      <c r="BA128" s="9" t="str">
        <f>TKA[[#This Row],[CT MVA]]</f>
        <v>-</v>
      </c>
      <c r="BB128" s="9" t="str">
        <f>TKA[[#This Row],[Derating MVA]]</f>
        <v>-</v>
      </c>
      <c r="BC128" s="9" t="str">
        <f>TKA[[#This Row],[Station/Feeder]]&amp;TKA[[#This Row],[Lowest MVA]]</f>
        <v>HLB5.7157676649773</v>
      </c>
      <c r="BD128" s="9" t="str">
        <f>CONCATENATE(TKA[[#This Row],[Supply Level]],TKA[[#This Row],[Station/Feeder]],TKA[[#This Row],[Voltage]],TKA[[#This Row],[Lowest A-No PTX]])</f>
        <v>SecondarySubstationHLB11300</v>
      </c>
      <c r="BE128" s="9" t="str">
        <f>CONCATENATE(TKA[[#This Row],[Supply Level]],TKA[[#This Row],[Station/Feeder]],TKA[[#This Row],[Voltage]],TKA[[#This Row],[Lowest A-PTX]])</f>
        <v>SecondarySubstationHLB11300</v>
      </c>
      <c r="BF128" s="9">
        <f>IF(MIN(TKA[[#This Row],[Summ Cont Winter A]]:TKA[[#This Row],[Cable Derating]])=0,"",MIN(TKA[[#This Row],[Summ Cont Winter A]]:TKA[[#This Row],[Cable Derating]]))</f>
        <v>5.715767664977295</v>
      </c>
      <c r="BG128" s="9">
        <f>IFERROR(TKA[[#This Row],[Lowest MVA]]*1000/(TKA[[#This Row],[Voltage]]*SQRT(3)),"")</f>
        <v>300</v>
      </c>
      <c r="BH128" s="9">
        <f t="shared" si="185"/>
        <v>300</v>
      </c>
      <c r="BI128" s="9" t="str">
        <f>TKA[[#This Row],[From]]</f>
        <v>Pole 14150</v>
      </c>
      <c r="BJ128" s="9" t="str">
        <f>TKA[[#This Row],[To]]</f>
        <v>TX E117</v>
      </c>
      <c r="BK128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Link-M81</v>
      </c>
      <c r="BL128" s="9">
        <f>TKA[[#This Row],[Voltage]]</f>
        <v>11</v>
      </c>
    </row>
    <row r="129" spans="1:64" s="1" customFormat="1" ht="15" customHeight="1" x14ac:dyDescent="0.25">
      <c r="A129" s="6" t="str">
        <f>CONCATENATE(TKA[[#This Row],[Supply Level]],TKA[[#This Row],[Station/Feeder]],TKA[[#This Row],[Voltage]])</f>
        <v>SecondarySubstationHLB11</v>
      </c>
      <c r="B129" s="6" t="str">
        <f>CONCATENATE(TKA[[#This Row],[Supply Level]],TKA[[#This Row],[Station/Feeder]],TKA[[#This Row],[Equipment ID]],TKA[[#This Row],[Voltage]],TKA[[#This Row],[Device type]])</f>
        <v>SecondarySubstationHLBM8211Protection</v>
      </c>
      <c r="C129" s="6" t="s">
        <v>1277</v>
      </c>
      <c r="D129" s="6" t="s">
        <v>164</v>
      </c>
      <c r="E129" s="7" t="s">
        <v>423</v>
      </c>
      <c r="F129" s="7" t="s">
        <v>437</v>
      </c>
      <c r="G129" s="57">
        <v>2</v>
      </c>
      <c r="H129" s="46" t="s">
        <v>273</v>
      </c>
      <c r="I129" s="46" t="s">
        <v>432</v>
      </c>
      <c r="J129" s="46" t="s">
        <v>394</v>
      </c>
      <c r="K129" s="46" t="s">
        <v>1122</v>
      </c>
      <c r="L129" s="7" t="s">
        <v>1423</v>
      </c>
      <c r="M129" s="57">
        <v>11</v>
      </c>
      <c r="N129" s="9">
        <v>630</v>
      </c>
      <c r="O129" s="9">
        <f t="shared" si="175"/>
        <v>12.00311209645232</v>
      </c>
      <c r="P129" s="9">
        <v>630</v>
      </c>
      <c r="Q129" s="9">
        <f t="shared" si="176"/>
        <v>12.00311209645232</v>
      </c>
      <c r="R129" s="9">
        <v>630</v>
      </c>
      <c r="S129" s="9">
        <f t="shared" si="177"/>
        <v>12.00311209645232</v>
      </c>
      <c r="T129" s="9" t="s">
        <v>0</v>
      </c>
      <c r="U129" s="9" t="str">
        <f t="shared" si="178"/>
        <v>-</v>
      </c>
      <c r="V129" s="9" t="s">
        <v>0</v>
      </c>
      <c r="W129" s="9" t="str">
        <f t="shared" si="179"/>
        <v>-</v>
      </c>
      <c r="X129" s="9">
        <v>60</v>
      </c>
      <c r="Y129" s="9">
        <f t="shared" si="180"/>
        <v>1.143153532995459</v>
      </c>
      <c r="Z129" s="9">
        <v>60</v>
      </c>
      <c r="AA129" s="9">
        <f t="shared" si="181"/>
        <v>1.143153532995459</v>
      </c>
      <c r="AB129" s="9" t="s">
        <v>0</v>
      </c>
      <c r="AC129" s="9" t="str">
        <f t="shared" si="182"/>
        <v>-</v>
      </c>
      <c r="AD129" s="9" t="s">
        <v>0</v>
      </c>
      <c r="AE129" s="9" t="str">
        <f t="shared" si="183"/>
        <v>-</v>
      </c>
      <c r="AF129" s="9" t="s">
        <v>0</v>
      </c>
      <c r="AG129" s="9" t="s">
        <v>0</v>
      </c>
      <c r="AH129" s="9" t="s">
        <v>0</v>
      </c>
      <c r="AI129" s="9" t="s">
        <v>0</v>
      </c>
      <c r="AJ129" s="43" t="s">
        <v>0</v>
      </c>
      <c r="AK129" s="9" t="s">
        <v>0</v>
      </c>
      <c r="AL129" s="43" t="s">
        <v>0</v>
      </c>
      <c r="AM129" s="9" t="s">
        <v>0</v>
      </c>
      <c r="AN129" s="43" t="s">
        <v>0</v>
      </c>
      <c r="AO129" s="9" t="s">
        <v>0</v>
      </c>
      <c r="AP129" s="9" t="s">
        <v>0</v>
      </c>
      <c r="AQ129" s="43" t="s">
        <v>0</v>
      </c>
      <c r="AR129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29" s="9" t="str">
        <f t="shared" si="184"/>
        <v>-</v>
      </c>
      <c r="AT129" s="9">
        <f>IF(RIGHT(TKA[[#This Row],[Device type]],7)="Winding","-",TKA[[#This Row],[Cont Winter MVA]])</f>
        <v>12.00311209645232</v>
      </c>
      <c r="AU129" s="9">
        <f>IF(RIGHT(TKA[[#This Row],[Device type]],7)="Winding","-",TKA[[#This Row],[Cont Shoulder MVA]])</f>
        <v>12.00311209645232</v>
      </c>
      <c r="AV129" s="9">
        <f>IF(RIGHT(TKA[[#This Row],[Device type]],7)="Winding","-",TKA[[#This Row],[Cont Summer MVA]])</f>
        <v>12.00311209645232</v>
      </c>
      <c r="AW129" s="9" t="str">
        <f>TKA[[#This Row],[24 Hr Winter MVA]]</f>
        <v>-</v>
      </c>
      <c r="AX129" s="9" t="str">
        <f>TKA[[#This Row],[24 Hr Summer MVA]]</f>
        <v>-</v>
      </c>
      <c r="AY129" s="9">
        <f>TKA[[#This Row],[Forwards MVA]]</f>
        <v>1.143153532995459</v>
      </c>
      <c r="AZ129" s="9" t="str">
        <f>TKA[[#This Row],[Relay MVA]]</f>
        <v>-</v>
      </c>
      <c r="BA129" s="9" t="str">
        <f>TKA[[#This Row],[CT MVA]]</f>
        <v>-</v>
      </c>
      <c r="BB129" s="9" t="str">
        <f>TKA[[#This Row],[Derating MVA]]</f>
        <v>-</v>
      </c>
      <c r="BC129" s="9" t="str">
        <f>TKA[[#This Row],[Station/Feeder]]&amp;TKA[[#This Row],[Lowest MVA]]</f>
        <v>HLB1.14315353299546</v>
      </c>
      <c r="BD129" s="9" t="str">
        <f>CONCATENATE(TKA[[#This Row],[Supply Level]],TKA[[#This Row],[Station/Feeder]],TKA[[#This Row],[Voltage]],TKA[[#This Row],[Lowest A-No PTX]])</f>
        <v>SecondarySubstationHLB1160</v>
      </c>
      <c r="BE129" s="9" t="str">
        <f>CONCATENATE(TKA[[#This Row],[Supply Level]],TKA[[#This Row],[Station/Feeder]],TKA[[#This Row],[Voltage]],TKA[[#This Row],[Lowest A-PTX]])</f>
        <v>SecondarySubstationHLB1160</v>
      </c>
      <c r="BF129" s="9">
        <f>IF(MIN(TKA[[#This Row],[Summ Cont Winter A]]:TKA[[#This Row],[Cable Derating]])=0,"",MIN(TKA[[#This Row],[Summ Cont Winter A]]:TKA[[#This Row],[Cable Derating]]))</f>
        <v>1.143153532995459</v>
      </c>
      <c r="BG129" s="9">
        <f>IFERROR(TKA[[#This Row],[Lowest MVA]]*1000/(TKA[[#This Row],[Voltage]]*SQRT(3)),"")</f>
        <v>60.000000000000007</v>
      </c>
      <c r="BH129" s="9">
        <f t="shared" si="185"/>
        <v>60</v>
      </c>
      <c r="BI129" s="9" t="str">
        <f>TKA[[#This Row],[From]]</f>
        <v>Pole 14150</v>
      </c>
      <c r="BJ129" s="9" t="str">
        <f>TKA[[#This Row],[To]]</f>
        <v>TX E117</v>
      </c>
      <c r="BK129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Recloser-M82-Protection</v>
      </c>
      <c r="BL129" s="9">
        <f>TKA[[#This Row],[Voltage]]</f>
        <v>11</v>
      </c>
    </row>
    <row r="130" spans="1:64" s="1" customFormat="1" ht="15" customHeight="1" x14ac:dyDescent="0.25">
      <c r="A130" s="6" t="str">
        <f>CONCATENATE(TKA[[#This Row],[Supply Level]],TKA[[#This Row],[Station/Feeder]],TKA[[#This Row],[Voltage]])</f>
        <v>SecondarySubstationHLB11</v>
      </c>
      <c r="B130" s="6" t="str">
        <f>CONCATENATE(TKA[[#This Row],[Supply Level]],TKA[[#This Row],[Station/Feeder]],TKA[[#This Row],[Equipment ID]],TKA[[#This Row],[Voltage]],TKA[[#This Row],[Device type]])</f>
        <v>SecondarySubstationHLBM8311-</v>
      </c>
      <c r="C130" s="6" t="s">
        <v>1277</v>
      </c>
      <c r="D130" s="6" t="s">
        <v>164</v>
      </c>
      <c r="E130" s="7" t="s">
        <v>423</v>
      </c>
      <c r="F130" s="7" t="s">
        <v>437</v>
      </c>
      <c r="G130" s="57">
        <v>3</v>
      </c>
      <c r="H130" s="46" t="s">
        <v>273</v>
      </c>
      <c r="I130" s="46" t="s">
        <v>433</v>
      </c>
      <c r="J130" s="46" t="s">
        <v>249</v>
      </c>
      <c r="K130" s="46" t="s">
        <v>0</v>
      </c>
      <c r="L130" s="46" t="s">
        <v>0</v>
      </c>
      <c r="M130" s="57">
        <v>11</v>
      </c>
      <c r="N130" s="9">
        <v>300</v>
      </c>
      <c r="O130" s="9">
        <f t="shared" si="175"/>
        <v>5.715767664977295</v>
      </c>
      <c r="P130" s="9">
        <v>300</v>
      </c>
      <c r="Q130" s="9">
        <f t="shared" si="176"/>
        <v>5.715767664977295</v>
      </c>
      <c r="R130" s="9">
        <v>300</v>
      </c>
      <c r="S130" s="9">
        <f t="shared" si="177"/>
        <v>5.715767664977295</v>
      </c>
      <c r="T130" s="9" t="s">
        <v>0</v>
      </c>
      <c r="U130" s="9" t="str">
        <f t="shared" si="178"/>
        <v>-</v>
      </c>
      <c r="V130" s="9" t="s">
        <v>0</v>
      </c>
      <c r="W130" s="9" t="str">
        <f t="shared" si="179"/>
        <v>-</v>
      </c>
      <c r="X130" s="9" t="s">
        <v>0</v>
      </c>
      <c r="Y130" s="9" t="str">
        <f t="shared" si="180"/>
        <v>-</v>
      </c>
      <c r="Z130" s="9" t="s">
        <v>0</v>
      </c>
      <c r="AA130" s="9" t="str">
        <f t="shared" si="181"/>
        <v>-</v>
      </c>
      <c r="AB130" s="9" t="s">
        <v>0</v>
      </c>
      <c r="AC130" s="9" t="str">
        <f t="shared" si="182"/>
        <v>-</v>
      </c>
      <c r="AD130" s="9" t="s">
        <v>0</v>
      </c>
      <c r="AE130" s="9" t="str">
        <f t="shared" si="183"/>
        <v>-</v>
      </c>
      <c r="AF130" s="9" t="s">
        <v>0</v>
      </c>
      <c r="AG130" s="9" t="s">
        <v>0</v>
      </c>
      <c r="AH130" s="9" t="s">
        <v>0</v>
      </c>
      <c r="AI130" s="9" t="s">
        <v>0</v>
      </c>
      <c r="AJ130" s="43" t="s">
        <v>0</v>
      </c>
      <c r="AK130" s="9" t="s">
        <v>0</v>
      </c>
      <c r="AL130" s="43" t="s">
        <v>0</v>
      </c>
      <c r="AM130" s="9" t="s">
        <v>0</v>
      </c>
      <c r="AN130" s="43" t="s">
        <v>0</v>
      </c>
      <c r="AO130" s="9" t="s">
        <v>0</v>
      </c>
      <c r="AP130" s="9" t="s">
        <v>0</v>
      </c>
      <c r="AQ130" s="43" t="s">
        <v>0</v>
      </c>
      <c r="AR130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30" s="9" t="str">
        <f t="shared" si="184"/>
        <v>-</v>
      </c>
      <c r="AT130" s="9">
        <f>IF(RIGHT(TKA[[#This Row],[Device type]],7)="Winding","-",TKA[[#This Row],[Cont Winter MVA]])</f>
        <v>5.715767664977295</v>
      </c>
      <c r="AU130" s="9">
        <f>IF(RIGHT(TKA[[#This Row],[Device type]],7)="Winding","-",TKA[[#This Row],[Cont Shoulder MVA]])</f>
        <v>5.715767664977295</v>
      </c>
      <c r="AV130" s="9">
        <f>IF(RIGHT(TKA[[#This Row],[Device type]],7)="Winding","-",TKA[[#This Row],[Cont Summer MVA]])</f>
        <v>5.715767664977295</v>
      </c>
      <c r="AW130" s="9" t="str">
        <f>TKA[[#This Row],[24 Hr Winter MVA]]</f>
        <v>-</v>
      </c>
      <c r="AX130" s="9" t="str">
        <f>TKA[[#This Row],[24 Hr Summer MVA]]</f>
        <v>-</v>
      </c>
      <c r="AY130" s="9" t="str">
        <f>TKA[[#This Row],[Forwards MVA]]</f>
        <v>-</v>
      </c>
      <c r="AZ130" s="9" t="str">
        <f>TKA[[#This Row],[Relay MVA]]</f>
        <v>-</v>
      </c>
      <c r="BA130" s="9" t="str">
        <f>TKA[[#This Row],[CT MVA]]</f>
        <v>-</v>
      </c>
      <c r="BB130" s="9" t="str">
        <f>TKA[[#This Row],[Derating MVA]]</f>
        <v>-</v>
      </c>
      <c r="BC130" s="9" t="str">
        <f>TKA[[#This Row],[Station/Feeder]]&amp;TKA[[#This Row],[Lowest MVA]]</f>
        <v>HLB5.7157676649773</v>
      </c>
      <c r="BD130" s="9" t="str">
        <f>CONCATENATE(TKA[[#This Row],[Supply Level]],TKA[[#This Row],[Station/Feeder]],TKA[[#This Row],[Voltage]],TKA[[#This Row],[Lowest A-No PTX]])</f>
        <v>SecondarySubstationHLB11300</v>
      </c>
      <c r="BE130" s="9" t="str">
        <f>CONCATENATE(TKA[[#This Row],[Supply Level]],TKA[[#This Row],[Station/Feeder]],TKA[[#This Row],[Voltage]],TKA[[#This Row],[Lowest A-PTX]])</f>
        <v>SecondarySubstationHLB11300</v>
      </c>
      <c r="BF130" s="9">
        <f>IF(MIN(TKA[[#This Row],[Summ Cont Winter A]]:TKA[[#This Row],[Cable Derating]])=0,"",MIN(TKA[[#This Row],[Summ Cont Winter A]]:TKA[[#This Row],[Cable Derating]]))</f>
        <v>5.715767664977295</v>
      </c>
      <c r="BG130" s="9">
        <f>IFERROR(TKA[[#This Row],[Lowest MVA]]*1000/(TKA[[#This Row],[Voltage]]*SQRT(3)),"")</f>
        <v>300</v>
      </c>
      <c r="BH130" s="9">
        <f t="shared" si="185"/>
        <v>300</v>
      </c>
      <c r="BI130" s="9" t="str">
        <f>TKA[[#This Row],[From]]</f>
        <v>Pole 14150</v>
      </c>
      <c r="BJ130" s="9" t="str">
        <f>TKA[[#This Row],[To]]</f>
        <v>TX E117</v>
      </c>
      <c r="BK130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Link-M83</v>
      </c>
      <c r="BL130" s="9">
        <f>TKA[[#This Row],[Voltage]]</f>
        <v>11</v>
      </c>
    </row>
    <row r="131" spans="1:64" s="1" customFormat="1" ht="15" customHeight="1" x14ac:dyDescent="0.25">
      <c r="A131" s="6" t="str">
        <f>CONCATENATE(TKA[[#This Row],[Supply Level]],TKA[[#This Row],[Station/Feeder]],TKA[[#This Row],[Voltage]])</f>
        <v>SecondarySubstationHLB11</v>
      </c>
      <c r="B131" s="6" t="str">
        <f>CONCATENATE(TKA[[#This Row],[Supply Level]],TKA[[#This Row],[Station/Feeder]],TKA[[#This Row],[Equipment ID]],TKA[[#This Row],[Voltage]],TKA[[#This Row],[Device type]])</f>
        <v>SecondarySubstationHLBE11711LV Winding</v>
      </c>
      <c r="C131" s="6" t="s">
        <v>1277</v>
      </c>
      <c r="D131" s="6" t="s">
        <v>164</v>
      </c>
      <c r="E131" s="7" t="s">
        <v>423</v>
      </c>
      <c r="F131" s="7" t="s">
        <v>437</v>
      </c>
      <c r="G131" s="57">
        <v>4</v>
      </c>
      <c r="H131" s="46" t="s">
        <v>275</v>
      </c>
      <c r="I131" s="46" t="s">
        <v>430</v>
      </c>
      <c r="J131" s="46" t="s">
        <v>19</v>
      </c>
      <c r="K131" s="46" t="s">
        <v>0</v>
      </c>
      <c r="L131" s="46" t="s">
        <v>37</v>
      </c>
      <c r="M131" s="57">
        <v>11</v>
      </c>
      <c r="N131" s="9">
        <f>1*1000/(TKA[[#This Row],[Voltage]]*SQRT(3))</f>
        <v>52.4863881081478</v>
      </c>
      <c r="O131" s="9">
        <f t="shared" si="175"/>
        <v>1</v>
      </c>
      <c r="P131" s="9" t="s">
        <v>0</v>
      </c>
      <c r="Q131" s="9" t="str">
        <f t="shared" si="176"/>
        <v>-</v>
      </c>
      <c r="R131" s="9" t="s">
        <v>0</v>
      </c>
      <c r="S131" s="9" t="str">
        <f t="shared" si="177"/>
        <v>-</v>
      </c>
      <c r="T131" s="9" t="s">
        <v>0</v>
      </c>
      <c r="U131" s="9" t="str">
        <f t="shared" si="178"/>
        <v>-</v>
      </c>
      <c r="V131" s="9" t="s">
        <v>0</v>
      </c>
      <c r="W131" s="9" t="str">
        <f t="shared" si="179"/>
        <v>-</v>
      </c>
      <c r="X131" s="9" t="s">
        <v>0</v>
      </c>
      <c r="Y131" s="9" t="str">
        <f t="shared" si="180"/>
        <v>-</v>
      </c>
      <c r="Z131" s="9" t="s">
        <v>0</v>
      </c>
      <c r="AA131" s="9" t="str">
        <f t="shared" si="181"/>
        <v>-</v>
      </c>
      <c r="AB131" s="9" t="s">
        <v>0</v>
      </c>
      <c r="AC131" s="9" t="str">
        <f t="shared" si="182"/>
        <v>-</v>
      </c>
      <c r="AD131" s="9" t="s">
        <v>0</v>
      </c>
      <c r="AE131" s="9" t="str">
        <f t="shared" si="183"/>
        <v>-</v>
      </c>
      <c r="AF131" s="9" t="s">
        <v>0</v>
      </c>
      <c r="AG131" s="9" t="s">
        <v>0</v>
      </c>
      <c r="AH131" s="9" t="s">
        <v>0</v>
      </c>
      <c r="AI131" s="9" t="s">
        <v>0</v>
      </c>
      <c r="AJ131" s="43" t="s">
        <v>0</v>
      </c>
      <c r="AK131" s="9" t="s">
        <v>0</v>
      </c>
      <c r="AL131" s="43" t="s">
        <v>0</v>
      </c>
      <c r="AM131" s="9" t="s">
        <v>0</v>
      </c>
      <c r="AN131" s="43" t="s">
        <v>0</v>
      </c>
      <c r="AO131" s="9" t="s">
        <v>0</v>
      </c>
      <c r="AP131" s="9" t="s">
        <v>0</v>
      </c>
      <c r="AQ131" s="43" t="s">
        <v>0</v>
      </c>
      <c r="AR131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31" s="9" t="str">
        <f t="shared" si="184"/>
        <v>-</v>
      </c>
      <c r="AT131" s="9" t="str">
        <f>IF(RIGHT(TKA[[#This Row],[Device type]],7)="Winding","-",TKA[[#This Row],[Cont Winter MVA]])</f>
        <v>-</v>
      </c>
      <c r="AU131" s="9" t="str">
        <f>IF(RIGHT(TKA[[#This Row],[Device type]],7)="Winding","-",TKA[[#This Row],[Cont Shoulder MVA]])</f>
        <v>-</v>
      </c>
      <c r="AV131" s="9" t="str">
        <f>IF(RIGHT(TKA[[#This Row],[Device type]],7)="Winding","-",TKA[[#This Row],[Cont Summer MVA]])</f>
        <v>-</v>
      </c>
      <c r="AW131" s="9" t="str">
        <f>TKA[[#This Row],[24 Hr Winter MVA]]</f>
        <v>-</v>
      </c>
      <c r="AX131" s="9" t="str">
        <f>TKA[[#This Row],[24 Hr Summer MVA]]</f>
        <v>-</v>
      </c>
      <c r="AY131" s="9" t="str">
        <f>TKA[[#This Row],[Forwards MVA]]</f>
        <v>-</v>
      </c>
      <c r="AZ131" s="9" t="str">
        <f>TKA[[#This Row],[Relay MVA]]</f>
        <v>-</v>
      </c>
      <c r="BA131" s="9" t="str">
        <f>TKA[[#This Row],[CT MVA]]</f>
        <v>-</v>
      </c>
      <c r="BB131" s="9" t="str">
        <f>TKA[[#This Row],[Derating MVA]]</f>
        <v>-</v>
      </c>
      <c r="BC131" s="9" t="str">
        <f>TKA[[#This Row],[Station/Feeder]]&amp;TKA[[#This Row],[Lowest MVA]]</f>
        <v>HLB</v>
      </c>
      <c r="BD131" s="9" t="str">
        <f>CONCATENATE(TKA[[#This Row],[Supply Level]],TKA[[#This Row],[Station/Feeder]],TKA[[#This Row],[Voltage]],TKA[[#This Row],[Lowest A-No PTX]])</f>
        <v>SecondarySubstationHLB11</v>
      </c>
      <c r="BE131" s="9" t="str">
        <f>CONCATENATE(TKA[[#This Row],[Supply Level]],TKA[[#This Row],[Station/Feeder]],TKA[[#This Row],[Voltage]],TKA[[#This Row],[Lowest A-PTX]])</f>
        <v>SecondarySubstationHLB1152.4863881081478</v>
      </c>
      <c r="BF131" s="9" t="str">
        <f>IF(MIN(TKA[[#This Row],[Summ Cont Winter A]]:TKA[[#This Row],[Cable Derating]])=0,"",MIN(TKA[[#This Row],[Summ Cont Winter A]]:TKA[[#This Row],[Cable Derating]]))</f>
        <v/>
      </c>
      <c r="BG131" s="9" t="str">
        <f>IFERROR(TKA[[#This Row],[Lowest MVA]]*1000/(TKA[[#This Row],[Voltage]]*SQRT(3)),"")</f>
        <v/>
      </c>
      <c r="BH131" s="9">
        <f t="shared" si="185"/>
        <v>52.4863881081478</v>
      </c>
      <c r="BI131" s="9" t="str">
        <f>TKA[[#This Row],[From]]</f>
        <v>Pole 14150</v>
      </c>
      <c r="BJ131" s="9" t="str">
        <f>TKA[[#This Row],[To]]</f>
        <v>TX E117</v>
      </c>
      <c r="BK131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Transformer-E117-LV Winding</v>
      </c>
      <c r="BL131" s="9">
        <f>TKA[[#This Row],[Voltage]]</f>
        <v>11</v>
      </c>
    </row>
    <row r="132" spans="1:64" s="1" customFormat="1" ht="15" customHeight="1" x14ac:dyDescent="0.25">
      <c r="A132" s="6" t="str">
        <f>CONCATENATE(TKA[[#This Row],[Supply Level]],TKA[[#This Row],[Station/Feeder]],TKA[[#This Row],[Voltage]])</f>
        <v>SecondarySubstationHLB22</v>
      </c>
      <c r="B132" s="6" t="str">
        <f>CONCATENATE(TKA[[#This Row],[Supply Level]],TKA[[#This Row],[Station/Feeder]],TKA[[#This Row],[Equipment ID]],TKA[[#This Row],[Voltage]],TKA[[#This Row],[Device type]])</f>
        <v>SecondarySubstationHLBE11722HV Winding</v>
      </c>
      <c r="C132" s="6" t="s">
        <v>1277</v>
      </c>
      <c r="D132" s="6" t="s">
        <v>164</v>
      </c>
      <c r="E132" s="7" t="s">
        <v>423</v>
      </c>
      <c r="F132" s="7" t="s">
        <v>437</v>
      </c>
      <c r="G132" s="57">
        <v>5</v>
      </c>
      <c r="H132" s="46" t="s">
        <v>275</v>
      </c>
      <c r="I132" s="46" t="s">
        <v>430</v>
      </c>
      <c r="J132" s="46" t="s">
        <v>19</v>
      </c>
      <c r="K132" s="46" t="s">
        <v>0</v>
      </c>
      <c r="L132" s="46" t="s">
        <v>36</v>
      </c>
      <c r="M132" s="57">
        <v>22</v>
      </c>
      <c r="N132" s="9">
        <f>1*1000/(TKA[[#This Row],[Voltage]]*SQRT(3))</f>
        <v>26.2431940540739</v>
      </c>
      <c r="O132" s="9">
        <f t="shared" si="175"/>
        <v>1</v>
      </c>
      <c r="P132" s="9" t="s">
        <v>0</v>
      </c>
      <c r="Q132" s="9" t="str">
        <f t="shared" si="176"/>
        <v>-</v>
      </c>
      <c r="R132" s="9" t="s">
        <v>0</v>
      </c>
      <c r="S132" s="9" t="str">
        <f t="shared" si="177"/>
        <v>-</v>
      </c>
      <c r="T132" s="9" t="s">
        <v>0</v>
      </c>
      <c r="U132" s="9" t="str">
        <f t="shared" si="178"/>
        <v>-</v>
      </c>
      <c r="V132" s="9" t="s">
        <v>0</v>
      </c>
      <c r="W132" s="9" t="str">
        <f t="shared" si="179"/>
        <v>-</v>
      </c>
      <c r="X132" s="9" t="s">
        <v>0</v>
      </c>
      <c r="Y132" s="9" t="str">
        <f t="shared" si="180"/>
        <v>-</v>
      </c>
      <c r="Z132" s="9" t="s">
        <v>0</v>
      </c>
      <c r="AA132" s="9" t="str">
        <f t="shared" si="181"/>
        <v>-</v>
      </c>
      <c r="AB132" s="9" t="s">
        <v>0</v>
      </c>
      <c r="AC132" s="9" t="str">
        <f t="shared" si="182"/>
        <v>-</v>
      </c>
      <c r="AD132" s="9" t="s">
        <v>0</v>
      </c>
      <c r="AE132" s="9" t="str">
        <f t="shared" si="183"/>
        <v>-</v>
      </c>
      <c r="AF132" s="9" t="s">
        <v>0</v>
      </c>
      <c r="AG132" s="9" t="s">
        <v>0</v>
      </c>
      <c r="AH132" s="9" t="s">
        <v>0</v>
      </c>
      <c r="AI132" s="9" t="s">
        <v>0</v>
      </c>
      <c r="AJ132" s="43" t="s">
        <v>0</v>
      </c>
      <c r="AK132" s="9" t="s">
        <v>0</v>
      </c>
      <c r="AL132" s="43" t="s">
        <v>0</v>
      </c>
      <c r="AM132" s="9" t="s">
        <v>0</v>
      </c>
      <c r="AN132" s="43" t="s">
        <v>0</v>
      </c>
      <c r="AO132" s="9" t="s">
        <v>0</v>
      </c>
      <c r="AP132" s="9" t="s">
        <v>0</v>
      </c>
      <c r="AQ132" s="43" t="s">
        <v>0</v>
      </c>
      <c r="AR132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32" s="9" t="str">
        <f t="shared" si="184"/>
        <v>-</v>
      </c>
      <c r="AT132" s="9" t="str">
        <f>IF(RIGHT(TKA[[#This Row],[Device type]],7)="Winding","-",TKA[[#This Row],[Cont Winter MVA]])</f>
        <v>-</v>
      </c>
      <c r="AU132" s="9" t="str">
        <f>IF(RIGHT(TKA[[#This Row],[Device type]],7)="Winding","-",TKA[[#This Row],[Cont Shoulder MVA]])</f>
        <v>-</v>
      </c>
      <c r="AV132" s="9" t="str">
        <f>IF(RIGHT(TKA[[#This Row],[Device type]],7)="Winding","-",TKA[[#This Row],[Cont Summer MVA]])</f>
        <v>-</v>
      </c>
      <c r="AW132" s="9" t="str">
        <f>TKA[[#This Row],[24 Hr Winter MVA]]</f>
        <v>-</v>
      </c>
      <c r="AX132" s="9" t="str">
        <f>TKA[[#This Row],[24 Hr Summer MVA]]</f>
        <v>-</v>
      </c>
      <c r="AY132" s="9" t="str">
        <f>TKA[[#This Row],[Forwards MVA]]</f>
        <v>-</v>
      </c>
      <c r="AZ132" s="9" t="str">
        <f>TKA[[#This Row],[Relay MVA]]</f>
        <v>-</v>
      </c>
      <c r="BA132" s="9" t="str">
        <f>TKA[[#This Row],[CT MVA]]</f>
        <v>-</v>
      </c>
      <c r="BB132" s="9" t="str">
        <f>TKA[[#This Row],[Derating MVA]]</f>
        <v>-</v>
      </c>
      <c r="BC132" s="9" t="str">
        <f>TKA[[#This Row],[Station/Feeder]]&amp;TKA[[#This Row],[Lowest MVA]]</f>
        <v>HLB</v>
      </c>
      <c r="BD132" s="9" t="str">
        <f>CONCATENATE(TKA[[#This Row],[Supply Level]],TKA[[#This Row],[Station/Feeder]],TKA[[#This Row],[Voltage]],TKA[[#This Row],[Lowest A-No PTX]])</f>
        <v>SecondarySubstationHLB22</v>
      </c>
      <c r="BE132" s="9" t="str">
        <f>CONCATENATE(TKA[[#This Row],[Supply Level]],TKA[[#This Row],[Station/Feeder]],TKA[[#This Row],[Voltage]],TKA[[#This Row],[Lowest A-PTX]])</f>
        <v>SecondarySubstationHLB2226.2431940540739</v>
      </c>
      <c r="BF132" s="9" t="str">
        <f>IF(MIN(TKA[[#This Row],[Summ Cont Winter A]]:TKA[[#This Row],[Cable Derating]])=0,"",MIN(TKA[[#This Row],[Summ Cont Winter A]]:TKA[[#This Row],[Cable Derating]]))</f>
        <v/>
      </c>
      <c r="BG132" s="9" t="str">
        <f>IFERROR(TKA[[#This Row],[Lowest MVA]]*1000/(TKA[[#This Row],[Voltage]]*SQRT(3)),"")</f>
        <v/>
      </c>
      <c r="BH132" s="9">
        <f t="shared" si="185"/>
        <v>26.2431940540739</v>
      </c>
      <c r="BI132" s="9" t="str">
        <f>TKA[[#This Row],[From]]</f>
        <v>Pole 14150</v>
      </c>
      <c r="BJ132" s="9" t="str">
        <f>TKA[[#This Row],[To]]</f>
        <v>TX E117</v>
      </c>
      <c r="BK132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Transformer-E117-HV Winding</v>
      </c>
      <c r="BL132" s="9">
        <f>TKA[[#This Row],[Voltage]]</f>
        <v>22</v>
      </c>
    </row>
    <row r="133" spans="1:64" s="1" customFormat="1" ht="15" customHeight="1" x14ac:dyDescent="0.25">
      <c r="A133" s="6" t="str">
        <f>CONCATENATE(TKA[[#This Row],[Supply Level]],TKA[[#This Row],[Station/Feeder]],TKA[[#This Row],[Voltage]])</f>
        <v>SecondarySubstationHLB22</v>
      </c>
      <c r="B133" s="6" t="str">
        <f>CONCATENATE(TKA[[#This Row],[Supply Level]],TKA[[#This Row],[Station/Feeder]],TKA[[#This Row],[Equipment ID]],TKA[[#This Row],[Voltage]],TKA[[#This Row],[Device type]])</f>
        <v>SecondarySubstationHLBM8522-</v>
      </c>
      <c r="C133" s="6" t="s">
        <v>1277</v>
      </c>
      <c r="D133" s="6" t="s">
        <v>164</v>
      </c>
      <c r="E133" s="7" t="s">
        <v>437</v>
      </c>
      <c r="F133" s="7" t="s">
        <v>426</v>
      </c>
      <c r="G133" s="57">
        <v>6</v>
      </c>
      <c r="H133" s="46" t="s">
        <v>273</v>
      </c>
      <c r="I133" s="46" t="s">
        <v>434</v>
      </c>
      <c r="J133" s="46" t="s">
        <v>249</v>
      </c>
      <c r="K133" s="46" t="s">
        <v>0</v>
      </c>
      <c r="L133" s="46" t="s">
        <v>0</v>
      </c>
      <c r="M133" s="57">
        <v>22</v>
      </c>
      <c r="N133" s="9">
        <v>300</v>
      </c>
      <c r="O133" s="9">
        <f t="shared" si="175"/>
        <v>11.43153532995459</v>
      </c>
      <c r="P133" s="9">
        <v>300</v>
      </c>
      <c r="Q133" s="9">
        <f t="shared" si="176"/>
        <v>11.43153532995459</v>
      </c>
      <c r="R133" s="9">
        <v>300</v>
      </c>
      <c r="S133" s="9">
        <f t="shared" si="177"/>
        <v>11.43153532995459</v>
      </c>
      <c r="T133" s="9" t="s">
        <v>0</v>
      </c>
      <c r="U133" s="9" t="str">
        <f t="shared" si="178"/>
        <v>-</v>
      </c>
      <c r="V133" s="9" t="s">
        <v>0</v>
      </c>
      <c r="W133" s="9" t="str">
        <f t="shared" si="179"/>
        <v>-</v>
      </c>
      <c r="X133" s="9" t="s">
        <v>0</v>
      </c>
      <c r="Y133" s="9" t="str">
        <f t="shared" si="180"/>
        <v>-</v>
      </c>
      <c r="Z133" s="9" t="s">
        <v>0</v>
      </c>
      <c r="AA133" s="9" t="str">
        <f t="shared" si="181"/>
        <v>-</v>
      </c>
      <c r="AB133" s="9" t="s">
        <v>0</v>
      </c>
      <c r="AC133" s="9" t="str">
        <f t="shared" si="182"/>
        <v>-</v>
      </c>
      <c r="AD133" s="9" t="s">
        <v>0</v>
      </c>
      <c r="AE133" s="9" t="str">
        <f t="shared" si="183"/>
        <v>-</v>
      </c>
      <c r="AF133" s="9" t="s">
        <v>0</v>
      </c>
      <c r="AG133" s="9" t="s">
        <v>0</v>
      </c>
      <c r="AH133" s="9" t="s">
        <v>0</v>
      </c>
      <c r="AI133" s="9" t="s">
        <v>0</v>
      </c>
      <c r="AJ133" s="43" t="s">
        <v>0</v>
      </c>
      <c r="AK133" s="9" t="s">
        <v>0</v>
      </c>
      <c r="AL133" s="43" t="s">
        <v>0</v>
      </c>
      <c r="AM133" s="9" t="s">
        <v>0</v>
      </c>
      <c r="AN133" s="43" t="s">
        <v>0</v>
      </c>
      <c r="AO133" s="9" t="s">
        <v>0</v>
      </c>
      <c r="AP133" s="9" t="s">
        <v>0</v>
      </c>
      <c r="AQ133" s="43" t="s">
        <v>0</v>
      </c>
      <c r="AR133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33" s="9" t="str">
        <f t="shared" si="184"/>
        <v>-</v>
      </c>
      <c r="AT133" s="9">
        <f>IF(RIGHT(TKA[[#This Row],[Device type]],7)="Winding","-",TKA[[#This Row],[Cont Winter MVA]])</f>
        <v>11.43153532995459</v>
      </c>
      <c r="AU133" s="9">
        <f>IF(RIGHT(TKA[[#This Row],[Device type]],7)="Winding","-",TKA[[#This Row],[Cont Shoulder MVA]])</f>
        <v>11.43153532995459</v>
      </c>
      <c r="AV133" s="9">
        <f>IF(RIGHT(TKA[[#This Row],[Device type]],7)="Winding","-",TKA[[#This Row],[Cont Summer MVA]])</f>
        <v>11.43153532995459</v>
      </c>
      <c r="AW133" s="9" t="str">
        <f>TKA[[#This Row],[24 Hr Winter MVA]]</f>
        <v>-</v>
      </c>
      <c r="AX133" s="9" t="str">
        <f>TKA[[#This Row],[24 Hr Summer MVA]]</f>
        <v>-</v>
      </c>
      <c r="AY133" s="9" t="str">
        <f>TKA[[#This Row],[Forwards MVA]]</f>
        <v>-</v>
      </c>
      <c r="AZ133" s="9" t="str">
        <f>TKA[[#This Row],[Relay MVA]]</f>
        <v>-</v>
      </c>
      <c r="BA133" s="9" t="str">
        <f>TKA[[#This Row],[CT MVA]]</f>
        <v>-</v>
      </c>
      <c r="BB133" s="9" t="str">
        <f>TKA[[#This Row],[Derating MVA]]</f>
        <v>-</v>
      </c>
      <c r="BC133" s="9" t="str">
        <f>TKA[[#This Row],[Station/Feeder]]&amp;TKA[[#This Row],[Lowest MVA]]</f>
        <v>HLB11.4315353299546</v>
      </c>
      <c r="BD133" s="9" t="str">
        <f>CONCATENATE(TKA[[#This Row],[Supply Level]],TKA[[#This Row],[Station/Feeder]],TKA[[#This Row],[Voltage]],TKA[[#This Row],[Lowest A-No PTX]])</f>
        <v>SecondarySubstationHLB22300</v>
      </c>
      <c r="BE133" s="9" t="str">
        <f>CONCATENATE(TKA[[#This Row],[Supply Level]],TKA[[#This Row],[Station/Feeder]],TKA[[#This Row],[Voltage]],TKA[[#This Row],[Lowest A-PTX]])</f>
        <v>SecondarySubstationHLB22300</v>
      </c>
      <c r="BF133" s="9">
        <f>IF(MIN(TKA[[#This Row],[Summ Cont Winter A]]:TKA[[#This Row],[Cable Derating]])=0,"",MIN(TKA[[#This Row],[Summ Cont Winter A]]:TKA[[#This Row],[Cable Derating]]))</f>
        <v>11.43153532995459</v>
      </c>
      <c r="BG133" s="9">
        <f>IFERROR(TKA[[#This Row],[Lowest MVA]]*1000/(TKA[[#This Row],[Voltage]]*SQRT(3)),"")</f>
        <v>300</v>
      </c>
      <c r="BH133" s="9">
        <f t="shared" si="185"/>
        <v>300</v>
      </c>
      <c r="BI133" s="9" t="str">
        <f>TKA[[#This Row],[From]]</f>
        <v>TX E117</v>
      </c>
      <c r="BJ133" s="9" t="str">
        <f>TKA[[#This Row],[To]]</f>
        <v>Pole 51596</v>
      </c>
      <c r="BK133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Link-M85</v>
      </c>
      <c r="BL133" s="9">
        <f>TKA[[#This Row],[Voltage]]</f>
        <v>22</v>
      </c>
    </row>
    <row r="134" spans="1:64" s="1" customFormat="1" ht="15" customHeight="1" x14ac:dyDescent="0.25">
      <c r="A134" s="6" t="str">
        <f>CONCATENATE(TKA[[#This Row],[Supply Level]],TKA[[#This Row],[Station/Feeder]],TKA[[#This Row],[Voltage]])</f>
        <v>SecondarySubstationHLB22</v>
      </c>
      <c r="B134" s="6" t="str">
        <f>CONCATENATE(TKA[[#This Row],[Supply Level]],TKA[[#This Row],[Station/Feeder]],TKA[[#This Row],[Equipment ID]],TKA[[#This Row],[Voltage]],TKA[[#This Row],[Device type]])</f>
        <v>SecondarySubstationHLBM8622Protection</v>
      </c>
      <c r="C134" s="6" t="s">
        <v>1277</v>
      </c>
      <c r="D134" s="6" t="s">
        <v>164</v>
      </c>
      <c r="E134" s="7" t="s">
        <v>437</v>
      </c>
      <c r="F134" s="7" t="s">
        <v>426</v>
      </c>
      <c r="G134" s="57">
        <v>7</v>
      </c>
      <c r="H134" s="46" t="s">
        <v>273</v>
      </c>
      <c r="I134" s="46" t="s">
        <v>435</v>
      </c>
      <c r="J134" s="46" t="s">
        <v>394</v>
      </c>
      <c r="K134" s="46" t="s">
        <v>1122</v>
      </c>
      <c r="L134" s="7" t="s">
        <v>1423</v>
      </c>
      <c r="M134" s="57">
        <v>22</v>
      </c>
      <c r="N134" s="9" t="s">
        <v>0</v>
      </c>
      <c r="O134" s="9" t="str">
        <f t="shared" si="175"/>
        <v>-</v>
      </c>
      <c r="P134" s="9" t="s">
        <v>0</v>
      </c>
      <c r="Q134" s="9" t="str">
        <f t="shared" si="176"/>
        <v>-</v>
      </c>
      <c r="R134" s="9" t="s">
        <v>0</v>
      </c>
      <c r="S134" s="9" t="str">
        <f t="shared" si="177"/>
        <v>-</v>
      </c>
      <c r="T134" s="9" t="s">
        <v>0</v>
      </c>
      <c r="U134" s="9" t="str">
        <f t="shared" si="178"/>
        <v>-</v>
      </c>
      <c r="V134" s="9" t="s">
        <v>0</v>
      </c>
      <c r="W134" s="9" t="str">
        <f t="shared" si="179"/>
        <v>-</v>
      </c>
      <c r="X134" s="9">
        <v>30</v>
      </c>
      <c r="Y134" s="9">
        <f t="shared" si="180"/>
        <v>1.143153532995459</v>
      </c>
      <c r="Z134" s="9">
        <v>30</v>
      </c>
      <c r="AA134" s="9">
        <f t="shared" si="181"/>
        <v>1.143153532995459</v>
      </c>
      <c r="AB134" s="9" t="s">
        <v>0</v>
      </c>
      <c r="AC134" s="9" t="str">
        <f t="shared" si="182"/>
        <v>-</v>
      </c>
      <c r="AD134" s="9" t="s">
        <v>0</v>
      </c>
      <c r="AE134" s="9" t="str">
        <f t="shared" si="183"/>
        <v>-</v>
      </c>
      <c r="AF134" s="9" t="s">
        <v>0</v>
      </c>
      <c r="AG134" s="9" t="s">
        <v>0</v>
      </c>
      <c r="AH134" s="9" t="s">
        <v>0</v>
      </c>
      <c r="AI134" s="9" t="s">
        <v>0</v>
      </c>
      <c r="AJ134" s="43" t="s">
        <v>0</v>
      </c>
      <c r="AK134" s="9" t="s">
        <v>0</v>
      </c>
      <c r="AL134" s="43" t="s">
        <v>0</v>
      </c>
      <c r="AM134" s="9" t="s">
        <v>0</v>
      </c>
      <c r="AN134" s="43" t="s">
        <v>0</v>
      </c>
      <c r="AO134" s="9" t="s">
        <v>0</v>
      </c>
      <c r="AP134" s="9" t="s">
        <v>0</v>
      </c>
      <c r="AQ134" s="43" t="s">
        <v>0</v>
      </c>
      <c r="AR134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34" s="9" t="str">
        <f t="shared" si="184"/>
        <v>-</v>
      </c>
      <c r="AT134" s="9" t="str">
        <f>IF(RIGHT(TKA[[#This Row],[Device type]],7)="Winding","-",TKA[[#This Row],[Cont Winter MVA]])</f>
        <v>-</v>
      </c>
      <c r="AU134" s="9" t="str">
        <f>IF(RIGHT(TKA[[#This Row],[Device type]],7)="Winding","-",TKA[[#This Row],[Cont Shoulder MVA]])</f>
        <v>-</v>
      </c>
      <c r="AV134" s="9" t="str">
        <f>IF(RIGHT(TKA[[#This Row],[Device type]],7)="Winding","-",TKA[[#This Row],[Cont Summer MVA]])</f>
        <v>-</v>
      </c>
      <c r="AW134" s="9" t="str">
        <f>TKA[[#This Row],[24 Hr Winter MVA]]</f>
        <v>-</v>
      </c>
      <c r="AX134" s="9" t="str">
        <f>TKA[[#This Row],[24 Hr Summer MVA]]</f>
        <v>-</v>
      </c>
      <c r="AY134" s="9">
        <f>TKA[[#This Row],[Forwards MVA]]</f>
        <v>1.143153532995459</v>
      </c>
      <c r="AZ134" s="9" t="str">
        <f>TKA[[#This Row],[Relay MVA]]</f>
        <v>-</v>
      </c>
      <c r="BA134" s="9" t="str">
        <f>TKA[[#This Row],[CT MVA]]</f>
        <v>-</v>
      </c>
      <c r="BB134" s="9" t="str">
        <f>TKA[[#This Row],[Derating MVA]]</f>
        <v>-</v>
      </c>
      <c r="BC134" s="9" t="str">
        <f>TKA[[#This Row],[Station/Feeder]]&amp;TKA[[#This Row],[Lowest MVA]]</f>
        <v>HLB1.14315353299546</v>
      </c>
      <c r="BD134" s="9" t="str">
        <f>CONCATENATE(TKA[[#This Row],[Supply Level]],TKA[[#This Row],[Station/Feeder]],TKA[[#This Row],[Voltage]],TKA[[#This Row],[Lowest A-No PTX]])</f>
        <v>SecondarySubstationHLB2230</v>
      </c>
      <c r="BE134" s="9" t="str">
        <f>CONCATENATE(TKA[[#This Row],[Supply Level]],TKA[[#This Row],[Station/Feeder]],TKA[[#This Row],[Voltage]],TKA[[#This Row],[Lowest A-PTX]])</f>
        <v>SecondarySubstationHLB2230</v>
      </c>
      <c r="BF134" s="9">
        <f>IF(MIN(TKA[[#This Row],[Summ Cont Winter A]]:TKA[[#This Row],[Cable Derating]])=0,"",MIN(TKA[[#This Row],[Summ Cont Winter A]]:TKA[[#This Row],[Cable Derating]]))</f>
        <v>1.143153532995459</v>
      </c>
      <c r="BG134" s="9">
        <f>IFERROR(TKA[[#This Row],[Lowest MVA]]*1000/(TKA[[#This Row],[Voltage]]*SQRT(3)),"")</f>
        <v>30.000000000000004</v>
      </c>
      <c r="BH134" s="9">
        <f t="shared" si="185"/>
        <v>30</v>
      </c>
      <c r="BI134" s="9" t="str">
        <f>TKA[[#This Row],[From]]</f>
        <v>TX E117</v>
      </c>
      <c r="BJ134" s="9" t="str">
        <f>TKA[[#This Row],[To]]</f>
        <v>Pole 51596</v>
      </c>
      <c r="BK134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Recloser-M86-Protection</v>
      </c>
      <c r="BL134" s="9">
        <f>TKA[[#This Row],[Voltage]]</f>
        <v>22</v>
      </c>
    </row>
    <row r="135" spans="1:64" s="1" customFormat="1" ht="15" customHeight="1" x14ac:dyDescent="0.25">
      <c r="A135" s="6" t="str">
        <f>CONCATENATE(TKA[[#This Row],[Supply Level]],TKA[[#This Row],[Station/Feeder]],TKA[[#This Row],[Voltage]])</f>
        <v>SecondarySubstationHLB22</v>
      </c>
      <c r="B135" s="6" t="str">
        <f>CONCATENATE(TKA[[#This Row],[Supply Level]],TKA[[#This Row],[Station/Feeder]],TKA[[#This Row],[Equipment ID]],TKA[[#This Row],[Voltage]],TKA[[#This Row],[Device type]])</f>
        <v>SecondarySubstationHLBM8722-</v>
      </c>
      <c r="C135" s="6" t="s">
        <v>1277</v>
      </c>
      <c r="D135" s="6" t="s">
        <v>164</v>
      </c>
      <c r="E135" s="7" t="s">
        <v>437</v>
      </c>
      <c r="F135" s="7" t="s">
        <v>426</v>
      </c>
      <c r="G135" s="57">
        <v>8</v>
      </c>
      <c r="H135" s="46" t="s">
        <v>273</v>
      </c>
      <c r="I135" s="46" t="s">
        <v>436</v>
      </c>
      <c r="J135" s="46" t="s">
        <v>249</v>
      </c>
      <c r="K135" s="46" t="s">
        <v>0</v>
      </c>
      <c r="L135" s="46" t="s">
        <v>0</v>
      </c>
      <c r="M135" s="57">
        <v>22</v>
      </c>
      <c r="N135" s="9">
        <v>300</v>
      </c>
      <c r="O135" s="9">
        <f t="shared" si="175"/>
        <v>11.43153532995459</v>
      </c>
      <c r="P135" s="9">
        <v>300</v>
      </c>
      <c r="Q135" s="9">
        <f t="shared" si="176"/>
        <v>11.43153532995459</v>
      </c>
      <c r="R135" s="9">
        <v>300</v>
      </c>
      <c r="S135" s="9">
        <f t="shared" si="177"/>
        <v>11.43153532995459</v>
      </c>
      <c r="T135" s="9" t="s">
        <v>0</v>
      </c>
      <c r="U135" s="9" t="str">
        <f t="shared" si="178"/>
        <v>-</v>
      </c>
      <c r="V135" s="9" t="s">
        <v>0</v>
      </c>
      <c r="W135" s="9" t="str">
        <f t="shared" si="179"/>
        <v>-</v>
      </c>
      <c r="X135" s="9" t="s">
        <v>0</v>
      </c>
      <c r="Y135" s="9" t="str">
        <f t="shared" si="180"/>
        <v>-</v>
      </c>
      <c r="Z135" s="9" t="s">
        <v>0</v>
      </c>
      <c r="AA135" s="9" t="str">
        <f t="shared" si="181"/>
        <v>-</v>
      </c>
      <c r="AB135" s="9" t="s">
        <v>0</v>
      </c>
      <c r="AC135" s="9" t="str">
        <f t="shared" si="182"/>
        <v>-</v>
      </c>
      <c r="AD135" s="9" t="s">
        <v>0</v>
      </c>
      <c r="AE135" s="9" t="str">
        <f t="shared" si="183"/>
        <v>-</v>
      </c>
      <c r="AF135" s="9" t="s">
        <v>0</v>
      </c>
      <c r="AG135" s="9" t="s">
        <v>0</v>
      </c>
      <c r="AH135" s="9" t="s">
        <v>0</v>
      </c>
      <c r="AI135" s="9" t="s">
        <v>0</v>
      </c>
      <c r="AJ135" s="43" t="s">
        <v>0</v>
      </c>
      <c r="AK135" s="9" t="s">
        <v>0</v>
      </c>
      <c r="AL135" s="43" t="s">
        <v>0</v>
      </c>
      <c r="AM135" s="9" t="s">
        <v>0</v>
      </c>
      <c r="AN135" s="43" t="s">
        <v>0</v>
      </c>
      <c r="AO135" s="9" t="s">
        <v>0</v>
      </c>
      <c r="AP135" s="9" t="s">
        <v>0</v>
      </c>
      <c r="AQ135" s="43" t="s">
        <v>0</v>
      </c>
      <c r="AR135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35" s="9" t="str">
        <f t="shared" si="184"/>
        <v>-</v>
      </c>
      <c r="AT135" s="9">
        <f>IF(RIGHT(TKA[[#This Row],[Device type]],7)="Winding","-",TKA[[#This Row],[Cont Winter MVA]])</f>
        <v>11.43153532995459</v>
      </c>
      <c r="AU135" s="9">
        <f>IF(RIGHT(TKA[[#This Row],[Device type]],7)="Winding","-",TKA[[#This Row],[Cont Shoulder MVA]])</f>
        <v>11.43153532995459</v>
      </c>
      <c r="AV135" s="9">
        <f>IF(RIGHT(TKA[[#This Row],[Device type]],7)="Winding","-",TKA[[#This Row],[Cont Summer MVA]])</f>
        <v>11.43153532995459</v>
      </c>
      <c r="AW135" s="9" t="str">
        <f>TKA[[#This Row],[24 Hr Winter MVA]]</f>
        <v>-</v>
      </c>
      <c r="AX135" s="9" t="str">
        <f>TKA[[#This Row],[24 Hr Summer MVA]]</f>
        <v>-</v>
      </c>
      <c r="AY135" s="9" t="str">
        <f>TKA[[#This Row],[Forwards MVA]]</f>
        <v>-</v>
      </c>
      <c r="AZ135" s="9" t="str">
        <f>TKA[[#This Row],[Relay MVA]]</f>
        <v>-</v>
      </c>
      <c r="BA135" s="9" t="str">
        <f>TKA[[#This Row],[CT MVA]]</f>
        <v>-</v>
      </c>
      <c r="BB135" s="9" t="str">
        <f>TKA[[#This Row],[Derating MVA]]</f>
        <v>-</v>
      </c>
      <c r="BC135" s="9" t="str">
        <f>TKA[[#This Row],[Station/Feeder]]&amp;TKA[[#This Row],[Lowest MVA]]</f>
        <v>HLB11.4315353299546</v>
      </c>
      <c r="BD135" s="9" t="str">
        <f>CONCATENATE(TKA[[#This Row],[Supply Level]],TKA[[#This Row],[Station/Feeder]],TKA[[#This Row],[Voltage]],TKA[[#This Row],[Lowest A-No PTX]])</f>
        <v>SecondarySubstationHLB22300</v>
      </c>
      <c r="BE135" s="9" t="str">
        <f>CONCATENATE(TKA[[#This Row],[Supply Level]],TKA[[#This Row],[Station/Feeder]],TKA[[#This Row],[Voltage]],TKA[[#This Row],[Lowest A-PTX]])</f>
        <v>SecondarySubstationHLB22300</v>
      </c>
      <c r="BF135" s="9">
        <f>IF(MIN(TKA[[#This Row],[Summ Cont Winter A]]:TKA[[#This Row],[Cable Derating]])=0,"",MIN(TKA[[#This Row],[Summ Cont Winter A]]:TKA[[#This Row],[Cable Derating]]))</f>
        <v>11.43153532995459</v>
      </c>
      <c r="BG135" s="9">
        <f>IFERROR(TKA[[#This Row],[Lowest MVA]]*1000/(TKA[[#This Row],[Voltage]]*SQRT(3)),"")</f>
        <v>300</v>
      </c>
      <c r="BH135" s="9">
        <f t="shared" si="185"/>
        <v>300</v>
      </c>
      <c r="BI135" s="9" t="str">
        <f>TKA[[#This Row],[From]]</f>
        <v>TX E117</v>
      </c>
      <c r="BJ135" s="9" t="str">
        <f>TKA[[#This Row],[To]]</f>
        <v>Pole 51596</v>
      </c>
      <c r="BK135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Link-M87</v>
      </c>
      <c r="BL135" s="9">
        <f>TKA[[#This Row],[Voltage]]</f>
        <v>22</v>
      </c>
    </row>
    <row r="136" spans="1:64" s="1" customFormat="1" ht="15.75" customHeight="1" x14ac:dyDescent="0.25">
      <c r="A136" s="6" t="str">
        <f>CONCATENATE(TKA[[#This Row],[Supply Level]],TKA[[#This Row],[Station/Feeder]],TKA[[#This Row],[Voltage]])</f>
        <v>SecondarySubstationHLB22</v>
      </c>
      <c r="B136" s="6" t="str">
        <f>CONCATENATE(TKA[[#This Row],[Supply Level]],TKA[[#This Row],[Station/Feeder]],TKA[[#This Row],[Equipment ID]],TKA[[#This Row],[Voltage]],TKA[[#This Row],[Device type]])</f>
        <v>SecondarySubstationHLBMINK22-</v>
      </c>
      <c r="C136" s="6" t="s">
        <v>1277</v>
      </c>
      <c r="D136" s="6" t="s">
        <v>164</v>
      </c>
      <c r="E136" s="7" t="s">
        <v>437</v>
      </c>
      <c r="F136" s="7" t="s">
        <v>426</v>
      </c>
      <c r="G136" s="57">
        <v>9</v>
      </c>
      <c r="H136" s="46" t="s">
        <v>1289</v>
      </c>
      <c r="I136" s="46" t="s">
        <v>282</v>
      </c>
      <c r="J136" s="46" t="s">
        <v>69</v>
      </c>
      <c r="K136" s="46" t="s">
        <v>0</v>
      </c>
      <c r="L136" s="46" t="s">
        <v>0</v>
      </c>
      <c r="M136" s="57">
        <v>22</v>
      </c>
      <c r="N136" s="9">
        <v>250.58233772128858</v>
      </c>
      <c r="O136" s="9">
        <f t="shared" si="175"/>
        <v>9.5484694890784105</v>
      </c>
      <c r="P136" s="9" t="s">
        <v>0</v>
      </c>
      <c r="Q136" s="9" t="str">
        <f t="shared" si="176"/>
        <v>-</v>
      </c>
      <c r="R136" s="9">
        <v>188.62660722014468</v>
      </c>
      <c r="S136" s="9">
        <f t="shared" si="177"/>
        <v>7.1876390820218372</v>
      </c>
      <c r="T136" s="9" t="s">
        <v>0</v>
      </c>
      <c r="U136" s="9" t="str">
        <f t="shared" si="178"/>
        <v>-</v>
      </c>
      <c r="V136" s="9" t="s">
        <v>0</v>
      </c>
      <c r="W136" s="9" t="str">
        <f t="shared" si="179"/>
        <v>-</v>
      </c>
      <c r="X136" s="9" t="s">
        <v>0</v>
      </c>
      <c r="Y136" s="9" t="str">
        <f t="shared" si="180"/>
        <v>-</v>
      </c>
      <c r="Z136" s="9" t="s">
        <v>0</v>
      </c>
      <c r="AA136" s="9" t="str">
        <f t="shared" si="181"/>
        <v>-</v>
      </c>
      <c r="AB136" s="9" t="s">
        <v>0</v>
      </c>
      <c r="AC136" s="9" t="str">
        <f t="shared" si="182"/>
        <v>-</v>
      </c>
      <c r="AD136" s="9" t="s">
        <v>0</v>
      </c>
      <c r="AE136" s="9" t="str">
        <f t="shared" si="183"/>
        <v>-</v>
      </c>
      <c r="AF136" s="9" t="s">
        <v>0</v>
      </c>
      <c r="AG136" s="9" t="s">
        <v>0</v>
      </c>
      <c r="AH136" s="9">
        <v>2.8</v>
      </c>
      <c r="AI136" s="9" t="s">
        <v>0</v>
      </c>
      <c r="AJ136" s="43" t="s">
        <v>0</v>
      </c>
      <c r="AK136" s="9" t="s">
        <v>0</v>
      </c>
      <c r="AL136" s="43" t="s">
        <v>0</v>
      </c>
      <c r="AM136" s="9" t="s">
        <v>0</v>
      </c>
      <c r="AN136" s="43" t="s">
        <v>0</v>
      </c>
      <c r="AO136" s="9" t="s">
        <v>0</v>
      </c>
      <c r="AP136" s="9" t="s">
        <v>0</v>
      </c>
      <c r="AQ136" s="43" t="s">
        <v>0</v>
      </c>
      <c r="AR136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36" s="9" t="str">
        <f t="shared" si="184"/>
        <v>-</v>
      </c>
      <c r="AT136" s="9">
        <f>IF(RIGHT(TKA[[#This Row],[Device type]],7)="Winding","-",TKA[[#This Row],[Cont Winter MVA]])</f>
        <v>9.5484694890784105</v>
      </c>
      <c r="AU136" s="9" t="str">
        <f>IF(RIGHT(TKA[[#This Row],[Device type]],7)="Winding","-",TKA[[#This Row],[Cont Shoulder MVA]])</f>
        <v>-</v>
      </c>
      <c r="AV136" s="9">
        <f>IF(RIGHT(TKA[[#This Row],[Device type]],7)="Winding","-",TKA[[#This Row],[Cont Summer MVA]])</f>
        <v>7.1876390820218372</v>
      </c>
      <c r="AW136" s="9" t="str">
        <f>TKA[[#This Row],[24 Hr Winter MVA]]</f>
        <v>-</v>
      </c>
      <c r="AX136" s="9" t="str">
        <f>TKA[[#This Row],[24 Hr Summer MVA]]</f>
        <v>-</v>
      </c>
      <c r="AY136" s="9" t="str">
        <f>TKA[[#This Row],[Forwards MVA]]</f>
        <v>-</v>
      </c>
      <c r="AZ136" s="9" t="str">
        <f>TKA[[#This Row],[Relay MVA]]</f>
        <v>-</v>
      </c>
      <c r="BA136" s="9" t="str">
        <f>TKA[[#This Row],[CT MVA]]</f>
        <v>-</v>
      </c>
      <c r="BB136" s="9" t="str">
        <f>TKA[[#This Row],[Derating MVA]]</f>
        <v>-</v>
      </c>
      <c r="BC136" s="9" t="str">
        <f>TKA[[#This Row],[Station/Feeder]]&amp;TKA[[#This Row],[Lowest MVA]]</f>
        <v>HLB7.18763908202184</v>
      </c>
      <c r="BD136" s="9" t="str">
        <f>CONCATENATE(TKA[[#This Row],[Supply Level]],TKA[[#This Row],[Station/Feeder]],TKA[[#This Row],[Voltage]],TKA[[#This Row],[Lowest A-No PTX]])</f>
        <v>SecondarySubstationHLB22188.626607220145</v>
      </c>
      <c r="BE136" s="9" t="str">
        <f>CONCATENATE(TKA[[#This Row],[Supply Level]],TKA[[#This Row],[Station/Feeder]],TKA[[#This Row],[Voltage]],TKA[[#This Row],[Lowest A-PTX]])</f>
        <v>SecondarySubstationHLB22188.626607220145</v>
      </c>
      <c r="BF136" s="9">
        <f>IF(MIN(TKA[[#This Row],[Summ Cont Winter A]]:TKA[[#This Row],[Cable Derating]])=0,"",MIN(TKA[[#This Row],[Summ Cont Winter A]]:TKA[[#This Row],[Cable Derating]]))</f>
        <v>7.1876390820218372</v>
      </c>
      <c r="BG136" s="9">
        <f>IFERROR(TKA[[#This Row],[Lowest MVA]]*1000/(TKA[[#This Row],[Voltage]]*SQRT(3)),"")</f>
        <v>188.62660722014468</v>
      </c>
      <c r="BH136" s="9">
        <f t="shared" si="185"/>
        <v>188.62660722014468</v>
      </c>
      <c r="BI136" s="9" t="str">
        <f>TKA[[#This Row],[From]]</f>
        <v>TX E117</v>
      </c>
      <c r="BJ136" s="9" t="str">
        <f>TKA[[#This Row],[To]]</f>
        <v>Pole 51596</v>
      </c>
      <c r="BK136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Line-MINK</v>
      </c>
      <c r="BL136" s="9">
        <f>TKA[[#This Row],[Voltage]]</f>
        <v>22</v>
      </c>
    </row>
    <row r="137" spans="1:64" s="1" customFormat="1" ht="15.75" customHeight="1" x14ac:dyDescent="0.25">
      <c r="A137" s="6" t="str">
        <f>CONCATENATE(TKA[[#This Row],[Supply Level]],TKA[[#This Row],[Station/Feeder]],TKA[[#This Row],[Voltage]])</f>
        <v>DistributionFeederM32_Lilybank22</v>
      </c>
      <c r="B137" s="6" t="str">
        <f>CONCATENATE(TKA[[#This Row],[Supply Level]],TKA[[#This Row],[Station/Feeder]],TKA[[#This Row],[Equipment ID]],TKA[[#This Row],[Voltage]],TKA[[#This Row],[Device type]])</f>
        <v>DistributionFeederM32_LilybankMINK22-</v>
      </c>
      <c r="C137" s="6" t="s">
        <v>1276</v>
      </c>
      <c r="D137" s="6" t="s">
        <v>173</v>
      </c>
      <c r="E137" s="7" t="s">
        <v>426</v>
      </c>
      <c r="F137" s="46" t="s">
        <v>438</v>
      </c>
      <c r="G137" s="57">
        <v>1</v>
      </c>
      <c r="H137" s="46" t="s">
        <v>1289</v>
      </c>
      <c r="I137" s="46" t="s">
        <v>282</v>
      </c>
      <c r="J137" s="46" t="s">
        <v>69</v>
      </c>
      <c r="K137" s="46" t="s">
        <v>0</v>
      </c>
      <c r="L137" s="46" t="s">
        <v>0</v>
      </c>
      <c r="M137" s="57">
        <v>22</v>
      </c>
      <c r="N137" s="9">
        <v>250.58233772128858</v>
      </c>
      <c r="O137" s="9">
        <f>IF(OR(N137="",N137="-"),"-",N137*$M137*SQRT(3)/1000)</f>
        <v>9.5484694890784105</v>
      </c>
      <c r="P137" s="9" t="s">
        <v>0</v>
      </c>
      <c r="Q137" s="9" t="str">
        <f>IF(OR(P137="",P137="-"),"-",P137*$M137*SQRT(3)/1000)</f>
        <v>-</v>
      </c>
      <c r="R137" s="9">
        <v>188.62660722014468</v>
      </c>
      <c r="S137" s="9">
        <f>IF(OR(R137="",R137="-"),"-",R137*$M137*SQRT(3)/1000)</f>
        <v>7.1876390820218372</v>
      </c>
      <c r="T137" s="9" t="s">
        <v>0</v>
      </c>
      <c r="U137" s="9" t="str">
        <f>IF(OR(T137="",T137="-"),"-",T137*$M137*SQRT(3)/1000)</f>
        <v>-</v>
      </c>
      <c r="V137" s="9" t="s">
        <v>0</v>
      </c>
      <c r="W137" s="9" t="str">
        <f>IF(OR(V137="",V137="-"),"-",V137*$M137*SQRT(3)/1000)</f>
        <v>-</v>
      </c>
      <c r="X137" s="9" t="s">
        <v>0</v>
      </c>
      <c r="Y137" s="9" t="str">
        <f>IF(OR(X137="",X137="-"),"-",X137*$M137*SQRT(3)/1000)</f>
        <v>-</v>
      </c>
      <c r="Z137" s="9" t="s">
        <v>0</v>
      </c>
      <c r="AA137" s="9" t="str">
        <f>IF(OR(Z137="",Z137="-"),"-",Z137*$M137*SQRT(3)/1000)</f>
        <v>-</v>
      </c>
      <c r="AB137" s="9" t="s">
        <v>0</v>
      </c>
      <c r="AC137" s="9" t="str">
        <f>IF(OR(AB137="",AB137="-"),"-",AB137*$M137*SQRT(3)/1000)</f>
        <v>-</v>
      </c>
      <c r="AD137" s="9" t="s">
        <v>0</v>
      </c>
      <c r="AE137" s="9" t="str">
        <f>IF(OR(AD137="",AD137="-"),"-",AD137*$M137*SQRT(3)/1000)</f>
        <v>-</v>
      </c>
      <c r="AF137" s="9" t="s">
        <v>0</v>
      </c>
      <c r="AG137" s="9" t="s">
        <v>0</v>
      </c>
      <c r="AH137" s="9">
        <v>1.1000000000000001</v>
      </c>
      <c r="AI137" s="9" t="s">
        <v>0</v>
      </c>
      <c r="AJ137" s="43" t="s">
        <v>0</v>
      </c>
      <c r="AK137" s="9" t="s">
        <v>0</v>
      </c>
      <c r="AL137" s="43" t="s">
        <v>0</v>
      </c>
      <c r="AM137" s="9" t="s">
        <v>0</v>
      </c>
      <c r="AN137" s="43" t="s">
        <v>0</v>
      </c>
      <c r="AO137" s="9" t="s">
        <v>0</v>
      </c>
      <c r="AP137" s="9" t="s">
        <v>0</v>
      </c>
      <c r="AQ137" s="43" t="s">
        <v>0</v>
      </c>
      <c r="AR137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37" s="9" t="str">
        <f>IF(OR(AR137="",AR137="-"),"-",AR137*$M137*SQRT(3)/1000)</f>
        <v>-</v>
      </c>
      <c r="AT137" s="9">
        <f>IF(RIGHT(TKA[[#This Row],[Device type]],7)="Winding","-",TKA[[#This Row],[Cont Winter MVA]])</f>
        <v>9.5484694890784105</v>
      </c>
      <c r="AU137" s="9" t="str">
        <f>IF(RIGHT(TKA[[#This Row],[Device type]],7)="Winding","-",TKA[[#This Row],[Cont Shoulder MVA]])</f>
        <v>-</v>
      </c>
      <c r="AV137" s="9">
        <f>IF(RIGHT(TKA[[#This Row],[Device type]],7)="Winding","-",TKA[[#This Row],[Cont Summer MVA]])</f>
        <v>7.1876390820218372</v>
      </c>
      <c r="AW137" s="9" t="str">
        <f>TKA[[#This Row],[24 Hr Winter MVA]]</f>
        <v>-</v>
      </c>
      <c r="AX137" s="9" t="str">
        <f>TKA[[#This Row],[24 Hr Summer MVA]]</f>
        <v>-</v>
      </c>
      <c r="AY137" s="9" t="str">
        <f>TKA[[#This Row],[Forwards MVA]]</f>
        <v>-</v>
      </c>
      <c r="AZ137" s="9" t="str">
        <f>TKA[[#This Row],[Relay MVA]]</f>
        <v>-</v>
      </c>
      <c r="BA137" s="9" t="str">
        <f>TKA[[#This Row],[CT MVA]]</f>
        <v>-</v>
      </c>
      <c r="BB137" s="9" t="str">
        <f>TKA[[#This Row],[Derating MVA]]</f>
        <v>-</v>
      </c>
      <c r="BC137" s="9" t="str">
        <f>TKA[[#This Row],[Station/Feeder]]&amp;TKA[[#This Row],[Lowest MVA]]</f>
        <v>M32_Lilybank7.18763908202184</v>
      </c>
      <c r="BD137" s="9" t="str">
        <f>CONCATENATE(TKA[[#This Row],[Supply Level]],TKA[[#This Row],[Station/Feeder]],TKA[[#This Row],[Voltage]],TKA[[#This Row],[Lowest A-No PTX]])</f>
        <v>DistributionFeederM32_Lilybank22188.626607220145</v>
      </c>
      <c r="BE137" s="9" t="str">
        <f>CONCATENATE(TKA[[#This Row],[Supply Level]],TKA[[#This Row],[Station/Feeder]],TKA[[#This Row],[Voltage]],TKA[[#This Row],[Lowest A-PTX]])</f>
        <v>DistributionFeederM32_Lilybank22188.626607220145</v>
      </c>
      <c r="BF137" s="9">
        <f>IF(MIN(TKA[[#This Row],[Summ Cont Winter A]]:TKA[[#This Row],[Cable Derating]])=0,"",MIN(TKA[[#This Row],[Summ Cont Winter A]]:TKA[[#This Row],[Cable Derating]]))</f>
        <v>7.1876390820218372</v>
      </c>
      <c r="BG137" s="9">
        <f>IFERROR(TKA[[#This Row],[Lowest MVA]]*1000/(TKA[[#This Row],[Voltage]]*SQRT(3)),"")</f>
        <v>188.62660722014468</v>
      </c>
      <c r="BH137" s="9">
        <f>IF(MIN(N137,P137,R137,T137,V137,X137,Z137,AB137,AD137,AR137)=0,"",MIN(N137,P137,R137,T137,V137,X137,Z137,AB137,AD137,AR137))</f>
        <v>188.62660722014468</v>
      </c>
      <c r="BI137" s="9" t="str">
        <f>TKA[[#This Row],[From]]</f>
        <v>Pole 51596</v>
      </c>
      <c r="BJ137" s="9" t="str">
        <f>TKA[[#This Row],[To]]</f>
        <v>M32</v>
      </c>
      <c r="BK137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Line-MINK</v>
      </c>
      <c r="BL137" s="9">
        <f>TKA[[#This Row],[Voltage]]</f>
        <v>22</v>
      </c>
    </row>
    <row r="138" spans="1:64" s="1" customFormat="1" ht="15" customHeight="1" x14ac:dyDescent="0.25">
      <c r="A138" s="6" t="str">
        <f>CONCATENATE(TKA[[#This Row],[Supply Level]],TKA[[#This Row],[Station/Feeder]],TKA[[#This Row],[Voltage]])</f>
        <v>DistributionFeederM32_Lilybank22</v>
      </c>
      <c r="B138" s="6" t="str">
        <f>CONCATENATE(TKA[[#This Row],[Supply Level]],TKA[[#This Row],[Station/Feeder]],TKA[[#This Row],[Equipment ID]],TKA[[#This Row],[Voltage]],TKA[[#This Row],[Device type]])</f>
        <v>DistributionFeederM32_LilybankHERRING22-</v>
      </c>
      <c r="C138" s="6" t="s">
        <v>1276</v>
      </c>
      <c r="D138" s="6" t="s">
        <v>173</v>
      </c>
      <c r="E138" s="46" t="s">
        <v>438</v>
      </c>
      <c r="F138" s="46" t="s">
        <v>439</v>
      </c>
      <c r="G138" s="57">
        <v>2</v>
      </c>
      <c r="H138" s="46" t="s">
        <v>1289</v>
      </c>
      <c r="I138" s="46" t="s">
        <v>429</v>
      </c>
      <c r="J138" s="46" t="s">
        <v>69</v>
      </c>
      <c r="K138" s="46" t="s">
        <v>0</v>
      </c>
      <c r="L138" s="46" t="s">
        <v>0</v>
      </c>
      <c r="M138" s="57">
        <v>22</v>
      </c>
      <c r="N138" s="9">
        <v>96.377308793119241</v>
      </c>
      <c r="O138" s="9">
        <f>IF(OR(N138="",N138="-"),"-",N138*$M138*SQRT(3)/1000)</f>
        <v>3.6724687015816189</v>
      </c>
      <c r="P138" s="9" t="s">
        <v>0</v>
      </c>
      <c r="Q138" s="9" t="str">
        <f>IF(OR(P138="",P138="-"),"-",P138*$M138*SQRT(3)/1000)</f>
        <v>-</v>
      </c>
      <c r="R138" s="9">
        <v>73.709391096942639</v>
      </c>
      <c r="S138" s="9">
        <f>IF(OR(R138="",R138="-"),"-",R138*$M138*SQRT(3)/1000)</f>
        <v>2.8087050282471338</v>
      </c>
      <c r="T138" s="9" t="s">
        <v>0</v>
      </c>
      <c r="U138" s="9" t="str">
        <f>IF(OR(T138="",T138="-"),"-",T138*$M138*SQRT(3)/1000)</f>
        <v>-</v>
      </c>
      <c r="V138" s="9" t="s">
        <v>0</v>
      </c>
      <c r="W138" s="9" t="str">
        <f>IF(OR(V138="",V138="-"),"-",V138*$M138*SQRT(3)/1000)</f>
        <v>-</v>
      </c>
      <c r="X138" s="9" t="s">
        <v>0</v>
      </c>
      <c r="Y138" s="9" t="str">
        <f>IF(OR(X138="",X138="-"),"-",X138*$M138*SQRT(3)/1000)</f>
        <v>-</v>
      </c>
      <c r="Z138" s="9" t="s">
        <v>0</v>
      </c>
      <c r="AA138" s="9" t="str">
        <f>IF(OR(Z138="",Z138="-"),"-",Z138*$M138*SQRT(3)/1000)</f>
        <v>-</v>
      </c>
      <c r="AB138" s="9" t="s">
        <v>0</v>
      </c>
      <c r="AC138" s="9" t="str">
        <f>IF(OR(AB138="",AB138="-"),"-",AB138*$M138*SQRT(3)/1000)</f>
        <v>-</v>
      </c>
      <c r="AD138" s="9" t="s">
        <v>0</v>
      </c>
      <c r="AE138" s="9" t="str">
        <f>IF(OR(AD138="",AD138="-"),"-",AD138*$M138*SQRT(3)/1000)</f>
        <v>-</v>
      </c>
      <c r="AF138" s="9" t="s">
        <v>0</v>
      </c>
      <c r="AG138" s="9" t="s">
        <v>0</v>
      </c>
      <c r="AH138" s="9">
        <v>1592.3</v>
      </c>
      <c r="AI138" s="9" t="s">
        <v>0</v>
      </c>
      <c r="AJ138" s="43" t="s">
        <v>0</v>
      </c>
      <c r="AK138" s="9" t="s">
        <v>0</v>
      </c>
      <c r="AL138" s="43" t="s">
        <v>0</v>
      </c>
      <c r="AM138" s="9" t="s">
        <v>0</v>
      </c>
      <c r="AN138" s="43" t="s">
        <v>0</v>
      </c>
      <c r="AO138" s="9" t="s">
        <v>0</v>
      </c>
      <c r="AP138" s="9" t="s">
        <v>0</v>
      </c>
      <c r="AQ138" s="43" t="s">
        <v>0</v>
      </c>
      <c r="AR138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38" s="9" t="str">
        <f>IF(OR(AR138="",AR138="-"),"-",AR138*$M138*SQRT(3)/1000)</f>
        <v>-</v>
      </c>
      <c r="AT138" s="9">
        <f>IF(RIGHT(TKA[[#This Row],[Device type]],7)="Winding","-",TKA[[#This Row],[Cont Winter MVA]])</f>
        <v>3.6724687015816189</v>
      </c>
      <c r="AU138" s="9" t="str">
        <f>IF(RIGHT(TKA[[#This Row],[Device type]],7)="Winding","-",TKA[[#This Row],[Cont Shoulder MVA]])</f>
        <v>-</v>
      </c>
      <c r="AV138" s="9">
        <f>IF(RIGHT(TKA[[#This Row],[Device type]],7)="Winding","-",TKA[[#This Row],[Cont Summer MVA]])</f>
        <v>2.8087050282471338</v>
      </c>
      <c r="AW138" s="9" t="str">
        <f>TKA[[#This Row],[24 Hr Winter MVA]]</f>
        <v>-</v>
      </c>
      <c r="AX138" s="9" t="str">
        <f>TKA[[#This Row],[24 Hr Summer MVA]]</f>
        <v>-</v>
      </c>
      <c r="AY138" s="9" t="str">
        <f>TKA[[#This Row],[Forwards MVA]]</f>
        <v>-</v>
      </c>
      <c r="AZ138" s="9" t="str">
        <f>TKA[[#This Row],[Relay MVA]]</f>
        <v>-</v>
      </c>
      <c r="BA138" s="9" t="str">
        <f>TKA[[#This Row],[CT MVA]]</f>
        <v>-</v>
      </c>
      <c r="BB138" s="9" t="str">
        <f>TKA[[#This Row],[Derating MVA]]</f>
        <v>-</v>
      </c>
      <c r="BC138" s="9" t="str">
        <f>TKA[[#This Row],[Station/Feeder]]&amp;TKA[[#This Row],[Lowest MVA]]</f>
        <v>M32_Lilybank2.80870502824713</v>
      </c>
      <c r="BD138" s="9" t="str">
        <f>CONCATENATE(TKA[[#This Row],[Supply Level]],TKA[[#This Row],[Station/Feeder]],TKA[[#This Row],[Voltage]],TKA[[#This Row],[Lowest A-No PTX]])</f>
        <v>DistributionFeederM32_Lilybank2273.7093910969426</v>
      </c>
      <c r="BE138" s="9" t="str">
        <f>CONCATENATE(TKA[[#This Row],[Supply Level]],TKA[[#This Row],[Station/Feeder]],TKA[[#This Row],[Voltage]],TKA[[#This Row],[Lowest A-PTX]])</f>
        <v>DistributionFeederM32_Lilybank2273.7093910969426</v>
      </c>
      <c r="BF138" s="9">
        <f>IF(MIN(TKA[[#This Row],[Summ Cont Winter A]]:TKA[[#This Row],[Cable Derating]])=0,"",MIN(TKA[[#This Row],[Summ Cont Winter A]]:TKA[[#This Row],[Cable Derating]]))</f>
        <v>2.8087050282471338</v>
      </c>
      <c r="BG138" s="9">
        <f>IFERROR(TKA[[#This Row],[Lowest MVA]]*1000/(TKA[[#This Row],[Voltage]]*SQRT(3)),"")</f>
        <v>73.709391096942639</v>
      </c>
      <c r="BH138" s="9">
        <f>IF(MIN(N138,P138,R138,T138,V138,X138,Z138,AB138,AD138,AR138)=0,"",MIN(N138,P138,R138,T138,V138,X138,Z138,AB138,AD138,AR138))</f>
        <v>73.709391096942639</v>
      </c>
      <c r="BI138" s="9" t="str">
        <f>TKA[[#This Row],[From]]</f>
        <v>M32</v>
      </c>
      <c r="BJ138" s="9" t="str">
        <f>TKA[[#This Row],[To]]</f>
        <v>TX E58</v>
      </c>
      <c r="BK138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Line-HERRING</v>
      </c>
      <c r="BL138" s="9">
        <f>TKA[[#This Row],[Voltage]]</f>
        <v>22</v>
      </c>
    </row>
    <row r="139" spans="1:64" s="1" customFormat="1" ht="15" customHeight="1" x14ac:dyDescent="0.25">
      <c r="A139" s="6" t="str">
        <f>CONCATENATE(TKA[[#This Row],[Supply Level]],TKA[[#This Row],[Station/Feeder]],TKA[[#This Row],[Voltage]])</f>
        <v>DistributionFeederM33_Haldon22</v>
      </c>
      <c r="B139" s="6" t="str">
        <f>CONCATENATE(TKA[[#This Row],[Supply Level]],TKA[[#This Row],[Station/Feeder]],TKA[[#This Row],[Equipment ID]],TKA[[#This Row],[Voltage]],TKA[[#This Row],[Device type]])</f>
        <v>DistributionFeederM33_HaldonMINK22-</v>
      </c>
      <c r="C139" s="6" t="s">
        <v>1276</v>
      </c>
      <c r="D139" s="6" t="s">
        <v>179</v>
      </c>
      <c r="E139" s="7" t="s">
        <v>426</v>
      </c>
      <c r="F139" s="46" t="s">
        <v>440</v>
      </c>
      <c r="G139" s="57">
        <v>1</v>
      </c>
      <c r="H139" s="46" t="s">
        <v>1289</v>
      </c>
      <c r="I139" s="46" t="s">
        <v>282</v>
      </c>
      <c r="J139" s="46" t="s">
        <v>69</v>
      </c>
      <c r="K139" s="46" t="s">
        <v>0</v>
      </c>
      <c r="L139" s="46" t="s">
        <v>0</v>
      </c>
      <c r="M139" s="57">
        <v>22</v>
      </c>
      <c r="N139" s="9">
        <v>250.58233772128858</v>
      </c>
      <c r="O139" s="9">
        <f>IF(OR(N139="",N139="-"),"-",N139*$M139*SQRT(3)/1000)</f>
        <v>9.5484694890784105</v>
      </c>
      <c r="P139" s="9" t="s">
        <v>0</v>
      </c>
      <c r="Q139" s="9" t="str">
        <f>IF(OR(P139="",P139="-"),"-",P139*$M139*SQRT(3)/1000)</f>
        <v>-</v>
      </c>
      <c r="R139" s="9">
        <v>188.62660722014468</v>
      </c>
      <c r="S139" s="9">
        <f>IF(OR(R139="",R139="-"),"-",R139*$M139*SQRT(3)/1000)</f>
        <v>7.1876390820218372</v>
      </c>
      <c r="T139" s="9" t="s">
        <v>0</v>
      </c>
      <c r="U139" s="9" t="str">
        <f>IF(OR(T139="",T139="-"),"-",T139*$M139*SQRT(3)/1000)</f>
        <v>-</v>
      </c>
      <c r="V139" s="9" t="s">
        <v>0</v>
      </c>
      <c r="W139" s="9" t="str">
        <f>IF(OR(V139="",V139="-"),"-",V139*$M139*SQRT(3)/1000)</f>
        <v>-</v>
      </c>
      <c r="X139" s="9" t="s">
        <v>0</v>
      </c>
      <c r="Y139" s="9" t="str">
        <f>IF(OR(X139="",X139="-"),"-",X139*$M139*SQRT(3)/1000)</f>
        <v>-</v>
      </c>
      <c r="Z139" s="9" t="s">
        <v>0</v>
      </c>
      <c r="AA139" s="9" t="str">
        <f>IF(OR(Z139="",Z139="-"),"-",Z139*$M139*SQRT(3)/1000)</f>
        <v>-</v>
      </c>
      <c r="AB139" s="9" t="s">
        <v>0</v>
      </c>
      <c r="AC139" s="9" t="str">
        <f>IF(OR(AB139="",AB139="-"),"-",AB139*$M139*SQRT(3)/1000)</f>
        <v>-</v>
      </c>
      <c r="AD139" s="9" t="s">
        <v>0</v>
      </c>
      <c r="AE139" s="9" t="str">
        <f>IF(OR(AD139="",AD139="-"),"-",AD139*$M139*SQRT(3)/1000)</f>
        <v>-</v>
      </c>
      <c r="AF139" s="9" t="s">
        <v>0</v>
      </c>
      <c r="AG139" s="9" t="s">
        <v>0</v>
      </c>
      <c r="AH139" s="9">
        <v>0.8</v>
      </c>
      <c r="AI139" s="9" t="s">
        <v>0</v>
      </c>
      <c r="AJ139" s="43" t="s">
        <v>0</v>
      </c>
      <c r="AK139" s="9" t="s">
        <v>0</v>
      </c>
      <c r="AL139" s="43" t="s">
        <v>0</v>
      </c>
      <c r="AM139" s="9" t="s">
        <v>0</v>
      </c>
      <c r="AN139" s="43" t="s">
        <v>0</v>
      </c>
      <c r="AO139" s="9" t="s">
        <v>0</v>
      </c>
      <c r="AP139" s="9" t="s">
        <v>0</v>
      </c>
      <c r="AQ139" s="43" t="s">
        <v>0</v>
      </c>
      <c r="AR139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39" s="9" t="str">
        <f>IF(OR(AR139="",AR139="-"),"-",AR139*$M139*SQRT(3)/1000)</f>
        <v>-</v>
      </c>
      <c r="AT139" s="9">
        <f>IF(RIGHT(TKA[[#This Row],[Device type]],7)="Winding","-",TKA[[#This Row],[Cont Winter MVA]])</f>
        <v>9.5484694890784105</v>
      </c>
      <c r="AU139" s="9" t="str">
        <f>IF(RIGHT(TKA[[#This Row],[Device type]],7)="Winding","-",TKA[[#This Row],[Cont Shoulder MVA]])</f>
        <v>-</v>
      </c>
      <c r="AV139" s="9">
        <f>IF(RIGHT(TKA[[#This Row],[Device type]],7)="Winding","-",TKA[[#This Row],[Cont Summer MVA]])</f>
        <v>7.1876390820218372</v>
      </c>
      <c r="AW139" s="9" t="str">
        <f>TKA[[#This Row],[24 Hr Winter MVA]]</f>
        <v>-</v>
      </c>
      <c r="AX139" s="9" t="str">
        <f>TKA[[#This Row],[24 Hr Summer MVA]]</f>
        <v>-</v>
      </c>
      <c r="AY139" s="9" t="str">
        <f>TKA[[#This Row],[Forwards MVA]]</f>
        <v>-</v>
      </c>
      <c r="AZ139" s="9" t="str">
        <f>TKA[[#This Row],[Relay MVA]]</f>
        <v>-</v>
      </c>
      <c r="BA139" s="9" t="str">
        <f>TKA[[#This Row],[CT MVA]]</f>
        <v>-</v>
      </c>
      <c r="BB139" s="9" t="str">
        <f>TKA[[#This Row],[Derating MVA]]</f>
        <v>-</v>
      </c>
      <c r="BC139" s="9" t="str">
        <f>TKA[[#This Row],[Station/Feeder]]&amp;TKA[[#This Row],[Lowest MVA]]</f>
        <v>M33_Haldon7.18763908202184</v>
      </c>
      <c r="BD139" s="9" t="str">
        <f>CONCATENATE(TKA[[#This Row],[Supply Level]],TKA[[#This Row],[Station/Feeder]],TKA[[#This Row],[Voltage]],TKA[[#This Row],[Lowest A-No PTX]])</f>
        <v>DistributionFeederM33_Haldon22188.626607220145</v>
      </c>
      <c r="BE139" s="9" t="str">
        <f>CONCATENATE(TKA[[#This Row],[Supply Level]],TKA[[#This Row],[Station/Feeder]],TKA[[#This Row],[Voltage]],TKA[[#This Row],[Lowest A-PTX]])</f>
        <v>DistributionFeederM33_Haldon22188.626607220145</v>
      </c>
      <c r="BF139" s="9">
        <f>IF(MIN(TKA[[#This Row],[Summ Cont Winter A]]:TKA[[#This Row],[Cable Derating]])=0,"",MIN(TKA[[#This Row],[Summ Cont Winter A]]:TKA[[#This Row],[Cable Derating]]))</f>
        <v>7.1876390820218372</v>
      </c>
      <c r="BG139" s="9">
        <f>IFERROR(TKA[[#This Row],[Lowest MVA]]*1000/(TKA[[#This Row],[Voltage]]*SQRT(3)),"")</f>
        <v>188.62660722014468</v>
      </c>
      <c r="BH139" s="9">
        <f>IF(MIN(N139,P139,R139,T139,V139,X139,Z139,AB139,AD139,AR139)=0,"",MIN(N139,P139,R139,T139,V139,X139,Z139,AB139,AD139,AR139))</f>
        <v>188.62660722014468</v>
      </c>
      <c r="BI139" s="9" t="str">
        <f>TKA[[#This Row],[From]]</f>
        <v>Pole 51596</v>
      </c>
      <c r="BJ139" s="9" t="str">
        <f>TKA[[#This Row],[To]]</f>
        <v>M33</v>
      </c>
      <c r="BK139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Line-MINK</v>
      </c>
      <c r="BL139" s="9">
        <f>TKA[[#This Row],[Voltage]]</f>
        <v>22</v>
      </c>
    </row>
    <row r="140" spans="1:64" s="1" customFormat="1" ht="15.75" customHeight="1" thickBot="1" x14ac:dyDescent="0.3">
      <c r="A140" s="191" t="str">
        <f>CONCATENATE(TKA[[#This Row],[Supply Level]],TKA[[#This Row],[Station/Feeder]],TKA[[#This Row],[Voltage]])</f>
        <v>DistributionFeederM33_Haldon22</v>
      </c>
      <c r="B140" s="191" t="str">
        <f>CONCATENATE(TKA[[#This Row],[Supply Level]],TKA[[#This Row],[Station/Feeder]],TKA[[#This Row],[Equipment ID]],TKA[[#This Row],[Voltage]],TKA[[#This Row],[Device type]])</f>
        <v>DistributionFeederM33_HaldonHERRING22-</v>
      </c>
      <c r="C140" s="191" t="s">
        <v>1276</v>
      </c>
      <c r="D140" s="191" t="s">
        <v>179</v>
      </c>
      <c r="E140" s="196" t="s">
        <v>440</v>
      </c>
      <c r="F140" s="196" t="s">
        <v>441</v>
      </c>
      <c r="G140" s="197">
        <v>2</v>
      </c>
      <c r="H140" s="196" t="s">
        <v>1289</v>
      </c>
      <c r="I140" s="196" t="s">
        <v>429</v>
      </c>
      <c r="J140" s="196" t="s">
        <v>69</v>
      </c>
      <c r="K140" s="196" t="s">
        <v>0</v>
      </c>
      <c r="L140" s="196" t="s">
        <v>0</v>
      </c>
      <c r="M140" s="197">
        <v>22</v>
      </c>
      <c r="N140" s="155">
        <v>96.377308793119241</v>
      </c>
      <c r="O140" s="155">
        <f>IF(OR(N140="",N140="-"),"-",N140*$M140*SQRT(3)/1000)</f>
        <v>3.6724687015816189</v>
      </c>
      <c r="P140" s="155" t="s">
        <v>0</v>
      </c>
      <c r="Q140" s="155" t="str">
        <f>IF(OR(P140="",P140="-"),"-",P140*$M140*SQRT(3)/1000)</f>
        <v>-</v>
      </c>
      <c r="R140" s="155">
        <v>73.709391096942639</v>
      </c>
      <c r="S140" s="155">
        <f>IF(OR(R140="",R140="-"),"-",R140*$M140*SQRT(3)/1000)</f>
        <v>2.8087050282471338</v>
      </c>
      <c r="T140" s="155" t="s">
        <v>0</v>
      </c>
      <c r="U140" s="155" t="str">
        <f>IF(OR(T140="",T140="-"),"-",T140*$M140*SQRT(3)/1000)</f>
        <v>-</v>
      </c>
      <c r="V140" s="155" t="s">
        <v>0</v>
      </c>
      <c r="W140" s="155" t="str">
        <f>IF(OR(V140="",V140="-"),"-",V140*$M140*SQRT(3)/1000)</f>
        <v>-</v>
      </c>
      <c r="X140" s="155" t="s">
        <v>0</v>
      </c>
      <c r="Y140" s="155" t="str">
        <f>IF(OR(X140="",X140="-"),"-",X140*$M140*SQRT(3)/1000)</f>
        <v>-</v>
      </c>
      <c r="Z140" s="155" t="s">
        <v>0</v>
      </c>
      <c r="AA140" s="155" t="str">
        <f>IF(OR(Z140="",Z140="-"),"-",Z140*$M140*SQRT(3)/1000)</f>
        <v>-</v>
      </c>
      <c r="AB140" s="155" t="s">
        <v>0</v>
      </c>
      <c r="AC140" s="155" t="str">
        <f>IF(OR(AB140="",AB140="-"),"-",AB140*$M140*SQRT(3)/1000)</f>
        <v>-</v>
      </c>
      <c r="AD140" s="155" t="s">
        <v>0</v>
      </c>
      <c r="AE140" s="155" t="str">
        <f>IF(OR(AD140="",AD140="-"),"-",AD140*$M140*SQRT(3)/1000)</f>
        <v>-</v>
      </c>
      <c r="AF140" s="155" t="s">
        <v>0</v>
      </c>
      <c r="AG140" s="155" t="s">
        <v>0</v>
      </c>
      <c r="AH140" s="155">
        <v>6004.6</v>
      </c>
      <c r="AI140" s="155" t="s">
        <v>0</v>
      </c>
      <c r="AJ140" s="175" t="s">
        <v>0</v>
      </c>
      <c r="AK140" s="155" t="s">
        <v>0</v>
      </c>
      <c r="AL140" s="175" t="s">
        <v>0</v>
      </c>
      <c r="AM140" s="155" t="s">
        <v>0</v>
      </c>
      <c r="AN140" s="175" t="s">
        <v>0</v>
      </c>
      <c r="AO140" s="155" t="s">
        <v>0</v>
      </c>
      <c r="AP140" s="155" t="s">
        <v>0</v>
      </c>
      <c r="AQ140" s="175" t="s">
        <v>0</v>
      </c>
      <c r="AR140" s="155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40" s="155" t="str">
        <f>IF(OR(AR140="",AR140="-"),"-",AR140*$M140*SQRT(3)/1000)</f>
        <v>-</v>
      </c>
      <c r="AT140" s="155">
        <f>IF(RIGHT(TKA[[#This Row],[Device type]],7)="Winding","-",TKA[[#This Row],[Cont Winter MVA]])</f>
        <v>3.6724687015816189</v>
      </c>
      <c r="AU140" s="155" t="str">
        <f>IF(RIGHT(TKA[[#This Row],[Device type]],7)="Winding","-",TKA[[#This Row],[Cont Shoulder MVA]])</f>
        <v>-</v>
      </c>
      <c r="AV140" s="155">
        <f>IF(RIGHT(TKA[[#This Row],[Device type]],7)="Winding","-",TKA[[#This Row],[Cont Summer MVA]])</f>
        <v>2.8087050282471338</v>
      </c>
      <c r="AW140" s="155" t="str">
        <f>TKA[[#This Row],[24 Hr Winter MVA]]</f>
        <v>-</v>
      </c>
      <c r="AX140" s="155" t="str">
        <f>TKA[[#This Row],[24 Hr Summer MVA]]</f>
        <v>-</v>
      </c>
      <c r="AY140" s="155" t="str">
        <f>TKA[[#This Row],[Forwards MVA]]</f>
        <v>-</v>
      </c>
      <c r="AZ140" s="155" t="str">
        <f>TKA[[#This Row],[Relay MVA]]</f>
        <v>-</v>
      </c>
      <c r="BA140" s="155" t="str">
        <f>TKA[[#This Row],[CT MVA]]</f>
        <v>-</v>
      </c>
      <c r="BB140" s="155" t="str">
        <f>TKA[[#This Row],[Derating MVA]]</f>
        <v>-</v>
      </c>
      <c r="BC140" s="155" t="str">
        <f>TKA[[#This Row],[Station/Feeder]]&amp;TKA[[#This Row],[Lowest MVA]]</f>
        <v>M33_Haldon2.80870502824713</v>
      </c>
      <c r="BD140" s="155" t="str">
        <f>CONCATENATE(TKA[[#This Row],[Supply Level]],TKA[[#This Row],[Station/Feeder]],TKA[[#This Row],[Voltage]],TKA[[#This Row],[Lowest A-No PTX]])</f>
        <v>DistributionFeederM33_Haldon2273.7093910969426</v>
      </c>
      <c r="BE140" s="155" t="str">
        <f>CONCATENATE(TKA[[#This Row],[Supply Level]],TKA[[#This Row],[Station/Feeder]],TKA[[#This Row],[Voltage]],TKA[[#This Row],[Lowest A-PTX]])</f>
        <v>DistributionFeederM33_Haldon2273.7093910969426</v>
      </c>
      <c r="BF140" s="155">
        <f>IF(MIN(TKA[[#This Row],[Summ Cont Winter A]]:TKA[[#This Row],[Cable Derating]])=0,"",MIN(TKA[[#This Row],[Summ Cont Winter A]]:TKA[[#This Row],[Cable Derating]]))</f>
        <v>2.8087050282471338</v>
      </c>
      <c r="BG140" s="155">
        <f>IFERROR(TKA[[#This Row],[Lowest MVA]]*1000/(TKA[[#This Row],[Voltage]]*SQRT(3)),"")</f>
        <v>73.709391096942639</v>
      </c>
      <c r="BH140" s="155">
        <f>IF(MIN(N140,P140,R140,T140,V140,X140,Z140,AB140,AD140,AR140)=0,"",MIN(N140,P140,R140,T140,V140,X140,Z140,AB140,AD140,AR140))</f>
        <v>73.709391096942639</v>
      </c>
      <c r="BI140" s="155" t="str">
        <f>TKA[[#This Row],[From]]</f>
        <v>M33</v>
      </c>
      <c r="BJ140" s="155" t="str">
        <f>TKA[[#This Row],[To]]</f>
        <v>Pole 24654</v>
      </c>
      <c r="BK140" s="19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Line-HERRING</v>
      </c>
      <c r="BL140" s="155">
        <f>TKA[[#This Row],[Voltage]]</f>
        <v>22</v>
      </c>
    </row>
    <row r="141" spans="1:64" s="1" customFormat="1" x14ac:dyDescent="0.25">
      <c r="A141" s="3" t="str">
        <f>CONCATENATE(TKA[[#This Row],[Supply Level]],TKA[[#This Row],[Station/Feeder]],TKA[[#This Row],[Voltage]])</f>
        <v>SecondarySubstationOMR11</v>
      </c>
      <c r="B141" s="3" t="str">
        <f>CONCATENATE(TKA[[#This Row],[Supply Level]],TKA[[#This Row],[Station/Feeder]],TKA[[#This Row],[Equipment ID]],TKA[[#This Row],[Voltage]],TKA[[#This Row],[Device type]])</f>
        <v>SecondarySubstationOMROMR-M20111Protection</v>
      </c>
      <c r="C141" s="3" t="s">
        <v>1277</v>
      </c>
      <c r="D141" s="3" t="s">
        <v>1443</v>
      </c>
      <c r="E141" s="38" t="s">
        <v>243</v>
      </c>
      <c r="F141" s="188" t="s">
        <v>442</v>
      </c>
      <c r="G141" s="61">
        <v>1</v>
      </c>
      <c r="H141" s="188" t="s">
        <v>343</v>
      </c>
      <c r="I141" s="38" t="s">
        <v>2432</v>
      </c>
      <c r="J141" s="38" t="s">
        <v>15</v>
      </c>
      <c r="K141" s="38" t="s">
        <v>791</v>
      </c>
      <c r="L141" s="38" t="s">
        <v>1423</v>
      </c>
      <c r="M141" s="61">
        <v>11</v>
      </c>
      <c r="N141" s="5">
        <v>600</v>
      </c>
      <c r="O141" s="5">
        <f t="shared" si="175"/>
        <v>11.43153532995459</v>
      </c>
      <c r="P141" s="5">
        <v>600</v>
      </c>
      <c r="Q141" s="5">
        <f t="shared" si="176"/>
        <v>11.43153532995459</v>
      </c>
      <c r="R141" s="5">
        <v>600</v>
      </c>
      <c r="S141" s="5">
        <f t="shared" si="177"/>
        <v>11.43153532995459</v>
      </c>
      <c r="T141" s="5" t="s">
        <v>0</v>
      </c>
      <c r="U141" s="5" t="str">
        <f t="shared" si="178"/>
        <v>-</v>
      </c>
      <c r="V141" s="5" t="s">
        <v>0</v>
      </c>
      <c r="W141" s="5" t="str">
        <f t="shared" si="179"/>
        <v>-</v>
      </c>
      <c r="X141" s="5" t="s">
        <v>0</v>
      </c>
      <c r="Y141" s="5" t="str">
        <f t="shared" si="180"/>
        <v>-</v>
      </c>
      <c r="Z141" s="5" t="s">
        <v>0</v>
      </c>
      <c r="AA141" s="5" t="str">
        <f t="shared" si="181"/>
        <v>-</v>
      </c>
      <c r="AB141" s="5" t="s">
        <v>0</v>
      </c>
      <c r="AC141" s="5" t="str">
        <f t="shared" si="182"/>
        <v>-</v>
      </c>
      <c r="AD141" s="5" t="s">
        <v>0</v>
      </c>
      <c r="AE141" s="5" t="str">
        <f t="shared" si="183"/>
        <v>-</v>
      </c>
      <c r="AF141" s="5" t="s">
        <v>0</v>
      </c>
      <c r="AG141" s="5" t="s">
        <v>0</v>
      </c>
      <c r="AH141" s="5" t="s">
        <v>0</v>
      </c>
      <c r="AI141" s="5" t="s">
        <v>0</v>
      </c>
      <c r="AJ141" s="139" t="s">
        <v>0</v>
      </c>
      <c r="AK141" s="5" t="s">
        <v>0</v>
      </c>
      <c r="AL141" s="139" t="s">
        <v>0</v>
      </c>
      <c r="AM141" s="5" t="s">
        <v>0</v>
      </c>
      <c r="AN141" s="139" t="s">
        <v>0</v>
      </c>
      <c r="AO141" s="5" t="s">
        <v>0</v>
      </c>
      <c r="AP141" s="5" t="s">
        <v>0</v>
      </c>
      <c r="AQ141" s="139" t="s">
        <v>0</v>
      </c>
      <c r="AR141" s="5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41" s="5" t="str">
        <f t="shared" si="184"/>
        <v>-</v>
      </c>
      <c r="AT141" s="5">
        <f>IF(RIGHT(TKA[[#This Row],[Device type]],7)="Winding","-",TKA[[#This Row],[Cont Winter MVA]])</f>
        <v>11.43153532995459</v>
      </c>
      <c r="AU141" s="5">
        <f>IF(RIGHT(TKA[[#This Row],[Device type]],7)="Winding","-",TKA[[#This Row],[Cont Shoulder MVA]])</f>
        <v>11.43153532995459</v>
      </c>
      <c r="AV141" s="5">
        <f>IF(RIGHT(TKA[[#This Row],[Device type]],7)="Winding","-",TKA[[#This Row],[Cont Summer MVA]])</f>
        <v>11.43153532995459</v>
      </c>
      <c r="AW141" s="5" t="str">
        <f>TKA[[#This Row],[24 Hr Winter MVA]]</f>
        <v>-</v>
      </c>
      <c r="AX141" s="5" t="str">
        <f>TKA[[#This Row],[24 Hr Summer MVA]]</f>
        <v>-</v>
      </c>
      <c r="AY141" s="5" t="str">
        <f>TKA[[#This Row],[Forwards MVA]]</f>
        <v>-</v>
      </c>
      <c r="AZ141" s="5" t="str">
        <f>TKA[[#This Row],[Relay MVA]]</f>
        <v>-</v>
      </c>
      <c r="BA141" s="5" t="str">
        <f>TKA[[#This Row],[CT MVA]]</f>
        <v>-</v>
      </c>
      <c r="BB141" s="5" t="str">
        <f>TKA[[#This Row],[Derating MVA]]</f>
        <v>-</v>
      </c>
      <c r="BC141" s="5" t="str">
        <f>TKA[[#This Row],[Station/Feeder]]&amp;TKA[[#This Row],[Lowest MVA]]</f>
        <v>OMR11.4315353299546</v>
      </c>
      <c r="BD141" s="5" t="str">
        <f>CONCATENATE(TKA[[#This Row],[Supply Level]],TKA[[#This Row],[Station/Feeder]],TKA[[#This Row],[Voltage]],TKA[[#This Row],[Lowest A-No PTX]])</f>
        <v>SecondarySubstationOMR11600</v>
      </c>
      <c r="BE141" s="5" t="str">
        <f>CONCATENATE(TKA[[#This Row],[Supply Level]],TKA[[#This Row],[Station/Feeder]],TKA[[#This Row],[Voltage]],TKA[[#This Row],[Lowest A-PTX]])</f>
        <v>SecondarySubstationOMR11600</v>
      </c>
      <c r="BF141" s="5">
        <f>IF(MIN(TKA[[#This Row],[Summ Cont Winter A]]:TKA[[#This Row],[Cable Derating]])=0,"",MIN(TKA[[#This Row],[Summ Cont Winter A]]:TKA[[#This Row],[Cable Derating]]))</f>
        <v>11.43153532995459</v>
      </c>
      <c r="BG141" s="5">
        <f>IFERROR(TKA[[#This Row],[Lowest MVA]]*1000/(TKA[[#This Row],[Voltage]]*SQRT(3)),"")</f>
        <v>600</v>
      </c>
      <c r="BH141" s="5">
        <f t="shared" si="185"/>
        <v>600</v>
      </c>
      <c r="BI141" s="5" t="str">
        <f>TKA[[#This Row],[From]]</f>
        <v>11 kV Bus</v>
      </c>
      <c r="BJ141" s="5" t="str">
        <f>TKA[[#This Row],[To]]</f>
        <v>M175</v>
      </c>
      <c r="BK141" s="188" t="str">
        <f>IF(TKA[[#This Row],[Device type]]="-",TKA[[#This Row],[Equipment Type]]&amp;"-"&amp;TKA[[#This Row],[Equipment ID]],TKA[[#This Row],[Equipment Type]]&amp;"-"&amp;TKA[[#This Row],[Equipment ID]]&amp;"-"&amp;TKA[[#This Row],[Device type]])</f>
        <v>Circuit Breaker-OMR-M201-Protection</v>
      </c>
      <c r="BL141" s="5">
        <f>TKA[[#This Row],[Voltage]]</f>
        <v>11</v>
      </c>
    </row>
    <row r="142" spans="1:64" s="1" customFormat="1" x14ac:dyDescent="0.25">
      <c r="A142" s="6" t="str">
        <f>CONCATENATE(TKA[[#This Row],[Supply Level]],TKA[[#This Row],[Station/Feeder]],TKA[[#This Row],[Voltage]])</f>
        <v>SecondarySubstationOMR11</v>
      </c>
      <c r="B142" s="6" t="str">
        <f>CONCATENATE(TKA[[#This Row],[Supply Level]],TKA[[#This Row],[Station/Feeder]],TKA[[#This Row],[Equipment ID]],TKA[[#This Row],[Voltage]],TKA[[#This Row],[Device type]])</f>
        <v>SecondarySubstationOMR1-3c 150 mm² Al PILC11-</v>
      </c>
      <c r="C142" s="6" t="s">
        <v>1277</v>
      </c>
      <c r="D142" s="6" t="s">
        <v>1443</v>
      </c>
      <c r="E142" s="7" t="s">
        <v>243</v>
      </c>
      <c r="F142" s="46" t="s">
        <v>442</v>
      </c>
      <c r="G142" s="57">
        <v>2</v>
      </c>
      <c r="H142" s="46" t="s">
        <v>276</v>
      </c>
      <c r="I142" s="46" t="s">
        <v>568</v>
      </c>
      <c r="J142" s="46" t="s">
        <v>250</v>
      </c>
      <c r="K142" s="46" t="s">
        <v>0</v>
      </c>
      <c r="L142" s="46" t="s">
        <v>0</v>
      </c>
      <c r="M142" s="57">
        <v>11</v>
      </c>
      <c r="N142" s="9">
        <v>265</v>
      </c>
      <c r="O142" s="9">
        <f t="shared" si="175"/>
        <v>5.0489281040632772</v>
      </c>
      <c r="P142" s="9">
        <v>265</v>
      </c>
      <c r="Q142" s="9">
        <f t="shared" si="176"/>
        <v>5.0489281040632772</v>
      </c>
      <c r="R142" s="9">
        <v>265</v>
      </c>
      <c r="S142" s="9">
        <f t="shared" si="177"/>
        <v>5.0489281040632772</v>
      </c>
      <c r="T142" s="9" t="s">
        <v>0</v>
      </c>
      <c r="U142" s="9" t="str">
        <f t="shared" si="178"/>
        <v>-</v>
      </c>
      <c r="V142" s="9" t="s">
        <v>0</v>
      </c>
      <c r="W142" s="9" t="str">
        <f t="shared" si="179"/>
        <v>-</v>
      </c>
      <c r="X142" s="9" t="s">
        <v>0</v>
      </c>
      <c r="Y142" s="9" t="str">
        <f t="shared" si="180"/>
        <v>-</v>
      </c>
      <c r="Z142" s="9" t="s">
        <v>0</v>
      </c>
      <c r="AA142" s="9" t="str">
        <f t="shared" si="181"/>
        <v>-</v>
      </c>
      <c r="AB142" s="9" t="s">
        <v>0</v>
      </c>
      <c r="AC142" s="9" t="str">
        <f t="shared" si="182"/>
        <v>-</v>
      </c>
      <c r="AD142" s="9" t="s">
        <v>0</v>
      </c>
      <c r="AE142" s="9" t="str">
        <f t="shared" si="183"/>
        <v>-</v>
      </c>
      <c r="AF142" s="9">
        <v>3</v>
      </c>
      <c r="AG142" s="9" t="s">
        <v>265</v>
      </c>
      <c r="AH142" s="9">
        <v>70.7</v>
      </c>
      <c r="AI142" s="9">
        <v>1.1000000000000001</v>
      </c>
      <c r="AJ142" s="43">
        <v>0.97</v>
      </c>
      <c r="AK142" s="9">
        <v>15</v>
      </c>
      <c r="AL142" s="43">
        <v>1</v>
      </c>
      <c r="AM142" s="9">
        <v>0.9</v>
      </c>
      <c r="AN142" s="43">
        <v>1.1000000000000001</v>
      </c>
      <c r="AO142" s="9">
        <v>5</v>
      </c>
      <c r="AP142" s="9">
        <v>0.15</v>
      </c>
      <c r="AQ142" s="43">
        <v>0.66</v>
      </c>
      <c r="AR142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186.61829999999998</v>
      </c>
      <c r="AS142" s="9">
        <f t="shared" si="184"/>
        <v>3.5555561494434405</v>
      </c>
      <c r="AT142" s="9">
        <f>IF(RIGHT(TKA[[#This Row],[Device type]],7)="Winding","-",TKA[[#This Row],[Cont Winter MVA]])</f>
        <v>5.0489281040632772</v>
      </c>
      <c r="AU142" s="9">
        <f>IF(RIGHT(TKA[[#This Row],[Device type]],7)="Winding","-",TKA[[#This Row],[Cont Shoulder MVA]])</f>
        <v>5.0489281040632772</v>
      </c>
      <c r="AV142" s="9">
        <f>IF(RIGHT(TKA[[#This Row],[Device type]],7)="Winding","-",TKA[[#This Row],[Cont Summer MVA]])</f>
        <v>5.0489281040632772</v>
      </c>
      <c r="AW142" s="9" t="str">
        <f>TKA[[#This Row],[24 Hr Winter MVA]]</f>
        <v>-</v>
      </c>
      <c r="AX142" s="9" t="str">
        <f>TKA[[#This Row],[24 Hr Summer MVA]]</f>
        <v>-</v>
      </c>
      <c r="AY142" s="9" t="str">
        <f>TKA[[#This Row],[Forwards MVA]]</f>
        <v>-</v>
      </c>
      <c r="AZ142" s="9" t="str">
        <f>TKA[[#This Row],[Relay MVA]]</f>
        <v>-</v>
      </c>
      <c r="BA142" s="9" t="str">
        <f>TKA[[#This Row],[CT MVA]]</f>
        <v>-</v>
      </c>
      <c r="BB142" s="9">
        <f>TKA[[#This Row],[Derating MVA]]</f>
        <v>3.5555561494434405</v>
      </c>
      <c r="BC142" s="9" t="str">
        <f>TKA[[#This Row],[Station/Feeder]]&amp;TKA[[#This Row],[Lowest MVA]]</f>
        <v>OMR3.55555614944344</v>
      </c>
      <c r="BD142" s="9" t="str">
        <f>CONCATENATE(TKA[[#This Row],[Supply Level]],TKA[[#This Row],[Station/Feeder]],TKA[[#This Row],[Voltage]],TKA[[#This Row],[Lowest A-No PTX]])</f>
        <v>SecondarySubstationOMR11186.6183</v>
      </c>
      <c r="BE142" s="9" t="str">
        <f>CONCATENATE(TKA[[#This Row],[Supply Level]],TKA[[#This Row],[Station/Feeder]],TKA[[#This Row],[Voltage]],TKA[[#This Row],[Lowest A-PTX]])</f>
        <v>SecondarySubstationOMR11186.6183</v>
      </c>
      <c r="BF142" s="9">
        <f>IF(MIN(TKA[[#This Row],[Summ Cont Winter A]]:TKA[[#This Row],[Cable Derating]])=0,"",MIN(TKA[[#This Row],[Summ Cont Winter A]]:TKA[[#This Row],[Cable Derating]]))</f>
        <v>3.5555561494434405</v>
      </c>
      <c r="BG142" s="9">
        <f>IFERROR(TKA[[#This Row],[Lowest MVA]]*1000/(TKA[[#This Row],[Voltage]]*SQRT(3)),"")</f>
        <v>186.61829999999998</v>
      </c>
      <c r="BH142" s="9">
        <f t="shared" si="185"/>
        <v>186.61829999999998</v>
      </c>
      <c r="BI142" s="9" t="str">
        <f>TKA[[#This Row],[From]]</f>
        <v>11 kV Bus</v>
      </c>
      <c r="BJ142" s="9" t="str">
        <f>TKA[[#This Row],[To]]</f>
        <v>M175</v>
      </c>
      <c r="BK142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Cable-1-3c 150 mm² Al PILC</v>
      </c>
      <c r="BL142" s="9">
        <f>TKA[[#This Row],[Voltage]]</f>
        <v>11</v>
      </c>
    </row>
    <row r="143" spans="1:64" s="1" customFormat="1" x14ac:dyDescent="0.25">
      <c r="A143" s="6" t="str">
        <f>CONCATENATE(TKA[[#This Row],[Supply Level]],TKA[[#This Row],[Station/Feeder]],TKA[[#This Row],[Voltage]])</f>
        <v>SecondarySubstationOMR11</v>
      </c>
      <c r="B143" s="6" t="str">
        <f>CONCATENATE(TKA[[#This Row],[Supply Level]],TKA[[#This Row],[Station/Feeder]],TKA[[#This Row],[Equipment ID]],TKA[[#This Row],[Voltage]],TKA[[#This Row],[Device type]])</f>
        <v>SecondarySubstationOMRM17511</v>
      </c>
      <c r="C143" s="6" t="s">
        <v>1277</v>
      </c>
      <c r="D143" s="6" t="s">
        <v>1443</v>
      </c>
      <c r="E143" s="46" t="s">
        <v>442</v>
      </c>
      <c r="F143" s="46" t="s">
        <v>443</v>
      </c>
      <c r="G143" s="57">
        <v>3</v>
      </c>
      <c r="H143" s="46" t="s">
        <v>273</v>
      </c>
      <c r="I143" s="46" t="s">
        <v>442</v>
      </c>
      <c r="J143" s="46" t="s">
        <v>249</v>
      </c>
      <c r="K143" s="46"/>
      <c r="L143" s="46"/>
      <c r="M143" s="57">
        <v>11</v>
      </c>
      <c r="N143" s="9" t="s">
        <v>0</v>
      </c>
      <c r="O143" s="9" t="str">
        <f t="shared" si="175"/>
        <v>-</v>
      </c>
      <c r="P143" s="9" t="s">
        <v>0</v>
      </c>
      <c r="Q143" s="9" t="str">
        <f t="shared" si="176"/>
        <v>-</v>
      </c>
      <c r="R143" s="9" t="s">
        <v>0</v>
      </c>
      <c r="S143" s="9" t="str">
        <f t="shared" si="177"/>
        <v>-</v>
      </c>
      <c r="T143" s="9" t="s">
        <v>0</v>
      </c>
      <c r="U143" s="9" t="str">
        <f t="shared" si="178"/>
        <v>-</v>
      </c>
      <c r="V143" s="9" t="s">
        <v>0</v>
      </c>
      <c r="W143" s="9" t="str">
        <f t="shared" si="179"/>
        <v>-</v>
      </c>
      <c r="X143" s="9" t="s">
        <v>0</v>
      </c>
      <c r="Y143" s="9" t="str">
        <f t="shared" si="180"/>
        <v>-</v>
      </c>
      <c r="Z143" s="9" t="s">
        <v>0</v>
      </c>
      <c r="AA143" s="9" t="str">
        <f t="shared" si="181"/>
        <v>-</v>
      </c>
      <c r="AB143" s="9" t="s">
        <v>0</v>
      </c>
      <c r="AC143" s="9" t="str">
        <f t="shared" si="182"/>
        <v>-</v>
      </c>
      <c r="AD143" s="9" t="s">
        <v>0</v>
      </c>
      <c r="AE143" s="9" t="str">
        <f t="shared" si="183"/>
        <v>-</v>
      </c>
      <c r="AF143" s="9" t="s">
        <v>0</v>
      </c>
      <c r="AG143" s="9" t="s">
        <v>0</v>
      </c>
      <c r="AH143" s="9" t="s">
        <v>0</v>
      </c>
      <c r="AI143" s="9" t="s">
        <v>0</v>
      </c>
      <c r="AJ143" s="43" t="s">
        <v>0</v>
      </c>
      <c r="AK143" s="9" t="s">
        <v>0</v>
      </c>
      <c r="AL143" s="43" t="s">
        <v>0</v>
      </c>
      <c r="AM143" s="9" t="s">
        <v>0</v>
      </c>
      <c r="AN143" s="43" t="s">
        <v>0</v>
      </c>
      <c r="AO143" s="9" t="s">
        <v>0</v>
      </c>
      <c r="AP143" s="43" t="s">
        <v>0</v>
      </c>
      <c r="AQ143" s="43" t="s">
        <v>0</v>
      </c>
      <c r="AR143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43" s="9" t="str">
        <f t="shared" si="184"/>
        <v>-</v>
      </c>
      <c r="AT143" s="9" t="str">
        <f>IF(RIGHT(TKA[[#This Row],[Device type]],7)="Winding","-",TKA[[#This Row],[Cont Winter MVA]])</f>
        <v>-</v>
      </c>
      <c r="AU143" s="9" t="str">
        <f>IF(RIGHT(TKA[[#This Row],[Device type]],7)="Winding","-",TKA[[#This Row],[Cont Shoulder MVA]])</f>
        <v>-</v>
      </c>
      <c r="AV143" s="9" t="str">
        <f>IF(RIGHT(TKA[[#This Row],[Device type]],7)="Winding","-",TKA[[#This Row],[Cont Summer MVA]])</f>
        <v>-</v>
      </c>
      <c r="AW143" s="9" t="str">
        <f>TKA[[#This Row],[24 Hr Winter MVA]]</f>
        <v>-</v>
      </c>
      <c r="AX143" s="9" t="str">
        <f>TKA[[#This Row],[24 Hr Summer MVA]]</f>
        <v>-</v>
      </c>
      <c r="AY143" s="9" t="str">
        <f>TKA[[#This Row],[Forwards MVA]]</f>
        <v>-</v>
      </c>
      <c r="AZ143" s="9" t="str">
        <f>TKA[[#This Row],[Relay MVA]]</f>
        <v>-</v>
      </c>
      <c r="BA143" s="9" t="str">
        <f>TKA[[#This Row],[CT MVA]]</f>
        <v>-</v>
      </c>
      <c r="BB143" s="9" t="str">
        <f>TKA[[#This Row],[Derating MVA]]</f>
        <v>-</v>
      </c>
      <c r="BC143" s="9" t="str">
        <f>TKA[[#This Row],[Station/Feeder]]&amp;TKA[[#This Row],[Lowest MVA]]</f>
        <v>OMR</v>
      </c>
      <c r="BD143" s="9" t="str">
        <f>CONCATENATE(TKA[[#This Row],[Supply Level]],TKA[[#This Row],[Station/Feeder]],TKA[[#This Row],[Voltage]],TKA[[#This Row],[Lowest A-No PTX]])</f>
        <v>SecondarySubstationOMR11</v>
      </c>
      <c r="BE143" s="9" t="str">
        <f>CONCATENATE(TKA[[#This Row],[Supply Level]],TKA[[#This Row],[Station/Feeder]],TKA[[#This Row],[Voltage]],TKA[[#This Row],[Lowest A-PTX]])</f>
        <v>SecondarySubstationOMR11</v>
      </c>
      <c r="BF143" s="9" t="str">
        <f>IF(MIN(TKA[[#This Row],[Summ Cont Winter A]]:TKA[[#This Row],[Cable Derating]])=0,"",MIN(TKA[[#This Row],[Summ Cont Winter A]]:TKA[[#This Row],[Cable Derating]]))</f>
        <v/>
      </c>
      <c r="BG143" s="9" t="str">
        <f>IFERROR(TKA[[#This Row],[Lowest MVA]]*1000/(TKA[[#This Row],[Voltage]]*SQRT(3)),"")</f>
        <v/>
      </c>
      <c r="BH143" s="9" t="str">
        <f t="shared" si="185"/>
        <v/>
      </c>
      <c r="BI143" s="9" t="str">
        <f>TKA[[#This Row],[From]]</f>
        <v>M175</v>
      </c>
      <c r="BJ143" s="9" t="str">
        <f>TKA[[#This Row],[To]]</f>
        <v>Pole 25260</v>
      </c>
      <c r="BK143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Link-M175-</v>
      </c>
      <c r="BL143" s="9">
        <f>TKA[[#This Row],[Voltage]]</f>
        <v>11</v>
      </c>
    </row>
    <row r="144" spans="1:64" s="1" customFormat="1" x14ac:dyDescent="0.25">
      <c r="A144" s="6" t="str">
        <f>CONCATENATE(TKA[[#This Row],[Supply Level]],TKA[[#This Row],[Station/Feeder]],TKA[[#This Row],[Voltage]])</f>
        <v>SecondarySubstationOMR11</v>
      </c>
      <c r="B144" s="6" t="str">
        <f>CONCATENATE(TKA[[#This Row],[Supply Level]],TKA[[#This Row],[Station/Feeder]],TKA[[#This Row],[Equipment ID]],TKA[[#This Row],[Voltage]],TKA[[#This Row],[Device type]])</f>
        <v>SecondarySubstationOMRHERRING11-</v>
      </c>
      <c r="C144" s="6" t="s">
        <v>1277</v>
      </c>
      <c r="D144" s="6" t="s">
        <v>1443</v>
      </c>
      <c r="E144" s="46" t="s">
        <v>442</v>
      </c>
      <c r="F144" s="46" t="s">
        <v>443</v>
      </c>
      <c r="G144" s="57">
        <v>4</v>
      </c>
      <c r="H144" s="46" t="s">
        <v>1289</v>
      </c>
      <c r="I144" s="46" t="s">
        <v>429</v>
      </c>
      <c r="J144" s="46" t="s">
        <v>69</v>
      </c>
      <c r="K144" s="46" t="s">
        <v>0</v>
      </c>
      <c r="L144" s="46" t="s">
        <v>0</v>
      </c>
      <c r="M144" s="57">
        <v>11</v>
      </c>
      <c r="N144" s="9">
        <v>96.377308793119241</v>
      </c>
      <c r="O144" s="9">
        <f t="shared" si="175"/>
        <v>1.8362343507908094</v>
      </c>
      <c r="P144" s="9" t="s">
        <v>0</v>
      </c>
      <c r="Q144" s="9" t="str">
        <f t="shared" si="176"/>
        <v>-</v>
      </c>
      <c r="R144" s="9">
        <v>73.709391096942639</v>
      </c>
      <c r="S144" s="9">
        <f t="shared" si="177"/>
        <v>1.4043525141235669</v>
      </c>
      <c r="T144" s="9" t="s">
        <v>0</v>
      </c>
      <c r="U144" s="9" t="str">
        <f t="shared" si="178"/>
        <v>-</v>
      </c>
      <c r="V144" s="9" t="s">
        <v>0</v>
      </c>
      <c r="W144" s="9" t="str">
        <f t="shared" si="179"/>
        <v>-</v>
      </c>
      <c r="X144" s="9" t="s">
        <v>0</v>
      </c>
      <c r="Y144" s="9" t="str">
        <f t="shared" si="180"/>
        <v>-</v>
      </c>
      <c r="Z144" s="9" t="s">
        <v>0</v>
      </c>
      <c r="AA144" s="9" t="str">
        <f t="shared" si="181"/>
        <v>-</v>
      </c>
      <c r="AB144" s="9" t="s">
        <v>0</v>
      </c>
      <c r="AC144" s="9" t="str">
        <f t="shared" si="182"/>
        <v>-</v>
      </c>
      <c r="AD144" s="9" t="s">
        <v>0</v>
      </c>
      <c r="AE144" s="9" t="str">
        <f t="shared" si="183"/>
        <v>-</v>
      </c>
      <c r="AF144" s="9" t="s">
        <v>0</v>
      </c>
      <c r="AG144" s="9" t="s">
        <v>0</v>
      </c>
      <c r="AH144" s="9">
        <v>2.5</v>
      </c>
      <c r="AI144" s="9" t="s">
        <v>0</v>
      </c>
      <c r="AJ144" s="43" t="s">
        <v>0</v>
      </c>
      <c r="AK144" s="9" t="s">
        <v>0</v>
      </c>
      <c r="AL144" s="43" t="s">
        <v>0</v>
      </c>
      <c r="AM144" s="9" t="s">
        <v>0</v>
      </c>
      <c r="AN144" s="43" t="s">
        <v>0</v>
      </c>
      <c r="AO144" s="9" t="s">
        <v>0</v>
      </c>
      <c r="AP144" s="9" t="s">
        <v>0</v>
      </c>
      <c r="AQ144" s="43" t="s">
        <v>0</v>
      </c>
      <c r="AR144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44" s="9" t="str">
        <f t="shared" si="184"/>
        <v>-</v>
      </c>
      <c r="AT144" s="9">
        <f>IF(RIGHT(TKA[[#This Row],[Device type]],7)="Winding","-",TKA[[#This Row],[Cont Winter MVA]])</f>
        <v>1.8362343507908094</v>
      </c>
      <c r="AU144" s="9" t="str">
        <f>IF(RIGHT(TKA[[#This Row],[Device type]],7)="Winding","-",TKA[[#This Row],[Cont Shoulder MVA]])</f>
        <v>-</v>
      </c>
      <c r="AV144" s="9">
        <f>IF(RIGHT(TKA[[#This Row],[Device type]],7)="Winding","-",TKA[[#This Row],[Cont Summer MVA]])</f>
        <v>1.4043525141235669</v>
      </c>
      <c r="AW144" s="9" t="str">
        <f>TKA[[#This Row],[24 Hr Winter MVA]]</f>
        <v>-</v>
      </c>
      <c r="AX144" s="9" t="str">
        <f>TKA[[#This Row],[24 Hr Summer MVA]]</f>
        <v>-</v>
      </c>
      <c r="AY144" s="9" t="str">
        <f>TKA[[#This Row],[Forwards MVA]]</f>
        <v>-</v>
      </c>
      <c r="AZ144" s="9" t="str">
        <f>TKA[[#This Row],[Relay MVA]]</f>
        <v>-</v>
      </c>
      <c r="BA144" s="9" t="str">
        <f>TKA[[#This Row],[CT MVA]]</f>
        <v>-</v>
      </c>
      <c r="BB144" s="9" t="str">
        <f>TKA[[#This Row],[Derating MVA]]</f>
        <v>-</v>
      </c>
      <c r="BC144" s="9" t="str">
        <f>TKA[[#This Row],[Station/Feeder]]&amp;TKA[[#This Row],[Lowest MVA]]</f>
        <v>OMR1.40435251412357</v>
      </c>
      <c r="BD144" s="9" t="str">
        <f>CONCATENATE(TKA[[#This Row],[Supply Level]],TKA[[#This Row],[Station/Feeder]],TKA[[#This Row],[Voltage]],TKA[[#This Row],[Lowest A-No PTX]])</f>
        <v>SecondarySubstationOMR1173.7093910969426</v>
      </c>
      <c r="BE144" s="9" t="str">
        <f>CONCATENATE(TKA[[#This Row],[Supply Level]],TKA[[#This Row],[Station/Feeder]],TKA[[#This Row],[Voltage]],TKA[[#This Row],[Lowest A-PTX]])</f>
        <v>SecondarySubstationOMR1173.7093910969426</v>
      </c>
      <c r="BF144" s="9">
        <f>IF(MIN(TKA[[#This Row],[Summ Cont Winter A]]:TKA[[#This Row],[Cable Derating]])=0,"",MIN(TKA[[#This Row],[Summ Cont Winter A]]:TKA[[#This Row],[Cable Derating]]))</f>
        <v>1.4043525141235669</v>
      </c>
      <c r="BG144" s="9">
        <f>IFERROR(TKA[[#This Row],[Lowest MVA]]*1000/(TKA[[#This Row],[Voltage]]*SQRT(3)),"")</f>
        <v>73.709391096942639</v>
      </c>
      <c r="BH144" s="9">
        <f t="shared" si="185"/>
        <v>73.709391096942639</v>
      </c>
      <c r="BI144" s="9" t="str">
        <f>TKA[[#This Row],[From]]</f>
        <v>M175</v>
      </c>
      <c r="BJ144" s="9" t="str">
        <f>TKA[[#This Row],[To]]</f>
        <v>Pole 25260</v>
      </c>
      <c r="BK144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Line-HERRING</v>
      </c>
      <c r="BL144" s="9">
        <f>TKA[[#This Row],[Voltage]]</f>
        <v>11</v>
      </c>
    </row>
    <row r="145" spans="1:64" s="1" customFormat="1" x14ac:dyDescent="0.25">
      <c r="A145" s="6" t="str">
        <f>CONCATENATE(TKA[[#This Row],[Supply Level]],TKA[[#This Row],[Station/Feeder]],TKA[[#This Row],[Voltage]])</f>
        <v>SecondarySubstationOMR11</v>
      </c>
      <c r="B145" s="6" t="str">
        <f>CONCATENATE(TKA[[#This Row],[Supply Level]],TKA[[#This Row],[Station/Feeder]],TKA[[#This Row],[Equipment ID]],TKA[[#This Row],[Voltage]],TKA[[#This Row],[Device type]])</f>
        <v>SecondarySubstationOMRM29711</v>
      </c>
      <c r="C145" s="6" t="s">
        <v>1277</v>
      </c>
      <c r="D145" s="6" t="s">
        <v>1443</v>
      </c>
      <c r="E145" s="46" t="s">
        <v>442</v>
      </c>
      <c r="F145" s="46" t="s">
        <v>443</v>
      </c>
      <c r="G145" s="57">
        <v>5</v>
      </c>
      <c r="H145" s="46" t="s">
        <v>273</v>
      </c>
      <c r="I145" s="46" t="s">
        <v>444</v>
      </c>
      <c r="J145" s="46" t="s">
        <v>249</v>
      </c>
      <c r="K145" s="46"/>
      <c r="L145" s="46"/>
      <c r="M145" s="57">
        <v>11</v>
      </c>
      <c r="N145" s="9">
        <v>300</v>
      </c>
      <c r="O145" s="9">
        <f t="shared" ref="O145:O170" si="186">IF(OR(N145="",N145="-"),"-",N145*$M145*SQRT(3)/1000)</f>
        <v>5.715767664977295</v>
      </c>
      <c r="P145" s="9">
        <v>300</v>
      </c>
      <c r="Q145" s="9">
        <f t="shared" ref="Q145:Q170" si="187">IF(OR(P145="",P145="-"),"-",P145*$M145*SQRT(3)/1000)</f>
        <v>5.715767664977295</v>
      </c>
      <c r="R145" s="9">
        <v>300</v>
      </c>
      <c r="S145" s="9">
        <f t="shared" ref="S145:S170" si="188">IF(OR(R145="",R145="-"),"-",R145*$M145*SQRT(3)/1000)</f>
        <v>5.715767664977295</v>
      </c>
      <c r="T145" s="9" t="s">
        <v>0</v>
      </c>
      <c r="U145" s="9" t="str">
        <f t="shared" ref="U145:U170" si="189">IF(OR(T145="",T145="-"),"-",T145*$M145*SQRT(3)/1000)</f>
        <v>-</v>
      </c>
      <c r="V145" s="9" t="s">
        <v>0</v>
      </c>
      <c r="W145" s="9" t="str">
        <f t="shared" ref="W145:W170" si="190">IF(OR(V145="",V145="-"),"-",V145*$M145*SQRT(3)/1000)</f>
        <v>-</v>
      </c>
      <c r="X145" s="9" t="s">
        <v>0</v>
      </c>
      <c r="Y145" s="9" t="str">
        <f t="shared" ref="Y145:Y170" si="191">IF(OR(X145="",X145="-"),"-",X145*$M145*SQRT(3)/1000)</f>
        <v>-</v>
      </c>
      <c r="Z145" s="9" t="s">
        <v>0</v>
      </c>
      <c r="AA145" s="9" t="str">
        <f t="shared" ref="AA145:AA170" si="192">IF(OR(Z145="",Z145="-"),"-",Z145*$M145*SQRT(3)/1000)</f>
        <v>-</v>
      </c>
      <c r="AB145" s="9" t="s">
        <v>0</v>
      </c>
      <c r="AC145" s="9" t="str">
        <f t="shared" ref="AC145:AC170" si="193">IF(OR(AB145="",AB145="-"),"-",AB145*$M145*SQRT(3)/1000)</f>
        <v>-</v>
      </c>
      <c r="AD145" s="9" t="s">
        <v>0</v>
      </c>
      <c r="AE145" s="9" t="str">
        <f t="shared" ref="AE145:AE170" si="194">IF(OR(AD145="",AD145="-"),"-",AD145*$M145*SQRT(3)/1000)</f>
        <v>-</v>
      </c>
      <c r="AF145" s="9" t="s">
        <v>0</v>
      </c>
      <c r="AG145" s="9" t="s">
        <v>0</v>
      </c>
      <c r="AH145" s="9" t="s">
        <v>0</v>
      </c>
      <c r="AI145" s="9" t="s">
        <v>0</v>
      </c>
      <c r="AJ145" s="43" t="s">
        <v>0</v>
      </c>
      <c r="AK145" s="9" t="s">
        <v>0</v>
      </c>
      <c r="AL145" s="43" t="s">
        <v>0</v>
      </c>
      <c r="AM145" s="9" t="s">
        <v>0</v>
      </c>
      <c r="AN145" s="43" t="s">
        <v>0</v>
      </c>
      <c r="AO145" s="9" t="s">
        <v>0</v>
      </c>
      <c r="AP145" s="43" t="s">
        <v>0</v>
      </c>
      <c r="AQ145" s="43" t="s">
        <v>0</v>
      </c>
      <c r="AR145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45" s="9" t="str">
        <f t="shared" ref="AS145:AS170" si="195">IF(OR(AR145="",AR145="-"),"-",AR145*$M145*SQRT(3)/1000)</f>
        <v>-</v>
      </c>
      <c r="AT145" s="9">
        <f>IF(RIGHT(TKA[[#This Row],[Device type]],7)="Winding","-",TKA[[#This Row],[Cont Winter MVA]])</f>
        <v>5.715767664977295</v>
      </c>
      <c r="AU145" s="9">
        <f>IF(RIGHT(TKA[[#This Row],[Device type]],7)="Winding","-",TKA[[#This Row],[Cont Shoulder MVA]])</f>
        <v>5.715767664977295</v>
      </c>
      <c r="AV145" s="9">
        <f>IF(RIGHT(TKA[[#This Row],[Device type]],7)="Winding","-",TKA[[#This Row],[Cont Summer MVA]])</f>
        <v>5.715767664977295</v>
      </c>
      <c r="AW145" s="9" t="str">
        <f>TKA[[#This Row],[24 Hr Winter MVA]]</f>
        <v>-</v>
      </c>
      <c r="AX145" s="9" t="str">
        <f>TKA[[#This Row],[24 Hr Summer MVA]]</f>
        <v>-</v>
      </c>
      <c r="AY145" s="9" t="str">
        <f>TKA[[#This Row],[Forwards MVA]]</f>
        <v>-</v>
      </c>
      <c r="AZ145" s="9" t="str">
        <f>TKA[[#This Row],[Relay MVA]]</f>
        <v>-</v>
      </c>
      <c r="BA145" s="9" t="str">
        <f>TKA[[#This Row],[CT MVA]]</f>
        <v>-</v>
      </c>
      <c r="BB145" s="9" t="str">
        <f>TKA[[#This Row],[Derating MVA]]</f>
        <v>-</v>
      </c>
      <c r="BC145" s="9" t="str">
        <f>TKA[[#This Row],[Station/Feeder]]&amp;TKA[[#This Row],[Lowest MVA]]</f>
        <v>OMR5.7157676649773</v>
      </c>
      <c r="BD145" s="9" t="str">
        <f>CONCATENATE(TKA[[#This Row],[Supply Level]],TKA[[#This Row],[Station/Feeder]],TKA[[#This Row],[Voltage]],TKA[[#This Row],[Lowest A-No PTX]])</f>
        <v>SecondarySubstationOMR11300</v>
      </c>
      <c r="BE145" s="9" t="str">
        <f>CONCATENATE(TKA[[#This Row],[Supply Level]],TKA[[#This Row],[Station/Feeder]],TKA[[#This Row],[Voltage]],TKA[[#This Row],[Lowest A-PTX]])</f>
        <v>SecondarySubstationOMR11300</v>
      </c>
      <c r="BF145" s="9">
        <f>IF(MIN(TKA[[#This Row],[Summ Cont Winter A]]:TKA[[#This Row],[Cable Derating]])=0,"",MIN(TKA[[#This Row],[Summ Cont Winter A]]:TKA[[#This Row],[Cable Derating]]))</f>
        <v>5.715767664977295</v>
      </c>
      <c r="BG145" s="9">
        <f>IFERROR(TKA[[#This Row],[Lowest MVA]]*1000/(TKA[[#This Row],[Voltage]]*SQRT(3)),"")</f>
        <v>300</v>
      </c>
      <c r="BH145" s="9">
        <f t="shared" si="185"/>
        <v>300</v>
      </c>
      <c r="BI145" s="9" t="str">
        <f>TKA[[#This Row],[From]]</f>
        <v>M175</v>
      </c>
      <c r="BJ145" s="9" t="str">
        <f>TKA[[#This Row],[To]]</f>
        <v>Pole 25260</v>
      </c>
      <c r="BK145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Link-M297-</v>
      </c>
      <c r="BL145" s="9">
        <f>TKA[[#This Row],[Voltage]]</f>
        <v>11</v>
      </c>
    </row>
    <row r="146" spans="1:64" s="1" customFormat="1" x14ac:dyDescent="0.25">
      <c r="A146" s="6" t="str">
        <f>CONCATENATE(TKA[[#This Row],[Supply Level]],TKA[[#This Row],[Station/Feeder]],TKA[[#This Row],[Voltage]])</f>
        <v>SecondarySubstationOMR11</v>
      </c>
      <c r="B146" s="6" t="str">
        <f>CONCATENATE(TKA[[#This Row],[Supply Level]],TKA[[#This Row],[Station/Feeder]],TKA[[#This Row],[Equipment ID]],TKA[[#This Row],[Voltage]],TKA[[#This Row],[Device type]])</f>
        <v>SecondarySubstationOMRHERRING11-</v>
      </c>
      <c r="C146" s="6" t="s">
        <v>1277</v>
      </c>
      <c r="D146" s="6" t="s">
        <v>1443</v>
      </c>
      <c r="E146" s="46" t="s">
        <v>442</v>
      </c>
      <c r="F146" s="46" t="s">
        <v>443</v>
      </c>
      <c r="G146" s="57">
        <v>6</v>
      </c>
      <c r="H146" s="46" t="s">
        <v>1289</v>
      </c>
      <c r="I146" s="46" t="s">
        <v>429</v>
      </c>
      <c r="J146" s="46" t="s">
        <v>69</v>
      </c>
      <c r="K146" s="46" t="s">
        <v>0</v>
      </c>
      <c r="L146" s="46" t="s">
        <v>0</v>
      </c>
      <c r="M146" s="57">
        <v>11</v>
      </c>
      <c r="N146" s="9">
        <v>96.377308793119241</v>
      </c>
      <c r="O146" s="9">
        <f t="shared" si="186"/>
        <v>1.8362343507908094</v>
      </c>
      <c r="P146" s="9" t="s">
        <v>0</v>
      </c>
      <c r="Q146" s="9" t="str">
        <f t="shared" si="187"/>
        <v>-</v>
      </c>
      <c r="R146" s="9">
        <v>73.709391096942639</v>
      </c>
      <c r="S146" s="9">
        <f t="shared" si="188"/>
        <v>1.4043525141235669</v>
      </c>
      <c r="T146" s="9" t="s">
        <v>0</v>
      </c>
      <c r="U146" s="9" t="str">
        <f t="shared" si="189"/>
        <v>-</v>
      </c>
      <c r="V146" s="9" t="s">
        <v>0</v>
      </c>
      <c r="W146" s="9" t="str">
        <f t="shared" si="190"/>
        <v>-</v>
      </c>
      <c r="X146" s="9" t="s">
        <v>0</v>
      </c>
      <c r="Y146" s="9" t="str">
        <f t="shared" si="191"/>
        <v>-</v>
      </c>
      <c r="Z146" s="9" t="s">
        <v>0</v>
      </c>
      <c r="AA146" s="9" t="str">
        <f t="shared" si="192"/>
        <v>-</v>
      </c>
      <c r="AB146" s="9" t="s">
        <v>0</v>
      </c>
      <c r="AC146" s="9" t="str">
        <f t="shared" si="193"/>
        <v>-</v>
      </c>
      <c r="AD146" s="9" t="s">
        <v>0</v>
      </c>
      <c r="AE146" s="9" t="str">
        <f t="shared" si="194"/>
        <v>-</v>
      </c>
      <c r="AF146" s="9" t="s">
        <v>0</v>
      </c>
      <c r="AG146" s="9" t="s">
        <v>0</v>
      </c>
      <c r="AH146" s="9">
        <v>1169.5</v>
      </c>
      <c r="AI146" s="9" t="s">
        <v>0</v>
      </c>
      <c r="AJ146" s="43" t="s">
        <v>0</v>
      </c>
      <c r="AK146" s="9" t="s">
        <v>0</v>
      </c>
      <c r="AL146" s="43" t="s">
        <v>0</v>
      </c>
      <c r="AM146" s="9" t="s">
        <v>0</v>
      </c>
      <c r="AN146" s="43" t="s">
        <v>0</v>
      </c>
      <c r="AO146" s="9" t="s">
        <v>0</v>
      </c>
      <c r="AP146" s="9" t="s">
        <v>0</v>
      </c>
      <c r="AQ146" s="43" t="s">
        <v>0</v>
      </c>
      <c r="AR146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46" s="9" t="str">
        <f t="shared" si="195"/>
        <v>-</v>
      </c>
      <c r="AT146" s="9">
        <f>IF(RIGHT(TKA[[#This Row],[Device type]],7)="Winding","-",TKA[[#This Row],[Cont Winter MVA]])</f>
        <v>1.8362343507908094</v>
      </c>
      <c r="AU146" s="9" t="str">
        <f>IF(RIGHT(TKA[[#This Row],[Device type]],7)="Winding","-",TKA[[#This Row],[Cont Shoulder MVA]])</f>
        <v>-</v>
      </c>
      <c r="AV146" s="9">
        <f>IF(RIGHT(TKA[[#This Row],[Device type]],7)="Winding","-",TKA[[#This Row],[Cont Summer MVA]])</f>
        <v>1.4043525141235669</v>
      </c>
      <c r="AW146" s="9" t="str">
        <f>TKA[[#This Row],[24 Hr Winter MVA]]</f>
        <v>-</v>
      </c>
      <c r="AX146" s="9" t="str">
        <f>TKA[[#This Row],[24 Hr Summer MVA]]</f>
        <v>-</v>
      </c>
      <c r="AY146" s="9" t="str">
        <f>TKA[[#This Row],[Forwards MVA]]</f>
        <v>-</v>
      </c>
      <c r="AZ146" s="9" t="str">
        <f>TKA[[#This Row],[Relay MVA]]</f>
        <v>-</v>
      </c>
      <c r="BA146" s="9" t="str">
        <f>TKA[[#This Row],[CT MVA]]</f>
        <v>-</v>
      </c>
      <c r="BB146" s="9" t="str">
        <f>TKA[[#This Row],[Derating MVA]]</f>
        <v>-</v>
      </c>
      <c r="BC146" s="9" t="str">
        <f>TKA[[#This Row],[Station/Feeder]]&amp;TKA[[#This Row],[Lowest MVA]]</f>
        <v>OMR1.40435251412357</v>
      </c>
      <c r="BD146" s="9" t="str">
        <f>CONCATENATE(TKA[[#This Row],[Supply Level]],TKA[[#This Row],[Station/Feeder]],TKA[[#This Row],[Voltage]],TKA[[#This Row],[Lowest A-No PTX]])</f>
        <v>SecondarySubstationOMR1173.7093910969426</v>
      </c>
      <c r="BE146" s="9" t="str">
        <f>CONCATENATE(TKA[[#This Row],[Supply Level]],TKA[[#This Row],[Station/Feeder]],TKA[[#This Row],[Voltage]],TKA[[#This Row],[Lowest A-PTX]])</f>
        <v>SecondarySubstationOMR1173.7093910969426</v>
      </c>
      <c r="BF146" s="9">
        <f>IF(MIN(TKA[[#This Row],[Summ Cont Winter A]]:TKA[[#This Row],[Cable Derating]])=0,"",MIN(TKA[[#This Row],[Summ Cont Winter A]]:TKA[[#This Row],[Cable Derating]]))</f>
        <v>1.4043525141235669</v>
      </c>
      <c r="BG146" s="9">
        <f>IFERROR(TKA[[#This Row],[Lowest MVA]]*1000/(TKA[[#This Row],[Voltage]]*SQRT(3)),"")</f>
        <v>73.709391096942639</v>
      </c>
      <c r="BH146" s="9">
        <f t="shared" si="185"/>
        <v>73.709391096942639</v>
      </c>
      <c r="BI146" s="9" t="str">
        <f>TKA[[#This Row],[From]]</f>
        <v>M175</v>
      </c>
      <c r="BJ146" s="9" t="str">
        <f>TKA[[#This Row],[To]]</f>
        <v>Pole 25260</v>
      </c>
      <c r="BK146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Line-HERRING</v>
      </c>
      <c r="BL146" s="9">
        <f>TKA[[#This Row],[Voltage]]</f>
        <v>11</v>
      </c>
    </row>
    <row r="147" spans="1:64" s="1" customFormat="1" x14ac:dyDescent="0.25">
      <c r="A147" s="6" t="str">
        <f>CONCATENATE(TKA[[#This Row],[Supply Level]],TKA[[#This Row],[Station/Feeder]],TKA[[#This Row],[Voltage]])</f>
        <v>SecondarySubstationOMR11</v>
      </c>
      <c r="B147" s="6" t="str">
        <f>CONCATENATE(TKA[[#This Row],[Supply Level]],TKA[[#This Row],[Station/Feeder]],TKA[[#This Row],[Equipment ID]],TKA[[#This Row],[Voltage]],TKA[[#This Row],[Device type]])</f>
        <v>SecondarySubstationOMRHERRING11-</v>
      </c>
      <c r="C147" s="6" t="s">
        <v>1277</v>
      </c>
      <c r="D147" s="6" t="s">
        <v>1443</v>
      </c>
      <c r="E147" s="46" t="s">
        <v>443</v>
      </c>
      <c r="F147" s="46" t="s">
        <v>446</v>
      </c>
      <c r="G147" s="57">
        <v>7</v>
      </c>
      <c r="H147" s="46" t="s">
        <v>1289</v>
      </c>
      <c r="I147" s="46" t="s">
        <v>429</v>
      </c>
      <c r="J147" s="46" t="s">
        <v>69</v>
      </c>
      <c r="K147" s="46" t="s">
        <v>0</v>
      </c>
      <c r="L147" s="46" t="s">
        <v>0</v>
      </c>
      <c r="M147" s="57">
        <v>11</v>
      </c>
      <c r="N147" s="9">
        <v>96.377308793119241</v>
      </c>
      <c r="O147" s="9">
        <f t="shared" si="186"/>
        <v>1.8362343507908094</v>
      </c>
      <c r="P147" s="9" t="s">
        <v>0</v>
      </c>
      <c r="Q147" s="9" t="str">
        <f t="shared" si="187"/>
        <v>-</v>
      </c>
      <c r="R147" s="9">
        <v>73.709391096942639</v>
      </c>
      <c r="S147" s="9">
        <f t="shared" si="188"/>
        <v>1.4043525141235669</v>
      </c>
      <c r="T147" s="9" t="s">
        <v>0</v>
      </c>
      <c r="U147" s="9" t="str">
        <f t="shared" si="189"/>
        <v>-</v>
      </c>
      <c r="V147" s="9" t="s">
        <v>0</v>
      </c>
      <c r="W147" s="9" t="str">
        <f t="shared" si="190"/>
        <v>-</v>
      </c>
      <c r="X147" s="9" t="s">
        <v>0</v>
      </c>
      <c r="Y147" s="9" t="str">
        <f t="shared" si="191"/>
        <v>-</v>
      </c>
      <c r="Z147" s="9" t="s">
        <v>0</v>
      </c>
      <c r="AA147" s="9" t="str">
        <f t="shared" si="192"/>
        <v>-</v>
      </c>
      <c r="AB147" s="9" t="s">
        <v>0</v>
      </c>
      <c r="AC147" s="9" t="str">
        <f t="shared" si="193"/>
        <v>-</v>
      </c>
      <c r="AD147" s="9" t="s">
        <v>0</v>
      </c>
      <c r="AE147" s="9" t="str">
        <f t="shared" si="194"/>
        <v>-</v>
      </c>
      <c r="AF147" s="9" t="s">
        <v>0</v>
      </c>
      <c r="AG147" s="9" t="s">
        <v>0</v>
      </c>
      <c r="AH147" s="9">
        <v>2090.9</v>
      </c>
      <c r="AI147" s="9" t="s">
        <v>0</v>
      </c>
      <c r="AJ147" s="43" t="s">
        <v>0</v>
      </c>
      <c r="AK147" s="9" t="s">
        <v>0</v>
      </c>
      <c r="AL147" s="43" t="s">
        <v>0</v>
      </c>
      <c r="AM147" s="9" t="s">
        <v>0</v>
      </c>
      <c r="AN147" s="43" t="s">
        <v>0</v>
      </c>
      <c r="AO147" s="9" t="s">
        <v>0</v>
      </c>
      <c r="AP147" s="9" t="s">
        <v>0</v>
      </c>
      <c r="AQ147" s="43" t="s">
        <v>0</v>
      </c>
      <c r="AR147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47" s="9" t="str">
        <f t="shared" si="195"/>
        <v>-</v>
      </c>
      <c r="AT147" s="9">
        <f>IF(RIGHT(TKA[[#This Row],[Device type]],7)="Winding","-",TKA[[#This Row],[Cont Winter MVA]])</f>
        <v>1.8362343507908094</v>
      </c>
      <c r="AU147" s="9" t="str">
        <f>IF(RIGHT(TKA[[#This Row],[Device type]],7)="Winding","-",TKA[[#This Row],[Cont Shoulder MVA]])</f>
        <v>-</v>
      </c>
      <c r="AV147" s="9">
        <f>IF(RIGHT(TKA[[#This Row],[Device type]],7)="Winding","-",TKA[[#This Row],[Cont Summer MVA]])</f>
        <v>1.4043525141235669</v>
      </c>
      <c r="AW147" s="9" t="str">
        <f>TKA[[#This Row],[24 Hr Winter MVA]]</f>
        <v>-</v>
      </c>
      <c r="AX147" s="9" t="str">
        <f>TKA[[#This Row],[24 Hr Summer MVA]]</f>
        <v>-</v>
      </c>
      <c r="AY147" s="9" t="str">
        <f>TKA[[#This Row],[Forwards MVA]]</f>
        <v>-</v>
      </c>
      <c r="AZ147" s="9" t="str">
        <f>TKA[[#This Row],[Relay MVA]]</f>
        <v>-</v>
      </c>
      <c r="BA147" s="9" t="str">
        <f>TKA[[#This Row],[CT MVA]]</f>
        <v>-</v>
      </c>
      <c r="BB147" s="9" t="str">
        <f>TKA[[#This Row],[Derating MVA]]</f>
        <v>-</v>
      </c>
      <c r="BC147" s="9" t="str">
        <f>TKA[[#This Row],[Station/Feeder]]&amp;TKA[[#This Row],[Lowest MVA]]</f>
        <v>OMR1.40435251412357</v>
      </c>
      <c r="BD147" s="9" t="str">
        <f>CONCATENATE(TKA[[#This Row],[Supply Level]],TKA[[#This Row],[Station/Feeder]],TKA[[#This Row],[Voltage]],TKA[[#This Row],[Lowest A-No PTX]])</f>
        <v>SecondarySubstationOMR1173.7093910969426</v>
      </c>
      <c r="BE147" s="9" t="str">
        <f>CONCATENATE(TKA[[#This Row],[Supply Level]],TKA[[#This Row],[Station/Feeder]],TKA[[#This Row],[Voltage]],TKA[[#This Row],[Lowest A-PTX]])</f>
        <v>SecondarySubstationOMR1173.7093910969426</v>
      </c>
      <c r="BF147" s="9">
        <f>IF(MIN(TKA[[#This Row],[Summ Cont Winter A]]:TKA[[#This Row],[Cable Derating]])=0,"",MIN(TKA[[#This Row],[Summ Cont Winter A]]:TKA[[#This Row],[Cable Derating]]))</f>
        <v>1.4043525141235669</v>
      </c>
      <c r="BG147" s="9">
        <f>IFERROR(TKA[[#This Row],[Lowest MVA]]*1000/(TKA[[#This Row],[Voltage]]*SQRT(3)),"")</f>
        <v>73.709391096942639</v>
      </c>
      <c r="BH147" s="9">
        <f t="shared" ref="BH147:BH170" si="196">IF(MIN(N147,P147,R147,T147,V147,X147,Z147,AB147,AD147,AR147)=0,"",MIN(N147,P147,R147,T147,V147,X147,Z147,AB147,AD147,AR147))</f>
        <v>73.709391096942639</v>
      </c>
      <c r="BI147" s="9" t="str">
        <f>TKA[[#This Row],[From]]</f>
        <v>Pole 25260</v>
      </c>
      <c r="BJ147" s="9" t="str">
        <f>TKA[[#This Row],[To]]</f>
        <v>M306</v>
      </c>
      <c r="BK147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Line-HERRING</v>
      </c>
      <c r="BL147" s="9">
        <f>TKA[[#This Row],[Voltage]]</f>
        <v>11</v>
      </c>
    </row>
    <row r="148" spans="1:64" s="1" customFormat="1" x14ac:dyDescent="0.25">
      <c r="A148" s="6" t="str">
        <f>CONCATENATE(TKA[[#This Row],[Supply Level]],TKA[[#This Row],[Station/Feeder]],TKA[[#This Row],[Voltage]])</f>
        <v>SecondarySubstationOMR11</v>
      </c>
      <c r="B148" s="6" t="str">
        <f>CONCATENATE(TKA[[#This Row],[Supply Level]],TKA[[#This Row],[Station/Feeder]],TKA[[#This Row],[Equipment ID]],TKA[[#This Row],[Voltage]],TKA[[#This Row],[Device type]])</f>
        <v>SecondarySubstationOMRM30511-</v>
      </c>
      <c r="C148" s="6" t="s">
        <v>1277</v>
      </c>
      <c r="D148" s="6" t="s">
        <v>1443</v>
      </c>
      <c r="E148" s="46" t="s">
        <v>443</v>
      </c>
      <c r="F148" s="46" t="s">
        <v>446</v>
      </c>
      <c r="G148" s="57">
        <v>8</v>
      </c>
      <c r="H148" s="46" t="s">
        <v>273</v>
      </c>
      <c r="I148" s="46" t="s">
        <v>445</v>
      </c>
      <c r="J148" s="46" t="s">
        <v>249</v>
      </c>
      <c r="K148" s="46" t="s">
        <v>0</v>
      </c>
      <c r="L148" s="46" t="s">
        <v>0</v>
      </c>
      <c r="M148" s="57">
        <v>11</v>
      </c>
      <c r="N148" s="9">
        <v>300</v>
      </c>
      <c r="O148" s="9">
        <f t="shared" si="186"/>
        <v>5.715767664977295</v>
      </c>
      <c r="P148" s="9">
        <v>300</v>
      </c>
      <c r="Q148" s="9">
        <f t="shared" si="187"/>
        <v>5.715767664977295</v>
      </c>
      <c r="R148" s="9">
        <v>300</v>
      </c>
      <c r="S148" s="9">
        <f t="shared" si="188"/>
        <v>5.715767664977295</v>
      </c>
      <c r="T148" s="9" t="s">
        <v>0</v>
      </c>
      <c r="U148" s="9" t="str">
        <f t="shared" si="189"/>
        <v>-</v>
      </c>
      <c r="V148" s="9" t="s">
        <v>0</v>
      </c>
      <c r="W148" s="9" t="str">
        <f t="shared" si="190"/>
        <v>-</v>
      </c>
      <c r="X148" s="9" t="s">
        <v>0</v>
      </c>
      <c r="Y148" s="9" t="str">
        <f t="shared" si="191"/>
        <v>-</v>
      </c>
      <c r="Z148" s="9" t="s">
        <v>0</v>
      </c>
      <c r="AA148" s="9" t="str">
        <f t="shared" si="192"/>
        <v>-</v>
      </c>
      <c r="AB148" s="9" t="s">
        <v>0</v>
      </c>
      <c r="AC148" s="9" t="str">
        <f t="shared" si="193"/>
        <v>-</v>
      </c>
      <c r="AD148" s="9" t="s">
        <v>0</v>
      </c>
      <c r="AE148" s="9" t="str">
        <f t="shared" si="194"/>
        <v>-</v>
      </c>
      <c r="AF148" s="9" t="s">
        <v>0</v>
      </c>
      <c r="AG148" s="9" t="s">
        <v>0</v>
      </c>
      <c r="AH148" s="9" t="s">
        <v>0</v>
      </c>
      <c r="AI148" s="9" t="s">
        <v>0</v>
      </c>
      <c r="AJ148" s="43" t="s">
        <v>0</v>
      </c>
      <c r="AK148" s="9" t="s">
        <v>0</v>
      </c>
      <c r="AL148" s="43" t="s">
        <v>0</v>
      </c>
      <c r="AM148" s="9" t="s">
        <v>0</v>
      </c>
      <c r="AN148" s="43" t="s">
        <v>0</v>
      </c>
      <c r="AO148" s="9" t="s">
        <v>0</v>
      </c>
      <c r="AP148" s="9" t="s">
        <v>0</v>
      </c>
      <c r="AQ148" s="43" t="s">
        <v>0</v>
      </c>
      <c r="AR148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48" s="9" t="str">
        <f t="shared" si="195"/>
        <v>-</v>
      </c>
      <c r="AT148" s="9">
        <f>IF(RIGHT(TKA[[#This Row],[Device type]],7)="Winding","-",TKA[[#This Row],[Cont Winter MVA]])</f>
        <v>5.715767664977295</v>
      </c>
      <c r="AU148" s="9">
        <f>IF(RIGHT(TKA[[#This Row],[Device type]],7)="Winding","-",TKA[[#This Row],[Cont Shoulder MVA]])</f>
        <v>5.715767664977295</v>
      </c>
      <c r="AV148" s="9">
        <f>IF(RIGHT(TKA[[#This Row],[Device type]],7)="Winding","-",TKA[[#This Row],[Cont Summer MVA]])</f>
        <v>5.715767664977295</v>
      </c>
      <c r="AW148" s="9" t="str">
        <f>TKA[[#This Row],[24 Hr Winter MVA]]</f>
        <v>-</v>
      </c>
      <c r="AX148" s="9" t="str">
        <f>TKA[[#This Row],[24 Hr Summer MVA]]</f>
        <v>-</v>
      </c>
      <c r="AY148" s="9" t="str">
        <f>TKA[[#This Row],[Forwards MVA]]</f>
        <v>-</v>
      </c>
      <c r="AZ148" s="9" t="str">
        <f>TKA[[#This Row],[Relay MVA]]</f>
        <v>-</v>
      </c>
      <c r="BA148" s="9" t="str">
        <f>TKA[[#This Row],[CT MVA]]</f>
        <v>-</v>
      </c>
      <c r="BB148" s="9" t="str">
        <f>TKA[[#This Row],[Derating MVA]]</f>
        <v>-</v>
      </c>
      <c r="BC148" s="9" t="str">
        <f>TKA[[#This Row],[Station/Feeder]]&amp;TKA[[#This Row],[Lowest MVA]]</f>
        <v>OMR5.7157676649773</v>
      </c>
      <c r="BD148" s="9" t="str">
        <f>CONCATENATE(TKA[[#This Row],[Supply Level]],TKA[[#This Row],[Station/Feeder]],TKA[[#This Row],[Voltage]],TKA[[#This Row],[Lowest A-No PTX]])</f>
        <v>SecondarySubstationOMR11300</v>
      </c>
      <c r="BE148" s="9" t="str">
        <f>CONCATENATE(TKA[[#This Row],[Supply Level]],TKA[[#This Row],[Station/Feeder]],TKA[[#This Row],[Voltage]],TKA[[#This Row],[Lowest A-PTX]])</f>
        <v>SecondarySubstationOMR11300</v>
      </c>
      <c r="BF148" s="9">
        <f>IF(MIN(TKA[[#This Row],[Summ Cont Winter A]]:TKA[[#This Row],[Cable Derating]])=0,"",MIN(TKA[[#This Row],[Summ Cont Winter A]]:TKA[[#This Row],[Cable Derating]]))</f>
        <v>5.715767664977295</v>
      </c>
      <c r="BG148" s="9">
        <f>IFERROR(TKA[[#This Row],[Lowest MVA]]*1000/(TKA[[#This Row],[Voltage]]*SQRT(3)),"")</f>
        <v>300</v>
      </c>
      <c r="BH148" s="9">
        <f t="shared" si="196"/>
        <v>300</v>
      </c>
      <c r="BI148" s="9" t="str">
        <f>TKA[[#This Row],[From]]</f>
        <v>Pole 25260</v>
      </c>
      <c r="BJ148" s="9" t="str">
        <f>TKA[[#This Row],[To]]</f>
        <v>M306</v>
      </c>
      <c r="BK148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Link-M305</v>
      </c>
      <c r="BL148" s="9">
        <f>TKA[[#This Row],[Voltage]]</f>
        <v>11</v>
      </c>
    </row>
    <row r="149" spans="1:64" s="1" customFormat="1" x14ac:dyDescent="0.25">
      <c r="A149" s="6" t="str">
        <f>CONCATENATE(TKA[[#This Row],[Supply Level]],TKA[[#This Row],[Station/Feeder]],TKA[[#This Row],[Voltage]])</f>
        <v>SecondarySubstationOMR11</v>
      </c>
      <c r="B149" s="6" t="str">
        <f>CONCATENATE(TKA[[#This Row],[Supply Level]],TKA[[#This Row],[Station/Feeder]],TKA[[#This Row],[Equipment ID]],TKA[[#This Row],[Voltage]],TKA[[#This Row],[Device type]])</f>
        <v>SecondarySubstationOMRE34311Controller</v>
      </c>
      <c r="C149" s="6" t="s">
        <v>1277</v>
      </c>
      <c r="D149" s="6" t="s">
        <v>1443</v>
      </c>
      <c r="E149" s="46" t="s">
        <v>443</v>
      </c>
      <c r="F149" s="46" t="s">
        <v>446</v>
      </c>
      <c r="G149" s="57">
        <v>9</v>
      </c>
      <c r="H149" s="46" t="s">
        <v>449</v>
      </c>
      <c r="I149" s="46" t="s">
        <v>447</v>
      </c>
      <c r="J149" s="46" t="s">
        <v>448</v>
      </c>
      <c r="K149" s="46" t="s">
        <v>450</v>
      </c>
      <c r="L149" s="46" t="s">
        <v>451</v>
      </c>
      <c r="M149" s="57">
        <v>11</v>
      </c>
      <c r="N149" s="9">
        <v>200</v>
      </c>
      <c r="O149" s="9">
        <f t="shared" si="186"/>
        <v>3.8105117766515302</v>
      </c>
      <c r="P149" s="9">
        <v>200</v>
      </c>
      <c r="Q149" s="9">
        <f t="shared" si="187"/>
        <v>3.8105117766515302</v>
      </c>
      <c r="R149" s="9">
        <v>200</v>
      </c>
      <c r="S149" s="9">
        <f t="shared" si="188"/>
        <v>3.8105117766515302</v>
      </c>
      <c r="T149" s="9" t="s">
        <v>0</v>
      </c>
      <c r="U149" s="9" t="str">
        <f t="shared" si="189"/>
        <v>-</v>
      </c>
      <c r="V149" s="9" t="s">
        <v>0</v>
      </c>
      <c r="W149" s="9" t="str">
        <f t="shared" si="190"/>
        <v>-</v>
      </c>
      <c r="X149" s="9">
        <v>200</v>
      </c>
      <c r="Y149" s="9">
        <f t="shared" si="191"/>
        <v>3.8105117766515302</v>
      </c>
      <c r="Z149" s="9">
        <v>200</v>
      </c>
      <c r="AA149" s="9">
        <f t="shared" si="192"/>
        <v>3.8105117766515302</v>
      </c>
      <c r="AB149" s="9" t="s">
        <v>0</v>
      </c>
      <c r="AC149" s="9" t="str">
        <f t="shared" si="193"/>
        <v>-</v>
      </c>
      <c r="AD149" s="9" t="s">
        <v>0</v>
      </c>
      <c r="AE149" s="9" t="str">
        <f t="shared" si="194"/>
        <v>-</v>
      </c>
      <c r="AF149" s="9" t="s">
        <v>0</v>
      </c>
      <c r="AG149" s="9" t="s">
        <v>0</v>
      </c>
      <c r="AH149" s="9" t="s">
        <v>0</v>
      </c>
      <c r="AI149" s="9" t="s">
        <v>0</v>
      </c>
      <c r="AJ149" s="43" t="s">
        <v>0</v>
      </c>
      <c r="AK149" s="9" t="s">
        <v>0</v>
      </c>
      <c r="AL149" s="43" t="s">
        <v>0</v>
      </c>
      <c r="AM149" s="9" t="s">
        <v>0</v>
      </c>
      <c r="AN149" s="43" t="s">
        <v>0</v>
      </c>
      <c r="AO149" s="9" t="s">
        <v>0</v>
      </c>
      <c r="AP149" s="9" t="s">
        <v>0</v>
      </c>
      <c r="AQ149" s="43" t="s">
        <v>0</v>
      </c>
      <c r="AR149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49" s="9" t="str">
        <f t="shared" si="195"/>
        <v>-</v>
      </c>
      <c r="AT149" s="9">
        <f>IF(RIGHT(TKA[[#This Row],[Device type]],7)="Winding","-",TKA[[#This Row],[Cont Winter MVA]])</f>
        <v>3.8105117766515302</v>
      </c>
      <c r="AU149" s="9">
        <f>IF(RIGHT(TKA[[#This Row],[Device type]],7)="Winding","-",TKA[[#This Row],[Cont Shoulder MVA]])</f>
        <v>3.8105117766515302</v>
      </c>
      <c r="AV149" s="9">
        <f>IF(RIGHT(TKA[[#This Row],[Device type]],7)="Winding","-",TKA[[#This Row],[Cont Summer MVA]])</f>
        <v>3.8105117766515302</v>
      </c>
      <c r="AW149" s="9" t="str">
        <f>TKA[[#This Row],[24 Hr Winter MVA]]</f>
        <v>-</v>
      </c>
      <c r="AX149" s="9" t="str">
        <f>TKA[[#This Row],[24 Hr Summer MVA]]</f>
        <v>-</v>
      </c>
      <c r="AY149" s="9">
        <f>TKA[[#This Row],[Forwards MVA]]</f>
        <v>3.8105117766515302</v>
      </c>
      <c r="AZ149" s="9" t="str">
        <f>TKA[[#This Row],[Relay MVA]]</f>
        <v>-</v>
      </c>
      <c r="BA149" s="9" t="str">
        <f>TKA[[#This Row],[CT MVA]]</f>
        <v>-</v>
      </c>
      <c r="BB149" s="9" t="str">
        <f>TKA[[#This Row],[Derating MVA]]</f>
        <v>-</v>
      </c>
      <c r="BC149" s="9" t="str">
        <f>TKA[[#This Row],[Station/Feeder]]&amp;TKA[[#This Row],[Lowest MVA]]</f>
        <v>OMR3.81051177665153</v>
      </c>
      <c r="BD149" s="9" t="str">
        <f>CONCATENATE(TKA[[#This Row],[Supply Level]],TKA[[#This Row],[Station/Feeder]],TKA[[#This Row],[Voltage]],TKA[[#This Row],[Lowest A-No PTX]])</f>
        <v>SecondarySubstationOMR11200</v>
      </c>
      <c r="BE149" s="9" t="str">
        <f>CONCATENATE(TKA[[#This Row],[Supply Level]],TKA[[#This Row],[Station/Feeder]],TKA[[#This Row],[Voltage]],TKA[[#This Row],[Lowest A-PTX]])</f>
        <v>SecondarySubstationOMR11200</v>
      </c>
      <c r="BF149" s="9">
        <f>IF(MIN(TKA[[#This Row],[Summ Cont Winter A]]:TKA[[#This Row],[Cable Derating]])=0,"",MIN(TKA[[#This Row],[Summ Cont Winter A]]:TKA[[#This Row],[Cable Derating]]))</f>
        <v>3.8105117766515302</v>
      </c>
      <c r="BG149" s="9">
        <f>IFERROR(TKA[[#This Row],[Lowest MVA]]*1000/(TKA[[#This Row],[Voltage]]*SQRT(3)),"")</f>
        <v>200</v>
      </c>
      <c r="BH149" s="9">
        <f t="shared" si="196"/>
        <v>200</v>
      </c>
      <c r="BI149" s="9" t="str">
        <f>TKA[[#This Row],[From]]</f>
        <v>Pole 25260</v>
      </c>
      <c r="BJ149" s="9" t="str">
        <f>TKA[[#This Row],[To]]</f>
        <v>M306</v>
      </c>
      <c r="BK149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Regulator-E343-Controller</v>
      </c>
      <c r="BL149" s="9">
        <f>TKA[[#This Row],[Voltage]]</f>
        <v>11</v>
      </c>
    </row>
    <row r="150" spans="1:64" s="1" customFormat="1" x14ac:dyDescent="0.25">
      <c r="A150" s="6" t="str">
        <f>CONCATENATE(TKA[[#This Row],[Supply Level]],TKA[[#This Row],[Station/Feeder]],TKA[[#This Row],[Voltage]])</f>
        <v>SecondarySubstationOMR11</v>
      </c>
      <c r="B150" s="6" t="str">
        <f>CONCATENATE(TKA[[#This Row],[Supply Level]],TKA[[#This Row],[Station/Feeder]],TKA[[#This Row],[Equipment ID]],TKA[[#This Row],[Voltage]],TKA[[#This Row],[Device type]])</f>
        <v>SecondarySubstationOMRM30611-</v>
      </c>
      <c r="C150" s="6" t="s">
        <v>1277</v>
      </c>
      <c r="D150" s="6" t="s">
        <v>1443</v>
      </c>
      <c r="E150" s="46" t="s">
        <v>443</v>
      </c>
      <c r="F150" s="46" t="s">
        <v>446</v>
      </c>
      <c r="G150" s="57">
        <v>10</v>
      </c>
      <c r="H150" s="46" t="s">
        <v>273</v>
      </c>
      <c r="I150" s="46" t="s">
        <v>446</v>
      </c>
      <c r="J150" s="46" t="s">
        <v>249</v>
      </c>
      <c r="K150" s="46" t="s">
        <v>0</v>
      </c>
      <c r="L150" s="46" t="s">
        <v>0</v>
      </c>
      <c r="M150" s="57">
        <v>11</v>
      </c>
      <c r="N150" s="9">
        <v>300</v>
      </c>
      <c r="O150" s="9">
        <f t="shared" si="186"/>
        <v>5.715767664977295</v>
      </c>
      <c r="P150" s="9">
        <v>300</v>
      </c>
      <c r="Q150" s="9">
        <f t="shared" si="187"/>
        <v>5.715767664977295</v>
      </c>
      <c r="R150" s="9">
        <v>300</v>
      </c>
      <c r="S150" s="9">
        <f t="shared" si="188"/>
        <v>5.715767664977295</v>
      </c>
      <c r="T150" s="9" t="s">
        <v>0</v>
      </c>
      <c r="U150" s="9" t="str">
        <f t="shared" si="189"/>
        <v>-</v>
      </c>
      <c r="V150" s="9" t="s">
        <v>0</v>
      </c>
      <c r="W150" s="9" t="str">
        <f t="shared" si="190"/>
        <v>-</v>
      </c>
      <c r="X150" s="9" t="s">
        <v>0</v>
      </c>
      <c r="Y150" s="9" t="str">
        <f t="shared" si="191"/>
        <v>-</v>
      </c>
      <c r="Z150" s="9" t="s">
        <v>0</v>
      </c>
      <c r="AA150" s="9" t="str">
        <f t="shared" si="192"/>
        <v>-</v>
      </c>
      <c r="AB150" s="9" t="s">
        <v>0</v>
      </c>
      <c r="AC150" s="9" t="str">
        <f t="shared" si="193"/>
        <v>-</v>
      </c>
      <c r="AD150" s="9" t="s">
        <v>0</v>
      </c>
      <c r="AE150" s="9" t="str">
        <f t="shared" si="194"/>
        <v>-</v>
      </c>
      <c r="AF150" s="9" t="s">
        <v>0</v>
      </c>
      <c r="AG150" s="9" t="s">
        <v>0</v>
      </c>
      <c r="AH150" s="9" t="s">
        <v>0</v>
      </c>
      <c r="AI150" s="9" t="s">
        <v>0</v>
      </c>
      <c r="AJ150" s="43" t="s">
        <v>0</v>
      </c>
      <c r="AK150" s="9" t="s">
        <v>0</v>
      </c>
      <c r="AL150" s="43" t="s">
        <v>0</v>
      </c>
      <c r="AM150" s="9" t="s">
        <v>0</v>
      </c>
      <c r="AN150" s="43" t="s">
        <v>0</v>
      </c>
      <c r="AO150" s="9" t="s">
        <v>0</v>
      </c>
      <c r="AP150" s="9" t="s">
        <v>0</v>
      </c>
      <c r="AQ150" s="43" t="s">
        <v>0</v>
      </c>
      <c r="AR150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50" s="9" t="str">
        <f t="shared" si="195"/>
        <v>-</v>
      </c>
      <c r="AT150" s="9">
        <f>IF(RIGHT(TKA[[#This Row],[Device type]],7)="Winding","-",TKA[[#This Row],[Cont Winter MVA]])</f>
        <v>5.715767664977295</v>
      </c>
      <c r="AU150" s="9">
        <f>IF(RIGHT(TKA[[#This Row],[Device type]],7)="Winding","-",TKA[[#This Row],[Cont Shoulder MVA]])</f>
        <v>5.715767664977295</v>
      </c>
      <c r="AV150" s="9">
        <f>IF(RIGHT(TKA[[#This Row],[Device type]],7)="Winding","-",TKA[[#This Row],[Cont Summer MVA]])</f>
        <v>5.715767664977295</v>
      </c>
      <c r="AW150" s="9" t="str">
        <f>TKA[[#This Row],[24 Hr Winter MVA]]</f>
        <v>-</v>
      </c>
      <c r="AX150" s="9" t="str">
        <f>TKA[[#This Row],[24 Hr Summer MVA]]</f>
        <v>-</v>
      </c>
      <c r="AY150" s="9" t="str">
        <f>TKA[[#This Row],[Forwards MVA]]</f>
        <v>-</v>
      </c>
      <c r="AZ150" s="9" t="str">
        <f>TKA[[#This Row],[Relay MVA]]</f>
        <v>-</v>
      </c>
      <c r="BA150" s="9" t="str">
        <f>TKA[[#This Row],[CT MVA]]</f>
        <v>-</v>
      </c>
      <c r="BB150" s="9" t="str">
        <f>TKA[[#This Row],[Derating MVA]]</f>
        <v>-</v>
      </c>
      <c r="BC150" s="9" t="str">
        <f>TKA[[#This Row],[Station/Feeder]]&amp;TKA[[#This Row],[Lowest MVA]]</f>
        <v>OMR5.7157676649773</v>
      </c>
      <c r="BD150" s="9" t="str">
        <f>CONCATENATE(TKA[[#This Row],[Supply Level]],TKA[[#This Row],[Station/Feeder]],TKA[[#This Row],[Voltage]],TKA[[#This Row],[Lowest A-No PTX]])</f>
        <v>SecondarySubstationOMR11300</v>
      </c>
      <c r="BE150" s="9" t="str">
        <f>CONCATENATE(TKA[[#This Row],[Supply Level]],TKA[[#This Row],[Station/Feeder]],TKA[[#This Row],[Voltage]],TKA[[#This Row],[Lowest A-PTX]])</f>
        <v>SecondarySubstationOMR11300</v>
      </c>
      <c r="BF150" s="9">
        <f>IF(MIN(TKA[[#This Row],[Summ Cont Winter A]]:TKA[[#This Row],[Cable Derating]])=0,"",MIN(TKA[[#This Row],[Summ Cont Winter A]]:TKA[[#This Row],[Cable Derating]]))</f>
        <v>5.715767664977295</v>
      </c>
      <c r="BG150" s="9">
        <f>IFERROR(TKA[[#This Row],[Lowest MVA]]*1000/(TKA[[#This Row],[Voltage]]*SQRT(3)),"")</f>
        <v>300</v>
      </c>
      <c r="BH150" s="9">
        <f t="shared" si="196"/>
        <v>300</v>
      </c>
      <c r="BI150" s="9" t="str">
        <f>TKA[[#This Row],[From]]</f>
        <v>Pole 25260</v>
      </c>
      <c r="BJ150" s="9" t="str">
        <f>TKA[[#This Row],[To]]</f>
        <v>M306</v>
      </c>
      <c r="BK150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Link-M306</v>
      </c>
      <c r="BL150" s="9">
        <f>TKA[[#This Row],[Voltage]]</f>
        <v>11</v>
      </c>
    </row>
    <row r="151" spans="1:64" s="1" customFormat="1" x14ac:dyDescent="0.25">
      <c r="A151" s="6" t="str">
        <f>CONCATENATE(TKA[[#This Row],[Supply Level]],TKA[[#This Row],[Station/Feeder]],TKA[[#This Row],[Voltage]])</f>
        <v>SecondarySubstationOMR11</v>
      </c>
      <c r="B151" s="6" t="str">
        <f>CONCATENATE(TKA[[#This Row],[Supply Level]],TKA[[#This Row],[Station/Feeder]],TKA[[#This Row],[Equipment ID]],TKA[[#This Row],[Voltage]],TKA[[#This Row],[Device type]])</f>
        <v>SecondarySubstationOMRHERRING11-</v>
      </c>
      <c r="C151" s="6" t="s">
        <v>1277</v>
      </c>
      <c r="D151" s="6" t="s">
        <v>1443</v>
      </c>
      <c r="E151" s="46" t="s">
        <v>446</v>
      </c>
      <c r="F151" s="46" t="s">
        <v>424</v>
      </c>
      <c r="G151" s="57">
        <v>11</v>
      </c>
      <c r="H151" s="46" t="s">
        <v>1289</v>
      </c>
      <c r="I151" s="46" t="s">
        <v>429</v>
      </c>
      <c r="J151" s="46" t="s">
        <v>69</v>
      </c>
      <c r="K151" s="46" t="s">
        <v>0</v>
      </c>
      <c r="L151" s="46" t="s">
        <v>0</v>
      </c>
      <c r="M151" s="57">
        <v>11</v>
      </c>
      <c r="N151" s="9">
        <v>96.377308793119241</v>
      </c>
      <c r="O151" s="9">
        <f t="shared" si="186"/>
        <v>1.8362343507908094</v>
      </c>
      <c r="P151" s="9" t="s">
        <v>0</v>
      </c>
      <c r="Q151" s="9" t="str">
        <f t="shared" si="187"/>
        <v>-</v>
      </c>
      <c r="R151" s="9">
        <v>73.709391096942639</v>
      </c>
      <c r="S151" s="9">
        <f t="shared" si="188"/>
        <v>1.4043525141235669</v>
      </c>
      <c r="T151" s="9" t="s">
        <v>0</v>
      </c>
      <c r="U151" s="9" t="str">
        <f t="shared" si="189"/>
        <v>-</v>
      </c>
      <c r="V151" s="9" t="s">
        <v>0</v>
      </c>
      <c r="W151" s="9" t="str">
        <f t="shared" si="190"/>
        <v>-</v>
      </c>
      <c r="X151" s="9" t="s">
        <v>0</v>
      </c>
      <c r="Y151" s="9" t="str">
        <f t="shared" si="191"/>
        <v>-</v>
      </c>
      <c r="Z151" s="9" t="s">
        <v>0</v>
      </c>
      <c r="AA151" s="9" t="str">
        <f t="shared" si="192"/>
        <v>-</v>
      </c>
      <c r="AB151" s="9" t="s">
        <v>0</v>
      </c>
      <c r="AC151" s="9" t="str">
        <f t="shared" si="193"/>
        <v>-</v>
      </c>
      <c r="AD151" s="9" t="s">
        <v>0</v>
      </c>
      <c r="AE151" s="9" t="str">
        <f t="shared" si="194"/>
        <v>-</v>
      </c>
      <c r="AF151" s="9" t="s">
        <v>0</v>
      </c>
      <c r="AG151" s="9" t="s">
        <v>0</v>
      </c>
      <c r="AH151" s="9">
        <v>1465</v>
      </c>
      <c r="AI151" s="9" t="s">
        <v>0</v>
      </c>
      <c r="AJ151" s="43" t="s">
        <v>0</v>
      </c>
      <c r="AK151" s="9" t="s">
        <v>0</v>
      </c>
      <c r="AL151" s="43" t="s">
        <v>0</v>
      </c>
      <c r="AM151" s="9" t="s">
        <v>0</v>
      </c>
      <c r="AN151" s="43" t="s">
        <v>0</v>
      </c>
      <c r="AO151" s="9" t="s">
        <v>0</v>
      </c>
      <c r="AP151" s="9" t="s">
        <v>0</v>
      </c>
      <c r="AQ151" s="43" t="s">
        <v>0</v>
      </c>
      <c r="AR151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51" s="9" t="str">
        <f t="shared" si="195"/>
        <v>-</v>
      </c>
      <c r="AT151" s="9">
        <f>IF(RIGHT(TKA[[#This Row],[Device type]],7)="Winding","-",TKA[[#This Row],[Cont Winter MVA]])</f>
        <v>1.8362343507908094</v>
      </c>
      <c r="AU151" s="9" t="str">
        <f>IF(RIGHT(TKA[[#This Row],[Device type]],7)="Winding","-",TKA[[#This Row],[Cont Shoulder MVA]])</f>
        <v>-</v>
      </c>
      <c r="AV151" s="9">
        <f>IF(RIGHT(TKA[[#This Row],[Device type]],7)="Winding","-",TKA[[#This Row],[Cont Summer MVA]])</f>
        <v>1.4043525141235669</v>
      </c>
      <c r="AW151" s="9" t="str">
        <f>TKA[[#This Row],[24 Hr Winter MVA]]</f>
        <v>-</v>
      </c>
      <c r="AX151" s="9" t="str">
        <f>TKA[[#This Row],[24 Hr Summer MVA]]</f>
        <v>-</v>
      </c>
      <c r="AY151" s="9" t="str">
        <f>TKA[[#This Row],[Forwards MVA]]</f>
        <v>-</v>
      </c>
      <c r="AZ151" s="9" t="str">
        <f>TKA[[#This Row],[Relay MVA]]</f>
        <v>-</v>
      </c>
      <c r="BA151" s="9" t="str">
        <f>TKA[[#This Row],[CT MVA]]</f>
        <v>-</v>
      </c>
      <c r="BB151" s="9" t="str">
        <f>TKA[[#This Row],[Derating MVA]]</f>
        <v>-</v>
      </c>
      <c r="BC151" s="9" t="str">
        <f>TKA[[#This Row],[Station/Feeder]]&amp;TKA[[#This Row],[Lowest MVA]]</f>
        <v>OMR1.40435251412357</v>
      </c>
      <c r="BD151" s="9" t="str">
        <f>CONCATENATE(TKA[[#This Row],[Supply Level]],TKA[[#This Row],[Station/Feeder]],TKA[[#This Row],[Voltage]],TKA[[#This Row],[Lowest A-No PTX]])</f>
        <v>SecondarySubstationOMR1173.7093910969426</v>
      </c>
      <c r="BE151" s="9" t="str">
        <f>CONCATENATE(TKA[[#This Row],[Supply Level]],TKA[[#This Row],[Station/Feeder]],TKA[[#This Row],[Voltage]],TKA[[#This Row],[Lowest A-PTX]])</f>
        <v>SecondarySubstationOMR1173.7093910969426</v>
      </c>
      <c r="BF151" s="9">
        <f>IF(MIN(TKA[[#This Row],[Summ Cont Winter A]]:TKA[[#This Row],[Cable Derating]])=0,"",MIN(TKA[[#This Row],[Summ Cont Winter A]]:TKA[[#This Row],[Cable Derating]]))</f>
        <v>1.4043525141235669</v>
      </c>
      <c r="BG151" s="9">
        <f>IFERROR(TKA[[#This Row],[Lowest MVA]]*1000/(TKA[[#This Row],[Voltage]]*SQRT(3)),"")</f>
        <v>73.709391096942639</v>
      </c>
      <c r="BH151" s="9">
        <f t="shared" si="196"/>
        <v>73.709391096942639</v>
      </c>
      <c r="BI151" s="9" t="str">
        <f>TKA[[#This Row],[From]]</f>
        <v>M306</v>
      </c>
      <c r="BJ151" s="9" t="str">
        <f>TKA[[#This Row],[To]]</f>
        <v>M213</v>
      </c>
      <c r="BK151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Line-HERRING</v>
      </c>
      <c r="BL151" s="9">
        <f>TKA[[#This Row],[Voltage]]</f>
        <v>11</v>
      </c>
    </row>
    <row r="152" spans="1:64" s="1" customFormat="1" x14ac:dyDescent="0.25">
      <c r="A152" s="6" t="str">
        <f>CONCATENATE(TKA[[#This Row],[Supply Level]],TKA[[#This Row],[Station/Feeder]],TKA[[#This Row],[Voltage]])</f>
        <v>SecondarySubstationOMR11</v>
      </c>
      <c r="B152" s="6" t="str">
        <f>CONCATENATE(TKA[[#This Row],[Supply Level]],TKA[[#This Row],[Station/Feeder]],TKA[[#This Row],[Equipment ID]],TKA[[#This Row],[Voltage]],TKA[[#This Row],[Device type]])</f>
        <v>SecondarySubstationOMRM21311-</v>
      </c>
      <c r="C152" s="6" t="s">
        <v>1277</v>
      </c>
      <c r="D152" s="6" t="s">
        <v>1443</v>
      </c>
      <c r="E152" s="46" t="s">
        <v>424</v>
      </c>
      <c r="F152" s="46" t="s">
        <v>1335</v>
      </c>
      <c r="G152" s="57">
        <v>12</v>
      </c>
      <c r="H152" s="46" t="s">
        <v>273</v>
      </c>
      <c r="I152" s="46" t="s">
        <v>424</v>
      </c>
      <c r="J152" s="46" t="s">
        <v>240</v>
      </c>
      <c r="K152" s="46" t="s">
        <v>0</v>
      </c>
      <c r="L152" s="46" t="s">
        <v>0</v>
      </c>
      <c r="M152" s="57">
        <v>11</v>
      </c>
      <c r="N152" s="9" t="s">
        <v>0</v>
      </c>
      <c r="O152" s="9" t="str">
        <f t="shared" si="186"/>
        <v>-</v>
      </c>
      <c r="P152" s="9" t="s">
        <v>0</v>
      </c>
      <c r="Q152" s="9" t="str">
        <f t="shared" si="187"/>
        <v>-</v>
      </c>
      <c r="R152" s="9" t="s">
        <v>0</v>
      </c>
      <c r="S152" s="9" t="str">
        <f t="shared" si="188"/>
        <v>-</v>
      </c>
      <c r="T152" s="9" t="s">
        <v>0</v>
      </c>
      <c r="U152" s="9" t="str">
        <f t="shared" si="189"/>
        <v>-</v>
      </c>
      <c r="V152" s="9" t="s">
        <v>0</v>
      </c>
      <c r="W152" s="9" t="str">
        <f t="shared" si="190"/>
        <v>-</v>
      </c>
      <c r="X152" s="9" t="s">
        <v>0</v>
      </c>
      <c r="Y152" s="9" t="str">
        <f t="shared" si="191"/>
        <v>-</v>
      </c>
      <c r="Z152" s="9" t="s">
        <v>0</v>
      </c>
      <c r="AA152" s="9" t="str">
        <f t="shared" si="192"/>
        <v>-</v>
      </c>
      <c r="AB152" s="9" t="s">
        <v>0</v>
      </c>
      <c r="AC152" s="9" t="str">
        <f t="shared" si="193"/>
        <v>-</v>
      </c>
      <c r="AD152" s="9" t="s">
        <v>0</v>
      </c>
      <c r="AE152" s="9" t="str">
        <f t="shared" si="194"/>
        <v>-</v>
      </c>
      <c r="AF152" s="9" t="s">
        <v>0</v>
      </c>
      <c r="AG152" s="9" t="s">
        <v>0</v>
      </c>
      <c r="AH152" s="9" t="s">
        <v>0</v>
      </c>
      <c r="AI152" s="9" t="s">
        <v>0</v>
      </c>
      <c r="AJ152" s="43" t="s">
        <v>0</v>
      </c>
      <c r="AK152" s="9" t="s">
        <v>0</v>
      </c>
      <c r="AL152" s="43" t="s">
        <v>0</v>
      </c>
      <c r="AM152" s="9" t="s">
        <v>0</v>
      </c>
      <c r="AN152" s="43" t="s">
        <v>0</v>
      </c>
      <c r="AO152" s="9" t="s">
        <v>0</v>
      </c>
      <c r="AP152" s="9" t="s">
        <v>0</v>
      </c>
      <c r="AQ152" s="43" t="s">
        <v>0</v>
      </c>
      <c r="AR152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52" s="9" t="str">
        <f t="shared" si="195"/>
        <v>-</v>
      </c>
      <c r="AT152" s="9" t="str">
        <f>IF(RIGHT(TKA[[#This Row],[Device type]],7)="Winding","-",TKA[[#This Row],[Cont Winter MVA]])</f>
        <v>-</v>
      </c>
      <c r="AU152" s="9" t="str">
        <f>IF(RIGHT(TKA[[#This Row],[Device type]],7)="Winding","-",TKA[[#This Row],[Cont Shoulder MVA]])</f>
        <v>-</v>
      </c>
      <c r="AV152" s="9" t="str">
        <f>IF(RIGHT(TKA[[#This Row],[Device type]],7)="Winding","-",TKA[[#This Row],[Cont Summer MVA]])</f>
        <v>-</v>
      </c>
      <c r="AW152" s="9" t="str">
        <f>TKA[[#This Row],[24 Hr Winter MVA]]</f>
        <v>-</v>
      </c>
      <c r="AX152" s="9" t="str">
        <f>TKA[[#This Row],[24 Hr Summer MVA]]</f>
        <v>-</v>
      </c>
      <c r="AY152" s="9" t="str">
        <f>TKA[[#This Row],[Forwards MVA]]</f>
        <v>-</v>
      </c>
      <c r="AZ152" s="9" t="str">
        <f>TKA[[#This Row],[Relay MVA]]</f>
        <v>-</v>
      </c>
      <c r="BA152" s="9" t="str">
        <f>TKA[[#This Row],[CT MVA]]</f>
        <v>-</v>
      </c>
      <c r="BB152" s="9" t="str">
        <f>TKA[[#This Row],[Derating MVA]]</f>
        <v>-</v>
      </c>
      <c r="BC152" s="9" t="str">
        <f>TKA[[#This Row],[Station/Feeder]]&amp;TKA[[#This Row],[Lowest MVA]]</f>
        <v>OMR</v>
      </c>
      <c r="BD152" s="9" t="str">
        <f>CONCATENATE(TKA[[#This Row],[Supply Level]],TKA[[#This Row],[Station/Feeder]],TKA[[#This Row],[Voltage]],TKA[[#This Row],[Lowest A-No PTX]])</f>
        <v>SecondarySubstationOMR11</v>
      </c>
      <c r="BE152" s="9" t="str">
        <f>CONCATENATE(TKA[[#This Row],[Supply Level]],TKA[[#This Row],[Station/Feeder]],TKA[[#This Row],[Voltage]],TKA[[#This Row],[Lowest A-PTX]])</f>
        <v>SecondarySubstationOMR11</v>
      </c>
      <c r="BF152" s="9" t="str">
        <f>IF(MIN(TKA[[#This Row],[Summ Cont Winter A]]:TKA[[#This Row],[Cable Derating]])=0,"",MIN(TKA[[#This Row],[Summ Cont Winter A]]:TKA[[#This Row],[Cable Derating]]))</f>
        <v/>
      </c>
      <c r="BG152" s="9" t="str">
        <f>IFERROR(TKA[[#This Row],[Lowest MVA]]*1000/(TKA[[#This Row],[Voltage]]*SQRT(3)),"")</f>
        <v/>
      </c>
      <c r="BH152" s="9" t="str">
        <f t="shared" si="196"/>
        <v/>
      </c>
      <c r="BI152" s="9" t="str">
        <f>TKA[[#This Row],[From]]</f>
        <v>M213</v>
      </c>
      <c r="BJ152" s="9" t="str">
        <f>TKA[[#This Row],[To]]</f>
        <v>M329</v>
      </c>
      <c r="BK152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ABS-M213</v>
      </c>
      <c r="BL152" s="9">
        <f>TKA[[#This Row],[Voltage]]</f>
        <v>11</v>
      </c>
    </row>
    <row r="153" spans="1:64" s="1" customFormat="1" x14ac:dyDescent="0.25">
      <c r="A153" s="6" t="str">
        <f>CONCATENATE(TKA[[#This Row],[Supply Level]],TKA[[#This Row],[Station/Feeder]],TKA[[#This Row],[Voltage]])</f>
        <v>SecondarySubstationOMR11</v>
      </c>
      <c r="B153" s="6" t="str">
        <f>CONCATENATE(TKA[[#This Row],[Supply Level]],TKA[[#This Row],[Station/Feeder]],TKA[[#This Row],[Equipment ID]],TKA[[#This Row],[Voltage]],TKA[[#This Row],[Device type]])</f>
        <v>SecondarySubstationOMRHERRING11-</v>
      </c>
      <c r="C153" s="6" t="s">
        <v>1277</v>
      </c>
      <c r="D153" s="6" t="s">
        <v>1443</v>
      </c>
      <c r="E153" s="46" t="s">
        <v>424</v>
      </c>
      <c r="F153" s="46" t="s">
        <v>1335</v>
      </c>
      <c r="G153" s="57">
        <v>13</v>
      </c>
      <c r="H153" s="46" t="s">
        <v>1289</v>
      </c>
      <c r="I153" s="46" t="s">
        <v>429</v>
      </c>
      <c r="J153" s="46" t="s">
        <v>69</v>
      </c>
      <c r="K153" s="46" t="s">
        <v>0</v>
      </c>
      <c r="L153" s="46" t="s">
        <v>0</v>
      </c>
      <c r="M153" s="57">
        <v>11</v>
      </c>
      <c r="N153" s="9">
        <v>96.377308793119241</v>
      </c>
      <c r="O153" s="9">
        <f t="shared" si="186"/>
        <v>1.8362343507908094</v>
      </c>
      <c r="P153" s="9" t="s">
        <v>0</v>
      </c>
      <c r="Q153" s="9" t="str">
        <f t="shared" si="187"/>
        <v>-</v>
      </c>
      <c r="R153" s="9">
        <v>73.709391096942639</v>
      </c>
      <c r="S153" s="9">
        <f t="shared" si="188"/>
        <v>1.4043525141235669</v>
      </c>
      <c r="T153" s="9" t="s">
        <v>0</v>
      </c>
      <c r="U153" s="9" t="str">
        <f t="shared" si="189"/>
        <v>-</v>
      </c>
      <c r="V153" s="9" t="s">
        <v>0</v>
      </c>
      <c r="W153" s="9" t="str">
        <f t="shared" si="190"/>
        <v>-</v>
      </c>
      <c r="X153" s="9" t="s">
        <v>0</v>
      </c>
      <c r="Y153" s="9" t="str">
        <f t="shared" si="191"/>
        <v>-</v>
      </c>
      <c r="Z153" s="9" t="s">
        <v>0</v>
      </c>
      <c r="AA153" s="9" t="str">
        <f t="shared" si="192"/>
        <v>-</v>
      </c>
      <c r="AB153" s="9" t="s">
        <v>0</v>
      </c>
      <c r="AC153" s="9" t="str">
        <f t="shared" si="193"/>
        <v>-</v>
      </c>
      <c r="AD153" s="9" t="s">
        <v>0</v>
      </c>
      <c r="AE153" s="9" t="str">
        <f t="shared" si="194"/>
        <v>-</v>
      </c>
      <c r="AF153" s="9" t="s">
        <v>0</v>
      </c>
      <c r="AG153" s="9" t="s">
        <v>0</v>
      </c>
      <c r="AH153" s="9">
        <v>500</v>
      </c>
      <c r="AI153" s="9" t="s">
        <v>0</v>
      </c>
      <c r="AJ153" s="43" t="s">
        <v>0</v>
      </c>
      <c r="AK153" s="9" t="s">
        <v>0</v>
      </c>
      <c r="AL153" s="43" t="s">
        <v>0</v>
      </c>
      <c r="AM153" s="9" t="s">
        <v>0</v>
      </c>
      <c r="AN153" s="43" t="s">
        <v>0</v>
      </c>
      <c r="AO153" s="9" t="s">
        <v>0</v>
      </c>
      <c r="AP153" s="9" t="s">
        <v>0</v>
      </c>
      <c r="AQ153" s="43" t="s">
        <v>0</v>
      </c>
      <c r="AR153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53" s="9" t="str">
        <f t="shared" si="195"/>
        <v>-</v>
      </c>
      <c r="AT153" s="9">
        <f>IF(RIGHT(TKA[[#This Row],[Device type]],7)="Winding","-",TKA[[#This Row],[Cont Winter MVA]])</f>
        <v>1.8362343507908094</v>
      </c>
      <c r="AU153" s="9" t="str">
        <f>IF(RIGHT(TKA[[#This Row],[Device type]],7)="Winding","-",TKA[[#This Row],[Cont Shoulder MVA]])</f>
        <v>-</v>
      </c>
      <c r="AV153" s="9">
        <f>IF(RIGHT(TKA[[#This Row],[Device type]],7)="Winding","-",TKA[[#This Row],[Cont Summer MVA]])</f>
        <v>1.4043525141235669</v>
      </c>
      <c r="AW153" s="9" t="str">
        <f>TKA[[#This Row],[24 Hr Winter MVA]]</f>
        <v>-</v>
      </c>
      <c r="AX153" s="9" t="str">
        <f>TKA[[#This Row],[24 Hr Summer MVA]]</f>
        <v>-</v>
      </c>
      <c r="AY153" s="9" t="str">
        <f>TKA[[#This Row],[Forwards MVA]]</f>
        <v>-</v>
      </c>
      <c r="AZ153" s="9" t="str">
        <f>TKA[[#This Row],[Relay MVA]]</f>
        <v>-</v>
      </c>
      <c r="BA153" s="9" t="str">
        <f>TKA[[#This Row],[CT MVA]]</f>
        <v>-</v>
      </c>
      <c r="BB153" s="9" t="str">
        <f>TKA[[#This Row],[Derating MVA]]</f>
        <v>-</v>
      </c>
      <c r="BC153" s="9" t="str">
        <f>TKA[[#This Row],[Station/Feeder]]&amp;TKA[[#This Row],[Lowest MVA]]</f>
        <v>OMR1.40435251412357</v>
      </c>
      <c r="BD153" s="9" t="str">
        <f>CONCATENATE(TKA[[#This Row],[Supply Level]],TKA[[#This Row],[Station/Feeder]],TKA[[#This Row],[Voltage]],TKA[[#This Row],[Lowest A-No PTX]])</f>
        <v>SecondarySubstationOMR1173.7093910969426</v>
      </c>
      <c r="BE153" s="9" t="str">
        <f>CONCATENATE(TKA[[#This Row],[Supply Level]],TKA[[#This Row],[Station/Feeder]],TKA[[#This Row],[Voltage]],TKA[[#This Row],[Lowest A-PTX]])</f>
        <v>SecondarySubstationOMR1173.7093910969426</v>
      </c>
      <c r="BF153" s="9">
        <f>IF(MIN(TKA[[#This Row],[Summ Cont Winter A]]:TKA[[#This Row],[Cable Derating]])=0,"",MIN(TKA[[#This Row],[Summ Cont Winter A]]:TKA[[#This Row],[Cable Derating]]))</f>
        <v>1.4043525141235669</v>
      </c>
      <c r="BG153" s="9">
        <f>IFERROR(TKA[[#This Row],[Lowest MVA]]*1000/(TKA[[#This Row],[Voltage]]*SQRT(3)),"")</f>
        <v>73.709391096942639</v>
      </c>
      <c r="BH153" s="9">
        <f t="shared" si="196"/>
        <v>73.709391096942639</v>
      </c>
      <c r="BI153" s="9" t="str">
        <f>TKA[[#This Row],[From]]</f>
        <v>M213</v>
      </c>
      <c r="BJ153" s="9" t="str">
        <f>TKA[[#This Row],[To]]</f>
        <v>M329</v>
      </c>
      <c r="BK153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Line-HERRING</v>
      </c>
      <c r="BL153" s="9">
        <f>TKA[[#This Row],[Voltage]]</f>
        <v>11</v>
      </c>
    </row>
    <row r="154" spans="1:64" s="1" customFormat="1" x14ac:dyDescent="0.25">
      <c r="A154" s="6" t="str">
        <f>CONCATENATE(TKA[[#This Row],[Supply Level]],TKA[[#This Row],[Station/Feeder]],TKA[[#This Row],[Voltage]])</f>
        <v>SecondarySubstationOMR11</v>
      </c>
      <c r="B154" s="6" t="str">
        <f>CONCATENATE(TKA[[#This Row],[Supply Level]],TKA[[#This Row],[Station/Feeder]],TKA[[#This Row],[Equipment ID]],TKA[[#This Row],[Voltage]],TKA[[#This Row],[Device type]])</f>
        <v>SecondarySubstationOMRM32911-</v>
      </c>
      <c r="C154" s="6" t="s">
        <v>1277</v>
      </c>
      <c r="D154" s="6" t="s">
        <v>1443</v>
      </c>
      <c r="E154" s="46" t="s">
        <v>1335</v>
      </c>
      <c r="F154" s="46" t="s">
        <v>1334</v>
      </c>
      <c r="G154" s="57">
        <v>1</v>
      </c>
      <c r="H154" s="46" t="s">
        <v>273</v>
      </c>
      <c r="I154" s="46" t="s">
        <v>1335</v>
      </c>
      <c r="J154" s="46" t="s">
        <v>249</v>
      </c>
      <c r="K154" s="46" t="s">
        <v>0</v>
      </c>
      <c r="L154" s="46" t="s">
        <v>0</v>
      </c>
      <c r="M154" s="57">
        <v>11</v>
      </c>
      <c r="N154" s="9">
        <v>300</v>
      </c>
      <c r="O154" s="9">
        <f t="shared" si="186"/>
        <v>5.715767664977295</v>
      </c>
      <c r="P154" s="9">
        <v>300</v>
      </c>
      <c r="Q154" s="9">
        <f t="shared" si="187"/>
        <v>5.715767664977295</v>
      </c>
      <c r="R154" s="9">
        <v>300</v>
      </c>
      <c r="S154" s="9">
        <f t="shared" si="188"/>
        <v>5.715767664977295</v>
      </c>
      <c r="T154" s="9" t="s">
        <v>0</v>
      </c>
      <c r="U154" s="9" t="str">
        <f t="shared" si="189"/>
        <v>-</v>
      </c>
      <c r="V154" s="9" t="s">
        <v>0</v>
      </c>
      <c r="W154" s="9" t="str">
        <f t="shared" si="190"/>
        <v>-</v>
      </c>
      <c r="X154" s="9" t="s">
        <v>0</v>
      </c>
      <c r="Y154" s="9" t="str">
        <f t="shared" si="191"/>
        <v>-</v>
      </c>
      <c r="Z154" s="9" t="s">
        <v>0</v>
      </c>
      <c r="AA154" s="9" t="str">
        <f t="shared" si="192"/>
        <v>-</v>
      </c>
      <c r="AB154" s="9" t="s">
        <v>0</v>
      </c>
      <c r="AC154" s="9" t="str">
        <f t="shared" si="193"/>
        <v>-</v>
      </c>
      <c r="AD154" s="9" t="s">
        <v>0</v>
      </c>
      <c r="AE154" s="9" t="str">
        <f t="shared" si="194"/>
        <v>-</v>
      </c>
      <c r="AF154" s="9" t="s">
        <v>0</v>
      </c>
      <c r="AG154" s="9" t="s">
        <v>0</v>
      </c>
      <c r="AH154" s="9" t="s">
        <v>0</v>
      </c>
      <c r="AI154" s="9" t="s">
        <v>0</v>
      </c>
      <c r="AJ154" s="43" t="s">
        <v>0</v>
      </c>
      <c r="AK154" s="9" t="s">
        <v>0</v>
      </c>
      <c r="AL154" s="43" t="s">
        <v>0</v>
      </c>
      <c r="AM154" s="9" t="s">
        <v>0</v>
      </c>
      <c r="AN154" s="43" t="s">
        <v>0</v>
      </c>
      <c r="AO154" s="9" t="s">
        <v>0</v>
      </c>
      <c r="AP154" s="9" t="s">
        <v>0</v>
      </c>
      <c r="AQ154" s="43" t="s">
        <v>0</v>
      </c>
      <c r="AR154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54" s="9" t="str">
        <f t="shared" si="195"/>
        <v>-</v>
      </c>
      <c r="AT154" s="9">
        <f>IF(RIGHT(TKA[[#This Row],[Device type]],7)="Winding","-",TKA[[#This Row],[Cont Winter MVA]])</f>
        <v>5.715767664977295</v>
      </c>
      <c r="AU154" s="9">
        <f>IF(RIGHT(TKA[[#This Row],[Device type]],7)="Winding","-",TKA[[#This Row],[Cont Shoulder MVA]])</f>
        <v>5.715767664977295</v>
      </c>
      <c r="AV154" s="9">
        <f>IF(RIGHT(TKA[[#This Row],[Device type]],7)="Winding","-",TKA[[#This Row],[Cont Summer MVA]])</f>
        <v>5.715767664977295</v>
      </c>
      <c r="AW154" s="9" t="str">
        <f>TKA[[#This Row],[24 Hr Winter MVA]]</f>
        <v>-</v>
      </c>
      <c r="AX154" s="9" t="str">
        <f>TKA[[#This Row],[24 Hr Summer MVA]]</f>
        <v>-</v>
      </c>
      <c r="AY154" s="9" t="str">
        <f>TKA[[#This Row],[Forwards MVA]]</f>
        <v>-</v>
      </c>
      <c r="AZ154" s="9" t="str">
        <f>TKA[[#This Row],[Relay MVA]]</f>
        <v>-</v>
      </c>
      <c r="BA154" s="9" t="str">
        <f>TKA[[#This Row],[CT MVA]]</f>
        <v>-</v>
      </c>
      <c r="BB154" s="9" t="str">
        <f>TKA[[#This Row],[Derating MVA]]</f>
        <v>-</v>
      </c>
      <c r="BC154" s="9" t="str">
        <f>TKA[[#This Row],[Station/Feeder]]&amp;TKA[[#This Row],[Lowest MVA]]</f>
        <v>OMR5.7157676649773</v>
      </c>
      <c r="BD154" s="9" t="str">
        <f>CONCATENATE(TKA[[#This Row],[Supply Level]],TKA[[#This Row],[Station/Feeder]],TKA[[#This Row],[Voltage]],TKA[[#This Row],[Lowest A-No PTX]])</f>
        <v>SecondarySubstationOMR11300</v>
      </c>
      <c r="BE154" s="9" t="str">
        <f>CONCATENATE(TKA[[#This Row],[Supply Level]],TKA[[#This Row],[Station/Feeder]],TKA[[#This Row],[Voltage]],TKA[[#This Row],[Lowest A-PTX]])</f>
        <v>SecondarySubstationOMR11300</v>
      </c>
      <c r="BF154" s="9">
        <f>IF(MIN(TKA[[#This Row],[Summ Cont Winter A]]:TKA[[#This Row],[Cable Derating]])=0,"",MIN(TKA[[#This Row],[Summ Cont Winter A]]:TKA[[#This Row],[Cable Derating]]))</f>
        <v>5.715767664977295</v>
      </c>
      <c r="BG154" s="9">
        <f>IFERROR(TKA[[#This Row],[Lowest MVA]]*1000/(TKA[[#This Row],[Voltage]]*SQRT(3)),"")</f>
        <v>300</v>
      </c>
      <c r="BH154" s="9">
        <f t="shared" si="196"/>
        <v>300</v>
      </c>
      <c r="BI154" s="9" t="str">
        <f>TKA[[#This Row],[From]]</f>
        <v>M329</v>
      </c>
      <c r="BJ154" s="9" t="str">
        <f>TKA[[#This Row],[To]]</f>
        <v>M339</v>
      </c>
      <c r="BK154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Link-M329</v>
      </c>
      <c r="BL154" s="9">
        <f>TKA[[#This Row],[Voltage]]</f>
        <v>11</v>
      </c>
    </row>
    <row r="155" spans="1:64" s="1" customFormat="1" x14ac:dyDescent="0.25">
      <c r="A155" s="6" t="str">
        <f>CONCATENATE(TKA[[#This Row],[Supply Level]],TKA[[#This Row],[Station/Feeder]],TKA[[#This Row],[Voltage]])</f>
        <v>SecondarySubstationOMR11</v>
      </c>
      <c r="B155" s="6" t="str">
        <f>CONCATENATE(TKA[[#This Row],[Supply Level]],TKA[[#This Row],[Station/Feeder]],TKA[[#This Row],[Equipment ID]],TKA[[#This Row],[Voltage]],TKA[[#This Row],[Device type]])</f>
        <v>SecondarySubstationOMRM33111Protection</v>
      </c>
      <c r="C155" s="6" t="s">
        <v>1277</v>
      </c>
      <c r="D155" s="6" t="s">
        <v>1443</v>
      </c>
      <c r="E155" s="46" t="s">
        <v>1335</v>
      </c>
      <c r="F155" s="46" t="s">
        <v>1334</v>
      </c>
      <c r="G155" s="57">
        <v>2</v>
      </c>
      <c r="H155" s="46" t="s">
        <v>343</v>
      </c>
      <c r="I155" s="46" t="s">
        <v>1336</v>
      </c>
      <c r="J155" s="46" t="s">
        <v>394</v>
      </c>
      <c r="K155" s="46" t="s">
        <v>791</v>
      </c>
      <c r="L155" s="7" t="s">
        <v>1423</v>
      </c>
      <c r="M155" s="57">
        <v>11</v>
      </c>
      <c r="N155" s="9">
        <v>630</v>
      </c>
      <c r="O155" s="9">
        <f t="shared" si="186"/>
        <v>12.00311209645232</v>
      </c>
      <c r="P155" s="9">
        <v>630</v>
      </c>
      <c r="Q155" s="9">
        <f t="shared" si="187"/>
        <v>12.00311209645232</v>
      </c>
      <c r="R155" s="9">
        <v>630</v>
      </c>
      <c r="S155" s="9">
        <f t="shared" si="188"/>
        <v>12.00311209645232</v>
      </c>
      <c r="T155" s="9" t="s">
        <v>0</v>
      </c>
      <c r="U155" s="9" t="str">
        <f t="shared" si="189"/>
        <v>-</v>
      </c>
      <c r="V155" s="9" t="s">
        <v>0</v>
      </c>
      <c r="W155" s="9" t="str">
        <f t="shared" si="190"/>
        <v>-</v>
      </c>
      <c r="X155" s="9">
        <v>120</v>
      </c>
      <c r="Y155" s="9">
        <f t="shared" si="191"/>
        <v>2.2863070659909179</v>
      </c>
      <c r="Z155" s="9">
        <v>120</v>
      </c>
      <c r="AA155" s="9">
        <f t="shared" si="192"/>
        <v>2.2863070659909179</v>
      </c>
      <c r="AB155" s="9" t="s">
        <v>0</v>
      </c>
      <c r="AC155" s="9" t="str">
        <f t="shared" si="193"/>
        <v>-</v>
      </c>
      <c r="AD155" s="9" t="s">
        <v>0</v>
      </c>
      <c r="AE155" s="9" t="str">
        <f t="shared" si="194"/>
        <v>-</v>
      </c>
      <c r="AF155" s="9" t="s">
        <v>0</v>
      </c>
      <c r="AG155" s="9" t="s">
        <v>0</v>
      </c>
      <c r="AH155" s="9" t="s">
        <v>0</v>
      </c>
      <c r="AI155" s="9" t="s">
        <v>0</v>
      </c>
      <c r="AJ155" s="43" t="s">
        <v>0</v>
      </c>
      <c r="AK155" s="9" t="s">
        <v>0</v>
      </c>
      <c r="AL155" s="43" t="s">
        <v>0</v>
      </c>
      <c r="AM155" s="9" t="s">
        <v>0</v>
      </c>
      <c r="AN155" s="43" t="s">
        <v>0</v>
      </c>
      <c r="AO155" s="9" t="s">
        <v>0</v>
      </c>
      <c r="AP155" s="9" t="s">
        <v>0</v>
      </c>
      <c r="AQ155" s="43" t="s">
        <v>0</v>
      </c>
      <c r="AR155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55" s="9" t="str">
        <f t="shared" si="195"/>
        <v>-</v>
      </c>
      <c r="AT155" s="9">
        <f>IF(RIGHT(TKA[[#This Row],[Device type]],7)="Winding","-",TKA[[#This Row],[Cont Winter MVA]])</f>
        <v>12.00311209645232</v>
      </c>
      <c r="AU155" s="9">
        <f>IF(RIGHT(TKA[[#This Row],[Device type]],7)="Winding","-",TKA[[#This Row],[Cont Shoulder MVA]])</f>
        <v>12.00311209645232</v>
      </c>
      <c r="AV155" s="9">
        <f>IF(RIGHT(TKA[[#This Row],[Device type]],7)="Winding","-",TKA[[#This Row],[Cont Summer MVA]])</f>
        <v>12.00311209645232</v>
      </c>
      <c r="AW155" s="9" t="str">
        <f>TKA[[#This Row],[24 Hr Winter MVA]]</f>
        <v>-</v>
      </c>
      <c r="AX155" s="9" t="str">
        <f>TKA[[#This Row],[24 Hr Summer MVA]]</f>
        <v>-</v>
      </c>
      <c r="AY155" s="9">
        <f>TKA[[#This Row],[Forwards MVA]]</f>
        <v>2.2863070659909179</v>
      </c>
      <c r="AZ155" s="9" t="str">
        <f>TKA[[#This Row],[Relay MVA]]</f>
        <v>-</v>
      </c>
      <c r="BA155" s="9" t="str">
        <f>TKA[[#This Row],[CT MVA]]</f>
        <v>-</v>
      </c>
      <c r="BB155" s="9" t="str">
        <f>TKA[[#This Row],[Derating MVA]]</f>
        <v>-</v>
      </c>
      <c r="BC155" s="9" t="str">
        <f>TKA[[#This Row],[Station/Feeder]]&amp;TKA[[#This Row],[Lowest MVA]]</f>
        <v>OMR2.28630706599092</v>
      </c>
      <c r="BD155" s="9" t="str">
        <f>CONCATENATE(TKA[[#This Row],[Supply Level]],TKA[[#This Row],[Station/Feeder]],TKA[[#This Row],[Voltage]],TKA[[#This Row],[Lowest A-No PTX]])</f>
        <v>SecondarySubstationOMR11120</v>
      </c>
      <c r="BE155" s="9" t="str">
        <f>CONCATENATE(TKA[[#This Row],[Supply Level]],TKA[[#This Row],[Station/Feeder]],TKA[[#This Row],[Voltage]],TKA[[#This Row],[Lowest A-PTX]])</f>
        <v>SecondarySubstationOMR11120</v>
      </c>
      <c r="BF155" s="9">
        <f>IF(MIN(TKA[[#This Row],[Summ Cont Winter A]]:TKA[[#This Row],[Cable Derating]])=0,"",MIN(TKA[[#This Row],[Summ Cont Winter A]]:TKA[[#This Row],[Cable Derating]]))</f>
        <v>2.2863070659909179</v>
      </c>
      <c r="BG155" s="9">
        <f>IFERROR(TKA[[#This Row],[Lowest MVA]]*1000/(TKA[[#This Row],[Voltage]]*SQRT(3)),"")</f>
        <v>120.00000000000001</v>
      </c>
      <c r="BH155" s="9">
        <f t="shared" si="196"/>
        <v>120</v>
      </c>
      <c r="BI155" s="9" t="str">
        <f>TKA[[#This Row],[From]]</f>
        <v>M329</v>
      </c>
      <c r="BJ155" s="9" t="str">
        <f>TKA[[#This Row],[To]]</f>
        <v>M339</v>
      </c>
      <c r="BK155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Recloser-M331-Protection</v>
      </c>
      <c r="BL155" s="9">
        <f>TKA[[#This Row],[Voltage]]</f>
        <v>11</v>
      </c>
    </row>
    <row r="156" spans="1:64" s="1" customFormat="1" x14ac:dyDescent="0.25">
      <c r="A156" s="6" t="str">
        <f>CONCATENATE(TKA[[#This Row],[Supply Level]],TKA[[#This Row],[Station/Feeder]],TKA[[#This Row],[Voltage]])</f>
        <v>SecondarySubstationOMR11</v>
      </c>
      <c r="B156" s="6" t="str">
        <f>CONCATENATE(TKA[[#This Row],[Supply Level]],TKA[[#This Row],[Station/Feeder]],TKA[[#This Row],[Equipment ID]],TKA[[#This Row],[Voltage]],TKA[[#This Row],[Device type]])</f>
        <v>SecondarySubstationOMRM33211-</v>
      </c>
      <c r="C156" s="6" t="s">
        <v>1277</v>
      </c>
      <c r="D156" s="6" t="s">
        <v>1443</v>
      </c>
      <c r="E156" s="46" t="s">
        <v>1335</v>
      </c>
      <c r="F156" s="46" t="s">
        <v>1334</v>
      </c>
      <c r="G156" s="57">
        <v>3</v>
      </c>
      <c r="H156" s="46" t="s">
        <v>273</v>
      </c>
      <c r="I156" s="46" t="s">
        <v>1337</v>
      </c>
      <c r="J156" s="46" t="s">
        <v>249</v>
      </c>
      <c r="K156" s="46" t="s">
        <v>0</v>
      </c>
      <c r="L156" s="46" t="s">
        <v>0</v>
      </c>
      <c r="M156" s="57">
        <v>11</v>
      </c>
      <c r="N156" s="9">
        <v>300</v>
      </c>
      <c r="O156" s="9">
        <f t="shared" si="186"/>
        <v>5.715767664977295</v>
      </c>
      <c r="P156" s="9">
        <v>300</v>
      </c>
      <c r="Q156" s="9">
        <f t="shared" si="187"/>
        <v>5.715767664977295</v>
      </c>
      <c r="R156" s="9">
        <v>300</v>
      </c>
      <c r="S156" s="9">
        <f t="shared" si="188"/>
        <v>5.715767664977295</v>
      </c>
      <c r="T156" s="9" t="s">
        <v>0</v>
      </c>
      <c r="U156" s="9" t="str">
        <f t="shared" si="189"/>
        <v>-</v>
      </c>
      <c r="V156" s="9" t="s">
        <v>0</v>
      </c>
      <c r="W156" s="9" t="str">
        <f t="shared" si="190"/>
        <v>-</v>
      </c>
      <c r="X156" s="9" t="s">
        <v>0</v>
      </c>
      <c r="Y156" s="9" t="str">
        <f t="shared" si="191"/>
        <v>-</v>
      </c>
      <c r="Z156" s="9" t="s">
        <v>0</v>
      </c>
      <c r="AA156" s="9" t="str">
        <f t="shared" si="192"/>
        <v>-</v>
      </c>
      <c r="AB156" s="9" t="s">
        <v>0</v>
      </c>
      <c r="AC156" s="9" t="str">
        <f t="shared" si="193"/>
        <v>-</v>
      </c>
      <c r="AD156" s="9" t="s">
        <v>0</v>
      </c>
      <c r="AE156" s="9" t="str">
        <f t="shared" si="194"/>
        <v>-</v>
      </c>
      <c r="AF156" s="9" t="s">
        <v>0</v>
      </c>
      <c r="AG156" s="9" t="s">
        <v>0</v>
      </c>
      <c r="AH156" s="9" t="s">
        <v>0</v>
      </c>
      <c r="AI156" s="9" t="s">
        <v>0</v>
      </c>
      <c r="AJ156" s="43" t="s">
        <v>0</v>
      </c>
      <c r="AK156" s="9" t="s">
        <v>0</v>
      </c>
      <c r="AL156" s="43" t="s">
        <v>0</v>
      </c>
      <c r="AM156" s="9" t="s">
        <v>0</v>
      </c>
      <c r="AN156" s="43" t="s">
        <v>0</v>
      </c>
      <c r="AO156" s="9" t="s">
        <v>0</v>
      </c>
      <c r="AP156" s="9" t="s">
        <v>0</v>
      </c>
      <c r="AQ156" s="43" t="s">
        <v>0</v>
      </c>
      <c r="AR156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56" s="9" t="str">
        <f t="shared" si="195"/>
        <v>-</v>
      </c>
      <c r="AT156" s="9">
        <f>IF(RIGHT(TKA[[#This Row],[Device type]],7)="Winding","-",TKA[[#This Row],[Cont Winter MVA]])</f>
        <v>5.715767664977295</v>
      </c>
      <c r="AU156" s="9">
        <f>IF(RIGHT(TKA[[#This Row],[Device type]],7)="Winding","-",TKA[[#This Row],[Cont Shoulder MVA]])</f>
        <v>5.715767664977295</v>
      </c>
      <c r="AV156" s="9">
        <f>IF(RIGHT(TKA[[#This Row],[Device type]],7)="Winding","-",TKA[[#This Row],[Cont Summer MVA]])</f>
        <v>5.715767664977295</v>
      </c>
      <c r="AW156" s="9" t="str">
        <f>TKA[[#This Row],[24 Hr Winter MVA]]</f>
        <v>-</v>
      </c>
      <c r="AX156" s="9" t="str">
        <f>TKA[[#This Row],[24 Hr Summer MVA]]</f>
        <v>-</v>
      </c>
      <c r="AY156" s="9" t="str">
        <f>TKA[[#This Row],[Forwards MVA]]</f>
        <v>-</v>
      </c>
      <c r="AZ156" s="9" t="str">
        <f>TKA[[#This Row],[Relay MVA]]</f>
        <v>-</v>
      </c>
      <c r="BA156" s="9" t="str">
        <f>TKA[[#This Row],[CT MVA]]</f>
        <v>-</v>
      </c>
      <c r="BB156" s="9" t="str">
        <f>TKA[[#This Row],[Derating MVA]]</f>
        <v>-</v>
      </c>
      <c r="BC156" s="9" t="str">
        <f>TKA[[#This Row],[Station/Feeder]]&amp;TKA[[#This Row],[Lowest MVA]]</f>
        <v>OMR5.7157676649773</v>
      </c>
      <c r="BD156" s="9" t="str">
        <f>CONCATENATE(TKA[[#This Row],[Supply Level]],TKA[[#This Row],[Station/Feeder]],TKA[[#This Row],[Voltage]],TKA[[#This Row],[Lowest A-No PTX]])</f>
        <v>SecondarySubstationOMR11300</v>
      </c>
      <c r="BE156" s="9" t="str">
        <f>CONCATENATE(TKA[[#This Row],[Supply Level]],TKA[[#This Row],[Station/Feeder]],TKA[[#This Row],[Voltage]],TKA[[#This Row],[Lowest A-PTX]])</f>
        <v>SecondarySubstationOMR11300</v>
      </c>
      <c r="BF156" s="9">
        <f>IF(MIN(TKA[[#This Row],[Summ Cont Winter A]]:TKA[[#This Row],[Cable Derating]])=0,"",MIN(TKA[[#This Row],[Summ Cont Winter A]]:TKA[[#This Row],[Cable Derating]]))</f>
        <v>5.715767664977295</v>
      </c>
      <c r="BG156" s="9">
        <f>IFERROR(TKA[[#This Row],[Lowest MVA]]*1000/(TKA[[#This Row],[Voltage]]*SQRT(3)),"")</f>
        <v>300</v>
      </c>
      <c r="BH156" s="9">
        <f t="shared" si="196"/>
        <v>300</v>
      </c>
      <c r="BI156" s="9" t="str">
        <f>TKA[[#This Row],[From]]</f>
        <v>M329</v>
      </c>
      <c r="BJ156" s="9" t="str">
        <f>TKA[[#This Row],[To]]</f>
        <v>M339</v>
      </c>
      <c r="BK156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Link-M332</v>
      </c>
      <c r="BL156" s="9">
        <f>TKA[[#This Row],[Voltage]]</f>
        <v>11</v>
      </c>
    </row>
    <row r="157" spans="1:64" s="1" customFormat="1" x14ac:dyDescent="0.25">
      <c r="A157" s="6" t="str">
        <f>CONCATENATE(TKA[[#This Row],[Supply Level]],TKA[[#This Row],[Station/Feeder]],TKA[[#This Row],[Voltage]])</f>
        <v>SecondarySubstationOMR11</v>
      </c>
      <c r="B157" s="6" t="str">
        <f>CONCATENATE(TKA[[#This Row],[Supply Level]],TKA[[#This Row],[Station/Feeder]],TKA[[#This Row],[Equipment ID]],TKA[[#This Row],[Voltage]],TKA[[#This Row],[Device type]])</f>
        <v>SecondarySubstationOMRIODINE11-</v>
      </c>
      <c r="C157" s="6" t="s">
        <v>1277</v>
      </c>
      <c r="D157" s="6" t="s">
        <v>1443</v>
      </c>
      <c r="E157" s="46" t="s">
        <v>1335</v>
      </c>
      <c r="F157" s="46" t="s">
        <v>1334</v>
      </c>
      <c r="G157" s="57">
        <v>4</v>
      </c>
      <c r="H157" s="46" t="s">
        <v>1289</v>
      </c>
      <c r="I157" s="46" t="s">
        <v>329</v>
      </c>
      <c r="J157" s="46" t="s">
        <v>69</v>
      </c>
      <c r="K157" s="46" t="s">
        <v>0</v>
      </c>
      <c r="L157" s="46" t="s">
        <v>0</v>
      </c>
      <c r="M157" s="57">
        <v>11</v>
      </c>
      <c r="N157" s="9">
        <v>471.54603117335654</v>
      </c>
      <c r="O157" s="9">
        <f t="shared" si="186"/>
        <v>8.9841585250968237</v>
      </c>
      <c r="P157" s="9" t="s">
        <v>0</v>
      </c>
      <c r="Q157" s="9" t="str">
        <f t="shared" si="187"/>
        <v>-</v>
      </c>
      <c r="R157" s="9">
        <v>408.8746259503921</v>
      </c>
      <c r="S157" s="9">
        <f t="shared" si="188"/>
        <v>7.7901078867897917</v>
      </c>
      <c r="T157" s="9" t="s">
        <v>0</v>
      </c>
      <c r="U157" s="9" t="str">
        <f t="shared" si="189"/>
        <v>-</v>
      </c>
      <c r="V157" s="9" t="s">
        <v>0</v>
      </c>
      <c r="W157" s="9" t="str">
        <f t="shared" si="190"/>
        <v>-</v>
      </c>
      <c r="X157" s="9" t="s">
        <v>0</v>
      </c>
      <c r="Y157" s="9" t="str">
        <f t="shared" si="191"/>
        <v>-</v>
      </c>
      <c r="Z157" s="9" t="s">
        <v>0</v>
      </c>
      <c r="AA157" s="9" t="str">
        <f t="shared" si="192"/>
        <v>-</v>
      </c>
      <c r="AB157" s="9" t="s">
        <v>0</v>
      </c>
      <c r="AC157" s="9" t="str">
        <f t="shared" si="193"/>
        <v>-</v>
      </c>
      <c r="AD157" s="9" t="s">
        <v>0</v>
      </c>
      <c r="AE157" s="9" t="str">
        <f t="shared" si="194"/>
        <v>-</v>
      </c>
      <c r="AF157" s="9" t="s">
        <v>0</v>
      </c>
      <c r="AG157" s="9" t="s">
        <v>0</v>
      </c>
      <c r="AH157" s="9">
        <v>6.2</v>
      </c>
      <c r="AI157" s="9" t="s">
        <v>0</v>
      </c>
      <c r="AJ157" s="43" t="s">
        <v>0</v>
      </c>
      <c r="AK157" s="9" t="s">
        <v>0</v>
      </c>
      <c r="AL157" s="43" t="s">
        <v>0</v>
      </c>
      <c r="AM157" s="9" t="s">
        <v>0</v>
      </c>
      <c r="AN157" s="43" t="s">
        <v>0</v>
      </c>
      <c r="AO157" s="9" t="s">
        <v>0</v>
      </c>
      <c r="AP157" s="9" t="s">
        <v>0</v>
      </c>
      <c r="AQ157" s="43" t="s">
        <v>0</v>
      </c>
      <c r="AR157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57" s="9" t="str">
        <f t="shared" si="195"/>
        <v>-</v>
      </c>
      <c r="AT157" s="9">
        <f>IF(RIGHT(TKA[[#This Row],[Device type]],7)="Winding","-",TKA[[#This Row],[Cont Winter MVA]])</f>
        <v>8.9841585250968237</v>
      </c>
      <c r="AU157" s="9" t="str">
        <f>IF(RIGHT(TKA[[#This Row],[Device type]],7)="Winding","-",TKA[[#This Row],[Cont Shoulder MVA]])</f>
        <v>-</v>
      </c>
      <c r="AV157" s="9">
        <f>IF(RIGHT(TKA[[#This Row],[Device type]],7)="Winding","-",TKA[[#This Row],[Cont Summer MVA]])</f>
        <v>7.7901078867897917</v>
      </c>
      <c r="AW157" s="9" t="str">
        <f>TKA[[#This Row],[24 Hr Winter MVA]]</f>
        <v>-</v>
      </c>
      <c r="AX157" s="9" t="str">
        <f>TKA[[#This Row],[24 Hr Summer MVA]]</f>
        <v>-</v>
      </c>
      <c r="AY157" s="9" t="str">
        <f>TKA[[#This Row],[Forwards MVA]]</f>
        <v>-</v>
      </c>
      <c r="AZ157" s="9" t="str">
        <f>TKA[[#This Row],[Relay MVA]]</f>
        <v>-</v>
      </c>
      <c r="BA157" s="9" t="str">
        <f>TKA[[#This Row],[CT MVA]]</f>
        <v>-</v>
      </c>
      <c r="BB157" s="9" t="str">
        <f>TKA[[#This Row],[Derating MVA]]</f>
        <v>-</v>
      </c>
      <c r="BC157" s="9" t="str">
        <f>TKA[[#This Row],[Station/Feeder]]&amp;TKA[[#This Row],[Lowest MVA]]</f>
        <v>OMR7.79010788678979</v>
      </c>
      <c r="BD157" s="9" t="str">
        <f>CONCATENATE(TKA[[#This Row],[Supply Level]],TKA[[#This Row],[Station/Feeder]],TKA[[#This Row],[Voltage]],TKA[[#This Row],[Lowest A-No PTX]])</f>
        <v>SecondarySubstationOMR11408.874625950392</v>
      </c>
      <c r="BE157" s="9" t="str">
        <f>CONCATENATE(TKA[[#This Row],[Supply Level]],TKA[[#This Row],[Station/Feeder]],TKA[[#This Row],[Voltage]],TKA[[#This Row],[Lowest A-PTX]])</f>
        <v>SecondarySubstationOMR11408.874625950392</v>
      </c>
      <c r="BF157" s="9">
        <f>IF(MIN(TKA[[#This Row],[Summ Cont Winter A]]:TKA[[#This Row],[Cable Derating]])=0,"",MIN(TKA[[#This Row],[Summ Cont Winter A]]:TKA[[#This Row],[Cable Derating]]))</f>
        <v>7.7901078867897917</v>
      </c>
      <c r="BG157" s="9">
        <f>IFERROR(TKA[[#This Row],[Lowest MVA]]*1000/(TKA[[#This Row],[Voltage]]*SQRT(3)),"")</f>
        <v>408.8746259503921</v>
      </c>
      <c r="BH157" s="9">
        <f t="shared" si="196"/>
        <v>408.8746259503921</v>
      </c>
      <c r="BI157" s="9" t="str">
        <f>TKA[[#This Row],[From]]</f>
        <v>M329</v>
      </c>
      <c r="BJ157" s="9" t="str">
        <f>TKA[[#This Row],[To]]</f>
        <v>M339</v>
      </c>
      <c r="BK157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Line-IODINE</v>
      </c>
      <c r="BL157" s="9">
        <f>TKA[[#This Row],[Voltage]]</f>
        <v>11</v>
      </c>
    </row>
    <row r="158" spans="1:64" s="1" customFormat="1" x14ac:dyDescent="0.25">
      <c r="A158" s="6" t="str">
        <f>CONCATENATE(TKA[[#This Row],[Supply Level]],TKA[[#This Row],[Station/Feeder]],TKA[[#This Row],[Voltage]])</f>
        <v>SecondarySubstationOMR11</v>
      </c>
      <c r="B158" s="6" t="str">
        <f>CONCATENATE(TKA[[#This Row],[Supply Level]],TKA[[#This Row],[Station/Feeder]],TKA[[#This Row],[Equipment ID]],TKA[[#This Row],[Voltage]],TKA[[#This Row],[Device type]])</f>
        <v>SecondarySubstationOMR3-1c 95 mm² Al XLPE11-</v>
      </c>
      <c r="C158" s="6" t="s">
        <v>1277</v>
      </c>
      <c r="D158" s="6" t="s">
        <v>1443</v>
      </c>
      <c r="E158" s="46" t="s">
        <v>1335</v>
      </c>
      <c r="F158" s="46" t="s">
        <v>1334</v>
      </c>
      <c r="G158" s="57">
        <v>5</v>
      </c>
      <c r="H158" s="46" t="s">
        <v>276</v>
      </c>
      <c r="I158" s="46" t="s">
        <v>1338</v>
      </c>
      <c r="J158" s="46" t="s">
        <v>250</v>
      </c>
      <c r="K158" s="46" t="s">
        <v>0</v>
      </c>
      <c r="L158" s="46" t="s">
        <v>0</v>
      </c>
      <c r="M158" s="57">
        <v>11</v>
      </c>
      <c r="N158" s="9">
        <v>243</v>
      </c>
      <c r="O158" s="9">
        <f t="shared" si="186"/>
        <v>4.6297718086316086</v>
      </c>
      <c r="P158" s="9">
        <v>243</v>
      </c>
      <c r="Q158" s="9">
        <f t="shared" si="187"/>
        <v>4.6297718086316086</v>
      </c>
      <c r="R158" s="9">
        <v>243</v>
      </c>
      <c r="S158" s="9">
        <f t="shared" si="188"/>
        <v>4.6297718086316086</v>
      </c>
      <c r="T158" s="9" t="s">
        <v>0</v>
      </c>
      <c r="U158" s="9" t="str">
        <f t="shared" si="189"/>
        <v>-</v>
      </c>
      <c r="V158" s="9" t="s">
        <v>0</v>
      </c>
      <c r="W158" s="9" t="str">
        <f t="shared" si="190"/>
        <v>-</v>
      </c>
      <c r="X158" s="9" t="s">
        <v>0</v>
      </c>
      <c r="Y158" s="9" t="str">
        <f t="shared" si="191"/>
        <v>-</v>
      </c>
      <c r="Z158" s="9" t="s">
        <v>0</v>
      </c>
      <c r="AA158" s="9" t="str">
        <f t="shared" si="192"/>
        <v>-</v>
      </c>
      <c r="AB158" s="9" t="s">
        <v>0</v>
      </c>
      <c r="AC158" s="9" t="str">
        <f t="shared" si="193"/>
        <v>-</v>
      </c>
      <c r="AD158" s="9" t="s">
        <v>0</v>
      </c>
      <c r="AE158" s="9" t="str">
        <f t="shared" si="194"/>
        <v>-</v>
      </c>
      <c r="AF158" s="9">
        <v>1</v>
      </c>
      <c r="AG158" s="9" t="s">
        <v>265</v>
      </c>
      <c r="AH158" s="9">
        <v>3.8</v>
      </c>
      <c r="AI158" s="9">
        <v>1</v>
      </c>
      <c r="AJ158" s="43">
        <v>0.97</v>
      </c>
      <c r="AK158" s="9">
        <v>15</v>
      </c>
      <c r="AL158" s="43">
        <v>1</v>
      </c>
      <c r="AM158" s="9">
        <v>1.2</v>
      </c>
      <c r="AN158" s="43">
        <v>1</v>
      </c>
      <c r="AO158" s="9">
        <v>1</v>
      </c>
      <c r="AP158" s="9" t="s">
        <v>0</v>
      </c>
      <c r="AQ158" s="43">
        <v>1</v>
      </c>
      <c r="AR158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235.70999999999998</v>
      </c>
      <c r="AS158" s="9">
        <f t="shared" si="195"/>
        <v>4.4908786543726604</v>
      </c>
      <c r="AT158" s="9">
        <f>IF(RIGHT(TKA[[#This Row],[Device type]],7)="Winding","-",TKA[[#This Row],[Cont Winter MVA]])</f>
        <v>4.6297718086316086</v>
      </c>
      <c r="AU158" s="9">
        <f>IF(RIGHT(TKA[[#This Row],[Device type]],7)="Winding","-",TKA[[#This Row],[Cont Shoulder MVA]])</f>
        <v>4.6297718086316086</v>
      </c>
      <c r="AV158" s="9">
        <f>IF(RIGHT(TKA[[#This Row],[Device type]],7)="Winding","-",TKA[[#This Row],[Cont Summer MVA]])</f>
        <v>4.6297718086316086</v>
      </c>
      <c r="AW158" s="9" t="str">
        <f>TKA[[#This Row],[24 Hr Winter MVA]]</f>
        <v>-</v>
      </c>
      <c r="AX158" s="9" t="str">
        <f>TKA[[#This Row],[24 Hr Summer MVA]]</f>
        <v>-</v>
      </c>
      <c r="AY158" s="9" t="str">
        <f>TKA[[#This Row],[Forwards MVA]]</f>
        <v>-</v>
      </c>
      <c r="AZ158" s="9" t="str">
        <f>TKA[[#This Row],[Relay MVA]]</f>
        <v>-</v>
      </c>
      <c r="BA158" s="9" t="str">
        <f>TKA[[#This Row],[CT MVA]]</f>
        <v>-</v>
      </c>
      <c r="BB158" s="9">
        <f>TKA[[#This Row],[Derating MVA]]</f>
        <v>4.4908786543726604</v>
      </c>
      <c r="BC158" s="9" t="str">
        <f>TKA[[#This Row],[Station/Feeder]]&amp;TKA[[#This Row],[Lowest MVA]]</f>
        <v>OMR4.49087865437266</v>
      </c>
      <c r="BD158" s="9" t="str">
        <f>CONCATENATE(TKA[[#This Row],[Supply Level]],TKA[[#This Row],[Station/Feeder]],TKA[[#This Row],[Voltage]],TKA[[#This Row],[Lowest A-No PTX]])</f>
        <v>SecondarySubstationOMR11235.71</v>
      </c>
      <c r="BE158" s="9" t="str">
        <f>CONCATENATE(TKA[[#This Row],[Supply Level]],TKA[[#This Row],[Station/Feeder]],TKA[[#This Row],[Voltage]],TKA[[#This Row],[Lowest A-PTX]])</f>
        <v>SecondarySubstationOMR11235.71</v>
      </c>
      <c r="BF158" s="9">
        <f>IF(MIN(TKA[[#This Row],[Summ Cont Winter A]]:TKA[[#This Row],[Cable Derating]])=0,"",MIN(TKA[[#This Row],[Summ Cont Winter A]]:TKA[[#This Row],[Cable Derating]]))</f>
        <v>4.4908786543726604</v>
      </c>
      <c r="BG158" s="9">
        <f>IFERROR(TKA[[#This Row],[Lowest MVA]]*1000/(TKA[[#This Row],[Voltage]]*SQRT(3)),"")</f>
        <v>235.70999999999998</v>
      </c>
      <c r="BH158" s="9">
        <f t="shared" si="196"/>
        <v>235.70999999999998</v>
      </c>
      <c r="BI158" s="9" t="str">
        <f>TKA[[#This Row],[From]]</f>
        <v>M329</v>
      </c>
      <c r="BJ158" s="9" t="str">
        <f>TKA[[#This Row],[To]]</f>
        <v>M339</v>
      </c>
      <c r="BK158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Cable-3-1c 95 mm² Al XLPE</v>
      </c>
      <c r="BL158" s="9">
        <f>TKA[[#This Row],[Voltage]]</f>
        <v>11</v>
      </c>
    </row>
    <row r="159" spans="1:64" s="1" customFormat="1" x14ac:dyDescent="0.25">
      <c r="A159" s="6" t="str">
        <f>CONCATENATE(TKA[[#This Row],[Supply Level]],TKA[[#This Row],[Station/Feeder]],TKA[[#This Row],[Voltage]])</f>
        <v>SecondarySubstationOMR11</v>
      </c>
      <c r="B159" s="6" t="str">
        <f>CONCATENATE(TKA[[#This Row],[Supply Level]],TKA[[#This Row],[Station/Feeder]],TKA[[#This Row],[Equipment ID]],TKA[[#This Row],[Voltage]],TKA[[#This Row],[Device type]])</f>
        <v>SecondarySubstationOMRE35211LV Winding</v>
      </c>
      <c r="C159" s="6" t="s">
        <v>1277</v>
      </c>
      <c r="D159" s="6" t="s">
        <v>1443</v>
      </c>
      <c r="E159" s="46" t="s">
        <v>1335</v>
      </c>
      <c r="F159" s="46" t="s">
        <v>1334</v>
      </c>
      <c r="G159" s="57">
        <v>6</v>
      </c>
      <c r="H159" s="46" t="s">
        <v>275</v>
      </c>
      <c r="I159" s="46" t="s">
        <v>1339</v>
      </c>
      <c r="J159" s="46" t="s">
        <v>19</v>
      </c>
      <c r="K159" s="46" t="s">
        <v>0</v>
      </c>
      <c r="L159" s="46" t="s">
        <v>37</v>
      </c>
      <c r="M159" s="57">
        <v>11</v>
      </c>
      <c r="N159" s="9">
        <f>1.5*1000/(TKA[[#This Row],[Voltage]]*SQRT(3))</f>
        <v>78.729582162221703</v>
      </c>
      <c r="O159" s="9">
        <f t="shared" si="186"/>
        <v>1.5</v>
      </c>
      <c r="P159" s="9" t="s">
        <v>0</v>
      </c>
      <c r="Q159" s="9" t="str">
        <f t="shared" si="187"/>
        <v>-</v>
      </c>
      <c r="R159" s="9" t="s">
        <v>0</v>
      </c>
      <c r="S159" s="9" t="str">
        <f t="shared" si="188"/>
        <v>-</v>
      </c>
      <c r="T159" s="9" t="s">
        <v>0</v>
      </c>
      <c r="U159" s="9" t="str">
        <f t="shared" si="189"/>
        <v>-</v>
      </c>
      <c r="V159" s="9" t="s">
        <v>0</v>
      </c>
      <c r="W159" s="9" t="str">
        <f t="shared" si="190"/>
        <v>-</v>
      </c>
      <c r="X159" s="9" t="s">
        <v>0</v>
      </c>
      <c r="Y159" s="9" t="str">
        <f t="shared" si="191"/>
        <v>-</v>
      </c>
      <c r="Z159" s="9" t="s">
        <v>0</v>
      </c>
      <c r="AA159" s="9" t="str">
        <f t="shared" si="192"/>
        <v>-</v>
      </c>
      <c r="AB159" s="9" t="s">
        <v>0</v>
      </c>
      <c r="AC159" s="9" t="str">
        <f t="shared" si="193"/>
        <v>-</v>
      </c>
      <c r="AD159" s="9" t="s">
        <v>0</v>
      </c>
      <c r="AE159" s="9" t="str">
        <f t="shared" si="194"/>
        <v>-</v>
      </c>
      <c r="AF159" s="9" t="s">
        <v>0</v>
      </c>
      <c r="AG159" s="9" t="s">
        <v>0</v>
      </c>
      <c r="AH159" s="9" t="s">
        <v>0</v>
      </c>
      <c r="AI159" s="9" t="s">
        <v>0</v>
      </c>
      <c r="AJ159" s="43" t="s">
        <v>0</v>
      </c>
      <c r="AK159" s="9" t="s">
        <v>0</v>
      </c>
      <c r="AL159" s="43" t="s">
        <v>0</v>
      </c>
      <c r="AM159" s="9" t="s">
        <v>0</v>
      </c>
      <c r="AN159" s="43" t="s">
        <v>0</v>
      </c>
      <c r="AO159" s="9" t="s">
        <v>0</v>
      </c>
      <c r="AP159" s="43" t="s">
        <v>0</v>
      </c>
      <c r="AQ159" s="43" t="s">
        <v>0</v>
      </c>
      <c r="AR159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59" s="9" t="str">
        <f t="shared" si="195"/>
        <v>-</v>
      </c>
      <c r="AT159" s="9" t="str">
        <f>IF(RIGHT(TKA[[#This Row],[Device type]],7)="Winding","-",TKA[[#This Row],[Cont Winter MVA]])</f>
        <v>-</v>
      </c>
      <c r="AU159" s="9" t="str">
        <f>IF(RIGHT(TKA[[#This Row],[Device type]],7)="Winding","-",TKA[[#This Row],[Cont Shoulder MVA]])</f>
        <v>-</v>
      </c>
      <c r="AV159" s="9" t="str">
        <f>IF(RIGHT(TKA[[#This Row],[Device type]],7)="Winding","-",TKA[[#This Row],[Cont Summer MVA]])</f>
        <v>-</v>
      </c>
      <c r="AW159" s="9" t="str">
        <f>TKA[[#This Row],[24 Hr Winter MVA]]</f>
        <v>-</v>
      </c>
      <c r="AX159" s="9" t="str">
        <f>TKA[[#This Row],[24 Hr Summer MVA]]</f>
        <v>-</v>
      </c>
      <c r="AY159" s="9" t="str">
        <f>TKA[[#This Row],[Forwards MVA]]</f>
        <v>-</v>
      </c>
      <c r="AZ159" s="9" t="str">
        <f>TKA[[#This Row],[Relay MVA]]</f>
        <v>-</v>
      </c>
      <c r="BA159" s="9" t="str">
        <f>TKA[[#This Row],[CT MVA]]</f>
        <v>-</v>
      </c>
      <c r="BB159" s="9" t="str">
        <f>TKA[[#This Row],[Derating MVA]]</f>
        <v>-</v>
      </c>
      <c r="BC159" s="9" t="str">
        <f>TKA[[#This Row],[Station/Feeder]]&amp;TKA[[#This Row],[Lowest MVA]]</f>
        <v>OMR</v>
      </c>
      <c r="BD159" s="9" t="str">
        <f>CONCATENATE(TKA[[#This Row],[Supply Level]],TKA[[#This Row],[Station/Feeder]],TKA[[#This Row],[Voltage]],TKA[[#This Row],[Lowest A-No PTX]])</f>
        <v>SecondarySubstationOMR11</v>
      </c>
      <c r="BE159" s="9" t="str">
        <f>CONCATENATE(TKA[[#This Row],[Supply Level]],TKA[[#This Row],[Station/Feeder]],TKA[[#This Row],[Voltage]],TKA[[#This Row],[Lowest A-PTX]])</f>
        <v>SecondarySubstationOMR1178.7295821622217</v>
      </c>
      <c r="BF159" s="9" t="str">
        <f>IF(MIN(TKA[[#This Row],[Summ Cont Winter A]]:TKA[[#This Row],[Cable Derating]])=0,"",MIN(TKA[[#This Row],[Summ Cont Winter A]]:TKA[[#This Row],[Cable Derating]]))</f>
        <v/>
      </c>
      <c r="BG159" s="9" t="str">
        <f>IFERROR(TKA[[#This Row],[Lowest MVA]]*1000/(TKA[[#This Row],[Voltage]]*SQRT(3)),"")</f>
        <v/>
      </c>
      <c r="BH159" s="9">
        <f t="shared" si="196"/>
        <v>78.729582162221703</v>
      </c>
      <c r="BI159" s="9" t="str">
        <f>TKA[[#This Row],[From]]</f>
        <v>M329</v>
      </c>
      <c r="BJ159" s="9" t="str">
        <f>TKA[[#This Row],[To]]</f>
        <v>M339</v>
      </c>
      <c r="BK159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Transformer-E352-LV Winding</v>
      </c>
      <c r="BL159" s="9">
        <f>TKA[[#This Row],[Voltage]]</f>
        <v>11</v>
      </c>
    </row>
    <row r="160" spans="1:64" s="1" customFormat="1" x14ac:dyDescent="0.25">
      <c r="A160" s="6" t="str">
        <f>CONCATENATE(TKA[[#This Row],[Supply Level]],TKA[[#This Row],[Station/Feeder]],TKA[[#This Row],[Voltage]])</f>
        <v>SecondarySubstationOMR22</v>
      </c>
      <c r="B160" s="6" t="str">
        <f>CONCATENATE(TKA[[#This Row],[Supply Level]],TKA[[#This Row],[Station/Feeder]],TKA[[#This Row],[Equipment ID]],TKA[[#This Row],[Voltage]],TKA[[#This Row],[Device type]])</f>
        <v>SecondarySubstationOMRE35222HV Winding</v>
      </c>
      <c r="C160" s="6" t="s">
        <v>1277</v>
      </c>
      <c r="D160" s="6" t="s">
        <v>1443</v>
      </c>
      <c r="E160" s="46" t="s">
        <v>1335</v>
      </c>
      <c r="F160" s="46" t="s">
        <v>1334</v>
      </c>
      <c r="G160" s="57">
        <v>7</v>
      </c>
      <c r="H160" s="46" t="s">
        <v>275</v>
      </c>
      <c r="I160" s="46" t="s">
        <v>1339</v>
      </c>
      <c r="J160" s="46" t="s">
        <v>19</v>
      </c>
      <c r="K160" s="46" t="s">
        <v>0</v>
      </c>
      <c r="L160" s="46" t="s">
        <v>36</v>
      </c>
      <c r="M160" s="57">
        <v>22</v>
      </c>
      <c r="N160" s="9">
        <f>1.5*1000/(TKA[[#This Row],[Voltage]]*SQRT(3))</f>
        <v>39.364791081110852</v>
      </c>
      <c r="O160" s="9">
        <f t="shared" si="186"/>
        <v>1.5</v>
      </c>
      <c r="P160" s="9" t="s">
        <v>0</v>
      </c>
      <c r="Q160" s="9" t="str">
        <f t="shared" si="187"/>
        <v>-</v>
      </c>
      <c r="R160" s="9" t="s">
        <v>0</v>
      </c>
      <c r="S160" s="9" t="str">
        <f t="shared" si="188"/>
        <v>-</v>
      </c>
      <c r="T160" s="9" t="s">
        <v>0</v>
      </c>
      <c r="U160" s="9" t="str">
        <f t="shared" si="189"/>
        <v>-</v>
      </c>
      <c r="V160" s="9" t="s">
        <v>0</v>
      </c>
      <c r="W160" s="9" t="str">
        <f t="shared" si="190"/>
        <v>-</v>
      </c>
      <c r="X160" s="9" t="s">
        <v>0</v>
      </c>
      <c r="Y160" s="9" t="str">
        <f t="shared" si="191"/>
        <v>-</v>
      </c>
      <c r="Z160" s="9" t="s">
        <v>0</v>
      </c>
      <c r="AA160" s="9" t="str">
        <f t="shared" si="192"/>
        <v>-</v>
      </c>
      <c r="AB160" s="9" t="s">
        <v>0</v>
      </c>
      <c r="AC160" s="9" t="str">
        <f t="shared" si="193"/>
        <v>-</v>
      </c>
      <c r="AD160" s="9" t="s">
        <v>0</v>
      </c>
      <c r="AE160" s="9" t="str">
        <f t="shared" si="194"/>
        <v>-</v>
      </c>
      <c r="AF160" s="9" t="s">
        <v>0</v>
      </c>
      <c r="AG160" s="9" t="s">
        <v>0</v>
      </c>
      <c r="AH160" s="9" t="s">
        <v>0</v>
      </c>
      <c r="AI160" s="9" t="s">
        <v>0</v>
      </c>
      <c r="AJ160" s="43" t="s">
        <v>0</v>
      </c>
      <c r="AK160" s="9" t="s">
        <v>0</v>
      </c>
      <c r="AL160" s="43" t="s">
        <v>0</v>
      </c>
      <c r="AM160" s="9" t="s">
        <v>0</v>
      </c>
      <c r="AN160" s="43" t="s">
        <v>0</v>
      </c>
      <c r="AO160" s="9" t="s">
        <v>0</v>
      </c>
      <c r="AP160" s="9" t="s">
        <v>0</v>
      </c>
      <c r="AQ160" s="43" t="s">
        <v>0</v>
      </c>
      <c r="AR160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60" s="9" t="str">
        <f t="shared" si="195"/>
        <v>-</v>
      </c>
      <c r="AT160" s="9" t="str">
        <f>IF(RIGHT(TKA[[#This Row],[Device type]],7)="Winding","-",TKA[[#This Row],[Cont Winter MVA]])</f>
        <v>-</v>
      </c>
      <c r="AU160" s="9" t="str">
        <f>IF(RIGHT(TKA[[#This Row],[Device type]],7)="Winding","-",TKA[[#This Row],[Cont Shoulder MVA]])</f>
        <v>-</v>
      </c>
      <c r="AV160" s="9" t="str">
        <f>IF(RIGHT(TKA[[#This Row],[Device type]],7)="Winding","-",TKA[[#This Row],[Cont Summer MVA]])</f>
        <v>-</v>
      </c>
      <c r="AW160" s="9" t="str">
        <f>TKA[[#This Row],[24 Hr Winter MVA]]</f>
        <v>-</v>
      </c>
      <c r="AX160" s="9" t="str">
        <f>TKA[[#This Row],[24 Hr Summer MVA]]</f>
        <v>-</v>
      </c>
      <c r="AY160" s="9" t="str">
        <f>TKA[[#This Row],[Forwards MVA]]</f>
        <v>-</v>
      </c>
      <c r="AZ160" s="9" t="str">
        <f>TKA[[#This Row],[Relay MVA]]</f>
        <v>-</v>
      </c>
      <c r="BA160" s="9" t="str">
        <f>TKA[[#This Row],[CT MVA]]</f>
        <v>-</v>
      </c>
      <c r="BB160" s="9" t="str">
        <f>TKA[[#This Row],[Derating MVA]]</f>
        <v>-</v>
      </c>
      <c r="BC160" s="9" t="str">
        <f>TKA[[#This Row],[Station/Feeder]]&amp;TKA[[#This Row],[Lowest MVA]]</f>
        <v>OMR</v>
      </c>
      <c r="BD160" s="9" t="str">
        <f>CONCATENATE(TKA[[#This Row],[Supply Level]],TKA[[#This Row],[Station/Feeder]],TKA[[#This Row],[Voltage]],TKA[[#This Row],[Lowest A-No PTX]])</f>
        <v>SecondarySubstationOMR22</v>
      </c>
      <c r="BE160" s="9" t="str">
        <f>CONCATENATE(TKA[[#This Row],[Supply Level]],TKA[[#This Row],[Station/Feeder]],TKA[[#This Row],[Voltage]],TKA[[#This Row],[Lowest A-PTX]])</f>
        <v>SecondarySubstationOMR2239.3647910811109</v>
      </c>
      <c r="BF160" s="9" t="str">
        <f>IF(MIN(TKA[[#This Row],[Summ Cont Winter A]]:TKA[[#This Row],[Cable Derating]])=0,"",MIN(TKA[[#This Row],[Summ Cont Winter A]]:TKA[[#This Row],[Cable Derating]]))</f>
        <v/>
      </c>
      <c r="BG160" s="9" t="str">
        <f>IFERROR(TKA[[#This Row],[Lowest MVA]]*1000/(TKA[[#This Row],[Voltage]]*SQRT(3)),"")</f>
        <v/>
      </c>
      <c r="BH160" s="9">
        <f t="shared" si="196"/>
        <v>39.364791081110852</v>
      </c>
      <c r="BI160" s="9" t="str">
        <f>TKA[[#This Row],[From]]</f>
        <v>M329</v>
      </c>
      <c r="BJ160" s="9" t="str">
        <f>TKA[[#This Row],[To]]</f>
        <v>M339</v>
      </c>
      <c r="BK160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Transformer-E352-HV Winding</v>
      </c>
      <c r="BL160" s="9">
        <f>TKA[[#This Row],[Voltage]]</f>
        <v>22</v>
      </c>
    </row>
    <row r="161" spans="1:64" s="1" customFormat="1" x14ac:dyDescent="0.25">
      <c r="A161" s="6" t="str">
        <f>CONCATENATE(TKA[[#This Row],[Supply Level]],TKA[[#This Row],[Station/Feeder]],TKA[[#This Row],[Voltage]])</f>
        <v>SecondarySubstationOMR22</v>
      </c>
      <c r="B161" s="6" t="str">
        <f>CONCATENATE(TKA[[#This Row],[Supply Level]],TKA[[#This Row],[Station/Feeder]],TKA[[#This Row],[Equipment ID]],TKA[[#This Row],[Voltage]],TKA[[#This Row],[Device type]])</f>
        <v>SecondarySubstationOMR3-1c 95 mm² Al XLPE22-</v>
      </c>
      <c r="C161" s="6" t="s">
        <v>1277</v>
      </c>
      <c r="D161" s="6" t="s">
        <v>1443</v>
      </c>
      <c r="E161" s="46" t="s">
        <v>1335</v>
      </c>
      <c r="F161" s="46" t="s">
        <v>1334</v>
      </c>
      <c r="G161" s="57">
        <v>8</v>
      </c>
      <c r="H161" s="46" t="s">
        <v>276</v>
      </c>
      <c r="I161" s="46" t="s">
        <v>1338</v>
      </c>
      <c r="J161" s="46" t="s">
        <v>250</v>
      </c>
      <c r="K161" s="46" t="s">
        <v>0</v>
      </c>
      <c r="L161" s="46" t="s">
        <v>0</v>
      </c>
      <c r="M161" s="57">
        <v>22</v>
      </c>
      <c r="N161" s="9">
        <v>243</v>
      </c>
      <c r="O161" s="9">
        <f t="shared" si="186"/>
        <v>9.2595436172632173</v>
      </c>
      <c r="P161" s="9">
        <v>243</v>
      </c>
      <c r="Q161" s="9">
        <f t="shared" si="187"/>
        <v>9.2595436172632173</v>
      </c>
      <c r="R161" s="9">
        <v>243</v>
      </c>
      <c r="S161" s="9">
        <f t="shared" si="188"/>
        <v>9.2595436172632173</v>
      </c>
      <c r="T161" s="9" t="s">
        <v>0</v>
      </c>
      <c r="U161" s="9" t="str">
        <f t="shared" si="189"/>
        <v>-</v>
      </c>
      <c r="V161" s="9" t="s">
        <v>0</v>
      </c>
      <c r="W161" s="9" t="str">
        <f t="shared" si="190"/>
        <v>-</v>
      </c>
      <c r="X161" s="9" t="s">
        <v>0</v>
      </c>
      <c r="Y161" s="9" t="str">
        <f t="shared" si="191"/>
        <v>-</v>
      </c>
      <c r="Z161" s="9" t="s">
        <v>0</v>
      </c>
      <c r="AA161" s="9" t="str">
        <f t="shared" si="192"/>
        <v>-</v>
      </c>
      <c r="AB161" s="9" t="s">
        <v>0</v>
      </c>
      <c r="AC161" s="9" t="str">
        <f t="shared" si="193"/>
        <v>-</v>
      </c>
      <c r="AD161" s="9" t="s">
        <v>0</v>
      </c>
      <c r="AE161" s="9" t="str">
        <f t="shared" si="194"/>
        <v>-</v>
      </c>
      <c r="AF161" s="9">
        <v>1</v>
      </c>
      <c r="AG161" s="9" t="s">
        <v>265</v>
      </c>
      <c r="AH161" s="9">
        <v>4.2</v>
      </c>
      <c r="AI161" s="9">
        <v>1</v>
      </c>
      <c r="AJ161" s="43">
        <v>0.97</v>
      </c>
      <c r="AK161" s="9">
        <v>15</v>
      </c>
      <c r="AL161" s="43">
        <v>1</v>
      </c>
      <c r="AM161" s="9">
        <v>1.2</v>
      </c>
      <c r="AN161" s="43">
        <v>1</v>
      </c>
      <c r="AO161" s="9">
        <v>1</v>
      </c>
      <c r="AP161" s="9" t="s">
        <v>0</v>
      </c>
      <c r="AQ161" s="43">
        <v>1</v>
      </c>
      <c r="AR161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235.70999999999998</v>
      </c>
      <c r="AS161" s="9">
        <f t="shared" si="195"/>
        <v>8.9817573087453209</v>
      </c>
      <c r="AT161" s="9">
        <f>IF(RIGHT(TKA[[#This Row],[Device type]],7)="Winding","-",TKA[[#This Row],[Cont Winter MVA]])</f>
        <v>9.2595436172632173</v>
      </c>
      <c r="AU161" s="9">
        <f>IF(RIGHT(TKA[[#This Row],[Device type]],7)="Winding","-",TKA[[#This Row],[Cont Shoulder MVA]])</f>
        <v>9.2595436172632173</v>
      </c>
      <c r="AV161" s="9">
        <f>IF(RIGHT(TKA[[#This Row],[Device type]],7)="Winding","-",TKA[[#This Row],[Cont Summer MVA]])</f>
        <v>9.2595436172632173</v>
      </c>
      <c r="AW161" s="9" t="str">
        <f>TKA[[#This Row],[24 Hr Winter MVA]]</f>
        <v>-</v>
      </c>
      <c r="AX161" s="9" t="str">
        <f>TKA[[#This Row],[24 Hr Summer MVA]]</f>
        <v>-</v>
      </c>
      <c r="AY161" s="9" t="str">
        <f>TKA[[#This Row],[Forwards MVA]]</f>
        <v>-</v>
      </c>
      <c r="AZ161" s="9" t="str">
        <f>TKA[[#This Row],[Relay MVA]]</f>
        <v>-</v>
      </c>
      <c r="BA161" s="9" t="str">
        <f>TKA[[#This Row],[CT MVA]]</f>
        <v>-</v>
      </c>
      <c r="BB161" s="9">
        <f>TKA[[#This Row],[Derating MVA]]</f>
        <v>8.9817573087453209</v>
      </c>
      <c r="BC161" s="9" t="str">
        <f>TKA[[#This Row],[Station/Feeder]]&amp;TKA[[#This Row],[Lowest MVA]]</f>
        <v>OMR8.98175730874532</v>
      </c>
      <c r="BD161" s="9" t="str">
        <f>CONCATENATE(TKA[[#This Row],[Supply Level]],TKA[[#This Row],[Station/Feeder]],TKA[[#This Row],[Voltage]],TKA[[#This Row],[Lowest A-No PTX]])</f>
        <v>SecondarySubstationOMR22235.71</v>
      </c>
      <c r="BE161" s="9" t="str">
        <f>CONCATENATE(TKA[[#This Row],[Supply Level]],TKA[[#This Row],[Station/Feeder]],TKA[[#This Row],[Voltage]],TKA[[#This Row],[Lowest A-PTX]])</f>
        <v>SecondarySubstationOMR22235.71</v>
      </c>
      <c r="BF161" s="9">
        <f>IF(MIN(TKA[[#This Row],[Summ Cont Winter A]]:TKA[[#This Row],[Cable Derating]])=0,"",MIN(TKA[[#This Row],[Summ Cont Winter A]]:TKA[[#This Row],[Cable Derating]]))</f>
        <v>8.9817573087453209</v>
      </c>
      <c r="BG161" s="9">
        <f>IFERROR(TKA[[#This Row],[Lowest MVA]]*1000/(TKA[[#This Row],[Voltage]]*SQRT(3)),"")</f>
        <v>235.70999999999998</v>
      </c>
      <c r="BH161" s="9">
        <f t="shared" si="196"/>
        <v>235.70999999999998</v>
      </c>
      <c r="BI161" s="9" t="str">
        <f>TKA[[#This Row],[From]]</f>
        <v>M329</v>
      </c>
      <c r="BJ161" s="9" t="str">
        <f>TKA[[#This Row],[To]]</f>
        <v>M339</v>
      </c>
      <c r="BK161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Cable-3-1c 95 mm² Al XLPE</v>
      </c>
      <c r="BL161" s="9">
        <f>TKA[[#This Row],[Voltage]]</f>
        <v>22</v>
      </c>
    </row>
    <row r="162" spans="1:64" s="1" customFormat="1" x14ac:dyDescent="0.25">
      <c r="A162" s="6" t="str">
        <f>CONCATENATE(TKA[[#This Row],[Supply Level]],TKA[[#This Row],[Station/Feeder]],TKA[[#This Row],[Voltage]])</f>
        <v>SecondarySubstationOMR22</v>
      </c>
      <c r="B162" s="6" t="str">
        <f>CONCATENATE(TKA[[#This Row],[Supply Level]],TKA[[#This Row],[Station/Feeder]],TKA[[#This Row],[Equipment ID]],TKA[[#This Row],[Voltage]],TKA[[#This Row],[Device type]])</f>
        <v>SecondarySubstationOMRIODINE22-</v>
      </c>
      <c r="C162" s="6" t="s">
        <v>1277</v>
      </c>
      <c r="D162" s="6" t="s">
        <v>1443</v>
      </c>
      <c r="E162" s="46" t="s">
        <v>1335</v>
      </c>
      <c r="F162" s="46" t="s">
        <v>1334</v>
      </c>
      <c r="G162" s="57">
        <v>9</v>
      </c>
      <c r="H162" s="46" t="s">
        <v>1289</v>
      </c>
      <c r="I162" s="46" t="s">
        <v>329</v>
      </c>
      <c r="J162" s="46" t="s">
        <v>69</v>
      </c>
      <c r="K162" s="46" t="s">
        <v>0</v>
      </c>
      <c r="L162" s="46" t="s">
        <v>0</v>
      </c>
      <c r="M162" s="57">
        <v>22</v>
      </c>
      <c r="N162" s="9">
        <v>471.54603117335654</v>
      </c>
      <c r="O162" s="9">
        <f t="shared" si="186"/>
        <v>17.968317050193647</v>
      </c>
      <c r="P162" s="9" t="s">
        <v>0</v>
      </c>
      <c r="Q162" s="9" t="str">
        <f t="shared" si="187"/>
        <v>-</v>
      </c>
      <c r="R162" s="9">
        <v>408.8746259503921</v>
      </c>
      <c r="S162" s="9">
        <f t="shared" si="188"/>
        <v>15.580215773579583</v>
      </c>
      <c r="T162" s="9" t="s">
        <v>0</v>
      </c>
      <c r="U162" s="9" t="str">
        <f t="shared" si="189"/>
        <v>-</v>
      </c>
      <c r="V162" s="9" t="s">
        <v>0</v>
      </c>
      <c r="W162" s="9" t="str">
        <f t="shared" si="190"/>
        <v>-</v>
      </c>
      <c r="X162" s="9" t="s">
        <v>0</v>
      </c>
      <c r="Y162" s="9" t="str">
        <f t="shared" si="191"/>
        <v>-</v>
      </c>
      <c r="Z162" s="9" t="s">
        <v>0</v>
      </c>
      <c r="AA162" s="9" t="str">
        <f t="shared" si="192"/>
        <v>-</v>
      </c>
      <c r="AB162" s="9" t="s">
        <v>0</v>
      </c>
      <c r="AC162" s="9" t="str">
        <f t="shared" si="193"/>
        <v>-</v>
      </c>
      <c r="AD162" s="9" t="s">
        <v>0</v>
      </c>
      <c r="AE162" s="9" t="str">
        <f t="shared" si="194"/>
        <v>-</v>
      </c>
      <c r="AF162" s="9" t="s">
        <v>0</v>
      </c>
      <c r="AG162" s="9" t="s">
        <v>0</v>
      </c>
      <c r="AH162" s="9">
        <v>6.3</v>
      </c>
      <c r="AI162" s="9" t="s">
        <v>0</v>
      </c>
      <c r="AJ162" s="43" t="s">
        <v>0</v>
      </c>
      <c r="AK162" s="9" t="s">
        <v>0</v>
      </c>
      <c r="AL162" s="43" t="s">
        <v>0</v>
      </c>
      <c r="AM162" s="9" t="s">
        <v>0</v>
      </c>
      <c r="AN162" s="43" t="s">
        <v>0</v>
      </c>
      <c r="AO162" s="9" t="s">
        <v>0</v>
      </c>
      <c r="AP162" s="9" t="s">
        <v>0</v>
      </c>
      <c r="AQ162" s="43" t="s">
        <v>0</v>
      </c>
      <c r="AR162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62" s="9" t="str">
        <f t="shared" si="195"/>
        <v>-</v>
      </c>
      <c r="AT162" s="9">
        <f>IF(RIGHT(TKA[[#This Row],[Device type]],7)="Winding","-",TKA[[#This Row],[Cont Winter MVA]])</f>
        <v>17.968317050193647</v>
      </c>
      <c r="AU162" s="9" t="str">
        <f>IF(RIGHT(TKA[[#This Row],[Device type]],7)="Winding","-",TKA[[#This Row],[Cont Shoulder MVA]])</f>
        <v>-</v>
      </c>
      <c r="AV162" s="9">
        <f>IF(RIGHT(TKA[[#This Row],[Device type]],7)="Winding","-",TKA[[#This Row],[Cont Summer MVA]])</f>
        <v>15.580215773579583</v>
      </c>
      <c r="AW162" s="9" t="str">
        <f>TKA[[#This Row],[24 Hr Winter MVA]]</f>
        <v>-</v>
      </c>
      <c r="AX162" s="9" t="str">
        <f>TKA[[#This Row],[24 Hr Summer MVA]]</f>
        <v>-</v>
      </c>
      <c r="AY162" s="9" t="str">
        <f>TKA[[#This Row],[Forwards MVA]]</f>
        <v>-</v>
      </c>
      <c r="AZ162" s="9" t="str">
        <f>TKA[[#This Row],[Relay MVA]]</f>
        <v>-</v>
      </c>
      <c r="BA162" s="9" t="str">
        <f>TKA[[#This Row],[CT MVA]]</f>
        <v>-</v>
      </c>
      <c r="BB162" s="9" t="str">
        <f>TKA[[#This Row],[Derating MVA]]</f>
        <v>-</v>
      </c>
      <c r="BC162" s="9" t="str">
        <f>TKA[[#This Row],[Station/Feeder]]&amp;TKA[[#This Row],[Lowest MVA]]</f>
        <v>OMR15.5802157735796</v>
      </c>
      <c r="BD162" s="9" t="str">
        <f>CONCATENATE(TKA[[#This Row],[Supply Level]],TKA[[#This Row],[Station/Feeder]],TKA[[#This Row],[Voltage]],TKA[[#This Row],[Lowest A-No PTX]])</f>
        <v>SecondarySubstationOMR22408.874625950392</v>
      </c>
      <c r="BE162" s="9" t="str">
        <f>CONCATENATE(TKA[[#This Row],[Supply Level]],TKA[[#This Row],[Station/Feeder]],TKA[[#This Row],[Voltage]],TKA[[#This Row],[Lowest A-PTX]])</f>
        <v>SecondarySubstationOMR22408.874625950392</v>
      </c>
      <c r="BF162" s="9">
        <f>IF(MIN(TKA[[#This Row],[Summ Cont Winter A]]:TKA[[#This Row],[Cable Derating]])=0,"",MIN(TKA[[#This Row],[Summ Cont Winter A]]:TKA[[#This Row],[Cable Derating]]))</f>
        <v>15.580215773579583</v>
      </c>
      <c r="BG162" s="9">
        <f>IFERROR(TKA[[#This Row],[Lowest MVA]]*1000/(TKA[[#This Row],[Voltage]]*SQRT(3)),"")</f>
        <v>408.8746259503921</v>
      </c>
      <c r="BH162" s="9">
        <f t="shared" si="196"/>
        <v>408.8746259503921</v>
      </c>
      <c r="BI162" s="9" t="str">
        <f>TKA[[#This Row],[From]]</f>
        <v>M329</v>
      </c>
      <c r="BJ162" s="9" t="str">
        <f>TKA[[#This Row],[To]]</f>
        <v>M339</v>
      </c>
      <c r="BK162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Line-IODINE</v>
      </c>
      <c r="BL162" s="9">
        <f>TKA[[#This Row],[Voltage]]</f>
        <v>22</v>
      </c>
    </row>
    <row r="163" spans="1:64" s="1" customFormat="1" x14ac:dyDescent="0.25">
      <c r="A163" s="6" t="str">
        <f>CONCATENATE(TKA[[#This Row],[Supply Level]],TKA[[#This Row],[Station/Feeder]],TKA[[#This Row],[Voltage]])</f>
        <v>SecondarySubstationOMR22</v>
      </c>
      <c r="B163" s="6" t="str">
        <f>CONCATENATE(TKA[[#This Row],[Supply Level]],TKA[[#This Row],[Station/Feeder]],TKA[[#This Row],[Equipment ID]],TKA[[#This Row],[Voltage]],TKA[[#This Row],[Device type]])</f>
        <v>SecondarySubstationOMRM33322-</v>
      </c>
      <c r="C163" s="6" t="s">
        <v>1277</v>
      </c>
      <c r="D163" s="6" t="s">
        <v>1443</v>
      </c>
      <c r="E163" s="46" t="s">
        <v>1335</v>
      </c>
      <c r="F163" s="46" t="s">
        <v>1334</v>
      </c>
      <c r="G163" s="57">
        <v>10</v>
      </c>
      <c r="H163" s="46" t="s">
        <v>273</v>
      </c>
      <c r="I163" s="46" t="s">
        <v>1340</v>
      </c>
      <c r="J163" s="46" t="s">
        <v>249</v>
      </c>
      <c r="K163" s="46" t="s">
        <v>0</v>
      </c>
      <c r="L163" s="46" t="s">
        <v>0</v>
      </c>
      <c r="M163" s="57">
        <v>22</v>
      </c>
      <c r="N163" s="9">
        <v>300</v>
      </c>
      <c r="O163" s="9">
        <f t="shared" si="186"/>
        <v>11.43153532995459</v>
      </c>
      <c r="P163" s="9">
        <v>300</v>
      </c>
      <c r="Q163" s="9">
        <f t="shared" si="187"/>
        <v>11.43153532995459</v>
      </c>
      <c r="R163" s="9">
        <v>300</v>
      </c>
      <c r="S163" s="9">
        <f t="shared" si="188"/>
        <v>11.43153532995459</v>
      </c>
      <c r="T163" s="9" t="s">
        <v>0</v>
      </c>
      <c r="U163" s="9" t="str">
        <f t="shared" si="189"/>
        <v>-</v>
      </c>
      <c r="V163" s="9" t="s">
        <v>0</v>
      </c>
      <c r="W163" s="9" t="str">
        <f t="shared" si="190"/>
        <v>-</v>
      </c>
      <c r="X163" s="9" t="s">
        <v>0</v>
      </c>
      <c r="Y163" s="9" t="str">
        <f t="shared" si="191"/>
        <v>-</v>
      </c>
      <c r="Z163" s="9" t="s">
        <v>0</v>
      </c>
      <c r="AA163" s="9" t="str">
        <f t="shared" si="192"/>
        <v>-</v>
      </c>
      <c r="AB163" s="9" t="s">
        <v>0</v>
      </c>
      <c r="AC163" s="9" t="str">
        <f t="shared" si="193"/>
        <v>-</v>
      </c>
      <c r="AD163" s="9" t="s">
        <v>0</v>
      </c>
      <c r="AE163" s="9" t="str">
        <f t="shared" si="194"/>
        <v>-</v>
      </c>
      <c r="AF163" s="9" t="s">
        <v>0</v>
      </c>
      <c r="AG163" s="9" t="s">
        <v>0</v>
      </c>
      <c r="AH163" s="9" t="s">
        <v>0</v>
      </c>
      <c r="AI163" s="9" t="s">
        <v>0</v>
      </c>
      <c r="AJ163" s="43" t="s">
        <v>0</v>
      </c>
      <c r="AK163" s="9" t="s">
        <v>0</v>
      </c>
      <c r="AL163" s="43" t="s">
        <v>0</v>
      </c>
      <c r="AM163" s="9" t="s">
        <v>0</v>
      </c>
      <c r="AN163" s="43" t="s">
        <v>0</v>
      </c>
      <c r="AO163" s="9" t="s">
        <v>0</v>
      </c>
      <c r="AP163" s="9" t="s">
        <v>0</v>
      </c>
      <c r="AQ163" s="43" t="s">
        <v>0</v>
      </c>
      <c r="AR163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63" s="9" t="str">
        <f t="shared" si="195"/>
        <v>-</v>
      </c>
      <c r="AT163" s="9">
        <f>IF(RIGHT(TKA[[#This Row],[Device type]],7)="Winding","-",TKA[[#This Row],[Cont Winter MVA]])</f>
        <v>11.43153532995459</v>
      </c>
      <c r="AU163" s="9">
        <f>IF(RIGHT(TKA[[#This Row],[Device type]],7)="Winding","-",TKA[[#This Row],[Cont Shoulder MVA]])</f>
        <v>11.43153532995459</v>
      </c>
      <c r="AV163" s="9">
        <f>IF(RIGHT(TKA[[#This Row],[Device type]],7)="Winding","-",TKA[[#This Row],[Cont Summer MVA]])</f>
        <v>11.43153532995459</v>
      </c>
      <c r="AW163" s="9" t="str">
        <f>TKA[[#This Row],[24 Hr Winter MVA]]</f>
        <v>-</v>
      </c>
      <c r="AX163" s="9" t="str">
        <f>TKA[[#This Row],[24 Hr Summer MVA]]</f>
        <v>-</v>
      </c>
      <c r="AY163" s="9" t="str">
        <f>TKA[[#This Row],[Forwards MVA]]</f>
        <v>-</v>
      </c>
      <c r="AZ163" s="9" t="str">
        <f>TKA[[#This Row],[Relay MVA]]</f>
        <v>-</v>
      </c>
      <c r="BA163" s="9" t="str">
        <f>TKA[[#This Row],[CT MVA]]</f>
        <v>-</v>
      </c>
      <c r="BB163" s="9" t="str">
        <f>TKA[[#This Row],[Derating MVA]]</f>
        <v>-</v>
      </c>
      <c r="BC163" s="9" t="str">
        <f>TKA[[#This Row],[Station/Feeder]]&amp;TKA[[#This Row],[Lowest MVA]]</f>
        <v>OMR11.4315353299546</v>
      </c>
      <c r="BD163" s="9" t="str">
        <f>CONCATENATE(TKA[[#This Row],[Supply Level]],TKA[[#This Row],[Station/Feeder]],TKA[[#This Row],[Voltage]],TKA[[#This Row],[Lowest A-No PTX]])</f>
        <v>SecondarySubstationOMR22300</v>
      </c>
      <c r="BE163" s="9" t="str">
        <f>CONCATENATE(TKA[[#This Row],[Supply Level]],TKA[[#This Row],[Station/Feeder]],TKA[[#This Row],[Voltage]],TKA[[#This Row],[Lowest A-PTX]])</f>
        <v>SecondarySubstationOMR22300</v>
      </c>
      <c r="BF163" s="9">
        <f>IF(MIN(TKA[[#This Row],[Summ Cont Winter A]]:TKA[[#This Row],[Cable Derating]])=0,"",MIN(TKA[[#This Row],[Summ Cont Winter A]]:TKA[[#This Row],[Cable Derating]]))</f>
        <v>11.43153532995459</v>
      </c>
      <c r="BG163" s="9">
        <f>IFERROR(TKA[[#This Row],[Lowest MVA]]*1000/(TKA[[#This Row],[Voltage]]*SQRT(3)),"")</f>
        <v>300</v>
      </c>
      <c r="BH163" s="9">
        <f t="shared" si="196"/>
        <v>300</v>
      </c>
      <c r="BI163" s="9" t="str">
        <f>TKA[[#This Row],[From]]</f>
        <v>M329</v>
      </c>
      <c r="BJ163" s="9" t="str">
        <f>TKA[[#This Row],[To]]</f>
        <v>M339</v>
      </c>
      <c r="BK163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Link-M333</v>
      </c>
      <c r="BL163" s="9">
        <f>TKA[[#This Row],[Voltage]]</f>
        <v>22</v>
      </c>
    </row>
    <row r="164" spans="1:64" s="1" customFormat="1" x14ac:dyDescent="0.25">
      <c r="A164" s="6" t="str">
        <f>CONCATENATE(TKA[[#This Row],[Supply Level]],TKA[[#This Row],[Station/Feeder]],TKA[[#This Row],[Voltage]])</f>
        <v>SecondarySubstationOMR22</v>
      </c>
      <c r="B164" s="6" t="str">
        <f>CONCATENATE(TKA[[#This Row],[Supply Level]],TKA[[#This Row],[Station/Feeder]],TKA[[#This Row],[Equipment ID]],TKA[[#This Row],[Voltage]],TKA[[#This Row],[Device type]])</f>
        <v>SecondarySubstationOMRE35322Controller</v>
      </c>
      <c r="C164" s="6" t="s">
        <v>1277</v>
      </c>
      <c r="D164" s="6" t="s">
        <v>1443</v>
      </c>
      <c r="E164" s="46" t="s">
        <v>1335</v>
      </c>
      <c r="F164" s="46" t="s">
        <v>1334</v>
      </c>
      <c r="G164" s="57">
        <v>11</v>
      </c>
      <c r="H164" s="46" t="s">
        <v>449</v>
      </c>
      <c r="I164" s="46" t="s">
        <v>1341</v>
      </c>
      <c r="J164" s="46" t="s">
        <v>448</v>
      </c>
      <c r="K164" s="46" t="s">
        <v>450</v>
      </c>
      <c r="L164" s="46" t="s">
        <v>451</v>
      </c>
      <c r="M164" s="57">
        <v>22</v>
      </c>
      <c r="N164" s="9">
        <v>100</v>
      </c>
      <c r="O164" s="9">
        <f t="shared" si="186"/>
        <v>3.8105117766515302</v>
      </c>
      <c r="P164" s="9">
        <v>200</v>
      </c>
      <c r="Q164" s="9">
        <f t="shared" si="187"/>
        <v>7.6210235533030604</v>
      </c>
      <c r="R164" s="9">
        <v>200</v>
      </c>
      <c r="S164" s="9">
        <f t="shared" si="188"/>
        <v>7.6210235533030604</v>
      </c>
      <c r="T164" s="9" t="s">
        <v>0</v>
      </c>
      <c r="U164" s="9" t="str">
        <f t="shared" si="189"/>
        <v>-</v>
      </c>
      <c r="V164" s="9" t="s">
        <v>0</v>
      </c>
      <c r="W164" s="9" t="str">
        <f t="shared" si="190"/>
        <v>-</v>
      </c>
      <c r="X164" s="9">
        <v>200</v>
      </c>
      <c r="Y164" s="9">
        <f t="shared" si="191"/>
        <v>7.6210235533030604</v>
      </c>
      <c r="Z164" s="9">
        <v>200</v>
      </c>
      <c r="AA164" s="9">
        <f t="shared" si="192"/>
        <v>7.6210235533030604</v>
      </c>
      <c r="AB164" s="9" t="s">
        <v>0</v>
      </c>
      <c r="AC164" s="9" t="str">
        <f t="shared" si="193"/>
        <v>-</v>
      </c>
      <c r="AD164" s="9">
        <v>200</v>
      </c>
      <c r="AE164" s="9">
        <f t="shared" si="194"/>
        <v>7.6210235533030604</v>
      </c>
      <c r="AF164" s="9" t="s">
        <v>0</v>
      </c>
      <c r="AG164" s="9" t="s">
        <v>0</v>
      </c>
      <c r="AH164" s="9" t="s">
        <v>0</v>
      </c>
      <c r="AI164" s="9" t="s">
        <v>0</v>
      </c>
      <c r="AJ164" s="43" t="s">
        <v>0</v>
      </c>
      <c r="AK164" s="9" t="s">
        <v>0</v>
      </c>
      <c r="AL164" s="43" t="s">
        <v>0</v>
      </c>
      <c r="AM164" s="9" t="s">
        <v>0</v>
      </c>
      <c r="AN164" s="43" t="s">
        <v>0</v>
      </c>
      <c r="AO164" s="9" t="s">
        <v>0</v>
      </c>
      <c r="AP164" s="9" t="s">
        <v>0</v>
      </c>
      <c r="AQ164" s="43" t="s">
        <v>0</v>
      </c>
      <c r="AR164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64" s="9" t="str">
        <f t="shared" si="195"/>
        <v>-</v>
      </c>
      <c r="AT164" s="9">
        <f>IF(RIGHT(TKA[[#This Row],[Device type]],7)="Winding","-",TKA[[#This Row],[Cont Winter MVA]])</f>
        <v>3.8105117766515302</v>
      </c>
      <c r="AU164" s="9">
        <f>IF(RIGHT(TKA[[#This Row],[Device type]],7)="Winding","-",TKA[[#This Row],[Cont Shoulder MVA]])</f>
        <v>7.6210235533030604</v>
      </c>
      <c r="AV164" s="9">
        <f>IF(RIGHT(TKA[[#This Row],[Device type]],7)="Winding","-",TKA[[#This Row],[Cont Summer MVA]])</f>
        <v>7.6210235533030604</v>
      </c>
      <c r="AW164" s="9" t="str">
        <f>TKA[[#This Row],[24 Hr Winter MVA]]</f>
        <v>-</v>
      </c>
      <c r="AX164" s="9" t="str">
        <f>TKA[[#This Row],[24 Hr Summer MVA]]</f>
        <v>-</v>
      </c>
      <c r="AY164" s="9">
        <f>TKA[[#This Row],[Forwards MVA]]</f>
        <v>7.6210235533030604</v>
      </c>
      <c r="AZ164" s="9" t="str">
        <f>TKA[[#This Row],[Relay MVA]]</f>
        <v>-</v>
      </c>
      <c r="BA164" s="9">
        <f>TKA[[#This Row],[CT MVA]]</f>
        <v>7.6210235533030604</v>
      </c>
      <c r="BB164" s="9" t="str">
        <f>TKA[[#This Row],[Derating MVA]]</f>
        <v>-</v>
      </c>
      <c r="BC164" s="9" t="str">
        <f>TKA[[#This Row],[Station/Feeder]]&amp;TKA[[#This Row],[Lowest MVA]]</f>
        <v>OMR3.81051177665153</v>
      </c>
      <c r="BD164" s="9" t="str">
        <f>CONCATENATE(TKA[[#This Row],[Supply Level]],TKA[[#This Row],[Station/Feeder]],TKA[[#This Row],[Voltage]],TKA[[#This Row],[Lowest A-No PTX]])</f>
        <v>SecondarySubstationOMR22100</v>
      </c>
      <c r="BE164" s="9" t="str">
        <f>CONCATENATE(TKA[[#This Row],[Supply Level]],TKA[[#This Row],[Station/Feeder]],TKA[[#This Row],[Voltage]],TKA[[#This Row],[Lowest A-PTX]])</f>
        <v>SecondarySubstationOMR22100</v>
      </c>
      <c r="BF164" s="9">
        <f>IF(MIN(TKA[[#This Row],[Summ Cont Winter A]]:TKA[[#This Row],[Cable Derating]])=0,"",MIN(TKA[[#This Row],[Summ Cont Winter A]]:TKA[[#This Row],[Cable Derating]]))</f>
        <v>3.8105117766515302</v>
      </c>
      <c r="BG164" s="9">
        <f>IFERROR(TKA[[#This Row],[Lowest MVA]]*1000/(TKA[[#This Row],[Voltage]]*SQRT(3)),"")</f>
        <v>100</v>
      </c>
      <c r="BH164" s="9">
        <f t="shared" si="196"/>
        <v>100</v>
      </c>
      <c r="BI164" s="9" t="str">
        <f>TKA[[#This Row],[From]]</f>
        <v>M329</v>
      </c>
      <c r="BJ164" s="9" t="str">
        <f>TKA[[#This Row],[To]]</f>
        <v>M339</v>
      </c>
      <c r="BK164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Regulator-E353-Controller</v>
      </c>
      <c r="BL164" s="9">
        <f>TKA[[#This Row],[Voltage]]</f>
        <v>22</v>
      </c>
    </row>
    <row r="165" spans="1:64" s="1" customFormat="1" x14ac:dyDescent="0.25">
      <c r="A165" s="6" t="str">
        <f>CONCATENATE(TKA[[#This Row],[Supply Level]],TKA[[#This Row],[Station/Feeder]],TKA[[#This Row],[Voltage]])</f>
        <v>DistributionFeederM338_Old Man Range22</v>
      </c>
      <c r="B165" s="6" t="str">
        <f>CONCATENATE(TKA[[#This Row],[Supply Level]],TKA[[#This Row],[Station/Feeder]],TKA[[#This Row],[Equipment ID]],TKA[[#This Row],[Voltage]],TKA[[#This Row],[Device type]])</f>
        <v>DistributionFeederM338_Old Man RangeE35222HV Winding</v>
      </c>
      <c r="C165" s="6" t="s">
        <v>1276</v>
      </c>
      <c r="D165" s="6" t="s">
        <v>1444</v>
      </c>
      <c r="E165" s="46" t="s">
        <v>1335</v>
      </c>
      <c r="F165" s="46" t="s">
        <v>1334</v>
      </c>
      <c r="G165" s="57">
        <v>1</v>
      </c>
      <c r="H165" s="46" t="s">
        <v>275</v>
      </c>
      <c r="I165" s="46" t="s">
        <v>1339</v>
      </c>
      <c r="J165" s="46" t="s">
        <v>19</v>
      </c>
      <c r="K165" s="46" t="s">
        <v>0</v>
      </c>
      <c r="L165" s="46" t="s">
        <v>36</v>
      </c>
      <c r="M165" s="57">
        <v>22</v>
      </c>
      <c r="N165" s="9">
        <f>1.5*1000/(TKA[[#This Row],[Voltage]]*SQRT(3))</f>
        <v>39.364791081110852</v>
      </c>
      <c r="O165" s="9">
        <f t="shared" ref="O165:O169" si="197">IF(OR(N165="",N165="-"),"-",N165*$M165*SQRT(3)/1000)</f>
        <v>1.5</v>
      </c>
      <c r="P165" s="9" t="s">
        <v>0</v>
      </c>
      <c r="Q165" s="9" t="str">
        <f t="shared" ref="Q165:Q169" si="198">IF(OR(P165="",P165="-"),"-",P165*$M165*SQRT(3)/1000)</f>
        <v>-</v>
      </c>
      <c r="R165" s="9" t="s">
        <v>0</v>
      </c>
      <c r="S165" s="9" t="str">
        <f t="shared" ref="S165:S169" si="199">IF(OR(R165="",R165="-"),"-",R165*$M165*SQRT(3)/1000)</f>
        <v>-</v>
      </c>
      <c r="T165" s="9" t="s">
        <v>0</v>
      </c>
      <c r="U165" s="9" t="str">
        <f t="shared" ref="U165:U169" si="200">IF(OR(T165="",T165="-"),"-",T165*$M165*SQRT(3)/1000)</f>
        <v>-</v>
      </c>
      <c r="V165" s="9" t="s">
        <v>0</v>
      </c>
      <c r="W165" s="9" t="str">
        <f t="shared" ref="W165:W169" si="201">IF(OR(V165="",V165="-"),"-",V165*$M165*SQRT(3)/1000)</f>
        <v>-</v>
      </c>
      <c r="X165" s="9" t="s">
        <v>0</v>
      </c>
      <c r="Y165" s="9" t="str">
        <f t="shared" ref="Y165:Y169" si="202">IF(OR(X165="",X165="-"),"-",X165*$M165*SQRT(3)/1000)</f>
        <v>-</v>
      </c>
      <c r="Z165" s="9" t="s">
        <v>0</v>
      </c>
      <c r="AA165" s="9" t="str">
        <f t="shared" ref="AA165:AA169" si="203">IF(OR(Z165="",Z165="-"),"-",Z165*$M165*SQRT(3)/1000)</f>
        <v>-</v>
      </c>
      <c r="AB165" s="9" t="s">
        <v>0</v>
      </c>
      <c r="AC165" s="9" t="str">
        <f t="shared" ref="AC165:AC169" si="204">IF(OR(AB165="",AB165="-"),"-",AB165*$M165*SQRT(3)/1000)</f>
        <v>-</v>
      </c>
      <c r="AD165" s="9" t="s">
        <v>0</v>
      </c>
      <c r="AE165" s="9" t="str">
        <f t="shared" ref="AE165:AE169" si="205">IF(OR(AD165="",AD165="-"),"-",AD165*$M165*SQRT(3)/1000)</f>
        <v>-</v>
      </c>
      <c r="AF165" s="9" t="s">
        <v>0</v>
      </c>
      <c r="AG165" s="9" t="s">
        <v>0</v>
      </c>
      <c r="AH165" s="9" t="s">
        <v>0</v>
      </c>
      <c r="AI165" s="9" t="s">
        <v>0</v>
      </c>
      <c r="AJ165" s="43" t="s">
        <v>0</v>
      </c>
      <c r="AK165" s="9" t="s">
        <v>0</v>
      </c>
      <c r="AL165" s="43" t="s">
        <v>0</v>
      </c>
      <c r="AM165" s="9" t="s">
        <v>0</v>
      </c>
      <c r="AN165" s="43" t="s">
        <v>0</v>
      </c>
      <c r="AO165" s="9" t="s">
        <v>0</v>
      </c>
      <c r="AP165" s="9" t="s">
        <v>0</v>
      </c>
      <c r="AQ165" s="43" t="s">
        <v>0</v>
      </c>
      <c r="AR165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65" s="9" t="str">
        <f t="shared" ref="AS165:AS169" si="206">IF(OR(AR165="",AR165="-"),"-",AR165*$M165*SQRT(3)/1000)</f>
        <v>-</v>
      </c>
      <c r="AT165" s="9" t="str">
        <f>IF(RIGHT(TKA[[#This Row],[Device type]],7)="Winding","-",TKA[[#This Row],[Cont Winter MVA]])</f>
        <v>-</v>
      </c>
      <c r="AU165" s="9" t="str">
        <f>IF(RIGHT(TKA[[#This Row],[Device type]],7)="Winding","-",TKA[[#This Row],[Cont Shoulder MVA]])</f>
        <v>-</v>
      </c>
      <c r="AV165" s="9" t="str">
        <f>IF(RIGHT(TKA[[#This Row],[Device type]],7)="Winding","-",TKA[[#This Row],[Cont Summer MVA]])</f>
        <v>-</v>
      </c>
      <c r="AW165" s="9" t="str">
        <f>TKA[[#This Row],[24 Hr Winter MVA]]</f>
        <v>-</v>
      </c>
      <c r="AX165" s="9" t="str">
        <f>TKA[[#This Row],[24 Hr Summer MVA]]</f>
        <v>-</v>
      </c>
      <c r="AY165" s="9" t="str">
        <f>TKA[[#This Row],[Forwards MVA]]</f>
        <v>-</v>
      </c>
      <c r="AZ165" s="9" t="str">
        <f>TKA[[#This Row],[Relay MVA]]</f>
        <v>-</v>
      </c>
      <c r="BA165" s="9" t="str">
        <f>TKA[[#This Row],[CT MVA]]</f>
        <v>-</v>
      </c>
      <c r="BB165" s="9" t="str">
        <f>TKA[[#This Row],[Derating MVA]]</f>
        <v>-</v>
      </c>
      <c r="BC165" s="9" t="str">
        <f>TKA[[#This Row],[Station/Feeder]]&amp;TKA[[#This Row],[Lowest MVA]]</f>
        <v>M338_Old Man Range</v>
      </c>
      <c r="BD165" s="9" t="str">
        <f>CONCATENATE(TKA[[#This Row],[Supply Level]],TKA[[#This Row],[Station/Feeder]],TKA[[#This Row],[Voltage]],TKA[[#This Row],[Lowest A-No PTX]])</f>
        <v>DistributionFeederM338_Old Man Range22</v>
      </c>
      <c r="BE165" s="9" t="str">
        <f>CONCATENATE(TKA[[#This Row],[Supply Level]],TKA[[#This Row],[Station/Feeder]],TKA[[#This Row],[Voltage]],TKA[[#This Row],[Lowest A-PTX]])</f>
        <v>DistributionFeederM338_Old Man Range2239.3647910811109</v>
      </c>
      <c r="BF165" s="9" t="str">
        <f>IF(MIN(TKA[[#This Row],[Summ Cont Winter A]]:TKA[[#This Row],[Cable Derating]])=0,"",MIN(TKA[[#This Row],[Summ Cont Winter A]]:TKA[[#This Row],[Cable Derating]]))</f>
        <v/>
      </c>
      <c r="BG165" s="9" t="str">
        <f>IFERROR(TKA[[#This Row],[Lowest MVA]]*1000/(TKA[[#This Row],[Voltage]]*SQRT(3)),"")</f>
        <v/>
      </c>
      <c r="BH165" s="9">
        <f t="shared" ref="BH165:BH169" si="207">IF(MIN(N165,P165,R165,T165,V165,X165,Z165,AB165,AD165,AR165)=0,"",MIN(N165,P165,R165,T165,V165,X165,Z165,AB165,AD165,AR165))</f>
        <v>39.364791081110852</v>
      </c>
      <c r="BI165" s="9" t="str">
        <f>TKA[[#This Row],[From]]</f>
        <v>M329</v>
      </c>
      <c r="BJ165" s="9" t="str">
        <f>TKA[[#This Row],[To]]</f>
        <v>M339</v>
      </c>
      <c r="BK165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Transformer-E352-HV Winding</v>
      </c>
      <c r="BL165" s="9">
        <f>TKA[[#This Row],[Voltage]]</f>
        <v>22</v>
      </c>
    </row>
    <row r="166" spans="1:64" s="1" customFormat="1" x14ac:dyDescent="0.25">
      <c r="A166" s="6" t="str">
        <f>CONCATENATE(TKA[[#This Row],[Supply Level]],TKA[[#This Row],[Station/Feeder]],TKA[[#This Row],[Voltage]])</f>
        <v>DistributionFeederM338_Old Man Range22</v>
      </c>
      <c r="B166" s="6" t="str">
        <f>CONCATENATE(TKA[[#This Row],[Supply Level]],TKA[[#This Row],[Station/Feeder]],TKA[[#This Row],[Equipment ID]],TKA[[#This Row],[Voltage]],TKA[[#This Row],[Device type]])</f>
        <v>DistributionFeederM338_Old Man Range3-1c 95 mm² Al XLPE22-</v>
      </c>
      <c r="C166" s="6" t="s">
        <v>1276</v>
      </c>
      <c r="D166" s="6" t="s">
        <v>1444</v>
      </c>
      <c r="E166" s="46" t="s">
        <v>1335</v>
      </c>
      <c r="F166" s="46" t="s">
        <v>1334</v>
      </c>
      <c r="G166" s="57">
        <v>2</v>
      </c>
      <c r="H166" s="46" t="s">
        <v>276</v>
      </c>
      <c r="I166" s="46" t="s">
        <v>1338</v>
      </c>
      <c r="J166" s="46" t="s">
        <v>250</v>
      </c>
      <c r="K166" s="46" t="s">
        <v>0</v>
      </c>
      <c r="L166" s="46" t="s">
        <v>0</v>
      </c>
      <c r="M166" s="57">
        <v>22</v>
      </c>
      <c r="N166" s="9">
        <v>243</v>
      </c>
      <c r="O166" s="9">
        <f t="shared" si="197"/>
        <v>9.2595436172632173</v>
      </c>
      <c r="P166" s="9">
        <v>243</v>
      </c>
      <c r="Q166" s="9">
        <f t="shared" si="198"/>
        <v>9.2595436172632173</v>
      </c>
      <c r="R166" s="9">
        <v>243</v>
      </c>
      <c r="S166" s="9">
        <f t="shared" si="199"/>
        <v>9.2595436172632173</v>
      </c>
      <c r="T166" s="9" t="s">
        <v>0</v>
      </c>
      <c r="U166" s="9" t="str">
        <f t="shared" si="200"/>
        <v>-</v>
      </c>
      <c r="V166" s="9" t="s">
        <v>0</v>
      </c>
      <c r="W166" s="9" t="str">
        <f t="shared" si="201"/>
        <v>-</v>
      </c>
      <c r="X166" s="9" t="s">
        <v>0</v>
      </c>
      <c r="Y166" s="9" t="str">
        <f t="shared" si="202"/>
        <v>-</v>
      </c>
      <c r="Z166" s="9" t="s">
        <v>0</v>
      </c>
      <c r="AA166" s="9" t="str">
        <f t="shared" si="203"/>
        <v>-</v>
      </c>
      <c r="AB166" s="9" t="s">
        <v>0</v>
      </c>
      <c r="AC166" s="9" t="str">
        <f t="shared" si="204"/>
        <v>-</v>
      </c>
      <c r="AD166" s="9" t="s">
        <v>0</v>
      </c>
      <c r="AE166" s="9" t="str">
        <f t="shared" si="205"/>
        <v>-</v>
      </c>
      <c r="AF166" s="9">
        <v>1</v>
      </c>
      <c r="AG166" s="9" t="s">
        <v>265</v>
      </c>
      <c r="AH166" s="9">
        <v>4.2</v>
      </c>
      <c r="AI166" s="9">
        <v>1</v>
      </c>
      <c r="AJ166" s="43">
        <v>0.97</v>
      </c>
      <c r="AK166" s="9">
        <v>15</v>
      </c>
      <c r="AL166" s="43">
        <v>1</v>
      </c>
      <c r="AM166" s="9">
        <v>1.2</v>
      </c>
      <c r="AN166" s="43">
        <v>1</v>
      </c>
      <c r="AO166" s="9">
        <v>1</v>
      </c>
      <c r="AP166" s="9" t="s">
        <v>0</v>
      </c>
      <c r="AQ166" s="43">
        <v>1</v>
      </c>
      <c r="AR166" s="9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235.70999999999998</v>
      </c>
      <c r="AS166" s="9">
        <f t="shared" si="206"/>
        <v>8.9817573087453209</v>
      </c>
      <c r="AT166" s="9">
        <f>IF(RIGHT(TKA[[#This Row],[Device type]],7)="Winding","-",TKA[[#This Row],[Cont Winter MVA]])</f>
        <v>9.2595436172632173</v>
      </c>
      <c r="AU166" s="9">
        <f>IF(RIGHT(TKA[[#This Row],[Device type]],7)="Winding","-",TKA[[#This Row],[Cont Shoulder MVA]])</f>
        <v>9.2595436172632173</v>
      </c>
      <c r="AV166" s="9">
        <f>IF(RIGHT(TKA[[#This Row],[Device type]],7)="Winding","-",TKA[[#This Row],[Cont Summer MVA]])</f>
        <v>9.2595436172632173</v>
      </c>
      <c r="AW166" s="9" t="str">
        <f>TKA[[#This Row],[24 Hr Winter MVA]]</f>
        <v>-</v>
      </c>
      <c r="AX166" s="9" t="str">
        <f>TKA[[#This Row],[24 Hr Summer MVA]]</f>
        <v>-</v>
      </c>
      <c r="AY166" s="9" t="str">
        <f>TKA[[#This Row],[Forwards MVA]]</f>
        <v>-</v>
      </c>
      <c r="AZ166" s="9" t="str">
        <f>TKA[[#This Row],[Relay MVA]]</f>
        <v>-</v>
      </c>
      <c r="BA166" s="9" t="str">
        <f>TKA[[#This Row],[CT MVA]]</f>
        <v>-</v>
      </c>
      <c r="BB166" s="9">
        <f>TKA[[#This Row],[Derating MVA]]</f>
        <v>8.9817573087453209</v>
      </c>
      <c r="BC166" s="9" t="str">
        <f>TKA[[#This Row],[Station/Feeder]]&amp;TKA[[#This Row],[Lowest MVA]]</f>
        <v>M338_Old Man Range8.98175730874532</v>
      </c>
      <c r="BD166" s="9" t="str">
        <f>CONCATENATE(TKA[[#This Row],[Supply Level]],TKA[[#This Row],[Station/Feeder]],TKA[[#This Row],[Voltage]],TKA[[#This Row],[Lowest A-No PTX]])</f>
        <v>DistributionFeederM338_Old Man Range22235.71</v>
      </c>
      <c r="BE166" s="9" t="str">
        <f>CONCATENATE(TKA[[#This Row],[Supply Level]],TKA[[#This Row],[Station/Feeder]],TKA[[#This Row],[Voltage]],TKA[[#This Row],[Lowest A-PTX]])</f>
        <v>DistributionFeederM338_Old Man Range22235.71</v>
      </c>
      <c r="BF166" s="9">
        <f>IF(MIN(TKA[[#This Row],[Summ Cont Winter A]]:TKA[[#This Row],[Cable Derating]])=0,"",MIN(TKA[[#This Row],[Summ Cont Winter A]]:TKA[[#This Row],[Cable Derating]]))</f>
        <v>8.9817573087453209</v>
      </c>
      <c r="BG166" s="9">
        <f>IFERROR(TKA[[#This Row],[Lowest MVA]]*1000/(TKA[[#This Row],[Voltage]]*SQRT(3)),"")</f>
        <v>235.70999999999998</v>
      </c>
      <c r="BH166" s="9">
        <f t="shared" si="207"/>
        <v>235.70999999999998</v>
      </c>
      <c r="BI166" s="9" t="str">
        <f>TKA[[#This Row],[From]]</f>
        <v>M329</v>
      </c>
      <c r="BJ166" s="9" t="str">
        <f>TKA[[#This Row],[To]]</f>
        <v>M339</v>
      </c>
      <c r="BK166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Cable-3-1c 95 mm² Al XLPE</v>
      </c>
      <c r="BL166" s="9">
        <f>TKA[[#This Row],[Voltage]]</f>
        <v>22</v>
      </c>
    </row>
    <row r="167" spans="1:64" s="1" customFormat="1" x14ac:dyDescent="0.25">
      <c r="A167" s="6" t="str">
        <f>CONCATENATE(TKA[[#This Row],[Supply Level]],TKA[[#This Row],[Station/Feeder]],TKA[[#This Row],[Voltage]])</f>
        <v>DistributionFeederM338_Old Man Range22</v>
      </c>
      <c r="B167" s="6" t="str">
        <f>CONCATENATE(TKA[[#This Row],[Supply Level]],TKA[[#This Row],[Station/Feeder]],TKA[[#This Row],[Equipment ID]],TKA[[#This Row],[Voltage]],TKA[[#This Row],[Device type]])</f>
        <v>DistributionFeederM338_Old Man RangeIODINE22-</v>
      </c>
      <c r="C167" s="6" t="s">
        <v>1276</v>
      </c>
      <c r="D167" s="6" t="s">
        <v>1444</v>
      </c>
      <c r="E167" s="46" t="s">
        <v>1335</v>
      </c>
      <c r="F167" s="46" t="s">
        <v>1334</v>
      </c>
      <c r="G167" s="57">
        <v>3</v>
      </c>
      <c r="H167" s="46" t="s">
        <v>1289</v>
      </c>
      <c r="I167" s="46" t="s">
        <v>329</v>
      </c>
      <c r="J167" s="46" t="s">
        <v>69</v>
      </c>
      <c r="K167" s="46" t="s">
        <v>0</v>
      </c>
      <c r="L167" s="46" t="s">
        <v>0</v>
      </c>
      <c r="M167" s="57">
        <v>22</v>
      </c>
      <c r="N167" s="9">
        <v>471.54603117335654</v>
      </c>
      <c r="O167" s="9">
        <f t="shared" si="197"/>
        <v>17.968317050193647</v>
      </c>
      <c r="P167" s="9" t="s">
        <v>0</v>
      </c>
      <c r="Q167" s="9" t="str">
        <f t="shared" si="198"/>
        <v>-</v>
      </c>
      <c r="R167" s="9">
        <v>408.8746259503921</v>
      </c>
      <c r="S167" s="9">
        <f t="shared" si="199"/>
        <v>15.580215773579583</v>
      </c>
      <c r="T167" s="9" t="s">
        <v>0</v>
      </c>
      <c r="U167" s="9" t="str">
        <f t="shared" si="200"/>
        <v>-</v>
      </c>
      <c r="V167" s="9" t="s">
        <v>0</v>
      </c>
      <c r="W167" s="9" t="str">
        <f t="shared" si="201"/>
        <v>-</v>
      </c>
      <c r="X167" s="9" t="s">
        <v>0</v>
      </c>
      <c r="Y167" s="9" t="str">
        <f t="shared" si="202"/>
        <v>-</v>
      </c>
      <c r="Z167" s="9" t="s">
        <v>0</v>
      </c>
      <c r="AA167" s="9" t="str">
        <f t="shared" si="203"/>
        <v>-</v>
      </c>
      <c r="AB167" s="9" t="s">
        <v>0</v>
      </c>
      <c r="AC167" s="9" t="str">
        <f t="shared" si="204"/>
        <v>-</v>
      </c>
      <c r="AD167" s="9" t="s">
        <v>0</v>
      </c>
      <c r="AE167" s="9" t="str">
        <f t="shared" si="205"/>
        <v>-</v>
      </c>
      <c r="AF167" s="9" t="s">
        <v>0</v>
      </c>
      <c r="AG167" s="9" t="s">
        <v>0</v>
      </c>
      <c r="AH167" s="9">
        <v>6.3</v>
      </c>
      <c r="AI167" s="9" t="s">
        <v>0</v>
      </c>
      <c r="AJ167" s="43" t="s">
        <v>0</v>
      </c>
      <c r="AK167" s="9" t="s">
        <v>0</v>
      </c>
      <c r="AL167" s="43" t="s">
        <v>0</v>
      </c>
      <c r="AM167" s="9" t="s">
        <v>0</v>
      </c>
      <c r="AN167" s="43" t="s">
        <v>0</v>
      </c>
      <c r="AO167" s="9" t="s">
        <v>0</v>
      </c>
      <c r="AP167" s="9" t="s">
        <v>0</v>
      </c>
      <c r="AQ167" s="43" t="s">
        <v>0</v>
      </c>
      <c r="AR167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67" s="9" t="str">
        <f t="shared" si="206"/>
        <v>-</v>
      </c>
      <c r="AT167" s="9">
        <f>IF(RIGHT(TKA[[#This Row],[Device type]],7)="Winding","-",TKA[[#This Row],[Cont Winter MVA]])</f>
        <v>17.968317050193647</v>
      </c>
      <c r="AU167" s="9" t="str">
        <f>IF(RIGHT(TKA[[#This Row],[Device type]],7)="Winding","-",TKA[[#This Row],[Cont Shoulder MVA]])</f>
        <v>-</v>
      </c>
      <c r="AV167" s="9">
        <f>IF(RIGHT(TKA[[#This Row],[Device type]],7)="Winding","-",TKA[[#This Row],[Cont Summer MVA]])</f>
        <v>15.580215773579583</v>
      </c>
      <c r="AW167" s="9" t="str">
        <f>TKA[[#This Row],[24 Hr Winter MVA]]</f>
        <v>-</v>
      </c>
      <c r="AX167" s="9" t="str">
        <f>TKA[[#This Row],[24 Hr Summer MVA]]</f>
        <v>-</v>
      </c>
      <c r="AY167" s="9" t="str">
        <f>TKA[[#This Row],[Forwards MVA]]</f>
        <v>-</v>
      </c>
      <c r="AZ167" s="9" t="str">
        <f>TKA[[#This Row],[Relay MVA]]</f>
        <v>-</v>
      </c>
      <c r="BA167" s="9" t="str">
        <f>TKA[[#This Row],[CT MVA]]</f>
        <v>-</v>
      </c>
      <c r="BB167" s="9" t="str">
        <f>TKA[[#This Row],[Derating MVA]]</f>
        <v>-</v>
      </c>
      <c r="BC167" s="9" t="str">
        <f>TKA[[#This Row],[Station/Feeder]]&amp;TKA[[#This Row],[Lowest MVA]]</f>
        <v>M338_Old Man Range15.5802157735796</v>
      </c>
      <c r="BD167" s="9" t="str">
        <f>CONCATENATE(TKA[[#This Row],[Supply Level]],TKA[[#This Row],[Station/Feeder]],TKA[[#This Row],[Voltage]],TKA[[#This Row],[Lowest A-No PTX]])</f>
        <v>DistributionFeederM338_Old Man Range22408.874625950392</v>
      </c>
      <c r="BE167" s="9" t="str">
        <f>CONCATENATE(TKA[[#This Row],[Supply Level]],TKA[[#This Row],[Station/Feeder]],TKA[[#This Row],[Voltage]],TKA[[#This Row],[Lowest A-PTX]])</f>
        <v>DistributionFeederM338_Old Man Range22408.874625950392</v>
      </c>
      <c r="BF167" s="9">
        <f>IF(MIN(TKA[[#This Row],[Summ Cont Winter A]]:TKA[[#This Row],[Cable Derating]])=0,"",MIN(TKA[[#This Row],[Summ Cont Winter A]]:TKA[[#This Row],[Cable Derating]]))</f>
        <v>15.580215773579583</v>
      </c>
      <c r="BG167" s="9">
        <f>IFERROR(TKA[[#This Row],[Lowest MVA]]*1000/(TKA[[#This Row],[Voltage]]*SQRT(3)),"")</f>
        <v>408.8746259503921</v>
      </c>
      <c r="BH167" s="9">
        <f t="shared" si="207"/>
        <v>408.8746259503921</v>
      </c>
      <c r="BI167" s="9" t="str">
        <f>TKA[[#This Row],[From]]</f>
        <v>M329</v>
      </c>
      <c r="BJ167" s="9" t="str">
        <f>TKA[[#This Row],[To]]</f>
        <v>M339</v>
      </c>
      <c r="BK167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Line-IODINE</v>
      </c>
      <c r="BL167" s="9">
        <f>TKA[[#This Row],[Voltage]]</f>
        <v>22</v>
      </c>
    </row>
    <row r="168" spans="1:64" s="1" customFormat="1" x14ac:dyDescent="0.25">
      <c r="A168" s="6" t="str">
        <f>CONCATENATE(TKA[[#This Row],[Supply Level]],TKA[[#This Row],[Station/Feeder]],TKA[[#This Row],[Voltage]])</f>
        <v>DistributionFeederM338_Old Man Range22</v>
      </c>
      <c r="B168" s="6" t="str">
        <f>CONCATENATE(TKA[[#This Row],[Supply Level]],TKA[[#This Row],[Station/Feeder]],TKA[[#This Row],[Equipment ID]],TKA[[#This Row],[Voltage]],TKA[[#This Row],[Device type]])</f>
        <v>DistributionFeederM338_Old Man RangeM33322-</v>
      </c>
      <c r="C168" s="6" t="s">
        <v>1276</v>
      </c>
      <c r="D168" s="6" t="s">
        <v>1444</v>
      </c>
      <c r="E168" s="46" t="s">
        <v>1335</v>
      </c>
      <c r="F168" s="46" t="s">
        <v>1334</v>
      </c>
      <c r="G168" s="57">
        <v>4</v>
      </c>
      <c r="H168" s="46" t="s">
        <v>273</v>
      </c>
      <c r="I168" s="46" t="s">
        <v>1340</v>
      </c>
      <c r="J168" s="46" t="s">
        <v>249</v>
      </c>
      <c r="K168" s="46" t="s">
        <v>0</v>
      </c>
      <c r="L168" s="46" t="s">
        <v>0</v>
      </c>
      <c r="M168" s="57">
        <v>22</v>
      </c>
      <c r="N168" s="9">
        <v>300</v>
      </c>
      <c r="O168" s="9">
        <f t="shared" si="197"/>
        <v>11.43153532995459</v>
      </c>
      <c r="P168" s="9">
        <v>300</v>
      </c>
      <c r="Q168" s="9">
        <f t="shared" si="198"/>
        <v>11.43153532995459</v>
      </c>
      <c r="R168" s="9">
        <v>300</v>
      </c>
      <c r="S168" s="9">
        <f t="shared" si="199"/>
        <v>11.43153532995459</v>
      </c>
      <c r="T168" s="9" t="s">
        <v>0</v>
      </c>
      <c r="U168" s="9" t="str">
        <f t="shared" si="200"/>
        <v>-</v>
      </c>
      <c r="V168" s="9" t="s">
        <v>0</v>
      </c>
      <c r="W168" s="9" t="str">
        <f t="shared" si="201"/>
        <v>-</v>
      </c>
      <c r="X168" s="9" t="s">
        <v>0</v>
      </c>
      <c r="Y168" s="9" t="str">
        <f t="shared" si="202"/>
        <v>-</v>
      </c>
      <c r="Z168" s="9" t="s">
        <v>0</v>
      </c>
      <c r="AA168" s="9" t="str">
        <f t="shared" si="203"/>
        <v>-</v>
      </c>
      <c r="AB168" s="9" t="s">
        <v>0</v>
      </c>
      <c r="AC168" s="9" t="str">
        <f t="shared" si="204"/>
        <v>-</v>
      </c>
      <c r="AD168" s="9" t="s">
        <v>0</v>
      </c>
      <c r="AE168" s="9" t="str">
        <f t="shared" si="205"/>
        <v>-</v>
      </c>
      <c r="AF168" s="9" t="s">
        <v>0</v>
      </c>
      <c r="AG168" s="9" t="s">
        <v>0</v>
      </c>
      <c r="AH168" s="9" t="s">
        <v>0</v>
      </c>
      <c r="AI168" s="9" t="s">
        <v>0</v>
      </c>
      <c r="AJ168" s="43" t="s">
        <v>0</v>
      </c>
      <c r="AK168" s="9" t="s">
        <v>0</v>
      </c>
      <c r="AL168" s="43" t="s">
        <v>0</v>
      </c>
      <c r="AM168" s="9" t="s">
        <v>0</v>
      </c>
      <c r="AN168" s="43" t="s">
        <v>0</v>
      </c>
      <c r="AO168" s="9" t="s">
        <v>0</v>
      </c>
      <c r="AP168" s="9" t="s">
        <v>0</v>
      </c>
      <c r="AQ168" s="43" t="s">
        <v>0</v>
      </c>
      <c r="AR168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68" s="9" t="str">
        <f t="shared" si="206"/>
        <v>-</v>
      </c>
      <c r="AT168" s="9">
        <f>IF(RIGHT(TKA[[#This Row],[Device type]],7)="Winding","-",TKA[[#This Row],[Cont Winter MVA]])</f>
        <v>11.43153532995459</v>
      </c>
      <c r="AU168" s="9">
        <f>IF(RIGHT(TKA[[#This Row],[Device type]],7)="Winding","-",TKA[[#This Row],[Cont Shoulder MVA]])</f>
        <v>11.43153532995459</v>
      </c>
      <c r="AV168" s="9">
        <f>IF(RIGHT(TKA[[#This Row],[Device type]],7)="Winding","-",TKA[[#This Row],[Cont Summer MVA]])</f>
        <v>11.43153532995459</v>
      </c>
      <c r="AW168" s="9" t="str">
        <f>TKA[[#This Row],[24 Hr Winter MVA]]</f>
        <v>-</v>
      </c>
      <c r="AX168" s="9" t="str">
        <f>TKA[[#This Row],[24 Hr Summer MVA]]</f>
        <v>-</v>
      </c>
      <c r="AY168" s="9" t="str">
        <f>TKA[[#This Row],[Forwards MVA]]</f>
        <v>-</v>
      </c>
      <c r="AZ168" s="9" t="str">
        <f>TKA[[#This Row],[Relay MVA]]</f>
        <v>-</v>
      </c>
      <c r="BA168" s="9" t="str">
        <f>TKA[[#This Row],[CT MVA]]</f>
        <v>-</v>
      </c>
      <c r="BB168" s="9" t="str">
        <f>TKA[[#This Row],[Derating MVA]]</f>
        <v>-</v>
      </c>
      <c r="BC168" s="9" t="str">
        <f>TKA[[#This Row],[Station/Feeder]]&amp;TKA[[#This Row],[Lowest MVA]]</f>
        <v>M338_Old Man Range11.4315353299546</v>
      </c>
      <c r="BD168" s="9" t="str">
        <f>CONCATENATE(TKA[[#This Row],[Supply Level]],TKA[[#This Row],[Station/Feeder]],TKA[[#This Row],[Voltage]],TKA[[#This Row],[Lowest A-No PTX]])</f>
        <v>DistributionFeederM338_Old Man Range22300</v>
      </c>
      <c r="BE168" s="9" t="str">
        <f>CONCATENATE(TKA[[#This Row],[Supply Level]],TKA[[#This Row],[Station/Feeder]],TKA[[#This Row],[Voltage]],TKA[[#This Row],[Lowest A-PTX]])</f>
        <v>DistributionFeederM338_Old Man Range22300</v>
      </c>
      <c r="BF168" s="9">
        <f>IF(MIN(TKA[[#This Row],[Summ Cont Winter A]]:TKA[[#This Row],[Cable Derating]])=0,"",MIN(TKA[[#This Row],[Summ Cont Winter A]]:TKA[[#This Row],[Cable Derating]]))</f>
        <v>11.43153532995459</v>
      </c>
      <c r="BG168" s="9">
        <f>IFERROR(TKA[[#This Row],[Lowest MVA]]*1000/(TKA[[#This Row],[Voltage]]*SQRT(3)),"")</f>
        <v>300</v>
      </c>
      <c r="BH168" s="9">
        <f t="shared" si="207"/>
        <v>300</v>
      </c>
      <c r="BI168" s="9" t="str">
        <f>TKA[[#This Row],[From]]</f>
        <v>M329</v>
      </c>
      <c r="BJ168" s="9" t="str">
        <f>TKA[[#This Row],[To]]</f>
        <v>M339</v>
      </c>
      <c r="BK168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Link-M333</v>
      </c>
      <c r="BL168" s="9">
        <f>TKA[[#This Row],[Voltage]]</f>
        <v>22</v>
      </c>
    </row>
    <row r="169" spans="1:64" s="1" customFormat="1" x14ac:dyDescent="0.25">
      <c r="A169" s="6" t="str">
        <f>CONCATENATE(TKA[[#This Row],[Supply Level]],TKA[[#This Row],[Station/Feeder]],TKA[[#This Row],[Voltage]])</f>
        <v>DistributionFeederM338_Old Man Range22</v>
      </c>
      <c r="B169" s="6" t="str">
        <f>CONCATENATE(TKA[[#This Row],[Supply Level]],TKA[[#This Row],[Station/Feeder]],TKA[[#This Row],[Equipment ID]],TKA[[#This Row],[Voltage]],TKA[[#This Row],[Device type]])</f>
        <v>DistributionFeederM338_Old Man RangeE35322Controller</v>
      </c>
      <c r="C169" s="6" t="s">
        <v>1276</v>
      </c>
      <c r="D169" s="6" t="s">
        <v>1444</v>
      </c>
      <c r="E169" s="46" t="s">
        <v>1335</v>
      </c>
      <c r="F169" s="46" t="s">
        <v>1334</v>
      </c>
      <c r="G169" s="57">
        <v>5</v>
      </c>
      <c r="H169" s="46" t="s">
        <v>449</v>
      </c>
      <c r="I169" s="46" t="s">
        <v>1341</v>
      </c>
      <c r="J169" s="46" t="s">
        <v>448</v>
      </c>
      <c r="K169" s="46" t="s">
        <v>450</v>
      </c>
      <c r="L169" s="46" t="s">
        <v>451</v>
      </c>
      <c r="M169" s="57">
        <v>22</v>
      </c>
      <c r="N169" s="9">
        <v>100</v>
      </c>
      <c r="O169" s="9">
        <f t="shared" si="197"/>
        <v>3.8105117766515302</v>
      </c>
      <c r="P169" s="9">
        <v>200</v>
      </c>
      <c r="Q169" s="9">
        <f t="shared" si="198"/>
        <v>7.6210235533030604</v>
      </c>
      <c r="R169" s="9">
        <v>200</v>
      </c>
      <c r="S169" s="9">
        <f t="shared" si="199"/>
        <v>7.6210235533030604</v>
      </c>
      <c r="T169" s="9" t="s">
        <v>0</v>
      </c>
      <c r="U169" s="9" t="str">
        <f t="shared" si="200"/>
        <v>-</v>
      </c>
      <c r="V169" s="9" t="s">
        <v>0</v>
      </c>
      <c r="W169" s="9" t="str">
        <f t="shared" si="201"/>
        <v>-</v>
      </c>
      <c r="X169" s="9">
        <v>200</v>
      </c>
      <c r="Y169" s="9">
        <f t="shared" si="202"/>
        <v>7.6210235533030604</v>
      </c>
      <c r="Z169" s="9">
        <v>200</v>
      </c>
      <c r="AA169" s="9">
        <f t="shared" si="203"/>
        <v>7.6210235533030604</v>
      </c>
      <c r="AB169" s="9" t="s">
        <v>0</v>
      </c>
      <c r="AC169" s="9" t="str">
        <f t="shared" si="204"/>
        <v>-</v>
      </c>
      <c r="AD169" s="9">
        <v>200</v>
      </c>
      <c r="AE169" s="9">
        <f t="shared" si="205"/>
        <v>7.6210235533030604</v>
      </c>
      <c r="AF169" s="9" t="s">
        <v>0</v>
      </c>
      <c r="AG169" s="9" t="s">
        <v>0</v>
      </c>
      <c r="AH169" s="9" t="s">
        <v>0</v>
      </c>
      <c r="AI169" s="9" t="s">
        <v>0</v>
      </c>
      <c r="AJ169" s="43" t="s">
        <v>0</v>
      </c>
      <c r="AK169" s="9" t="s">
        <v>0</v>
      </c>
      <c r="AL169" s="43" t="s">
        <v>0</v>
      </c>
      <c r="AM169" s="9" t="s">
        <v>0</v>
      </c>
      <c r="AN169" s="43" t="s">
        <v>0</v>
      </c>
      <c r="AO169" s="9" t="s">
        <v>0</v>
      </c>
      <c r="AP169" s="9" t="s">
        <v>0</v>
      </c>
      <c r="AQ169" s="43" t="s">
        <v>0</v>
      </c>
      <c r="AR169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69" s="9" t="str">
        <f t="shared" si="206"/>
        <v>-</v>
      </c>
      <c r="AT169" s="9">
        <f>IF(RIGHT(TKA[[#This Row],[Device type]],7)="Winding","-",TKA[[#This Row],[Cont Winter MVA]])</f>
        <v>3.8105117766515302</v>
      </c>
      <c r="AU169" s="9">
        <f>IF(RIGHT(TKA[[#This Row],[Device type]],7)="Winding","-",TKA[[#This Row],[Cont Shoulder MVA]])</f>
        <v>7.6210235533030604</v>
      </c>
      <c r="AV169" s="9">
        <f>IF(RIGHT(TKA[[#This Row],[Device type]],7)="Winding","-",TKA[[#This Row],[Cont Summer MVA]])</f>
        <v>7.6210235533030604</v>
      </c>
      <c r="AW169" s="9" t="str">
        <f>TKA[[#This Row],[24 Hr Winter MVA]]</f>
        <v>-</v>
      </c>
      <c r="AX169" s="9" t="str">
        <f>TKA[[#This Row],[24 Hr Summer MVA]]</f>
        <v>-</v>
      </c>
      <c r="AY169" s="9">
        <f>TKA[[#This Row],[Forwards MVA]]</f>
        <v>7.6210235533030604</v>
      </c>
      <c r="AZ169" s="9" t="str">
        <f>TKA[[#This Row],[Relay MVA]]</f>
        <v>-</v>
      </c>
      <c r="BA169" s="9">
        <f>TKA[[#This Row],[CT MVA]]</f>
        <v>7.6210235533030604</v>
      </c>
      <c r="BB169" s="9" t="str">
        <f>TKA[[#This Row],[Derating MVA]]</f>
        <v>-</v>
      </c>
      <c r="BC169" s="9" t="str">
        <f>TKA[[#This Row],[Station/Feeder]]&amp;TKA[[#This Row],[Lowest MVA]]</f>
        <v>M338_Old Man Range3.81051177665153</v>
      </c>
      <c r="BD169" s="9" t="str">
        <f>CONCATENATE(TKA[[#This Row],[Supply Level]],TKA[[#This Row],[Station/Feeder]],TKA[[#This Row],[Voltage]],TKA[[#This Row],[Lowest A-No PTX]])</f>
        <v>DistributionFeederM338_Old Man Range22100</v>
      </c>
      <c r="BE169" s="9" t="str">
        <f>CONCATENATE(TKA[[#This Row],[Supply Level]],TKA[[#This Row],[Station/Feeder]],TKA[[#This Row],[Voltage]],TKA[[#This Row],[Lowest A-PTX]])</f>
        <v>DistributionFeederM338_Old Man Range22100</v>
      </c>
      <c r="BF169" s="9">
        <f>IF(MIN(TKA[[#This Row],[Summ Cont Winter A]]:TKA[[#This Row],[Cable Derating]])=0,"",MIN(TKA[[#This Row],[Summ Cont Winter A]]:TKA[[#This Row],[Cable Derating]]))</f>
        <v>3.8105117766515302</v>
      </c>
      <c r="BG169" s="9">
        <f>IFERROR(TKA[[#This Row],[Lowest MVA]]*1000/(TKA[[#This Row],[Voltage]]*SQRT(3)),"")</f>
        <v>100</v>
      </c>
      <c r="BH169" s="9">
        <f t="shared" si="207"/>
        <v>100</v>
      </c>
      <c r="BI169" s="9" t="str">
        <f>TKA[[#This Row],[From]]</f>
        <v>M329</v>
      </c>
      <c r="BJ169" s="9" t="str">
        <f>TKA[[#This Row],[To]]</f>
        <v>M339</v>
      </c>
      <c r="BK169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Regulator-E353-Controller</v>
      </c>
      <c r="BL169" s="9">
        <f>TKA[[#This Row],[Voltage]]</f>
        <v>22</v>
      </c>
    </row>
    <row r="170" spans="1:64" s="1" customFormat="1" x14ac:dyDescent="0.25">
      <c r="A170" s="6" t="str">
        <f>CONCATENATE(TKA[[#This Row],[Supply Level]],TKA[[#This Row],[Station/Feeder]],TKA[[#This Row],[Voltage]])</f>
        <v>DistributionFeederM338_Old Man Range22</v>
      </c>
      <c r="B170" s="6" t="str">
        <f>CONCATENATE(TKA[[#This Row],[Supply Level]],TKA[[#This Row],[Station/Feeder]],TKA[[#This Row],[Equipment ID]],TKA[[#This Row],[Voltage]],TKA[[#This Row],[Device type]])</f>
        <v>DistributionFeederM338_Old Man RangeM33522-</v>
      </c>
      <c r="C170" s="6" t="s">
        <v>1276</v>
      </c>
      <c r="D170" s="6" t="s">
        <v>1444</v>
      </c>
      <c r="E170" s="46" t="s">
        <v>1335</v>
      </c>
      <c r="F170" s="46" t="s">
        <v>1342</v>
      </c>
      <c r="G170" s="57">
        <v>6</v>
      </c>
      <c r="H170" s="46" t="s">
        <v>273</v>
      </c>
      <c r="I170" s="46" t="s">
        <v>1342</v>
      </c>
      <c r="J170" s="46" t="s">
        <v>249</v>
      </c>
      <c r="K170" s="46" t="s">
        <v>0</v>
      </c>
      <c r="L170" s="46" t="s">
        <v>0</v>
      </c>
      <c r="M170" s="57">
        <v>22</v>
      </c>
      <c r="N170" s="9">
        <v>300</v>
      </c>
      <c r="O170" s="9">
        <f t="shared" si="186"/>
        <v>11.43153532995459</v>
      </c>
      <c r="P170" s="9">
        <v>300</v>
      </c>
      <c r="Q170" s="9">
        <f t="shared" si="187"/>
        <v>11.43153532995459</v>
      </c>
      <c r="R170" s="9">
        <v>300</v>
      </c>
      <c r="S170" s="9">
        <f t="shared" si="188"/>
        <v>11.43153532995459</v>
      </c>
      <c r="T170" s="9" t="s">
        <v>0</v>
      </c>
      <c r="U170" s="9" t="str">
        <f t="shared" si="189"/>
        <v>-</v>
      </c>
      <c r="V170" s="9" t="s">
        <v>0</v>
      </c>
      <c r="W170" s="9" t="str">
        <f t="shared" si="190"/>
        <v>-</v>
      </c>
      <c r="X170" s="9" t="s">
        <v>0</v>
      </c>
      <c r="Y170" s="9" t="str">
        <f t="shared" si="191"/>
        <v>-</v>
      </c>
      <c r="Z170" s="9" t="s">
        <v>0</v>
      </c>
      <c r="AA170" s="9" t="str">
        <f t="shared" si="192"/>
        <v>-</v>
      </c>
      <c r="AB170" s="9" t="s">
        <v>0</v>
      </c>
      <c r="AC170" s="9" t="str">
        <f t="shared" si="193"/>
        <v>-</v>
      </c>
      <c r="AD170" s="9" t="s">
        <v>0</v>
      </c>
      <c r="AE170" s="9" t="str">
        <f t="shared" si="194"/>
        <v>-</v>
      </c>
      <c r="AF170" s="9" t="s">
        <v>0</v>
      </c>
      <c r="AG170" s="9" t="s">
        <v>0</v>
      </c>
      <c r="AH170" s="9" t="s">
        <v>0</v>
      </c>
      <c r="AI170" s="9" t="s">
        <v>0</v>
      </c>
      <c r="AJ170" s="43" t="s">
        <v>0</v>
      </c>
      <c r="AK170" s="9" t="s">
        <v>0</v>
      </c>
      <c r="AL170" s="43" t="s">
        <v>0</v>
      </c>
      <c r="AM170" s="9" t="s">
        <v>0</v>
      </c>
      <c r="AN170" s="43" t="s">
        <v>0</v>
      </c>
      <c r="AO170" s="9" t="s">
        <v>0</v>
      </c>
      <c r="AP170" s="9" t="s">
        <v>0</v>
      </c>
      <c r="AQ170" s="43" t="s">
        <v>0</v>
      </c>
      <c r="AR170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70" s="9" t="str">
        <f t="shared" si="195"/>
        <v>-</v>
      </c>
      <c r="AT170" s="9">
        <f>IF(RIGHT(TKA[[#This Row],[Device type]],7)="Winding","-",TKA[[#This Row],[Cont Winter MVA]])</f>
        <v>11.43153532995459</v>
      </c>
      <c r="AU170" s="9">
        <f>IF(RIGHT(TKA[[#This Row],[Device type]],7)="Winding","-",TKA[[#This Row],[Cont Shoulder MVA]])</f>
        <v>11.43153532995459</v>
      </c>
      <c r="AV170" s="9">
        <f>IF(RIGHT(TKA[[#This Row],[Device type]],7)="Winding","-",TKA[[#This Row],[Cont Summer MVA]])</f>
        <v>11.43153532995459</v>
      </c>
      <c r="AW170" s="9" t="str">
        <f>TKA[[#This Row],[24 Hr Winter MVA]]</f>
        <v>-</v>
      </c>
      <c r="AX170" s="9" t="str">
        <f>TKA[[#This Row],[24 Hr Summer MVA]]</f>
        <v>-</v>
      </c>
      <c r="AY170" s="9" t="str">
        <f>TKA[[#This Row],[Forwards MVA]]</f>
        <v>-</v>
      </c>
      <c r="AZ170" s="9" t="str">
        <f>TKA[[#This Row],[Relay MVA]]</f>
        <v>-</v>
      </c>
      <c r="BA170" s="9" t="str">
        <f>TKA[[#This Row],[CT MVA]]</f>
        <v>-</v>
      </c>
      <c r="BB170" s="9" t="str">
        <f>TKA[[#This Row],[Derating MVA]]</f>
        <v>-</v>
      </c>
      <c r="BC170" s="9" t="str">
        <f>TKA[[#This Row],[Station/Feeder]]&amp;TKA[[#This Row],[Lowest MVA]]</f>
        <v>M338_Old Man Range11.4315353299546</v>
      </c>
      <c r="BD170" s="9" t="str">
        <f>CONCATENATE(TKA[[#This Row],[Supply Level]],TKA[[#This Row],[Station/Feeder]],TKA[[#This Row],[Voltage]],TKA[[#This Row],[Lowest A-No PTX]])</f>
        <v>DistributionFeederM338_Old Man Range22300</v>
      </c>
      <c r="BE170" s="9" t="str">
        <f>CONCATENATE(TKA[[#This Row],[Supply Level]],TKA[[#This Row],[Station/Feeder]],TKA[[#This Row],[Voltage]],TKA[[#This Row],[Lowest A-PTX]])</f>
        <v>DistributionFeederM338_Old Man Range22300</v>
      </c>
      <c r="BF170" s="9">
        <f>IF(MIN(TKA[[#This Row],[Summ Cont Winter A]]:TKA[[#This Row],[Cable Derating]])=0,"",MIN(TKA[[#This Row],[Summ Cont Winter A]]:TKA[[#This Row],[Cable Derating]]))</f>
        <v>11.43153532995459</v>
      </c>
      <c r="BG170" s="9">
        <f>IFERROR(TKA[[#This Row],[Lowest MVA]]*1000/(TKA[[#This Row],[Voltage]]*SQRT(3)),"")</f>
        <v>300</v>
      </c>
      <c r="BH170" s="9">
        <f t="shared" si="196"/>
        <v>300</v>
      </c>
      <c r="BI170" s="9" t="str">
        <f>TKA[[#This Row],[From]]</f>
        <v>M329</v>
      </c>
      <c r="BJ170" s="9" t="str">
        <f>TKA[[#This Row],[To]]</f>
        <v>M335</v>
      </c>
      <c r="BK170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Link-M335</v>
      </c>
      <c r="BL170" s="9">
        <f>TKA[[#This Row],[Voltage]]</f>
        <v>22</v>
      </c>
    </row>
    <row r="171" spans="1:64" s="1" customFormat="1" ht="15" customHeight="1" x14ac:dyDescent="0.25">
      <c r="A171" s="6" t="str">
        <f>CONCATENATE(TKA[[#This Row],[Supply Level]],TKA[[#This Row],[Station/Feeder]],TKA[[#This Row],[Voltage]])</f>
        <v>DistributionFeederM338_Old Man Range22</v>
      </c>
      <c r="B171" s="6" t="str">
        <f>CONCATENATE(TKA[[#This Row],[Supply Level]],TKA[[#This Row],[Station/Feeder]],TKA[[#This Row],[Equipment ID]],TKA[[#This Row],[Voltage]],TKA[[#This Row],[Device type]])</f>
        <v>DistributionFeederM338_Old Man RangeIODINE22-</v>
      </c>
      <c r="C171" s="6" t="s">
        <v>1276</v>
      </c>
      <c r="D171" s="6" t="s">
        <v>1444</v>
      </c>
      <c r="E171" s="46" t="s">
        <v>1342</v>
      </c>
      <c r="F171" s="46" t="s">
        <v>452</v>
      </c>
      <c r="G171" s="57">
        <v>7</v>
      </c>
      <c r="H171" s="46" t="s">
        <v>1289</v>
      </c>
      <c r="I171" s="46" t="s">
        <v>329</v>
      </c>
      <c r="J171" s="46" t="s">
        <v>69</v>
      </c>
      <c r="K171" s="46" t="s">
        <v>0</v>
      </c>
      <c r="L171" s="46" t="s">
        <v>0</v>
      </c>
      <c r="M171" s="57">
        <v>22</v>
      </c>
      <c r="N171" s="9">
        <v>471.54603117335654</v>
      </c>
      <c r="O171" s="9">
        <f>IF(OR(N171="",N171="-"),"-",N171*$M171*SQRT(3)/1000)</f>
        <v>17.968317050193647</v>
      </c>
      <c r="P171" s="9" t="s">
        <v>0</v>
      </c>
      <c r="Q171" s="9" t="str">
        <f>IF(OR(P171="",P171="-"),"-",P171*$M171*SQRT(3)/1000)</f>
        <v>-</v>
      </c>
      <c r="R171" s="9">
        <v>408.8746259503921</v>
      </c>
      <c r="S171" s="9">
        <f>IF(OR(R171="",R171="-"),"-",R171*$M171*SQRT(3)/1000)</f>
        <v>15.580215773579583</v>
      </c>
      <c r="T171" s="9" t="s">
        <v>0</v>
      </c>
      <c r="U171" s="9" t="str">
        <f>IF(OR(T171="",T171="-"),"-",T171*$M171*SQRT(3)/1000)</f>
        <v>-</v>
      </c>
      <c r="V171" s="9" t="s">
        <v>0</v>
      </c>
      <c r="W171" s="9" t="str">
        <f>IF(OR(V171="",V171="-"),"-",V171*$M171*SQRT(3)/1000)</f>
        <v>-</v>
      </c>
      <c r="X171" s="9" t="s">
        <v>0</v>
      </c>
      <c r="Y171" s="9" t="str">
        <f>IF(OR(X171="",X171="-"),"-",X171*$M171*SQRT(3)/1000)</f>
        <v>-</v>
      </c>
      <c r="Z171" s="9" t="s">
        <v>0</v>
      </c>
      <c r="AA171" s="9" t="str">
        <f>IF(OR(Z171="",Z171="-"),"-",Z171*$M171*SQRT(3)/1000)</f>
        <v>-</v>
      </c>
      <c r="AB171" s="9" t="s">
        <v>0</v>
      </c>
      <c r="AC171" s="9" t="str">
        <f>IF(OR(AB171="",AB171="-"),"-",AB171*$M171*SQRT(3)/1000)</f>
        <v>-</v>
      </c>
      <c r="AD171" s="9" t="s">
        <v>0</v>
      </c>
      <c r="AE171" s="9" t="str">
        <f>IF(OR(AD171="",AD171="-"),"-",AD171*$M171*SQRT(3)/1000)</f>
        <v>-</v>
      </c>
      <c r="AF171" s="9" t="s">
        <v>0</v>
      </c>
      <c r="AG171" s="9" t="s">
        <v>0</v>
      </c>
      <c r="AH171" s="9">
        <v>11.2</v>
      </c>
      <c r="AI171" s="9" t="s">
        <v>0</v>
      </c>
      <c r="AJ171" s="43" t="s">
        <v>0</v>
      </c>
      <c r="AK171" s="9" t="s">
        <v>0</v>
      </c>
      <c r="AL171" s="43" t="s">
        <v>0</v>
      </c>
      <c r="AM171" s="9" t="s">
        <v>0</v>
      </c>
      <c r="AN171" s="43" t="s">
        <v>0</v>
      </c>
      <c r="AO171" s="9" t="s">
        <v>0</v>
      </c>
      <c r="AP171" s="9" t="s">
        <v>0</v>
      </c>
      <c r="AQ171" s="43" t="s">
        <v>0</v>
      </c>
      <c r="AR171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71" s="9" t="str">
        <f>IF(OR(AR171="",AR171="-"),"-",AR171*$M171*SQRT(3)/1000)</f>
        <v>-</v>
      </c>
      <c r="AT171" s="9">
        <f>IF(RIGHT(TKA[[#This Row],[Device type]],7)="Winding","-",TKA[[#This Row],[Cont Winter MVA]])</f>
        <v>17.968317050193647</v>
      </c>
      <c r="AU171" s="9" t="str">
        <f>IF(RIGHT(TKA[[#This Row],[Device type]],7)="Winding","-",TKA[[#This Row],[Cont Shoulder MVA]])</f>
        <v>-</v>
      </c>
      <c r="AV171" s="9">
        <f>IF(RIGHT(TKA[[#This Row],[Device type]],7)="Winding","-",TKA[[#This Row],[Cont Summer MVA]])</f>
        <v>15.580215773579583</v>
      </c>
      <c r="AW171" s="9" t="str">
        <f>TKA[[#This Row],[24 Hr Winter MVA]]</f>
        <v>-</v>
      </c>
      <c r="AX171" s="9" t="str">
        <f>TKA[[#This Row],[24 Hr Summer MVA]]</f>
        <v>-</v>
      </c>
      <c r="AY171" s="9" t="str">
        <f>TKA[[#This Row],[Forwards MVA]]</f>
        <v>-</v>
      </c>
      <c r="AZ171" s="9" t="str">
        <f>TKA[[#This Row],[Relay MVA]]</f>
        <v>-</v>
      </c>
      <c r="BA171" s="9" t="str">
        <f>TKA[[#This Row],[CT MVA]]</f>
        <v>-</v>
      </c>
      <c r="BB171" s="9" t="str">
        <f>TKA[[#This Row],[Derating MVA]]</f>
        <v>-</v>
      </c>
      <c r="BC171" s="9" t="str">
        <f>TKA[[#This Row],[Station/Feeder]]&amp;TKA[[#This Row],[Lowest MVA]]</f>
        <v>M338_Old Man Range15.5802157735796</v>
      </c>
      <c r="BD171" s="9" t="str">
        <f>CONCATENATE(TKA[[#This Row],[Supply Level]],TKA[[#This Row],[Station/Feeder]],TKA[[#This Row],[Voltage]],TKA[[#This Row],[Lowest A-No PTX]])</f>
        <v>DistributionFeederM338_Old Man Range22408.874625950392</v>
      </c>
      <c r="BE171" s="9" t="str">
        <f>CONCATENATE(TKA[[#This Row],[Supply Level]],TKA[[#This Row],[Station/Feeder]],TKA[[#This Row],[Voltage]],TKA[[#This Row],[Lowest A-PTX]])</f>
        <v>DistributionFeederM338_Old Man Range22408.874625950392</v>
      </c>
      <c r="BF171" s="9">
        <f>IF(MIN(TKA[[#This Row],[Summ Cont Winter A]]:TKA[[#This Row],[Cable Derating]])=0,"",MIN(TKA[[#This Row],[Summ Cont Winter A]]:TKA[[#This Row],[Cable Derating]]))</f>
        <v>15.580215773579583</v>
      </c>
      <c r="BG171" s="9">
        <f>IFERROR(TKA[[#This Row],[Lowest MVA]]*1000/(TKA[[#This Row],[Voltage]]*SQRT(3)),"")</f>
        <v>408.8746259503921</v>
      </c>
      <c r="BH171" s="9">
        <f>IF(MIN(N171,P171,R171,T171,V171,X171,Z171,AB171,AD171,AR171)=0,"",MIN(N171,P171,R171,T171,V171,X171,Z171,AB171,AD171,AR171))</f>
        <v>408.8746259503921</v>
      </c>
      <c r="BI171" s="9" t="str">
        <f>TKA[[#This Row],[From]]</f>
        <v>M335</v>
      </c>
      <c r="BJ171" s="9" t="str">
        <f>TKA[[#This Row],[To]]</f>
        <v>Pole 51625</v>
      </c>
      <c r="BK171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Line-IODINE</v>
      </c>
      <c r="BL171" s="9">
        <f>TKA[[#This Row],[Voltage]]</f>
        <v>22</v>
      </c>
    </row>
    <row r="172" spans="1:64" s="1" customFormat="1" ht="15" customHeight="1" x14ac:dyDescent="0.25">
      <c r="A172" s="6" t="str">
        <f>CONCATENATE(TKA[[#This Row],[Supply Level]],TKA[[#This Row],[Station/Feeder]],TKA[[#This Row],[Voltage]])</f>
        <v>DistributionFeederM338_Old Man Range22</v>
      </c>
      <c r="B172" s="6" t="str">
        <f>CONCATENATE(TKA[[#This Row],[Supply Level]],TKA[[#This Row],[Station/Feeder]],TKA[[#This Row],[Equipment ID]],TKA[[#This Row],[Voltage]],TKA[[#This Row],[Device type]])</f>
        <v>DistributionFeederM338_Old Man RangeM33622-</v>
      </c>
      <c r="C172" s="6" t="s">
        <v>1276</v>
      </c>
      <c r="D172" s="6" t="s">
        <v>1444</v>
      </c>
      <c r="E172" s="46" t="s">
        <v>1342</v>
      </c>
      <c r="F172" s="46" t="s">
        <v>452</v>
      </c>
      <c r="G172" s="57">
        <v>8</v>
      </c>
      <c r="H172" s="46" t="s">
        <v>273</v>
      </c>
      <c r="I172" s="46" t="s">
        <v>1343</v>
      </c>
      <c r="J172" s="46" t="s">
        <v>249</v>
      </c>
      <c r="K172" s="46" t="s">
        <v>0</v>
      </c>
      <c r="L172" s="46" t="s">
        <v>0</v>
      </c>
      <c r="M172" s="57">
        <v>22</v>
      </c>
      <c r="N172" s="9">
        <v>300</v>
      </c>
      <c r="O172" s="9">
        <f>IF(OR(N172="",N172="-"),"-",N172*$M172*SQRT(3)/1000)</f>
        <v>11.43153532995459</v>
      </c>
      <c r="P172" s="9">
        <v>300</v>
      </c>
      <c r="Q172" s="9">
        <f>IF(OR(P172="",P172="-"),"-",P172*$M172*SQRT(3)/1000)</f>
        <v>11.43153532995459</v>
      </c>
      <c r="R172" s="9">
        <v>300</v>
      </c>
      <c r="S172" s="9">
        <f>IF(OR(R172="",R172="-"),"-",R172*$M172*SQRT(3)/1000)</f>
        <v>11.43153532995459</v>
      </c>
      <c r="T172" s="9" t="s">
        <v>0</v>
      </c>
      <c r="U172" s="9" t="str">
        <f>IF(OR(T172="",T172="-"),"-",T172*$M172*SQRT(3)/1000)</f>
        <v>-</v>
      </c>
      <c r="V172" s="9" t="s">
        <v>0</v>
      </c>
      <c r="W172" s="9" t="str">
        <f>IF(OR(V172="",V172="-"),"-",V172*$M172*SQRT(3)/1000)</f>
        <v>-</v>
      </c>
      <c r="X172" s="9" t="s">
        <v>0</v>
      </c>
      <c r="Y172" s="9" t="str">
        <f>IF(OR(X172="",X172="-"),"-",X172*$M172*SQRT(3)/1000)</f>
        <v>-</v>
      </c>
      <c r="Z172" s="9" t="s">
        <v>0</v>
      </c>
      <c r="AA172" s="9" t="str">
        <f>IF(OR(Z172="",Z172="-"),"-",Z172*$M172*SQRT(3)/1000)</f>
        <v>-</v>
      </c>
      <c r="AB172" s="9" t="s">
        <v>0</v>
      </c>
      <c r="AC172" s="9" t="str">
        <f>IF(OR(AB172="",AB172="-"),"-",AB172*$M172*SQRT(3)/1000)</f>
        <v>-</v>
      </c>
      <c r="AD172" s="9" t="s">
        <v>0</v>
      </c>
      <c r="AE172" s="9" t="str">
        <f>IF(OR(AD172="",AD172="-"),"-",AD172*$M172*SQRT(3)/1000)</f>
        <v>-</v>
      </c>
      <c r="AF172" s="9" t="s">
        <v>0</v>
      </c>
      <c r="AG172" s="9" t="s">
        <v>0</v>
      </c>
      <c r="AH172" s="9" t="s">
        <v>0</v>
      </c>
      <c r="AI172" s="9" t="s">
        <v>0</v>
      </c>
      <c r="AJ172" s="43" t="s">
        <v>0</v>
      </c>
      <c r="AK172" s="9" t="s">
        <v>0</v>
      </c>
      <c r="AL172" s="43" t="s">
        <v>0</v>
      </c>
      <c r="AM172" s="9" t="s">
        <v>0</v>
      </c>
      <c r="AN172" s="43" t="s">
        <v>0</v>
      </c>
      <c r="AO172" s="9" t="s">
        <v>0</v>
      </c>
      <c r="AP172" s="9" t="s">
        <v>0</v>
      </c>
      <c r="AQ172" s="43" t="s">
        <v>0</v>
      </c>
      <c r="AR172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72" s="9" t="str">
        <f>IF(OR(AR172="",AR172="-"),"-",AR172*$M172*SQRT(3)/1000)</f>
        <v>-</v>
      </c>
      <c r="AT172" s="9">
        <f>IF(RIGHT(TKA[[#This Row],[Device type]],7)="Winding","-",TKA[[#This Row],[Cont Winter MVA]])</f>
        <v>11.43153532995459</v>
      </c>
      <c r="AU172" s="9">
        <f>IF(RIGHT(TKA[[#This Row],[Device type]],7)="Winding","-",TKA[[#This Row],[Cont Shoulder MVA]])</f>
        <v>11.43153532995459</v>
      </c>
      <c r="AV172" s="9">
        <f>IF(RIGHT(TKA[[#This Row],[Device type]],7)="Winding","-",TKA[[#This Row],[Cont Summer MVA]])</f>
        <v>11.43153532995459</v>
      </c>
      <c r="AW172" s="9" t="str">
        <f>TKA[[#This Row],[24 Hr Winter MVA]]</f>
        <v>-</v>
      </c>
      <c r="AX172" s="9" t="str">
        <f>TKA[[#This Row],[24 Hr Summer MVA]]</f>
        <v>-</v>
      </c>
      <c r="AY172" s="9" t="str">
        <f>TKA[[#This Row],[Forwards MVA]]</f>
        <v>-</v>
      </c>
      <c r="AZ172" s="9" t="str">
        <f>TKA[[#This Row],[Relay MVA]]</f>
        <v>-</v>
      </c>
      <c r="BA172" s="9" t="str">
        <f>TKA[[#This Row],[CT MVA]]</f>
        <v>-</v>
      </c>
      <c r="BB172" s="9" t="str">
        <f>TKA[[#This Row],[Derating MVA]]</f>
        <v>-</v>
      </c>
      <c r="BC172" s="9" t="str">
        <f>TKA[[#This Row],[Station/Feeder]]&amp;TKA[[#This Row],[Lowest MVA]]</f>
        <v>M338_Old Man Range11.4315353299546</v>
      </c>
      <c r="BD172" s="9" t="str">
        <f>CONCATENATE(TKA[[#This Row],[Supply Level]],TKA[[#This Row],[Station/Feeder]],TKA[[#This Row],[Voltage]],TKA[[#This Row],[Lowest A-No PTX]])</f>
        <v>DistributionFeederM338_Old Man Range22300</v>
      </c>
      <c r="BE172" s="9" t="str">
        <f>CONCATENATE(TKA[[#This Row],[Supply Level]],TKA[[#This Row],[Station/Feeder]],TKA[[#This Row],[Voltage]],TKA[[#This Row],[Lowest A-PTX]])</f>
        <v>DistributionFeederM338_Old Man Range22300</v>
      </c>
      <c r="BF172" s="9">
        <f>IF(MIN(TKA[[#This Row],[Summ Cont Winter A]]:TKA[[#This Row],[Cable Derating]])=0,"",MIN(TKA[[#This Row],[Summ Cont Winter A]]:TKA[[#This Row],[Cable Derating]]))</f>
        <v>11.43153532995459</v>
      </c>
      <c r="BG172" s="9">
        <f>IFERROR(TKA[[#This Row],[Lowest MVA]]*1000/(TKA[[#This Row],[Voltage]]*SQRT(3)),"")</f>
        <v>300</v>
      </c>
      <c r="BH172" s="9">
        <f>IF(MIN(N172,P172,R172,T172,V172,X172,Z172,AB172,AD172,AR172)=0,"",MIN(N172,P172,R172,T172,V172,X172,Z172,AB172,AD172,AR172))</f>
        <v>300</v>
      </c>
      <c r="BI172" s="9" t="str">
        <f>TKA[[#This Row],[From]]</f>
        <v>M335</v>
      </c>
      <c r="BJ172" s="9" t="str">
        <f>TKA[[#This Row],[To]]</f>
        <v>Pole 51625</v>
      </c>
      <c r="BK172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Link-M336</v>
      </c>
      <c r="BL172" s="9">
        <f>TKA[[#This Row],[Voltage]]</f>
        <v>22</v>
      </c>
    </row>
    <row r="173" spans="1:64" s="1" customFormat="1" ht="15" customHeight="1" x14ac:dyDescent="0.25">
      <c r="A173" s="6" t="str">
        <f>CONCATENATE(TKA[[#This Row],[Supply Level]],TKA[[#This Row],[Station/Feeder]],TKA[[#This Row],[Voltage]])</f>
        <v>DistributionFeederM338_Old Man Range22</v>
      </c>
      <c r="B173" s="6" t="str">
        <f>CONCATENATE(TKA[[#This Row],[Supply Level]],TKA[[#This Row],[Station/Feeder]],TKA[[#This Row],[Equipment ID]],TKA[[#This Row],[Voltage]],TKA[[#This Row],[Device type]])</f>
        <v>DistributionFeederM338_Old Man RangeOMR-M33822Protection</v>
      </c>
      <c r="C173" s="6" t="s">
        <v>1276</v>
      </c>
      <c r="D173" s="6" t="s">
        <v>1444</v>
      </c>
      <c r="E173" s="46" t="s">
        <v>1342</v>
      </c>
      <c r="F173" s="46" t="s">
        <v>452</v>
      </c>
      <c r="G173" s="57">
        <v>9</v>
      </c>
      <c r="H173" s="46" t="s">
        <v>343</v>
      </c>
      <c r="I173" s="46" t="s">
        <v>2599</v>
      </c>
      <c r="J173" s="46" t="s">
        <v>394</v>
      </c>
      <c r="K173" s="46" t="s">
        <v>791</v>
      </c>
      <c r="L173" s="7" t="s">
        <v>1423</v>
      </c>
      <c r="M173" s="57">
        <v>22</v>
      </c>
      <c r="N173" s="9">
        <v>630</v>
      </c>
      <c r="O173" s="9">
        <f>IF(OR(N173="",N173="-"),"-",N173*$M173*SQRT(3)/1000)</f>
        <v>24.006224192904639</v>
      </c>
      <c r="P173" s="9">
        <v>630</v>
      </c>
      <c r="Q173" s="9">
        <f>IF(OR(P173="",P173="-"),"-",P173*$M173*SQRT(3)/1000)</f>
        <v>24.006224192904639</v>
      </c>
      <c r="R173" s="9">
        <v>630</v>
      </c>
      <c r="S173" s="9">
        <f>IF(OR(R173="",R173="-"),"-",R173*$M173*SQRT(3)/1000)</f>
        <v>24.006224192904639</v>
      </c>
      <c r="T173" s="9" t="s">
        <v>0</v>
      </c>
      <c r="U173" s="9" t="str">
        <f>IF(OR(T173="",T173="-"),"-",T173*$M173*SQRT(3)/1000)</f>
        <v>-</v>
      </c>
      <c r="V173" s="9" t="s">
        <v>0</v>
      </c>
      <c r="W173" s="9" t="str">
        <f>IF(OR(V173="",V173="-"),"-",V173*$M173*SQRT(3)/1000)</f>
        <v>-</v>
      </c>
      <c r="X173" s="9">
        <v>60</v>
      </c>
      <c r="Y173" s="9">
        <f>IF(OR(X173="",X173="-"),"-",X173*$M173*SQRT(3)/1000)</f>
        <v>2.2863070659909179</v>
      </c>
      <c r="Z173" s="9">
        <v>60</v>
      </c>
      <c r="AA173" s="9">
        <f>IF(OR(Z173="",Z173="-"),"-",Z173*$M173*SQRT(3)/1000)</f>
        <v>2.2863070659909179</v>
      </c>
      <c r="AB173" s="9" t="s">
        <v>0</v>
      </c>
      <c r="AC173" s="9" t="str">
        <f>IF(OR(AB173="",AB173="-"),"-",AB173*$M173*SQRT(3)/1000)</f>
        <v>-</v>
      </c>
      <c r="AD173" s="9" t="s">
        <v>0</v>
      </c>
      <c r="AE173" s="9" t="str">
        <f>IF(OR(AD173="",AD173="-"),"-",AD173*$M173*SQRT(3)/1000)</f>
        <v>-</v>
      </c>
      <c r="AF173" s="9" t="s">
        <v>0</v>
      </c>
      <c r="AG173" s="9" t="s">
        <v>0</v>
      </c>
      <c r="AH173" s="9" t="s">
        <v>0</v>
      </c>
      <c r="AI173" s="9" t="s">
        <v>0</v>
      </c>
      <c r="AJ173" s="43" t="s">
        <v>0</v>
      </c>
      <c r="AK173" s="9" t="s">
        <v>0</v>
      </c>
      <c r="AL173" s="43" t="s">
        <v>0</v>
      </c>
      <c r="AM173" s="9" t="s">
        <v>0</v>
      </c>
      <c r="AN173" s="43" t="s">
        <v>0</v>
      </c>
      <c r="AO173" s="9" t="s">
        <v>0</v>
      </c>
      <c r="AP173" s="9" t="s">
        <v>0</v>
      </c>
      <c r="AQ173" s="43" t="s">
        <v>0</v>
      </c>
      <c r="AR173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73" s="9" t="str">
        <f>IF(OR(AR173="",AR173="-"),"-",AR173*$M173*SQRT(3)/1000)</f>
        <v>-</v>
      </c>
      <c r="AT173" s="9">
        <f>IF(RIGHT(TKA[[#This Row],[Device type]],7)="Winding","-",TKA[[#This Row],[Cont Winter MVA]])</f>
        <v>24.006224192904639</v>
      </c>
      <c r="AU173" s="9">
        <f>IF(RIGHT(TKA[[#This Row],[Device type]],7)="Winding","-",TKA[[#This Row],[Cont Shoulder MVA]])</f>
        <v>24.006224192904639</v>
      </c>
      <c r="AV173" s="9">
        <f>IF(RIGHT(TKA[[#This Row],[Device type]],7)="Winding","-",TKA[[#This Row],[Cont Summer MVA]])</f>
        <v>24.006224192904639</v>
      </c>
      <c r="AW173" s="9" t="str">
        <f>TKA[[#This Row],[24 Hr Winter MVA]]</f>
        <v>-</v>
      </c>
      <c r="AX173" s="9" t="str">
        <f>TKA[[#This Row],[24 Hr Summer MVA]]</f>
        <v>-</v>
      </c>
      <c r="AY173" s="9">
        <f>TKA[[#This Row],[Forwards MVA]]</f>
        <v>2.2863070659909179</v>
      </c>
      <c r="AZ173" s="9" t="str">
        <f>TKA[[#This Row],[Relay MVA]]</f>
        <v>-</v>
      </c>
      <c r="BA173" s="9" t="str">
        <f>TKA[[#This Row],[CT MVA]]</f>
        <v>-</v>
      </c>
      <c r="BB173" s="9" t="str">
        <f>TKA[[#This Row],[Derating MVA]]</f>
        <v>-</v>
      </c>
      <c r="BC173" s="9" t="str">
        <f>TKA[[#This Row],[Station/Feeder]]&amp;TKA[[#This Row],[Lowest MVA]]</f>
        <v>M338_Old Man Range2.28630706599092</v>
      </c>
      <c r="BD173" s="9" t="str">
        <f>CONCATENATE(TKA[[#This Row],[Supply Level]],TKA[[#This Row],[Station/Feeder]],TKA[[#This Row],[Voltage]],TKA[[#This Row],[Lowest A-No PTX]])</f>
        <v>DistributionFeederM338_Old Man Range2260</v>
      </c>
      <c r="BE173" s="9" t="str">
        <f>CONCATENATE(TKA[[#This Row],[Supply Level]],TKA[[#This Row],[Station/Feeder]],TKA[[#This Row],[Voltage]],TKA[[#This Row],[Lowest A-PTX]])</f>
        <v>DistributionFeederM338_Old Man Range2260</v>
      </c>
      <c r="BF173" s="9">
        <f>IF(MIN(TKA[[#This Row],[Summ Cont Winter A]]:TKA[[#This Row],[Cable Derating]])=0,"",MIN(TKA[[#This Row],[Summ Cont Winter A]]:TKA[[#This Row],[Cable Derating]]))</f>
        <v>2.2863070659909179</v>
      </c>
      <c r="BG173" s="9">
        <f>IFERROR(TKA[[#This Row],[Lowest MVA]]*1000/(TKA[[#This Row],[Voltage]]*SQRT(3)),"")</f>
        <v>60.000000000000007</v>
      </c>
      <c r="BH173" s="9">
        <f>IF(MIN(N173,P173,R173,T173,V173,X173,Z173,AB173,AD173,AR173)=0,"",MIN(N173,P173,R173,T173,V173,X173,Z173,AB173,AD173,AR173))</f>
        <v>60</v>
      </c>
      <c r="BI173" s="9" t="str">
        <f>TKA[[#This Row],[From]]</f>
        <v>M335</v>
      </c>
      <c r="BJ173" s="9" t="str">
        <f>TKA[[#This Row],[To]]</f>
        <v>Pole 51625</v>
      </c>
      <c r="BK173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Recloser-OMR-M338-Protection</v>
      </c>
      <c r="BL173" s="9">
        <f>TKA[[#This Row],[Voltage]]</f>
        <v>22</v>
      </c>
    </row>
    <row r="174" spans="1:64" s="1" customFormat="1" ht="15" customHeight="1" x14ac:dyDescent="0.25">
      <c r="A174" s="6" t="str">
        <f>CONCATENATE(TKA[[#This Row],[Supply Level]],TKA[[#This Row],[Station/Feeder]],TKA[[#This Row],[Voltage]])</f>
        <v>DistributionFeederM338_Old Man Range22</v>
      </c>
      <c r="B174" s="6" t="str">
        <f>CONCATENATE(TKA[[#This Row],[Supply Level]],TKA[[#This Row],[Station/Feeder]],TKA[[#This Row],[Equipment ID]],TKA[[#This Row],[Voltage]],TKA[[#This Row],[Device type]])</f>
        <v>DistributionFeederM338_Old Man RangeM33922-</v>
      </c>
      <c r="C174" s="6" t="s">
        <v>1276</v>
      </c>
      <c r="D174" s="6" t="s">
        <v>1444</v>
      </c>
      <c r="E174" s="46" t="s">
        <v>1342</v>
      </c>
      <c r="F174" s="46" t="s">
        <v>452</v>
      </c>
      <c r="G174" s="57">
        <v>10</v>
      </c>
      <c r="H174" s="46" t="s">
        <v>273</v>
      </c>
      <c r="I174" s="46" t="s">
        <v>1334</v>
      </c>
      <c r="J174" s="46" t="s">
        <v>249</v>
      </c>
      <c r="K174" s="46" t="s">
        <v>0</v>
      </c>
      <c r="L174" s="46" t="s">
        <v>0</v>
      </c>
      <c r="M174" s="57">
        <v>22</v>
      </c>
      <c r="N174" s="9">
        <v>300</v>
      </c>
      <c r="O174" s="9">
        <f>IF(OR(N174="",N174="-"),"-",N174*$M174*SQRT(3)/1000)</f>
        <v>11.43153532995459</v>
      </c>
      <c r="P174" s="9">
        <v>300</v>
      </c>
      <c r="Q174" s="9">
        <f>IF(OR(P174="",P174="-"),"-",P174*$M174*SQRT(3)/1000)</f>
        <v>11.43153532995459</v>
      </c>
      <c r="R174" s="9">
        <v>300</v>
      </c>
      <c r="S174" s="9">
        <f>IF(OR(R174="",R174="-"),"-",R174*$M174*SQRT(3)/1000)</f>
        <v>11.43153532995459</v>
      </c>
      <c r="T174" s="9" t="s">
        <v>0</v>
      </c>
      <c r="U174" s="9" t="str">
        <f>IF(OR(T174="",T174="-"),"-",T174*$M174*SQRT(3)/1000)</f>
        <v>-</v>
      </c>
      <c r="V174" s="9" t="s">
        <v>0</v>
      </c>
      <c r="W174" s="9" t="str">
        <f>IF(OR(V174="",V174="-"),"-",V174*$M174*SQRT(3)/1000)</f>
        <v>-</v>
      </c>
      <c r="X174" s="9" t="s">
        <v>0</v>
      </c>
      <c r="Y174" s="9" t="str">
        <f>IF(OR(X174="",X174="-"),"-",X174*$M174*SQRT(3)/1000)</f>
        <v>-</v>
      </c>
      <c r="Z174" s="9" t="s">
        <v>0</v>
      </c>
      <c r="AA174" s="9" t="str">
        <f>IF(OR(Z174="",Z174="-"),"-",Z174*$M174*SQRT(3)/1000)</f>
        <v>-</v>
      </c>
      <c r="AB174" s="9" t="s">
        <v>0</v>
      </c>
      <c r="AC174" s="9" t="str">
        <f>IF(OR(AB174="",AB174="-"),"-",AB174*$M174*SQRT(3)/1000)</f>
        <v>-</v>
      </c>
      <c r="AD174" s="9" t="s">
        <v>0</v>
      </c>
      <c r="AE174" s="9" t="str">
        <f>IF(OR(AD174="",AD174="-"),"-",AD174*$M174*SQRT(3)/1000)</f>
        <v>-</v>
      </c>
      <c r="AF174" s="9" t="s">
        <v>0</v>
      </c>
      <c r="AG174" s="9" t="s">
        <v>0</v>
      </c>
      <c r="AH174" s="9" t="s">
        <v>0</v>
      </c>
      <c r="AI174" s="9" t="s">
        <v>0</v>
      </c>
      <c r="AJ174" s="43" t="s">
        <v>0</v>
      </c>
      <c r="AK174" s="9" t="s">
        <v>0</v>
      </c>
      <c r="AL174" s="43" t="s">
        <v>0</v>
      </c>
      <c r="AM174" s="9" t="s">
        <v>0</v>
      </c>
      <c r="AN174" s="43" t="s">
        <v>0</v>
      </c>
      <c r="AO174" s="9" t="s">
        <v>0</v>
      </c>
      <c r="AP174" s="9" t="s">
        <v>0</v>
      </c>
      <c r="AQ174" s="43" t="s">
        <v>0</v>
      </c>
      <c r="AR174" s="9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74" s="9" t="str">
        <f>IF(OR(AR174="",AR174="-"),"-",AR174*$M174*SQRT(3)/1000)</f>
        <v>-</v>
      </c>
      <c r="AT174" s="9">
        <f>IF(RIGHT(TKA[[#This Row],[Device type]],7)="Winding","-",TKA[[#This Row],[Cont Winter MVA]])</f>
        <v>11.43153532995459</v>
      </c>
      <c r="AU174" s="9">
        <f>IF(RIGHT(TKA[[#This Row],[Device type]],7)="Winding","-",TKA[[#This Row],[Cont Shoulder MVA]])</f>
        <v>11.43153532995459</v>
      </c>
      <c r="AV174" s="9">
        <f>IF(RIGHT(TKA[[#This Row],[Device type]],7)="Winding","-",TKA[[#This Row],[Cont Summer MVA]])</f>
        <v>11.43153532995459</v>
      </c>
      <c r="AW174" s="9" t="str">
        <f>TKA[[#This Row],[24 Hr Winter MVA]]</f>
        <v>-</v>
      </c>
      <c r="AX174" s="9" t="str">
        <f>TKA[[#This Row],[24 Hr Summer MVA]]</f>
        <v>-</v>
      </c>
      <c r="AY174" s="9" t="str">
        <f>TKA[[#This Row],[Forwards MVA]]</f>
        <v>-</v>
      </c>
      <c r="AZ174" s="9" t="str">
        <f>TKA[[#This Row],[Relay MVA]]</f>
        <v>-</v>
      </c>
      <c r="BA174" s="9" t="str">
        <f>TKA[[#This Row],[CT MVA]]</f>
        <v>-</v>
      </c>
      <c r="BB174" s="9" t="str">
        <f>TKA[[#This Row],[Derating MVA]]</f>
        <v>-</v>
      </c>
      <c r="BC174" s="9" t="str">
        <f>TKA[[#This Row],[Station/Feeder]]&amp;TKA[[#This Row],[Lowest MVA]]</f>
        <v>M338_Old Man Range11.4315353299546</v>
      </c>
      <c r="BD174" s="9" t="str">
        <f>CONCATENATE(TKA[[#This Row],[Supply Level]],TKA[[#This Row],[Station/Feeder]],TKA[[#This Row],[Voltage]],TKA[[#This Row],[Lowest A-No PTX]])</f>
        <v>DistributionFeederM338_Old Man Range22300</v>
      </c>
      <c r="BE174" s="9" t="str">
        <f>CONCATENATE(TKA[[#This Row],[Supply Level]],TKA[[#This Row],[Station/Feeder]],TKA[[#This Row],[Voltage]],TKA[[#This Row],[Lowest A-PTX]])</f>
        <v>DistributionFeederM338_Old Man Range22300</v>
      </c>
      <c r="BF174" s="9">
        <f>IF(MIN(TKA[[#This Row],[Summ Cont Winter A]]:TKA[[#This Row],[Cable Derating]])=0,"",MIN(TKA[[#This Row],[Summ Cont Winter A]]:TKA[[#This Row],[Cable Derating]]))</f>
        <v>11.43153532995459</v>
      </c>
      <c r="BG174" s="9">
        <f>IFERROR(TKA[[#This Row],[Lowest MVA]]*1000/(TKA[[#This Row],[Voltage]]*SQRT(3)),"")</f>
        <v>300</v>
      </c>
      <c r="BH174" s="9">
        <f>IF(MIN(N174,P174,R174,T174,V174,X174,Z174,AB174,AD174,AR174)=0,"",MIN(N174,P174,R174,T174,V174,X174,Z174,AB174,AD174,AR174))</f>
        <v>300</v>
      </c>
      <c r="BI174" s="9" t="str">
        <f>TKA[[#This Row],[From]]</f>
        <v>M335</v>
      </c>
      <c r="BJ174" s="9" t="str">
        <f>TKA[[#This Row],[To]]</f>
        <v>Pole 51625</v>
      </c>
      <c r="BK174" s="46" t="str">
        <f>IF(TKA[[#This Row],[Device type]]="-",TKA[[#This Row],[Equipment Type]]&amp;"-"&amp;TKA[[#This Row],[Equipment ID]],TKA[[#This Row],[Equipment Type]]&amp;"-"&amp;TKA[[#This Row],[Equipment ID]]&amp;"-"&amp;TKA[[#This Row],[Device type]])</f>
        <v>Link-M339</v>
      </c>
      <c r="BL174" s="9">
        <f>TKA[[#This Row],[Voltage]]</f>
        <v>22</v>
      </c>
    </row>
    <row r="175" spans="1:64" s="1" customFormat="1" ht="15" customHeight="1" thickBot="1" x14ac:dyDescent="0.3">
      <c r="A175" s="191" t="str">
        <f>CONCATENATE(TKA[[#This Row],[Supply Level]],TKA[[#This Row],[Station/Feeder]],TKA[[#This Row],[Voltage]])</f>
        <v>DistributionFeederM338_Old Man Range22</v>
      </c>
      <c r="B175" s="191" t="str">
        <f>CONCATENATE(TKA[[#This Row],[Supply Level]],TKA[[#This Row],[Station/Feeder]],TKA[[#This Row],[Equipment ID]],TKA[[#This Row],[Voltage]],TKA[[#This Row],[Device type]])</f>
        <v>DistributionFeederM338_Old Man RangeHERRING22-</v>
      </c>
      <c r="C175" s="191" t="s">
        <v>1276</v>
      </c>
      <c r="D175" s="191" t="s">
        <v>1444</v>
      </c>
      <c r="E175" s="196" t="s">
        <v>1342</v>
      </c>
      <c r="F175" s="196" t="s">
        <v>452</v>
      </c>
      <c r="G175" s="197">
        <v>11</v>
      </c>
      <c r="H175" s="196" t="s">
        <v>1289</v>
      </c>
      <c r="I175" s="196" t="s">
        <v>429</v>
      </c>
      <c r="J175" s="196" t="s">
        <v>69</v>
      </c>
      <c r="K175" s="196" t="s">
        <v>0</v>
      </c>
      <c r="L175" s="196" t="s">
        <v>0</v>
      </c>
      <c r="M175" s="197">
        <v>22</v>
      </c>
      <c r="N175" s="155">
        <v>96.377308793119241</v>
      </c>
      <c r="O175" s="155">
        <f>IF(OR(N175="",N175="-"),"-",N175*$M175*SQRT(3)/1000)</f>
        <v>3.6724687015816189</v>
      </c>
      <c r="P175" s="155" t="s">
        <v>0</v>
      </c>
      <c r="Q175" s="155" t="str">
        <f>IF(OR(P175="",P175="-"),"-",P175*$M175*SQRT(3)/1000)</f>
        <v>-</v>
      </c>
      <c r="R175" s="155">
        <v>73.709391096942639</v>
      </c>
      <c r="S175" s="155">
        <f>IF(OR(R175="",R175="-"),"-",R175*$M175*SQRT(3)/1000)</f>
        <v>2.8087050282471338</v>
      </c>
      <c r="T175" s="155" t="s">
        <v>0</v>
      </c>
      <c r="U175" s="155" t="str">
        <f>IF(OR(T175="",T175="-"),"-",T175*$M175*SQRT(3)/1000)</f>
        <v>-</v>
      </c>
      <c r="V175" s="155" t="s">
        <v>0</v>
      </c>
      <c r="W175" s="155" t="str">
        <f>IF(OR(V175="",V175="-"),"-",V175*$M175*SQRT(3)/1000)</f>
        <v>-</v>
      </c>
      <c r="X175" s="155" t="s">
        <v>0</v>
      </c>
      <c r="Y175" s="155" t="str">
        <f>IF(OR(X175="",X175="-"),"-",X175*$M175*SQRT(3)/1000)</f>
        <v>-</v>
      </c>
      <c r="Z175" s="155" t="s">
        <v>0</v>
      </c>
      <c r="AA175" s="155" t="str">
        <f>IF(OR(Z175="",Z175="-"),"-",Z175*$M175*SQRT(3)/1000)</f>
        <v>-</v>
      </c>
      <c r="AB175" s="155" t="s">
        <v>0</v>
      </c>
      <c r="AC175" s="155" t="str">
        <f>IF(OR(AB175="",AB175="-"),"-",AB175*$M175*SQRT(3)/1000)</f>
        <v>-</v>
      </c>
      <c r="AD175" s="155" t="s">
        <v>0</v>
      </c>
      <c r="AE175" s="155" t="str">
        <f>IF(OR(AD175="",AD175="-"),"-",AD175*$M175*SQRT(3)/1000)</f>
        <v>-</v>
      </c>
      <c r="AF175" s="155" t="s">
        <v>0</v>
      </c>
      <c r="AG175" s="155" t="s">
        <v>0</v>
      </c>
      <c r="AH175" s="155">
        <f>1785.8+15.1</f>
        <v>1800.8999999999999</v>
      </c>
      <c r="AI175" s="155" t="s">
        <v>0</v>
      </c>
      <c r="AJ175" s="175" t="s">
        <v>0</v>
      </c>
      <c r="AK175" s="155" t="s">
        <v>0</v>
      </c>
      <c r="AL175" s="175" t="s">
        <v>0</v>
      </c>
      <c r="AM175" s="155" t="s">
        <v>0</v>
      </c>
      <c r="AN175" s="175" t="s">
        <v>0</v>
      </c>
      <c r="AO175" s="155" t="s">
        <v>0</v>
      </c>
      <c r="AP175" s="155" t="s">
        <v>0</v>
      </c>
      <c r="AQ175" s="175" t="s">
        <v>0</v>
      </c>
      <c r="AR175" s="155" t="str">
        <f>IFERROR(IF(TKA[[#This Row],[Equipment Type]]="Cable",MAX(TKA[[#This Row],[Cont Winter A]],TKA[[#This Row],[Cont Shoulder A]],TKA[[#This Row],[Cont Summer A]])*(TKA[[#This Row],[Depth Factor]]*TKA[[#This Row],[Soil Temp Factor]]*TKA[[#This Row],[Soil TR Factor]]*TKA[[#This Row],[Mutual Heat Factor]]),"-"),"-")</f>
        <v>-</v>
      </c>
      <c r="AS175" s="155" t="str">
        <f>IF(OR(AR175="",AR175="-"),"-",AR175*$M175*SQRT(3)/1000)</f>
        <v>-</v>
      </c>
      <c r="AT175" s="155">
        <f>IF(RIGHT(TKA[[#This Row],[Device type]],7)="Winding","-",TKA[[#This Row],[Cont Winter MVA]])</f>
        <v>3.6724687015816189</v>
      </c>
      <c r="AU175" s="155" t="str">
        <f>IF(RIGHT(TKA[[#This Row],[Device type]],7)="Winding","-",TKA[[#This Row],[Cont Shoulder MVA]])</f>
        <v>-</v>
      </c>
      <c r="AV175" s="155">
        <f>IF(RIGHT(TKA[[#This Row],[Device type]],7)="Winding","-",TKA[[#This Row],[Cont Summer MVA]])</f>
        <v>2.8087050282471338</v>
      </c>
      <c r="AW175" s="155" t="str">
        <f>TKA[[#This Row],[24 Hr Winter MVA]]</f>
        <v>-</v>
      </c>
      <c r="AX175" s="155" t="str">
        <f>TKA[[#This Row],[24 Hr Summer MVA]]</f>
        <v>-</v>
      </c>
      <c r="AY175" s="155" t="str">
        <f>TKA[[#This Row],[Forwards MVA]]</f>
        <v>-</v>
      </c>
      <c r="AZ175" s="155" t="str">
        <f>TKA[[#This Row],[Relay MVA]]</f>
        <v>-</v>
      </c>
      <c r="BA175" s="155" t="str">
        <f>TKA[[#This Row],[CT MVA]]</f>
        <v>-</v>
      </c>
      <c r="BB175" s="155" t="str">
        <f>TKA[[#This Row],[Derating MVA]]</f>
        <v>-</v>
      </c>
      <c r="BC175" s="155" t="str">
        <f>TKA[[#This Row],[Station/Feeder]]&amp;TKA[[#This Row],[Lowest MVA]]</f>
        <v>M338_Old Man Range2.80870502824713</v>
      </c>
      <c r="BD175" s="155" t="str">
        <f>CONCATENATE(TKA[[#This Row],[Supply Level]],TKA[[#This Row],[Station/Feeder]],TKA[[#This Row],[Voltage]],TKA[[#This Row],[Lowest A-No PTX]])</f>
        <v>DistributionFeederM338_Old Man Range2273.7093910969426</v>
      </c>
      <c r="BE175" s="155" t="str">
        <f>CONCATENATE(TKA[[#This Row],[Supply Level]],TKA[[#This Row],[Station/Feeder]],TKA[[#This Row],[Voltage]],TKA[[#This Row],[Lowest A-PTX]])</f>
        <v>DistributionFeederM338_Old Man Range2273.7093910969426</v>
      </c>
      <c r="BF175" s="155">
        <f>IF(MIN(TKA[[#This Row],[Summ Cont Winter A]]:TKA[[#This Row],[Cable Derating]])=0,"",MIN(TKA[[#This Row],[Summ Cont Winter A]]:TKA[[#This Row],[Cable Derating]]))</f>
        <v>2.8087050282471338</v>
      </c>
      <c r="BG175" s="155">
        <f>IFERROR(TKA[[#This Row],[Lowest MVA]]*1000/(TKA[[#This Row],[Voltage]]*SQRT(3)),"")</f>
        <v>73.709391096942639</v>
      </c>
      <c r="BH175" s="155">
        <f>IF(MIN(N175,P175,R175,T175,V175,X175,Z175,AB175,AD175,AR175)=0,"",MIN(N175,P175,R175,T175,V175,X175,Z175,AB175,AD175,AR175))</f>
        <v>73.709391096942639</v>
      </c>
      <c r="BI175" s="155" t="str">
        <f>TKA[[#This Row],[From]]</f>
        <v>M335</v>
      </c>
      <c r="BJ175" s="155" t="str">
        <f>TKA[[#This Row],[To]]</f>
        <v>Pole 51625</v>
      </c>
      <c r="BK175" s="196" t="str">
        <f>IF(TKA[[#This Row],[Device type]]="-",TKA[[#This Row],[Equipment Type]]&amp;"-"&amp;TKA[[#This Row],[Equipment ID]],TKA[[#This Row],[Equipment Type]]&amp;"-"&amp;TKA[[#This Row],[Equipment ID]]&amp;"-"&amp;TKA[[#This Row],[Device type]])</f>
        <v>OH Line-HERRING</v>
      </c>
      <c r="BL175" s="155">
        <f>TKA[[#This Row],[Voltage]]</f>
        <v>22</v>
      </c>
    </row>
    <row r="176" spans="1:64" s="1" customFormat="1" x14ac:dyDescent="0.25">
      <c r="A176" s="355"/>
      <c r="B176" s="355"/>
      <c r="C176" s="42"/>
      <c r="D176" s="42"/>
      <c r="E176" s="42"/>
      <c r="F176" s="42"/>
      <c r="G176" s="58"/>
      <c r="H176" s="42"/>
      <c r="I176" s="42"/>
      <c r="J176" s="42"/>
      <c r="K176" s="42"/>
      <c r="L176" s="42"/>
      <c r="M176" s="58"/>
      <c r="N176" s="67" t="s">
        <v>0</v>
      </c>
      <c r="O176" s="42" t="s">
        <v>0</v>
      </c>
      <c r="P176" s="42" t="s">
        <v>0</v>
      </c>
      <c r="Q176" s="42" t="s">
        <v>0</v>
      </c>
      <c r="R176" s="42" t="s">
        <v>0</v>
      </c>
      <c r="S176" s="42" t="s">
        <v>0</v>
      </c>
      <c r="T176" s="42" t="s">
        <v>0</v>
      </c>
      <c r="U176" s="42" t="s">
        <v>0</v>
      </c>
      <c r="V176" s="42" t="s">
        <v>0</v>
      </c>
      <c r="W176" s="42" t="s">
        <v>0</v>
      </c>
      <c r="X176" s="42" t="s">
        <v>0</v>
      </c>
      <c r="Y176" s="42" t="s">
        <v>0</v>
      </c>
      <c r="Z176" s="42" t="s">
        <v>0</v>
      </c>
      <c r="AA176" s="42" t="s">
        <v>0</v>
      </c>
      <c r="AB176" s="42" t="s">
        <v>0</v>
      </c>
      <c r="AC176" s="42" t="s">
        <v>0</v>
      </c>
      <c r="AD176" s="42" t="s">
        <v>0</v>
      </c>
      <c r="AE176" s="42" t="s">
        <v>0</v>
      </c>
      <c r="AF176" s="42" t="s">
        <v>0</v>
      </c>
      <c r="AG176" s="42" t="s">
        <v>0</v>
      </c>
      <c r="AH176" s="42" t="s">
        <v>0</v>
      </c>
      <c r="AI176" s="42" t="s">
        <v>0</v>
      </c>
      <c r="AJ176" s="50" t="s">
        <v>0</v>
      </c>
      <c r="AK176" s="42" t="s">
        <v>0</v>
      </c>
      <c r="AL176" s="50" t="s">
        <v>0</v>
      </c>
      <c r="AM176" s="42" t="s">
        <v>0</v>
      </c>
      <c r="AN176" s="50" t="s">
        <v>0</v>
      </c>
      <c r="AO176" s="42" t="s">
        <v>0</v>
      </c>
      <c r="AP176" s="42" t="s">
        <v>0</v>
      </c>
      <c r="AQ176" s="50" t="s">
        <v>0</v>
      </c>
      <c r="AR176" s="42" t="s">
        <v>0</v>
      </c>
      <c r="AS176" s="42" t="s">
        <v>0</v>
      </c>
      <c r="AT176" s="51">
        <f>IF(SUBTOTAL(105,TKA[Summ Cont Winter A])=0,"",SUBTOTAL(105,TKA[Summ Cont Winter A]))</f>
        <v>1.8362343507908094</v>
      </c>
      <c r="AU176" s="51">
        <f>IF(SUBTOTAL(105,TKA[Summ Cont Shoulder MVA])=0,"",SUBTOTAL(105,TKA[Summ Cont Shoulder MVA]))</f>
        <v>3.8105117766515302</v>
      </c>
      <c r="AV176" s="51">
        <f>IF(SUBTOTAL(105,TKA[Summ Cont Summer A])=0,"",SUBTOTAL(105,TKA[Summ Cont Summer A]))</f>
        <v>1.4043525141235669</v>
      </c>
      <c r="AW176" s="51">
        <f>IF(SUBTOTAL(105,TKA[Summ Post Winter A])=0,"",SUBTOTAL(105,TKA[Summ Post Winter A]))</f>
        <v>12.00311209645232</v>
      </c>
      <c r="AX176" s="51">
        <f>IF(SUBTOTAL(105,TKA[Summ Post Summer A])=0,"",SUBTOTAL(105,TKA[Summ Post Summer A]))</f>
        <v>12.00311209645232</v>
      </c>
      <c r="AY176" s="51">
        <f>IF(SUBTOTAL(105,TKA[Summ Forward A])=0,"",SUBTOTAL(105,TKA[Summ Forward A]))</f>
        <v>1.143153532995459</v>
      </c>
      <c r="AZ176" s="51">
        <f>IF(SUBTOTAL(105,TKA[Summ Reverse A])=0,"",SUBTOTAL(105,TKA[Summ Reverse A]))</f>
        <v>34.294605989863769</v>
      </c>
      <c r="BA176" s="51">
        <f>IF(SUBTOTAL(105,TKA[Summ CT A])=0,"",SUBTOTAL(105,TKA[Summ CT A]))</f>
        <v>1.9052558883257651</v>
      </c>
      <c r="BB176" s="51">
        <f>IF(SUBTOTAL(105,TKA[Cable Derating])=0,"",SUBTOTAL(105,TKA[Cable Derating]))</f>
        <v>3.5555561494434405</v>
      </c>
      <c r="BC176" s="51" t="s">
        <v>0</v>
      </c>
      <c r="BD176" s="51" t="s">
        <v>0</v>
      </c>
      <c r="BE176" s="51"/>
      <c r="BF176" s="284">
        <f>SUBTOTAL(105,TKA[Lowest MVA])</f>
        <v>1.143153532995459</v>
      </c>
      <c r="BG176" s="284" t="s">
        <v>0</v>
      </c>
      <c r="BH176" s="42"/>
      <c r="BI176" s="42" t="s">
        <v>0</v>
      </c>
      <c r="BJ176" s="42" t="s">
        <v>0</v>
      </c>
      <c r="BK176" s="42" t="s">
        <v>0</v>
      </c>
      <c r="BL176" s="42" t="s">
        <v>0</v>
      </c>
    </row>
  </sheetData>
  <mergeCells count="31">
    <mergeCell ref="AO2:AQ2"/>
    <mergeCell ref="AR2:AS2"/>
    <mergeCell ref="BJ2:BJ3"/>
    <mergeCell ref="BK2:BK3"/>
    <mergeCell ref="BL2:BL3"/>
    <mergeCell ref="AT2:AV2"/>
    <mergeCell ref="AW2:AX2"/>
    <mergeCell ref="AY2:BA2"/>
    <mergeCell ref="BB2:BB3"/>
    <mergeCell ref="BI2:BI3"/>
    <mergeCell ref="X1:AE1"/>
    <mergeCell ref="AD2:AE2"/>
    <mergeCell ref="AI2:AJ2"/>
    <mergeCell ref="AK2:AL2"/>
    <mergeCell ref="AM2:AN2"/>
    <mergeCell ref="AT1:BL1"/>
    <mergeCell ref="BF2:BH2"/>
    <mergeCell ref="E1:H1"/>
    <mergeCell ref="I1:J1"/>
    <mergeCell ref="K1:L1"/>
    <mergeCell ref="N1:S1"/>
    <mergeCell ref="T1:W1"/>
    <mergeCell ref="AF1:AS1"/>
    <mergeCell ref="N2:O2"/>
    <mergeCell ref="P2:Q2"/>
    <mergeCell ref="R2:S2"/>
    <mergeCell ref="T2:U2"/>
    <mergeCell ref="V2:W2"/>
    <mergeCell ref="X2:Y2"/>
    <mergeCell ref="Z2:AA2"/>
    <mergeCell ref="AB2:AC2"/>
  </mergeCells>
  <pageMargins left="0.7" right="0.7" top="0.75" bottom="0.75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'Dropdown List'!$A$2:$A$8</xm:f>
          </x14:formula1>
          <xm:sqref>C5:C175</xm:sqref>
        </x14:dataValidation>
        <x14:dataValidation type="list" allowBlank="1" showInputMessage="1" showErrorMessage="1" xr:uid="{00000000-0002-0000-0A00-000001000000}">
          <x14:formula1>
            <xm:f>'Dropdown List'!$E$27:$E$43</xm:f>
          </x14:formula1>
          <xm:sqref>D5:D175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BL349"/>
  <sheetViews>
    <sheetView showGridLines="0" zoomScaleNormal="100" workbookViewId="0">
      <pane xSplit="13" ySplit="4" topLeftCell="N20" activePane="bottomRight" state="frozen"/>
      <selection pane="topRight" activeCell="N1" sqref="N1"/>
      <selection pane="bottomLeft" activeCell="A5" sqref="A5"/>
      <selection pane="bottomRight" activeCell="O16" sqref="O16"/>
    </sheetView>
  </sheetViews>
  <sheetFormatPr defaultColWidth="9.140625" defaultRowHeight="15" x14ac:dyDescent="0.25"/>
  <cols>
    <col min="1" max="1" width="49.7109375" hidden="1" customWidth="1"/>
    <col min="2" max="2" width="18.7109375" hidden="1" customWidth="1"/>
    <col min="3" max="3" width="18.140625" bestFit="1" customWidth="1"/>
    <col min="4" max="4" width="27.140625" bestFit="1" customWidth="1"/>
    <col min="5" max="5" width="13.140625" bestFit="1" customWidth="1"/>
    <col min="6" max="6" width="13.5703125" bestFit="1" customWidth="1"/>
    <col min="7" max="7" width="9.42578125" bestFit="1" customWidth="1"/>
    <col min="8" max="8" width="28.42578125" customWidth="1"/>
    <col min="9" max="9" width="25.7109375" bestFit="1" customWidth="1"/>
    <col min="10" max="10" width="16.42578125" bestFit="1" customWidth="1"/>
    <col min="11" max="11" width="20.42578125" bestFit="1" customWidth="1"/>
    <col min="12" max="12" width="11.85546875" bestFit="1" customWidth="1"/>
    <col min="13" max="13" width="10.7109375" bestFit="1" customWidth="1"/>
    <col min="14" max="14" width="15" bestFit="1" customWidth="1"/>
    <col min="15" max="15" width="17.42578125" bestFit="1" customWidth="1"/>
    <col min="16" max="16" width="16.28515625" bestFit="1" customWidth="1"/>
    <col min="17" max="17" width="18.85546875" bestFit="1" customWidth="1"/>
    <col min="18" max="18" width="15.85546875" bestFit="1" customWidth="1"/>
    <col min="19" max="19" width="18.42578125" bestFit="1" customWidth="1"/>
    <col min="20" max="20" width="15.42578125" bestFit="1" customWidth="1"/>
    <col min="21" max="21" width="18" bestFit="1" customWidth="1"/>
    <col min="22" max="22" width="16.28515625" bestFit="1" customWidth="1"/>
    <col min="23" max="23" width="18.85546875" bestFit="1" customWidth="1"/>
    <col min="24" max="24" width="12.28515625" bestFit="1" customWidth="1"/>
    <col min="25" max="25" width="15.28515625" bestFit="1" customWidth="1"/>
    <col min="26" max="26" width="12.140625" bestFit="1" customWidth="1"/>
    <col min="27" max="27" width="14.5703125" bestFit="1" customWidth="1"/>
    <col min="28" max="28" width="10.42578125" bestFit="1" customWidth="1"/>
    <col min="29" max="29" width="12.85546875" bestFit="1" customWidth="1"/>
    <col min="30" max="30" width="8.42578125" bestFit="1" customWidth="1"/>
    <col min="31" max="31" width="10.85546875" bestFit="1" customWidth="1"/>
    <col min="32" max="32" width="8.7109375" bestFit="1" customWidth="1"/>
    <col min="33" max="33" width="10.28515625" bestFit="1" customWidth="1"/>
    <col min="34" max="35" width="11.28515625" bestFit="1" customWidth="1"/>
    <col min="36" max="36" width="14.140625" bestFit="1" customWidth="1"/>
    <col min="37" max="37" width="13.140625" bestFit="1" customWidth="1"/>
    <col min="38" max="38" width="16.42578125" bestFit="1" customWidth="1"/>
    <col min="39" max="39" width="15.42578125" bestFit="1" customWidth="1"/>
    <col min="40" max="40" width="14.28515625" bestFit="1" customWidth="1"/>
    <col min="41" max="41" width="8.28515625" bestFit="1" customWidth="1"/>
    <col min="42" max="42" width="11.28515625" bestFit="1" customWidth="1"/>
    <col min="43" max="43" width="18.42578125" bestFit="1" customWidth="1"/>
    <col min="44" max="44" width="12.5703125" bestFit="1" customWidth="1"/>
    <col min="45" max="45" width="15" bestFit="1" customWidth="1"/>
    <col min="46" max="46" width="19.5703125" bestFit="1" customWidth="1"/>
    <col min="47" max="47" width="23.42578125" bestFit="1" customWidth="1"/>
    <col min="48" max="48" width="20.42578125" bestFit="1" customWidth="1"/>
    <col min="49" max="49" width="19.28515625" bestFit="1" customWidth="1"/>
    <col min="50" max="50" width="20.140625" bestFit="1" customWidth="1"/>
    <col min="51" max="51" width="16.7109375" bestFit="1" customWidth="1"/>
    <col min="52" max="52" width="16.5703125" bestFit="1" customWidth="1"/>
    <col min="53" max="53" width="12.85546875" bestFit="1" customWidth="1"/>
    <col min="54" max="54" width="15.28515625" bestFit="1" customWidth="1"/>
    <col min="55" max="55" width="43.28515625" hidden="1" customWidth="1"/>
    <col min="56" max="57" width="17.28515625" hidden="1" customWidth="1"/>
    <col min="58" max="58" width="14" bestFit="1" customWidth="1"/>
    <col min="59" max="59" width="16.5703125" bestFit="1" customWidth="1"/>
    <col min="60" max="60" width="14.42578125" bestFit="1" customWidth="1"/>
    <col min="61" max="61" width="13.42578125" bestFit="1" customWidth="1"/>
    <col min="62" max="62" width="13.5703125" bestFit="1" customWidth="1"/>
    <col min="63" max="63" width="39.42578125" hidden="1" customWidth="1"/>
    <col min="64" max="64" width="15.140625" bestFit="1" customWidth="1"/>
    <col min="65" max="65" width="8.7109375" customWidth="1"/>
    <col min="66" max="66" width="13.28515625" customWidth="1"/>
  </cols>
  <sheetData>
    <row r="1" spans="1:64" s="47" customFormat="1" ht="15.75" thickBot="1" x14ac:dyDescent="0.3">
      <c r="A1" s="18" t="s">
        <v>2398</v>
      </c>
      <c r="B1" s="18" t="s">
        <v>2398</v>
      </c>
      <c r="C1" s="18" t="s">
        <v>51</v>
      </c>
      <c r="D1" s="18" t="s">
        <v>73</v>
      </c>
      <c r="E1" s="605" t="s">
        <v>237</v>
      </c>
      <c r="F1" s="607"/>
      <c r="G1" s="607"/>
      <c r="H1" s="606"/>
      <c r="I1" s="617" t="s">
        <v>6</v>
      </c>
      <c r="J1" s="618"/>
      <c r="K1" s="605" t="s">
        <v>29</v>
      </c>
      <c r="L1" s="606"/>
      <c r="M1" s="136" t="s">
        <v>40</v>
      </c>
      <c r="N1" s="605" t="s">
        <v>263</v>
      </c>
      <c r="O1" s="607"/>
      <c r="P1" s="607"/>
      <c r="Q1" s="607"/>
      <c r="R1" s="607"/>
      <c r="S1" s="606"/>
      <c r="T1" s="605" t="s">
        <v>14</v>
      </c>
      <c r="U1" s="607"/>
      <c r="V1" s="607"/>
      <c r="W1" s="606"/>
      <c r="X1" s="605" t="s">
        <v>35</v>
      </c>
      <c r="Y1" s="607"/>
      <c r="Z1" s="607"/>
      <c r="AA1" s="607"/>
      <c r="AB1" s="607"/>
      <c r="AC1" s="607"/>
      <c r="AD1" s="607"/>
      <c r="AE1" s="606"/>
      <c r="AF1" s="605" t="s">
        <v>251</v>
      </c>
      <c r="AG1" s="607"/>
      <c r="AH1" s="607"/>
      <c r="AI1" s="607"/>
      <c r="AJ1" s="607"/>
      <c r="AK1" s="607"/>
      <c r="AL1" s="607"/>
      <c r="AM1" s="607"/>
      <c r="AN1" s="607"/>
      <c r="AO1" s="607"/>
      <c r="AP1" s="607"/>
      <c r="AQ1" s="607"/>
      <c r="AR1" s="607"/>
      <c r="AS1" s="606"/>
      <c r="AT1" s="605" t="s">
        <v>293</v>
      </c>
      <c r="AU1" s="607"/>
      <c r="AV1" s="607"/>
      <c r="AW1" s="607"/>
      <c r="AX1" s="607"/>
      <c r="AY1" s="607"/>
      <c r="AZ1" s="607"/>
      <c r="BA1" s="607"/>
      <c r="BB1" s="607"/>
      <c r="BC1" s="607"/>
      <c r="BD1" s="607"/>
      <c r="BE1" s="607"/>
      <c r="BF1" s="619"/>
      <c r="BG1" s="619"/>
      <c r="BH1" s="619"/>
      <c r="BI1" s="607"/>
      <c r="BJ1" s="607"/>
      <c r="BK1" s="607"/>
      <c r="BL1" s="606"/>
    </row>
    <row r="2" spans="1:64" s="47" customFormat="1" ht="15.75" customHeight="1" thickBot="1" x14ac:dyDescent="0.3">
      <c r="A2" s="19" t="s">
        <v>2396</v>
      </c>
      <c r="B2" s="19" t="s">
        <v>1423</v>
      </c>
      <c r="C2" s="19" t="s">
        <v>3</v>
      </c>
      <c r="D2" s="19" t="s">
        <v>1276</v>
      </c>
      <c r="E2" s="19" t="s">
        <v>1</v>
      </c>
      <c r="F2" s="19" t="s">
        <v>2</v>
      </c>
      <c r="G2" s="52" t="s">
        <v>238</v>
      </c>
      <c r="H2" s="25" t="s">
        <v>269</v>
      </c>
      <c r="I2" s="121" t="s">
        <v>21</v>
      </c>
      <c r="J2" s="121" t="s">
        <v>22</v>
      </c>
      <c r="K2" s="19" t="s">
        <v>21</v>
      </c>
      <c r="L2" s="19" t="s">
        <v>22</v>
      </c>
      <c r="M2" s="137" t="s">
        <v>41</v>
      </c>
      <c r="N2" s="605" t="s">
        <v>39</v>
      </c>
      <c r="O2" s="606"/>
      <c r="P2" s="605" t="s">
        <v>65</v>
      </c>
      <c r="Q2" s="606"/>
      <c r="R2" s="605" t="s">
        <v>38</v>
      </c>
      <c r="S2" s="606"/>
      <c r="T2" s="605" t="s">
        <v>39</v>
      </c>
      <c r="U2" s="606"/>
      <c r="V2" s="605" t="s">
        <v>38</v>
      </c>
      <c r="W2" s="606"/>
      <c r="X2" s="605" t="s">
        <v>30</v>
      </c>
      <c r="Y2" s="606"/>
      <c r="Z2" s="605" t="s">
        <v>31</v>
      </c>
      <c r="AA2" s="606"/>
      <c r="AB2" s="605" t="s">
        <v>32</v>
      </c>
      <c r="AC2" s="606"/>
      <c r="AD2" s="605" t="s">
        <v>33</v>
      </c>
      <c r="AE2" s="606"/>
      <c r="AF2" s="34" t="s">
        <v>259</v>
      </c>
      <c r="AG2" s="34" t="s">
        <v>253</v>
      </c>
      <c r="AH2" s="25" t="s">
        <v>71</v>
      </c>
      <c r="AI2" s="605" t="s">
        <v>252</v>
      </c>
      <c r="AJ2" s="606"/>
      <c r="AK2" s="605" t="s">
        <v>254</v>
      </c>
      <c r="AL2" s="606"/>
      <c r="AM2" s="605" t="s">
        <v>300</v>
      </c>
      <c r="AN2" s="606"/>
      <c r="AO2" s="605" t="s">
        <v>257</v>
      </c>
      <c r="AP2" s="607"/>
      <c r="AQ2" s="606"/>
      <c r="AR2" s="605" t="s">
        <v>262</v>
      </c>
      <c r="AS2" s="606"/>
      <c r="AT2" s="605" t="s">
        <v>263</v>
      </c>
      <c r="AU2" s="607"/>
      <c r="AV2" s="606"/>
      <c r="AW2" s="605" t="s">
        <v>299</v>
      </c>
      <c r="AX2" s="606"/>
      <c r="AY2" s="605" t="s">
        <v>35</v>
      </c>
      <c r="AZ2" s="607"/>
      <c r="BA2" s="606"/>
      <c r="BB2" s="603" t="s">
        <v>294</v>
      </c>
      <c r="BC2" s="106" t="s">
        <v>21</v>
      </c>
      <c r="BD2" s="360" t="s">
        <v>2397</v>
      </c>
      <c r="BE2" s="360" t="s">
        <v>2397</v>
      </c>
      <c r="BF2" s="608" t="s">
        <v>1282</v>
      </c>
      <c r="BG2" s="609"/>
      <c r="BH2" s="610"/>
      <c r="BI2" s="603" t="s">
        <v>1</v>
      </c>
      <c r="BJ2" s="603" t="s">
        <v>2</v>
      </c>
      <c r="BK2" s="603" t="s">
        <v>6</v>
      </c>
      <c r="BL2" s="603" t="s">
        <v>298</v>
      </c>
    </row>
    <row r="3" spans="1:64" s="47" customFormat="1" ht="15.75" thickBot="1" x14ac:dyDescent="0.3">
      <c r="A3" s="359" t="s">
        <v>2395</v>
      </c>
      <c r="B3" s="359" t="s">
        <v>2395</v>
      </c>
      <c r="C3" s="108"/>
      <c r="D3" s="108"/>
      <c r="E3" s="59"/>
      <c r="F3" s="59"/>
      <c r="G3" s="53"/>
      <c r="H3" s="21" t="s">
        <v>270</v>
      </c>
      <c r="I3" s="122"/>
      <c r="J3" s="122"/>
      <c r="K3" s="108"/>
      <c r="L3" s="108"/>
      <c r="M3" s="137" t="s">
        <v>27</v>
      </c>
      <c r="N3" s="19" t="s">
        <v>26</v>
      </c>
      <c r="O3" s="19" t="s">
        <v>28</v>
      </c>
      <c r="P3" s="19" t="s">
        <v>26</v>
      </c>
      <c r="Q3" s="19" t="s">
        <v>28</v>
      </c>
      <c r="R3" s="19" t="s">
        <v>26</v>
      </c>
      <c r="S3" s="19" t="s">
        <v>28</v>
      </c>
      <c r="T3" s="19" t="s">
        <v>26</v>
      </c>
      <c r="U3" s="19" t="s">
        <v>28</v>
      </c>
      <c r="V3" s="19" t="s">
        <v>26</v>
      </c>
      <c r="W3" s="19" t="s">
        <v>28</v>
      </c>
      <c r="X3" s="19" t="s">
        <v>26</v>
      </c>
      <c r="Y3" s="19" t="s">
        <v>28</v>
      </c>
      <c r="Z3" s="19" t="s">
        <v>26</v>
      </c>
      <c r="AA3" s="19" t="s">
        <v>28</v>
      </c>
      <c r="AB3" s="19" t="s">
        <v>26</v>
      </c>
      <c r="AC3" s="19" t="s">
        <v>28</v>
      </c>
      <c r="AD3" s="19" t="s">
        <v>26</v>
      </c>
      <c r="AE3" s="19" t="s">
        <v>28</v>
      </c>
      <c r="AF3" s="108" t="s">
        <v>260</v>
      </c>
      <c r="AG3" s="108" t="s">
        <v>0</v>
      </c>
      <c r="AH3" s="21" t="s">
        <v>72</v>
      </c>
      <c r="AI3" s="108" t="s">
        <v>72</v>
      </c>
      <c r="AJ3" s="30" t="s">
        <v>264</v>
      </c>
      <c r="AK3" s="108" t="s">
        <v>255</v>
      </c>
      <c r="AL3" s="30" t="s">
        <v>264</v>
      </c>
      <c r="AM3" s="108" t="s">
        <v>256</v>
      </c>
      <c r="AN3" s="30" t="s">
        <v>264</v>
      </c>
      <c r="AO3" s="108" t="s">
        <v>261</v>
      </c>
      <c r="AP3" s="30" t="s">
        <v>258</v>
      </c>
      <c r="AQ3" s="30" t="s">
        <v>264</v>
      </c>
      <c r="AR3" s="108" t="s">
        <v>26</v>
      </c>
      <c r="AS3" s="108" t="s">
        <v>28</v>
      </c>
      <c r="AT3" s="109" t="s">
        <v>39</v>
      </c>
      <c r="AU3" s="109" t="s">
        <v>65</v>
      </c>
      <c r="AV3" s="109" t="s">
        <v>38</v>
      </c>
      <c r="AW3" s="105" t="s">
        <v>39</v>
      </c>
      <c r="AX3" s="105" t="s">
        <v>38</v>
      </c>
      <c r="AY3" s="105" t="s">
        <v>30</v>
      </c>
      <c r="AZ3" s="105" t="s">
        <v>295</v>
      </c>
      <c r="BA3" s="105" t="s">
        <v>297</v>
      </c>
      <c r="BB3" s="604"/>
      <c r="BC3" s="107" t="s">
        <v>372</v>
      </c>
      <c r="BD3" s="357" t="s">
        <v>372</v>
      </c>
      <c r="BE3" s="383" t="s">
        <v>372</v>
      </c>
      <c r="BF3" s="371" t="s">
        <v>1280</v>
      </c>
      <c r="BG3" s="371" t="s">
        <v>1281</v>
      </c>
      <c r="BH3" s="371" t="s">
        <v>1281</v>
      </c>
      <c r="BI3" s="604"/>
      <c r="BJ3" s="604"/>
      <c r="BK3" s="604"/>
      <c r="BL3" s="604"/>
    </row>
    <row r="4" spans="1:64" s="60" customFormat="1" ht="15.75" thickBot="1" x14ac:dyDescent="0.3">
      <c r="A4" s="364" t="s">
        <v>2399</v>
      </c>
      <c r="B4" s="364" t="s">
        <v>2400</v>
      </c>
      <c r="C4" s="198" t="s">
        <v>1184</v>
      </c>
      <c r="D4" s="22" t="s">
        <v>1481</v>
      </c>
      <c r="E4" s="37" t="s">
        <v>1</v>
      </c>
      <c r="F4" s="37" t="s">
        <v>2</v>
      </c>
      <c r="G4" s="54" t="s">
        <v>238</v>
      </c>
      <c r="H4" s="23" t="s">
        <v>692</v>
      </c>
      <c r="I4" s="22" t="s">
        <v>1482</v>
      </c>
      <c r="J4" s="22" t="s">
        <v>1428</v>
      </c>
      <c r="K4" s="22" t="s">
        <v>693</v>
      </c>
      <c r="L4" s="37" t="s">
        <v>1483</v>
      </c>
      <c r="M4" s="54" t="s">
        <v>41</v>
      </c>
      <c r="N4" s="23" t="s">
        <v>1484</v>
      </c>
      <c r="O4" s="23" t="s">
        <v>1485</v>
      </c>
      <c r="P4" s="23" t="s">
        <v>1486</v>
      </c>
      <c r="Q4" s="23" t="s">
        <v>1487</v>
      </c>
      <c r="R4" s="23" t="s">
        <v>1488</v>
      </c>
      <c r="S4" s="23" t="s">
        <v>1489</v>
      </c>
      <c r="T4" s="23" t="s">
        <v>1490</v>
      </c>
      <c r="U4" s="23" t="s">
        <v>1491</v>
      </c>
      <c r="V4" s="23" t="s">
        <v>1492</v>
      </c>
      <c r="W4" s="23" t="s">
        <v>1493</v>
      </c>
      <c r="X4" s="23" t="s">
        <v>1494</v>
      </c>
      <c r="Y4" s="23" t="s">
        <v>1495</v>
      </c>
      <c r="Z4" s="23" t="s">
        <v>1496</v>
      </c>
      <c r="AA4" s="23" t="s">
        <v>1497</v>
      </c>
      <c r="AB4" s="23" t="s">
        <v>1498</v>
      </c>
      <c r="AC4" s="23" t="s">
        <v>1499</v>
      </c>
      <c r="AD4" s="23" t="s">
        <v>1500</v>
      </c>
      <c r="AE4" s="23" t="s">
        <v>1501</v>
      </c>
      <c r="AF4" s="23" t="s">
        <v>259</v>
      </c>
      <c r="AG4" s="23" t="s">
        <v>253</v>
      </c>
      <c r="AH4" s="23" t="s">
        <v>71</v>
      </c>
      <c r="AI4" s="23" t="s">
        <v>1502</v>
      </c>
      <c r="AJ4" s="31" t="s">
        <v>1503</v>
      </c>
      <c r="AK4" s="23" t="s">
        <v>1504</v>
      </c>
      <c r="AL4" s="31" t="s">
        <v>1505</v>
      </c>
      <c r="AM4" s="23" t="s">
        <v>1506</v>
      </c>
      <c r="AN4" s="31" t="s">
        <v>1507</v>
      </c>
      <c r="AO4" s="23" t="s">
        <v>1508</v>
      </c>
      <c r="AP4" s="31" t="s">
        <v>1509</v>
      </c>
      <c r="AQ4" s="31" t="s">
        <v>1510</v>
      </c>
      <c r="AR4" s="23" t="s">
        <v>1511</v>
      </c>
      <c r="AS4" s="23" t="s">
        <v>1512</v>
      </c>
      <c r="AT4" s="23" t="s">
        <v>1513</v>
      </c>
      <c r="AU4" s="23" t="s">
        <v>1514</v>
      </c>
      <c r="AV4" s="23" t="s">
        <v>1515</v>
      </c>
      <c r="AW4" s="23" t="s">
        <v>1516</v>
      </c>
      <c r="AX4" s="23" t="s">
        <v>1517</v>
      </c>
      <c r="AY4" s="23" t="s">
        <v>1518</v>
      </c>
      <c r="AZ4" s="23" t="s">
        <v>1519</v>
      </c>
      <c r="BA4" s="23" t="s">
        <v>1520</v>
      </c>
      <c r="BB4" s="23" t="s">
        <v>1521</v>
      </c>
      <c r="BC4" s="23" t="s">
        <v>1522</v>
      </c>
      <c r="BD4" s="23" t="s">
        <v>2652</v>
      </c>
      <c r="BE4" s="23" t="s">
        <v>2653</v>
      </c>
      <c r="BF4" s="23" t="s">
        <v>1523</v>
      </c>
      <c r="BG4" s="54" t="s">
        <v>2602</v>
      </c>
      <c r="BH4" s="54" t="s">
        <v>2603</v>
      </c>
      <c r="BI4" s="23" t="s">
        <v>1524</v>
      </c>
      <c r="BJ4" s="23" t="s">
        <v>1525</v>
      </c>
      <c r="BK4" s="23" t="s">
        <v>1526</v>
      </c>
      <c r="BL4" s="23" t="s">
        <v>1527</v>
      </c>
    </row>
    <row r="5" spans="1:64" s="1" customFormat="1" ht="15" customHeight="1" x14ac:dyDescent="0.25">
      <c r="A5" s="3" t="str">
        <f>CONCATENATE(TMK[[#This Row],[Supply Level]],TMK[[#This Row],[Station/Feeder]],TMK[[#This Row],[Voltage]],"T1")</f>
        <v>GXPTMK_GXP110T1</v>
      </c>
      <c r="B5" s="3" t="str">
        <f>CONCATENATE(TMK[[#This Row],[Supply Level]],TMK[[#This Row],[Station/Feeder]],TMK[[#This Row],[Equipment ID]],TMK[[#This Row],[Voltage]],TMK[[#This Row],[Device type]])</f>
        <v>GXPTMK_GXPDOG110-</v>
      </c>
      <c r="C5" s="3" t="s">
        <v>4</v>
      </c>
      <c r="D5" s="10" t="s">
        <v>77</v>
      </c>
      <c r="E5" s="38" t="s">
        <v>461</v>
      </c>
      <c r="F5" s="38" t="s">
        <v>63</v>
      </c>
      <c r="G5" s="55">
        <v>1</v>
      </c>
      <c r="H5" s="38" t="s">
        <v>471</v>
      </c>
      <c r="I5" s="204" t="s">
        <v>318</v>
      </c>
      <c r="J5" s="204" t="s">
        <v>69</v>
      </c>
      <c r="K5" s="188" t="s">
        <v>0</v>
      </c>
      <c r="L5" s="188" t="s">
        <v>0</v>
      </c>
      <c r="M5" s="139">
        <v>110</v>
      </c>
      <c r="N5" s="5">
        <v>413</v>
      </c>
      <c r="O5" s="5">
        <f t="shared" ref="O5:O68" si="0">IF(OR(N5="",N5="-"),"-",N5*$M5*SQRT(3)/1000)</f>
        <v>78.687068187854095</v>
      </c>
      <c r="P5" s="5">
        <v>394</v>
      </c>
      <c r="Q5" s="5">
        <f t="shared" ref="Q5:Q68" si="1">IF(OR(P5="",P5="-"),"-",P5*$M5*SQRT(3)/1000)</f>
        <v>75.067082000035143</v>
      </c>
      <c r="R5" s="5">
        <v>375</v>
      </c>
      <c r="S5" s="5">
        <f t="shared" ref="S5:S68" si="2">IF(OR(R5="",R5="-"),"-",R5*$M5*SQRT(3)/1000)</f>
        <v>71.447095812216176</v>
      </c>
      <c r="T5" s="5" t="s">
        <v>0</v>
      </c>
      <c r="U5" s="5" t="str">
        <f t="shared" ref="U5:U68" si="3">IF(OR(T5="",T5="-"),"-",T5*$M5*SQRT(3)/1000)</f>
        <v>-</v>
      </c>
      <c r="V5" s="5" t="s">
        <v>0</v>
      </c>
      <c r="W5" s="5" t="str">
        <f t="shared" ref="W5:W68" si="4">IF(OR(V5="",V5="-"),"-",V5*$M5*SQRT(3)/1000)</f>
        <v>-</v>
      </c>
      <c r="X5" s="5" t="s">
        <v>0</v>
      </c>
      <c r="Y5" s="5" t="str">
        <f>IF(OR(X5="",X5="-"),"-",X5*$M5*SQRT(3)/1000)</f>
        <v>-</v>
      </c>
      <c r="Z5" s="5" t="s">
        <v>0</v>
      </c>
      <c r="AA5" s="5" t="str">
        <f>IF(OR(Z5="",Z5="-"),"-",Z5*$M5*SQRT(3)/1000)</f>
        <v>-</v>
      </c>
      <c r="AB5" s="5" t="s">
        <v>0</v>
      </c>
      <c r="AC5" s="5" t="str">
        <f>IF(OR(AB5="",AB5="-"),"-",AB5*$M5*SQRT(3)/1000)</f>
        <v>-</v>
      </c>
      <c r="AD5" s="5" t="s">
        <v>0</v>
      </c>
      <c r="AE5" s="158" t="str">
        <f>IF(OR(AD5="",AD5="-"),"-",AD5*$M5*SQRT(3)/1000)</f>
        <v>-</v>
      </c>
      <c r="AF5" s="5" t="s">
        <v>0</v>
      </c>
      <c r="AG5" s="5" t="s">
        <v>0</v>
      </c>
      <c r="AH5" s="5">
        <v>16000</v>
      </c>
      <c r="AI5" s="5" t="s">
        <v>0</v>
      </c>
      <c r="AJ5" s="139" t="s">
        <v>0</v>
      </c>
      <c r="AK5" s="5" t="s">
        <v>0</v>
      </c>
      <c r="AL5" s="139" t="s">
        <v>0</v>
      </c>
      <c r="AM5" s="5" t="s">
        <v>0</v>
      </c>
      <c r="AN5" s="139" t="s">
        <v>0</v>
      </c>
      <c r="AO5" s="5" t="s">
        <v>0</v>
      </c>
      <c r="AP5" s="5" t="s">
        <v>0</v>
      </c>
      <c r="AQ5" s="139" t="s">
        <v>0</v>
      </c>
      <c r="AR5" s="5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5" s="5" t="str">
        <f>IF(OR(AR5="",AR5="-"),"-",AR5*$M5*SQRT(3)/1000)</f>
        <v>-</v>
      </c>
      <c r="AT5" s="5">
        <f>IF(RIGHT(TMK[[#This Row],[Device type]],7)="Winding","-",TMK[[#This Row],[Cont Winter MVA]])</f>
        <v>78.687068187854095</v>
      </c>
      <c r="AU5" s="5">
        <f>IF(RIGHT(TMK[[#This Row],[Device type]],7)="Winding","-",TMK[[#This Row],[Cont Shoulder MVA]])</f>
        <v>75.067082000035143</v>
      </c>
      <c r="AV5" s="5">
        <f>IF(RIGHT(TMK[[#This Row],[Device type]],7)="Winding","-",TMK[[#This Row],[Cont Summer MVA]])</f>
        <v>71.447095812216176</v>
      </c>
      <c r="AW5" s="5" t="str">
        <f>IF(RIGHT(TMK[[#This Row],[Device type]],7)="Winding","-",TMK[[#This Row],[24 Hr Winter MVA]])</f>
        <v>-</v>
      </c>
      <c r="AX5" s="5" t="str">
        <f>IF(RIGHT(TMK[[#This Row],[Device type]],7)="Winding","-",TMK[[#This Row],[24 Hr Summer MVA]])</f>
        <v>-</v>
      </c>
      <c r="AY5" s="5" t="str">
        <f>TMK[[#This Row],[Forwards MVA]]</f>
        <v>-</v>
      </c>
      <c r="AZ5" s="5" t="str">
        <f>TMK[[#This Row],[Relay MVA]]</f>
        <v>-</v>
      </c>
      <c r="BA5" s="5" t="str">
        <f>TMK[[#This Row],[CT MVA]]</f>
        <v>-</v>
      </c>
      <c r="BB5" s="5" t="str">
        <f>TMK[[#This Row],[Derating MVA]]</f>
        <v>-</v>
      </c>
      <c r="BC5" s="5" t="str">
        <f>TMK[[#This Row],[Station/Feeder]]&amp;TMK[[#This Row],[Lowest MVA]]</f>
        <v>TMK_GXP71.4470958122162</v>
      </c>
      <c r="BD5" s="29" t="str">
        <f>CONCATENATE(TMK[[#This Row],[Supply Level]],TMK[[#This Row],[Station/Feeder]],TMK[[#This Row],[Voltage]],TMK[[#This Row],[Lowest A-No PTX]])</f>
        <v>GXPTMK_GXP110375</v>
      </c>
      <c r="BE5" s="29" t="str">
        <f>CONCATENATE(TMK[[#This Row],[Supply Level]],TMK[[#This Row],[Station/Feeder]],TMK[[#This Row],[Voltage]],TMK[[#This Row],[Lowest A-PTX]])</f>
        <v>GXPTMK_GXP110375</v>
      </c>
      <c r="BF5" s="5">
        <f>IFERROR(IF(MIN(TMK[[#This Row],[Summ Cont Winter A]:[Cable Derating]])=0,"",MIN(TMK[[#This Row],[Summ Cont Winter A]:[Cable Derating]])),"")</f>
        <v>71.447095812216176</v>
      </c>
      <c r="BG5" s="5">
        <f>IFERROR(TMK[[#This Row],[Lowest MVA]]*1000/(TMK[[#This Row],[Voltage]]*SQRT(3)),"")</f>
        <v>375</v>
      </c>
      <c r="BH5" s="5">
        <f t="shared" ref="BH5:BH68" si="5">IF(MIN(N5,P5,R5,T5,V5,X5,Z5,AB5,AD5,AR5)=0,"",MIN(N5,P5,R5,T5,V5,X5,Z5,AB5,AD5,AR5))</f>
        <v>375</v>
      </c>
      <c r="BI5" s="5" t="str">
        <f>TMK[[#This Row],[From]]</f>
        <v>DS134</v>
      </c>
      <c r="BJ5" s="5" t="str">
        <f>TMK[[#This Row],[To]]</f>
        <v>33 kV Bus</v>
      </c>
      <c r="BK5" s="188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5" s="5">
        <f>TMK[[#This Row],[Voltage]]</f>
        <v>110</v>
      </c>
    </row>
    <row r="6" spans="1:64" s="1" customFormat="1" ht="15" customHeight="1" x14ac:dyDescent="0.25">
      <c r="A6" s="6" t="str">
        <f>CONCATENATE(TMK[[#This Row],[Supply Level]],TMK[[#This Row],[Station/Feeder]],TMK[[#This Row],[Voltage]],"T1")</f>
        <v>GXPTMK_GXP110T1</v>
      </c>
      <c r="B6" s="6" t="str">
        <f>CONCATENATE(TMK[[#This Row],[Supply Level]],TMK[[#This Row],[Station/Feeder]],TMK[[#This Row],[Equipment ID]],TMK[[#This Row],[Voltage]],TMK[[#This Row],[Device type]])</f>
        <v>GXPTMK_GXPWOLF110-</v>
      </c>
      <c r="C6" s="6" t="s">
        <v>4</v>
      </c>
      <c r="D6" s="11" t="s">
        <v>77</v>
      </c>
      <c r="E6" s="7" t="s">
        <v>461</v>
      </c>
      <c r="F6" s="7" t="s">
        <v>63</v>
      </c>
      <c r="G6" s="56">
        <v>2</v>
      </c>
      <c r="H6" s="7" t="s">
        <v>471</v>
      </c>
      <c r="I6" s="123" t="s">
        <v>472</v>
      </c>
      <c r="J6" s="123" t="s">
        <v>69</v>
      </c>
      <c r="K6" s="46" t="s">
        <v>0</v>
      </c>
      <c r="L6" s="46" t="s">
        <v>0</v>
      </c>
      <c r="M6" s="43">
        <v>110</v>
      </c>
      <c r="N6" s="9">
        <v>531</v>
      </c>
      <c r="O6" s="9">
        <f t="shared" si="0"/>
        <v>101.16908767009812</v>
      </c>
      <c r="P6" s="9">
        <v>507</v>
      </c>
      <c r="Q6" s="9">
        <f t="shared" si="1"/>
        <v>96.596473538116271</v>
      </c>
      <c r="R6" s="9">
        <v>482</v>
      </c>
      <c r="S6" s="9">
        <f t="shared" si="2"/>
        <v>91.833333817301877</v>
      </c>
      <c r="T6" s="9" t="s">
        <v>0</v>
      </c>
      <c r="U6" s="9" t="str">
        <f t="shared" si="3"/>
        <v>-</v>
      </c>
      <c r="V6" s="9" t="s">
        <v>0</v>
      </c>
      <c r="W6" s="9" t="str">
        <f t="shared" si="4"/>
        <v>-</v>
      </c>
      <c r="X6" s="9" t="s">
        <v>0</v>
      </c>
      <c r="Y6" s="9" t="str">
        <f>IF(OR(X6="",X6="-"),"-",X6*$M6*SQRT(3)/1000)</f>
        <v>-</v>
      </c>
      <c r="Z6" s="9" t="s">
        <v>0</v>
      </c>
      <c r="AA6" s="9" t="str">
        <f>IF(OR(Z6="",Z6="-"),"-",Z6*$M6*SQRT(3)/1000)</f>
        <v>-</v>
      </c>
      <c r="AB6" s="9" t="s">
        <v>0</v>
      </c>
      <c r="AC6" s="9" t="str">
        <f>IF(OR(AB6="",AB6="-"),"-",AB6*$M6*SQRT(3)/1000)</f>
        <v>-</v>
      </c>
      <c r="AD6" s="9" t="s">
        <v>0</v>
      </c>
      <c r="AE6" s="12" t="str">
        <f>IF(OR(AD6="",AD6="-"),"-",AD6*$M6*SQRT(3)/1000)</f>
        <v>-</v>
      </c>
      <c r="AF6" s="9" t="s">
        <v>0</v>
      </c>
      <c r="AG6" s="9" t="s">
        <v>0</v>
      </c>
      <c r="AH6" s="9">
        <v>2000</v>
      </c>
      <c r="AI6" s="9" t="s">
        <v>0</v>
      </c>
      <c r="AJ6" s="43" t="s">
        <v>0</v>
      </c>
      <c r="AK6" s="9" t="s">
        <v>0</v>
      </c>
      <c r="AL6" s="43" t="s">
        <v>0</v>
      </c>
      <c r="AM6" s="9" t="s">
        <v>0</v>
      </c>
      <c r="AN6" s="43" t="s">
        <v>0</v>
      </c>
      <c r="AO6" s="9" t="s">
        <v>0</v>
      </c>
      <c r="AP6" s="43" t="s">
        <v>0</v>
      </c>
      <c r="AQ6" s="43" t="s">
        <v>0</v>
      </c>
      <c r="AR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6" s="9" t="str">
        <f>IF(OR(AR6="",AR6="-"),"-",AR6*$M6*SQRT(3)/1000)</f>
        <v>-</v>
      </c>
      <c r="AT6" s="9">
        <f>IF(RIGHT(TMK[[#This Row],[Device type]],7)="Winding","-",TMK[[#This Row],[Cont Winter MVA]])</f>
        <v>101.16908767009812</v>
      </c>
      <c r="AU6" s="9">
        <f>IF(RIGHT(TMK[[#This Row],[Device type]],7)="Winding","-",TMK[[#This Row],[Cont Shoulder MVA]])</f>
        <v>96.596473538116271</v>
      </c>
      <c r="AV6" s="9">
        <f>IF(RIGHT(TMK[[#This Row],[Device type]],7)="Winding","-",TMK[[#This Row],[Cont Summer MVA]])</f>
        <v>91.833333817301877</v>
      </c>
      <c r="AW6" s="9" t="str">
        <f>IF(RIGHT(TMK[[#This Row],[Device type]],7)="Winding","-",TMK[[#This Row],[24 Hr Winter MVA]])</f>
        <v>-</v>
      </c>
      <c r="AX6" s="9" t="str">
        <f>IF(RIGHT(TMK[[#This Row],[Device type]],7)="Winding","-",TMK[[#This Row],[24 Hr Summer MVA]])</f>
        <v>-</v>
      </c>
      <c r="AY6" s="9" t="str">
        <f>TMK[[#This Row],[Forwards MVA]]</f>
        <v>-</v>
      </c>
      <c r="AZ6" s="9" t="str">
        <f>TMK[[#This Row],[Relay MVA]]</f>
        <v>-</v>
      </c>
      <c r="BA6" s="9" t="str">
        <f>TMK[[#This Row],[CT MVA]]</f>
        <v>-</v>
      </c>
      <c r="BB6" s="9" t="str">
        <f>TMK[[#This Row],[Derating MVA]]</f>
        <v>-</v>
      </c>
      <c r="BC6" s="9" t="str">
        <f>TMK[[#This Row],[Station/Feeder]]&amp;TMK[[#This Row],[Lowest MVA]]</f>
        <v>TMK_GXP91.8333338173019</v>
      </c>
      <c r="BD6" s="9" t="str">
        <f>CONCATENATE(TMK[[#This Row],[Supply Level]],TMK[[#This Row],[Station/Feeder]],TMK[[#This Row],[Voltage]],TMK[[#This Row],[Lowest A-No PTX]])</f>
        <v>GXPTMK_GXP110482</v>
      </c>
      <c r="BE6" s="9" t="str">
        <f>CONCATENATE(TMK[[#This Row],[Supply Level]],TMK[[#This Row],[Station/Feeder]],TMK[[#This Row],[Voltage]],TMK[[#This Row],[Lowest A-PTX]])</f>
        <v>GXPTMK_GXP110482</v>
      </c>
      <c r="BF6" s="9">
        <f>IFERROR(IF(MIN(TMK[[#This Row],[Summ Cont Winter A]:[Cable Derating]])=0,"",MIN(TMK[[#This Row],[Summ Cont Winter A]:[Cable Derating]])),"")</f>
        <v>91.833333817301877</v>
      </c>
      <c r="BG6" s="9">
        <f>IFERROR(TMK[[#This Row],[Lowest MVA]]*1000/(TMK[[#This Row],[Voltage]]*SQRT(3)),"")</f>
        <v>482</v>
      </c>
      <c r="BH6" s="9">
        <f t="shared" si="5"/>
        <v>482</v>
      </c>
      <c r="BI6" s="9" t="str">
        <f>TMK[[#This Row],[From]]</f>
        <v>DS134</v>
      </c>
      <c r="BJ6" s="9" t="str">
        <f>TMK[[#This Row],[To]]</f>
        <v>33 kV Bus</v>
      </c>
      <c r="BK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Line-WOLF</v>
      </c>
      <c r="BL6" s="9">
        <f>TMK[[#This Row],[Voltage]]</f>
        <v>110</v>
      </c>
    </row>
    <row r="7" spans="1:64" s="1" customFormat="1" ht="15" customHeight="1" x14ac:dyDescent="0.25">
      <c r="A7" s="168" t="str">
        <f>CONCATENATE(TMK[[#This Row],[Supply Level]],TMK[[#This Row],[Station/Feeder]],TMK[[#This Row],[Voltage]],"T1")</f>
        <v>GXPTMK_GXP110T1</v>
      </c>
      <c r="B7" s="168" t="str">
        <f>CONCATENATE(TMK[[#This Row],[Supply Level]],TMK[[#This Row],[Station/Feeder]],TMK[[#This Row],[Equipment ID]],TMK[[#This Row],[Voltage]],TMK[[#This Row],[Device type]])</f>
        <v>GXPTMK_GXPTMK-BS-110-134-T1110-</v>
      </c>
      <c r="C7" s="168" t="s">
        <v>4</v>
      </c>
      <c r="D7" s="118" t="s">
        <v>77</v>
      </c>
      <c r="E7" s="49" t="s">
        <v>461</v>
      </c>
      <c r="F7" s="49" t="s">
        <v>63</v>
      </c>
      <c r="G7" s="56">
        <v>3</v>
      </c>
      <c r="H7" s="49" t="s">
        <v>462</v>
      </c>
      <c r="I7" s="124" t="s">
        <v>463</v>
      </c>
      <c r="J7" s="124" t="s">
        <v>464</v>
      </c>
      <c r="K7" s="49" t="s">
        <v>0</v>
      </c>
      <c r="L7" s="49" t="s">
        <v>0</v>
      </c>
      <c r="M7" s="32">
        <v>110</v>
      </c>
      <c r="N7" s="29">
        <v>900</v>
      </c>
      <c r="O7" s="29">
        <f t="shared" si="0"/>
        <v>171.47302994931886</v>
      </c>
      <c r="P7" s="29">
        <v>900</v>
      </c>
      <c r="Q7" s="29">
        <f t="shared" si="1"/>
        <v>171.47302994931886</v>
      </c>
      <c r="R7" s="29">
        <v>900</v>
      </c>
      <c r="S7" s="29">
        <f t="shared" si="2"/>
        <v>171.47302994931886</v>
      </c>
      <c r="T7" s="29">
        <v>900</v>
      </c>
      <c r="U7" s="29">
        <f t="shared" si="3"/>
        <v>171.47302994931886</v>
      </c>
      <c r="V7" s="29">
        <v>900</v>
      </c>
      <c r="W7" s="29">
        <f t="shared" si="4"/>
        <v>171.47302994931886</v>
      </c>
      <c r="X7" s="29" t="s">
        <v>0</v>
      </c>
      <c r="Y7" s="29" t="str">
        <f>IF(OR(X7="",X7="-"),"-",X7*$M7*SQRT(3)/1000)</f>
        <v>-</v>
      </c>
      <c r="Z7" s="29" t="s">
        <v>0</v>
      </c>
      <c r="AA7" s="29" t="str">
        <f>IF(OR(Z7="",Z7="-"),"-",Z7*$M7*SQRT(3)/1000)</f>
        <v>-</v>
      </c>
      <c r="AB7" s="29" t="s">
        <v>0</v>
      </c>
      <c r="AC7" s="29" t="str">
        <f>IF(OR(AB7="",AB7="-"),"-",AB7*$M7*SQRT(3)/1000)</f>
        <v>-</v>
      </c>
      <c r="AD7" s="29" t="s">
        <v>0</v>
      </c>
      <c r="AE7" s="29" t="str">
        <f>IF(OR(AD7="",AD7="-"),"-",AD7*$M7*SQRT(3)/1000)</f>
        <v>-</v>
      </c>
      <c r="AF7" s="29" t="s">
        <v>0</v>
      </c>
      <c r="AG7" s="29" t="s">
        <v>0</v>
      </c>
      <c r="AH7" s="29" t="s">
        <v>0</v>
      </c>
      <c r="AI7" s="29" t="s">
        <v>0</v>
      </c>
      <c r="AJ7" s="32" t="s">
        <v>0</v>
      </c>
      <c r="AK7" s="29" t="s">
        <v>0</v>
      </c>
      <c r="AL7" s="32" t="s">
        <v>0</v>
      </c>
      <c r="AM7" s="29" t="s">
        <v>0</v>
      </c>
      <c r="AN7" s="32" t="s">
        <v>0</v>
      </c>
      <c r="AO7" s="29" t="s">
        <v>0</v>
      </c>
      <c r="AP7" s="29" t="s">
        <v>0</v>
      </c>
      <c r="AQ7" s="32" t="s">
        <v>0</v>
      </c>
      <c r="AR7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7" s="29" t="str">
        <f>IF(OR(AR7="",AR7="-"),"-",AR7*$M7*SQRT(3)/1000)</f>
        <v>-</v>
      </c>
      <c r="AT7" s="29">
        <f>IF(RIGHT(TMK[[#This Row],[Device type]],7)="Winding","-",TMK[[#This Row],[Cont Winter MVA]])</f>
        <v>171.47302994931886</v>
      </c>
      <c r="AU7" s="29">
        <f>IF(RIGHT(TMK[[#This Row],[Device type]],7)="Winding","-",TMK[[#This Row],[Cont Shoulder MVA]])</f>
        <v>171.47302994931886</v>
      </c>
      <c r="AV7" s="29">
        <f>IF(RIGHT(TMK[[#This Row],[Device type]],7)="Winding","-",TMK[[#This Row],[Cont Summer MVA]])</f>
        <v>171.47302994931886</v>
      </c>
      <c r="AW7" s="29">
        <f>IF(RIGHT(TMK[[#This Row],[Device type]],7)="Winding","-",TMK[[#This Row],[24 Hr Winter MVA]])</f>
        <v>171.47302994931886</v>
      </c>
      <c r="AX7" s="29">
        <f>IF(RIGHT(TMK[[#This Row],[Device type]],7)="Winding","-",TMK[[#This Row],[24 Hr Summer MVA]])</f>
        <v>171.47302994931886</v>
      </c>
      <c r="AY7" s="29" t="str">
        <f>TMK[[#This Row],[Forwards MVA]]</f>
        <v>-</v>
      </c>
      <c r="AZ7" s="29" t="str">
        <f>TMK[[#This Row],[Relay MVA]]</f>
        <v>-</v>
      </c>
      <c r="BA7" s="29" t="str">
        <f>TMK[[#This Row],[CT MVA]]</f>
        <v>-</v>
      </c>
      <c r="BB7" s="29" t="str">
        <f>TMK[[#This Row],[Derating MVA]]</f>
        <v>-</v>
      </c>
      <c r="BC7" s="29" t="str">
        <f>TMK[[#This Row],[Station/Feeder]]&amp;TMK[[#This Row],[Lowest MVA]]</f>
        <v>TMK_GXP171.473029949319</v>
      </c>
      <c r="BD7" s="29" t="str">
        <f>CONCATENATE(TMK[[#This Row],[Supply Level]],TMK[[#This Row],[Station/Feeder]],TMK[[#This Row],[Voltage]],TMK[[#This Row],[Lowest A-No PTX]])</f>
        <v>GXPTMK_GXP110900</v>
      </c>
      <c r="BE7" s="29" t="str">
        <f>CONCATENATE(TMK[[#This Row],[Supply Level]],TMK[[#This Row],[Station/Feeder]],TMK[[#This Row],[Voltage]],TMK[[#This Row],[Lowest A-PTX]])</f>
        <v>GXPTMK_GXP110900</v>
      </c>
      <c r="BF7" s="29">
        <f>IFERROR(IF(MIN(TMK[[#This Row],[Summ Cont Winter A]:[Cable Derating]])=0,"",MIN(TMK[[#This Row],[Summ Cont Winter A]:[Cable Derating]])),"")</f>
        <v>171.47302994931886</v>
      </c>
      <c r="BG7" s="29">
        <f>IFERROR(TMK[[#This Row],[Lowest MVA]]*1000/(TMK[[#This Row],[Voltage]]*SQRT(3)),"")</f>
        <v>900</v>
      </c>
      <c r="BH7" s="29">
        <f t="shared" si="5"/>
        <v>900</v>
      </c>
      <c r="BI7" s="29" t="str">
        <f>TMK[[#This Row],[From]]</f>
        <v>DS134</v>
      </c>
      <c r="BJ7" s="29" t="str">
        <f>TMK[[#This Row],[To]]</f>
        <v>33 kV Bus</v>
      </c>
      <c r="BK7" s="45" t="str">
        <f>IF(TMK[[#This Row],[Device type]]="-",TMK[[#This Row],[Equipment Type]]&amp;"-"&amp;TMK[[#This Row],[Equipment ID]],TMK[[#This Row],[Equipment Type]]&amp;"-"&amp;TMK[[#This Row],[Equipment ID]]&amp;"-"&amp;TMK[[#This Row],[Device type]])</f>
        <v>Bus-TMK-BS-110-134-T1</v>
      </c>
      <c r="BL7" s="29">
        <f>TMK[[#This Row],[Voltage]]</f>
        <v>110</v>
      </c>
    </row>
    <row r="8" spans="1:64" s="1" customFormat="1" ht="15" customHeight="1" x14ac:dyDescent="0.25">
      <c r="A8" s="6" t="str">
        <f>CONCATENATE(TMK[[#This Row],[Supply Level]],TMK[[#This Row],[Station/Feeder]],TMK[[#This Row],[Voltage]],"T1")</f>
        <v>GXPTMK_GXP110T1</v>
      </c>
      <c r="B8" s="6" t="str">
        <f>CONCATENATE(TMK[[#This Row],[Supply Level]],TMK[[#This Row],[Station/Feeder]],TMK[[#This Row],[Equipment ID]],TMK[[#This Row],[Voltage]],TMK[[#This Row],[Device type]])</f>
        <v>GXPTMK_GXPTMK-CB132110Protection</v>
      </c>
      <c r="C8" s="6" t="s">
        <v>4</v>
      </c>
      <c r="D8" s="11" t="s">
        <v>77</v>
      </c>
      <c r="E8" s="7" t="s">
        <v>461</v>
      </c>
      <c r="F8" s="7" t="s">
        <v>63</v>
      </c>
      <c r="G8" s="56">
        <v>4</v>
      </c>
      <c r="H8" s="49" t="s">
        <v>462</v>
      </c>
      <c r="I8" s="123" t="s">
        <v>2305</v>
      </c>
      <c r="J8" s="123" t="s">
        <v>15</v>
      </c>
      <c r="K8" s="7" t="s">
        <v>470</v>
      </c>
      <c r="L8" s="7" t="s">
        <v>1423</v>
      </c>
      <c r="M8" s="43">
        <v>110</v>
      </c>
      <c r="N8" s="9">
        <v>2500</v>
      </c>
      <c r="O8" s="9">
        <f t="shared" si="0"/>
        <v>476.31397208144119</v>
      </c>
      <c r="P8" s="9">
        <v>2500</v>
      </c>
      <c r="Q8" s="9">
        <f t="shared" si="1"/>
        <v>476.31397208144119</v>
      </c>
      <c r="R8" s="9">
        <v>2500</v>
      </c>
      <c r="S8" s="9">
        <f t="shared" si="2"/>
        <v>476.31397208144119</v>
      </c>
      <c r="T8" s="9">
        <v>2500</v>
      </c>
      <c r="U8" s="9">
        <f t="shared" si="3"/>
        <v>476.31397208144119</v>
      </c>
      <c r="V8" s="9">
        <v>2500</v>
      </c>
      <c r="W8" s="9">
        <f t="shared" si="4"/>
        <v>476.31397208144119</v>
      </c>
      <c r="X8" s="9">
        <v>359</v>
      </c>
      <c r="Y8" s="9">
        <f t="shared" ref="Y8:Y195" si="6">IF(OR(X8="",X8="-"),"-",X8*$M8*SQRT(3)/1000)</f>
        <v>68.398686390894966</v>
      </c>
      <c r="Z8" s="9" t="s">
        <v>0</v>
      </c>
      <c r="AA8" s="9" t="str">
        <f t="shared" ref="AA8:AA195" si="7">IF(OR(Z8="",Z8="-"),"-",Z8*$M8*SQRT(3)/1000)</f>
        <v>-</v>
      </c>
      <c r="AB8" s="9">
        <v>900</v>
      </c>
      <c r="AC8" s="9">
        <f t="shared" ref="AC8:AC195" si="8">IF(OR(AB8="",AB8="-"),"-",AB8*$M8*SQRT(3)/1000)</f>
        <v>171.47302994931886</v>
      </c>
      <c r="AD8" s="9">
        <v>600</v>
      </c>
      <c r="AE8" s="12">
        <f t="shared" ref="AE8:AE191" si="9">IF(OR(AD8="",AD8="-"),"-",AD8*$M8*SQRT(3)/1000)</f>
        <v>114.31535329954589</v>
      </c>
      <c r="AF8" s="9" t="s">
        <v>0</v>
      </c>
      <c r="AG8" s="9" t="s">
        <v>0</v>
      </c>
      <c r="AH8" s="9" t="s">
        <v>0</v>
      </c>
      <c r="AI8" s="9" t="s">
        <v>0</v>
      </c>
      <c r="AJ8" s="43" t="s">
        <v>0</v>
      </c>
      <c r="AK8" s="9" t="s">
        <v>0</v>
      </c>
      <c r="AL8" s="43" t="s">
        <v>0</v>
      </c>
      <c r="AM8" s="9" t="s">
        <v>0</v>
      </c>
      <c r="AN8" s="43" t="s">
        <v>0</v>
      </c>
      <c r="AO8" s="9" t="s">
        <v>0</v>
      </c>
      <c r="AP8" s="9" t="s">
        <v>0</v>
      </c>
      <c r="AQ8" s="43" t="s">
        <v>0</v>
      </c>
      <c r="AR8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8" s="9" t="str">
        <f t="shared" ref="AS8:AS136" si="10">IF(OR(AR8="",AR8="-"),"-",AR8*$M8*SQRT(3)/1000)</f>
        <v>-</v>
      </c>
      <c r="AT8" s="9">
        <f>IF(RIGHT(TMK[[#This Row],[Device type]],7)="Winding","-",TMK[[#This Row],[Cont Winter MVA]])</f>
        <v>476.31397208144119</v>
      </c>
      <c r="AU8" s="9">
        <f>IF(RIGHT(TMK[[#This Row],[Device type]],7)="Winding","-",TMK[[#This Row],[Cont Shoulder MVA]])</f>
        <v>476.31397208144119</v>
      </c>
      <c r="AV8" s="9">
        <f>IF(RIGHT(TMK[[#This Row],[Device type]],7)="Winding","-",TMK[[#This Row],[Cont Summer MVA]])</f>
        <v>476.31397208144119</v>
      </c>
      <c r="AW8" s="9">
        <f>IF(RIGHT(TMK[[#This Row],[Device type]],7)="Winding","-",TMK[[#This Row],[24 Hr Winter MVA]])</f>
        <v>476.31397208144119</v>
      </c>
      <c r="AX8" s="9">
        <f>IF(RIGHT(TMK[[#This Row],[Device type]],7)="Winding","-",TMK[[#This Row],[24 Hr Summer MVA]])</f>
        <v>476.31397208144119</v>
      </c>
      <c r="AY8" s="9">
        <f>TMK[[#This Row],[Forwards MVA]]</f>
        <v>68.398686390894966</v>
      </c>
      <c r="AZ8" s="9">
        <f>TMK[[#This Row],[Relay MVA]]</f>
        <v>171.47302994931886</v>
      </c>
      <c r="BA8" s="9">
        <f>TMK[[#This Row],[CT MVA]]</f>
        <v>114.31535329954589</v>
      </c>
      <c r="BB8" s="9" t="str">
        <f>TMK[[#This Row],[Derating MVA]]</f>
        <v>-</v>
      </c>
      <c r="BC8" s="9" t="str">
        <f>TMK[[#This Row],[Station/Feeder]]&amp;TMK[[#This Row],[Lowest MVA]]</f>
        <v>TMK_GXP68.398686390895</v>
      </c>
      <c r="BD8" s="9" t="str">
        <f>CONCATENATE(TMK[[#This Row],[Supply Level]],TMK[[#This Row],[Station/Feeder]],TMK[[#This Row],[Voltage]],TMK[[#This Row],[Lowest A-No PTX]])</f>
        <v>GXPTMK_GXP110359</v>
      </c>
      <c r="BE8" s="9" t="str">
        <f>CONCATENATE(TMK[[#This Row],[Supply Level]],TMK[[#This Row],[Station/Feeder]],TMK[[#This Row],[Voltage]],TMK[[#This Row],[Lowest A-PTX]])</f>
        <v>GXPTMK_GXP110359</v>
      </c>
      <c r="BF8" s="9">
        <f>IFERROR(IF(MIN(TMK[[#This Row],[Summ Cont Winter A]:[Cable Derating]])=0,"",MIN(TMK[[#This Row],[Summ Cont Winter A]:[Cable Derating]])),"")</f>
        <v>68.398686390894966</v>
      </c>
      <c r="BG8" s="9">
        <f>IFERROR(TMK[[#This Row],[Lowest MVA]]*1000/(TMK[[#This Row],[Voltage]]*SQRT(3)),"")</f>
        <v>359</v>
      </c>
      <c r="BH8" s="9">
        <f t="shared" si="5"/>
        <v>359</v>
      </c>
      <c r="BI8" s="9" t="str">
        <f>TMK[[#This Row],[From]]</f>
        <v>DS134</v>
      </c>
      <c r="BJ8" s="9" t="str">
        <f>TMK[[#This Row],[To]]</f>
        <v>33 kV Bus</v>
      </c>
      <c r="BK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Breaker-TMK-CB132-Protection</v>
      </c>
      <c r="BL8" s="9">
        <f>TMK[[#This Row],[Voltage]]</f>
        <v>110</v>
      </c>
    </row>
    <row r="9" spans="1:64" s="1" customFormat="1" ht="15" customHeight="1" x14ac:dyDescent="0.25">
      <c r="A9" s="6" t="str">
        <f>CONCATENATE(TMK[[#This Row],[Supply Level]],TMK[[#This Row],[Station/Feeder]],TMK[[#This Row],[Voltage]],"T1")</f>
        <v>GXPTMK_GXP110T1</v>
      </c>
      <c r="B9" s="6" t="str">
        <f>CONCATENATE(TMK[[#This Row],[Supply Level]],TMK[[#This Row],[Station/Feeder]],TMK[[#This Row],[Equipment ID]],TMK[[#This Row],[Voltage]],TMK[[#This Row],[Device type]])</f>
        <v>GXPTMK_GXPTMK-TF-T1110Bushings</v>
      </c>
      <c r="C9" s="6" t="s">
        <v>4</v>
      </c>
      <c r="D9" s="11" t="s">
        <v>77</v>
      </c>
      <c r="E9" s="7" t="s">
        <v>461</v>
      </c>
      <c r="F9" s="7" t="s">
        <v>63</v>
      </c>
      <c r="G9" s="56">
        <v>5</v>
      </c>
      <c r="H9" s="49" t="s">
        <v>462</v>
      </c>
      <c r="I9" s="123" t="s">
        <v>466</v>
      </c>
      <c r="J9" s="123" t="s">
        <v>19</v>
      </c>
      <c r="K9" s="7" t="s">
        <v>466</v>
      </c>
      <c r="L9" s="7" t="s">
        <v>18</v>
      </c>
      <c r="M9" s="43">
        <v>110</v>
      </c>
      <c r="N9" s="9">
        <v>800</v>
      </c>
      <c r="O9" s="9">
        <f t="shared" si="0"/>
        <v>152.4204710660612</v>
      </c>
      <c r="P9" s="9">
        <v>800</v>
      </c>
      <c r="Q9" s="9">
        <f t="shared" si="1"/>
        <v>152.4204710660612</v>
      </c>
      <c r="R9" s="9">
        <v>800</v>
      </c>
      <c r="S9" s="9">
        <f t="shared" si="2"/>
        <v>152.4204710660612</v>
      </c>
      <c r="T9" s="9">
        <v>960</v>
      </c>
      <c r="U9" s="9">
        <f t="shared" si="3"/>
        <v>182.90456527927344</v>
      </c>
      <c r="V9" s="9">
        <v>960</v>
      </c>
      <c r="W9" s="9">
        <f t="shared" si="4"/>
        <v>182.90456527927344</v>
      </c>
      <c r="X9" s="9" t="s">
        <v>0</v>
      </c>
      <c r="Y9" s="9" t="str">
        <f>IF(OR(X9="",X9="-"),"-",X9*$M9*SQRT(3)/1000)</f>
        <v>-</v>
      </c>
      <c r="Z9" s="9" t="s">
        <v>0</v>
      </c>
      <c r="AA9" s="9" t="str">
        <f>IF(OR(Z9="",Z9="-"),"-",Z9*$M9*SQRT(3)/1000)</f>
        <v>-</v>
      </c>
      <c r="AB9" s="9" t="s">
        <v>0</v>
      </c>
      <c r="AC9" s="9" t="str">
        <f>IF(OR(AB9="",AB9="-"),"-",AB9*$M9*SQRT(3)/1000)</f>
        <v>-</v>
      </c>
      <c r="AD9" s="9" t="s">
        <v>0</v>
      </c>
      <c r="AE9" s="12" t="str">
        <f>IF(OR(AD9="",AD9="-"),"-",AD9*$M9*SQRT(3)/1000)</f>
        <v>-</v>
      </c>
      <c r="AF9" s="9" t="s">
        <v>0</v>
      </c>
      <c r="AG9" s="9" t="s">
        <v>0</v>
      </c>
      <c r="AH9" s="9" t="s">
        <v>0</v>
      </c>
      <c r="AI9" s="9" t="s">
        <v>0</v>
      </c>
      <c r="AJ9" s="43" t="s">
        <v>0</v>
      </c>
      <c r="AK9" s="9" t="s">
        <v>0</v>
      </c>
      <c r="AL9" s="43" t="s">
        <v>0</v>
      </c>
      <c r="AM9" s="9" t="s">
        <v>0</v>
      </c>
      <c r="AN9" s="43" t="s">
        <v>0</v>
      </c>
      <c r="AO9" s="9" t="s">
        <v>0</v>
      </c>
      <c r="AP9" s="9" t="s">
        <v>0</v>
      </c>
      <c r="AQ9" s="43" t="s">
        <v>0</v>
      </c>
      <c r="AR9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9" s="9" t="str">
        <f>IF(OR(AR9="",AR9="-"),"-",AR9*$M9*SQRT(3)/1000)</f>
        <v>-</v>
      </c>
      <c r="AT9" s="9">
        <f>IF(RIGHT(TMK[[#This Row],[Device type]],7)="Winding","-",TMK[[#This Row],[Cont Winter MVA]])</f>
        <v>152.4204710660612</v>
      </c>
      <c r="AU9" s="9">
        <f>IF(RIGHT(TMK[[#This Row],[Device type]],7)="Winding","-",TMK[[#This Row],[Cont Shoulder MVA]])</f>
        <v>152.4204710660612</v>
      </c>
      <c r="AV9" s="9">
        <f>IF(RIGHT(TMK[[#This Row],[Device type]],7)="Winding","-",TMK[[#This Row],[Cont Summer MVA]])</f>
        <v>152.4204710660612</v>
      </c>
      <c r="AW9" s="9">
        <f>IF(RIGHT(TMK[[#This Row],[Device type]],7)="Winding","-",TMK[[#This Row],[24 Hr Winter MVA]])</f>
        <v>182.90456527927344</v>
      </c>
      <c r="AX9" s="9">
        <f>IF(RIGHT(TMK[[#This Row],[Device type]],7)="Winding","-",TMK[[#This Row],[24 Hr Summer MVA]])</f>
        <v>182.90456527927344</v>
      </c>
      <c r="AY9" s="9" t="str">
        <f>TMK[[#This Row],[Forwards MVA]]</f>
        <v>-</v>
      </c>
      <c r="AZ9" s="9" t="str">
        <f>TMK[[#This Row],[Relay MVA]]</f>
        <v>-</v>
      </c>
      <c r="BA9" s="9" t="str">
        <f>TMK[[#This Row],[CT MVA]]</f>
        <v>-</v>
      </c>
      <c r="BB9" s="9" t="str">
        <f>TMK[[#This Row],[Derating MVA]]</f>
        <v>-</v>
      </c>
      <c r="BC9" s="9" t="str">
        <f>TMK[[#This Row],[Station/Feeder]]&amp;TMK[[#This Row],[Lowest MVA]]</f>
        <v>TMK_GXP152.420471066061</v>
      </c>
      <c r="BD9" s="9" t="str">
        <f>CONCATENATE(TMK[[#This Row],[Supply Level]],TMK[[#This Row],[Station/Feeder]],TMK[[#This Row],[Voltage]],TMK[[#This Row],[Lowest A-No PTX]])</f>
        <v>GXPTMK_GXP110800</v>
      </c>
      <c r="BE9" s="9" t="str">
        <f>CONCATENATE(TMK[[#This Row],[Supply Level]],TMK[[#This Row],[Station/Feeder]],TMK[[#This Row],[Voltage]],TMK[[#This Row],[Lowest A-PTX]])</f>
        <v>GXPTMK_GXP110800</v>
      </c>
      <c r="BF9" s="9">
        <f>IFERROR(IF(MIN(TMK[[#This Row],[Summ Cont Winter A]:[Cable Derating]])=0,"",MIN(TMK[[#This Row],[Summ Cont Winter A]:[Cable Derating]])),"")</f>
        <v>152.4204710660612</v>
      </c>
      <c r="BG9" s="9">
        <f>IFERROR(TMK[[#This Row],[Lowest MVA]]*1000/(TMK[[#This Row],[Voltage]]*SQRT(3)),"")</f>
        <v>800.00000000000011</v>
      </c>
      <c r="BH9" s="9">
        <f t="shared" si="5"/>
        <v>800</v>
      </c>
      <c r="BI9" s="9" t="str">
        <f>TMK[[#This Row],[From]]</f>
        <v>DS134</v>
      </c>
      <c r="BJ9" s="9" t="str">
        <f>TMK[[#This Row],[To]]</f>
        <v>33 kV Bus</v>
      </c>
      <c r="BK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Transformer-TMK-TF-T1-Bushings</v>
      </c>
      <c r="BL9" s="9">
        <f>TMK[[#This Row],[Voltage]]</f>
        <v>110</v>
      </c>
    </row>
    <row r="10" spans="1:64" s="1" customFormat="1" ht="15" customHeight="1" x14ac:dyDescent="0.25">
      <c r="A10" s="6" t="str">
        <f>CONCATENATE(TMK[[#This Row],[Supply Level]],TMK[[#This Row],[Station/Feeder]],TMK[[#This Row],[Voltage]],"T1")</f>
        <v>GXPTMK_GXP110T1</v>
      </c>
      <c r="B10" s="6" t="str">
        <f>CONCATENATE(TMK[[#This Row],[Supply Level]],TMK[[#This Row],[Station/Feeder]],TMK[[#This Row],[Equipment ID]],TMK[[#This Row],[Voltage]],TMK[[#This Row],[Device type]])</f>
        <v xml:space="preserve">GXPTMK_GXPTMK-TF-T1110TapChanger </v>
      </c>
      <c r="C10" s="6" t="s">
        <v>4</v>
      </c>
      <c r="D10" s="11" t="s">
        <v>77</v>
      </c>
      <c r="E10" s="7" t="s">
        <v>461</v>
      </c>
      <c r="F10" s="7" t="s">
        <v>63</v>
      </c>
      <c r="G10" s="56">
        <v>6</v>
      </c>
      <c r="H10" s="49" t="s">
        <v>462</v>
      </c>
      <c r="I10" s="123" t="s">
        <v>466</v>
      </c>
      <c r="J10" s="123" t="s">
        <v>19</v>
      </c>
      <c r="K10" s="7" t="s">
        <v>0</v>
      </c>
      <c r="L10" s="7" t="s">
        <v>477</v>
      </c>
      <c r="M10" s="43">
        <v>110</v>
      </c>
      <c r="N10" s="9">
        <v>300</v>
      </c>
      <c r="O10" s="9">
        <f t="shared" si="0"/>
        <v>57.157676649772945</v>
      </c>
      <c r="P10" s="9">
        <v>300</v>
      </c>
      <c r="Q10" s="9">
        <f t="shared" si="1"/>
        <v>57.157676649772945</v>
      </c>
      <c r="R10" s="9">
        <v>300</v>
      </c>
      <c r="S10" s="9">
        <f t="shared" si="2"/>
        <v>57.157676649772945</v>
      </c>
      <c r="T10" s="9">
        <v>360</v>
      </c>
      <c r="U10" s="9">
        <f t="shared" si="3"/>
        <v>68.589211979727537</v>
      </c>
      <c r="V10" s="9">
        <v>360</v>
      </c>
      <c r="W10" s="9">
        <f t="shared" si="4"/>
        <v>68.589211979727537</v>
      </c>
      <c r="X10" s="9" t="s">
        <v>0</v>
      </c>
      <c r="Y10" s="9" t="str">
        <f>IF(OR(X10="",X10="-"),"-",X10*$M10*SQRT(3)/1000)</f>
        <v>-</v>
      </c>
      <c r="Z10" s="9" t="s">
        <v>0</v>
      </c>
      <c r="AA10" s="9" t="str">
        <f>IF(OR(Z10="",Z10="-"),"-",Z10*$M10*SQRT(3)/1000)</f>
        <v>-</v>
      </c>
      <c r="AB10" s="9" t="s">
        <v>0</v>
      </c>
      <c r="AC10" s="9" t="str">
        <f>IF(OR(AB10="",AB10="-"),"-",AB10*$M10*SQRT(3)/1000)</f>
        <v>-</v>
      </c>
      <c r="AD10" s="9" t="s">
        <v>0</v>
      </c>
      <c r="AE10" s="12" t="str">
        <f>IF(OR(AD10="",AD10="-"),"-",AD10*$M10*SQRT(3)/1000)</f>
        <v>-</v>
      </c>
      <c r="AF10" s="29" t="s">
        <v>0</v>
      </c>
      <c r="AG10" s="29" t="s">
        <v>0</v>
      </c>
      <c r="AH10" s="9" t="s">
        <v>0</v>
      </c>
      <c r="AI10" s="29" t="s">
        <v>0</v>
      </c>
      <c r="AJ10" s="32" t="s">
        <v>0</v>
      </c>
      <c r="AK10" s="29" t="s">
        <v>0</v>
      </c>
      <c r="AL10" s="32" t="s">
        <v>0</v>
      </c>
      <c r="AM10" s="29" t="s">
        <v>0</v>
      </c>
      <c r="AN10" s="32" t="s">
        <v>0</v>
      </c>
      <c r="AO10" s="29" t="s">
        <v>0</v>
      </c>
      <c r="AP10" s="32" t="s">
        <v>0</v>
      </c>
      <c r="AQ10" s="32" t="s">
        <v>0</v>
      </c>
      <c r="AR10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0" s="9" t="str">
        <f>IF(OR(AR10="",AR10="-"),"-",AR10*$M10*SQRT(3)/1000)</f>
        <v>-</v>
      </c>
      <c r="AT10" s="9">
        <f>IF(RIGHT(TMK[[#This Row],[Device type]],7)="Winding","-",TMK[[#This Row],[Cont Winter MVA]])</f>
        <v>57.157676649772945</v>
      </c>
      <c r="AU10" s="9">
        <f>IF(RIGHT(TMK[[#This Row],[Device type]],7)="Winding","-",TMK[[#This Row],[Cont Shoulder MVA]])</f>
        <v>57.157676649772945</v>
      </c>
      <c r="AV10" s="9">
        <f>IF(RIGHT(TMK[[#This Row],[Device type]],7)="Winding","-",TMK[[#This Row],[Cont Summer MVA]])</f>
        <v>57.157676649772945</v>
      </c>
      <c r="AW10" s="9">
        <f>IF(RIGHT(TMK[[#This Row],[Device type]],7)="Winding","-",TMK[[#This Row],[24 Hr Winter MVA]])</f>
        <v>68.589211979727537</v>
      </c>
      <c r="AX10" s="9">
        <f>IF(RIGHT(TMK[[#This Row],[Device type]],7)="Winding","-",TMK[[#This Row],[24 Hr Summer MVA]])</f>
        <v>68.589211979727537</v>
      </c>
      <c r="AY10" s="9" t="str">
        <f>TMK[[#This Row],[Forwards MVA]]</f>
        <v>-</v>
      </c>
      <c r="AZ10" s="9" t="str">
        <f>TMK[[#This Row],[Relay MVA]]</f>
        <v>-</v>
      </c>
      <c r="BA10" s="9" t="str">
        <f>TMK[[#This Row],[CT MVA]]</f>
        <v>-</v>
      </c>
      <c r="BB10" s="9" t="str">
        <f>TMK[[#This Row],[Derating MVA]]</f>
        <v>-</v>
      </c>
      <c r="BC10" s="9" t="str">
        <f>TMK[[#This Row],[Station/Feeder]]&amp;TMK[[#This Row],[Lowest MVA]]</f>
        <v>TMK_GXP57.1576766497729</v>
      </c>
      <c r="BD10" s="9" t="str">
        <f>CONCATENATE(TMK[[#This Row],[Supply Level]],TMK[[#This Row],[Station/Feeder]],TMK[[#This Row],[Voltage]],TMK[[#This Row],[Lowest A-No PTX]])</f>
        <v>GXPTMK_GXP110300</v>
      </c>
      <c r="BE10" s="9" t="str">
        <f>CONCATENATE(TMK[[#This Row],[Supply Level]],TMK[[#This Row],[Station/Feeder]],TMK[[#This Row],[Voltage]],TMK[[#This Row],[Lowest A-PTX]])</f>
        <v>GXPTMK_GXP110300</v>
      </c>
      <c r="BF10" s="9">
        <f>IFERROR(IF(MIN(TMK[[#This Row],[Summ Cont Winter A]:[Cable Derating]])=0,"",MIN(TMK[[#This Row],[Summ Cont Winter A]:[Cable Derating]])),"")</f>
        <v>57.157676649772945</v>
      </c>
      <c r="BG10" s="9">
        <f>IFERROR(TMK[[#This Row],[Lowest MVA]]*1000/(TMK[[#This Row],[Voltage]]*SQRT(3)),"")</f>
        <v>300</v>
      </c>
      <c r="BH10" s="9">
        <f t="shared" si="5"/>
        <v>300</v>
      </c>
      <c r="BI10" s="9" t="str">
        <f>TMK[[#This Row],[From]]</f>
        <v>DS134</v>
      </c>
      <c r="BJ10" s="9" t="str">
        <f>TMK[[#This Row],[To]]</f>
        <v>33 kV Bus</v>
      </c>
      <c r="BK1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 xml:space="preserve">Transformer-TMK-TF-T1-TapChanger </v>
      </c>
      <c r="BL10" s="9">
        <f>TMK[[#This Row],[Voltage]]</f>
        <v>110</v>
      </c>
    </row>
    <row r="11" spans="1:64" s="1" customFormat="1" ht="15" customHeight="1" x14ac:dyDescent="0.25">
      <c r="A11" s="6" t="str">
        <f>CONCATENATE(TMK[[#This Row],[Supply Level]],TMK[[#This Row],[Station/Feeder]],TMK[[#This Row],[Voltage]],"T1")</f>
        <v>GXPTMK_GXP110T1</v>
      </c>
      <c r="B11" s="6" t="str">
        <f>CONCATENATE(TMK[[#This Row],[Supply Level]],TMK[[#This Row],[Station/Feeder]],TMK[[#This Row],[Equipment ID]],TMK[[#This Row],[Voltage]],TMK[[#This Row],[Device type]])</f>
        <v>GXPTMK_GXPTMK-TF-T1110HV Winding</v>
      </c>
      <c r="C11" s="6" t="s">
        <v>4</v>
      </c>
      <c r="D11" s="11" t="s">
        <v>77</v>
      </c>
      <c r="E11" s="7" t="s">
        <v>461</v>
      </c>
      <c r="F11" s="7" t="s">
        <v>63</v>
      </c>
      <c r="G11" s="56">
        <v>7</v>
      </c>
      <c r="H11" s="49" t="s">
        <v>462</v>
      </c>
      <c r="I11" s="123" t="s">
        <v>466</v>
      </c>
      <c r="J11" s="123" t="s">
        <v>19</v>
      </c>
      <c r="K11" s="7" t="s">
        <v>0</v>
      </c>
      <c r="L11" s="7" t="s">
        <v>36</v>
      </c>
      <c r="M11" s="43">
        <v>110</v>
      </c>
      <c r="N11" s="9">
        <f>54000/(TMK[[#This Row],[Voltage]]*SQRT(3))</f>
        <v>283.42649578399812</v>
      </c>
      <c r="O11" s="9">
        <f t="shared" si="0"/>
        <v>54</v>
      </c>
      <c r="P11" s="9" t="s">
        <v>0</v>
      </c>
      <c r="Q11" s="9" t="str">
        <f t="shared" si="1"/>
        <v>-</v>
      </c>
      <c r="R11" s="9" t="s">
        <v>0</v>
      </c>
      <c r="S11" s="9" t="str">
        <f t="shared" si="2"/>
        <v>-</v>
      </c>
      <c r="T11" s="9">
        <v>332</v>
      </c>
      <c r="U11" s="9">
        <f t="shared" si="3"/>
        <v>63.254495492415394</v>
      </c>
      <c r="V11" s="9">
        <v>319</v>
      </c>
      <c r="W11" s="9">
        <f t="shared" si="4"/>
        <v>60.777662837591905</v>
      </c>
      <c r="X11" s="9" t="s">
        <v>0</v>
      </c>
      <c r="Y11" s="9" t="str">
        <f t="shared" si="6"/>
        <v>-</v>
      </c>
      <c r="Z11" s="9" t="s">
        <v>0</v>
      </c>
      <c r="AA11" s="9" t="str">
        <f t="shared" si="7"/>
        <v>-</v>
      </c>
      <c r="AB11" s="9" t="s">
        <v>0</v>
      </c>
      <c r="AC11" s="9" t="str">
        <f t="shared" si="8"/>
        <v>-</v>
      </c>
      <c r="AD11" s="9" t="s">
        <v>0</v>
      </c>
      <c r="AE11" s="12" t="str">
        <f t="shared" si="9"/>
        <v>-</v>
      </c>
      <c r="AF11" s="9" t="s">
        <v>0</v>
      </c>
      <c r="AG11" s="9" t="s">
        <v>0</v>
      </c>
      <c r="AH11" s="9" t="s">
        <v>0</v>
      </c>
      <c r="AI11" s="9" t="s">
        <v>0</v>
      </c>
      <c r="AJ11" s="43" t="s">
        <v>0</v>
      </c>
      <c r="AK11" s="9" t="s">
        <v>0</v>
      </c>
      <c r="AL11" s="43" t="s">
        <v>0</v>
      </c>
      <c r="AM11" s="9" t="s">
        <v>0</v>
      </c>
      <c r="AN11" s="43" t="s">
        <v>0</v>
      </c>
      <c r="AO11" s="9" t="s">
        <v>0</v>
      </c>
      <c r="AP11" s="9" t="s">
        <v>0</v>
      </c>
      <c r="AQ11" s="43" t="s">
        <v>0</v>
      </c>
      <c r="AR11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1" s="9" t="str">
        <f t="shared" si="10"/>
        <v>-</v>
      </c>
      <c r="AT11" s="9" t="str">
        <f>IF(RIGHT(TMK[[#This Row],[Device type]],7)="Winding","-",TMK[[#This Row],[Cont Winter MVA]])</f>
        <v>-</v>
      </c>
      <c r="AU11" s="9" t="str">
        <f>IF(RIGHT(TMK[[#This Row],[Device type]],7)="Winding","-",TMK[[#This Row],[Cont Shoulder MVA]])</f>
        <v>-</v>
      </c>
      <c r="AV11" s="9" t="str">
        <f>IF(RIGHT(TMK[[#This Row],[Device type]],7)="Winding","-",TMK[[#This Row],[Cont Summer MVA]])</f>
        <v>-</v>
      </c>
      <c r="AW11" s="9" t="str">
        <f>IF(RIGHT(TMK[[#This Row],[Device type]],7)="Winding","-",TMK[[#This Row],[24 Hr Winter MVA]])</f>
        <v>-</v>
      </c>
      <c r="AX11" s="9" t="str">
        <f>IF(RIGHT(TMK[[#This Row],[Device type]],7)="Winding","-",TMK[[#This Row],[24 Hr Summer MVA]])</f>
        <v>-</v>
      </c>
      <c r="AY11" s="9" t="str">
        <f>TMK[[#This Row],[Forwards MVA]]</f>
        <v>-</v>
      </c>
      <c r="AZ11" s="9" t="str">
        <f>TMK[[#This Row],[Relay MVA]]</f>
        <v>-</v>
      </c>
      <c r="BA11" s="9" t="str">
        <f>TMK[[#This Row],[CT MVA]]</f>
        <v>-</v>
      </c>
      <c r="BB11" s="9" t="str">
        <f>TMK[[#This Row],[Derating MVA]]</f>
        <v>-</v>
      </c>
      <c r="BC11" s="9" t="str">
        <f>TMK[[#This Row],[Station/Feeder]]&amp;TMK[[#This Row],[Lowest MVA]]</f>
        <v>TMK_GXP</v>
      </c>
      <c r="BD11" s="9" t="str">
        <f>CONCATENATE(TMK[[#This Row],[Supply Level]],TMK[[#This Row],[Station/Feeder]],TMK[[#This Row],[Voltage]],TMK[[#This Row],[Lowest A-No PTX]])</f>
        <v>GXPTMK_GXP110</v>
      </c>
      <c r="BE11" s="9" t="str">
        <f>CONCATENATE(TMK[[#This Row],[Supply Level]],TMK[[#This Row],[Station/Feeder]],TMK[[#This Row],[Voltage]],TMK[[#This Row],[Lowest A-PTX]])</f>
        <v>GXPTMK_GXP110283.426495783998</v>
      </c>
      <c r="BF11" s="9" t="str">
        <f>IFERROR(IF(MIN(TMK[[#This Row],[Summ Cont Winter A]:[Cable Derating]])=0,"",MIN(TMK[[#This Row],[Summ Cont Winter A]:[Cable Derating]])),"")</f>
        <v/>
      </c>
      <c r="BG11" s="9" t="str">
        <f>IFERROR(TMK[[#This Row],[Lowest MVA]]*1000/(TMK[[#This Row],[Voltage]]*SQRT(3)),"")</f>
        <v/>
      </c>
      <c r="BH11" s="9">
        <f t="shared" si="5"/>
        <v>283.42649578399812</v>
      </c>
      <c r="BI11" s="9" t="str">
        <f>TMK[[#This Row],[From]]</f>
        <v>DS134</v>
      </c>
      <c r="BJ11" s="9" t="str">
        <f>TMK[[#This Row],[To]]</f>
        <v>33 kV Bus</v>
      </c>
      <c r="BK1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Transformer-TMK-TF-T1-HV Winding</v>
      </c>
      <c r="BL11" s="9">
        <f>TMK[[#This Row],[Voltage]]</f>
        <v>110</v>
      </c>
    </row>
    <row r="12" spans="1:64" s="1" customFormat="1" ht="15" customHeight="1" x14ac:dyDescent="0.25">
      <c r="A12" s="6" t="str">
        <f>CONCATENATE(TMK[[#This Row],[Supply Level]],TMK[[#This Row],[Station/Feeder]],TMK[[#This Row],[Voltage]],"T1")</f>
        <v>GXPTMK_GXP33.594T1</v>
      </c>
      <c r="B12" s="6" t="str">
        <f>CONCATENATE(TMK[[#This Row],[Supply Level]],TMK[[#This Row],[Station/Feeder]],TMK[[#This Row],[Equipment ID]],TMK[[#This Row],[Voltage]],TMK[[#This Row],[Device type]])</f>
        <v>GXPTMK_GXPTMK-TF-T133.594LV Winding</v>
      </c>
      <c r="C12" s="6" t="s">
        <v>4</v>
      </c>
      <c r="D12" s="11" t="s">
        <v>77</v>
      </c>
      <c r="E12" s="7" t="s">
        <v>461</v>
      </c>
      <c r="F12" s="7" t="s">
        <v>63</v>
      </c>
      <c r="G12" s="56">
        <v>8</v>
      </c>
      <c r="H12" s="49" t="s">
        <v>462</v>
      </c>
      <c r="I12" s="123" t="s">
        <v>466</v>
      </c>
      <c r="J12" s="123" t="s">
        <v>19</v>
      </c>
      <c r="K12" s="7" t="s">
        <v>0</v>
      </c>
      <c r="L12" s="7" t="s">
        <v>37</v>
      </c>
      <c r="M12" s="43">
        <f t="shared" ref="M12:M17" si="11">33*1.018</f>
        <v>33.594000000000001</v>
      </c>
      <c r="N12" s="9">
        <f>54000/(TMK[[#This Row],[Voltage]]*SQRT(3))</f>
        <v>928.05008442697476</v>
      </c>
      <c r="O12" s="9">
        <f t="shared" si="0"/>
        <v>53.999999999999993</v>
      </c>
      <c r="P12" s="9" t="s">
        <v>0</v>
      </c>
      <c r="Q12" s="9" t="str">
        <f t="shared" si="1"/>
        <v>-</v>
      </c>
      <c r="R12" s="9" t="s">
        <v>0</v>
      </c>
      <c r="S12" s="9" t="str">
        <f t="shared" si="2"/>
        <v>-</v>
      </c>
      <c r="T12" s="9">
        <v>1107</v>
      </c>
      <c r="U12" s="9">
        <f t="shared" si="3"/>
        <v>64.412471916222032</v>
      </c>
      <c r="V12" s="9">
        <v>1062</v>
      </c>
      <c r="W12" s="9">
        <f t="shared" si="4"/>
        <v>61.794078748895934</v>
      </c>
      <c r="X12" s="9" t="s">
        <v>0</v>
      </c>
      <c r="Y12" s="9" t="str">
        <f t="shared" si="6"/>
        <v>-</v>
      </c>
      <c r="Z12" s="9" t="s">
        <v>0</v>
      </c>
      <c r="AA12" s="9" t="str">
        <f t="shared" si="7"/>
        <v>-</v>
      </c>
      <c r="AB12" s="9" t="s">
        <v>0</v>
      </c>
      <c r="AC12" s="9" t="str">
        <f t="shared" si="8"/>
        <v>-</v>
      </c>
      <c r="AD12" s="9" t="s">
        <v>0</v>
      </c>
      <c r="AE12" s="12" t="str">
        <f t="shared" si="9"/>
        <v>-</v>
      </c>
      <c r="AF12" s="9" t="s">
        <v>0</v>
      </c>
      <c r="AG12" s="9" t="s">
        <v>0</v>
      </c>
      <c r="AH12" s="9" t="s">
        <v>0</v>
      </c>
      <c r="AI12" s="9" t="s">
        <v>0</v>
      </c>
      <c r="AJ12" s="43" t="s">
        <v>0</v>
      </c>
      <c r="AK12" s="9" t="s">
        <v>0</v>
      </c>
      <c r="AL12" s="43" t="s">
        <v>0</v>
      </c>
      <c r="AM12" s="9" t="s">
        <v>0</v>
      </c>
      <c r="AN12" s="43" t="s">
        <v>0</v>
      </c>
      <c r="AO12" s="9" t="s">
        <v>0</v>
      </c>
      <c r="AP12" s="9" t="s">
        <v>0</v>
      </c>
      <c r="AQ12" s="43" t="s">
        <v>0</v>
      </c>
      <c r="AR12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2" s="9" t="str">
        <f t="shared" si="10"/>
        <v>-</v>
      </c>
      <c r="AT12" s="9" t="str">
        <f>IF(RIGHT(TMK[[#This Row],[Device type]],7)="Winding","-",TMK[[#This Row],[Cont Winter MVA]])</f>
        <v>-</v>
      </c>
      <c r="AU12" s="9" t="str">
        <f>IF(RIGHT(TMK[[#This Row],[Device type]],7)="Winding","-",TMK[[#This Row],[Cont Shoulder MVA]])</f>
        <v>-</v>
      </c>
      <c r="AV12" s="9" t="str">
        <f>IF(RIGHT(TMK[[#This Row],[Device type]],7)="Winding","-",TMK[[#This Row],[Cont Summer MVA]])</f>
        <v>-</v>
      </c>
      <c r="AW12" s="9" t="str">
        <f>IF(RIGHT(TMK[[#This Row],[Device type]],7)="Winding","-",TMK[[#This Row],[24 Hr Winter MVA]])</f>
        <v>-</v>
      </c>
      <c r="AX12" s="9" t="str">
        <f>IF(RIGHT(TMK[[#This Row],[Device type]],7)="Winding","-",TMK[[#This Row],[24 Hr Summer MVA]])</f>
        <v>-</v>
      </c>
      <c r="AY12" s="9" t="str">
        <f>TMK[[#This Row],[Forwards MVA]]</f>
        <v>-</v>
      </c>
      <c r="AZ12" s="9" t="str">
        <f>TMK[[#This Row],[Relay MVA]]</f>
        <v>-</v>
      </c>
      <c r="BA12" s="9" t="str">
        <f>TMK[[#This Row],[CT MVA]]</f>
        <v>-</v>
      </c>
      <c r="BB12" s="9" t="str">
        <f>TMK[[#This Row],[Derating MVA]]</f>
        <v>-</v>
      </c>
      <c r="BC12" s="9" t="str">
        <f>TMK[[#This Row],[Station/Feeder]]&amp;TMK[[#This Row],[Lowest MVA]]</f>
        <v>TMK_GXP</v>
      </c>
      <c r="BD12" s="9" t="str">
        <f>CONCATENATE(TMK[[#This Row],[Supply Level]],TMK[[#This Row],[Station/Feeder]],TMK[[#This Row],[Voltage]],TMK[[#This Row],[Lowest A-No PTX]])</f>
        <v>GXPTMK_GXP33.594</v>
      </c>
      <c r="BE12" s="9" t="str">
        <f>CONCATENATE(TMK[[#This Row],[Supply Level]],TMK[[#This Row],[Station/Feeder]],TMK[[#This Row],[Voltage]],TMK[[#This Row],[Lowest A-PTX]])</f>
        <v>GXPTMK_GXP33.594928.050084426975</v>
      </c>
      <c r="BF12" s="9" t="str">
        <f>IFERROR(IF(MIN(TMK[[#This Row],[Summ Cont Winter A]:[Cable Derating]])=0,"",MIN(TMK[[#This Row],[Summ Cont Winter A]:[Cable Derating]])),"")</f>
        <v/>
      </c>
      <c r="BG12" s="9" t="str">
        <f>IFERROR(TMK[[#This Row],[Lowest MVA]]*1000/(TMK[[#This Row],[Voltage]]*SQRT(3)),"")</f>
        <v/>
      </c>
      <c r="BH12" s="9">
        <f t="shared" si="5"/>
        <v>928.05008442697476</v>
      </c>
      <c r="BI12" s="9" t="str">
        <f>TMK[[#This Row],[From]]</f>
        <v>DS134</v>
      </c>
      <c r="BJ12" s="9" t="str">
        <f>TMK[[#This Row],[To]]</f>
        <v>33 kV Bus</v>
      </c>
      <c r="BK1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Transformer-TMK-TF-T1-LV Winding</v>
      </c>
      <c r="BL12" s="9">
        <f>TMK[[#This Row],[Voltage]]</f>
        <v>33.594000000000001</v>
      </c>
    </row>
    <row r="13" spans="1:64" s="1" customFormat="1" ht="15" customHeight="1" x14ac:dyDescent="0.25">
      <c r="A13" s="6" t="str">
        <f>CONCATENATE(TMK[[#This Row],[Supply Level]],TMK[[#This Row],[Station/Feeder]],TMK[[#This Row],[Voltage]],"T1")</f>
        <v>GXPTMK_GXP33.594T1</v>
      </c>
      <c r="B13" s="6" t="str">
        <f>CONCATENATE(TMK[[#This Row],[Supply Level]],TMK[[#This Row],[Station/Feeder]],TMK[[#This Row],[Equipment ID]],TMK[[#This Row],[Voltage]],TMK[[#This Row],[Device type]])</f>
        <v>GXPTMK_GXPTMK-TF-T133.594Bushings</v>
      </c>
      <c r="C13" s="6" t="s">
        <v>4</v>
      </c>
      <c r="D13" s="11" t="s">
        <v>77</v>
      </c>
      <c r="E13" s="7" t="s">
        <v>461</v>
      </c>
      <c r="F13" s="7" t="s">
        <v>63</v>
      </c>
      <c r="G13" s="56">
        <v>9</v>
      </c>
      <c r="H13" s="49" t="s">
        <v>462</v>
      </c>
      <c r="I13" s="123" t="s">
        <v>466</v>
      </c>
      <c r="J13" s="123" t="s">
        <v>19</v>
      </c>
      <c r="K13" s="7" t="s">
        <v>466</v>
      </c>
      <c r="L13" s="7" t="s">
        <v>18</v>
      </c>
      <c r="M13" s="43">
        <f t="shared" si="11"/>
        <v>33.594000000000001</v>
      </c>
      <c r="N13" s="9">
        <v>1200</v>
      </c>
      <c r="O13" s="9">
        <f t="shared" si="0"/>
        <v>69.823817795362643</v>
      </c>
      <c r="P13" s="9">
        <v>1200</v>
      </c>
      <c r="Q13" s="9">
        <f t="shared" si="1"/>
        <v>69.823817795362643</v>
      </c>
      <c r="R13" s="9">
        <v>1200</v>
      </c>
      <c r="S13" s="9">
        <f t="shared" si="2"/>
        <v>69.823817795362643</v>
      </c>
      <c r="T13" s="9">
        <v>1440</v>
      </c>
      <c r="U13" s="9">
        <f t="shared" si="3"/>
        <v>83.788581354435152</v>
      </c>
      <c r="V13" s="9">
        <v>1440</v>
      </c>
      <c r="W13" s="9">
        <f t="shared" si="4"/>
        <v>83.788581354435152</v>
      </c>
      <c r="X13" s="9" t="s">
        <v>0</v>
      </c>
      <c r="Y13" s="9" t="str">
        <f t="shared" si="6"/>
        <v>-</v>
      </c>
      <c r="Z13" s="9" t="s">
        <v>0</v>
      </c>
      <c r="AA13" s="9" t="str">
        <f t="shared" si="7"/>
        <v>-</v>
      </c>
      <c r="AB13" s="9" t="s">
        <v>0</v>
      </c>
      <c r="AC13" s="9" t="str">
        <f t="shared" si="8"/>
        <v>-</v>
      </c>
      <c r="AD13" s="9" t="s">
        <v>0</v>
      </c>
      <c r="AE13" s="12" t="str">
        <f t="shared" si="9"/>
        <v>-</v>
      </c>
      <c r="AF13" s="9" t="s">
        <v>0</v>
      </c>
      <c r="AG13" s="9" t="s">
        <v>0</v>
      </c>
      <c r="AH13" s="9" t="s">
        <v>0</v>
      </c>
      <c r="AI13" s="9" t="s">
        <v>0</v>
      </c>
      <c r="AJ13" s="43" t="s">
        <v>0</v>
      </c>
      <c r="AK13" s="9" t="s">
        <v>0</v>
      </c>
      <c r="AL13" s="43" t="s">
        <v>0</v>
      </c>
      <c r="AM13" s="9" t="s">
        <v>0</v>
      </c>
      <c r="AN13" s="43" t="s">
        <v>0</v>
      </c>
      <c r="AO13" s="9" t="s">
        <v>0</v>
      </c>
      <c r="AP13" s="9" t="s">
        <v>0</v>
      </c>
      <c r="AQ13" s="43" t="s">
        <v>0</v>
      </c>
      <c r="AR13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3" s="9" t="str">
        <f t="shared" si="10"/>
        <v>-</v>
      </c>
      <c r="AT13" s="9">
        <f>IF(RIGHT(TMK[[#This Row],[Device type]],7)="Winding","-",TMK[[#This Row],[Cont Winter MVA]])</f>
        <v>69.823817795362643</v>
      </c>
      <c r="AU13" s="9">
        <f>IF(RIGHT(TMK[[#This Row],[Device type]],7)="Winding","-",TMK[[#This Row],[Cont Shoulder MVA]])</f>
        <v>69.823817795362643</v>
      </c>
      <c r="AV13" s="9">
        <f>IF(RIGHT(TMK[[#This Row],[Device type]],7)="Winding","-",TMK[[#This Row],[Cont Summer MVA]])</f>
        <v>69.823817795362643</v>
      </c>
      <c r="AW13" s="9">
        <f>IF(RIGHT(TMK[[#This Row],[Device type]],7)="Winding","-",TMK[[#This Row],[24 Hr Winter MVA]])</f>
        <v>83.788581354435152</v>
      </c>
      <c r="AX13" s="9">
        <f>IF(RIGHT(TMK[[#This Row],[Device type]],7)="Winding","-",TMK[[#This Row],[24 Hr Summer MVA]])</f>
        <v>83.788581354435152</v>
      </c>
      <c r="AY13" s="9" t="str">
        <f>TMK[[#This Row],[Forwards MVA]]</f>
        <v>-</v>
      </c>
      <c r="AZ13" s="9" t="str">
        <f>TMK[[#This Row],[Relay MVA]]</f>
        <v>-</v>
      </c>
      <c r="BA13" s="9" t="str">
        <f>TMK[[#This Row],[CT MVA]]</f>
        <v>-</v>
      </c>
      <c r="BB13" s="9" t="str">
        <f>TMK[[#This Row],[Derating MVA]]</f>
        <v>-</v>
      </c>
      <c r="BC13" s="9" t="str">
        <f>TMK[[#This Row],[Station/Feeder]]&amp;TMK[[#This Row],[Lowest MVA]]</f>
        <v>TMK_GXP69.8238177953626</v>
      </c>
      <c r="BD13" s="9" t="str">
        <f>CONCATENATE(TMK[[#This Row],[Supply Level]],TMK[[#This Row],[Station/Feeder]],TMK[[#This Row],[Voltage]],TMK[[#This Row],[Lowest A-No PTX]])</f>
        <v>GXPTMK_GXP33.5941200</v>
      </c>
      <c r="BE13" s="9" t="str">
        <f>CONCATENATE(TMK[[#This Row],[Supply Level]],TMK[[#This Row],[Station/Feeder]],TMK[[#This Row],[Voltage]],TMK[[#This Row],[Lowest A-PTX]])</f>
        <v>GXPTMK_GXP33.5941200</v>
      </c>
      <c r="BF13" s="9">
        <f>IFERROR(IF(MIN(TMK[[#This Row],[Summ Cont Winter A]:[Cable Derating]])=0,"",MIN(TMK[[#This Row],[Summ Cont Winter A]:[Cable Derating]])),"")</f>
        <v>69.823817795362643</v>
      </c>
      <c r="BG13" s="9">
        <f>IFERROR(TMK[[#This Row],[Lowest MVA]]*1000/(TMK[[#This Row],[Voltage]]*SQRT(3)),"")</f>
        <v>1200.0000000000002</v>
      </c>
      <c r="BH13" s="9">
        <f t="shared" si="5"/>
        <v>1200</v>
      </c>
      <c r="BI13" s="9" t="str">
        <f>TMK[[#This Row],[From]]</f>
        <v>DS134</v>
      </c>
      <c r="BJ13" s="9" t="str">
        <f>TMK[[#This Row],[To]]</f>
        <v>33 kV Bus</v>
      </c>
      <c r="BK1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Transformer-TMK-TF-T1-Bushings</v>
      </c>
      <c r="BL13" s="9">
        <f>TMK[[#This Row],[Voltage]]</f>
        <v>33.594000000000001</v>
      </c>
    </row>
    <row r="14" spans="1:64" s="1" customFormat="1" ht="15" customHeight="1" x14ac:dyDescent="0.25">
      <c r="A14" s="6" t="str">
        <f>CONCATENATE(TMK[[#This Row],[Supply Level]],TMK[[#This Row],[Station/Feeder]],TMK[[#This Row],[Voltage]],"T1")</f>
        <v>GXPTMK_GXP33.594T1</v>
      </c>
      <c r="B14" s="6" t="str">
        <f>CONCATENATE(TMK[[#This Row],[Supply Level]],TMK[[#This Row],[Station/Feeder]],TMK[[#This Row],[Equipment ID]],TMK[[#This Row],[Voltage]],TMK[[#This Row],[Device type]])</f>
        <v>GXPTMK_GXPTMK-CBL-T133.594-</v>
      </c>
      <c r="C14" s="6" t="s">
        <v>4</v>
      </c>
      <c r="D14" s="11" t="s">
        <v>77</v>
      </c>
      <c r="E14" s="7" t="s">
        <v>461</v>
      </c>
      <c r="F14" s="7" t="s">
        <v>63</v>
      </c>
      <c r="G14" s="56">
        <v>10</v>
      </c>
      <c r="H14" s="49" t="s">
        <v>462</v>
      </c>
      <c r="I14" s="123" t="s">
        <v>469</v>
      </c>
      <c r="J14" s="123" t="s">
        <v>250</v>
      </c>
      <c r="K14" s="7" t="s">
        <v>0</v>
      </c>
      <c r="L14" s="7" t="s">
        <v>0</v>
      </c>
      <c r="M14" s="43">
        <f t="shared" si="11"/>
        <v>33.594000000000001</v>
      </c>
      <c r="N14" s="9">
        <v>1200</v>
      </c>
      <c r="O14" s="9">
        <f t="shared" si="0"/>
        <v>69.823817795362643</v>
      </c>
      <c r="P14" s="9">
        <v>1200</v>
      </c>
      <c r="Q14" s="9">
        <f t="shared" si="1"/>
        <v>69.823817795362643</v>
      </c>
      <c r="R14" s="9">
        <v>1200</v>
      </c>
      <c r="S14" s="9">
        <f t="shared" si="2"/>
        <v>69.823817795362643</v>
      </c>
      <c r="T14" s="9" t="s">
        <v>0</v>
      </c>
      <c r="U14" s="9" t="str">
        <f t="shared" si="3"/>
        <v>-</v>
      </c>
      <c r="V14" s="9" t="s">
        <v>0</v>
      </c>
      <c r="W14" s="9" t="str">
        <f t="shared" si="4"/>
        <v>-</v>
      </c>
      <c r="X14" s="9" t="s">
        <v>0</v>
      </c>
      <c r="Y14" s="9" t="str">
        <f t="shared" ref="Y14" si="12">IF(OR(X14="",X14="-"),"-",X14*$M14*SQRT(3)/1000)</f>
        <v>-</v>
      </c>
      <c r="Z14" s="9" t="s">
        <v>0</v>
      </c>
      <c r="AA14" s="9" t="str">
        <f t="shared" ref="AA14" si="13">IF(OR(Z14="",Z14="-"),"-",Z14*$M14*SQRT(3)/1000)</f>
        <v>-</v>
      </c>
      <c r="AB14" s="9" t="s">
        <v>0</v>
      </c>
      <c r="AC14" s="9" t="str">
        <f t="shared" ref="AC14" si="14">IF(OR(AB14="",AB14="-"),"-",AB14*$M14*SQRT(3)/1000)</f>
        <v>-</v>
      </c>
      <c r="AD14" s="9" t="s">
        <v>0</v>
      </c>
      <c r="AE14" s="12" t="str">
        <f t="shared" ref="AE14" si="15">IF(OR(AD14="",AD14="-"),"-",AD14*$M14*SQRT(3)/1000)</f>
        <v>-</v>
      </c>
      <c r="AF14" s="9" t="s">
        <v>0</v>
      </c>
      <c r="AG14" s="9" t="s">
        <v>0</v>
      </c>
      <c r="AH14" s="9" t="s">
        <v>0</v>
      </c>
      <c r="AI14" s="9" t="s">
        <v>0</v>
      </c>
      <c r="AJ14" s="43" t="s">
        <v>0</v>
      </c>
      <c r="AK14" s="9" t="s">
        <v>0</v>
      </c>
      <c r="AL14" s="43" t="s">
        <v>0</v>
      </c>
      <c r="AM14" s="9" t="s">
        <v>0</v>
      </c>
      <c r="AN14" s="43" t="s">
        <v>0</v>
      </c>
      <c r="AO14" s="9" t="s">
        <v>0</v>
      </c>
      <c r="AP14" s="9" t="s">
        <v>0</v>
      </c>
      <c r="AQ14" s="43" t="s">
        <v>0</v>
      </c>
      <c r="AR14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4" s="9" t="str">
        <f t="shared" ref="AS14" si="16">IF(OR(AR14="",AR14="-"),"-",AR14*$M14*SQRT(3)/1000)</f>
        <v>-</v>
      </c>
      <c r="AT14" s="9">
        <f>IF(RIGHT(TMK[[#This Row],[Device type]],7)="Winding","-",TMK[[#This Row],[Cont Winter MVA]])</f>
        <v>69.823817795362643</v>
      </c>
      <c r="AU14" s="9">
        <f>IF(RIGHT(TMK[[#This Row],[Device type]],7)="Winding","-",TMK[[#This Row],[Cont Shoulder MVA]])</f>
        <v>69.823817795362643</v>
      </c>
      <c r="AV14" s="9">
        <f>IF(RIGHT(TMK[[#This Row],[Device type]],7)="Winding","-",TMK[[#This Row],[Cont Summer MVA]])</f>
        <v>69.823817795362643</v>
      </c>
      <c r="AW14" s="9" t="str">
        <f>IF(RIGHT(TMK[[#This Row],[Device type]],7)="Winding","-",TMK[[#This Row],[24 Hr Winter MVA]])</f>
        <v>-</v>
      </c>
      <c r="AX14" s="9" t="str">
        <f>IF(RIGHT(TMK[[#This Row],[Device type]],7)="Winding","-",TMK[[#This Row],[24 Hr Summer MVA]])</f>
        <v>-</v>
      </c>
      <c r="AY14" s="9" t="str">
        <f>TMK[[#This Row],[Forwards MVA]]</f>
        <v>-</v>
      </c>
      <c r="AZ14" s="9" t="str">
        <f>TMK[[#This Row],[Relay MVA]]</f>
        <v>-</v>
      </c>
      <c r="BA14" s="9" t="str">
        <f>TMK[[#This Row],[CT MVA]]</f>
        <v>-</v>
      </c>
      <c r="BB14" s="9" t="str">
        <f>TMK[[#This Row],[Derating MVA]]</f>
        <v>-</v>
      </c>
      <c r="BC14" s="9" t="str">
        <f>TMK[[#This Row],[Station/Feeder]]&amp;TMK[[#This Row],[Lowest MVA]]</f>
        <v>TMK_GXP69.8238177953626</v>
      </c>
      <c r="BD14" s="9" t="str">
        <f>CONCATENATE(TMK[[#This Row],[Supply Level]],TMK[[#This Row],[Station/Feeder]],TMK[[#This Row],[Voltage]],TMK[[#This Row],[Lowest A-No PTX]])</f>
        <v>GXPTMK_GXP33.5941200</v>
      </c>
      <c r="BE14" s="9" t="str">
        <f>CONCATENATE(TMK[[#This Row],[Supply Level]],TMK[[#This Row],[Station/Feeder]],TMK[[#This Row],[Voltage]],TMK[[#This Row],[Lowest A-PTX]])</f>
        <v>GXPTMK_GXP33.5941200</v>
      </c>
      <c r="BF14" s="9">
        <f>IFERROR(IF(MIN(TMK[[#This Row],[Summ Cont Winter A]:[Cable Derating]])=0,"",MIN(TMK[[#This Row],[Summ Cont Winter A]:[Cable Derating]])),"")</f>
        <v>69.823817795362643</v>
      </c>
      <c r="BG14" s="9">
        <f>IFERROR(TMK[[#This Row],[Lowest MVA]]*1000/(TMK[[#This Row],[Voltage]]*SQRT(3)),"")</f>
        <v>1200.0000000000002</v>
      </c>
      <c r="BH14" s="9">
        <f t="shared" si="5"/>
        <v>1200</v>
      </c>
      <c r="BI14" s="9" t="str">
        <f>TMK[[#This Row],[From]]</f>
        <v>DS134</v>
      </c>
      <c r="BJ14" s="9" t="str">
        <f>TMK[[#This Row],[To]]</f>
        <v>33 kV Bus</v>
      </c>
      <c r="BK1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Cable-TMK-CBL-T1</v>
      </c>
      <c r="BL14" s="9">
        <f>TMK[[#This Row],[Voltage]]</f>
        <v>33.594000000000001</v>
      </c>
    </row>
    <row r="15" spans="1:64" s="1" customFormat="1" ht="15" customHeight="1" x14ac:dyDescent="0.25">
      <c r="A15" s="6" t="str">
        <f>CONCATENATE(TMK[[#This Row],[Supply Level]],TMK[[#This Row],[Station/Feeder]],TMK[[#This Row],[Voltage]],"T1")</f>
        <v>GXPTMK_GXP33.594T1</v>
      </c>
      <c r="B15" s="6" t="str">
        <f>CONCATENATE(TMK[[#This Row],[Supply Level]],TMK[[#This Row],[Station/Feeder]],TMK[[#This Row],[Equipment ID]],TMK[[#This Row],[Voltage]],TMK[[#This Row],[Device type]])</f>
        <v>GXPTMK_GXPTMK-CB125233.594Protection</v>
      </c>
      <c r="C15" s="6" t="s">
        <v>4</v>
      </c>
      <c r="D15" s="11" t="s">
        <v>77</v>
      </c>
      <c r="E15" s="7" t="s">
        <v>461</v>
      </c>
      <c r="F15" s="7" t="s">
        <v>63</v>
      </c>
      <c r="G15" s="56">
        <v>11</v>
      </c>
      <c r="H15" s="49" t="s">
        <v>462</v>
      </c>
      <c r="I15" s="123" t="s">
        <v>2306</v>
      </c>
      <c r="J15" s="123" t="s">
        <v>15</v>
      </c>
      <c r="K15" s="46" t="s">
        <v>470</v>
      </c>
      <c r="L15" s="7" t="s">
        <v>1423</v>
      </c>
      <c r="M15" s="43">
        <f t="shared" si="11"/>
        <v>33.594000000000001</v>
      </c>
      <c r="N15" s="9">
        <v>1250</v>
      </c>
      <c r="O15" s="16">
        <f t="shared" si="0"/>
        <v>72.733143536836067</v>
      </c>
      <c r="P15" s="9">
        <v>1250</v>
      </c>
      <c r="Q15" s="16">
        <f t="shared" si="1"/>
        <v>72.733143536836067</v>
      </c>
      <c r="R15" s="9">
        <v>1250</v>
      </c>
      <c r="S15" s="16">
        <f t="shared" si="2"/>
        <v>72.733143536836067</v>
      </c>
      <c r="T15" s="9">
        <v>1250</v>
      </c>
      <c r="U15" s="16">
        <f t="shared" si="3"/>
        <v>72.733143536836067</v>
      </c>
      <c r="V15" s="9">
        <v>1250</v>
      </c>
      <c r="W15" s="16">
        <f t="shared" si="4"/>
        <v>72.733143536836067</v>
      </c>
      <c r="X15" s="9">
        <v>496</v>
      </c>
      <c r="Y15" s="16">
        <f t="shared" si="6"/>
        <v>28.860511355416556</v>
      </c>
      <c r="Z15" s="9">
        <v>1136</v>
      </c>
      <c r="AA15" s="16">
        <f t="shared" si="7"/>
        <v>66.099880846276633</v>
      </c>
      <c r="AB15" s="9">
        <v>3600</v>
      </c>
      <c r="AC15" s="16">
        <f t="shared" si="8"/>
        <v>209.47145338608792</v>
      </c>
      <c r="AD15" s="9">
        <v>1440</v>
      </c>
      <c r="AE15" s="17">
        <f t="shared" si="9"/>
        <v>83.788581354435152</v>
      </c>
      <c r="AF15" s="29" t="s">
        <v>0</v>
      </c>
      <c r="AG15" s="29" t="s">
        <v>0</v>
      </c>
      <c r="AH15" s="29" t="s">
        <v>0</v>
      </c>
      <c r="AI15" s="29" t="s">
        <v>0</v>
      </c>
      <c r="AJ15" s="32" t="s">
        <v>0</v>
      </c>
      <c r="AK15" s="29" t="s">
        <v>0</v>
      </c>
      <c r="AL15" s="32" t="s">
        <v>0</v>
      </c>
      <c r="AM15" s="29" t="s">
        <v>0</v>
      </c>
      <c r="AN15" s="32" t="s">
        <v>0</v>
      </c>
      <c r="AO15" s="29" t="s">
        <v>0</v>
      </c>
      <c r="AP15" s="29" t="s">
        <v>0</v>
      </c>
      <c r="AQ15" s="32" t="s">
        <v>0</v>
      </c>
      <c r="AR15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5" s="9" t="str">
        <f t="shared" si="10"/>
        <v>-</v>
      </c>
      <c r="AT15" s="9">
        <f>IF(RIGHT(TMK[[#This Row],[Device type]],7)="Winding","-",TMK[[#This Row],[Cont Winter MVA]])</f>
        <v>72.733143536836067</v>
      </c>
      <c r="AU15" s="9">
        <f>IF(RIGHT(TMK[[#This Row],[Device type]],7)="Winding","-",TMK[[#This Row],[Cont Shoulder MVA]])</f>
        <v>72.733143536836067</v>
      </c>
      <c r="AV15" s="9">
        <f>IF(RIGHT(TMK[[#This Row],[Device type]],7)="Winding","-",TMK[[#This Row],[Cont Summer MVA]])</f>
        <v>72.733143536836067</v>
      </c>
      <c r="AW15" s="9">
        <f>IF(RIGHT(TMK[[#This Row],[Device type]],7)="Winding","-",TMK[[#This Row],[24 Hr Winter MVA]])</f>
        <v>72.733143536836067</v>
      </c>
      <c r="AX15" s="9">
        <f>IF(RIGHT(TMK[[#This Row],[Device type]],7)="Winding","-",TMK[[#This Row],[24 Hr Summer MVA]])</f>
        <v>72.733143536836067</v>
      </c>
      <c r="AY15" s="9">
        <f>TMK[[#This Row],[Forwards MVA]]</f>
        <v>28.860511355416556</v>
      </c>
      <c r="AZ15" s="9">
        <f>TMK[[#This Row],[Relay MVA]]</f>
        <v>209.47145338608792</v>
      </c>
      <c r="BA15" s="9">
        <f>TMK[[#This Row],[CT MVA]]</f>
        <v>83.788581354435152</v>
      </c>
      <c r="BB15" s="9" t="str">
        <f>TMK[[#This Row],[Derating MVA]]</f>
        <v>-</v>
      </c>
      <c r="BC15" s="9" t="str">
        <f>TMK[[#This Row],[Station/Feeder]]&amp;TMK[[#This Row],[Lowest MVA]]</f>
        <v>TMK_GXP28.8605113554166</v>
      </c>
      <c r="BD15" s="9" t="str">
        <f>CONCATENATE(TMK[[#This Row],[Supply Level]],TMK[[#This Row],[Station/Feeder]],TMK[[#This Row],[Voltage]],TMK[[#This Row],[Lowest A-No PTX]])</f>
        <v>GXPTMK_GXP33.594496</v>
      </c>
      <c r="BE15" s="9" t="str">
        <f>CONCATENATE(TMK[[#This Row],[Supply Level]],TMK[[#This Row],[Station/Feeder]],TMK[[#This Row],[Voltage]],TMK[[#This Row],[Lowest A-PTX]])</f>
        <v>GXPTMK_GXP33.594496</v>
      </c>
      <c r="BF15" s="9">
        <f>IFERROR(IF(MIN(TMK[[#This Row],[Summ Cont Winter A]:[Cable Derating]])=0,"",MIN(TMK[[#This Row],[Summ Cont Winter A]:[Cable Derating]])),"")</f>
        <v>28.860511355416556</v>
      </c>
      <c r="BG15" s="9">
        <f>IFERROR(TMK[[#This Row],[Lowest MVA]]*1000/(TMK[[#This Row],[Voltage]]*SQRT(3)),"")</f>
        <v>496</v>
      </c>
      <c r="BH15" s="9">
        <f t="shared" si="5"/>
        <v>496</v>
      </c>
      <c r="BI15" s="9" t="str">
        <f>TMK[[#This Row],[From]]</f>
        <v>DS134</v>
      </c>
      <c r="BJ15" s="9" t="str">
        <f>TMK[[#This Row],[To]]</f>
        <v>33 kV Bus</v>
      </c>
      <c r="BK1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Breaker-TMK-CB1252-Protection</v>
      </c>
      <c r="BL15" s="9">
        <f>TMK[[#This Row],[Voltage]]</f>
        <v>33.594000000000001</v>
      </c>
    </row>
    <row r="16" spans="1:64" s="1" customFormat="1" ht="15" customHeight="1" x14ac:dyDescent="0.25">
      <c r="A16" s="6" t="str">
        <f>CONCATENATE(TMK[[#This Row],[Supply Level]],TMK[[#This Row],[Station/Feeder]],TMK[[#This Row],[Voltage]],"T1")</f>
        <v>GXPTMK_GXP33.594T1</v>
      </c>
      <c r="B16" s="6" t="str">
        <f>CONCATENATE(TMK[[#This Row],[Supply Level]],TMK[[#This Row],[Station/Feeder]],TMK[[#This Row],[Equipment ID]],TMK[[#This Row],[Voltage]],TMK[[#This Row],[Device type]])</f>
        <v>GXPTMK_GXPTMK-CB-1252-OEL33.594-</v>
      </c>
      <c r="C16" s="6" t="s">
        <v>4</v>
      </c>
      <c r="D16" s="11" t="s">
        <v>77</v>
      </c>
      <c r="E16" s="7" t="s">
        <v>461</v>
      </c>
      <c r="F16" s="7" t="s">
        <v>63</v>
      </c>
      <c r="G16" s="56">
        <v>12</v>
      </c>
      <c r="H16" s="49" t="s">
        <v>462</v>
      </c>
      <c r="I16" s="123" t="s">
        <v>468</v>
      </c>
      <c r="J16" s="123" t="s">
        <v>48</v>
      </c>
      <c r="K16" s="46" t="s">
        <v>0</v>
      </c>
      <c r="L16" s="46" t="s">
        <v>0</v>
      </c>
      <c r="M16" s="43">
        <f t="shared" si="11"/>
        <v>33.594000000000001</v>
      </c>
      <c r="N16" s="9">
        <v>1440</v>
      </c>
      <c r="O16" s="9">
        <f t="shared" si="0"/>
        <v>83.788581354435152</v>
      </c>
      <c r="P16" s="9">
        <v>1440</v>
      </c>
      <c r="Q16" s="9">
        <f t="shared" si="1"/>
        <v>83.788581354435152</v>
      </c>
      <c r="R16" s="9">
        <v>1440</v>
      </c>
      <c r="S16" s="9">
        <f t="shared" si="2"/>
        <v>83.788581354435152</v>
      </c>
      <c r="T16" s="9">
        <v>1440</v>
      </c>
      <c r="U16" s="9">
        <f t="shared" si="3"/>
        <v>83.788581354435152</v>
      </c>
      <c r="V16" s="9">
        <v>1440</v>
      </c>
      <c r="W16" s="9">
        <f t="shared" si="4"/>
        <v>83.788581354435152</v>
      </c>
      <c r="X16" s="9" t="s">
        <v>0</v>
      </c>
      <c r="Y16" s="9" t="str">
        <f>IF(OR(X16="",X16="-"),"-",X16*$M16*SQRT(3)/1000)</f>
        <v>-</v>
      </c>
      <c r="Z16" s="9" t="s">
        <v>0</v>
      </c>
      <c r="AA16" s="9" t="str">
        <f>IF(OR(Z16="",Z16="-"),"-",Z16*$M16*SQRT(3)/1000)</f>
        <v>-</v>
      </c>
      <c r="AB16" s="9" t="s">
        <v>0</v>
      </c>
      <c r="AC16" s="9" t="str">
        <f>IF(OR(AB16="",AB16="-"),"-",AB16*$M16*SQRT(3)/1000)</f>
        <v>-</v>
      </c>
      <c r="AD16" s="9" t="s">
        <v>0</v>
      </c>
      <c r="AE16" s="12" t="str">
        <f>IF(OR(AD16="",AD16="-"),"-",AD16*$M16*SQRT(3)/1000)</f>
        <v>-</v>
      </c>
      <c r="AF16" s="29" t="s">
        <v>0</v>
      </c>
      <c r="AG16" s="29" t="s">
        <v>0</v>
      </c>
      <c r="AH16" s="9" t="s">
        <v>0</v>
      </c>
      <c r="AI16" s="29" t="s">
        <v>0</v>
      </c>
      <c r="AJ16" s="32" t="s">
        <v>0</v>
      </c>
      <c r="AK16" s="29" t="s">
        <v>0</v>
      </c>
      <c r="AL16" s="32" t="s">
        <v>0</v>
      </c>
      <c r="AM16" s="29" t="s">
        <v>0</v>
      </c>
      <c r="AN16" s="32" t="s">
        <v>0</v>
      </c>
      <c r="AO16" s="29" t="s">
        <v>0</v>
      </c>
      <c r="AP16" s="32" t="s">
        <v>0</v>
      </c>
      <c r="AQ16" s="32" t="s">
        <v>0</v>
      </c>
      <c r="AR1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6" s="9" t="str">
        <f>IF(OR(AR16="",AR16="-"),"-",AR16*$M16*SQRT(3)/1000)</f>
        <v>-</v>
      </c>
      <c r="AT16" s="9">
        <f>IF(RIGHT(TMK[[#This Row],[Device type]],7)="Winding","-",TMK[[#This Row],[Cont Winter MVA]])</f>
        <v>83.788581354435152</v>
      </c>
      <c r="AU16" s="9">
        <f>IF(RIGHT(TMK[[#This Row],[Device type]],7)="Winding","-",TMK[[#This Row],[Cont Shoulder MVA]])</f>
        <v>83.788581354435152</v>
      </c>
      <c r="AV16" s="9">
        <f>IF(RIGHT(TMK[[#This Row],[Device type]],7)="Winding","-",TMK[[#This Row],[Cont Summer MVA]])</f>
        <v>83.788581354435152</v>
      </c>
      <c r="AW16" s="9">
        <f>IF(RIGHT(TMK[[#This Row],[Device type]],7)="Winding","-",TMK[[#This Row],[24 Hr Winter MVA]])</f>
        <v>83.788581354435152</v>
      </c>
      <c r="AX16" s="9">
        <f>IF(RIGHT(TMK[[#This Row],[Device type]],7)="Winding","-",TMK[[#This Row],[24 Hr Summer MVA]])</f>
        <v>83.788581354435152</v>
      </c>
      <c r="AY16" s="9" t="str">
        <f>TMK[[#This Row],[Forwards MVA]]</f>
        <v>-</v>
      </c>
      <c r="AZ16" s="9" t="str">
        <f>TMK[[#This Row],[Relay MVA]]</f>
        <v>-</v>
      </c>
      <c r="BA16" s="9" t="str">
        <f>TMK[[#This Row],[CT MVA]]</f>
        <v>-</v>
      </c>
      <c r="BB16" s="9" t="str">
        <f>TMK[[#This Row],[Derating MVA]]</f>
        <v>-</v>
      </c>
      <c r="BC16" s="9" t="str">
        <f>TMK[[#This Row],[Station/Feeder]]&amp;TMK[[#This Row],[Lowest MVA]]</f>
        <v>TMK_GXP83.7885813544352</v>
      </c>
      <c r="BD16" s="9" t="str">
        <f>CONCATENATE(TMK[[#This Row],[Supply Level]],TMK[[#This Row],[Station/Feeder]],TMK[[#This Row],[Voltage]],TMK[[#This Row],[Lowest A-No PTX]])</f>
        <v>GXPTMK_GXP33.5941440</v>
      </c>
      <c r="BE16" s="9" t="str">
        <f>CONCATENATE(TMK[[#This Row],[Supply Level]],TMK[[#This Row],[Station/Feeder]],TMK[[#This Row],[Voltage]],TMK[[#This Row],[Lowest A-PTX]])</f>
        <v>GXPTMK_GXP33.5941440</v>
      </c>
      <c r="BF16" s="9">
        <f>IFERROR(IF(MIN(TMK[[#This Row],[Summ Cont Winter A]:[Cable Derating]])=0,"",MIN(TMK[[#This Row],[Summ Cont Winter A]:[Cable Derating]])),"")</f>
        <v>83.788581354435152</v>
      </c>
      <c r="BG16" s="9">
        <f>IFERROR(TMK[[#This Row],[Lowest MVA]]*1000/(TMK[[#This Row],[Voltage]]*SQRT(3)),"")</f>
        <v>1439.9999999999998</v>
      </c>
      <c r="BH16" s="9">
        <f t="shared" si="5"/>
        <v>1440</v>
      </c>
      <c r="BI16" s="9" t="str">
        <f>TMK[[#This Row],[From]]</f>
        <v>DS134</v>
      </c>
      <c r="BJ16" s="9" t="str">
        <f>TMK[[#This Row],[To]]</f>
        <v>33 kV Bus</v>
      </c>
      <c r="BK1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Other Equipment-TMK-CB-1252-OEL</v>
      </c>
      <c r="BL16" s="9">
        <f>TMK[[#This Row],[Voltage]]</f>
        <v>33.594000000000001</v>
      </c>
    </row>
    <row r="17" spans="1:64" s="1" customFormat="1" ht="15" customHeight="1" x14ac:dyDescent="0.25">
      <c r="A17" s="6" t="str">
        <f>CONCATENATE(TMK[[#This Row],[Supply Level]],TMK[[#This Row],[Station/Feeder]],TMK[[#This Row],[Voltage]],"T1")</f>
        <v>GXPTMK_GXP33.594T1</v>
      </c>
      <c r="B17" s="6" t="str">
        <f>CONCATENATE(TMK[[#This Row],[Supply Level]],TMK[[#This Row],[Station/Feeder]],TMK[[#This Row],[Equipment ID]],TMK[[#This Row],[Voltage]],TMK[[#This Row],[Device type]])</f>
        <v>GXPTMK_GXPTMK-BS-033-1252-T133.594-</v>
      </c>
      <c r="C17" s="6" t="s">
        <v>4</v>
      </c>
      <c r="D17" s="11" t="s">
        <v>77</v>
      </c>
      <c r="E17" s="7" t="s">
        <v>461</v>
      </c>
      <c r="F17" s="7" t="s">
        <v>63</v>
      </c>
      <c r="G17" s="56">
        <v>13</v>
      </c>
      <c r="H17" s="49" t="s">
        <v>462</v>
      </c>
      <c r="I17" s="124" t="s">
        <v>473</v>
      </c>
      <c r="J17" s="124" t="s">
        <v>464</v>
      </c>
      <c r="K17" s="46" t="s">
        <v>0</v>
      </c>
      <c r="L17" s="46" t="s">
        <v>0</v>
      </c>
      <c r="M17" s="43">
        <f t="shared" si="11"/>
        <v>33.594000000000001</v>
      </c>
      <c r="N17" s="9">
        <v>1250</v>
      </c>
      <c r="O17" s="9">
        <f t="shared" si="0"/>
        <v>72.733143536836067</v>
      </c>
      <c r="P17" s="9">
        <v>1250</v>
      </c>
      <c r="Q17" s="9">
        <f t="shared" si="1"/>
        <v>72.733143536836067</v>
      </c>
      <c r="R17" s="9">
        <v>1250</v>
      </c>
      <c r="S17" s="9">
        <f t="shared" si="2"/>
        <v>72.733143536836067</v>
      </c>
      <c r="T17" s="9" t="s">
        <v>0</v>
      </c>
      <c r="U17" s="9" t="str">
        <f t="shared" si="3"/>
        <v>-</v>
      </c>
      <c r="V17" s="9" t="s">
        <v>0</v>
      </c>
      <c r="W17" s="9" t="str">
        <f t="shared" si="4"/>
        <v>-</v>
      </c>
      <c r="X17" s="9" t="s">
        <v>0</v>
      </c>
      <c r="Y17" s="9" t="str">
        <f t="shared" si="6"/>
        <v>-</v>
      </c>
      <c r="Z17" s="9" t="s">
        <v>0</v>
      </c>
      <c r="AA17" s="9" t="str">
        <f t="shared" si="7"/>
        <v>-</v>
      </c>
      <c r="AB17" s="9" t="s">
        <v>0</v>
      </c>
      <c r="AC17" s="9" t="str">
        <f t="shared" si="8"/>
        <v>-</v>
      </c>
      <c r="AD17" s="9" t="s">
        <v>0</v>
      </c>
      <c r="AE17" s="12" t="str">
        <f t="shared" si="9"/>
        <v>-</v>
      </c>
      <c r="AF17" s="29" t="s">
        <v>0</v>
      </c>
      <c r="AG17" s="29" t="s">
        <v>0</v>
      </c>
      <c r="AH17" s="29" t="s">
        <v>0</v>
      </c>
      <c r="AI17" s="29" t="s">
        <v>0</v>
      </c>
      <c r="AJ17" s="32" t="s">
        <v>0</v>
      </c>
      <c r="AK17" s="29" t="s">
        <v>0</v>
      </c>
      <c r="AL17" s="32" t="s">
        <v>0</v>
      </c>
      <c r="AM17" s="29" t="s">
        <v>0</v>
      </c>
      <c r="AN17" s="32" t="s">
        <v>0</v>
      </c>
      <c r="AO17" s="29" t="s">
        <v>0</v>
      </c>
      <c r="AP17" s="29" t="s">
        <v>0</v>
      </c>
      <c r="AQ17" s="32" t="s">
        <v>0</v>
      </c>
      <c r="AR17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7" s="9" t="str">
        <f t="shared" si="10"/>
        <v>-</v>
      </c>
      <c r="AT17" s="9">
        <f>IF(RIGHT(TMK[[#This Row],[Device type]],7)="Winding","-",TMK[[#This Row],[Cont Winter MVA]])</f>
        <v>72.733143536836067</v>
      </c>
      <c r="AU17" s="9">
        <f>IF(RIGHT(TMK[[#This Row],[Device type]],7)="Winding","-",TMK[[#This Row],[Cont Shoulder MVA]])</f>
        <v>72.733143536836067</v>
      </c>
      <c r="AV17" s="9">
        <f>IF(RIGHT(TMK[[#This Row],[Device type]],7)="Winding","-",TMK[[#This Row],[Cont Summer MVA]])</f>
        <v>72.733143536836067</v>
      </c>
      <c r="AW17" s="9" t="str">
        <f>IF(RIGHT(TMK[[#This Row],[Device type]],7)="Winding","-",TMK[[#This Row],[24 Hr Winter MVA]])</f>
        <v>-</v>
      </c>
      <c r="AX17" s="9" t="str">
        <f>IF(RIGHT(TMK[[#This Row],[Device type]],7)="Winding","-",TMK[[#This Row],[24 Hr Summer MVA]])</f>
        <v>-</v>
      </c>
      <c r="AY17" s="9" t="str">
        <f>TMK[[#This Row],[Forwards MVA]]</f>
        <v>-</v>
      </c>
      <c r="AZ17" s="9" t="str">
        <f>TMK[[#This Row],[Relay MVA]]</f>
        <v>-</v>
      </c>
      <c r="BA17" s="9" t="str">
        <f>TMK[[#This Row],[CT MVA]]</f>
        <v>-</v>
      </c>
      <c r="BB17" s="9" t="str">
        <f>TMK[[#This Row],[Derating MVA]]</f>
        <v>-</v>
      </c>
      <c r="BC17" s="9" t="str">
        <f>TMK[[#This Row],[Station/Feeder]]&amp;TMK[[#This Row],[Lowest MVA]]</f>
        <v>TMK_GXP72.7331435368361</v>
      </c>
      <c r="BD17" s="9" t="str">
        <f>CONCATENATE(TMK[[#This Row],[Supply Level]],TMK[[#This Row],[Station/Feeder]],TMK[[#This Row],[Voltage]],TMK[[#This Row],[Lowest A-No PTX]])</f>
        <v>GXPTMK_GXP33.5941250</v>
      </c>
      <c r="BE17" s="9" t="str">
        <f>CONCATENATE(TMK[[#This Row],[Supply Level]],TMK[[#This Row],[Station/Feeder]],TMK[[#This Row],[Voltage]],TMK[[#This Row],[Lowest A-PTX]])</f>
        <v>GXPTMK_GXP33.5941250</v>
      </c>
      <c r="BF17" s="9">
        <f>IFERROR(IF(MIN(TMK[[#This Row],[Summ Cont Winter A]:[Cable Derating]])=0,"",MIN(TMK[[#This Row],[Summ Cont Winter A]:[Cable Derating]])),"")</f>
        <v>72.733143536836067</v>
      </c>
      <c r="BG17" s="9">
        <f>IFERROR(TMK[[#This Row],[Lowest MVA]]*1000/(TMK[[#This Row],[Voltage]]*SQRT(3)),"")</f>
        <v>1249.9999999999998</v>
      </c>
      <c r="BH17" s="9">
        <f t="shared" si="5"/>
        <v>1250</v>
      </c>
      <c r="BI17" s="9" t="str">
        <f>TMK[[#This Row],[From]]</f>
        <v>DS134</v>
      </c>
      <c r="BJ17" s="9" t="str">
        <f>TMK[[#This Row],[To]]</f>
        <v>33 kV Bus</v>
      </c>
      <c r="BK1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Bus-TMK-BS-033-1252-T1</v>
      </c>
      <c r="BL17" s="9">
        <f>TMK[[#This Row],[Voltage]]</f>
        <v>33.594000000000001</v>
      </c>
    </row>
    <row r="18" spans="1:64" s="1" customFormat="1" ht="15" customHeight="1" x14ac:dyDescent="0.25">
      <c r="A18" s="6" t="str">
        <f>CONCATENATE(TMK[[#This Row],[Supply Level]],TMK[[#This Row],[Station/Feeder]],TMK[[#This Row],[Voltage]],"T2")</f>
        <v>GXPTMK_GXP110T2</v>
      </c>
      <c r="B18" s="6" t="str">
        <f>CONCATENATE(TMK[[#This Row],[Supply Level]],TMK[[#This Row],[Station/Feeder]],TMK[[#This Row],[Equipment ID]],TMK[[#This Row],[Voltage]],TMK[[#This Row],[Device type]])</f>
        <v>GXPTMK_GXPHYENA110-</v>
      </c>
      <c r="C18" s="6" t="s">
        <v>4</v>
      </c>
      <c r="D18" s="11" t="s">
        <v>77</v>
      </c>
      <c r="E18" s="7" t="s">
        <v>1316</v>
      </c>
      <c r="F18" s="7" t="s">
        <v>63</v>
      </c>
      <c r="G18" s="56">
        <v>1</v>
      </c>
      <c r="H18" s="49" t="s">
        <v>474</v>
      </c>
      <c r="I18" s="123" t="s">
        <v>475</v>
      </c>
      <c r="J18" s="123" t="s">
        <v>69</v>
      </c>
      <c r="K18" s="46" t="s">
        <v>0</v>
      </c>
      <c r="L18" s="46" t="s">
        <v>0</v>
      </c>
      <c r="M18" s="43">
        <v>110</v>
      </c>
      <c r="N18" s="9">
        <v>422</v>
      </c>
      <c r="O18" s="9">
        <f t="shared" si="0"/>
        <v>80.401798487347278</v>
      </c>
      <c r="P18" s="9">
        <v>403</v>
      </c>
      <c r="Q18" s="9">
        <f t="shared" si="1"/>
        <v>76.781812299528326</v>
      </c>
      <c r="R18" s="9">
        <v>383</v>
      </c>
      <c r="S18" s="9">
        <f t="shared" si="2"/>
        <v>72.971300522876803</v>
      </c>
      <c r="T18" s="9" t="s">
        <v>0</v>
      </c>
      <c r="U18" s="9" t="str">
        <f t="shared" si="3"/>
        <v>-</v>
      </c>
      <c r="V18" s="9" t="s">
        <v>0</v>
      </c>
      <c r="W18" s="9" t="str">
        <f t="shared" si="4"/>
        <v>-</v>
      </c>
      <c r="X18" s="9" t="s">
        <v>0</v>
      </c>
      <c r="Y18" s="9" t="str">
        <f t="shared" si="6"/>
        <v>-</v>
      </c>
      <c r="Z18" s="9" t="s">
        <v>0</v>
      </c>
      <c r="AA18" s="9" t="str">
        <f t="shared" si="7"/>
        <v>-</v>
      </c>
      <c r="AB18" s="9" t="s">
        <v>0</v>
      </c>
      <c r="AC18" s="9" t="str">
        <f t="shared" si="8"/>
        <v>-</v>
      </c>
      <c r="AD18" s="9" t="s">
        <v>0</v>
      </c>
      <c r="AE18" s="12" t="str">
        <f t="shared" si="9"/>
        <v>-</v>
      </c>
      <c r="AF18" s="29" t="s">
        <v>0</v>
      </c>
      <c r="AG18" s="29" t="s">
        <v>0</v>
      </c>
      <c r="AH18" s="29">
        <v>16000</v>
      </c>
      <c r="AI18" s="29" t="s">
        <v>0</v>
      </c>
      <c r="AJ18" s="32" t="s">
        <v>0</v>
      </c>
      <c r="AK18" s="29" t="s">
        <v>0</v>
      </c>
      <c r="AL18" s="32" t="s">
        <v>0</v>
      </c>
      <c r="AM18" s="29" t="s">
        <v>0</v>
      </c>
      <c r="AN18" s="32" t="s">
        <v>0</v>
      </c>
      <c r="AO18" s="29" t="s">
        <v>0</v>
      </c>
      <c r="AP18" s="29" t="s">
        <v>0</v>
      </c>
      <c r="AQ18" s="32" t="s">
        <v>0</v>
      </c>
      <c r="AR18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8" s="9" t="str">
        <f t="shared" si="10"/>
        <v>-</v>
      </c>
      <c r="AT18" s="9">
        <f>IF(RIGHT(TMK[[#This Row],[Device type]],7)="Winding","-",TMK[[#This Row],[Cont Winter MVA]])</f>
        <v>80.401798487347278</v>
      </c>
      <c r="AU18" s="9">
        <f>IF(RIGHT(TMK[[#This Row],[Device type]],7)="Winding","-",TMK[[#This Row],[Cont Shoulder MVA]])</f>
        <v>76.781812299528326</v>
      </c>
      <c r="AV18" s="9">
        <f>IF(RIGHT(TMK[[#This Row],[Device type]],7)="Winding","-",TMK[[#This Row],[Cont Summer MVA]])</f>
        <v>72.971300522876803</v>
      </c>
      <c r="AW18" s="9" t="str">
        <f>IF(RIGHT(TMK[[#This Row],[Device type]],7)="Winding","-",TMK[[#This Row],[24 Hr Winter MVA]])</f>
        <v>-</v>
      </c>
      <c r="AX18" s="9" t="str">
        <f>IF(RIGHT(TMK[[#This Row],[Device type]],7)="Winding","-",TMK[[#This Row],[24 Hr Summer MVA]])</f>
        <v>-</v>
      </c>
      <c r="AY18" s="9" t="str">
        <f>TMK[[#This Row],[Forwards MVA]]</f>
        <v>-</v>
      </c>
      <c r="AZ18" s="9" t="str">
        <f>TMK[[#This Row],[Relay MVA]]</f>
        <v>-</v>
      </c>
      <c r="BA18" s="9" t="str">
        <f>TMK[[#This Row],[CT MVA]]</f>
        <v>-</v>
      </c>
      <c r="BB18" s="9" t="str">
        <f>TMK[[#This Row],[Derating MVA]]</f>
        <v>-</v>
      </c>
      <c r="BC18" s="9" t="str">
        <f>TMK[[#This Row],[Station/Feeder]]&amp;TMK[[#This Row],[Lowest MVA]]</f>
        <v>TMK_GXP72.9713005228768</v>
      </c>
      <c r="BD18" s="9" t="str">
        <f>CONCATENATE(TMK[[#This Row],[Supply Level]],TMK[[#This Row],[Station/Feeder]],TMK[[#This Row],[Voltage]],TMK[[#This Row],[Lowest A-No PTX]])</f>
        <v>GXPTMK_GXP110383</v>
      </c>
      <c r="BE18" s="9" t="str">
        <f>CONCATENATE(TMK[[#This Row],[Supply Level]],TMK[[#This Row],[Station/Feeder]],TMK[[#This Row],[Voltage]],TMK[[#This Row],[Lowest A-PTX]])</f>
        <v>GXPTMK_GXP110383</v>
      </c>
      <c r="BF18" s="9">
        <f>IFERROR(IF(MIN(TMK[[#This Row],[Summ Cont Winter A]:[Cable Derating]])=0,"",MIN(TMK[[#This Row],[Summ Cont Winter A]:[Cable Derating]])),"")</f>
        <v>72.971300522876803</v>
      </c>
      <c r="BG18" s="9">
        <f>IFERROR(TMK[[#This Row],[Lowest MVA]]*1000/(TMK[[#This Row],[Voltage]]*SQRT(3)),"")</f>
        <v>383.00000000000006</v>
      </c>
      <c r="BH18" s="9">
        <f t="shared" si="5"/>
        <v>383</v>
      </c>
      <c r="BI18" s="9" t="str">
        <f>TMK[[#This Row],[From]]</f>
        <v>DS114</v>
      </c>
      <c r="BJ18" s="9" t="str">
        <f>TMK[[#This Row],[To]]</f>
        <v>33 kV Bus</v>
      </c>
      <c r="BK1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Line-HYENA</v>
      </c>
      <c r="BL18" s="9">
        <f>TMK[[#This Row],[Voltage]]</f>
        <v>110</v>
      </c>
    </row>
    <row r="19" spans="1:64" s="1" customFormat="1" ht="15" customHeight="1" x14ac:dyDescent="0.25">
      <c r="A19" s="6" t="str">
        <f>CONCATENATE(TMK[[#This Row],[Supply Level]],TMK[[#This Row],[Station/Feeder]],TMK[[#This Row],[Voltage]],"T2")</f>
        <v>GXPTMK_GXP110T2</v>
      </c>
      <c r="B19" s="6" t="str">
        <f>CONCATENATE(TMK[[#This Row],[Supply Level]],TMK[[#This Row],[Station/Feeder]],TMK[[#This Row],[Equipment ID]],TMK[[#This Row],[Voltage]],TMK[[#This Row],[Device type]])</f>
        <v>GXPTMK_GXPWOLF110-</v>
      </c>
      <c r="C19" s="6" t="s">
        <v>4</v>
      </c>
      <c r="D19" s="11" t="s">
        <v>77</v>
      </c>
      <c r="E19" s="7" t="s">
        <v>1316</v>
      </c>
      <c r="F19" s="7" t="s">
        <v>63</v>
      </c>
      <c r="G19" s="56">
        <v>2</v>
      </c>
      <c r="H19" s="7" t="s">
        <v>474</v>
      </c>
      <c r="I19" s="123" t="s">
        <v>472</v>
      </c>
      <c r="J19" s="123" t="s">
        <v>69</v>
      </c>
      <c r="K19" s="46" t="s">
        <v>0</v>
      </c>
      <c r="L19" s="46" t="s">
        <v>0</v>
      </c>
      <c r="M19" s="43">
        <v>110</v>
      </c>
      <c r="N19" s="9">
        <v>531</v>
      </c>
      <c r="O19" s="9">
        <f t="shared" si="0"/>
        <v>101.16908767009812</v>
      </c>
      <c r="P19" s="9">
        <v>507</v>
      </c>
      <c r="Q19" s="9">
        <f t="shared" si="1"/>
        <v>96.596473538116271</v>
      </c>
      <c r="R19" s="9">
        <v>482</v>
      </c>
      <c r="S19" s="9">
        <f t="shared" si="2"/>
        <v>91.833333817301877</v>
      </c>
      <c r="T19" s="9" t="s">
        <v>0</v>
      </c>
      <c r="U19" s="9" t="str">
        <f t="shared" si="3"/>
        <v>-</v>
      </c>
      <c r="V19" s="9" t="s">
        <v>0</v>
      </c>
      <c r="W19" s="9" t="str">
        <f t="shared" si="4"/>
        <v>-</v>
      </c>
      <c r="X19" s="9" t="s">
        <v>0</v>
      </c>
      <c r="Y19" s="9" t="str">
        <f t="shared" si="6"/>
        <v>-</v>
      </c>
      <c r="Z19" s="9" t="s">
        <v>0</v>
      </c>
      <c r="AA19" s="9" t="str">
        <f t="shared" si="7"/>
        <v>-</v>
      </c>
      <c r="AB19" s="9" t="s">
        <v>0</v>
      </c>
      <c r="AC19" s="9" t="str">
        <f t="shared" si="8"/>
        <v>-</v>
      </c>
      <c r="AD19" s="9" t="s">
        <v>0</v>
      </c>
      <c r="AE19" s="12" t="str">
        <f t="shared" si="9"/>
        <v>-</v>
      </c>
      <c r="AF19" s="29" t="s">
        <v>0</v>
      </c>
      <c r="AG19" s="29" t="s">
        <v>0</v>
      </c>
      <c r="AH19" s="29">
        <v>2000</v>
      </c>
      <c r="AI19" s="29" t="s">
        <v>0</v>
      </c>
      <c r="AJ19" s="32" t="s">
        <v>0</v>
      </c>
      <c r="AK19" s="29" t="s">
        <v>0</v>
      </c>
      <c r="AL19" s="32" t="s">
        <v>0</v>
      </c>
      <c r="AM19" s="29" t="s">
        <v>0</v>
      </c>
      <c r="AN19" s="32" t="s">
        <v>0</v>
      </c>
      <c r="AO19" s="29" t="s">
        <v>0</v>
      </c>
      <c r="AP19" s="29" t="s">
        <v>0</v>
      </c>
      <c r="AQ19" s="32" t="s">
        <v>0</v>
      </c>
      <c r="AR19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9" s="9" t="str">
        <f t="shared" si="10"/>
        <v>-</v>
      </c>
      <c r="AT19" s="9">
        <f>IF(RIGHT(TMK[[#This Row],[Device type]],7)="Winding","-",TMK[[#This Row],[Cont Winter MVA]])</f>
        <v>101.16908767009812</v>
      </c>
      <c r="AU19" s="9">
        <f>IF(RIGHT(TMK[[#This Row],[Device type]],7)="Winding","-",TMK[[#This Row],[Cont Shoulder MVA]])</f>
        <v>96.596473538116271</v>
      </c>
      <c r="AV19" s="9">
        <f>IF(RIGHT(TMK[[#This Row],[Device type]],7)="Winding","-",TMK[[#This Row],[Cont Summer MVA]])</f>
        <v>91.833333817301877</v>
      </c>
      <c r="AW19" s="9" t="str">
        <f>IF(RIGHT(TMK[[#This Row],[Device type]],7)="Winding","-",TMK[[#This Row],[24 Hr Winter MVA]])</f>
        <v>-</v>
      </c>
      <c r="AX19" s="9" t="str">
        <f>IF(RIGHT(TMK[[#This Row],[Device type]],7)="Winding","-",TMK[[#This Row],[24 Hr Summer MVA]])</f>
        <v>-</v>
      </c>
      <c r="AY19" s="9" t="str">
        <f>TMK[[#This Row],[Forwards MVA]]</f>
        <v>-</v>
      </c>
      <c r="AZ19" s="9" t="str">
        <f>TMK[[#This Row],[Relay MVA]]</f>
        <v>-</v>
      </c>
      <c r="BA19" s="9" t="str">
        <f>TMK[[#This Row],[CT MVA]]</f>
        <v>-</v>
      </c>
      <c r="BB19" s="9" t="str">
        <f>TMK[[#This Row],[Derating MVA]]</f>
        <v>-</v>
      </c>
      <c r="BC19" s="9" t="str">
        <f>TMK[[#This Row],[Station/Feeder]]&amp;TMK[[#This Row],[Lowest MVA]]</f>
        <v>TMK_GXP91.8333338173019</v>
      </c>
      <c r="BD19" s="9" t="str">
        <f>CONCATENATE(TMK[[#This Row],[Supply Level]],TMK[[#This Row],[Station/Feeder]],TMK[[#This Row],[Voltage]],TMK[[#This Row],[Lowest A-No PTX]])</f>
        <v>GXPTMK_GXP110482</v>
      </c>
      <c r="BE19" s="9" t="str">
        <f>CONCATENATE(TMK[[#This Row],[Supply Level]],TMK[[#This Row],[Station/Feeder]],TMK[[#This Row],[Voltage]],TMK[[#This Row],[Lowest A-PTX]])</f>
        <v>GXPTMK_GXP110482</v>
      </c>
      <c r="BF19" s="9">
        <f>IFERROR(IF(MIN(TMK[[#This Row],[Summ Cont Winter A]:[Cable Derating]])=0,"",MIN(TMK[[#This Row],[Summ Cont Winter A]:[Cable Derating]])),"")</f>
        <v>91.833333817301877</v>
      </c>
      <c r="BG19" s="9">
        <f>IFERROR(TMK[[#This Row],[Lowest MVA]]*1000/(TMK[[#This Row],[Voltage]]*SQRT(3)),"")</f>
        <v>482</v>
      </c>
      <c r="BH19" s="9">
        <f t="shared" si="5"/>
        <v>482</v>
      </c>
      <c r="BI19" s="9" t="str">
        <f>TMK[[#This Row],[From]]</f>
        <v>DS114</v>
      </c>
      <c r="BJ19" s="9" t="str">
        <f>TMK[[#This Row],[To]]</f>
        <v>33 kV Bus</v>
      </c>
      <c r="BK1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Line-WOLF</v>
      </c>
      <c r="BL19" s="9">
        <f>TMK[[#This Row],[Voltage]]</f>
        <v>110</v>
      </c>
    </row>
    <row r="20" spans="1:64" s="1" customFormat="1" ht="15" customHeight="1" x14ac:dyDescent="0.25">
      <c r="A20" s="6" t="str">
        <f>CONCATENATE(TMK[[#This Row],[Supply Level]],TMK[[#This Row],[Station/Feeder]],TMK[[#This Row],[Voltage]],"T2")</f>
        <v>GXPTMK_GXP110T2</v>
      </c>
      <c r="B20" s="6" t="str">
        <f>CONCATENATE(TMK[[#This Row],[Supply Level]],TMK[[#This Row],[Station/Feeder]],TMK[[#This Row],[Equipment ID]],TMK[[#This Row],[Voltage]],TMK[[#This Row],[Device type]])</f>
        <v>GXPTMK_GXPTMK-BS-110-114-T2110-</v>
      </c>
      <c r="C20" s="6" t="s">
        <v>4</v>
      </c>
      <c r="D20" s="11" t="s">
        <v>77</v>
      </c>
      <c r="E20" s="7" t="s">
        <v>1316</v>
      </c>
      <c r="F20" s="7" t="s">
        <v>63</v>
      </c>
      <c r="G20" s="56">
        <v>3</v>
      </c>
      <c r="H20" s="49" t="s">
        <v>465</v>
      </c>
      <c r="I20" s="124" t="s">
        <v>476</v>
      </c>
      <c r="J20" s="124" t="s">
        <v>464</v>
      </c>
      <c r="K20" s="49" t="s">
        <v>0</v>
      </c>
      <c r="L20" s="49" t="s">
        <v>0</v>
      </c>
      <c r="M20" s="43">
        <v>110</v>
      </c>
      <c r="N20" s="9">
        <v>900</v>
      </c>
      <c r="O20" s="9">
        <f t="shared" si="0"/>
        <v>171.47302994931886</v>
      </c>
      <c r="P20" s="9">
        <v>900</v>
      </c>
      <c r="Q20" s="9">
        <f t="shared" si="1"/>
        <v>171.47302994931886</v>
      </c>
      <c r="R20" s="9">
        <v>900</v>
      </c>
      <c r="S20" s="9">
        <f t="shared" si="2"/>
        <v>171.47302994931886</v>
      </c>
      <c r="T20" s="9">
        <v>900</v>
      </c>
      <c r="U20" s="9">
        <f t="shared" si="3"/>
        <v>171.47302994931886</v>
      </c>
      <c r="V20" s="9">
        <v>900</v>
      </c>
      <c r="W20" s="9">
        <f t="shared" si="4"/>
        <v>171.47302994931886</v>
      </c>
      <c r="X20" s="9" t="s">
        <v>0</v>
      </c>
      <c r="Y20" s="9" t="str">
        <f t="shared" si="6"/>
        <v>-</v>
      </c>
      <c r="Z20" s="9" t="s">
        <v>0</v>
      </c>
      <c r="AA20" s="9" t="str">
        <f t="shared" si="7"/>
        <v>-</v>
      </c>
      <c r="AB20" s="9" t="s">
        <v>0</v>
      </c>
      <c r="AC20" s="9" t="str">
        <f t="shared" si="8"/>
        <v>-</v>
      </c>
      <c r="AD20" s="9" t="s">
        <v>0</v>
      </c>
      <c r="AE20" s="12" t="str">
        <f t="shared" si="9"/>
        <v>-</v>
      </c>
      <c r="AF20" s="9" t="s">
        <v>0</v>
      </c>
      <c r="AG20" s="9" t="s">
        <v>0</v>
      </c>
      <c r="AH20" s="9" t="s">
        <v>0</v>
      </c>
      <c r="AI20" s="9" t="s">
        <v>0</v>
      </c>
      <c r="AJ20" s="43" t="s">
        <v>0</v>
      </c>
      <c r="AK20" s="9" t="s">
        <v>0</v>
      </c>
      <c r="AL20" s="43" t="s">
        <v>0</v>
      </c>
      <c r="AM20" s="9" t="s">
        <v>0</v>
      </c>
      <c r="AN20" s="43" t="s">
        <v>0</v>
      </c>
      <c r="AO20" s="9" t="s">
        <v>0</v>
      </c>
      <c r="AP20" s="9" t="s">
        <v>0</v>
      </c>
      <c r="AQ20" s="43" t="s">
        <v>0</v>
      </c>
      <c r="AR20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0" s="9" t="str">
        <f t="shared" si="10"/>
        <v>-</v>
      </c>
      <c r="AT20" s="9">
        <f>IF(RIGHT(TMK[[#This Row],[Device type]],7)="Winding","-",TMK[[#This Row],[Cont Winter MVA]])</f>
        <v>171.47302994931886</v>
      </c>
      <c r="AU20" s="9">
        <f>IF(RIGHT(TMK[[#This Row],[Device type]],7)="Winding","-",TMK[[#This Row],[Cont Shoulder MVA]])</f>
        <v>171.47302994931886</v>
      </c>
      <c r="AV20" s="9">
        <f>IF(RIGHT(TMK[[#This Row],[Device type]],7)="Winding","-",TMK[[#This Row],[Cont Summer MVA]])</f>
        <v>171.47302994931886</v>
      </c>
      <c r="AW20" s="9">
        <f>IF(RIGHT(TMK[[#This Row],[Device type]],7)="Winding","-",TMK[[#This Row],[24 Hr Winter MVA]])</f>
        <v>171.47302994931886</v>
      </c>
      <c r="AX20" s="9">
        <f>IF(RIGHT(TMK[[#This Row],[Device type]],7)="Winding","-",TMK[[#This Row],[24 Hr Summer MVA]])</f>
        <v>171.47302994931886</v>
      </c>
      <c r="AY20" s="9" t="str">
        <f>TMK[[#This Row],[Forwards MVA]]</f>
        <v>-</v>
      </c>
      <c r="AZ20" s="9" t="str">
        <f>TMK[[#This Row],[Relay MVA]]</f>
        <v>-</v>
      </c>
      <c r="BA20" s="9" t="str">
        <f>TMK[[#This Row],[CT MVA]]</f>
        <v>-</v>
      </c>
      <c r="BB20" s="9" t="str">
        <f>TMK[[#This Row],[Derating MVA]]</f>
        <v>-</v>
      </c>
      <c r="BC20" s="9" t="str">
        <f>TMK[[#This Row],[Station/Feeder]]&amp;TMK[[#This Row],[Lowest MVA]]</f>
        <v>TMK_GXP171.473029949319</v>
      </c>
      <c r="BD20" s="9" t="str">
        <f>CONCATENATE(TMK[[#This Row],[Supply Level]],TMK[[#This Row],[Station/Feeder]],TMK[[#This Row],[Voltage]],TMK[[#This Row],[Lowest A-No PTX]])</f>
        <v>GXPTMK_GXP110900</v>
      </c>
      <c r="BE20" s="9" t="str">
        <f>CONCATENATE(TMK[[#This Row],[Supply Level]],TMK[[#This Row],[Station/Feeder]],TMK[[#This Row],[Voltage]],TMK[[#This Row],[Lowest A-PTX]])</f>
        <v>GXPTMK_GXP110900</v>
      </c>
      <c r="BF20" s="9">
        <f>IFERROR(IF(MIN(TMK[[#This Row],[Summ Cont Winter A]:[Cable Derating]])=0,"",MIN(TMK[[#This Row],[Summ Cont Winter A]:[Cable Derating]])),"")</f>
        <v>171.47302994931886</v>
      </c>
      <c r="BG20" s="9">
        <f>IFERROR(TMK[[#This Row],[Lowest MVA]]*1000/(TMK[[#This Row],[Voltage]]*SQRT(3)),"")</f>
        <v>900</v>
      </c>
      <c r="BH20" s="9">
        <f t="shared" si="5"/>
        <v>900</v>
      </c>
      <c r="BI20" s="9" t="str">
        <f>TMK[[#This Row],[From]]</f>
        <v>DS114</v>
      </c>
      <c r="BJ20" s="9" t="str">
        <f>TMK[[#This Row],[To]]</f>
        <v>33 kV Bus</v>
      </c>
      <c r="BK2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Bus-TMK-BS-110-114-T2</v>
      </c>
      <c r="BL20" s="9">
        <f>TMK[[#This Row],[Voltage]]</f>
        <v>110</v>
      </c>
    </row>
    <row r="21" spans="1:64" s="1" customFormat="1" ht="15" customHeight="1" x14ac:dyDescent="0.25">
      <c r="A21" s="6" t="str">
        <f>CONCATENATE(TMK[[#This Row],[Supply Level]],TMK[[#This Row],[Station/Feeder]],TMK[[#This Row],[Voltage]],"T2")</f>
        <v>GXPTMK_GXP110T2</v>
      </c>
      <c r="B21" s="6" t="str">
        <f>CONCATENATE(TMK[[#This Row],[Supply Level]],TMK[[#This Row],[Station/Feeder]],TMK[[#This Row],[Equipment ID]],TMK[[#This Row],[Voltage]],TMK[[#This Row],[Device type]])</f>
        <v>GXPTMK_GXPTMK-CB112110Protection</v>
      </c>
      <c r="C21" s="6" t="s">
        <v>4</v>
      </c>
      <c r="D21" s="11" t="s">
        <v>77</v>
      </c>
      <c r="E21" s="7" t="s">
        <v>1316</v>
      </c>
      <c r="F21" s="7" t="s">
        <v>63</v>
      </c>
      <c r="G21" s="56">
        <v>4</v>
      </c>
      <c r="H21" s="49" t="s">
        <v>465</v>
      </c>
      <c r="I21" s="123" t="s">
        <v>2307</v>
      </c>
      <c r="J21" s="123" t="s">
        <v>15</v>
      </c>
      <c r="K21" s="7" t="s">
        <v>470</v>
      </c>
      <c r="L21" s="7" t="s">
        <v>1423</v>
      </c>
      <c r="M21" s="43">
        <v>110</v>
      </c>
      <c r="N21" s="9">
        <v>2500</v>
      </c>
      <c r="O21" s="9">
        <f t="shared" si="0"/>
        <v>476.31397208144119</v>
      </c>
      <c r="P21" s="9">
        <v>2500</v>
      </c>
      <c r="Q21" s="9">
        <f t="shared" si="1"/>
        <v>476.31397208144119</v>
      </c>
      <c r="R21" s="9">
        <v>2500</v>
      </c>
      <c r="S21" s="9">
        <f t="shared" si="2"/>
        <v>476.31397208144119</v>
      </c>
      <c r="T21" s="9">
        <v>2500</v>
      </c>
      <c r="U21" s="9">
        <f t="shared" si="3"/>
        <v>476.31397208144119</v>
      </c>
      <c r="V21" s="9">
        <v>2500</v>
      </c>
      <c r="W21" s="9">
        <f t="shared" si="4"/>
        <v>476.31397208144119</v>
      </c>
      <c r="X21" s="9">
        <v>358</v>
      </c>
      <c r="Y21" s="9">
        <f t="shared" ref="Y21" si="17">IF(OR(X21="",X21="-"),"-",X21*$M21*SQRT(3)/1000)</f>
        <v>68.20816080206238</v>
      </c>
      <c r="Z21" s="9" t="s">
        <v>0</v>
      </c>
      <c r="AA21" s="9" t="str">
        <f t="shared" ref="AA21" si="18">IF(OR(Z21="",Z21="-"),"-",Z21*$M21*SQRT(3)/1000)</f>
        <v>-</v>
      </c>
      <c r="AB21" s="9">
        <v>1200</v>
      </c>
      <c r="AC21" s="9">
        <f t="shared" ref="AC21" si="19">IF(OR(AB21="",AB21="-"),"-",AB21*$M21*SQRT(3)/1000)</f>
        <v>228.63070659909178</v>
      </c>
      <c r="AD21" s="9">
        <v>800</v>
      </c>
      <c r="AE21" s="12">
        <f t="shared" ref="AE21" si="20">IF(OR(AD21="",AD21="-"),"-",AD21*$M21*SQRT(3)/1000)</f>
        <v>152.4204710660612</v>
      </c>
      <c r="AF21" s="9" t="s">
        <v>0</v>
      </c>
      <c r="AG21" s="9" t="s">
        <v>0</v>
      </c>
      <c r="AH21" s="9" t="s">
        <v>0</v>
      </c>
      <c r="AI21" s="9" t="s">
        <v>0</v>
      </c>
      <c r="AJ21" s="43" t="s">
        <v>0</v>
      </c>
      <c r="AK21" s="9" t="s">
        <v>0</v>
      </c>
      <c r="AL21" s="43" t="s">
        <v>0</v>
      </c>
      <c r="AM21" s="9" t="s">
        <v>0</v>
      </c>
      <c r="AN21" s="43" t="s">
        <v>0</v>
      </c>
      <c r="AO21" s="9" t="s">
        <v>0</v>
      </c>
      <c r="AP21" s="9" t="s">
        <v>0</v>
      </c>
      <c r="AQ21" s="43" t="s">
        <v>0</v>
      </c>
      <c r="AR21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1" s="9" t="str">
        <f t="shared" ref="AS21" si="21">IF(OR(AR21="",AR21="-"),"-",AR21*$M21*SQRT(3)/1000)</f>
        <v>-</v>
      </c>
      <c r="AT21" s="9">
        <f>IF(RIGHT(TMK[[#This Row],[Device type]],7)="Winding","-",TMK[[#This Row],[Cont Winter MVA]])</f>
        <v>476.31397208144119</v>
      </c>
      <c r="AU21" s="9">
        <f>IF(RIGHT(TMK[[#This Row],[Device type]],7)="Winding","-",TMK[[#This Row],[Cont Shoulder MVA]])</f>
        <v>476.31397208144119</v>
      </c>
      <c r="AV21" s="9">
        <f>IF(RIGHT(TMK[[#This Row],[Device type]],7)="Winding","-",TMK[[#This Row],[Cont Summer MVA]])</f>
        <v>476.31397208144119</v>
      </c>
      <c r="AW21" s="9">
        <f>IF(RIGHT(TMK[[#This Row],[Device type]],7)="Winding","-",TMK[[#This Row],[24 Hr Winter MVA]])</f>
        <v>476.31397208144119</v>
      </c>
      <c r="AX21" s="9">
        <f>IF(RIGHT(TMK[[#This Row],[Device type]],7)="Winding","-",TMK[[#This Row],[24 Hr Summer MVA]])</f>
        <v>476.31397208144119</v>
      </c>
      <c r="AY21" s="9">
        <f>TMK[[#This Row],[Forwards MVA]]</f>
        <v>68.20816080206238</v>
      </c>
      <c r="AZ21" s="9">
        <f>TMK[[#This Row],[Relay MVA]]</f>
        <v>228.63070659909178</v>
      </c>
      <c r="BA21" s="9">
        <f>TMK[[#This Row],[CT MVA]]</f>
        <v>152.4204710660612</v>
      </c>
      <c r="BB21" s="9" t="str">
        <f>TMK[[#This Row],[Derating MVA]]</f>
        <v>-</v>
      </c>
      <c r="BC21" s="9" t="str">
        <f>TMK[[#This Row],[Station/Feeder]]&amp;TMK[[#This Row],[Lowest MVA]]</f>
        <v>TMK_GXP68.2081608020624</v>
      </c>
      <c r="BD21" s="9" t="str">
        <f>CONCATENATE(TMK[[#This Row],[Supply Level]],TMK[[#This Row],[Station/Feeder]],TMK[[#This Row],[Voltage]],TMK[[#This Row],[Lowest A-No PTX]])</f>
        <v>GXPTMK_GXP110358</v>
      </c>
      <c r="BE21" s="9" t="str">
        <f>CONCATENATE(TMK[[#This Row],[Supply Level]],TMK[[#This Row],[Station/Feeder]],TMK[[#This Row],[Voltage]],TMK[[#This Row],[Lowest A-PTX]])</f>
        <v>GXPTMK_GXP110358</v>
      </c>
      <c r="BF21" s="9">
        <f>IFERROR(IF(MIN(TMK[[#This Row],[Summ Cont Winter A]:[Cable Derating]])=0,"",MIN(TMK[[#This Row],[Summ Cont Winter A]:[Cable Derating]])),"")</f>
        <v>68.20816080206238</v>
      </c>
      <c r="BG21" s="9">
        <f>IFERROR(TMK[[#This Row],[Lowest MVA]]*1000/(TMK[[#This Row],[Voltage]]*SQRT(3)),"")</f>
        <v>358</v>
      </c>
      <c r="BH21" s="9">
        <f t="shared" si="5"/>
        <v>358</v>
      </c>
      <c r="BI21" s="9" t="str">
        <f>TMK[[#This Row],[From]]</f>
        <v>DS114</v>
      </c>
      <c r="BJ21" s="9" t="str">
        <f>TMK[[#This Row],[To]]</f>
        <v>33 kV Bus</v>
      </c>
      <c r="BK2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Breaker-TMK-CB112-Protection</v>
      </c>
      <c r="BL21" s="9">
        <f>TMK[[#This Row],[Voltage]]</f>
        <v>110</v>
      </c>
    </row>
    <row r="22" spans="1:64" s="1" customFormat="1" ht="15" customHeight="1" x14ac:dyDescent="0.25">
      <c r="A22" s="6" t="str">
        <f>CONCATENATE(TMK[[#This Row],[Supply Level]],TMK[[#This Row],[Station/Feeder]],TMK[[#This Row],[Voltage]],"T2")</f>
        <v>GXPTMK_GXP110T2</v>
      </c>
      <c r="B22" s="6" t="str">
        <f>CONCATENATE(TMK[[#This Row],[Supply Level]],TMK[[#This Row],[Station/Feeder]],TMK[[#This Row],[Equipment ID]],TMK[[#This Row],[Voltage]],TMK[[#This Row],[Device type]])</f>
        <v>GXPTMK_GXPTMK-TF-T2110Bushings</v>
      </c>
      <c r="C22" s="6" t="s">
        <v>4</v>
      </c>
      <c r="D22" s="11" t="s">
        <v>77</v>
      </c>
      <c r="E22" s="7" t="s">
        <v>1316</v>
      </c>
      <c r="F22" s="7" t="s">
        <v>63</v>
      </c>
      <c r="G22" s="56">
        <v>5</v>
      </c>
      <c r="H22" s="49" t="s">
        <v>465</v>
      </c>
      <c r="I22" s="123" t="s">
        <v>467</v>
      </c>
      <c r="J22" s="123" t="s">
        <v>19</v>
      </c>
      <c r="K22" s="7" t="s">
        <v>467</v>
      </c>
      <c r="L22" s="7" t="s">
        <v>18</v>
      </c>
      <c r="M22" s="43">
        <v>110</v>
      </c>
      <c r="N22" s="9">
        <v>800</v>
      </c>
      <c r="O22" s="9">
        <f t="shared" si="0"/>
        <v>152.4204710660612</v>
      </c>
      <c r="P22" s="9">
        <v>800</v>
      </c>
      <c r="Q22" s="9">
        <f t="shared" si="1"/>
        <v>152.4204710660612</v>
      </c>
      <c r="R22" s="9">
        <v>800</v>
      </c>
      <c r="S22" s="9">
        <f t="shared" si="2"/>
        <v>152.4204710660612</v>
      </c>
      <c r="T22" s="9">
        <v>960</v>
      </c>
      <c r="U22" s="9">
        <f t="shared" si="3"/>
        <v>182.90456527927344</v>
      </c>
      <c r="V22" s="9">
        <v>960</v>
      </c>
      <c r="W22" s="9">
        <f t="shared" si="4"/>
        <v>182.90456527927344</v>
      </c>
      <c r="X22" s="9" t="s">
        <v>0</v>
      </c>
      <c r="Y22" s="9" t="str">
        <f t="shared" si="6"/>
        <v>-</v>
      </c>
      <c r="Z22" s="9" t="s">
        <v>0</v>
      </c>
      <c r="AA22" s="9" t="str">
        <f t="shared" si="7"/>
        <v>-</v>
      </c>
      <c r="AB22" s="9" t="s">
        <v>0</v>
      </c>
      <c r="AC22" s="9" t="str">
        <f t="shared" si="8"/>
        <v>-</v>
      </c>
      <c r="AD22" s="9" t="s">
        <v>0</v>
      </c>
      <c r="AE22" s="12" t="str">
        <f t="shared" si="9"/>
        <v>-</v>
      </c>
      <c r="AF22" s="9" t="s">
        <v>0</v>
      </c>
      <c r="AG22" s="9" t="s">
        <v>0</v>
      </c>
      <c r="AH22" s="9" t="s">
        <v>0</v>
      </c>
      <c r="AI22" s="9" t="s">
        <v>0</v>
      </c>
      <c r="AJ22" s="43" t="s">
        <v>0</v>
      </c>
      <c r="AK22" s="9" t="s">
        <v>0</v>
      </c>
      <c r="AL22" s="43" t="s">
        <v>0</v>
      </c>
      <c r="AM22" s="9" t="s">
        <v>0</v>
      </c>
      <c r="AN22" s="43" t="s">
        <v>0</v>
      </c>
      <c r="AO22" s="9" t="s">
        <v>0</v>
      </c>
      <c r="AP22" s="9" t="s">
        <v>0</v>
      </c>
      <c r="AQ22" s="43" t="s">
        <v>0</v>
      </c>
      <c r="AR22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2" s="9" t="str">
        <f t="shared" si="10"/>
        <v>-</v>
      </c>
      <c r="AT22" s="9">
        <f>IF(RIGHT(TMK[[#This Row],[Device type]],7)="Winding","-",TMK[[#This Row],[Cont Winter MVA]])</f>
        <v>152.4204710660612</v>
      </c>
      <c r="AU22" s="9">
        <f>IF(RIGHT(TMK[[#This Row],[Device type]],7)="Winding","-",TMK[[#This Row],[Cont Shoulder MVA]])</f>
        <v>152.4204710660612</v>
      </c>
      <c r="AV22" s="9">
        <f>IF(RIGHT(TMK[[#This Row],[Device type]],7)="Winding","-",TMK[[#This Row],[Cont Summer MVA]])</f>
        <v>152.4204710660612</v>
      </c>
      <c r="AW22" s="9">
        <f>IF(RIGHT(TMK[[#This Row],[Device type]],7)="Winding","-",TMK[[#This Row],[24 Hr Winter MVA]])</f>
        <v>182.90456527927344</v>
      </c>
      <c r="AX22" s="9">
        <f>IF(RIGHT(TMK[[#This Row],[Device type]],7)="Winding","-",TMK[[#This Row],[24 Hr Summer MVA]])</f>
        <v>182.90456527927344</v>
      </c>
      <c r="AY22" s="9" t="str">
        <f>TMK[[#This Row],[Forwards MVA]]</f>
        <v>-</v>
      </c>
      <c r="AZ22" s="9" t="str">
        <f>TMK[[#This Row],[Relay MVA]]</f>
        <v>-</v>
      </c>
      <c r="BA22" s="9" t="str">
        <f>TMK[[#This Row],[CT MVA]]</f>
        <v>-</v>
      </c>
      <c r="BB22" s="9" t="str">
        <f>TMK[[#This Row],[Derating MVA]]</f>
        <v>-</v>
      </c>
      <c r="BC22" s="9" t="str">
        <f>TMK[[#This Row],[Station/Feeder]]&amp;TMK[[#This Row],[Lowest MVA]]</f>
        <v>TMK_GXP152.420471066061</v>
      </c>
      <c r="BD22" s="9" t="str">
        <f>CONCATENATE(TMK[[#This Row],[Supply Level]],TMK[[#This Row],[Station/Feeder]],TMK[[#This Row],[Voltage]],TMK[[#This Row],[Lowest A-No PTX]])</f>
        <v>GXPTMK_GXP110800</v>
      </c>
      <c r="BE22" s="9" t="str">
        <f>CONCATENATE(TMK[[#This Row],[Supply Level]],TMK[[#This Row],[Station/Feeder]],TMK[[#This Row],[Voltage]],TMK[[#This Row],[Lowest A-PTX]])</f>
        <v>GXPTMK_GXP110800</v>
      </c>
      <c r="BF22" s="9">
        <f>IFERROR(IF(MIN(TMK[[#This Row],[Summ Cont Winter A]:[Cable Derating]])=0,"",MIN(TMK[[#This Row],[Summ Cont Winter A]:[Cable Derating]])),"")</f>
        <v>152.4204710660612</v>
      </c>
      <c r="BG22" s="9">
        <f>IFERROR(TMK[[#This Row],[Lowest MVA]]*1000/(TMK[[#This Row],[Voltage]]*SQRT(3)),"")</f>
        <v>800.00000000000011</v>
      </c>
      <c r="BH22" s="9">
        <f t="shared" si="5"/>
        <v>800</v>
      </c>
      <c r="BI22" s="9" t="str">
        <f>TMK[[#This Row],[From]]</f>
        <v>DS114</v>
      </c>
      <c r="BJ22" s="9" t="str">
        <f>TMK[[#This Row],[To]]</f>
        <v>33 kV Bus</v>
      </c>
      <c r="BK2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Transformer-TMK-TF-T2-Bushings</v>
      </c>
      <c r="BL22" s="9">
        <f>TMK[[#This Row],[Voltage]]</f>
        <v>110</v>
      </c>
    </row>
    <row r="23" spans="1:64" s="1" customFormat="1" ht="15" customHeight="1" x14ac:dyDescent="0.25">
      <c r="A23" s="6" t="str">
        <f>CONCATENATE(TMK[[#This Row],[Supply Level]],TMK[[#This Row],[Station/Feeder]],TMK[[#This Row],[Voltage]],"T2")</f>
        <v>GXPTMK_GXP110T2</v>
      </c>
      <c r="B23" s="6" t="str">
        <f>CONCATENATE(TMK[[#This Row],[Supply Level]],TMK[[#This Row],[Station/Feeder]],TMK[[#This Row],[Equipment ID]],TMK[[#This Row],[Voltage]],TMK[[#This Row],[Device type]])</f>
        <v xml:space="preserve">GXPTMK_GXPTMK-TF-T2110TapChanger </v>
      </c>
      <c r="C23" s="6" t="s">
        <v>4</v>
      </c>
      <c r="D23" s="11" t="s">
        <v>77</v>
      </c>
      <c r="E23" s="7" t="s">
        <v>1316</v>
      </c>
      <c r="F23" s="7" t="s">
        <v>63</v>
      </c>
      <c r="G23" s="56">
        <v>6</v>
      </c>
      <c r="H23" s="49" t="s">
        <v>465</v>
      </c>
      <c r="I23" s="123" t="s">
        <v>467</v>
      </c>
      <c r="J23" s="123" t="s">
        <v>19</v>
      </c>
      <c r="K23" s="7" t="s">
        <v>0</v>
      </c>
      <c r="L23" s="7" t="s">
        <v>477</v>
      </c>
      <c r="M23" s="43">
        <v>110</v>
      </c>
      <c r="N23" s="9">
        <v>300</v>
      </c>
      <c r="O23" s="9">
        <f t="shared" si="0"/>
        <v>57.157676649772945</v>
      </c>
      <c r="P23" s="9">
        <v>300</v>
      </c>
      <c r="Q23" s="9">
        <f t="shared" si="1"/>
        <v>57.157676649772945</v>
      </c>
      <c r="R23" s="9">
        <v>300</v>
      </c>
      <c r="S23" s="9">
        <f t="shared" si="2"/>
        <v>57.157676649772945</v>
      </c>
      <c r="T23" s="9">
        <v>360</v>
      </c>
      <c r="U23" s="9">
        <f t="shared" si="3"/>
        <v>68.589211979727537</v>
      </c>
      <c r="V23" s="9">
        <v>360</v>
      </c>
      <c r="W23" s="9">
        <f t="shared" si="4"/>
        <v>68.589211979727537</v>
      </c>
      <c r="X23" s="9" t="s">
        <v>0</v>
      </c>
      <c r="Y23" s="9" t="str">
        <f>IF(OR(X23="",X23="-"),"-",X23*$M23*SQRT(3)/1000)</f>
        <v>-</v>
      </c>
      <c r="Z23" s="9" t="s">
        <v>0</v>
      </c>
      <c r="AA23" s="9" t="str">
        <f>IF(OR(Z23="",Z23="-"),"-",Z23*$M23*SQRT(3)/1000)</f>
        <v>-</v>
      </c>
      <c r="AB23" s="9" t="s">
        <v>0</v>
      </c>
      <c r="AC23" s="9" t="str">
        <f>IF(OR(AB23="",AB23="-"),"-",AB23*$M23*SQRT(3)/1000)</f>
        <v>-</v>
      </c>
      <c r="AD23" s="9" t="s">
        <v>0</v>
      </c>
      <c r="AE23" s="12" t="str">
        <f>IF(OR(AD23="",AD23="-"),"-",AD23*$M23*SQRT(3)/1000)</f>
        <v>-</v>
      </c>
      <c r="AF23" s="29" t="s">
        <v>0</v>
      </c>
      <c r="AG23" s="29" t="s">
        <v>0</v>
      </c>
      <c r="AH23" s="9" t="s">
        <v>0</v>
      </c>
      <c r="AI23" s="29" t="s">
        <v>0</v>
      </c>
      <c r="AJ23" s="32" t="s">
        <v>0</v>
      </c>
      <c r="AK23" s="29" t="s">
        <v>0</v>
      </c>
      <c r="AL23" s="32" t="s">
        <v>0</v>
      </c>
      <c r="AM23" s="29" t="s">
        <v>0</v>
      </c>
      <c r="AN23" s="32" t="s">
        <v>0</v>
      </c>
      <c r="AO23" s="29" t="s">
        <v>0</v>
      </c>
      <c r="AP23" s="32" t="s">
        <v>0</v>
      </c>
      <c r="AQ23" s="32" t="s">
        <v>0</v>
      </c>
      <c r="AR2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3" s="9" t="str">
        <f>IF(OR(AR23="",AR23="-"),"-",AR23*$M23*SQRT(3)/1000)</f>
        <v>-</v>
      </c>
      <c r="AT23" s="9">
        <f>IF(RIGHT(TMK[[#This Row],[Device type]],7)="Winding","-",TMK[[#This Row],[Cont Winter MVA]])</f>
        <v>57.157676649772945</v>
      </c>
      <c r="AU23" s="9">
        <f>IF(RIGHT(TMK[[#This Row],[Device type]],7)="Winding","-",TMK[[#This Row],[Cont Shoulder MVA]])</f>
        <v>57.157676649772945</v>
      </c>
      <c r="AV23" s="9">
        <f>IF(RIGHT(TMK[[#This Row],[Device type]],7)="Winding","-",TMK[[#This Row],[Cont Summer MVA]])</f>
        <v>57.157676649772945</v>
      </c>
      <c r="AW23" s="9">
        <f>IF(RIGHT(TMK[[#This Row],[Device type]],7)="Winding","-",TMK[[#This Row],[24 Hr Winter MVA]])</f>
        <v>68.589211979727537</v>
      </c>
      <c r="AX23" s="9">
        <f>IF(RIGHT(TMK[[#This Row],[Device type]],7)="Winding","-",TMK[[#This Row],[24 Hr Summer MVA]])</f>
        <v>68.589211979727537</v>
      </c>
      <c r="AY23" s="9" t="str">
        <f>TMK[[#This Row],[Forwards MVA]]</f>
        <v>-</v>
      </c>
      <c r="AZ23" s="9" t="str">
        <f>TMK[[#This Row],[Relay MVA]]</f>
        <v>-</v>
      </c>
      <c r="BA23" s="9" t="str">
        <f>TMK[[#This Row],[CT MVA]]</f>
        <v>-</v>
      </c>
      <c r="BB23" s="9" t="str">
        <f>TMK[[#This Row],[Derating MVA]]</f>
        <v>-</v>
      </c>
      <c r="BC23" s="9" t="str">
        <f>TMK[[#This Row],[Station/Feeder]]&amp;TMK[[#This Row],[Lowest MVA]]</f>
        <v>TMK_GXP57.1576766497729</v>
      </c>
      <c r="BD23" s="9" t="str">
        <f>CONCATENATE(TMK[[#This Row],[Supply Level]],TMK[[#This Row],[Station/Feeder]],TMK[[#This Row],[Voltage]],TMK[[#This Row],[Lowest A-No PTX]])</f>
        <v>GXPTMK_GXP110300</v>
      </c>
      <c r="BE23" s="9" t="str">
        <f>CONCATENATE(TMK[[#This Row],[Supply Level]],TMK[[#This Row],[Station/Feeder]],TMK[[#This Row],[Voltage]],TMK[[#This Row],[Lowest A-PTX]])</f>
        <v>GXPTMK_GXP110300</v>
      </c>
      <c r="BF23" s="9">
        <f>IFERROR(IF(MIN(TMK[[#This Row],[Summ Cont Winter A]:[Cable Derating]])=0,"",MIN(TMK[[#This Row],[Summ Cont Winter A]:[Cable Derating]])),"")</f>
        <v>57.157676649772945</v>
      </c>
      <c r="BG23" s="9">
        <f>IFERROR(TMK[[#This Row],[Lowest MVA]]*1000/(TMK[[#This Row],[Voltage]]*SQRT(3)),"")</f>
        <v>300</v>
      </c>
      <c r="BH23" s="9">
        <f t="shared" si="5"/>
        <v>300</v>
      </c>
      <c r="BI23" s="9" t="str">
        <f>TMK[[#This Row],[From]]</f>
        <v>DS114</v>
      </c>
      <c r="BJ23" s="9" t="str">
        <f>TMK[[#This Row],[To]]</f>
        <v>33 kV Bus</v>
      </c>
      <c r="BK2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 xml:space="preserve">Transformer-TMK-TF-T2-TapChanger </v>
      </c>
      <c r="BL23" s="9">
        <f>TMK[[#This Row],[Voltage]]</f>
        <v>110</v>
      </c>
    </row>
    <row r="24" spans="1:64" s="1" customFormat="1" ht="15" customHeight="1" x14ac:dyDescent="0.25">
      <c r="A24" s="6" t="str">
        <f>CONCATENATE(TMK[[#This Row],[Supply Level]],TMK[[#This Row],[Station/Feeder]],TMK[[#This Row],[Voltage]],"T2")</f>
        <v>GXPTMK_GXP110T2</v>
      </c>
      <c r="B24" s="6" t="str">
        <f>CONCATENATE(TMK[[#This Row],[Supply Level]],TMK[[#This Row],[Station/Feeder]],TMK[[#This Row],[Equipment ID]],TMK[[#This Row],[Voltage]],TMK[[#This Row],[Device type]])</f>
        <v>GXPTMK_GXPTMK-TF-T2110HV Winding</v>
      </c>
      <c r="C24" s="6" t="s">
        <v>4</v>
      </c>
      <c r="D24" s="11" t="s">
        <v>77</v>
      </c>
      <c r="E24" s="7" t="s">
        <v>1316</v>
      </c>
      <c r="F24" s="7" t="s">
        <v>63</v>
      </c>
      <c r="G24" s="56">
        <v>7</v>
      </c>
      <c r="H24" s="49" t="s">
        <v>465</v>
      </c>
      <c r="I24" s="123" t="s">
        <v>467</v>
      </c>
      <c r="J24" s="123" t="s">
        <v>19</v>
      </c>
      <c r="K24" s="7" t="s">
        <v>0</v>
      </c>
      <c r="L24" s="7" t="s">
        <v>36</v>
      </c>
      <c r="M24" s="43">
        <v>110</v>
      </c>
      <c r="N24" s="9">
        <f>54000/(TMK[[#This Row],[Voltage]]*SQRT(3))</f>
        <v>283.42649578399812</v>
      </c>
      <c r="O24" s="9">
        <f t="shared" si="0"/>
        <v>54</v>
      </c>
      <c r="P24" s="9" t="s">
        <v>0</v>
      </c>
      <c r="Q24" s="9" t="str">
        <f t="shared" si="1"/>
        <v>-</v>
      </c>
      <c r="R24" s="9" t="s">
        <v>0</v>
      </c>
      <c r="S24" s="9" t="str">
        <f t="shared" si="2"/>
        <v>-</v>
      </c>
      <c r="T24" s="9">
        <v>332</v>
      </c>
      <c r="U24" s="9">
        <f t="shared" si="3"/>
        <v>63.254495492415394</v>
      </c>
      <c r="V24" s="9">
        <v>319</v>
      </c>
      <c r="W24" s="9">
        <f t="shared" si="4"/>
        <v>60.777662837591905</v>
      </c>
      <c r="X24" s="9" t="s">
        <v>0</v>
      </c>
      <c r="Y24" s="9" t="str">
        <f t="shared" si="6"/>
        <v>-</v>
      </c>
      <c r="Z24" s="9" t="s">
        <v>0</v>
      </c>
      <c r="AA24" s="9" t="str">
        <f t="shared" si="7"/>
        <v>-</v>
      </c>
      <c r="AB24" s="9" t="s">
        <v>0</v>
      </c>
      <c r="AC24" s="9" t="str">
        <f t="shared" si="8"/>
        <v>-</v>
      </c>
      <c r="AD24" s="9" t="s">
        <v>0</v>
      </c>
      <c r="AE24" s="12" t="str">
        <f t="shared" si="9"/>
        <v>-</v>
      </c>
      <c r="AF24" s="29" t="s">
        <v>0</v>
      </c>
      <c r="AG24" s="29" t="s">
        <v>0</v>
      </c>
      <c r="AH24" s="29" t="s">
        <v>0</v>
      </c>
      <c r="AI24" s="29" t="s">
        <v>0</v>
      </c>
      <c r="AJ24" s="32" t="s">
        <v>0</v>
      </c>
      <c r="AK24" s="29" t="s">
        <v>0</v>
      </c>
      <c r="AL24" s="32" t="s">
        <v>0</v>
      </c>
      <c r="AM24" s="29" t="s">
        <v>0</v>
      </c>
      <c r="AN24" s="32" t="s">
        <v>0</v>
      </c>
      <c r="AO24" s="29" t="s">
        <v>0</v>
      </c>
      <c r="AP24" s="29" t="s">
        <v>0</v>
      </c>
      <c r="AQ24" s="32" t="s">
        <v>0</v>
      </c>
      <c r="AR24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4" s="9" t="str">
        <f t="shared" si="10"/>
        <v>-</v>
      </c>
      <c r="AT24" s="9" t="str">
        <f>IF(RIGHT(TMK[[#This Row],[Device type]],7)="Winding","-",TMK[[#This Row],[Cont Winter MVA]])</f>
        <v>-</v>
      </c>
      <c r="AU24" s="9" t="str">
        <f>IF(RIGHT(TMK[[#This Row],[Device type]],7)="Winding","-",TMK[[#This Row],[Cont Shoulder MVA]])</f>
        <v>-</v>
      </c>
      <c r="AV24" s="9" t="str">
        <f>IF(RIGHT(TMK[[#This Row],[Device type]],7)="Winding","-",TMK[[#This Row],[Cont Summer MVA]])</f>
        <v>-</v>
      </c>
      <c r="AW24" s="9" t="str">
        <f>IF(RIGHT(TMK[[#This Row],[Device type]],7)="Winding","-",TMK[[#This Row],[24 Hr Winter MVA]])</f>
        <v>-</v>
      </c>
      <c r="AX24" s="9" t="str">
        <f>IF(RIGHT(TMK[[#This Row],[Device type]],7)="Winding","-",TMK[[#This Row],[24 Hr Summer MVA]])</f>
        <v>-</v>
      </c>
      <c r="AY24" s="9" t="str">
        <f>TMK[[#This Row],[Forwards MVA]]</f>
        <v>-</v>
      </c>
      <c r="AZ24" s="9" t="str">
        <f>TMK[[#This Row],[Relay MVA]]</f>
        <v>-</v>
      </c>
      <c r="BA24" s="9" t="str">
        <f>TMK[[#This Row],[CT MVA]]</f>
        <v>-</v>
      </c>
      <c r="BB24" s="9" t="str">
        <f>TMK[[#This Row],[Derating MVA]]</f>
        <v>-</v>
      </c>
      <c r="BC24" s="9" t="str">
        <f>TMK[[#This Row],[Station/Feeder]]&amp;TMK[[#This Row],[Lowest MVA]]</f>
        <v>TMK_GXP</v>
      </c>
      <c r="BD24" s="9" t="str">
        <f>CONCATENATE(TMK[[#This Row],[Supply Level]],TMK[[#This Row],[Station/Feeder]],TMK[[#This Row],[Voltage]],TMK[[#This Row],[Lowest A-No PTX]])</f>
        <v>GXPTMK_GXP110</v>
      </c>
      <c r="BE24" s="9" t="str">
        <f>CONCATENATE(TMK[[#This Row],[Supply Level]],TMK[[#This Row],[Station/Feeder]],TMK[[#This Row],[Voltage]],TMK[[#This Row],[Lowest A-PTX]])</f>
        <v>GXPTMK_GXP110283.426495783998</v>
      </c>
      <c r="BF24" s="9" t="str">
        <f>IFERROR(IF(MIN(TMK[[#This Row],[Summ Cont Winter A]:[Cable Derating]])=0,"",MIN(TMK[[#This Row],[Summ Cont Winter A]:[Cable Derating]])),"")</f>
        <v/>
      </c>
      <c r="BG24" s="9" t="str">
        <f>IFERROR(TMK[[#This Row],[Lowest MVA]]*1000/(TMK[[#This Row],[Voltage]]*SQRT(3)),"")</f>
        <v/>
      </c>
      <c r="BH24" s="9">
        <f t="shared" si="5"/>
        <v>283.42649578399812</v>
      </c>
      <c r="BI24" s="9" t="str">
        <f>TMK[[#This Row],[From]]</f>
        <v>DS114</v>
      </c>
      <c r="BJ24" s="9" t="str">
        <f>TMK[[#This Row],[To]]</f>
        <v>33 kV Bus</v>
      </c>
      <c r="BK2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Transformer-TMK-TF-T2-HV Winding</v>
      </c>
      <c r="BL24" s="9">
        <f>TMK[[#This Row],[Voltage]]</f>
        <v>110</v>
      </c>
    </row>
    <row r="25" spans="1:64" s="1" customFormat="1" ht="15" customHeight="1" x14ac:dyDescent="0.25">
      <c r="A25" s="6" t="str">
        <f>CONCATENATE(TMK[[#This Row],[Supply Level]],TMK[[#This Row],[Station/Feeder]],TMK[[#This Row],[Voltage]],"T2")</f>
        <v>GXPTMK_GXP33.594T2</v>
      </c>
      <c r="B25" s="6" t="str">
        <f>CONCATENATE(TMK[[#This Row],[Supply Level]],TMK[[#This Row],[Station/Feeder]],TMK[[#This Row],[Equipment ID]],TMK[[#This Row],[Voltage]],TMK[[#This Row],[Device type]])</f>
        <v>GXPTMK_GXPTMK-TF-T233.594LV Winding</v>
      </c>
      <c r="C25" s="6" t="s">
        <v>4</v>
      </c>
      <c r="D25" s="11" t="s">
        <v>77</v>
      </c>
      <c r="E25" s="7" t="s">
        <v>1316</v>
      </c>
      <c r="F25" s="7" t="s">
        <v>63</v>
      </c>
      <c r="G25" s="56">
        <v>8</v>
      </c>
      <c r="H25" s="49" t="s">
        <v>465</v>
      </c>
      <c r="I25" s="123" t="s">
        <v>467</v>
      </c>
      <c r="J25" s="123" t="s">
        <v>19</v>
      </c>
      <c r="K25" s="7" t="s">
        <v>0</v>
      </c>
      <c r="L25" s="7" t="s">
        <v>37</v>
      </c>
      <c r="M25" s="43">
        <f t="shared" ref="M25:M46" si="22">33*1.018</f>
        <v>33.594000000000001</v>
      </c>
      <c r="N25" s="9">
        <f>54000/(TMK[[#This Row],[Voltage]]*SQRT(3))</f>
        <v>928.05008442697476</v>
      </c>
      <c r="O25" s="9">
        <f t="shared" si="0"/>
        <v>53.999999999999993</v>
      </c>
      <c r="P25" s="9" t="s">
        <v>0</v>
      </c>
      <c r="Q25" s="9" t="str">
        <f t="shared" si="1"/>
        <v>-</v>
      </c>
      <c r="R25" s="9" t="s">
        <v>0</v>
      </c>
      <c r="S25" s="9" t="str">
        <f t="shared" si="2"/>
        <v>-</v>
      </c>
      <c r="T25" s="9">
        <v>1107</v>
      </c>
      <c r="U25" s="9">
        <f t="shared" si="3"/>
        <v>64.412471916222032</v>
      </c>
      <c r="V25" s="9">
        <v>1062</v>
      </c>
      <c r="W25" s="9">
        <f t="shared" si="4"/>
        <v>61.794078748895934</v>
      </c>
      <c r="X25" s="9" t="s">
        <v>0</v>
      </c>
      <c r="Y25" s="9" t="str">
        <f t="shared" si="6"/>
        <v>-</v>
      </c>
      <c r="Z25" s="9" t="s">
        <v>0</v>
      </c>
      <c r="AA25" s="9" t="str">
        <f t="shared" si="7"/>
        <v>-</v>
      </c>
      <c r="AB25" s="9" t="s">
        <v>0</v>
      </c>
      <c r="AC25" s="9" t="str">
        <f t="shared" si="8"/>
        <v>-</v>
      </c>
      <c r="AD25" s="9" t="s">
        <v>0</v>
      </c>
      <c r="AE25" s="12" t="str">
        <f t="shared" si="9"/>
        <v>-</v>
      </c>
      <c r="AF25" s="29" t="s">
        <v>0</v>
      </c>
      <c r="AG25" s="29" t="s">
        <v>0</v>
      </c>
      <c r="AH25" s="29" t="s">
        <v>0</v>
      </c>
      <c r="AI25" s="29" t="s">
        <v>0</v>
      </c>
      <c r="AJ25" s="32" t="s">
        <v>0</v>
      </c>
      <c r="AK25" s="29" t="s">
        <v>0</v>
      </c>
      <c r="AL25" s="32" t="s">
        <v>0</v>
      </c>
      <c r="AM25" s="29" t="s">
        <v>0</v>
      </c>
      <c r="AN25" s="32" t="s">
        <v>0</v>
      </c>
      <c r="AO25" s="29" t="s">
        <v>0</v>
      </c>
      <c r="AP25" s="29" t="s">
        <v>0</v>
      </c>
      <c r="AQ25" s="32" t="s">
        <v>0</v>
      </c>
      <c r="AR25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5" s="9" t="str">
        <f t="shared" si="10"/>
        <v>-</v>
      </c>
      <c r="AT25" s="9" t="str">
        <f>IF(RIGHT(TMK[[#This Row],[Device type]],7)="Winding","-",TMK[[#This Row],[Cont Winter MVA]])</f>
        <v>-</v>
      </c>
      <c r="AU25" s="9" t="str">
        <f>IF(RIGHT(TMK[[#This Row],[Device type]],7)="Winding","-",TMK[[#This Row],[Cont Shoulder MVA]])</f>
        <v>-</v>
      </c>
      <c r="AV25" s="9" t="str">
        <f>IF(RIGHT(TMK[[#This Row],[Device type]],7)="Winding","-",TMK[[#This Row],[Cont Summer MVA]])</f>
        <v>-</v>
      </c>
      <c r="AW25" s="9" t="str">
        <f>IF(RIGHT(TMK[[#This Row],[Device type]],7)="Winding","-",TMK[[#This Row],[24 Hr Winter MVA]])</f>
        <v>-</v>
      </c>
      <c r="AX25" s="9" t="str">
        <f>IF(RIGHT(TMK[[#This Row],[Device type]],7)="Winding","-",TMK[[#This Row],[24 Hr Summer MVA]])</f>
        <v>-</v>
      </c>
      <c r="AY25" s="9" t="str">
        <f>TMK[[#This Row],[Forwards MVA]]</f>
        <v>-</v>
      </c>
      <c r="AZ25" s="9" t="str">
        <f>TMK[[#This Row],[Relay MVA]]</f>
        <v>-</v>
      </c>
      <c r="BA25" s="9" t="str">
        <f>TMK[[#This Row],[CT MVA]]</f>
        <v>-</v>
      </c>
      <c r="BB25" s="9" t="str">
        <f>TMK[[#This Row],[Derating MVA]]</f>
        <v>-</v>
      </c>
      <c r="BC25" s="9" t="str">
        <f>TMK[[#This Row],[Station/Feeder]]&amp;TMK[[#This Row],[Lowest MVA]]</f>
        <v>TMK_GXP</v>
      </c>
      <c r="BD25" s="9" t="str">
        <f>CONCATENATE(TMK[[#This Row],[Supply Level]],TMK[[#This Row],[Station/Feeder]],TMK[[#This Row],[Voltage]],TMK[[#This Row],[Lowest A-No PTX]])</f>
        <v>GXPTMK_GXP33.594</v>
      </c>
      <c r="BE25" s="9" t="str">
        <f>CONCATENATE(TMK[[#This Row],[Supply Level]],TMK[[#This Row],[Station/Feeder]],TMK[[#This Row],[Voltage]],TMK[[#This Row],[Lowest A-PTX]])</f>
        <v>GXPTMK_GXP33.594928.050084426975</v>
      </c>
      <c r="BF25" s="9" t="str">
        <f>IFERROR(IF(MIN(TMK[[#This Row],[Summ Cont Winter A]:[Cable Derating]])=0,"",MIN(TMK[[#This Row],[Summ Cont Winter A]:[Cable Derating]])),"")</f>
        <v/>
      </c>
      <c r="BG25" s="9" t="str">
        <f>IFERROR(TMK[[#This Row],[Lowest MVA]]*1000/(TMK[[#This Row],[Voltage]]*SQRT(3)),"")</f>
        <v/>
      </c>
      <c r="BH25" s="9">
        <f t="shared" si="5"/>
        <v>928.05008442697476</v>
      </c>
      <c r="BI25" s="9" t="str">
        <f>TMK[[#This Row],[From]]</f>
        <v>DS114</v>
      </c>
      <c r="BJ25" s="9" t="str">
        <f>TMK[[#This Row],[To]]</f>
        <v>33 kV Bus</v>
      </c>
      <c r="BK2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Transformer-TMK-TF-T2-LV Winding</v>
      </c>
      <c r="BL25" s="9">
        <f>TMK[[#This Row],[Voltage]]</f>
        <v>33.594000000000001</v>
      </c>
    </row>
    <row r="26" spans="1:64" s="1" customFormat="1" ht="15" customHeight="1" x14ac:dyDescent="0.25">
      <c r="A26" s="6" t="str">
        <f>CONCATENATE(TMK[[#This Row],[Supply Level]],TMK[[#This Row],[Station/Feeder]],TMK[[#This Row],[Voltage]],"T2")</f>
        <v>GXPTMK_GXP33.594T2</v>
      </c>
      <c r="B26" s="6" t="str">
        <f>CONCATENATE(TMK[[#This Row],[Supply Level]],TMK[[#This Row],[Station/Feeder]],TMK[[#This Row],[Equipment ID]],TMK[[#This Row],[Voltage]],TMK[[#This Row],[Device type]])</f>
        <v>GXPTMK_GXPTMK-TF-T233.594Bushings</v>
      </c>
      <c r="C26" s="6" t="s">
        <v>4</v>
      </c>
      <c r="D26" s="11" t="s">
        <v>77</v>
      </c>
      <c r="E26" s="7" t="s">
        <v>1316</v>
      </c>
      <c r="F26" s="7" t="s">
        <v>63</v>
      </c>
      <c r="G26" s="56">
        <v>9</v>
      </c>
      <c r="H26" s="7" t="s">
        <v>465</v>
      </c>
      <c r="I26" s="123" t="s">
        <v>467</v>
      </c>
      <c r="J26" s="123" t="s">
        <v>19</v>
      </c>
      <c r="K26" s="7" t="s">
        <v>467</v>
      </c>
      <c r="L26" s="7" t="s">
        <v>18</v>
      </c>
      <c r="M26" s="43">
        <f t="shared" si="22"/>
        <v>33.594000000000001</v>
      </c>
      <c r="N26" s="9">
        <v>1200</v>
      </c>
      <c r="O26" s="9">
        <f t="shared" si="0"/>
        <v>69.823817795362643</v>
      </c>
      <c r="P26" s="9">
        <v>1200</v>
      </c>
      <c r="Q26" s="9">
        <f t="shared" si="1"/>
        <v>69.823817795362643</v>
      </c>
      <c r="R26" s="9">
        <v>1200</v>
      </c>
      <c r="S26" s="9">
        <f t="shared" si="2"/>
        <v>69.823817795362643</v>
      </c>
      <c r="T26" s="9">
        <v>1440</v>
      </c>
      <c r="U26" s="9">
        <f t="shared" si="3"/>
        <v>83.788581354435152</v>
      </c>
      <c r="V26" s="9">
        <v>1440</v>
      </c>
      <c r="W26" s="9">
        <f t="shared" si="4"/>
        <v>83.788581354435152</v>
      </c>
      <c r="X26" s="9" t="s">
        <v>0</v>
      </c>
      <c r="Y26" s="9" t="str">
        <f t="shared" si="6"/>
        <v>-</v>
      </c>
      <c r="Z26" s="9" t="s">
        <v>0</v>
      </c>
      <c r="AA26" s="9" t="str">
        <f t="shared" si="7"/>
        <v>-</v>
      </c>
      <c r="AB26" s="9" t="s">
        <v>0</v>
      </c>
      <c r="AC26" s="9" t="str">
        <f t="shared" si="8"/>
        <v>-</v>
      </c>
      <c r="AD26" s="9" t="s">
        <v>0</v>
      </c>
      <c r="AE26" s="12" t="str">
        <f t="shared" si="9"/>
        <v>-</v>
      </c>
      <c r="AF26" s="29" t="s">
        <v>0</v>
      </c>
      <c r="AG26" s="29" t="s">
        <v>0</v>
      </c>
      <c r="AH26" s="9" t="s">
        <v>0</v>
      </c>
      <c r="AI26" s="29" t="s">
        <v>0</v>
      </c>
      <c r="AJ26" s="32" t="s">
        <v>0</v>
      </c>
      <c r="AK26" s="29" t="s">
        <v>0</v>
      </c>
      <c r="AL26" s="32" t="s">
        <v>0</v>
      </c>
      <c r="AM26" s="29" t="s">
        <v>0</v>
      </c>
      <c r="AN26" s="32" t="s">
        <v>0</v>
      </c>
      <c r="AO26" s="29" t="s">
        <v>0</v>
      </c>
      <c r="AP26" s="32" t="s">
        <v>0</v>
      </c>
      <c r="AQ26" s="32" t="s">
        <v>0</v>
      </c>
      <c r="AR2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6" s="9" t="str">
        <f t="shared" si="10"/>
        <v>-</v>
      </c>
      <c r="AT26" s="9">
        <f>IF(RIGHT(TMK[[#This Row],[Device type]],7)="Winding","-",TMK[[#This Row],[Cont Winter MVA]])</f>
        <v>69.823817795362643</v>
      </c>
      <c r="AU26" s="9">
        <f>IF(RIGHT(TMK[[#This Row],[Device type]],7)="Winding","-",TMK[[#This Row],[Cont Shoulder MVA]])</f>
        <v>69.823817795362643</v>
      </c>
      <c r="AV26" s="9">
        <f>IF(RIGHT(TMK[[#This Row],[Device type]],7)="Winding","-",TMK[[#This Row],[Cont Summer MVA]])</f>
        <v>69.823817795362643</v>
      </c>
      <c r="AW26" s="9">
        <f>IF(RIGHT(TMK[[#This Row],[Device type]],7)="Winding","-",TMK[[#This Row],[24 Hr Winter MVA]])</f>
        <v>83.788581354435152</v>
      </c>
      <c r="AX26" s="9">
        <f>IF(RIGHT(TMK[[#This Row],[Device type]],7)="Winding","-",TMK[[#This Row],[24 Hr Summer MVA]])</f>
        <v>83.788581354435152</v>
      </c>
      <c r="AY26" s="9" t="str">
        <f>TMK[[#This Row],[Forwards MVA]]</f>
        <v>-</v>
      </c>
      <c r="AZ26" s="9" t="str">
        <f>TMK[[#This Row],[Relay MVA]]</f>
        <v>-</v>
      </c>
      <c r="BA26" s="9" t="str">
        <f>TMK[[#This Row],[CT MVA]]</f>
        <v>-</v>
      </c>
      <c r="BB26" s="9" t="str">
        <f>TMK[[#This Row],[Derating MVA]]</f>
        <v>-</v>
      </c>
      <c r="BC26" s="9" t="str">
        <f>TMK[[#This Row],[Station/Feeder]]&amp;TMK[[#This Row],[Lowest MVA]]</f>
        <v>TMK_GXP69.8238177953626</v>
      </c>
      <c r="BD26" s="9" t="str">
        <f>CONCATENATE(TMK[[#This Row],[Supply Level]],TMK[[#This Row],[Station/Feeder]],TMK[[#This Row],[Voltage]],TMK[[#This Row],[Lowest A-No PTX]])</f>
        <v>GXPTMK_GXP33.5941200</v>
      </c>
      <c r="BE26" s="9" t="str">
        <f>CONCATENATE(TMK[[#This Row],[Supply Level]],TMK[[#This Row],[Station/Feeder]],TMK[[#This Row],[Voltage]],TMK[[#This Row],[Lowest A-PTX]])</f>
        <v>GXPTMK_GXP33.5941200</v>
      </c>
      <c r="BF26" s="9">
        <f>IFERROR(IF(MIN(TMK[[#This Row],[Summ Cont Winter A]:[Cable Derating]])=0,"",MIN(TMK[[#This Row],[Summ Cont Winter A]:[Cable Derating]])),"")</f>
        <v>69.823817795362643</v>
      </c>
      <c r="BG26" s="9">
        <f>IFERROR(TMK[[#This Row],[Lowest MVA]]*1000/(TMK[[#This Row],[Voltage]]*SQRT(3)),"")</f>
        <v>1200.0000000000002</v>
      </c>
      <c r="BH26" s="9">
        <f t="shared" si="5"/>
        <v>1200</v>
      </c>
      <c r="BI26" s="9" t="str">
        <f>TMK[[#This Row],[From]]</f>
        <v>DS114</v>
      </c>
      <c r="BJ26" s="9" t="str">
        <f>TMK[[#This Row],[To]]</f>
        <v>33 kV Bus</v>
      </c>
      <c r="BK2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Transformer-TMK-TF-T2-Bushings</v>
      </c>
      <c r="BL26" s="9">
        <f>TMK[[#This Row],[Voltage]]</f>
        <v>33.594000000000001</v>
      </c>
    </row>
    <row r="27" spans="1:64" s="1" customFormat="1" ht="15" customHeight="1" x14ac:dyDescent="0.25">
      <c r="A27" s="6" t="str">
        <f>CONCATENATE(TMK[[#This Row],[Supply Level]],TMK[[#This Row],[Station/Feeder]],TMK[[#This Row],[Voltage]],"T2")</f>
        <v>GXPTMK_GXP33.594T2</v>
      </c>
      <c r="B27" s="6" t="str">
        <f>CONCATENATE(TMK[[#This Row],[Supply Level]],TMK[[#This Row],[Station/Feeder]],TMK[[#This Row],[Equipment ID]],TMK[[#This Row],[Voltage]],TMK[[#This Row],[Device type]])</f>
        <v>GXPTMK_GXPTMK-CBL-T133.594-</v>
      </c>
      <c r="C27" s="6" t="s">
        <v>4</v>
      </c>
      <c r="D27" s="11" t="s">
        <v>77</v>
      </c>
      <c r="E27" s="7" t="s">
        <v>1316</v>
      </c>
      <c r="F27" s="7" t="s">
        <v>63</v>
      </c>
      <c r="G27" s="56">
        <v>10</v>
      </c>
      <c r="H27" s="7" t="s">
        <v>465</v>
      </c>
      <c r="I27" s="123" t="s">
        <v>469</v>
      </c>
      <c r="J27" s="123" t="s">
        <v>250</v>
      </c>
      <c r="K27" s="7" t="s">
        <v>0</v>
      </c>
      <c r="L27" s="7" t="s">
        <v>0</v>
      </c>
      <c r="M27" s="43">
        <f t="shared" si="22"/>
        <v>33.594000000000001</v>
      </c>
      <c r="N27" s="9">
        <v>1200</v>
      </c>
      <c r="O27" s="9">
        <f t="shared" si="0"/>
        <v>69.823817795362643</v>
      </c>
      <c r="P27" s="9">
        <v>1200</v>
      </c>
      <c r="Q27" s="9">
        <f t="shared" si="1"/>
        <v>69.823817795362643</v>
      </c>
      <c r="R27" s="9">
        <v>1200</v>
      </c>
      <c r="S27" s="9">
        <f t="shared" si="2"/>
        <v>69.823817795362643</v>
      </c>
      <c r="T27" s="9" t="s">
        <v>0</v>
      </c>
      <c r="U27" s="9" t="str">
        <f t="shared" si="3"/>
        <v>-</v>
      </c>
      <c r="V27" s="9" t="s">
        <v>0</v>
      </c>
      <c r="W27" s="9" t="str">
        <f t="shared" si="4"/>
        <v>-</v>
      </c>
      <c r="X27" s="9" t="s">
        <v>0</v>
      </c>
      <c r="Y27" s="9" t="str">
        <f t="shared" si="6"/>
        <v>-</v>
      </c>
      <c r="Z27" s="9" t="s">
        <v>0</v>
      </c>
      <c r="AA27" s="9" t="str">
        <f t="shared" si="7"/>
        <v>-</v>
      </c>
      <c r="AB27" s="9" t="s">
        <v>0</v>
      </c>
      <c r="AC27" s="9" t="str">
        <f t="shared" si="8"/>
        <v>-</v>
      </c>
      <c r="AD27" s="9" t="s">
        <v>0</v>
      </c>
      <c r="AE27" s="12" t="str">
        <f t="shared" si="9"/>
        <v>-</v>
      </c>
      <c r="AF27" s="9" t="s">
        <v>0</v>
      </c>
      <c r="AG27" s="9" t="s">
        <v>0</v>
      </c>
      <c r="AH27" s="9" t="s">
        <v>0</v>
      </c>
      <c r="AI27" s="9" t="s">
        <v>0</v>
      </c>
      <c r="AJ27" s="43" t="s">
        <v>0</v>
      </c>
      <c r="AK27" s="29" t="s">
        <v>0</v>
      </c>
      <c r="AL27" s="32" t="s">
        <v>0</v>
      </c>
      <c r="AM27" s="29" t="s">
        <v>0</v>
      </c>
      <c r="AN27" s="32" t="s">
        <v>0</v>
      </c>
      <c r="AO27" s="29" t="s">
        <v>0</v>
      </c>
      <c r="AP27" s="32" t="s">
        <v>0</v>
      </c>
      <c r="AQ27" s="32" t="s">
        <v>0</v>
      </c>
      <c r="AR27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7" s="9" t="str">
        <f t="shared" si="10"/>
        <v>-</v>
      </c>
      <c r="AT27" s="9">
        <f>IF(RIGHT(TMK[[#This Row],[Device type]],7)="Winding","-",TMK[[#This Row],[Cont Winter MVA]])</f>
        <v>69.823817795362643</v>
      </c>
      <c r="AU27" s="9">
        <f>IF(RIGHT(TMK[[#This Row],[Device type]],7)="Winding","-",TMK[[#This Row],[Cont Shoulder MVA]])</f>
        <v>69.823817795362643</v>
      </c>
      <c r="AV27" s="9">
        <f>IF(RIGHT(TMK[[#This Row],[Device type]],7)="Winding","-",TMK[[#This Row],[Cont Summer MVA]])</f>
        <v>69.823817795362643</v>
      </c>
      <c r="AW27" s="9" t="str">
        <f>IF(RIGHT(TMK[[#This Row],[Device type]],7)="Winding","-",TMK[[#This Row],[24 Hr Winter MVA]])</f>
        <v>-</v>
      </c>
      <c r="AX27" s="9" t="str">
        <f>IF(RIGHT(TMK[[#This Row],[Device type]],7)="Winding","-",TMK[[#This Row],[24 Hr Summer MVA]])</f>
        <v>-</v>
      </c>
      <c r="AY27" s="9" t="str">
        <f>TMK[[#This Row],[Forwards MVA]]</f>
        <v>-</v>
      </c>
      <c r="AZ27" s="9" t="str">
        <f>TMK[[#This Row],[Relay MVA]]</f>
        <v>-</v>
      </c>
      <c r="BA27" s="9" t="str">
        <f>TMK[[#This Row],[CT MVA]]</f>
        <v>-</v>
      </c>
      <c r="BB27" s="9" t="str">
        <f>TMK[[#This Row],[Derating MVA]]</f>
        <v>-</v>
      </c>
      <c r="BC27" s="9" t="str">
        <f>TMK[[#This Row],[Station/Feeder]]&amp;TMK[[#This Row],[Lowest MVA]]</f>
        <v>TMK_GXP69.8238177953626</v>
      </c>
      <c r="BD27" s="9" t="str">
        <f>CONCATENATE(TMK[[#This Row],[Supply Level]],TMK[[#This Row],[Station/Feeder]],TMK[[#This Row],[Voltage]],TMK[[#This Row],[Lowest A-No PTX]])</f>
        <v>GXPTMK_GXP33.5941200</v>
      </c>
      <c r="BE27" s="9" t="str">
        <f>CONCATENATE(TMK[[#This Row],[Supply Level]],TMK[[#This Row],[Station/Feeder]],TMK[[#This Row],[Voltage]],TMK[[#This Row],[Lowest A-PTX]])</f>
        <v>GXPTMK_GXP33.5941200</v>
      </c>
      <c r="BF27" s="9">
        <f>IFERROR(IF(MIN(TMK[[#This Row],[Summ Cont Winter A]:[Cable Derating]])=0,"",MIN(TMK[[#This Row],[Summ Cont Winter A]:[Cable Derating]])),"")</f>
        <v>69.823817795362643</v>
      </c>
      <c r="BG27" s="9">
        <f>IFERROR(TMK[[#This Row],[Lowest MVA]]*1000/(TMK[[#This Row],[Voltage]]*SQRT(3)),"")</f>
        <v>1200.0000000000002</v>
      </c>
      <c r="BH27" s="9">
        <f t="shared" si="5"/>
        <v>1200</v>
      </c>
      <c r="BI27" s="9" t="str">
        <f>TMK[[#This Row],[From]]</f>
        <v>DS114</v>
      </c>
      <c r="BJ27" s="9" t="str">
        <f>TMK[[#This Row],[To]]</f>
        <v>33 kV Bus</v>
      </c>
      <c r="BK2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Cable-TMK-CBL-T1</v>
      </c>
      <c r="BL27" s="9">
        <f>TMK[[#This Row],[Voltage]]</f>
        <v>33.594000000000001</v>
      </c>
    </row>
    <row r="28" spans="1:64" s="1" customFormat="1" ht="15" customHeight="1" x14ac:dyDescent="0.25">
      <c r="A28" s="6" t="str">
        <f>CONCATENATE(TMK[[#This Row],[Supply Level]],TMK[[#This Row],[Station/Feeder]],TMK[[#This Row],[Voltage]],"T2")</f>
        <v>GXPTMK_GXP33.594T2</v>
      </c>
      <c r="B28" s="6" t="str">
        <f>CONCATENATE(TMK[[#This Row],[Supply Level]],TMK[[#This Row],[Station/Feeder]],TMK[[#This Row],[Equipment ID]],TMK[[#This Row],[Voltage]],TMK[[#This Row],[Device type]])</f>
        <v>GXPTMK_GXPTMK-CB123233.594Protection</v>
      </c>
      <c r="C28" s="6" t="s">
        <v>4</v>
      </c>
      <c r="D28" s="11" t="s">
        <v>77</v>
      </c>
      <c r="E28" s="7" t="s">
        <v>1316</v>
      </c>
      <c r="F28" s="7" t="s">
        <v>63</v>
      </c>
      <c r="G28" s="56">
        <v>11</v>
      </c>
      <c r="H28" s="7" t="s">
        <v>465</v>
      </c>
      <c r="I28" s="123" t="s">
        <v>2308</v>
      </c>
      <c r="J28" s="123" t="s">
        <v>15</v>
      </c>
      <c r="K28" s="46" t="s">
        <v>470</v>
      </c>
      <c r="L28" s="46" t="s">
        <v>1423</v>
      </c>
      <c r="M28" s="43">
        <f t="shared" si="22"/>
        <v>33.594000000000001</v>
      </c>
      <c r="N28" s="9">
        <v>1250</v>
      </c>
      <c r="O28" s="9">
        <f t="shared" si="0"/>
        <v>72.733143536836067</v>
      </c>
      <c r="P28" s="9">
        <v>1250</v>
      </c>
      <c r="Q28" s="9">
        <f t="shared" si="1"/>
        <v>72.733143536836067</v>
      </c>
      <c r="R28" s="9">
        <v>1250</v>
      </c>
      <c r="S28" s="9">
        <f t="shared" si="2"/>
        <v>72.733143536836067</v>
      </c>
      <c r="T28" s="9">
        <v>1250</v>
      </c>
      <c r="U28" s="9">
        <f t="shared" si="3"/>
        <v>72.733143536836067</v>
      </c>
      <c r="V28" s="9">
        <v>1250</v>
      </c>
      <c r="W28" s="9">
        <f t="shared" si="4"/>
        <v>72.733143536836067</v>
      </c>
      <c r="X28" s="9">
        <v>496</v>
      </c>
      <c r="Y28" s="9">
        <f t="shared" si="6"/>
        <v>28.860511355416556</v>
      </c>
      <c r="Z28" s="9">
        <v>1136</v>
      </c>
      <c r="AA28" s="9">
        <f t="shared" si="7"/>
        <v>66.099880846276633</v>
      </c>
      <c r="AB28" s="9">
        <v>3600</v>
      </c>
      <c r="AC28" s="9">
        <f t="shared" si="8"/>
        <v>209.47145338608792</v>
      </c>
      <c r="AD28" s="9">
        <v>1440</v>
      </c>
      <c r="AE28" s="12">
        <f t="shared" si="9"/>
        <v>83.788581354435152</v>
      </c>
      <c r="AF28" s="9" t="s">
        <v>0</v>
      </c>
      <c r="AG28" s="9" t="s">
        <v>0</v>
      </c>
      <c r="AH28" s="29" t="s">
        <v>0</v>
      </c>
      <c r="AI28" s="9" t="s">
        <v>0</v>
      </c>
      <c r="AJ28" s="43" t="s">
        <v>0</v>
      </c>
      <c r="AK28" s="29" t="s">
        <v>0</v>
      </c>
      <c r="AL28" s="32" t="s">
        <v>0</v>
      </c>
      <c r="AM28" s="29" t="s">
        <v>0</v>
      </c>
      <c r="AN28" s="32" t="s">
        <v>0</v>
      </c>
      <c r="AO28" s="29" t="s">
        <v>0</v>
      </c>
      <c r="AP28" s="29" t="s">
        <v>0</v>
      </c>
      <c r="AQ28" s="32" t="s">
        <v>0</v>
      </c>
      <c r="AR28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8" s="9" t="str">
        <f t="shared" si="10"/>
        <v>-</v>
      </c>
      <c r="AT28" s="9">
        <f>IF(RIGHT(TMK[[#This Row],[Device type]],7)="Winding","-",TMK[[#This Row],[Cont Winter MVA]])</f>
        <v>72.733143536836067</v>
      </c>
      <c r="AU28" s="9">
        <f>IF(RIGHT(TMK[[#This Row],[Device type]],7)="Winding","-",TMK[[#This Row],[Cont Shoulder MVA]])</f>
        <v>72.733143536836067</v>
      </c>
      <c r="AV28" s="9">
        <f>IF(RIGHT(TMK[[#This Row],[Device type]],7)="Winding","-",TMK[[#This Row],[Cont Summer MVA]])</f>
        <v>72.733143536836067</v>
      </c>
      <c r="AW28" s="9">
        <f>IF(RIGHT(TMK[[#This Row],[Device type]],7)="Winding","-",TMK[[#This Row],[24 Hr Winter MVA]])</f>
        <v>72.733143536836067</v>
      </c>
      <c r="AX28" s="9">
        <f>IF(RIGHT(TMK[[#This Row],[Device type]],7)="Winding","-",TMK[[#This Row],[24 Hr Summer MVA]])</f>
        <v>72.733143536836067</v>
      </c>
      <c r="AY28" s="9">
        <f>TMK[[#This Row],[Forwards MVA]]</f>
        <v>28.860511355416556</v>
      </c>
      <c r="AZ28" s="9">
        <f>TMK[[#This Row],[Relay MVA]]</f>
        <v>209.47145338608792</v>
      </c>
      <c r="BA28" s="9">
        <f>TMK[[#This Row],[CT MVA]]</f>
        <v>83.788581354435152</v>
      </c>
      <c r="BB28" s="9" t="str">
        <f>TMK[[#This Row],[Derating MVA]]</f>
        <v>-</v>
      </c>
      <c r="BC28" s="9" t="str">
        <f>TMK[[#This Row],[Station/Feeder]]&amp;TMK[[#This Row],[Lowest MVA]]</f>
        <v>TMK_GXP28.8605113554166</v>
      </c>
      <c r="BD28" s="9" t="str">
        <f>CONCATENATE(TMK[[#This Row],[Supply Level]],TMK[[#This Row],[Station/Feeder]],TMK[[#This Row],[Voltage]],TMK[[#This Row],[Lowest A-No PTX]])</f>
        <v>GXPTMK_GXP33.594496</v>
      </c>
      <c r="BE28" s="9" t="str">
        <f>CONCATENATE(TMK[[#This Row],[Supply Level]],TMK[[#This Row],[Station/Feeder]],TMK[[#This Row],[Voltage]],TMK[[#This Row],[Lowest A-PTX]])</f>
        <v>GXPTMK_GXP33.594496</v>
      </c>
      <c r="BF28" s="9">
        <f>IFERROR(IF(MIN(TMK[[#This Row],[Summ Cont Winter A]:[Cable Derating]])=0,"",MIN(TMK[[#This Row],[Summ Cont Winter A]:[Cable Derating]])),"")</f>
        <v>28.860511355416556</v>
      </c>
      <c r="BG28" s="9">
        <f>IFERROR(TMK[[#This Row],[Lowest MVA]]*1000/(TMK[[#This Row],[Voltage]]*SQRT(3)),"")</f>
        <v>496</v>
      </c>
      <c r="BH28" s="9">
        <f t="shared" si="5"/>
        <v>496</v>
      </c>
      <c r="BI28" s="9" t="str">
        <f>TMK[[#This Row],[From]]</f>
        <v>DS114</v>
      </c>
      <c r="BJ28" s="9" t="str">
        <f>TMK[[#This Row],[To]]</f>
        <v>33 kV Bus</v>
      </c>
      <c r="BK2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Breaker-TMK-CB1232-Protection</v>
      </c>
      <c r="BL28" s="9">
        <f>TMK[[#This Row],[Voltage]]</f>
        <v>33.594000000000001</v>
      </c>
    </row>
    <row r="29" spans="1:64" s="1" customFormat="1" ht="15" customHeight="1" thickBot="1" x14ac:dyDescent="0.3">
      <c r="A29" s="191" t="str">
        <f>CONCATENATE(TMK[[#This Row],[Supply Level]],TMK[[#This Row],[Station/Feeder]],TMK[[#This Row],[Voltage]],"T2")</f>
        <v>GXPTMK_GXP33.594T2</v>
      </c>
      <c r="B29" s="191" t="str">
        <f>CONCATENATE(TMK[[#This Row],[Supply Level]],TMK[[#This Row],[Station/Feeder]],TMK[[#This Row],[Equipment ID]],TMK[[#This Row],[Voltage]],TMK[[#This Row],[Device type]])</f>
        <v>GXPTMK_GXPTMK-CB-1232-OEL33.594-</v>
      </c>
      <c r="C29" s="191" t="s">
        <v>4</v>
      </c>
      <c r="D29" s="192" t="s">
        <v>77</v>
      </c>
      <c r="E29" s="39" t="s">
        <v>1316</v>
      </c>
      <c r="F29" s="193" t="s">
        <v>63</v>
      </c>
      <c r="G29" s="194">
        <v>12</v>
      </c>
      <c r="H29" s="193" t="s">
        <v>465</v>
      </c>
      <c r="I29" s="205" t="s">
        <v>478</v>
      </c>
      <c r="J29" s="205" t="s">
        <v>48</v>
      </c>
      <c r="K29" s="196" t="s">
        <v>0</v>
      </c>
      <c r="L29" s="196" t="s">
        <v>0</v>
      </c>
      <c r="M29" s="175">
        <f t="shared" si="22"/>
        <v>33.594000000000001</v>
      </c>
      <c r="N29" s="155">
        <v>1440</v>
      </c>
      <c r="O29" s="155">
        <f t="shared" si="0"/>
        <v>83.788581354435152</v>
      </c>
      <c r="P29" s="155">
        <v>1440</v>
      </c>
      <c r="Q29" s="155">
        <f t="shared" si="1"/>
        <v>83.788581354435152</v>
      </c>
      <c r="R29" s="155">
        <v>1440</v>
      </c>
      <c r="S29" s="155">
        <f t="shared" si="2"/>
        <v>83.788581354435152</v>
      </c>
      <c r="T29" s="155">
        <v>1440</v>
      </c>
      <c r="U29" s="155">
        <f t="shared" si="3"/>
        <v>83.788581354435152</v>
      </c>
      <c r="V29" s="155">
        <v>1440</v>
      </c>
      <c r="W29" s="155">
        <f t="shared" si="4"/>
        <v>83.788581354435152</v>
      </c>
      <c r="X29" s="155" t="s">
        <v>0</v>
      </c>
      <c r="Y29" s="155" t="str">
        <f t="shared" si="6"/>
        <v>-</v>
      </c>
      <c r="Z29" s="155" t="s">
        <v>0</v>
      </c>
      <c r="AA29" s="155" t="str">
        <f t="shared" si="7"/>
        <v>-</v>
      </c>
      <c r="AB29" s="155" t="s">
        <v>0</v>
      </c>
      <c r="AC29" s="155" t="str">
        <f t="shared" si="8"/>
        <v>-</v>
      </c>
      <c r="AD29" s="155" t="s">
        <v>0</v>
      </c>
      <c r="AE29" s="195" t="str">
        <f t="shared" si="9"/>
        <v>-</v>
      </c>
      <c r="AF29" s="155" t="s">
        <v>0</v>
      </c>
      <c r="AG29" s="155" t="s">
        <v>0</v>
      </c>
      <c r="AH29" s="155" t="s">
        <v>0</v>
      </c>
      <c r="AI29" s="155" t="s">
        <v>0</v>
      </c>
      <c r="AJ29" s="175" t="s">
        <v>0</v>
      </c>
      <c r="AK29" s="155" t="s">
        <v>0</v>
      </c>
      <c r="AL29" s="175" t="s">
        <v>0</v>
      </c>
      <c r="AM29" s="155" t="s">
        <v>0</v>
      </c>
      <c r="AN29" s="175" t="s">
        <v>0</v>
      </c>
      <c r="AO29" s="155" t="s">
        <v>0</v>
      </c>
      <c r="AP29" s="175" t="s">
        <v>0</v>
      </c>
      <c r="AQ29" s="175" t="s">
        <v>0</v>
      </c>
      <c r="AR29" s="155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9" s="155" t="str">
        <f t="shared" si="10"/>
        <v>-</v>
      </c>
      <c r="AT29" s="155">
        <f>IF(RIGHT(TMK[[#This Row],[Device type]],7)="Winding","-",TMK[[#This Row],[Cont Winter MVA]])</f>
        <v>83.788581354435152</v>
      </c>
      <c r="AU29" s="155">
        <f>IF(RIGHT(TMK[[#This Row],[Device type]],7)="Winding","-",TMK[[#This Row],[Cont Shoulder MVA]])</f>
        <v>83.788581354435152</v>
      </c>
      <c r="AV29" s="155">
        <f>IF(RIGHT(TMK[[#This Row],[Device type]],7)="Winding","-",TMK[[#This Row],[Cont Summer MVA]])</f>
        <v>83.788581354435152</v>
      </c>
      <c r="AW29" s="155">
        <f>IF(RIGHT(TMK[[#This Row],[Device type]],7)="Winding","-",TMK[[#This Row],[24 Hr Winter MVA]])</f>
        <v>83.788581354435152</v>
      </c>
      <c r="AX29" s="155">
        <f>IF(RIGHT(TMK[[#This Row],[Device type]],7)="Winding","-",TMK[[#This Row],[24 Hr Summer MVA]])</f>
        <v>83.788581354435152</v>
      </c>
      <c r="AY29" s="155" t="str">
        <f>TMK[[#This Row],[Forwards MVA]]</f>
        <v>-</v>
      </c>
      <c r="AZ29" s="155" t="str">
        <f>TMK[[#This Row],[Relay MVA]]</f>
        <v>-</v>
      </c>
      <c r="BA29" s="155" t="str">
        <f>TMK[[#This Row],[CT MVA]]</f>
        <v>-</v>
      </c>
      <c r="BB29" s="155" t="str">
        <f>TMK[[#This Row],[Derating MVA]]</f>
        <v>-</v>
      </c>
      <c r="BC29" s="155" t="str">
        <f>TMK[[#This Row],[Station/Feeder]]&amp;TMK[[#This Row],[Lowest MVA]]</f>
        <v>TMK_GXP83.7885813544352</v>
      </c>
      <c r="BD29" s="155" t="str">
        <f>CONCATENATE(TMK[[#This Row],[Supply Level]],TMK[[#This Row],[Station/Feeder]],TMK[[#This Row],[Voltage]],TMK[[#This Row],[Lowest A-No PTX]])</f>
        <v>GXPTMK_GXP33.5941440</v>
      </c>
      <c r="BE29" s="155" t="str">
        <f>CONCATENATE(TMK[[#This Row],[Supply Level]],TMK[[#This Row],[Station/Feeder]],TMK[[#This Row],[Voltage]],TMK[[#This Row],[Lowest A-PTX]])</f>
        <v>GXPTMK_GXP33.5941440</v>
      </c>
      <c r="BF29" s="155">
        <f>IFERROR(IF(MIN(TMK[[#This Row],[Summ Cont Winter A]:[Cable Derating]])=0,"",MIN(TMK[[#This Row],[Summ Cont Winter A]:[Cable Derating]])),"")</f>
        <v>83.788581354435152</v>
      </c>
      <c r="BG29" s="155">
        <f>IFERROR(TMK[[#This Row],[Lowest MVA]]*1000/(TMK[[#This Row],[Voltage]]*SQRT(3)),"")</f>
        <v>1439.9999999999998</v>
      </c>
      <c r="BH29" s="155">
        <f t="shared" si="5"/>
        <v>1440</v>
      </c>
      <c r="BI29" s="155" t="str">
        <f>TMK[[#This Row],[From]]</f>
        <v>DS114</v>
      </c>
      <c r="BJ29" s="155" t="str">
        <f>TMK[[#This Row],[To]]</f>
        <v>33 kV Bus</v>
      </c>
      <c r="BK29" s="196" t="str">
        <f>IF(TMK[[#This Row],[Device type]]="-",TMK[[#This Row],[Equipment Type]]&amp;"-"&amp;TMK[[#This Row],[Equipment ID]],TMK[[#This Row],[Equipment Type]]&amp;"-"&amp;TMK[[#This Row],[Equipment ID]]&amp;"-"&amp;TMK[[#This Row],[Device type]])</f>
        <v>Other Equipment-TMK-CB-1232-OEL</v>
      </c>
      <c r="BL29" s="155">
        <f>TMK[[#This Row],[Voltage]]</f>
        <v>33.594000000000001</v>
      </c>
    </row>
    <row r="30" spans="1:64" s="1" customFormat="1" ht="15" customHeight="1" x14ac:dyDescent="0.25">
      <c r="A30" s="168" t="str">
        <f>CONCATENATE(TMK[[#This Row],[Supply Level]],TMK[[#This Row],[Station/Feeder]],TMK[[#This Row],[Voltage]])</f>
        <v>SubTransmissionCB1192_Clandeboye No.133.594</v>
      </c>
      <c r="B30" s="168" t="str">
        <f>CONCATENATE(TMK[[#This Row],[Supply Level]],TMK[[#This Row],[Station/Feeder]],TMK[[#This Row],[Equipment ID]],TMK[[#This Row],[Voltage]],TMK[[#This Row],[Device type]])</f>
        <v>SubTransmissionCB1192_Clandeboye No.1TMK-CB119233.594Protection</v>
      </c>
      <c r="C30" s="168" t="s">
        <v>1245</v>
      </c>
      <c r="D30" s="118" t="s">
        <v>233</v>
      </c>
      <c r="E30" s="38" t="s">
        <v>63</v>
      </c>
      <c r="F30" s="49" t="s">
        <v>479</v>
      </c>
      <c r="G30" s="190">
        <v>1</v>
      </c>
      <c r="H30" s="49" t="s">
        <v>2381</v>
      </c>
      <c r="I30" s="124" t="s">
        <v>2309</v>
      </c>
      <c r="J30" s="124" t="s">
        <v>15</v>
      </c>
      <c r="K30" s="45" t="s">
        <v>470</v>
      </c>
      <c r="L30" s="45" t="s">
        <v>1423</v>
      </c>
      <c r="M30" s="32">
        <f t="shared" si="22"/>
        <v>33.594000000000001</v>
      </c>
      <c r="N30" s="29">
        <v>630</v>
      </c>
      <c r="O30" s="29">
        <f t="shared" si="0"/>
        <v>36.657504342565389</v>
      </c>
      <c r="P30" s="29">
        <v>630</v>
      </c>
      <c r="Q30" s="29">
        <f t="shared" si="1"/>
        <v>36.657504342565389</v>
      </c>
      <c r="R30" s="29">
        <v>630</v>
      </c>
      <c r="S30" s="29">
        <f t="shared" si="2"/>
        <v>36.657504342565389</v>
      </c>
      <c r="T30" s="29">
        <v>630</v>
      </c>
      <c r="U30" s="29">
        <f t="shared" si="3"/>
        <v>36.657504342565389</v>
      </c>
      <c r="V30" s="29">
        <v>630</v>
      </c>
      <c r="W30" s="29">
        <f t="shared" si="4"/>
        <v>36.657504342565389</v>
      </c>
      <c r="X30" s="29">
        <f>VLOOKUP(TMK[[#This Row],[Equipment ID]],AEL_Protection_Data[#All],12,0)</f>
        <v>510</v>
      </c>
      <c r="Y30" s="29">
        <f t="shared" ref="Y30:Y42" si="23">IF(OR(X30="",X30="-"),"-",X30*$M30*SQRT(3)/1000)</f>
        <v>29.675122563029124</v>
      </c>
      <c r="Z30" s="29">
        <f>TMK[[#This Row],[Forward A]]</f>
        <v>510</v>
      </c>
      <c r="AA30" s="29">
        <f t="shared" ref="AA30:AA42" si="24">IF(OR(Z30="",Z30="-"),"-",Z30*$M30*SQRT(3)/1000)</f>
        <v>29.675122563029124</v>
      </c>
      <c r="AB30" s="29">
        <v>1800</v>
      </c>
      <c r="AC30" s="29">
        <f t="shared" ref="AC30:AC42" si="25">IF(OR(AB30="",AB30="-"),"-",AB30*$M30*SQRT(3)/1000)</f>
        <v>104.73572669304396</v>
      </c>
      <c r="AD30" s="29">
        <v>600</v>
      </c>
      <c r="AE30" s="169">
        <f t="shared" ref="AE30:AE42" si="26">IF(OR(AD30="",AD30="-"),"-",AD30*$M30*SQRT(3)/1000)</f>
        <v>34.911908897681322</v>
      </c>
      <c r="AF30" s="29" t="s">
        <v>0</v>
      </c>
      <c r="AG30" s="29" t="s">
        <v>0</v>
      </c>
      <c r="AH30" s="29" t="s">
        <v>0</v>
      </c>
      <c r="AI30" s="29" t="s">
        <v>0</v>
      </c>
      <c r="AJ30" s="32" t="s">
        <v>0</v>
      </c>
      <c r="AK30" s="29" t="s">
        <v>0</v>
      </c>
      <c r="AL30" s="32" t="s">
        <v>0</v>
      </c>
      <c r="AM30" s="29" t="s">
        <v>0</v>
      </c>
      <c r="AN30" s="32" t="s">
        <v>0</v>
      </c>
      <c r="AO30" s="29" t="s">
        <v>0</v>
      </c>
      <c r="AP30" s="32" t="s">
        <v>0</v>
      </c>
      <c r="AQ30" s="32" t="s">
        <v>0</v>
      </c>
      <c r="AR30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0" s="29" t="str">
        <f t="shared" ref="AS30:AS42" si="27">IF(OR(AR30="",AR30="-"),"-",AR30*$M30*SQRT(3)/1000)</f>
        <v>-</v>
      </c>
      <c r="AT30" s="29">
        <f>IF(RIGHT(TMK[[#This Row],[Device type]],7)="Winding","-",TMK[[#This Row],[Cont Winter MVA]])</f>
        <v>36.657504342565389</v>
      </c>
      <c r="AU30" s="29">
        <f>IF(RIGHT(TMK[[#This Row],[Device type]],7)="Winding","-",TMK[[#This Row],[Cont Shoulder MVA]])</f>
        <v>36.657504342565389</v>
      </c>
      <c r="AV30" s="29">
        <f>IF(RIGHT(TMK[[#This Row],[Device type]],7)="Winding","-",TMK[[#This Row],[Cont Summer MVA]])</f>
        <v>36.657504342565389</v>
      </c>
      <c r="AW30" s="29">
        <f>IF(RIGHT(TMK[[#This Row],[Device type]],7)="Winding","-",TMK[[#This Row],[24 Hr Winter MVA]])</f>
        <v>36.657504342565389</v>
      </c>
      <c r="AX30" s="29">
        <f>IF(RIGHT(TMK[[#This Row],[Device type]],7)="Winding","-",TMK[[#This Row],[24 Hr Summer MVA]])</f>
        <v>36.657504342565389</v>
      </c>
      <c r="AY30" s="29">
        <f>TMK[[#This Row],[Forwards MVA]]</f>
        <v>29.675122563029124</v>
      </c>
      <c r="AZ30" s="29">
        <f>TMK[[#This Row],[Relay MVA]]</f>
        <v>104.73572669304396</v>
      </c>
      <c r="BA30" s="29">
        <f>TMK[[#This Row],[CT MVA]]</f>
        <v>34.911908897681322</v>
      </c>
      <c r="BB30" s="29" t="str">
        <f>TMK[[#This Row],[Derating MVA]]</f>
        <v>-</v>
      </c>
      <c r="BC30" s="29" t="str">
        <f>TMK[[#This Row],[Station/Feeder]]&amp;TMK[[#This Row],[Lowest MVA]]</f>
        <v>CB1192_Clandeboye No.129.6751225630291</v>
      </c>
      <c r="BD30" s="29" t="str">
        <f>CONCATENATE(TMK[[#This Row],[Supply Level]],TMK[[#This Row],[Station/Feeder]],TMK[[#This Row],[Voltage]],TMK[[#This Row],[Lowest A-No PTX]])</f>
        <v>SubTransmissionCB1192_Clandeboye No.133.594510</v>
      </c>
      <c r="BE30" s="29" t="str">
        <f>CONCATENATE(TMK[[#This Row],[Supply Level]],TMK[[#This Row],[Station/Feeder]],TMK[[#This Row],[Voltage]],TMK[[#This Row],[Lowest A-PTX]])</f>
        <v>SubTransmissionCB1192_Clandeboye No.133.594510</v>
      </c>
      <c r="BF30" s="29">
        <f>IFERROR(IF(MIN(TMK[[#This Row],[Summ Cont Winter A]:[Cable Derating]])=0,"",MIN(TMK[[#This Row],[Summ Cont Winter A]:[Cable Derating]])),"")</f>
        <v>29.675122563029124</v>
      </c>
      <c r="BG30" s="29">
        <f>IFERROR(TMK[[#This Row],[Lowest MVA]]*1000/(TMK[[#This Row],[Voltage]]*SQRT(3)),"")</f>
        <v>510.00000000000006</v>
      </c>
      <c r="BH30" s="29">
        <f t="shared" si="5"/>
        <v>510</v>
      </c>
      <c r="BI30" s="29" t="str">
        <f>TMK[[#This Row],[From]]</f>
        <v>33 kV Bus</v>
      </c>
      <c r="BJ30" s="29" t="str">
        <f>TMK[[#This Row],[To]]</f>
        <v>CD1-D1246-T1</v>
      </c>
      <c r="BK30" s="45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Breaker-TMK-CB1192-Protection</v>
      </c>
      <c r="BL30" s="29">
        <f>TMK[[#This Row],[Voltage]]</f>
        <v>33.594000000000001</v>
      </c>
    </row>
    <row r="31" spans="1:64" s="1" customFormat="1" ht="15" customHeight="1" x14ac:dyDescent="0.25">
      <c r="A31" s="6" t="str">
        <f>CONCATENATE(TMK[[#This Row],[Supply Level]],TMK[[#This Row],[Station/Feeder]],TMK[[#This Row],[Voltage]])</f>
        <v>SubTransmissionCB1202_Rangitata33.594</v>
      </c>
      <c r="B31" s="6" t="str">
        <f>CONCATENATE(TMK[[#This Row],[Supply Level]],TMK[[#This Row],[Station/Feeder]],TMK[[#This Row],[Equipment ID]],TMK[[#This Row],[Voltage]],TMK[[#This Row],[Device type]])</f>
        <v>SubTransmissionCB1202_RangitataTMK-CB120233.594Protection</v>
      </c>
      <c r="C31" s="6" t="s">
        <v>1245</v>
      </c>
      <c r="D31" s="11" t="s">
        <v>232</v>
      </c>
      <c r="E31" s="7" t="s">
        <v>63</v>
      </c>
      <c r="F31" s="7" t="s">
        <v>481</v>
      </c>
      <c r="G31" s="56">
        <v>1</v>
      </c>
      <c r="H31" s="7" t="s">
        <v>2382</v>
      </c>
      <c r="I31" s="123" t="s">
        <v>2310</v>
      </c>
      <c r="J31" s="123" t="s">
        <v>15</v>
      </c>
      <c r="K31" s="46" t="s">
        <v>470</v>
      </c>
      <c r="L31" s="46" t="s">
        <v>1423</v>
      </c>
      <c r="M31" s="43">
        <f t="shared" si="22"/>
        <v>33.594000000000001</v>
      </c>
      <c r="N31" s="9">
        <v>630</v>
      </c>
      <c r="O31" s="9">
        <f t="shared" si="0"/>
        <v>36.657504342565389</v>
      </c>
      <c r="P31" s="9">
        <v>630</v>
      </c>
      <c r="Q31" s="9">
        <f t="shared" si="1"/>
        <v>36.657504342565389</v>
      </c>
      <c r="R31" s="9">
        <v>630</v>
      </c>
      <c r="S31" s="9">
        <f t="shared" si="2"/>
        <v>36.657504342565389</v>
      </c>
      <c r="T31" s="9">
        <v>630</v>
      </c>
      <c r="U31" s="9">
        <f t="shared" si="3"/>
        <v>36.657504342565389</v>
      </c>
      <c r="V31" s="9">
        <v>630</v>
      </c>
      <c r="W31" s="9">
        <f t="shared" si="4"/>
        <v>36.657504342565389</v>
      </c>
      <c r="X31" s="9">
        <f>VLOOKUP(TMK[[#This Row],[Equipment ID]],AEL_Protection_Data[#All],12,0)</f>
        <v>462</v>
      </c>
      <c r="Y31" s="9">
        <f t="shared" si="23"/>
        <v>26.882169851214613</v>
      </c>
      <c r="Z31" s="9">
        <f>TMK[[#This Row],[Forward A]]</f>
        <v>462</v>
      </c>
      <c r="AA31" s="9">
        <f t="shared" si="24"/>
        <v>26.882169851214613</v>
      </c>
      <c r="AB31" s="9">
        <v>1800</v>
      </c>
      <c r="AC31" s="9">
        <f t="shared" si="25"/>
        <v>104.73572669304396</v>
      </c>
      <c r="AD31" s="9">
        <v>1250</v>
      </c>
      <c r="AE31" s="12">
        <f t="shared" si="26"/>
        <v>72.733143536836067</v>
      </c>
      <c r="AF31" s="9" t="s">
        <v>0</v>
      </c>
      <c r="AG31" s="9" t="s">
        <v>0</v>
      </c>
      <c r="AH31" s="9" t="s">
        <v>0</v>
      </c>
      <c r="AI31" s="9" t="s">
        <v>0</v>
      </c>
      <c r="AJ31" s="43" t="s">
        <v>0</v>
      </c>
      <c r="AK31" s="29" t="s">
        <v>0</v>
      </c>
      <c r="AL31" s="32" t="s">
        <v>0</v>
      </c>
      <c r="AM31" s="29" t="s">
        <v>0</v>
      </c>
      <c r="AN31" s="32" t="s">
        <v>0</v>
      </c>
      <c r="AO31" s="29" t="s">
        <v>0</v>
      </c>
      <c r="AP31" s="32" t="s">
        <v>0</v>
      </c>
      <c r="AQ31" s="32" t="s">
        <v>0</v>
      </c>
      <c r="AR31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1" s="9" t="str">
        <f t="shared" si="27"/>
        <v>-</v>
      </c>
      <c r="AT31" s="9">
        <f>IF(RIGHT(TMK[[#This Row],[Device type]],7)="Winding","-",TMK[[#This Row],[Cont Winter MVA]])</f>
        <v>36.657504342565389</v>
      </c>
      <c r="AU31" s="9">
        <f>IF(RIGHT(TMK[[#This Row],[Device type]],7)="Winding","-",TMK[[#This Row],[Cont Shoulder MVA]])</f>
        <v>36.657504342565389</v>
      </c>
      <c r="AV31" s="9">
        <f>IF(RIGHT(TMK[[#This Row],[Device type]],7)="Winding","-",TMK[[#This Row],[Cont Summer MVA]])</f>
        <v>36.657504342565389</v>
      </c>
      <c r="AW31" s="9">
        <f>IF(RIGHT(TMK[[#This Row],[Device type]],7)="Winding","-",TMK[[#This Row],[24 Hr Winter MVA]])</f>
        <v>36.657504342565389</v>
      </c>
      <c r="AX31" s="9">
        <f>IF(RIGHT(TMK[[#This Row],[Device type]],7)="Winding","-",TMK[[#This Row],[24 Hr Summer MVA]])</f>
        <v>36.657504342565389</v>
      </c>
      <c r="AY31" s="9">
        <f>TMK[[#This Row],[Forwards MVA]]</f>
        <v>26.882169851214613</v>
      </c>
      <c r="AZ31" s="9">
        <f>TMK[[#This Row],[Relay MVA]]</f>
        <v>104.73572669304396</v>
      </c>
      <c r="BA31" s="9">
        <f>TMK[[#This Row],[CT MVA]]</f>
        <v>72.733143536836067</v>
      </c>
      <c r="BB31" s="9" t="str">
        <f>TMK[[#This Row],[Derating MVA]]</f>
        <v>-</v>
      </c>
      <c r="BC31" s="9" t="str">
        <f>TMK[[#This Row],[Station/Feeder]]&amp;TMK[[#This Row],[Lowest MVA]]</f>
        <v>CB1202_Rangitata26.8821698512146</v>
      </c>
      <c r="BD31" s="9" t="str">
        <f>CONCATENATE(TMK[[#This Row],[Supply Level]],TMK[[#This Row],[Station/Feeder]],TMK[[#This Row],[Voltage]],TMK[[#This Row],[Lowest A-No PTX]])</f>
        <v>SubTransmissionCB1202_Rangitata33.594462</v>
      </c>
      <c r="BE31" s="9" t="str">
        <f>CONCATENATE(TMK[[#This Row],[Supply Level]],TMK[[#This Row],[Station/Feeder]],TMK[[#This Row],[Voltage]],TMK[[#This Row],[Lowest A-PTX]])</f>
        <v>SubTransmissionCB1202_Rangitata33.594462</v>
      </c>
      <c r="BF31" s="9">
        <f>IFERROR(IF(MIN(TMK[[#This Row],[Summ Cont Winter A]:[Cable Derating]])=0,"",MIN(TMK[[#This Row],[Summ Cont Winter A]:[Cable Derating]])),"")</f>
        <v>26.882169851214613</v>
      </c>
      <c r="BG31" s="9">
        <f>IFERROR(TMK[[#This Row],[Lowest MVA]]*1000/(TMK[[#This Row],[Voltage]]*SQRT(3)),"")</f>
        <v>462</v>
      </c>
      <c r="BH31" s="9">
        <f t="shared" si="5"/>
        <v>462</v>
      </c>
      <c r="BI31" s="9" t="str">
        <f>TMK[[#This Row],[From]]</f>
        <v>33 kV Bus</v>
      </c>
      <c r="BJ31" s="9" t="str">
        <f>TMK[[#This Row],[To]]</f>
        <v>RGA-D1479-T2</v>
      </c>
      <c r="BK3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Breaker-TMK-CB1202-Protection</v>
      </c>
      <c r="BL31" s="9">
        <f>TMK[[#This Row],[Voltage]]</f>
        <v>33.594000000000001</v>
      </c>
    </row>
    <row r="32" spans="1:64" s="1" customFormat="1" ht="15" customHeight="1" x14ac:dyDescent="0.25">
      <c r="A32" s="6" t="str">
        <f>CONCATENATE(TMK[[#This Row],[Supply Level]],TMK[[#This Row],[Station/Feeder]],TMK[[#This Row],[Voltage]])</f>
        <v>SubTransmissionCB1212_Temuka No.133.594</v>
      </c>
      <c r="B32" s="6" t="str">
        <f>CONCATENATE(TMK[[#This Row],[Supply Level]],TMK[[#This Row],[Station/Feeder]],TMK[[#This Row],[Equipment ID]],TMK[[#This Row],[Voltage]],TMK[[#This Row],[Device type]])</f>
        <v>SubTransmissionCB1212_Temuka No.1TMK-CB121233.594Protection</v>
      </c>
      <c r="C32" s="6" t="s">
        <v>1245</v>
      </c>
      <c r="D32" s="11" t="s">
        <v>231</v>
      </c>
      <c r="E32" s="7" t="s">
        <v>63</v>
      </c>
      <c r="F32" s="7" t="s">
        <v>482</v>
      </c>
      <c r="G32" s="56">
        <v>1</v>
      </c>
      <c r="H32" s="7" t="s">
        <v>2383</v>
      </c>
      <c r="I32" s="123" t="s">
        <v>2311</v>
      </c>
      <c r="J32" s="123" t="s">
        <v>15</v>
      </c>
      <c r="K32" s="46" t="s">
        <v>470</v>
      </c>
      <c r="L32" s="46" t="s">
        <v>1423</v>
      </c>
      <c r="M32" s="43">
        <f t="shared" si="22"/>
        <v>33.594000000000001</v>
      </c>
      <c r="N32" s="9">
        <v>630</v>
      </c>
      <c r="O32" s="9">
        <f t="shared" si="0"/>
        <v>36.657504342565389</v>
      </c>
      <c r="P32" s="9">
        <v>630</v>
      </c>
      <c r="Q32" s="9">
        <f t="shared" si="1"/>
        <v>36.657504342565389</v>
      </c>
      <c r="R32" s="9">
        <v>630</v>
      </c>
      <c r="S32" s="9">
        <f t="shared" si="2"/>
        <v>36.657504342565389</v>
      </c>
      <c r="T32" s="9">
        <v>630</v>
      </c>
      <c r="U32" s="9">
        <f t="shared" si="3"/>
        <v>36.657504342565389</v>
      </c>
      <c r="V32" s="9">
        <v>630</v>
      </c>
      <c r="W32" s="9">
        <f t="shared" si="4"/>
        <v>36.657504342565389</v>
      </c>
      <c r="X32" s="9">
        <f>VLOOKUP(TMK[[#This Row],[Equipment ID]],AEL_Protection_Data[#All],12,0)</f>
        <v>582</v>
      </c>
      <c r="Y32" s="9">
        <f t="shared" si="23"/>
        <v>33.864551630750881</v>
      </c>
      <c r="Z32" s="9">
        <f>TMK[[#This Row],[Forward A]]</f>
        <v>582</v>
      </c>
      <c r="AA32" s="9">
        <f t="shared" si="24"/>
        <v>33.864551630750881</v>
      </c>
      <c r="AB32" s="9">
        <v>1800</v>
      </c>
      <c r="AC32" s="9">
        <f t="shared" si="25"/>
        <v>104.73572669304396</v>
      </c>
      <c r="AD32" s="9">
        <v>1250</v>
      </c>
      <c r="AE32" s="12">
        <f t="shared" si="26"/>
        <v>72.733143536836067</v>
      </c>
      <c r="AF32" s="9" t="s">
        <v>0</v>
      </c>
      <c r="AG32" s="9" t="s">
        <v>0</v>
      </c>
      <c r="AH32" s="9" t="s">
        <v>0</v>
      </c>
      <c r="AI32" s="9" t="s">
        <v>0</v>
      </c>
      <c r="AJ32" s="43" t="s">
        <v>0</v>
      </c>
      <c r="AK32" s="29" t="s">
        <v>0</v>
      </c>
      <c r="AL32" s="32" t="s">
        <v>0</v>
      </c>
      <c r="AM32" s="29" t="s">
        <v>0</v>
      </c>
      <c r="AN32" s="32" t="s">
        <v>0</v>
      </c>
      <c r="AO32" s="29" t="s">
        <v>0</v>
      </c>
      <c r="AP32" s="32" t="s">
        <v>0</v>
      </c>
      <c r="AQ32" s="32" t="s">
        <v>0</v>
      </c>
      <c r="AR32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2" s="9" t="str">
        <f t="shared" si="27"/>
        <v>-</v>
      </c>
      <c r="AT32" s="9">
        <f>IF(RIGHT(TMK[[#This Row],[Device type]],7)="Winding","-",TMK[[#This Row],[Cont Winter MVA]])</f>
        <v>36.657504342565389</v>
      </c>
      <c r="AU32" s="9">
        <f>IF(RIGHT(TMK[[#This Row],[Device type]],7)="Winding","-",TMK[[#This Row],[Cont Shoulder MVA]])</f>
        <v>36.657504342565389</v>
      </c>
      <c r="AV32" s="9">
        <f>IF(RIGHT(TMK[[#This Row],[Device type]],7)="Winding","-",TMK[[#This Row],[Cont Summer MVA]])</f>
        <v>36.657504342565389</v>
      </c>
      <c r="AW32" s="9">
        <f>IF(RIGHT(TMK[[#This Row],[Device type]],7)="Winding","-",TMK[[#This Row],[24 Hr Winter MVA]])</f>
        <v>36.657504342565389</v>
      </c>
      <c r="AX32" s="9">
        <f>IF(RIGHT(TMK[[#This Row],[Device type]],7)="Winding","-",TMK[[#This Row],[24 Hr Summer MVA]])</f>
        <v>36.657504342565389</v>
      </c>
      <c r="AY32" s="9">
        <f>TMK[[#This Row],[Forwards MVA]]</f>
        <v>33.864551630750881</v>
      </c>
      <c r="AZ32" s="9">
        <f>TMK[[#This Row],[Relay MVA]]</f>
        <v>104.73572669304396</v>
      </c>
      <c r="BA32" s="9">
        <f>TMK[[#This Row],[CT MVA]]</f>
        <v>72.733143536836067</v>
      </c>
      <c r="BB32" s="9" t="str">
        <f>TMK[[#This Row],[Derating MVA]]</f>
        <v>-</v>
      </c>
      <c r="BC32" s="9" t="str">
        <f>TMK[[#This Row],[Station/Feeder]]&amp;TMK[[#This Row],[Lowest MVA]]</f>
        <v>CB1212_Temuka No.133.8645516307509</v>
      </c>
      <c r="BD32" s="9" t="str">
        <f>CONCATENATE(TMK[[#This Row],[Supply Level]],TMK[[#This Row],[Station/Feeder]],TMK[[#This Row],[Voltage]],TMK[[#This Row],[Lowest A-No PTX]])</f>
        <v>SubTransmissionCB1212_Temuka No.133.594582</v>
      </c>
      <c r="BE32" s="9" t="str">
        <f>CONCATENATE(TMK[[#This Row],[Supply Level]],TMK[[#This Row],[Station/Feeder]],TMK[[#This Row],[Voltage]],TMK[[#This Row],[Lowest A-PTX]])</f>
        <v>SubTransmissionCB1212_Temuka No.133.594582</v>
      </c>
      <c r="BF32" s="9">
        <f>IFERROR(IF(MIN(TMK[[#This Row],[Summ Cont Winter A]:[Cable Derating]])=0,"",MIN(TMK[[#This Row],[Summ Cont Winter A]:[Cable Derating]])),"")</f>
        <v>33.864551630750881</v>
      </c>
      <c r="BG32" s="9">
        <f>IFERROR(TMK[[#This Row],[Lowest MVA]]*1000/(TMK[[#This Row],[Voltage]]*SQRT(3)),"")</f>
        <v>582</v>
      </c>
      <c r="BH32" s="9">
        <f t="shared" si="5"/>
        <v>582</v>
      </c>
      <c r="BI32" s="9" t="str">
        <f>TMK[[#This Row],[From]]</f>
        <v>33 kV Bus</v>
      </c>
      <c r="BJ32" s="9" t="str">
        <f>TMK[[#This Row],[To]]</f>
        <v>TMK-D816-T1</v>
      </c>
      <c r="BK3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Breaker-TMK-CB1212-Protection</v>
      </c>
      <c r="BL32" s="9">
        <f>TMK[[#This Row],[Voltage]]</f>
        <v>33.594000000000001</v>
      </c>
    </row>
    <row r="33" spans="1:64" s="1" customFormat="1" ht="15" customHeight="1" x14ac:dyDescent="0.25">
      <c r="A33" s="6" t="str">
        <f>CONCATENATE(TMK[[#This Row],[Supply Level]],TMK[[#This Row],[Station/Feeder]],TMK[[#This Row],[Voltage]])</f>
        <v>SubTransmissionCB1222_Clandeboye No.333.594</v>
      </c>
      <c r="B33" s="6" t="str">
        <f>CONCATENATE(TMK[[#This Row],[Supply Level]],TMK[[#This Row],[Station/Feeder]],TMK[[#This Row],[Equipment ID]],TMK[[#This Row],[Voltage]],TMK[[#This Row],[Device type]])</f>
        <v>SubTransmissionCB1222_Clandeboye No.3TMK-CB122233.594Protection</v>
      </c>
      <c r="C33" s="6" t="s">
        <v>1245</v>
      </c>
      <c r="D33" s="11" t="s">
        <v>230</v>
      </c>
      <c r="E33" s="7" t="s">
        <v>63</v>
      </c>
      <c r="F33" s="7" t="s">
        <v>484</v>
      </c>
      <c r="G33" s="56">
        <v>1</v>
      </c>
      <c r="H33" s="7" t="s">
        <v>2384</v>
      </c>
      <c r="I33" s="123" t="s">
        <v>2312</v>
      </c>
      <c r="J33" s="123" t="s">
        <v>15</v>
      </c>
      <c r="K33" s="46" t="s">
        <v>470</v>
      </c>
      <c r="L33" s="46" t="s">
        <v>1423</v>
      </c>
      <c r="M33" s="43">
        <f t="shared" si="22"/>
        <v>33.594000000000001</v>
      </c>
      <c r="N33" s="9">
        <v>630</v>
      </c>
      <c r="O33" s="9">
        <f t="shared" si="0"/>
        <v>36.657504342565389</v>
      </c>
      <c r="P33" s="9">
        <v>630</v>
      </c>
      <c r="Q33" s="9">
        <f t="shared" si="1"/>
        <v>36.657504342565389</v>
      </c>
      <c r="R33" s="9">
        <v>630</v>
      </c>
      <c r="S33" s="9">
        <f t="shared" si="2"/>
        <v>36.657504342565389</v>
      </c>
      <c r="T33" s="9">
        <v>630</v>
      </c>
      <c r="U33" s="9">
        <f t="shared" si="3"/>
        <v>36.657504342565389</v>
      </c>
      <c r="V33" s="9">
        <v>630</v>
      </c>
      <c r="W33" s="9">
        <f t="shared" si="4"/>
        <v>36.657504342565389</v>
      </c>
      <c r="X33" s="9">
        <f>VLOOKUP(TMK[[#This Row],[Equipment ID]],AEL_Protection_Data[#All],12,0)</f>
        <v>540</v>
      </c>
      <c r="Y33" s="9">
        <f t="shared" si="23"/>
        <v>31.420718007913187</v>
      </c>
      <c r="Z33" s="9">
        <f>TMK[[#This Row],[Forward A]]</f>
        <v>540</v>
      </c>
      <c r="AA33" s="9">
        <f t="shared" si="24"/>
        <v>31.420718007913187</v>
      </c>
      <c r="AB33" s="9">
        <v>1800</v>
      </c>
      <c r="AC33" s="9">
        <f t="shared" si="25"/>
        <v>104.73572669304396</v>
      </c>
      <c r="AD33" s="9">
        <v>1250</v>
      </c>
      <c r="AE33" s="12">
        <f t="shared" si="26"/>
        <v>72.733143536836067</v>
      </c>
      <c r="AF33" s="9" t="s">
        <v>0</v>
      </c>
      <c r="AG33" s="9" t="s">
        <v>0</v>
      </c>
      <c r="AH33" s="9" t="s">
        <v>0</v>
      </c>
      <c r="AI33" s="9" t="s">
        <v>0</v>
      </c>
      <c r="AJ33" s="43" t="s">
        <v>0</v>
      </c>
      <c r="AK33" s="29" t="s">
        <v>0</v>
      </c>
      <c r="AL33" s="32" t="s">
        <v>0</v>
      </c>
      <c r="AM33" s="29" t="s">
        <v>0</v>
      </c>
      <c r="AN33" s="32" t="s">
        <v>0</v>
      </c>
      <c r="AO33" s="29" t="s">
        <v>0</v>
      </c>
      <c r="AP33" s="32" t="s">
        <v>0</v>
      </c>
      <c r="AQ33" s="32" t="s">
        <v>0</v>
      </c>
      <c r="AR3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3" s="9" t="str">
        <f t="shared" si="27"/>
        <v>-</v>
      </c>
      <c r="AT33" s="9">
        <f>IF(RIGHT(TMK[[#This Row],[Device type]],7)="Winding","-",TMK[[#This Row],[Cont Winter MVA]])</f>
        <v>36.657504342565389</v>
      </c>
      <c r="AU33" s="9">
        <f>IF(RIGHT(TMK[[#This Row],[Device type]],7)="Winding","-",TMK[[#This Row],[Cont Shoulder MVA]])</f>
        <v>36.657504342565389</v>
      </c>
      <c r="AV33" s="9">
        <f>IF(RIGHT(TMK[[#This Row],[Device type]],7)="Winding","-",TMK[[#This Row],[Cont Summer MVA]])</f>
        <v>36.657504342565389</v>
      </c>
      <c r="AW33" s="9">
        <f>IF(RIGHT(TMK[[#This Row],[Device type]],7)="Winding","-",TMK[[#This Row],[24 Hr Winter MVA]])</f>
        <v>36.657504342565389</v>
      </c>
      <c r="AX33" s="9">
        <f>IF(RIGHT(TMK[[#This Row],[Device type]],7)="Winding","-",TMK[[#This Row],[24 Hr Summer MVA]])</f>
        <v>36.657504342565389</v>
      </c>
      <c r="AY33" s="9">
        <f>TMK[[#This Row],[Forwards MVA]]</f>
        <v>31.420718007913187</v>
      </c>
      <c r="AZ33" s="9">
        <f>TMK[[#This Row],[Relay MVA]]</f>
        <v>104.73572669304396</v>
      </c>
      <c r="BA33" s="9">
        <f>TMK[[#This Row],[CT MVA]]</f>
        <v>72.733143536836067</v>
      </c>
      <c r="BB33" s="9" t="str">
        <f>TMK[[#This Row],[Derating MVA]]</f>
        <v>-</v>
      </c>
      <c r="BC33" s="9" t="str">
        <f>TMK[[#This Row],[Station/Feeder]]&amp;TMK[[#This Row],[Lowest MVA]]</f>
        <v>CB1222_Clandeboye No.331.4207180079132</v>
      </c>
      <c r="BD33" s="9" t="str">
        <f>CONCATENATE(TMK[[#This Row],[Supply Level]],TMK[[#This Row],[Station/Feeder]],TMK[[#This Row],[Voltage]],TMK[[#This Row],[Lowest A-No PTX]])</f>
        <v>SubTransmissionCB1222_Clandeboye No.333.594540</v>
      </c>
      <c r="BE33" s="9" t="str">
        <f>CONCATENATE(TMK[[#This Row],[Supply Level]],TMK[[#This Row],[Station/Feeder]],TMK[[#This Row],[Voltage]],TMK[[#This Row],[Lowest A-PTX]])</f>
        <v>SubTransmissionCB1222_Clandeboye No.333.594540</v>
      </c>
      <c r="BF33" s="9">
        <f>IFERROR(IF(MIN(TMK[[#This Row],[Summ Cont Winter A]:[Cable Derating]])=0,"",MIN(TMK[[#This Row],[Summ Cont Winter A]:[Cable Derating]])),"")</f>
        <v>31.420718007913187</v>
      </c>
      <c r="BG33" s="9">
        <f>IFERROR(TMK[[#This Row],[Lowest MVA]]*1000/(TMK[[#This Row],[Voltage]]*SQRT(3)),"")</f>
        <v>540</v>
      </c>
      <c r="BH33" s="9">
        <f t="shared" si="5"/>
        <v>540</v>
      </c>
      <c r="BI33" s="9" t="str">
        <f>TMK[[#This Row],[From]]</f>
        <v>33 kV Bus</v>
      </c>
      <c r="BJ33" s="9" t="str">
        <f>TMK[[#This Row],[To]]</f>
        <v>CD2-D1462-T3</v>
      </c>
      <c r="BK3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Breaker-TMK-CB1222-Protection</v>
      </c>
      <c r="BL33" s="9">
        <f>TMK[[#This Row],[Voltage]]</f>
        <v>33.594000000000001</v>
      </c>
    </row>
    <row r="34" spans="1:64" s="1" customFormat="1" ht="15" customHeight="1" x14ac:dyDescent="0.25">
      <c r="A34" s="6" t="str">
        <f>CONCATENATE(TMK[[#This Row],[Supply Level]],TMK[[#This Row],[Station/Feeder]],TMK[[#This Row],[Voltage]])</f>
        <v>SubTransmissionCB1262_Temuka No.233.594</v>
      </c>
      <c r="B34" s="6" t="str">
        <f>CONCATENATE(TMK[[#This Row],[Supply Level]],TMK[[#This Row],[Station/Feeder]],TMK[[#This Row],[Equipment ID]],TMK[[#This Row],[Voltage]],TMK[[#This Row],[Device type]])</f>
        <v>SubTransmissionCB1262_Temuka No.2TMK-CB126233.594Protection</v>
      </c>
      <c r="C34" s="6" t="s">
        <v>1245</v>
      </c>
      <c r="D34" s="11" t="s">
        <v>229</v>
      </c>
      <c r="E34" s="7" t="s">
        <v>63</v>
      </c>
      <c r="F34" s="7" t="s">
        <v>483</v>
      </c>
      <c r="G34" s="56">
        <v>1</v>
      </c>
      <c r="H34" s="7" t="s">
        <v>2385</v>
      </c>
      <c r="I34" s="123" t="s">
        <v>2313</v>
      </c>
      <c r="J34" s="123" t="s">
        <v>15</v>
      </c>
      <c r="K34" s="46" t="s">
        <v>470</v>
      </c>
      <c r="L34" s="46" t="s">
        <v>1423</v>
      </c>
      <c r="M34" s="43">
        <f t="shared" si="22"/>
        <v>33.594000000000001</v>
      </c>
      <c r="N34" s="9">
        <v>630</v>
      </c>
      <c r="O34" s="9">
        <f t="shared" si="0"/>
        <v>36.657504342565389</v>
      </c>
      <c r="P34" s="9">
        <v>630</v>
      </c>
      <c r="Q34" s="9">
        <f t="shared" si="1"/>
        <v>36.657504342565389</v>
      </c>
      <c r="R34" s="9">
        <v>630</v>
      </c>
      <c r="S34" s="9">
        <f t="shared" si="2"/>
        <v>36.657504342565389</v>
      </c>
      <c r="T34" s="9">
        <v>630</v>
      </c>
      <c r="U34" s="9">
        <f t="shared" si="3"/>
        <v>36.657504342565389</v>
      </c>
      <c r="V34" s="9">
        <v>630</v>
      </c>
      <c r="W34" s="9">
        <f t="shared" si="4"/>
        <v>36.657504342565389</v>
      </c>
      <c r="X34" s="9">
        <f>VLOOKUP(TMK[[#This Row],[Equipment ID]],AEL_Protection_Data[#All],12,0)</f>
        <v>582</v>
      </c>
      <c r="Y34" s="9">
        <f t="shared" si="23"/>
        <v>33.864551630750881</v>
      </c>
      <c r="Z34" s="9">
        <f>TMK[[#This Row],[Forward A]]</f>
        <v>582</v>
      </c>
      <c r="AA34" s="9">
        <f t="shared" si="24"/>
        <v>33.864551630750881</v>
      </c>
      <c r="AB34" s="9">
        <v>1800</v>
      </c>
      <c r="AC34" s="9">
        <f t="shared" si="25"/>
        <v>104.73572669304396</v>
      </c>
      <c r="AD34" s="9">
        <v>1250</v>
      </c>
      <c r="AE34" s="12">
        <f t="shared" si="26"/>
        <v>72.733143536836067</v>
      </c>
      <c r="AF34" s="9" t="s">
        <v>0</v>
      </c>
      <c r="AG34" s="9" t="s">
        <v>0</v>
      </c>
      <c r="AH34" s="9" t="s">
        <v>0</v>
      </c>
      <c r="AI34" s="9" t="s">
        <v>0</v>
      </c>
      <c r="AJ34" s="43" t="s">
        <v>0</v>
      </c>
      <c r="AK34" s="29" t="s">
        <v>0</v>
      </c>
      <c r="AL34" s="32" t="s">
        <v>0</v>
      </c>
      <c r="AM34" s="29" t="s">
        <v>0</v>
      </c>
      <c r="AN34" s="32" t="s">
        <v>0</v>
      </c>
      <c r="AO34" s="29" t="s">
        <v>0</v>
      </c>
      <c r="AP34" s="32" t="s">
        <v>0</v>
      </c>
      <c r="AQ34" s="32" t="s">
        <v>0</v>
      </c>
      <c r="AR34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4" s="9" t="str">
        <f t="shared" si="27"/>
        <v>-</v>
      </c>
      <c r="AT34" s="9">
        <f>IF(RIGHT(TMK[[#This Row],[Device type]],7)="Winding","-",TMK[[#This Row],[Cont Winter MVA]])</f>
        <v>36.657504342565389</v>
      </c>
      <c r="AU34" s="9">
        <f>IF(RIGHT(TMK[[#This Row],[Device type]],7)="Winding","-",TMK[[#This Row],[Cont Shoulder MVA]])</f>
        <v>36.657504342565389</v>
      </c>
      <c r="AV34" s="9">
        <f>IF(RIGHT(TMK[[#This Row],[Device type]],7)="Winding","-",TMK[[#This Row],[Cont Summer MVA]])</f>
        <v>36.657504342565389</v>
      </c>
      <c r="AW34" s="9">
        <f>IF(RIGHT(TMK[[#This Row],[Device type]],7)="Winding","-",TMK[[#This Row],[24 Hr Winter MVA]])</f>
        <v>36.657504342565389</v>
      </c>
      <c r="AX34" s="9">
        <f>IF(RIGHT(TMK[[#This Row],[Device type]],7)="Winding","-",TMK[[#This Row],[24 Hr Summer MVA]])</f>
        <v>36.657504342565389</v>
      </c>
      <c r="AY34" s="9">
        <f>TMK[[#This Row],[Forwards MVA]]</f>
        <v>33.864551630750881</v>
      </c>
      <c r="AZ34" s="9">
        <f>TMK[[#This Row],[Relay MVA]]</f>
        <v>104.73572669304396</v>
      </c>
      <c r="BA34" s="9">
        <f>TMK[[#This Row],[CT MVA]]</f>
        <v>72.733143536836067</v>
      </c>
      <c r="BB34" s="9" t="str">
        <f>TMK[[#This Row],[Derating MVA]]</f>
        <v>-</v>
      </c>
      <c r="BC34" s="9" t="str">
        <f>TMK[[#This Row],[Station/Feeder]]&amp;TMK[[#This Row],[Lowest MVA]]</f>
        <v>CB1262_Temuka No.233.8645516307509</v>
      </c>
      <c r="BD34" s="9" t="str">
        <f>CONCATENATE(TMK[[#This Row],[Supply Level]],TMK[[#This Row],[Station/Feeder]],TMK[[#This Row],[Voltage]],TMK[[#This Row],[Lowest A-No PTX]])</f>
        <v>SubTransmissionCB1262_Temuka No.233.594582</v>
      </c>
      <c r="BE34" s="9" t="str">
        <f>CONCATENATE(TMK[[#This Row],[Supply Level]],TMK[[#This Row],[Station/Feeder]],TMK[[#This Row],[Voltage]],TMK[[#This Row],[Lowest A-PTX]])</f>
        <v>SubTransmissionCB1262_Temuka No.233.594582</v>
      </c>
      <c r="BF34" s="9">
        <f>IFERROR(IF(MIN(TMK[[#This Row],[Summ Cont Winter A]:[Cable Derating]])=0,"",MIN(TMK[[#This Row],[Summ Cont Winter A]:[Cable Derating]])),"")</f>
        <v>33.864551630750881</v>
      </c>
      <c r="BG34" s="9">
        <f>IFERROR(TMK[[#This Row],[Lowest MVA]]*1000/(TMK[[#This Row],[Voltage]]*SQRT(3)),"")</f>
        <v>582</v>
      </c>
      <c r="BH34" s="9">
        <f t="shared" si="5"/>
        <v>582</v>
      </c>
      <c r="BI34" s="9" t="str">
        <f>TMK[[#This Row],[From]]</f>
        <v>33 kV Bus</v>
      </c>
      <c r="BJ34" s="9" t="str">
        <f>TMK[[#This Row],[To]]</f>
        <v>TMK-D816-T2</v>
      </c>
      <c r="BK3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Breaker-TMK-CB1262-Protection</v>
      </c>
      <c r="BL34" s="9">
        <f>TMK[[#This Row],[Voltage]]</f>
        <v>33.594000000000001</v>
      </c>
    </row>
    <row r="35" spans="1:64" s="1" customFormat="1" ht="15" customHeight="1" x14ac:dyDescent="0.25">
      <c r="A35" s="6" t="str">
        <f>CONCATENATE(TMK[[#This Row],[Supply Level]],TMK[[#This Row],[Station/Feeder]],TMK[[#This Row],[Voltage]])</f>
        <v>SubTransmissionCB1272_Clandeboye No.233.594</v>
      </c>
      <c r="B35" s="6" t="str">
        <f>CONCATENATE(TMK[[#This Row],[Supply Level]],TMK[[#This Row],[Station/Feeder]],TMK[[#This Row],[Equipment ID]],TMK[[#This Row],[Voltage]],TMK[[#This Row],[Device type]])</f>
        <v>SubTransmissionCB1272_Clandeboye No.2TMK-CB127233.594Protection</v>
      </c>
      <c r="C35" s="6" t="s">
        <v>1245</v>
      </c>
      <c r="D35" s="11" t="s">
        <v>228</v>
      </c>
      <c r="E35" s="7" t="s">
        <v>63</v>
      </c>
      <c r="F35" s="7" t="s">
        <v>480</v>
      </c>
      <c r="G35" s="56">
        <v>1</v>
      </c>
      <c r="H35" s="7" t="s">
        <v>2386</v>
      </c>
      <c r="I35" s="123" t="s">
        <v>2314</v>
      </c>
      <c r="J35" s="123" t="s">
        <v>15</v>
      </c>
      <c r="K35" s="46" t="s">
        <v>470</v>
      </c>
      <c r="L35" s="46" t="s">
        <v>1423</v>
      </c>
      <c r="M35" s="43">
        <f t="shared" si="22"/>
        <v>33.594000000000001</v>
      </c>
      <c r="N35" s="9">
        <v>630</v>
      </c>
      <c r="O35" s="9">
        <f t="shared" si="0"/>
        <v>36.657504342565389</v>
      </c>
      <c r="P35" s="9">
        <v>630</v>
      </c>
      <c r="Q35" s="9">
        <f t="shared" si="1"/>
        <v>36.657504342565389</v>
      </c>
      <c r="R35" s="9">
        <v>630</v>
      </c>
      <c r="S35" s="9">
        <f t="shared" si="2"/>
        <v>36.657504342565389</v>
      </c>
      <c r="T35" s="9">
        <v>630</v>
      </c>
      <c r="U35" s="9">
        <f t="shared" si="3"/>
        <v>36.657504342565389</v>
      </c>
      <c r="V35" s="9">
        <v>630</v>
      </c>
      <c r="W35" s="9">
        <f t="shared" si="4"/>
        <v>36.657504342565389</v>
      </c>
      <c r="X35" s="9">
        <f>VLOOKUP(TMK[[#This Row],[Equipment ID]],AEL_Protection_Data[#All],12,0)</f>
        <v>510</v>
      </c>
      <c r="Y35" s="9">
        <f t="shared" si="23"/>
        <v>29.675122563029124</v>
      </c>
      <c r="Z35" s="9">
        <f>TMK[[#This Row],[Forward A]]</f>
        <v>510</v>
      </c>
      <c r="AA35" s="9">
        <f t="shared" si="24"/>
        <v>29.675122563029124</v>
      </c>
      <c r="AB35" s="9">
        <v>1800</v>
      </c>
      <c r="AC35" s="9">
        <f t="shared" si="25"/>
        <v>104.73572669304396</v>
      </c>
      <c r="AD35" s="9">
        <v>1250</v>
      </c>
      <c r="AE35" s="12">
        <f t="shared" si="26"/>
        <v>72.733143536836067</v>
      </c>
      <c r="AF35" s="9" t="s">
        <v>0</v>
      </c>
      <c r="AG35" s="9" t="s">
        <v>0</v>
      </c>
      <c r="AH35" s="9" t="s">
        <v>0</v>
      </c>
      <c r="AI35" s="9" t="s">
        <v>0</v>
      </c>
      <c r="AJ35" s="43" t="s">
        <v>0</v>
      </c>
      <c r="AK35" s="29" t="s">
        <v>0</v>
      </c>
      <c r="AL35" s="32" t="s">
        <v>0</v>
      </c>
      <c r="AM35" s="29" t="s">
        <v>0</v>
      </c>
      <c r="AN35" s="32" t="s">
        <v>0</v>
      </c>
      <c r="AO35" s="29" t="s">
        <v>0</v>
      </c>
      <c r="AP35" s="32" t="s">
        <v>0</v>
      </c>
      <c r="AQ35" s="32" t="s">
        <v>0</v>
      </c>
      <c r="AR35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5" s="9" t="str">
        <f t="shared" si="27"/>
        <v>-</v>
      </c>
      <c r="AT35" s="9">
        <f>IF(RIGHT(TMK[[#This Row],[Device type]],7)="Winding","-",TMK[[#This Row],[Cont Winter MVA]])</f>
        <v>36.657504342565389</v>
      </c>
      <c r="AU35" s="9">
        <f>IF(RIGHT(TMK[[#This Row],[Device type]],7)="Winding","-",TMK[[#This Row],[Cont Shoulder MVA]])</f>
        <v>36.657504342565389</v>
      </c>
      <c r="AV35" s="9">
        <f>IF(RIGHT(TMK[[#This Row],[Device type]],7)="Winding","-",TMK[[#This Row],[Cont Summer MVA]])</f>
        <v>36.657504342565389</v>
      </c>
      <c r="AW35" s="9">
        <f>IF(RIGHT(TMK[[#This Row],[Device type]],7)="Winding","-",TMK[[#This Row],[24 Hr Winter MVA]])</f>
        <v>36.657504342565389</v>
      </c>
      <c r="AX35" s="9">
        <f>IF(RIGHT(TMK[[#This Row],[Device type]],7)="Winding","-",TMK[[#This Row],[24 Hr Summer MVA]])</f>
        <v>36.657504342565389</v>
      </c>
      <c r="AY35" s="9">
        <f>TMK[[#This Row],[Forwards MVA]]</f>
        <v>29.675122563029124</v>
      </c>
      <c r="AZ35" s="9">
        <f>TMK[[#This Row],[Relay MVA]]</f>
        <v>104.73572669304396</v>
      </c>
      <c r="BA35" s="9">
        <f>TMK[[#This Row],[CT MVA]]</f>
        <v>72.733143536836067</v>
      </c>
      <c r="BB35" s="9" t="str">
        <f>TMK[[#This Row],[Derating MVA]]</f>
        <v>-</v>
      </c>
      <c r="BC35" s="9" t="str">
        <f>TMK[[#This Row],[Station/Feeder]]&amp;TMK[[#This Row],[Lowest MVA]]</f>
        <v>CB1272_Clandeboye No.229.6751225630291</v>
      </c>
      <c r="BD35" s="9" t="str">
        <f>CONCATENATE(TMK[[#This Row],[Supply Level]],TMK[[#This Row],[Station/Feeder]],TMK[[#This Row],[Voltage]],TMK[[#This Row],[Lowest A-No PTX]])</f>
        <v>SubTransmissionCB1272_Clandeboye No.233.594510</v>
      </c>
      <c r="BE35" s="9" t="str">
        <f>CONCATENATE(TMK[[#This Row],[Supply Level]],TMK[[#This Row],[Station/Feeder]],TMK[[#This Row],[Voltage]],TMK[[#This Row],[Lowest A-PTX]])</f>
        <v>SubTransmissionCB1272_Clandeboye No.233.594510</v>
      </c>
      <c r="BF35" s="9">
        <f>IFERROR(IF(MIN(TMK[[#This Row],[Summ Cont Winter A]:[Cable Derating]])=0,"",MIN(TMK[[#This Row],[Summ Cont Winter A]:[Cable Derating]])),"")</f>
        <v>29.675122563029124</v>
      </c>
      <c r="BG35" s="9">
        <f>IFERROR(TMK[[#This Row],[Lowest MVA]]*1000/(TMK[[#This Row],[Voltage]]*SQRT(3)),"")</f>
        <v>510.00000000000006</v>
      </c>
      <c r="BH35" s="9">
        <f t="shared" si="5"/>
        <v>510</v>
      </c>
      <c r="BI35" s="9" t="str">
        <f>TMK[[#This Row],[From]]</f>
        <v>33 kV Bus</v>
      </c>
      <c r="BJ35" s="9" t="str">
        <f>TMK[[#This Row],[To]]</f>
        <v>CD1-D1246-T2</v>
      </c>
      <c r="BK3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Breaker-TMK-CB1272-Protection</v>
      </c>
      <c r="BL35" s="9">
        <f>TMK[[#This Row],[Voltage]]</f>
        <v>33.594000000000001</v>
      </c>
    </row>
    <row r="36" spans="1:64" s="1" customFormat="1" ht="15" customHeight="1" x14ac:dyDescent="0.25">
      <c r="A36" s="6" t="str">
        <f>CONCATENATE(TMK[[#This Row],[Supply Level]],TMK[[#This Row],[Station/Feeder]],TMK[[#This Row],[Voltage]])</f>
        <v>SubTransmissionCB1282_Clandeboye No.433.594</v>
      </c>
      <c r="B36" s="6" t="str">
        <f>CONCATENATE(TMK[[#This Row],[Supply Level]],TMK[[#This Row],[Station/Feeder]],TMK[[#This Row],[Equipment ID]],TMK[[#This Row],[Voltage]],TMK[[#This Row],[Device type]])</f>
        <v>SubTransmissionCB1282_Clandeboye No.4TMK-CB128233.594Protection</v>
      </c>
      <c r="C36" s="6" t="s">
        <v>1245</v>
      </c>
      <c r="D36" s="11" t="s">
        <v>227</v>
      </c>
      <c r="E36" s="7" t="s">
        <v>63</v>
      </c>
      <c r="F36" s="7" t="s">
        <v>485</v>
      </c>
      <c r="G36" s="56">
        <v>1</v>
      </c>
      <c r="H36" s="7" t="s">
        <v>2387</v>
      </c>
      <c r="I36" s="123" t="s">
        <v>2315</v>
      </c>
      <c r="J36" s="123" t="s">
        <v>15</v>
      </c>
      <c r="K36" s="46" t="s">
        <v>470</v>
      </c>
      <c r="L36" s="46" t="s">
        <v>1423</v>
      </c>
      <c r="M36" s="43">
        <f t="shared" si="22"/>
        <v>33.594000000000001</v>
      </c>
      <c r="N36" s="9">
        <v>630</v>
      </c>
      <c r="O36" s="9">
        <f t="shared" si="0"/>
        <v>36.657504342565389</v>
      </c>
      <c r="P36" s="9">
        <v>630</v>
      </c>
      <c r="Q36" s="9">
        <f t="shared" si="1"/>
        <v>36.657504342565389</v>
      </c>
      <c r="R36" s="9">
        <v>630</v>
      </c>
      <c r="S36" s="9">
        <f t="shared" si="2"/>
        <v>36.657504342565389</v>
      </c>
      <c r="T36" s="9">
        <v>630</v>
      </c>
      <c r="U36" s="9">
        <f t="shared" si="3"/>
        <v>36.657504342565389</v>
      </c>
      <c r="V36" s="9">
        <v>630</v>
      </c>
      <c r="W36" s="9">
        <f t="shared" si="4"/>
        <v>36.657504342565389</v>
      </c>
      <c r="X36" s="9">
        <f>VLOOKUP(TMK[[#This Row],[Equipment ID]],AEL_Protection_Data[#All],12,0)</f>
        <v>660</v>
      </c>
      <c r="Y36" s="9">
        <f t="shared" si="23"/>
        <v>38.403099787449449</v>
      </c>
      <c r="Z36" s="9">
        <f>TMK[[#This Row],[Forward A]]</f>
        <v>660</v>
      </c>
      <c r="AA36" s="9">
        <f t="shared" si="24"/>
        <v>38.403099787449449</v>
      </c>
      <c r="AB36" s="9">
        <v>1800</v>
      </c>
      <c r="AC36" s="9">
        <f t="shared" si="25"/>
        <v>104.73572669304396</v>
      </c>
      <c r="AD36" s="9">
        <v>600</v>
      </c>
      <c r="AE36" s="12">
        <f t="shared" si="26"/>
        <v>34.911908897681322</v>
      </c>
      <c r="AF36" s="9" t="s">
        <v>0</v>
      </c>
      <c r="AG36" s="9" t="s">
        <v>0</v>
      </c>
      <c r="AH36" s="9" t="s">
        <v>0</v>
      </c>
      <c r="AI36" s="9" t="s">
        <v>0</v>
      </c>
      <c r="AJ36" s="43" t="s">
        <v>0</v>
      </c>
      <c r="AK36" s="29" t="s">
        <v>0</v>
      </c>
      <c r="AL36" s="32" t="s">
        <v>0</v>
      </c>
      <c r="AM36" s="29" t="s">
        <v>0</v>
      </c>
      <c r="AN36" s="32" t="s">
        <v>0</v>
      </c>
      <c r="AO36" s="29" t="s">
        <v>0</v>
      </c>
      <c r="AP36" s="32" t="s">
        <v>0</v>
      </c>
      <c r="AQ36" s="32" t="s">
        <v>0</v>
      </c>
      <c r="AR3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6" s="9" t="str">
        <f t="shared" si="27"/>
        <v>-</v>
      </c>
      <c r="AT36" s="9">
        <f>IF(RIGHT(TMK[[#This Row],[Device type]],7)="Winding","-",TMK[[#This Row],[Cont Winter MVA]])</f>
        <v>36.657504342565389</v>
      </c>
      <c r="AU36" s="9">
        <f>IF(RIGHT(TMK[[#This Row],[Device type]],7)="Winding","-",TMK[[#This Row],[Cont Shoulder MVA]])</f>
        <v>36.657504342565389</v>
      </c>
      <c r="AV36" s="9">
        <f>IF(RIGHT(TMK[[#This Row],[Device type]],7)="Winding","-",TMK[[#This Row],[Cont Summer MVA]])</f>
        <v>36.657504342565389</v>
      </c>
      <c r="AW36" s="9">
        <f>IF(RIGHT(TMK[[#This Row],[Device type]],7)="Winding","-",TMK[[#This Row],[24 Hr Winter MVA]])</f>
        <v>36.657504342565389</v>
      </c>
      <c r="AX36" s="9">
        <f>IF(RIGHT(TMK[[#This Row],[Device type]],7)="Winding","-",TMK[[#This Row],[24 Hr Summer MVA]])</f>
        <v>36.657504342565389</v>
      </c>
      <c r="AY36" s="9">
        <f>TMK[[#This Row],[Forwards MVA]]</f>
        <v>38.403099787449449</v>
      </c>
      <c r="AZ36" s="9">
        <f>TMK[[#This Row],[Relay MVA]]</f>
        <v>104.73572669304396</v>
      </c>
      <c r="BA36" s="9">
        <f>TMK[[#This Row],[CT MVA]]</f>
        <v>34.911908897681322</v>
      </c>
      <c r="BB36" s="9" t="str">
        <f>TMK[[#This Row],[Derating MVA]]</f>
        <v>-</v>
      </c>
      <c r="BC36" s="9" t="str">
        <f>TMK[[#This Row],[Station/Feeder]]&amp;TMK[[#This Row],[Lowest MVA]]</f>
        <v>CB1282_Clandeboye No.434.9119088976813</v>
      </c>
      <c r="BD36" s="9" t="str">
        <f>CONCATENATE(TMK[[#This Row],[Supply Level]],TMK[[#This Row],[Station/Feeder]],TMK[[#This Row],[Voltage]],TMK[[#This Row],[Lowest A-No PTX]])</f>
        <v>SubTransmissionCB1282_Clandeboye No.433.594600</v>
      </c>
      <c r="BE36" s="9" t="str">
        <f>CONCATENATE(TMK[[#This Row],[Supply Level]],TMK[[#This Row],[Station/Feeder]],TMK[[#This Row],[Voltage]],TMK[[#This Row],[Lowest A-PTX]])</f>
        <v>SubTransmissionCB1282_Clandeboye No.433.594600</v>
      </c>
      <c r="BF36" s="9">
        <f>IFERROR(IF(MIN(TMK[[#This Row],[Summ Cont Winter A]:[Cable Derating]])=0,"",MIN(TMK[[#This Row],[Summ Cont Winter A]:[Cable Derating]])),"")</f>
        <v>34.911908897681322</v>
      </c>
      <c r="BG36" s="9">
        <f>IFERROR(TMK[[#This Row],[Lowest MVA]]*1000/(TMK[[#This Row],[Voltage]]*SQRT(3)),"")</f>
        <v>600.00000000000011</v>
      </c>
      <c r="BH36" s="9">
        <f t="shared" si="5"/>
        <v>600</v>
      </c>
      <c r="BI36" s="9" t="str">
        <f>TMK[[#This Row],[From]]</f>
        <v>33 kV Bus</v>
      </c>
      <c r="BJ36" s="9" t="str">
        <f>TMK[[#This Row],[To]]</f>
        <v>CD2-D1462-T4</v>
      </c>
      <c r="BK3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Breaker-TMK-CB1282-Protection</v>
      </c>
      <c r="BL36" s="9">
        <f>TMK[[#This Row],[Voltage]]</f>
        <v>33.594000000000001</v>
      </c>
    </row>
    <row r="37" spans="1:64" s="1" customFormat="1" ht="15" customHeight="1" thickBot="1" x14ac:dyDescent="0.3">
      <c r="A37" s="191" t="str">
        <f>CONCATENATE(TMK[[#This Row],[Supply Level]],TMK[[#This Row],[Station/Feeder]],TMK[[#This Row],[Voltage]])</f>
        <v>SubTransmissionCB1292_Geraldine33.594</v>
      </c>
      <c r="B37" s="191" t="str">
        <f>CONCATENATE(TMK[[#This Row],[Supply Level]],TMK[[#This Row],[Station/Feeder]],TMK[[#This Row],[Equipment ID]],TMK[[#This Row],[Voltage]],TMK[[#This Row],[Device type]])</f>
        <v>SubTransmissionCB1292_GeraldineTMK-CB129233.594Protection</v>
      </c>
      <c r="C37" s="191" t="s">
        <v>1245</v>
      </c>
      <c r="D37" s="192" t="s">
        <v>226</v>
      </c>
      <c r="E37" s="193" t="s">
        <v>63</v>
      </c>
      <c r="F37" s="193" t="s">
        <v>486</v>
      </c>
      <c r="G37" s="194">
        <v>1</v>
      </c>
      <c r="H37" s="193" t="s">
        <v>2388</v>
      </c>
      <c r="I37" s="205" t="s">
        <v>2316</v>
      </c>
      <c r="J37" s="205" t="s">
        <v>15</v>
      </c>
      <c r="K37" s="196" t="s">
        <v>1121</v>
      </c>
      <c r="L37" s="196" t="s">
        <v>1423</v>
      </c>
      <c r="M37" s="175">
        <f t="shared" si="22"/>
        <v>33.594000000000001</v>
      </c>
      <c r="N37" s="155">
        <v>630</v>
      </c>
      <c r="O37" s="155">
        <f t="shared" si="0"/>
        <v>36.657504342565389</v>
      </c>
      <c r="P37" s="155">
        <v>630</v>
      </c>
      <c r="Q37" s="155">
        <f t="shared" si="1"/>
        <v>36.657504342565389</v>
      </c>
      <c r="R37" s="155">
        <v>630</v>
      </c>
      <c r="S37" s="155">
        <f t="shared" si="2"/>
        <v>36.657504342565389</v>
      </c>
      <c r="T37" s="155">
        <v>630</v>
      </c>
      <c r="U37" s="155">
        <f t="shared" si="3"/>
        <v>36.657504342565389</v>
      </c>
      <c r="V37" s="155">
        <v>630</v>
      </c>
      <c r="W37" s="155">
        <f t="shared" si="4"/>
        <v>36.657504342565389</v>
      </c>
      <c r="X37" s="155">
        <f>VLOOKUP(TMK[[#This Row],[Equipment ID]],AEL_Protection_Data[#All],12,0)</f>
        <v>462</v>
      </c>
      <c r="Y37" s="155">
        <f t="shared" si="23"/>
        <v>26.882169851214613</v>
      </c>
      <c r="Z37" s="155">
        <f>TMK[[#This Row],[Forward A]]</f>
        <v>462</v>
      </c>
      <c r="AA37" s="155">
        <f t="shared" si="24"/>
        <v>26.882169851214613</v>
      </c>
      <c r="AB37" s="155">
        <v>1800</v>
      </c>
      <c r="AC37" s="155">
        <f t="shared" si="25"/>
        <v>104.73572669304396</v>
      </c>
      <c r="AD37" s="155">
        <v>600</v>
      </c>
      <c r="AE37" s="195">
        <f t="shared" si="26"/>
        <v>34.911908897681322</v>
      </c>
      <c r="AF37" s="155" t="s">
        <v>0</v>
      </c>
      <c r="AG37" s="155" t="s">
        <v>0</v>
      </c>
      <c r="AH37" s="155" t="s">
        <v>0</v>
      </c>
      <c r="AI37" s="155" t="s">
        <v>0</v>
      </c>
      <c r="AJ37" s="175" t="s">
        <v>0</v>
      </c>
      <c r="AK37" s="155" t="s">
        <v>0</v>
      </c>
      <c r="AL37" s="175" t="s">
        <v>0</v>
      </c>
      <c r="AM37" s="155" t="s">
        <v>0</v>
      </c>
      <c r="AN37" s="175" t="s">
        <v>0</v>
      </c>
      <c r="AO37" s="155" t="s">
        <v>0</v>
      </c>
      <c r="AP37" s="175" t="s">
        <v>0</v>
      </c>
      <c r="AQ37" s="175" t="s">
        <v>0</v>
      </c>
      <c r="AR37" s="155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7" s="155" t="str">
        <f t="shared" si="27"/>
        <v>-</v>
      </c>
      <c r="AT37" s="155">
        <f>IF(RIGHT(TMK[[#This Row],[Device type]],7)="Winding","-",TMK[[#This Row],[Cont Winter MVA]])</f>
        <v>36.657504342565389</v>
      </c>
      <c r="AU37" s="155">
        <f>IF(RIGHT(TMK[[#This Row],[Device type]],7)="Winding","-",TMK[[#This Row],[Cont Shoulder MVA]])</f>
        <v>36.657504342565389</v>
      </c>
      <c r="AV37" s="155">
        <f>IF(RIGHT(TMK[[#This Row],[Device type]],7)="Winding","-",TMK[[#This Row],[Cont Summer MVA]])</f>
        <v>36.657504342565389</v>
      </c>
      <c r="AW37" s="155">
        <f>IF(RIGHT(TMK[[#This Row],[Device type]],7)="Winding","-",TMK[[#This Row],[24 Hr Winter MVA]])</f>
        <v>36.657504342565389</v>
      </c>
      <c r="AX37" s="155">
        <f>IF(RIGHT(TMK[[#This Row],[Device type]],7)="Winding","-",TMK[[#This Row],[24 Hr Summer MVA]])</f>
        <v>36.657504342565389</v>
      </c>
      <c r="AY37" s="155">
        <f>TMK[[#This Row],[Forwards MVA]]</f>
        <v>26.882169851214613</v>
      </c>
      <c r="AZ37" s="155">
        <f>TMK[[#This Row],[Relay MVA]]</f>
        <v>104.73572669304396</v>
      </c>
      <c r="BA37" s="155">
        <f>TMK[[#This Row],[CT MVA]]</f>
        <v>34.911908897681322</v>
      </c>
      <c r="BB37" s="155" t="str">
        <f>TMK[[#This Row],[Derating MVA]]</f>
        <v>-</v>
      </c>
      <c r="BC37" s="155" t="str">
        <f>TMK[[#This Row],[Station/Feeder]]&amp;TMK[[#This Row],[Lowest MVA]]</f>
        <v>CB1292_Geraldine26.8821698512146</v>
      </c>
      <c r="BD37" s="155" t="str">
        <f>CONCATENATE(TMK[[#This Row],[Supply Level]],TMK[[#This Row],[Station/Feeder]],TMK[[#This Row],[Voltage]],TMK[[#This Row],[Lowest A-No PTX]])</f>
        <v>SubTransmissionCB1292_Geraldine33.594462</v>
      </c>
      <c r="BE37" s="155" t="str">
        <f>CONCATENATE(TMK[[#This Row],[Supply Level]],TMK[[#This Row],[Station/Feeder]],TMK[[#This Row],[Voltage]],TMK[[#This Row],[Lowest A-PTX]])</f>
        <v>SubTransmissionCB1292_Geraldine33.594462</v>
      </c>
      <c r="BF37" s="155">
        <f>IFERROR(IF(MIN(TMK[[#This Row],[Summ Cont Winter A]:[Cable Derating]])=0,"",MIN(TMK[[#This Row],[Summ Cont Winter A]:[Cable Derating]])),"")</f>
        <v>26.882169851214613</v>
      </c>
      <c r="BG37" s="155">
        <f>IFERROR(TMK[[#This Row],[Lowest MVA]]*1000/(TMK[[#This Row],[Voltage]]*SQRT(3)),"")</f>
        <v>462</v>
      </c>
      <c r="BH37" s="155">
        <f t="shared" si="5"/>
        <v>462</v>
      </c>
      <c r="BI37" s="155" t="str">
        <f>TMK[[#This Row],[From]]</f>
        <v>33 kV Bus</v>
      </c>
      <c r="BJ37" s="155" t="str">
        <f>TMK[[#This Row],[To]]</f>
        <v>GLD-D823-T2</v>
      </c>
      <c r="BK37" s="19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Breaker-TMK-CB1292-Protection</v>
      </c>
      <c r="BL37" s="155">
        <f>TMK[[#This Row],[Voltage]]</f>
        <v>33.594000000000001</v>
      </c>
    </row>
    <row r="38" spans="1:64" s="1" customFormat="1" ht="15" customHeight="1" x14ac:dyDescent="0.25">
      <c r="A38" s="168" t="str">
        <f>CONCATENATE(TMK[[#This Row],[Supply Level]],TMK[[#This Row],[Station/Feeder]],TMK[[#This Row],[Voltage]])</f>
        <v>SubTransmissionCB1212_Temuka No.133.594</v>
      </c>
      <c r="B38" s="168" t="str">
        <f>CONCATENATE(TMK[[#This Row],[Supply Level]],TMK[[#This Row],[Station/Feeder]],TMK[[#This Row],[Equipment ID]],TMK[[#This Row],[Voltage]],TMK[[#This Row],[Device type]])</f>
        <v>SubTransmissionCB1212_Temuka No.1TMK-CB121233.594Protection</v>
      </c>
      <c r="C38" s="168" t="s">
        <v>1245</v>
      </c>
      <c r="D38" s="11" t="s">
        <v>231</v>
      </c>
      <c r="E38" s="49" t="s">
        <v>63</v>
      </c>
      <c r="F38" s="49" t="s">
        <v>482</v>
      </c>
      <c r="G38" s="190">
        <v>1</v>
      </c>
      <c r="H38" s="49" t="s">
        <v>2383</v>
      </c>
      <c r="I38" s="124" t="s">
        <v>2311</v>
      </c>
      <c r="J38" s="124" t="s">
        <v>15</v>
      </c>
      <c r="K38" s="45" t="s">
        <v>470</v>
      </c>
      <c r="L38" s="45" t="s">
        <v>1423</v>
      </c>
      <c r="M38" s="32">
        <f t="shared" si="22"/>
        <v>33.594000000000001</v>
      </c>
      <c r="N38" s="29">
        <v>630</v>
      </c>
      <c r="O38" s="29">
        <f t="shared" si="0"/>
        <v>36.657504342565389</v>
      </c>
      <c r="P38" s="29">
        <v>630</v>
      </c>
      <c r="Q38" s="29">
        <f t="shared" si="1"/>
        <v>36.657504342565389</v>
      </c>
      <c r="R38" s="29">
        <v>630</v>
      </c>
      <c r="S38" s="29">
        <f t="shared" si="2"/>
        <v>36.657504342565389</v>
      </c>
      <c r="T38" s="29">
        <v>630</v>
      </c>
      <c r="U38" s="29">
        <f t="shared" si="3"/>
        <v>36.657504342565389</v>
      </c>
      <c r="V38" s="29">
        <v>630</v>
      </c>
      <c r="W38" s="29">
        <f t="shared" si="4"/>
        <v>36.657504342565389</v>
      </c>
      <c r="X38" s="29">
        <f>VLOOKUP(TMK[[#This Row],[Equipment ID]],AEL_Protection_Data[#All],12,0)</f>
        <v>582</v>
      </c>
      <c r="Y38" s="29">
        <f t="shared" ref="Y38:Y39" si="28">IF(OR(X38="",X38="-"),"-",X38*$M38*SQRT(3)/1000)</f>
        <v>33.864551630750881</v>
      </c>
      <c r="Z38" s="29">
        <f>TMK[[#This Row],[Forward A]]</f>
        <v>582</v>
      </c>
      <c r="AA38" s="29">
        <f t="shared" ref="AA38:AA39" si="29">IF(OR(Z38="",Z38="-"),"-",Z38*$M38*SQRT(3)/1000)</f>
        <v>33.864551630750881</v>
      </c>
      <c r="AB38" s="29">
        <v>1800</v>
      </c>
      <c r="AC38" s="29">
        <f t="shared" ref="AC38:AC39" si="30">IF(OR(AB38="",AB38="-"),"-",AB38*$M38*SQRT(3)/1000)</f>
        <v>104.73572669304396</v>
      </c>
      <c r="AD38" s="29">
        <v>1250</v>
      </c>
      <c r="AE38" s="169">
        <f t="shared" ref="AE38:AE39" si="31">IF(OR(AD38="",AD38="-"),"-",AD38*$M38*SQRT(3)/1000)</f>
        <v>72.733143536836067</v>
      </c>
      <c r="AF38" s="29" t="s">
        <v>0</v>
      </c>
      <c r="AG38" s="29" t="s">
        <v>0</v>
      </c>
      <c r="AH38" s="29" t="s">
        <v>0</v>
      </c>
      <c r="AI38" s="29" t="s">
        <v>0</v>
      </c>
      <c r="AJ38" s="32" t="s">
        <v>0</v>
      </c>
      <c r="AK38" s="29" t="s">
        <v>0</v>
      </c>
      <c r="AL38" s="32" t="s">
        <v>0</v>
      </c>
      <c r="AM38" s="29" t="s">
        <v>0</v>
      </c>
      <c r="AN38" s="32" t="s">
        <v>0</v>
      </c>
      <c r="AO38" s="29" t="s">
        <v>0</v>
      </c>
      <c r="AP38" s="32" t="s">
        <v>0</v>
      </c>
      <c r="AQ38" s="32" t="s">
        <v>0</v>
      </c>
      <c r="AR38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8" s="29" t="str">
        <f t="shared" ref="AS38:AS39" si="32">IF(OR(AR38="",AR38="-"),"-",AR38*$M38*SQRT(3)/1000)</f>
        <v>-</v>
      </c>
      <c r="AT38" s="29">
        <f>IF(RIGHT(TMK[[#This Row],[Device type]],7)="Winding","-",TMK[[#This Row],[Cont Winter MVA]])</f>
        <v>36.657504342565389</v>
      </c>
      <c r="AU38" s="29">
        <f>IF(RIGHT(TMK[[#This Row],[Device type]],7)="Winding","-",TMK[[#This Row],[Cont Shoulder MVA]])</f>
        <v>36.657504342565389</v>
      </c>
      <c r="AV38" s="29">
        <f>IF(RIGHT(TMK[[#This Row],[Device type]],7)="Winding","-",TMK[[#This Row],[Cont Summer MVA]])</f>
        <v>36.657504342565389</v>
      </c>
      <c r="AW38" s="29">
        <f>IF(RIGHT(TMK[[#This Row],[Device type]],7)="Winding","-",TMK[[#This Row],[24 Hr Winter MVA]])</f>
        <v>36.657504342565389</v>
      </c>
      <c r="AX38" s="29">
        <f>IF(RIGHT(TMK[[#This Row],[Device type]],7)="Winding","-",TMK[[#This Row],[24 Hr Summer MVA]])</f>
        <v>36.657504342565389</v>
      </c>
      <c r="AY38" s="29">
        <f>TMK[[#This Row],[Forwards MVA]]</f>
        <v>33.864551630750881</v>
      </c>
      <c r="AZ38" s="29">
        <f>TMK[[#This Row],[Relay MVA]]</f>
        <v>104.73572669304396</v>
      </c>
      <c r="BA38" s="29">
        <f>TMK[[#This Row],[CT MVA]]</f>
        <v>72.733143536836067</v>
      </c>
      <c r="BB38" s="29" t="str">
        <f>TMK[[#This Row],[Derating MVA]]</f>
        <v>-</v>
      </c>
      <c r="BC38" s="29" t="str">
        <f>TMK[[#This Row],[Station/Feeder]]&amp;TMK[[#This Row],[Lowest MVA]]</f>
        <v>CB1212_Temuka No.133.8645516307509</v>
      </c>
      <c r="BD38" s="29" t="str">
        <f>CONCATENATE(TMK[[#This Row],[Supply Level]],TMK[[#This Row],[Station/Feeder]],TMK[[#This Row],[Voltage]],TMK[[#This Row],[Lowest A-No PTX]])</f>
        <v>SubTransmissionCB1212_Temuka No.133.594582</v>
      </c>
      <c r="BE38" s="29" t="str">
        <f>CONCATENATE(TMK[[#This Row],[Supply Level]],TMK[[#This Row],[Station/Feeder]],TMK[[#This Row],[Voltage]],TMK[[#This Row],[Lowest A-PTX]])</f>
        <v>SubTransmissionCB1212_Temuka No.133.594582</v>
      </c>
      <c r="BF38" s="29">
        <f>IFERROR(IF(MIN(TMK[[#This Row],[Summ Cont Winter A]:[Cable Derating]])=0,"",MIN(TMK[[#This Row],[Summ Cont Winter A]:[Cable Derating]])),"")</f>
        <v>33.864551630750881</v>
      </c>
      <c r="BG38" s="29">
        <f>IFERROR(TMK[[#This Row],[Lowest MVA]]*1000/(TMK[[#This Row],[Voltage]]*SQRT(3)),"")</f>
        <v>582</v>
      </c>
      <c r="BH38" s="29">
        <f t="shared" si="5"/>
        <v>582</v>
      </c>
      <c r="BI38" s="29" t="str">
        <f>TMK[[#This Row],[From]]</f>
        <v>33 kV Bus</v>
      </c>
      <c r="BJ38" s="29" t="str">
        <f>TMK[[#This Row],[To]]</f>
        <v>TMK-D816-T1</v>
      </c>
      <c r="BK38" s="45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Breaker-TMK-CB1212-Protection</v>
      </c>
      <c r="BL38" s="29">
        <f>TMK[[#This Row],[Voltage]]</f>
        <v>33.594000000000001</v>
      </c>
    </row>
    <row r="39" spans="1:64" s="1" customFormat="1" ht="15" customHeight="1" x14ac:dyDescent="0.25">
      <c r="A39" s="6" t="str">
        <f>CONCATENATE(TMK[[#This Row],[Supply Level]],TMK[[#This Row],[Station/Feeder]],TMK[[#This Row],[Voltage]])</f>
        <v>SubTransmissionCB1212_Temuka No.133.594</v>
      </c>
      <c r="B39" s="6" t="str">
        <f>CONCATENATE(TMK[[#This Row],[Supply Level]],TMK[[#This Row],[Station/Feeder]],TMK[[#This Row],[Equipment ID]],TMK[[#This Row],[Voltage]],TMK[[#This Row],[Device type]])</f>
        <v>SubTransmissionCB1212_Temuka No.13-1c 400 mm² Al XLPE33.594-</v>
      </c>
      <c r="C39" s="6" t="s">
        <v>1245</v>
      </c>
      <c r="D39" s="11" t="s">
        <v>231</v>
      </c>
      <c r="E39" s="7" t="s">
        <v>63</v>
      </c>
      <c r="F39" s="7" t="s">
        <v>482</v>
      </c>
      <c r="G39" s="56">
        <v>2</v>
      </c>
      <c r="H39" s="260" t="s">
        <v>1292</v>
      </c>
      <c r="I39" s="123" t="s">
        <v>559</v>
      </c>
      <c r="J39" s="123" t="s">
        <v>250</v>
      </c>
      <c r="K39" s="46" t="s">
        <v>0</v>
      </c>
      <c r="L39" s="46" t="s">
        <v>0</v>
      </c>
      <c r="M39" s="43">
        <f t="shared" si="22"/>
        <v>33.594000000000001</v>
      </c>
      <c r="N39" s="9">
        <v>465</v>
      </c>
      <c r="O39" s="9">
        <f t="shared" si="0"/>
        <v>27.056729395703023</v>
      </c>
      <c r="P39" s="9">
        <v>465</v>
      </c>
      <c r="Q39" s="9">
        <f t="shared" si="1"/>
        <v>27.056729395703023</v>
      </c>
      <c r="R39" s="9">
        <v>465</v>
      </c>
      <c r="S39" s="9">
        <f t="shared" si="2"/>
        <v>27.056729395703023</v>
      </c>
      <c r="T39" s="9" t="s">
        <v>0</v>
      </c>
      <c r="U39" s="9" t="str">
        <f t="shared" si="3"/>
        <v>-</v>
      </c>
      <c r="V39" s="9" t="s">
        <v>0</v>
      </c>
      <c r="W39" s="9" t="str">
        <f t="shared" si="4"/>
        <v>-</v>
      </c>
      <c r="X39" s="9" t="s">
        <v>0</v>
      </c>
      <c r="Y39" s="9" t="str">
        <f t="shared" si="28"/>
        <v>-</v>
      </c>
      <c r="Z39" s="9" t="s">
        <v>0</v>
      </c>
      <c r="AA39" s="9" t="str">
        <f t="shared" si="29"/>
        <v>-</v>
      </c>
      <c r="AB39" s="9" t="s">
        <v>0</v>
      </c>
      <c r="AC39" s="9" t="str">
        <f t="shared" si="30"/>
        <v>-</v>
      </c>
      <c r="AD39" s="9" t="s">
        <v>0</v>
      </c>
      <c r="AE39" s="12" t="str">
        <f t="shared" si="31"/>
        <v>-</v>
      </c>
      <c r="AF39" s="29">
        <v>1</v>
      </c>
      <c r="AG39" s="29" t="s">
        <v>344</v>
      </c>
      <c r="AH39" s="9">
        <v>33</v>
      </c>
      <c r="AI39" s="29">
        <v>0.9</v>
      </c>
      <c r="AJ39" s="32">
        <v>0.99</v>
      </c>
      <c r="AK39" s="29">
        <v>18</v>
      </c>
      <c r="AL39" s="32">
        <v>0.98</v>
      </c>
      <c r="AM39" s="29">
        <v>1.2</v>
      </c>
      <c r="AN39" s="32">
        <v>1.05</v>
      </c>
      <c r="AO39" s="29">
        <v>2</v>
      </c>
      <c r="AP39" s="32">
        <v>0.6</v>
      </c>
      <c r="AQ39" s="32">
        <v>0.9</v>
      </c>
      <c r="AR39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426.33013500000004</v>
      </c>
      <c r="AS39" s="9">
        <f t="shared" si="32"/>
        <v>24.806664722426962</v>
      </c>
      <c r="AT39" s="9">
        <f>IF(RIGHT(TMK[[#This Row],[Device type]],7)="Winding","-",TMK[[#This Row],[Cont Winter MVA]])</f>
        <v>27.056729395703023</v>
      </c>
      <c r="AU39" s="9">
        <f>IF(RIGHT(TMK[[#This Row],[Device type]],7)="Winding","-",TMK[[#This Row],[Cont Shoulder MVA]])</f>
        <v>27.056729395703023</v>
      </c>
      <c r="AV39" s="9">
        <f>IF(RIGHT(TMK[[#This Row],[Device type]],7)="Winding","-",TMK[[#This Row],[Cont Summer MVA]])</f>
        <v>27.056729395703023</v>
      </c>
      <c r="AW39" s="9" t="str">
        <f>IF(RIGHT(TMK[[#This Row],[Device type]],7)="Winding","-",TMK[[#This Row],[24 Hr Winter MVA]])</f>
        <v>-</v>
      </c>
      <c r="AX39" s="9" t="str">
        <f>IF(RIGHT(TMK[[#This Row],[Device type]],7)="Winding","-",TMK[[#This Row],[24 Hr Summer MVA]])</f>
        <v>-</v>
      </c>
      <c r="AY39" s="9" t="str">
        <f>TMK[[#This Row],[Forwards MVA]]</f>
        <v>-</v>
      </c>
      <c r="AZ39" s="9" t="str">
        <f>TMK[[#This Row],[Relay MVA]]</f>
        <v>-</v>
      </c>
      <c r="BA39" s="9" t="str">
        <f>TMK[[#This Row],[CT MVA]]</f>
        <v>-</v>
      </c>
      <c r="BB39" s="9">
        <f>TMK[[#This Row],[Derating MVA]]</f>
        <v>24.806664722426962</v>
      </c>
      <c r="BC39" s="9" t="str">
        <f>TMK[[#This Row],[Station/Feeder]]&amp;TMK[[#This Row],[Lowest MVA]]</f>
        <v>CB1212_Temuka No.124.806664722427</v>
      </c>
      <c r="BD39" s="9" t="str">
        <f>CONCATENATE(TMK[[#This Row],[Supply Level]],TMK[[#This Row],[Station/Feeder]],TMK[[#This Row],[Voltage]],TMK[[#This Row],[Lowest A-No PTX]])</f>
        <v>SubTransmissionCB1212_Temuka No.133.594426.330135</v>
      </c>
      <c r="BE39" s="9" t="str">
        <f>CONCATENATE(TMK[[#This Row],[Supply Level]],TMK[[#This Row],[Station/Feeder]],TMK[[#This Row],[Voltage]],TMK[[#This Row],[Lowest A-PTX]])</f>
        <v>SubTransmissionCB1212_Temuka No.133.594426.330135</v>
      </c>
      <c r="BF39" s="9">
        <f>IFERROR(IF(MIN(TMK[[#This Row],[Summ Cont Winter A]:[Cable Derating]])=0,"",MIN(TMK[[#This Row],[Summ Cont Winter A]:[Cable Derating]])),"")</f>
        <v>24.806664722426962</v>
      </c>
      <c r="BG39" s="9">
        <f>IFERROR(TMK[[#This Row],[Lowest MVA]]*1000/(TMK[[#This Row],[Voltage]]*SQRT(3)),"")</f>
        <v>426.33013499999998</v>
      </c>
      <c r="BH39" s="9">
        <f t="shared" si="5"/>
        <v>426.33013500000004</v>
      </c>
      <c r="BI39" s="9" t="str">
        <f>TMK[[#This Row],[From]]</f>
        <v>33 kV Bus</v>
      </c>
      <c r="BJ39" s="9" t="str">
        <f>TMK[[#This Row],[To]]</f>
        <v>TMK-D816-T1</v>
      </c>
      <c r="BK3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Al XLPE</v>
      </c>
      <c r="BL39" s="9">
        <f>TMK[[#This Row],[Voltage]]</f>
        <v>33.594000000000001</v>
      </c>
    </row>
    <row r="40" spans="1:64" s="1" customFormat="1" ht="15" customHeight="1" x14ac:dyDescent="0.25">
      <c r="A40" s="6" t="str">
        <f>CONCATENATE(TMK[[#This Row],[Supply Level]],TMK[[#This Row],[Station/Feeder]],TMK[[#This Row],[Voltage]])</f>
        <v>SubTransmissionCB1262_Temuka No.233.594</v>
      </c>
      <c r="B40" s="6" t="str">
        <f>CONCATENATE(TMK[[#This Row],[Supply Level]],TMK[[#This Row],[Station/Feeder]],TMK[[#This Row],[Equipment ID]],TMK[[#This Row],[Voltage]],TMK[[#This Row],[Device type]])</f>
        <v>SubTransmissionCB1262_Temuka No.2TMK-CB126233.594Protection</v>
      </c>
      <c r="C40" s="6" t="s">
        <v>1245</v>
      </c>
      <c r="D40" s="11" t="s">
        <v>229</v>
      </c>
      <c r="E40" s="7" t="s">
        <v>63</v>
      </c>
      <c r="F40" s="7" t="s">
        <v>483</v>
      </c>
      <c r="G40" s="56">
        <v>1</v>
      </c>
      <c r="H40" s="7" t="s">
        <v>2385</v>
      </c>
      <c r="I40" s="123" t="s">
        <v>2313</v>
      </c>
      <c r="J40" s="123" t="s">
        <v>15</v>
      </c>
      <c r="K40" s="46" t="s">
        <v>470</v>
      </c>
      <c r="L40" s="46" t="s">
        <v>1423</v>
      </c>
      <c r="M40" s="43">
        <f t="shared" si="22"/>
        <v>33.594000000000001</v>
      </c>
      <c r="N40" s="9">
        <v>630</v>
      </c>
      <c r="O40" s="9">
        <f t="shared" si="0"/>
        <v>36.657504342565389</v>
      </c>
      <c r="P40" s="9">
        <v>630</v>
      </c>
      <c r="Q40" s="9">
        <f t="shared" si="1"/>
        <v>36.657504342565389</v>
      </c>
      <c r="R40" s="9">
        <v>630</v>
      </c>
      <c r="S40" s="9">
        <f t="shared" si="2"/>
        <v>36.657504342565389</v>
      </c>
      <c r="T40" s="9">
        <v>630</v>
      </c>
      <c r="U40" s="9">
        <f t="shared" si="3"/>
        <v>36.657504342565389</v>
      </c>
      <c r="V40" s="9">
        <v>630</v>
      </c>
      <c r="W40" s="9">
        <f t="shared" si="4"/>
        <v>36.657504342565389</v>
      </c>
      <c r="X40" s="9">
        <f>VLOOKUP(TMK[[#This Row],[Equipment ID]],AEL_Protection_Data[#All],12,0)</f>
        <v>582</v>
      </c>
      <c r="Y40" s="9">
        <f>IF(OR(X40="",X40="-"),"-",X40*$M40*SQRT(3)/1000)</f>
        <v>33.864551630750881</v>
      </c>
      <c r="Z40" s="9">
        <f>TMK[[#This Row],[Forward A]]</f>
        <v>582</v>
      </c>
      <c r="AA40" s="9">
        <f>IF(OR(Z40="",Z40="-"),"-",Z40*$M40*SQRT(3)/1000)</f>
        <v>33.864551630750881</v>
      </c>
      <c r="AB40" s="9">
        <v>1800</v>
      </c>
      <c r="AC40" s="9">
        <f>IF(OR(AB40="",AB40="-"),"-",AB40*$M40*SQRT(3)/1000)</f>
        <v>104.73572669304396</v>
      </c>
      <c r="AD40" s="9">
        <v>1250</v>
      </c>
      <c r="AE40" s="12">
        <f>IF(OR(AD40="",AD40="-"),"-",AD40*$M40*SQRT(3)/1000)</f>
        <v>72.733143536836067</v>
      </c>
      <c r="AF40" s="9" t="s">
        <v>0</v>
      </c>
      <c r="AG40" s="9" t="s">
        <v>0</v>
      </c>
      <c r="AH40" s="9" t="s">
        <v>0</v>
      </c>
      <c r="AI40" s="9" t="s">
        <v>0</v>
      </c>
      <c r="AJ40" s="43" t="s">
        <v>0</v>
      </c>
      <c r="AK40" s="29" t="s">
        <v>0</v>
      </c>
      <c r="AL40" s="32" t="s">
        <v>0</v>
      </c>
      <c r="AM40" s="29" t="s">
        <v>0</v>
      </c>
      <c r="AN40" s="32" t="s">
        <v>0</v>
      </c>
      <c r="AO40" s="29" t="s">
        <v>0</v>
      </c>
      <c r="AP40" s="32" t="s">
        <v>0</v>
      </c>
      <c r="AQ40" s="32" t="s">
        <v>0</v>
      </c>
      <c r="AR40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40" s="9" t="str">
        <f>IF(OR(AR40="",AR40="-"),"-",AR40*$M40*SQRT(3)/1000)</f>
        <v>-</v>
      </c>
      <c r="AT40" s="9">
        <f>IF(RIGHT(TMK[[#This Row],[Device type]],7)="Winding","-",TMK[[#This Row],[Cont Winter MVA]])</f>
        <v>36.657504342565389</v>
      </c>
      <c r="AU40" s="9">
        <f>IF(RIGHT(TMK[[#This Row],[Device type]],7)="Winding","-",TMK[[#This Row],[Cont Shoulder MVA]])</f>
        <v>36.657504342565389</v>
      </c>
      <c r="AV40" s="9">
        <f>IF(RIGHT(TMK[[#This Row],[Device type]],7)="Winding","-",TMK[[#This Row],[Cont Summer MVA]])</f>
        <v>36.657504342565389</v>
      </c>
      <c r="AW40" s="9">
        <f>IF(RIGHT(TMK[[#This Row],[Device type]],7)="Winding","-",TMK[[#This Row],[24 Hr Winter MVA]])</f>
        <v>36.657504342565389</v>
      </c>
      <c r="AX40" s="9">
        <f>IF(RIGHT(TMK[[#This Row],[Device type]],7)="Winding","-",TMK[[#This Row],[24 Hr Summer MVA]])</f>
        <v>36.657504342565389</v>
      </c>
      <c r="AY40" s="9">
        <f>TMK[[#This Row],[Forwards MVA]]</f>
        <v>33.864551630750881</v>
      </c>
      <c r="AZ40" s="9">
        <f>TMK[[#This Row],[Relay MVA]]</f>
        <v>104.73572669304396</v>
      </c>
      <c r="BA40" s="9">
        <f>TMK[[#This Row],[CT MVA]]</f>
        <v>72.733143536836067</v>
      </c>
      <c r="BB40" s="9" t="str">
        <f>TMK[[#This Row],[Derating MVA]]</f>
        <v>-</v>
      </c>
      <c r="BC40" s="9" t="str">
        <f>TMK[[#This Row],[Station/Feeder]]&amp;TMK[[#This Row],[Lowest MVA]]</f>
        <v>CB1262_Temuka No.233.8645516307509</v>
      </c>
      <c r="BD40" s="9" t="str">
        <f>CONCATENATE(TMK[[#This Row],[Supply Level]],TMK[[#This Row],[Station/Feeder]],TMK[[#This Row],[Voltage]],TMK[[#This Row],[Lowest A-No PTX]])</f>
        <v>SubTransmissionCB1262_Temuka No.233.594582</v>
      </c>
      <c r="BE40" s="9" t="str">
        <f>CONCATENATE(TMK[[#This Row],[Supply Level]],TMK[[#This Row],[Station/Feeder]],TMK[[#This Row],[Voltage]],TMK[[#This Row],[Lowest A-PTX]])</f>
        <v>SubTransmissionCB1262_Temuka No.233.594582</v>
      </c>
      <c r="BF40" s="9">
        <f>IFERROR(IF(MIN(TMK[[#This Row],[Summ Cont Winter A]:[Cable Derating]])=0,"",MIN(TMK[[#This Row],[Summ Cont Winter A]:[Cable Derating]])),"")</f>
        <v>33.864551630750881</v>
      </c>
      <c r="BG40" s="9">
        <f>IFERROR(TMK[[#This Row],[Lowest MVA]]*1000/(TMK[[#This Row],[Voltage]]*SQRT(3)),"")</f>
        <v>582</v>
      </c>
      <c r="BH40" s="9">
        <f t="shared" si="5"/>
        <v>582</v>
      </c>
      <c r="BI40" s="9" t="str">
        <f>TMK[[#This Row],[From]]</f>
        <v>33 kV Bus</v>
      </c>
      <c r="BJ40" s="9" t="str">
        <f>TMK[[#This Row],[To]]</f>
        <v>TMK-D816-T2</v>
      </c>
      <c r="BK4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Breaker-TMK-CB1262-Protection</v>
      </c>
      <c r="BL40" s="9">
        <f>TMK[[#This Row],[Voltage]]</f>
        <v>33.594000000000001</v>
      </c>
    </row>
    <row r="41" spans="1:64" s="1" customFormat="1" ht="15" customHeight="1" x14ac:dyDescent="0.25">
      <c r="A41" s="6" t="str">
        <f>CONCATENATE(TMK[[#This Row],[Supply Level]],TMK[[#This Row],[Station/Feeder]],TMK[[#This Row],[Voltage]])</f>
        <v>SubTransmissionCB1262_Temuka No.233.594</v>
      </c>
      <c r="B41" s="6" t="str">
        <f>CONCATENATE(TMK[[#This Row],[Supply Level]],TMK[[#This Row],[Station/Feeder]],TMK[[#This Row],[Equipment ID]],TMK[[#This Row],[Voltage]],TMK[[#This Row],[Device type]])</f>
        <v>SubTransmissionCB1262_Temuka No.23-1c 400 mm² Al XLPE33.594-</v>
      </c>
      <c r="C41" s="6" t="s">
        <v>1245</v>
      </c>
      <c r="D41" s="11" t="s">
        <v>229</v>
      </c>
      <c r="E41" s="7" t="s">
        <v>63</v>
      </c>
      <c r="F41" s="7" t="s">
        <v>483</v>
      </c>
      <c r="G41" s="56">
        <v>2</v>
      </c>
      <c r="H41" s="260" t="s">
        <v>1292</v>
      </c>
      <c r="I41" s="123" t="s">
        <v>559</v>
      </c>
      <c r="J41" s="123" t="s">
        <v>250</v>
      </c>
      <c r="K41" s="46" t="s">
        <v>0</v>
      </c>
      <c r="L41" s="46" t="s">
        <v>0</v>
      </c>
      <c r="M41" s="43">
        <f t="shared" si="22"/>
        <v>33.594000000000001</v>
      </c>
      <c r="N41" s="9">
        <v>465</v>
      </c>
      <c r="O41" s="9">
        <f t="shared" si="0"/>
        <v>27.056729395703023</v>
      </c>
      <c r="P41" s="9">
        <v>465</v>
      </c>
      <c r="Q41" s="9">
        <f t="shared" si="1"/>
        <v>27.056729395703023</v>
      </c>
      <c r="R41" s="9">
        <v>465</v>
      </c>
      <c r="S41" s="9">
        <f t="shared" si="2"/>
        <v>27.056729395703023</v>
      </c>
      <c r="T41" s="9" t="s">
        <v>0</v>
      </c>
      <c r="U41" s="9" t="str">
        <f t="shared" si="3"/>
        <v>-</v>
      </c>
      <c r="V41" s="9" t="s">
        <v>0</v>
      </c>
      <c r="W41" s="9" t="str">
        <f t="shared" si="4"/>
        <v>-</v>
      </c>
      <c r="X41" s="9" t="s">
        <v>0</v>
      </c>
      <c r="Y41" s="9" t="str">
        <f>IF(OR(X41="",X41="-"),"-",X41*$M41*SQRT(3)/1000)</f>
        <v>-</v>
      </c>
      <c r="Z41" s="9" t="s">
        <v>0</v>
      </c>
      <c r="AA41" s="9" t="str">
        <f>IF(OR(Z41="",Z41="-"),"-",Z41*$M41*SQRT(3)/1000)</f>
        <v>-</v>
      </c>
      <c r="AB41" s="9" t="s">
        <v>0</v>
      </c>
      <c r="AC41" s="9" t="str">
        <f>IF(OR(AB41="",AB41="-"),"-",AB41*$M41*SQRT(3)/1000)</f>
        <v>-</v>
      </c>
      <c r="AD41" s="9" t="s">
        <v>0</v>
      </c>
      <c r="AE41" s="12" t="str">
        <f>IF(OR(AD41="",AD41="-"),"-",AD41*$M41*SQRT(3)/1000)</f>
        <v>-</v>
      </c>
      <c r="AF41" s="29">
        <v>1</v>
      </c>
      <c r="AG41" s="29" t="s">
        <v>344</v>
      </c>
      <c r="AH41" s="9">
        <v>35.1</v>
      </c>
      <c r="AI41" s="29">
        <v>0.9</v>
      </c>
      <c r="AJ41" s="32">
        <v>0.99</v>
      </c>
      <c r="AK41" s="29">
        <v>18</v>
      </c>
      <c r="AL41" s="32">
        <v>0.98</v>
      </c>
      <c r="AM41" s="29">
        <v>1.2</v>
      </c>
      <c r="AN41" s="32">
        <v>1.05</v>
      </c>
      <c r="AO41" s="29">
        <v>2</v>
      </c>
      <c r="AP41" s="32">
        <v>0.6</v>
      </c>
      <c r="AQ41" s="32">
        <v>0.9</v>
      </c>
      <c r="AR41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426.33013500000004</v>
      </c>
      <c r="AS41" s="9">
        <f>IF(OR(AR41="",AR41="-"),"-",AR41*$M41*SQRT(3)/1000)</f>
        <v>24.806664722426962</v>
      </c>
      <c r="AT41" s="9">
        <f>IF(RIGHT(TMK[[#This Row],[Device type]],7)="Winding","-",TMK[[#This Row],[Cont Winter MVA]])</f>
        <v>27.056729395703023</v>
      </c>
      <c r="AU41" s="9">
        <f>IF(RIGHT(TMK[[#This Row],[Device type]],7)="Winding","-",TMK[[#This Row],[Cont Shoulder MVA]])</f>
        <v>27.056729395703023</v>
      </c>
      <c r="AV41" s="9">
        <f>IF(RIGHT(TMK[[#This Row],[Device type]],7)="Winding","-",TMK[[#This Row],[Cont Summer MVA]])</f>
        <v>27.056729395703023</v>
      </c>
      <c r="AW41" s="9" t="str">
        <f>IF(RIGHT(TMK[[#This Row],[Device type]],7)="Winding","-",TMK[[#This Row],[24 Hr Winter MVA]])</f>
        <v>-</v>
      </c>
      <c r="AX41" s="9" t="str">
        <f>IF(RIGHT(TMK[[#This Row],[Device type]],7)="Winding","-",TMK[[#This Row],[24 Hr Summer MVA]])</f>
        <v>-</v>
      </c>
      <c r="AY41" s="9" t="str">
        <f>TMK[[#This Row],[Forwards MVA]]</f>
        <v>-</v>
      </c>
      <c r="AZ41" s="9" t="str">
        <f>TMK[[#This Row],[Relay MVA]]</f>
        <v>-</v>
      </c>
      <c r="BA41" s="9" t="str">
        <f>TMK[[#This Row],[CT MVA]]</f>
        <v>-</v>
      </c>
      <c r="BB41" s="9">
        <f>TMK[[#This Row],[Derating MVA]]</f>
        <v>24.806664722426962</v>
      </c>
      <c r="BC41" s="9" t="str">
        <f>TMK[[#This Row],[Station/Feeder]]&amp;TMK[[#This Row],[Lowest MVA]]</f>
        <v>CB1262_Temuka No.224.806664722427</v>
      </c>
      <c r="BD41" s="9" t="str">
        <f>CONCATENATE(TMK[[#This Row],[Supply Level]],TMK[[#This Row],[Station/Feeder]],TMK[[#This Row],[Voltage]],TMK[[#This Row],[Lowest A-No PTX]])</f>
        <v>SubTransmissionCB1262_Temuka No.233.594426.330135</v>
      </c>
      <c r="BE41" s="9" t="str">
        <f>CONCATENATE(TMK[[#This Row],[Supply Level]],TMK[[#This Row],[Station/Feeder]],TMK[[#This Row],[Voltage]],TMK[[#This Row],[Lowest A-PTX]])</f>
        <v>SubTransmissionCB1262_Temuka No.233.594426.330135</v>
      </c>
      <c r="BF41" s="9">
        <f>IFERROR(IF(MIN(TMK[[#This Row],[Summ Cont Winter A]:[Cable Derating]])=0,"",MIN(TMK[[#This Row],[Summ Cont Winter A]:[Cable Derating]])),"")</f>
        <v>24.806664722426962</v>
      </c>
      <c r="BG41" s="9">
        <f>IFERROR(TMK[[#This Row],[Lowest MVA]]*1000/(TMK[[#This Row],[Voltage]]*SQRT(3)),"")</f>
        <v>426.33013499999998</v>
      </c>
      <c r="BH41" s="9">
        <f t="shared" si="5"/>
        <v>426.33013500000004</v>
      </c>
      <c r="BI41" s="9" t="str">
        <f>TMK[[#This Row],[From]]</f>
        <v>33 kV Bus</v>
      </c>
      <c r="BJ41" s="9" t="str">
        <f>TMK[[#This Row],[To]]</f>
        <v>TMK-D816-T2</v>
      </c>
      <c r="BK4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Al XLPE</v>
      </c>
      <c r="BL41" s="9">
        <f>TMK[[#This Row],[Voltage]]</f>
        <v>33.594000000000001</v>
      </c>
    </row>
    <row r="42" spans="1:64" s="1" customFormat="1" ht="15" customHeight="1" x14ac:dyDescent="0.25">
      <c r="A42" s="168" t="str">
        <f>CONCATENATE(TMK[[#This Row],[Supply Level]],TMK[[#This Row],[Station/Feeder]],TMK[[#This Row],[Voltage]])</f>
        <v>SubTransmissionTMK33.594</v>
      </c>
      <c r="B42" s="168" t="str">
        <f>CONCATENATE(TMK[[#This Row],[Supply Level]],TMK[[#This Row],[Station/Feeder]],TMK[[#This Row],[Equipment ID]],TMK[[#This Row],[Voltage]],TMK[[#This Row],[Device type]])</f>
        <v>SubTransmissionTMKTMK-CB121233.594Protection</v>
      </c>
      <c r="C42" s="168" t="s">
        <v>1245</v>
      </c>
      <c r="D42" s="118" t="s">
        <v>1138</v>
      </c>
      <c r="E42" s="49" t="s">
        <v>63</v>
      </c>
      <c r="F42" s="49" t="s">
        <v>482</v>
      </c>
      <c r="G42" s="190">
        <v>1</v>
      </c>
      <c r="H42" s="49" t="s">
        <v>2383</v>
      </c>
      <c r="I42" s="124" t="s">
        <v>2311</v>
      </c>
      <c r="J42" s="124" t="s">
        <v>15</v>
      </c>
      <c r="K42" s="45" t="s">
        <v>470</v>
      </c>
      <c r="L42" s="45" t="s">
        <v>1423</v>
      </c>
      <c r="M42" s="32">
        <f t="shared" si="22"/>
        <v>33.594000000000001</v>
      </c>
      <c r="N42" s="29">
        <v>630</v>
      </c>
      <c r="O42" s="29">
        <f t="shared" si="0"/>
        <v>36.657504342565389</v>
      </c>
      <c r="P42" s="29">
        <v>630</v>
      </c>
      <c r="Q42" s="29">
        <f t="shared" si="1"/>
        <v>36.657504342565389</v>
      </c>
      <c r="R42" s="29">
        <v>630</v>
      </c>
      <c r="S42" s="29">
        <f t="shared" si="2"/>
        <v>36.657504342565389</v>
      </c>
      <c r="T42" s="29">
        <v>630</v>
      </c>
      <c r="U42" s="29">
        <f t="shared" si="3"/>
        <v>36.657504342565389</v>
      </c>
      <c r="V42" s="29">
        <v>630</v>
      </c>
      <c r="W42" s="29">
        <f t="shared" si="4"/>
        <v>36.657504342565389</v>
      </c>
      <c r="X42" s="29">
        <f>VLOOKUP(TMK[[#This Row],[Equipment ID]],AEL_Protection_Data[#All],12,0)</f>
        <v>582</v>
      </c>
      <c r="Y42" s="29">
        <f t="shared" si="23"/>
        <v>33.864551630750881</v>
      </c>
      <c r="Z42" s="29">
        <f>TMK[[#This Row],[Forward A]]</f>
        <v>582</v>
      </c>
      <c r="AA42" s="29">
        <f t="shared" si="24"/>
        <v>33.864551630750881</v>
      </c>
      <c r="AB42" s="29">
        <v>1800</v>
      </c>
      <c r="AC42" s="29">
        <f t="shared" si="25"/>
        <v>104.73572669304396</v>
      </c>
      <c r="AD42" s="29">
        <v>1250</v>
      </c>
      <c r="AE42" s="169">
        <f t="shared" si="26"/>
        <v>72.733143536836067</v>
      </c>
      <c r="AF42" s="29" t="s">
        <v>0</v>
      </c>
      <c r="AG42" s="29" t="s">
        <v>0</v>
      </c>
      <c r="AH42" s="29" t="s">
        <v>0</v>
      </c>
      <c r="AI42" s="29" t="s">
        <v>0</v>
      </c>
      <c r="AJ42" s="32" t="s">
        <v>0</v>
      </c>
      <c r="AK42" s="29" t="s">
        <v>0</v>
      </c>
      <c r="AL42" s="32" t="s">
        <v>0</v>
      </c>
      <c r="AM42" s="29" t="s">
        <v>0</v>
      </c>
      <c r="AN42" s="32" t="s">
        <v>0</v>
      </c>
      <c r="AO42" s="29" t="s">
        <v>0</v>
      </c>
      <c r="AP42" s="32" t="s">
        <v>0</v>
      </c>
      <c r="AQ42" s="32" t="s">
        <v>0</v>
      </c>
      <c r="AR42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42" s="29" t="str">
        <f t="shared" si="27"/>
        <v>-</v>
      </c>
      <c r="AT42" s="29">
        <f>IF(RIGHT(TMK[[#This Row],[Device type]],7)="Winding","-",TMK[[#This Row],[Cont Winter MVA]])</f>
        <v>36.657504342565389</v>
      </c>
      <c r="AU42" s="29">
        <f>IF(RIGHT(TMK[[#This Row],[Device type]],7)="Winding","-",TMK[[#This Row],[Cont Shoulder MVA]])</f>
        <v>36.657504342565389</v>
      </c>
      <c r="AV42" s="29">
        <f>IF(RIGHT(TMK[[#This Row],[Device type]],7)="Winding","-",TMK[[#This Row],[Cont Summer MVA]])</f>
        <v>36.657504342565389</v>
      </c>
      <c r="AW42" s="29">
        <f>IF(RIGHT(TMK[[#This Row],[Device type]],7)="Winding","-",TMK[[#This Row],[24 Hr Winter MVA]])</f>
        <v>36.657504342565389</v>
      </c>
      <c r="AX42" s="29">
        <f>IF(RIGHT(TMK[[#This Row],[Device type]],7)="Winding","-",TMK[[#This Row],[24 Hr Summer MVA]])</f>
        <v>36.657504342565389</v>
      </c>
      <c r="AY42" s="29">
        <f>TMK[[#This Row],[Forwards MVA]]</f>
        <v>33.864551630750881</v>
      </c>
      <c r="AZ42" s="29">
        <f>TMK[[#This Row],[Relay MVA]]</f>
        <v>104.73572669304396</v>
      </c>
      <c r="BA42" s="29">
        <f>TMK[[#This Row],[CT MVA]]</f>
        <v>72.733143536836067</v>
      </c>
      <c r="BB42" s="29" t="str">
        <f>TMK[[#This Row],[Derating MVA]]</f>
        <v>-</v>
      </c>
      <c r="BC42" s="29" t="str">
        <f>TMK[[#This Row],[Station/Feeder]]&amp;TMK[[#This Row],[Lowest MVA]]</f>
        <v>TMK33.8645516307509</v>
      </c>
      <c r="BD42" s="29" t="str">
        <f>CONCATENATE(TMK[[#This Row],[Supply Level]],TMK[[#This Row],[Station/Feeder]],TMK[[#This Row],[Voltage]],TMK[[#This Row],[Lowest A-No PTX]])</f>
        <v>SubTransmissionTMK33.594582</v>
      </c>
      <c r="BE42" s="29" t="str">
        <f>CONCATENATE(TMK[[#This Row],[Supply Level]],TMK[[#This Row],[Station/Feeder]],TMK[[#This Row],[Voltage]],TMK[[#This Row],[Lowest A-PTX]])</f>
        <v>SubTransmissionTMK33.594582</v>
      </c>
      <c r="BF42" s="29">
        <f>IFERROR(IF(MIN(TMK[[#This Row],[Summ Cont Winter A]:[Cable Derating]])=0,"",MIN(TMK[[#This Row],[Summ Cont Winter A]:[Cable Derating]])),"")</f>
        <v>33.864551630750881</v>
      </c>
      <c r="BG42" s="29">
        <f>IFERROR(TMK[[#This Row],[Lowest MVA]]*1000/(TMK[[#This Row],[Voltage]]*SQRT(3)),"")</f>
        <v>582</v>
      </c>
      <c r="BH42" s="29">
        <f t="shared" si="5"/>
        <v>582</v>
      </c>
      <c r="BI42" s="29" t="str">
        <f>TMK[[#This Row],[From]]</f>
        <v>33 kV Bus</v>
      </c>
      <c r="BJ42" s="29" t="str">
        <f>TMK[[#This Row],[To]]</f>
        <v>TMK-D816-T1</v>
      </c>
      <c r="BK42" s="45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Breaker-TMK-CB1212-Protection</v>
      </c>
      <c r="BL42" s="29">
        <f>TMK[[#This Row],[Voltage]]</f>
        <v>33.594000000000001</v>
      </c>
    </row>
    <row r="43" spans="1:64" s="1" customFormat="1" ht="15" customHeight="1" x14ac:dyDescent="0.25">
      <c r="A43" s="6" t="str">
        <f>CONCATENATE(TMK[[#This Row],[Supply Level]],TMK[[#This Row],[Station/Feeder]],TMK[[#This Row],[Voltage]])</f>
        <v>SubTransmissionTMK33.594</v>
      </c>
      <c r="B43" s="6" t="str">
        <f>CONCATENATE(TMK[[#This Row],[Supply Level]],TMK[[#This Row],[Station/Feeder]],TMK[[#This Row],[Equipment ID]],TMK[[#This Row],[Voltage]],TMK[[#This Row],[Device type]])</f>
        <v>SubTransmissionTMK3-1c 400 mm² Al XLPE33.594-</v>
      </c>
      <c r="C43" s="6" t="s">
        <v>1245</v>
      </c>
      <c r="D43" s="11" t="s">
        <v>1138</v>
      </c>
      <c r="E43" s="7" t="s">
        <v>63</v>
      </c>
      <c r="F43" s="7" t="s">
        <v>482</v>
      </c>
      <c r="G43" s="56">
        <v>2</v>
      </c>
      <c r="H43" s="260" t="s">
        <v>1292</v>
      </c>
      <c r="I43" s="123" t="s">
        <v>559</v>
      </c>
      <c r="J43" s="123" t="s">
        <v>250</v>
      </c>
      <c r="K43" s="46" t="s">
        <v>0</v>
      </c>
      <c r="L43" s="46" t="s">
        <v>0</v>
      </c>
      <c r="M43" s="43">
        <f t="shared" si="22"/>
        <v>33.594000000000001</v>
      </c>
      <c r="N43" s="9">
        <v>465</v>
      </c>
      <c r="O43" s="9">
        <f t="shared" si="0"/>
        <v>27.056729395703023</v>
      </c>
      <c r="P43" s="9">
        <v>465</v>
      </c>
      <c r="Q43" s="9">
        <f t="shared" si="1"/>
        <v>27.056729395703023</v>
      </c>
      <c r="R43" s="9">
        <v>465</v>
      </c>
      <c r="S43" s="9">
        <f t="shared" si="2"/>
        <v>27.056729395703023</v>
      </c>
      <c r="T43" s="9" t="s">
        <v>0</v>
      </c>
      <c r="U43" s="9" t="str">
        <f t="shared" si="3"/>
        <v>-</v>
      </c>
      <c r="V43" s="9" t="s">
        <v>0</v>
      </c>
      <c r="W43" s="9" t="str">
        <f t="shared" si="4"/>
        <v>-</v>
      </c>
      <c r="X43" s="9" t="s">
        <v>0</v>
      </c>
      <c r="Y43" s="9" t="str">
        <f t="shared" ref="Y43:Y56" si="33">IF(OR(X43="",X43="-"),"-",X43*$M43*SQRT(3)/1000)</f>
        <v>-</v>
      </c>
      <c r="Z43" s="9" t="s">
        <v>0</v>
      </c>
      <c r="AA43" s="9" t="str">
        <f t="shared" ref="AA43:AA56" si="34">IF(OR(Z43="",Z43="-"),"-",Z43*$M43*SQRT(3)/1000)</f>
        <v>-</v>
      </c>
      <c r="AB43" s="9" t="s">
        <v>0</v>
      </c>
      <c r="AC43" s="9" t="str">
        <f t="shared" ref="AC43:AC56" si="35">IF(OR(AB43="",AB43="-"),"-",AB43*$M43*SQRT(3)/1000)</f>
        <v>-</v>
      </c>
      <c r="AD43" s="9" t="s">
        <v>0</v>
      </c>
      <c r="AE43" s="12" t="str">
        <f t="shared" ref="AE43:AE56" si="36">IF(OR(AD43="",AD43="-"),"-",AD43*$M43*SQRT(3)/1000)</f>
        <v>-</v>
      </c>
      <c r="AF43" s="29">
        <v>1</v>
      </c>
      <c r="AG43" s="29" t="s">
        <v>344</v>
      </c>
      <c r="AH43" s="9">
        <v>33</v>
      </c>
      <c r="AI43" s="29">
        <v>0.9</v>
      </c>
      <c r="AJ43" s="32">
        <v>0.99</v>
      </c>
      <c r="AK43" s="29">
        <v>18</v>
      </c>
      <c r="AL43" s="32">
        <v>0.98</v>
      </c>
      <c r="AM43" s="29">
        <v>1.2</v>
      </c>
      <c r="AN43" s="32">
        <v>1.05</v>
      </c>
      <c r="AO43" s="29">
        <v>2</v>
      </c>
      <c r="AP43" s="32">
        <v>0.6</v>
      </c>
      <c r="AQ43" s="32">
        <v>0.9</v>
      </c>
      <c r="AR43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426.33013500000004</v>
      </c>
      <c r="AS43" s="9">
        <f t="shared" ref="AS43:AS56" si="37">IF(OR(AR43="",AR43="-"),"-",AR43*$M43*SQRT(3)/1000)</f>
        <v>24.806664722426962</v>
      </c>
      <c r="AT43" s="9">
        <f>IF(RIGHT(TMK[[#This Row],[Device type]],7)="Winding","-",TMK[[#This Row],[Cont Winter MVA]])</f>
        <v>27.056729395703023</v>
      </c>
      <c r="AU43" s="9">
        <f>IF(RIGHT(TMK[[#This Row],[Device type]],7)="Winding","-",TMK[[#This Row],[Cont Shoulder MVA]])</f>
        <v>27.056729395703023</v>
      </c>
      <c r="AV43" s="9">
        <f>IF(RIGHT(TMK[[#This Row],[Device type]],7)="Winding","-",TMK[[#This Row],[Cont Summer MVA]])</f>
        <v>27.056729395703023</v>
      </c>
      <c r="AW43" s="9" t="str">
        <f>IF(RIGHT(TMK[[#This Row],[Device type]],7)="Winding","-",TMK[[#This Row],[24 Hr Winter MVA]])</f>
        <v>-</v>
      </c>
      <c r="AX43" s="9" t="str">
        <f>IF(RIGHT(TMK[[#This Row],[Device type]],7)="Winding","-",TMK[[#This Row],[24 Hr Summer MVA]])</f>
        <v>-</v>
      </c>
      <c r="AY43" s="9" t="str">
        <f>TMK[[#This Row],[Forwards MVA]]</f>
        <v>-</v>
      </c>
      <c r="AZ43" s="9" t="str">
        <f>TMK[[#This Row],[Relay MVA]]</f>
        <v>-</v>
      </c>
      <c r="BA43" s="9" t="str">
        <f>TMK[[#This Row],[CT MVA]]</f>
        <v>-</v>
      </c>
      <c r="BB43" s="9">
        <f>TMK[[#This Row],[Derating MVA]]</f>
        <v>24.806664722426962</v>
      </c>
      <c r="BC43" s="9" t="str">
        <f>TMK[[#This Row],[Station/Feeder]]&amp;TMK[[#This Row],[Lowest MVA]]</f>
        <v>TMK24.806664722427</v>
      </c>
      <c r="BD43" s="9" t="str">
        <f>CONCATENATE(TMK[[#This Row],[Supply Level]],TMK[[#This Row],[Station/Feeder]],TMK[[#This Row],[Voltage]],TMK[[#This Row],[Lowest A-No PTX]])</f>
        <v>SubTransmissionTMK33.594426.330135</v>
      </c>
      <c r="BE43" s="9" t="str">
        <f>CONCATENATE(TMK[[#This Row],[Supply Level]],TMK[[#This Row],[Station/Feeder]],TMK[[#This Row],[Voltage]],TMK[[#This Row],[Lowest A-PTX]])</f>
        <v>SubTransmissionTMK33.594426.330135</v>
      </c>
      <c r="BF43" s="9">
        <f>IFERROR(IF(MIN(TMK[[#This Row],[Summ Cont Winter A]:[Cable Derating]])=0,"",MIN(TMK[[#This Row],[Summ Cont Winter A]:[Cable Derating]])),"")</f>
        <v>24.806664722426962</v>
      </c>
      <c r="BG43" s="9">
        <f>IFERROR(TMK[[#This Row],[Lowest MVA]]*1000/(TMK[[#This Row],[Voltage]]*SQRT(3)),"")</f>
        <v>426.33013499999998</v>
      </c>
      <c r="BH43" s="9">
        <f t="shared" si="5"/>
        <v>426.33013500000004</v>
      </c>
      <c r="BI43" s="9" t="str">
        <f>TMK[[#This Row],[From]]</f>
        <v>33 kV Bus</v>
      </c>
      <c r="BJ43" s="9" t="str">
        <f>TMK[[#This Row],[To]]</f>
        <v>TMK-D816-T1</v>
      </c>
      <c r="BK4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Al XLPE</v>
      </c>
      <c r="BL43" s="9">
        <f>TMK[[#This Row],[Voltage]]</f>
        <v>33.594000000000001</v>
      </c>
    </row>
    <row r="44" spans="1:64" s="1" customFormat="1" ht="15" customHeight="1" x14ac:dyDescent="0.25">
      <c r="A44" s="6" t="str">
        <f>CONCATENATE(TMK[[#This Row],[Supply Level]],TMK[[#This Row],[Station/Feeder]],TMK[[#This Row],[Voltage]])</f>
        <v>SubTransmissionTMK33.594</v>
      </c>
      <c r="B44" s="6" t="str">
        <f>CONCATENATE(TMK[[#This Row],[Supply Level]],TMK[[#This Row],[Station/Feeder]],TMK[[#This Row],[Equipment ID]],TMK[[#This Row],[Voltage]],TMK[[#This Row],[Device type]])</f>
        <v>SubTransmissionTMKTMK-CB126233.594Protection</v>
      </c>
      <c r="C44" s="6" t="s">
        <v>1245</v>
      </c>
      <c r="D44" s="11" t="s">
        <v>1138</v>
      </c>
      <c r="E44" s="7" t="s">
        <v>63</v>
      </c>
      <c r="F44" s="7" t="s">
        <v>483</v>
      </c>
      <c r="G44" s="56">
        <v>1</v>
      </c>
      <c r="H44" s="7" t="s">
        <v>2385</v>
      </c>
      <c r="I44" s="123" t="s">
        <v>2313</v>
      </c>
      <c r="J44" s="123" t="s">
        <v>15</v>
      </c>
      <c r="K44" s="46" t="s">
        <v>470</v>
      </c>
      <c r="L44" s="46" t="s">
        <v>1423</v>
      </c>
      <c r="M44" s="43">
        <f t="shared" si="22"/>
        <v>33.594000000000001</v>
      </c>
      <c r="N44" s="9">
        <v>630</v>
      </c>
      <c r="O44" s="9">
        <f t="shared" si="0"/>
        <v>36.657504342565389</v>
      </c>
      <c r="P44" s="9">
        <v>630</v>
      </c>
      <c r="Q44" s="9">
        <f t="shared" si="1"/>
        <v>36.657504342565389</v>
      </c>
      <c r="R44" s="9">
        <v>630</v>
      </c>
      <c r="S44" s="9">
        <f t="shared" si="2"/>
        <v>36.657504342565389</v>
      </c>
      <c r="T44" s="9">
        <v>630</v>
      </c>
      <c r="U44" s="9">
        <f t="shared" si="3"/>
        <v>36.657504342565389</v>
      </c>
      <c r="V44" s="9">
        <v>630</v>
      </c>
      <c r="W44" s="9">
        <f t="shared" si="4"/>
        <v>36.657504342565389</v>
      </c>
      <c r="X44" s="9">
        <f>VLOOKUP(TMK[[#This Row],[Equipment ID]],AEL_Protection_Data[#All],12,0)</f>
        <v>582</v>
      </c>
      <c r="Y44" s="9">
        <f>IF(OR(X44="",X44="-"),"-",X44*$M44*SQRT(3)/1000)</f>
        <v>33.864551630750881</v>
      </c>
      <c r="Z44" s="9">
        <f>TMK[[#This Row],[Forward A]]</f>
        <v>582</v>
      </c>
      <c r="AA44" s="9">
        <f>IF(OR(Z44="",Z44="-"),"-",Z44*$M44*SQRT(3)/1000)</f>
        <v>33.864551630750881</v>
      </c>
      <c r="AB44" s="9">
        <v>1800</v>
      </c>
      <c r="AC44" s="9">
        <f>IF(OR(AB44="",AB44="-"),"-",AB44*$M44*SQRT(3)/1000)</f>
        <v>104.73572669304396</v>
      </c>
      <c r="AD44" s="9">
        <v>1250</v>
      </c>
      <c r="AE44" s="12">
        <f>IF(OR(AD44="",AD44="-"),"-",AD44*$M44*SQRT(3)/1000)</f>
        <v>72.733143536836067</v>
      </c>
      <c r="AF44" s="9" t="s">
        <v>0</v>
      </c>
      <c r="AG44" s="9" t="s">
        <v>0</v>
      </c>
      <c r="AH44" s="9" t="s">
        <v>0</v>
      </c>
      <c r="AI44" s="9" t="s">
        <v>0</v>
      </c>
      <c r="AJ44" s="43" t="s">
        <v>0</v>
      </c>
      <c r="AK44" s="29" t="s">
        <v>0</v>
      </c>
      <c r="AL44" s="32" t="s">
        <v>0</v>
      </c>
      <c r="AM44" s="29" t="s">
        <v>0</v>
      </c>
      <c r="AN44" s="32" t="s">
        <v>0</v>
      </c>
      <c r="AO44" s="29" t="s">
        <v>0</v>
      </c>
      <c r="AP44" s="32" t="s">
        <v>0</v>
      </c>
      <c r="AQ44" s="32" t="s">
        <v>0</v>
      </c>
      <c r="AR44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44" s="9" t="str">
        <f>IF(OR(AR44="",AR44="-"),"-",AR44*$M44*SQRT(3)/1000)</f>
        <v>-</v>
      </c>
      <c r="AT44" s="9">
        <f>IF(RIGHT(TMK[[#This Row],[Device type]],7)="Winding","-",TMK[[#This Row],[Cont Winter MVA]])</f>
        <v>36.657504342565389</v>
      </c>
      <c r="AU44" s="9">
        <f>IF(RIGHT(TMK[[#This Row],[Device type]],7)="Winding","-",TMK[[#This Row],[Cont Shoulder MVA]])</f>
        <v>36.657504342565389</v>
      </c>
      <c r="AV44" s="9">
        <f>IF(RIGHT(TMK[[#This Row],[Device type]],7)="Winding","-",TMK[[#This Row],[Cont Summer MVA]])</f>
        <v>36.657504342565389</v>
      </c>
      <c r="AW44" s="9">
        <f>IF(RIGHT(TMK[[#This Row],[Device type]],7)="Winding","-",TMK[[#This Row],[24 Hr Winter MVA]])</f>
        <v>36.657504342565389</v>
      </c>
      <c r="AX44" s="9">
        <f>IF(RIGHT(TMK[[#This Row],[Device type]],7)="Winding","-",TMK[[#This Row],[24 Hr Summer MVA]])</f>
        <v>36.657504342565389</v>
      </c>
      <c r="AY44" s="9">
        <f>TMK[[#This Row],[Forwards MVA]]</f>
        <v>33.864551630750881</v>
      </c>
      <c r="AZ44" s="9">
        <f>TMK[[#This Row],[Relay MVA]]</f>
        <v>104.73572669304396</v>
      </c>
      <c r="BA44" s="9">
        <f>TMK[[#This Row],[CT MVA]]</f>
        <v>72.733143536836067</v>
      </c>
      <c r="BB44" s="9" t="str">
        <f>TMK[[#This Row],[Derating MVA]]</f>
        <v>-</v>
      </c>
      <c r="BC44" s="9" t="str">
        <f>TMK[[#This Row],[Station/Feeder]]&amp;TMK[[#This Row],[Lowest MVA]]</f>
        <v>TMK33.8645516307509</v>
      </c>
      <c r="BD44" s="9" t="str">
        <f>CONCATENATE(TMK[[#This Row],[Supply Level]],TMK[[#This Row],[Station/Feeder]],TMK[[#This Row],[Voltage]],TMK[[#This Row],[Lowest A-No PTX]])</f>
        <v>SubTransmissionTMK33.594582</v>
      </c>
      <c r="BE44" s="9" t="str">
        <f>CONCATENATE(TMK[[#This Row],[Supply Level]],TMK[[#This Row],[Station/Feeder]],TMK[[#This Row],[Voltage]],TMK[[#This Row],[Lowest A-PTX]])</f>
        <v>SubTransmissionTMK33.594582</v>
      </c>
      <c r="BF44" s="9">
        <f>IFERROR(IF(MIN(TMK[[#This Row],[Summ Cont Winter A]:[Cable Derating]])=0,"",MIN(TMK[[#This Row],[Summ Cont Winter A]:[Cable Derating]])),"")</f>
        <v>33.864551630750881</v>
      </c>
      <c r="BG44" s="9">
        <f>IFERROR(TMK[[#This Row],[Lowest MVA]]*1000/(TMK[[#This Row],[Voltage]]*SQRT(3)),"")</f>
        <v>582</v>
      </c>
      <c r="BH44" s="9">
        <f t="shared" si="5"/>
        <v>582</v>
      </c>
      <c r="BI44" s="9" t="str">
        <f>TMK[[#This Row],[From]]</f>
        <v>33 kV Bus</v>
      </c>
      <c r="BJ44" s="9" t="str">
        <f>TMK[[#This Row],[To]]</f>
        <v>TMK-D816-T2</v>
      </c>
      <c r="BK4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Breaker-TMK-CB1262-Protection</v>
      </c>
      <c r="BL44" s="9">
        <f>TMK[[#This Row],[Voltage]]</f>
        <v>33.594000000000001</v>
      </c>
    </row>
    <row r="45" spans="1:64" s="1" customFormat="1" ht="15" customHeight="1" x14ac:dyDescent="0.25">
      <c r="A45" s="6" t="str">
        <f>CONCATENATE(TMK[[#This Row],[Supply Level]],TMK[[#This Row],[Station/Feeder]],TMK[[#This Row],[Voltage]])</f>
        <v>SubTransmissionTMK33.594</v>
      </c>
      <c r="B45" s="6" t="str">
        <f>CONCATENATE(TMK[[#This Row],[Supply Level]],TMK[[#This Row],[Station/Feeder]],TMK[[#This Row],[Equipment ID]],TMK[[#This Row],[Voltage]],TMK[[#This Row],[Device type]])</f>
        <v>SubTransmissionTMK3-1c 400 mm² Al XLPE33.594-</v>
      </c>
      <c r="C45" s="6" t="s">
        <v>1245</v>
      </c>
      <c r="D45" s="11" t="s">
        <v>1138</v>
      </c>
      <c r="E45" s="7" t="s">
        <v>63</v>
      </c>
      <c r="F45" s="7" t="s">
        <v>483</v>
      </c>
      <c r="G45" s="56">
        <v>2</v>
      </c>
      <c r="H45" s="260" t="s">
        <v>1292</v>
      </c>
      <c r="I45" s="123" t="s">
        <v>559</v>
      </c>
      <c r="J45" s="123" t="s">
        <v>250</v>
      </c>
      <c r="K45" s="46" t="s">
        <v>0</v>
      </c>
      <c r="L45" s="46" t="s">
        <v>0</v>
      </c>
      <c r="M45" s="43">
        <f t="shared" si="22"/>
        <v>33.594000000000001</v>
      </c>
      <c r="N45" s="9">
        <v>465</v>
      </c>
      <c r="O45" s="9">
        <f t="shared" si="0"/>
        <v>27.056729395703023</v>
      </c>
      <c r="P45" s="9">
        <v>465</v>
      </c>
      <c r="Q45" s="9">
        <f t="shared" si="1"/>
        <v>27.056729395703023</v>
      </c>
      <c r="R45" s="9">
        <v>465</v>
      </c>
      <c r="S45" s="9">
        <f t="shared" si="2"/>
        <v>27.056729395703023</v>
      </c>
      <c r="T45" s="9" t="s">
        <v>0</v>
      </c>
      <c r="U45" s="9" t="str">
        <f t="shared" si="3"/>
        <v>-</v>
      </c>
      <c r="V45" s="9" t="s">
        <v>0</v>
      </c>
      <c r="W45" s="9" t="str">
        <f t="shared" si="4"/>
        <v>-</v>
      </c>
      <c r="X45" s="9" t="s">
        <v>0</v>
      </c>
      <c r="Y45" s="9" t="str">
        <f>IF(OR(X45="",X45="-"),"-",X45*$M45*SQRT(3)/1000)</f>
        <v>-</v>
      </c>
      <c r="Z45" s="9" t="s">
        <v>0</v>
      </c>
      <c r="AA45" s="9" t="str">
        <f>IF(OR(Z45="",Z45="-"),"-",Z45*$M45*SQRT(3)/1000)</f>
        <v>-</v>
      </c>
      <c r="AB45" s="9" t="s">
        <v>0</v>
      </c>
      <c r="AC45" s="9" t="str">
        <f>IF(OR(AB45="",AB45="-"),"-",AB45*$M45*SQRT(3)/1000)</f>
        <v>-</v>
      </c>
      <c r="AD45" s="9" t="s">
        <v>0</v>
      </c>
      <c r="AE45" s="12" t="str">
        <f>IF(OR(AD45="",AD45="-"),"-",AD45*$M45*SQRT(3)/1000)</f>
        <v>-</v>
      </c>
      <c r="AF45" s="29">
        <v>1</v>
      </c>
      <c r="AG45" s="29" t="s">
        <v>344</v>
      </c>
      <c r="AH45" s="9">
        <v>35.1</v>
      </c>
      <c r="AI45" s="29">
        <v>0.9</v>
      </c>
      <c r="AJ45" s="32">
        <v>0.99</v>
      </c>
      <c r="AK45" s="29">
        <v>18</v>
      </c>
      <c r="AL45" s="32">
        <v>0.98</v>
      </c>
      <c r="AM45" s="29">
        <v>1.2</v>
      </c>
      <c r="AN45" s="32">
        <v>1.05</v>
      </c>
      <c r="AO45" s="29">
        <v>2</v>
      </c>
      <c r="AP45" s="32">
        <v>0.6</v>
      </c>
      <c r="AQ45" s="32">
        <v>0.9</v>
      </c>
      <c r="AR45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426.33013500000004</v>
      </c>
      <c r="AS45" s="9">
        <f>IF(OR(AR45="",AR45="-"),"-",AR45*$M45*SQRT(3)/1000)</f>
        <v>24.806664722426962</v>
      </c>
      <c r="AT45" s="9">
        <f>IF(RIGHT(TMK[[#This Row],[Device type]],7)="Winding","-",TMK[[#This Row],[Cont Winter MVA]])</f>
        <v>27.056729395703023</v>
      </c>
      <c r="AU45" s="9">
        <f>IF(RIGHT(TMK[[#This Row],[Device type]],7)="Winding","-",TMK[[#This Row],[Cont Shoulder MVA]])</f>
        <v>27.056729395703023</v>
      </c>
      <c r="AV45" s="9">
        <f>IF(RIGHT(TMK[[#This Row],[Device type]],7)="Winding","-",TMK[[#This Row],[Cont Summer MVA]])</f>
        <v>27.056729395703023</v>
      </c>
      <c r="AW45" s="9" t="str">
        <f>IF(RIGHT(TMK[[#This Row],[Device type]],7)="Winding","-",TMK[[#This Row],[24 Hr Winter MVA]])</f>
        <v>-</v>
      </c>
      <c r="AX45" s="9" t="str">
        <f>IF(RIGHT(TMK[[#This Row],[Device type]],7)="Winding","-",TMK[[#This Row],[24 Hr Summer MVA]])</f>
        <v>-</v>
      </c>
      <c r="AY45" s="9" t="str">
        <f>TMK[[#This Row],[Forwards MVA]]</f>
        <v>-</v>
      </c>
      <c r="AZ45" s="9" t="str">
        <f>TMK[[#This Row],[Relay MVA]]</f>
        <v>-</v>
      </c>
      <c r="BA45" s="9" t="str">
        <f>TMK[[#This Row],[CT MVA]]</f>
        <v>-</v>
      </c>
      <c r="BB45" s="9">
        <f>TMK[[#This Row],[Derating MVA]]</f>
        <v>24.806664722426962</v>
      </c>
      <c r="BC45" s="9" t="str">
        <f>TMK[[#This Row],[Station/Feeder]]&amp;TMK[[#This Row],[Lowest MVA]]</f>
        <v>TMK24.806664722427</v>
      </c>
      <c r="BD45" s="9" t="str">
        <f>CONCATENATE(TMK[[#This Row],[Supply Level]],TMK[[#This Row],[Station/Feeder]],TMK[[#This Row],[Voltage]],TMK[[#This Row],[Lowest A-No PTX]])</f>
        <v>SubTransmissionTMK33.594426.330135</v>
      </c>
      <c r="BE45" s="9" t="str">
        <f>CONCATENATE(TMK[[#This Row],[Supply Level]],TMK[[#This Row],[Station/Feeder]],TMK[[#This Row],[Voltage]],TMK[[#This Row],[Lowest A-PTX]])</f>
        <v>SubTransmissionTMK33.594426.330135</v>
      </c>
      <c r="BF45" s="9">
        <f>IFERROR(IF(MIN(TMK[[#This Row],[Summ Cont Winter A]:[Cable Derating]])=0,"",MIN(TMK[[#This Row],[Summ Cont Winter A]:[Cable Derating]])),"")</f>
        <v>24.806664722426962</v>
      </c>
      <c r="BG45" s="9">
        <f>IFERROR(TMK[[#This Row],[Lowest MVA]]*1000/(TMK[[#This Row],[Voltage]]*SQRT(3)),"")</f>
        <v>426.33013499999998</v>
      </c>
      <c r="BH45" s="9">
        <f t="shared" si="5"/>
        <v>426.33013500000004</v>
      </c>
      <c r="BI45" s="9" t="str">
        <f>TMK[[#This Row],[From]]</f>
        <v>33 kV Bus</v>
      </c>
      <c r="BJ45" s="9" t="str">
        <f>TMK[[#This Row],[To]]</f>
        <v>TMK-D816-T2</v>
      </c>
      <c r="BK4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Al XLPE</v>
      </c>
      <c r="BL45" s="9">
        <f>TMK[[#This Row],[Voltage]]</f>
        <v>33.594000000000001</v>
      </c>
    </row>
    <row r="46" spans="1:64" s="1" customFormat="1" ht="15" customHeight="1" x14ac:dyDescent="0.25">
      <c r="A46" s="6" t="str">
        <f>CONCATENATE(TMK[[#This Row],[Supply Level]],TMK[[#This Row],[Station/Feeder]],TMK[[#This Row],[Voltage]])</f>
        <v>ZoneSubstationTMK33.594</v>
      </c>
      <c r="B46" s="6" t="str">
        <f>CONCATENATE(TMK[[#This Row],[Supply Level]],TMK[[#This Row],[Station/Feeder]],TMK[[#This Row],[Equipment ID]],TMK[[#This Row],[Voltage]],TMK[[#This Row],[Device type]])</f>
        <v>ZoneSubstationTMKD816-T133.594HV Winding</v>
      </c>
      <c r="C46" s="6" t="s">
        <v>1246</v>
      </c>
      <c r="D46" s="11" t="s">
        <v>1138</v>
      </c>
      <c r="E46" s="7" t="s">
        <v>482</v>
      </c>
      <c r="F46" s="7" t="s">
        <v>243</v>
      </c>
      <c r="G46" s="56">
        <v>1</v>
      </c>
      <c r="H46" s="46" t="s">
        <v>275</v>
      </c>
      <c r="I46" s="123" t="s">
        <v>497</v>
      </c>
      <c r="J46" s="123" t="s">
        <v>19</v>
      </c>
      <c r="K46" s="46" t="s">
        <v>0</v>
      </c>
      <c r="L46" s="46" t="s">
        <v>36</v>
      </c>
      <c r="M46" s="43">
        <f t="shared" si="22"/>
        <v>33.594000000000001</v>
      </c>
      <c r="N46" s="9">
        <f>25000/(TMK[[#This Row],[Voltage]]*SQRT(3))</f>
        <v>429.6528168643402</v>
      </c>
      <c r="O46" s="9">
        <f t="shared" si="0"/>
        <v>25</v>
      </c>
      <c r="P46" s="9" t="s">
        <v>0</v>
      </c>
      <c r="Q46" s="9" t="str">
        <f t="shared" si="1"/>
        <v>-</v>
      </c>
      <c r="R46" s="9" t="s">
        <v>0</v>
      </c>
      <c r="S46" s="9" t="str">
        <f t="shared" si="2"/>
        <v>-</v>
      </c>
      <c r="T46" s="9" t="s">
        <v>0</v>
      </c>
      <c r="U46" s="9" t="str">
        <f t="shared" si="3"/>
        <v>-</v>
      </c>
      <c r="V46" s="9" t="s">
        <v>0</v>
      </c>
      <c r="W46" s="9" t="str">
        <f t="shared" si="4"/>
        <v>-</v>
      </c>
      <c r="X46" s="9" t="s">
        <v>0</v>
      </c>
      <c r="Y46" s="9" t="str">
        <f t="shared" si="33"/>
        <v>-</v>
      </c>
      <c r="Z46" s="9" t="s">
        <v>0</v>
      </c>
      <c r="AA46" s="9" t="str">
        <f t="shared" si="34"/>
        <v>-</v>
      </c>
      <c r="AB46" s="9" t="s">
        <v>0</v>
      </c>
      <c r="AC46" s="9" t="str">
        <f t="shared" si="35"/>
        <v>-</v>
      </c>
      <c r="AD46" s="9" t="s">
        <v>0</v>
      </c>
      <c r="AE46" s="12" t="str">
        <f t="shared" si="36"/>
        <v>-</v>
      </c>
      <c r="AF46" s="9" t="s">
        <v>0</v>
      </c>
      <c r="AG46" s="9" t="s">
        <v>0</v>
      </c>
      <c r="AH46" s="9" t="s">
        <v>0</v>
      </c>
      <c r="AI46" s="9" t="s">
        <v>0</v>
      </c>
      <c r="AJ46" s="32" t="s">
        <v>0</v>
      </c>
      <c r="AK46" s="29" t="s">
        <v>0</v>
      </c>
      <c r="AL46" s="32" t="s">
        <v>0</v>
      </c>
      <c r="AM46" s="29" t="s">
        <v>0</v>
      </c>
      <c r="AN46" s="32" t="s">
        <v>0</v>
      </c>
      <c r="AO46" s="29" t="s">
        <v>0</v>
      </c>
      <c r="AP46" s="32" t="s">
        <v>0</v>
      </c>
      <c r="AQ46" s="32" t="s">
        <v>0</v>
      </c>
      <c r="AR4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46" s="9" t="str">
        <f t="shared" si="37"/>
        <v>-</v>
      </c>
      <c r="AT46" s="9" t="str">
        <f>IF(RIGHT(TMK[[#This Row],[Device type]],7)="Winding","-",TMK[[#This Row],[Cont Winter MVA]])</f>
        <v>-</v>
      </c>
      <c r="AU46" s="9" t="str">
        <f>IF(RIGHT(TMK[[#This Row],[Device type]],7)="Winding","-",TMK[[#This Row],[Cont Shoulder MVA]])</f>
        <v>-</v>
      </c>
      <c r="AV46" s="9" t="str">
        <f>IF(RIGHT(TMK[[#This Row],[Device type]],7)="Winding","-",TMK[[#This Row],[Cont Summer MVA]])</f>
        <v>-</v>
      </c>
      <c r="AW46" s="9" t="str">
        <f>IF(RIGHT(TMK[[#This Row],[Device type]],7)="Winding","-",TMK[[#This Row],[24 Hr Winter MVA]])</f>
        <v>-</v>
      </c>
      <c r="AX46" s="9" t="str">
        <f>IF(RIGHT(TMK[[#This Row],[Device type]],7)="Winding","-",TMK[[#This Row],[24 Hr Summer MVA]])</f>
        <v>-</v>
      </c>
      <c r="AY46" s="9" t="str">
        <f>TMK[[#This Row],[Forwards MVA]]</f>
        <v>-</v>
      </c>
      <c r="AZ46" s="9" t="str">
        <f>TMK[[#This Row],[Relay MVA]]</f>
        <v>-</v>
      </c>
      <c r="BA46" s="9" t="str">
        <f>TMK[[#This Row],[CT MVA]]</f>
        <v>-</v>
      </c>
      <c r="BB46" s="9" t="str">
        <f>TMK[[#This Row],[Derating MVA]]</f>
        <v>-</v>
      </c>
      <c r="BC46" s="9" t="str">
        <f>TMK[[#This Row],[Station/Feeder]]&amp;TMK[[#This Row],[Lowest MVA]]</f>
        <v>TMK</v>
      </c>
      <c r="BD46" s="9" t="str">
        <f>CONCATENATE(TMK[[#This Row],[Supply Level]],TMK[[#This Row],[Station/Feeder]],TMK[[#This Row],[Voltage]],TMK[[#This Row],[Lowest A-No PTX]])</f>
        <v>ZoneSubstationTMK33.594</v>
      </c>
      <c r="BE46" s="9" t="str">
        <f>CONCATENATE(TMK[[#This Row],[Supply Level]],TMK[[#This Row],[Station/Feeder]],TMK[[#This Row],[Voltage]],TMK[[#This Row],[Lowest A-PTX]])</f>
        <v>ZoneSubstationTMK33.594429.65281686434</v>
      </c>
      <c r="BF46" s="43" t="str">
        <f>IFERROR(IF(MIN(TMK[[#This Row],[Summ Cont Winter A]:[Cable Derating]])=0,"",MIN(TMK[[#This Row],[Summ Cont Winter A]:[Cable Derating]])),"")</f>
        <v/>
      </c>
      <c r="BG46" s="43" t="str">
        <f>IFERROR(TMK[[#This Row],[Lowest MVA]]*1000/(TMK[[#This Row],[Voltage]]*SQRT(3)),"")</f>
        <v/>
      </c>
      <c r="BH46" s="43">
        <f t="shared" si="5"/>
        <v>429.6528168643402</v>
      </c>
      <c r="BI46" s="9" t="str">
        <f>TMK[[#This Row],[From]]</f>
        <v>TMK-D816-T1</v>
      </c>
      <c r="BJ46" s="9" t="str">
        <f>TMK[[#This Row],[To]]</f>
        <v>11 kV Bus</v>
      </c>
      <c r="BK4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Transformer-D816-T1-HV Winding</v>
      </c>
      <c r="BL46" s="9">
        <f>TMK[[#This Row],[Voltage]]</f>
        <v>33.594000000000001</v>
      </c>
    </row>
    <row r="47" spans="1:64" s="1" customFormat="1" x14ac:dyDescent="0.25">
      <c r="A47" s="6" t="str">
        <f>CONCATENATE(TMK[[#This Row],[Supply Level]],TMK[[#This Row],[Station/Feeder]],TMK[[#This Row],[Voltage]])</f>
        <v>ZoneSubstationTMK11</v>
      </c>
      <c r="B47" s="6" t="str">
        <f>CONCATENATE(TMK[[#This Row],[Supply Level]],TMK[[#This Row],[Station/Feeder]],TMK[[#This Row],[Equipment ID]],TMK[[#This Row],[Voltage]],TMK[[#This Row],[Device type]])</f>
        <v>ZoneSubstationTMKD816-T111LV Winding</v>
      </c>
      <c r="C47" s="6" t="s">
        <v>1246</v>
      </c>
      <c r="D47" s="11" t="s">
        <v>1138</v>
      </c>
      <c r="E47" s="7" t="s">
        <v>482</v>
      </c>
      <c r="F47" s="7" t="s">
        <v>243</v>
      </c>
      <c r="G47" s="56">
        <v>2</v>
      </c>
      <c r="H47" s="46" t="s">
        <v>275</v>
      </c>
      <c r="I47" s="123" t="s">
        <v>497</v>
      </c>
      <c r="J47" s="123" t="s">
        <v>19</v>
      </c>
      <c r="K47" s="46" t="s">
        <v>0</v>
      </c>
      <c r="L47" s="46" t="s">
        <v>37</v>
      </c>
      <c r="M47" s="43">
        <v>11</v>
      </c>
      <c r="N47" s="9">
        <f>25000/(TMK[[#This Row],[Voltage]]*SQRT(3))</f>
        <v>1312.1597027036951</v>
      </c>
      <c r="O47" s="9">
        <f t="shared" si="0"/>
        <v>25</v>
      </c>
      <c r="P47" s="9" t="s">
        <v>0</v>
      </c>
      <c r="Q47" s="9" t="str">
        <f t="shared" si="1"/>
        <v>-</v>
      </c>
      <c r="R47" s="9" t="s">
        <v>0</v>
      </c>
      <c r="S47" s="9" t="str">
        <f t="shared" si="2"/>
        <v>-</v>
      </c>
      <c r="T47" s="9" t="s">
        <v>0</v>
      </c>
      <c r="U47" s="9" t="str">
        <f t="shared" si="3"/>
        <v>-</v>
      </c>
      <c r="V47" s="9" t="s">
        <v>0</v>
      </c>
      <c r="W47" s="9" t="str">
        <f t="shared" si="4"/>
        <v>-</v>
      </c>
      <c r="X47" s="9" t="s">
        <v>0</v>
      </c>
      <c r="Y47" s="9" t="str">
        <f t="shared" si="33"/>
        <v>-</v>
      </c>
      <c r="Z47" s="9" t="s">
        <v>0</v>
      </c>
      <c r="AA47" s="9" t="str">
        <f t="shared" si="34"/>
        <v>-</v>
      </c>
      <c r="AB47" s="9" t="s">
        <v>0</v>
      </c>
      <c r="AC47" s="9" t="str">
        <f t="shared" si="35"/>
        <v>-</v>
      </c>
      <c r="AD47" s="9" t="s">
        <v>0</v>
      </c>
      <c r="AE47" s="12" t="str">
        <f t="shared" si="36"/>
        <v>-</v>
      </c>
      <c r="AF47" s="9" t="s">
        <v>0</v>
      </c>
      <c r="AG47" s="9" t="s">
        <v>0</v>
      </c>
      <c r="AH47" s="9" t="s">
        <v>0</v>
      </c>
      <c r="AI47" s="9" t="s">
        <v>0</v>
      </c>
      <c r="AJ47" s="32" t="s">
        <v>0</v>
      </c>
      <c r="AK47" s="29" t="s">
        <v>0</v>
      </c>
      <c r="AL47" s="32" t="s">
        <v>0</v>
      </c>
      <c r="AM47" s="29" t="s">
        <v>0</v>
      </c>
      <c r="AN47" s="32" t="s">
        <v>0</v>
      </c>
      <c r="AO47" s="29" t="s">
        <v>0</v>
      </c>
      <c r="AP47" s="32" t="s">
        <v>0</v>
      </c>
      <c r="AQ47" s="32" t="s">
        <v>0</v>
      </c>
      <c r="AR47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47" s="9" t="str">
        <f t="shared" si="37"/>
        <v>-</v>
      </c>
      <c r="AT47" s="9" t="str">
        <f>IF(RIGHT(TMK[[#This Row],[Device type]],7)="Winding","-",TMK[[#This Row],[Cont Winter MVA]])</f>
        <v>-</v>
      </c>
      <c r="AU47" s="9" t="str">
        <f>IF(RIGHT(TMK[[#This Row],[Device type]],7)="Winding","-",TMK[[#This Row],[Cont Shoulder MVA]])</f>
        <v>-</v>
      </c>
      <c r="AV47" s="9" t="str">
        <f>IF(RIGHT(TMK[[#This Row],[Device type]],7)="Winding","-",TMK[[#This Row],[Cont Summer MVA]])</f>
        <v>-</v>
      </c>
      <c r="AW47" s="9" t="str">
        <f>IF(RIGHT(TMK[[#This Row],[Device type]],7)="Winding","-",TMK[[#This Row],[24 Hr Winter MVA]])</f>
        <v>-</v>
      </c>
      <c r="AX47" s="9" t="str">
        <f>IF(RIGHT(TMK[[#This Row],[Device type]],7)="Winding","-",TMK[[#This Row],[24 Hr Summer MVA]])</f>
        <v>-</v>
      </c>
      <c r="AY47" s="9" t="str">
        <f>TMK[[#This Row],[Forwards MVA]]</f>
        <v>-</v>
      </c>
      <c r="AZ47" s="9" t="str">
        <f>TMK[[#This Row],[Relay MVA]]</f>
        <v>-</v>
      </c>
      <c r="BA47" s="9" t="str">
        <f>TMK[[#This Row],[CT MVA]]</f>
        <v>-</v>
      </c>
      <c r="BB47" s="9" t="str">
        <f>TMK[[#This Row],[Derating MVA]]</f>
        <v>-</v>
      </c>
      <c r="BC47" s="9" t="str">
        <f>TMK[[#This Row],[Station/Feeder]]&amp;TMK[[#This Row],[Lowest MVA]]</f>
        <v>TMK</v>
      </c>
      <c r="BD47" s="9" t="str">
        <f>CONCATENATE(TMK[[#This Row],[Supply Level]],TMK[[#This Row],[Station/Feeder]],TMK[[#This Row],[Voltage]],TMK[[#This Row],[Lowest A-No PTX]])</f>
        <v>ZoneSubstationTMK11</v>
      </c>
      <c r="BE47" s="9" t="str">
        <f>CONCATENATE(TMK[[#This Row],[Supply Level]],TMK[[#This Row],[Station/Feeder]],TMK[[#This Row],[Voltage]],TMK[[#This Row],[Lowest A-PTX]])</f>
        <v>ZoneSubstationTMK111312.1597027037</v>
      </c>
      <c r="BF47" s="43" t="str">
        <f>IFERROR(IF(MIN(TMK[[#This Row],[Summ Cont Winter A]:[Cable Derating]])=0,"",MIN(TMK[[#This Row],[Summ Cont Winter A]:[Cable Derating]])),"")</f>
        <v/>
      </c>
      <c r="BG47" s="43" t="str">
        <f>IFERROR(TMK[[#This Row],[Lowest MVA]]*1000/(TMK[[#This Row],[Voltage]]*SQRT(3)),"")</f>
        <v/>
      </c>
      <c r="BH47" s="43">
        <f t="shared" si="5"/>
        <v>1312.1597027036951</v>
      </c>
      <c r="BI47" s="9" t="str">
        <f>TMK[[#This Row],[From]]</f>
        <v>TMK-D816-T1</v>
      </c>
      <c r="BJ47" s="9" t="str">
        <f>TMK[[#This Row],[To]]</f>
        <v>11 kV Bus</v>
      </c>
      <c r="BK4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Transformer-D816-T1-LV Winding</v>
      </c>
      <c r="BL47" s="9">
        <f>TMK[[#This Row],[Voltage]]</f>
        <v>11</v>
      </c>
    </row>
    <row r="48" spans="1:64" s="1" customFormat="1" x14ac:dyDescent="0.25">
      <c r="A48" s="6" t="str">
        <f>CONCATENATE(TMK[[#This Row],[Supply Level]],TMK[[#This Row],[Station/Feeder]],TMK[[#This Row],[Voltage]])</f>
        <v>ZoneSubstationTMK11</v>
      </c>
      <c r="B48" s="6" t="str">
        <f>CONCATENATE(TMK[[#This Row],[Supply Level]],TMK[[#This Row],[Station/Feeder]],TMK[[#This Row],[Equipment ID]],TMK[[#This Row],[Voltage]],TMK[[#This Row],[Device type]])</f>
        <v>ZoneSubstationTMK6-1c 500 mm² Cu XLPE11-</v>
      </c>
      <c r="C48" s="6" t="s">
        <v>1246</v>
      </c>
      <c r="D48" s="11" t="s">
        <v>1138</v>
      </c>
      <c r="E48" s="7" t="s">
        <v>482</v>
      </c>
      <c r="F48" s="7" t="s">
        <v>243</v>
      </c>
      <c r="G48" s="56">
        <v>3</v>
      </c>
      <c r="H48" s="7" t="s">
        <v>495</v>
      </c>
      <c r="I48" s="123" t="s">
        <v>564</v>
      </c>
      <c r="J48" s="123" t="s">
        <v>250</v>
      </c>
      <c r="K48" s="46" t="s">
        <v>0</v>
      </c>
      <c r="L48" s="46" t="s">
        <v>0</v>
      </c>
      <c r="M48" s="43">
        <v>11</v>
      </c>
      <c r="N48" s="9">
        <f>2*596</f>
        <v>1192</v>
      </c>
      <c r="O48" s="9">
        <f t="shared" si="0"/>
        <v>22.710650188843118</v>
      </c>
      <c r="P48" s="9">
        <f>2*596</f>
        <v>1192</v>
      </c>
      <c r="Q48" s="9">
        <f t="shared" si="1"/>
        <v>22.710650188843118</v>
      </c>
      <c r="R48" s="9">
        <f>2*596</f>
        <v>1192</v>
      </c>
      <c r="S48" s="9">
        <f t="shared" si="2"/>
        <v>22.710650188843118</v>
      </c>
      <c r="T48" s="9" t="s">
        <v>0</v>
      </c>
      <c r="U48" s="9" t="str">
        <f t="shared" si="3"/>
        <v>-</v>
      </c>
      <c r="V48" s="9" t="s">
        <v>0</v>
      </c>
      <c r="W48" s="9" t="str">
        <f t="shared" si="4"/>
        <v>-</v>
      </c>
      <c r="X48" s="9" t="s">
        <v>0</v>
      </c>
      <c r="Y48" s="9" t="str">
        <f t="shared" si="33"/>
        <v>-</v>
      </c>
      <c r="Z48" s="9" t="s">
        <v>0</v>
      </c>
      <c r="AA48" s="9" t="str">
        <f t="shared" si="34"/>
        <v>-</v>
      </c>
      <c r="AB48" s="9" t="s">
        <v>0</v>
      </c>
      <c r="AC48" s="9" t="str">
        <f t="shared" si="35"/>
        <v>-</v>
      </c>
      <c r="AD48" s="9" t="s">
        <v>0</v>
      </c>
      <c r="AE48" s="12" t="str">
        <f t="shared" si="36"/>
        <v>-</v>
      </c>
      <c r="AF48" s="9">
        <v>1</v>
      </c>
      <c r="AG48" s="9" t="s">
        <v>344</v>
      </c>
      <c r="AH48" s="9">
        <v>41.7</v>
      </c>
      <c r="AI48" s="9">
        <v>0.9</v>
      </c>
      <c r="AJ48" s="32">
        <v>0.99</v>
      </c>
      <c r="AK48" s="29">
        <v>18</v>
      </c>
      <c r="AL48" s="32">
        <v>0.98</v>
      </c>
      <c r="AM48" s="29">
        <v>1.2</v>
      </c>
      <c r="AN48" s="32">
        <v>1.06</v>
      </c>
      <c r="AO48" s="29">
        <v>2</v>
      </c>
      <c r="AP48" s="32">
        <v>0</v>
      </c>
      <c r="AQ48" s="32">
        <v>0.85</v>
      </c>
      <c r="AR48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1041.9870384000001</v>
      </c>
      <c r="AS48" s="9">
        <f t="shared" si="37"/>
        <v>19.852519404707252</v>
      </c>
      <c r="AT48" s="9">
        <f>IF(RIGHT(TMK[[#This Row],[Device type]],7)="Winding","-",TMK[[#This Row],[Cont Winter MVA]])</f>
        <v>22.710650188843118</v>
      </c>
      <c r="AU48" s="9">
        <f>IF(RIGHT(TMK[[#This Row],[Device type]],7)="Winding","-",TMK[[#This Row],[Cont Shoulder MVA]])</f>
        <v>22.710650188843118</v>
      </c>
      <c r="AV48" s="9">
        <f>IF(RIGHT(TMK[[#This Row],[Device type]],7)="Winding","-",TMK[[#This Row],[Cont Summer MVA]])</f>
        <v>22.710650188843118</v>
      </c>
      <c r="AW48" s="9" t="str">
        <f>IF(RIGHT(TMK[[#This Row],[Device type]],7)="Winding","-",TMK[[#This Row],[24 Hr Winter MVA]])</f>
        <v>-</v>
      </c>
      <c r="AX48" s="9" t="str">
        <f>IF(RIGHT(TMK[[#This Row],[Device type]],7)="Winding","-",TMK[[#This Row],[24 Hr Summer MVA]])</f>
        <v>-</v>
      </c>
      <c r="AY48" s="9" t="str">
        <f>TMK[[#This Row],[Forwards MVA]]</f>
        <v>-</v>
      </c>
      <c r="AZ48" s="9" t="str">
        <f>TMK[[#This Row],[Relay MVA]]</f>
        <v>-</v>
      </c>
      <c r="BA48" s="9" t="str">
        <f>TMK[[#This Row],[CT MVA]]</f>
        <v>-</v>
      </c>
      <c r="BB48" s="9">
        <f>TMK[[#This Row],[Derating MVA]]</f>
        <v>19.852519404707252</v>
      </c>
      <c r="BC48" s="9" t="str">
        <f>TMK[[#This Row],[Station/Feeder]]&amp;TMK[[#This Row],[Lowest MVA]]</f>
        <v>TMK19.8525194047073</v>
      </c>
      <c r="BD48" s="9" t="str">
        <f>CONCATENATE(TMK[[#This Row],[Supply Level]],TMK[[#This Row],[Station/Feeder]],TMK[[#This Row],[Voltage]],TMK[[#This Row],[Lowest A-No PTX]])</f>
        <v>ZoneSubstationTMK111041.9870384</v>
      </c>
      <c r="BE48" s="9" t="str">
        <f>CONCATENATE(TMK[[#This Row],[Supply Level]],TMK[[#This Row],[Station/Feeder]],TMK[[#This Row],[Voltage]],TMK[[#This Row],[Lowest A-PTX]])</f>
        <v>ZoneSubstationTMK111041.9870384</v>
      </c>
      <c r="BF48" s="43">
        <f>IFERROR(IF(MIN(TMK[[#This Row],[Summ Cont Winter A]:[Cable Derating]])=0,"",MIN(TMK[[#This Row],[Summ Cont Winter A]:[Cable Derating]])),"")</f>
        <v>19.852519404707252</v>
      </c>
      <c r="BG48" s="43">
        <f>IFERROR(TMK[[#This Row],[Lowest MVA]]*1000/(TMK[[#This Row],[Voltage]]*SQRT(3)),"")</f>
        <v>1041.9870384000001</v>
      </c>
      <c r="BH48" s="43">
        <f t="shared" si="5"/>
        <v>1041.9870384000001</v>
      </c>
      <c r="BI48" s="9" t="str">
        <f>TMK[[#This Row],[From]]</f>
        <v>TMK-D816-T1</v>
      </c>
      <c r="BJ48" s="9" t="str">
        <f>TMK[[#This Row],[To]]</f>
        <v>11 kV Bus</v>
      </c>
      <c r="BK4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Cable-6-1c 500 mm² Cu XLPE</v>
      </c>
      <c r="BL48" s="9">
        <f>TMK[[#This Row],[Voltage]]</f>
        <v>11</v>
      </c>
    </row>
    <row r="49" spans="1:64" s="1" customFormat="1" x14ac:dyDescent="0.25">
      <c r="A49" s="6" t="str">
        <f>CONCATENATE(TMK[[#This Row],[Supply Level]],TMK[[#This Row],[Station/Feeder]],TMK[[#This Row],[Voltage]])</f>
        <v>ZoneSubstationTMK11</v>
      </c>
      <c r="B49" s="6" t="str">
        <f>CONCATENATE(TMK[[#This Row],[Supply Level]],TMK[[#This Row],[Station/Feeder]],TMK[[#This Row],[Equipment ID]],TMK[[#This Row],[Voltage]],TMK[[#This Row],[Device type]])</f>
        <v>ZoneSubstationTMKTMK-CB411Protection</v>
      </c>
      <c r="C49" s="6" t="s">
        <v>1246</v>
      </c>
      <c r="D49" s="11" t="s">
        <v>1138</v>
      </c>
      <c r="E49" s="7" t="s">
        <v>482</v>
      </c>
      <c r="F49" s="7" t="s">
        <v>243</v>
      </c>
      <c r="G49" s="56">
        <v>4</v>
      </c>
      <c r="H49" s="7" t="s">
        <v>343</v>
      </c>
      <c r="I49" s="123" t="s">
        <v>2317</v>
      </c>
      <c r="J49" s="123" t="s">
        <v>15</v>
      </c>
      <c r="K49" s="46" t="s">
        <v>1121</v>
      </c>
      <c r="L49" s="46" t="s">
        <v>1423</v>
      </c>
      <c r="M49" s="43">
        <v>11</v>
      </c>
      <c r="N49" s="9">
        <v>1250</v>
      </c>
      <c r="O49" s="9">
        <f t="shared" si="0"/>
        <v>23.815698604072061</v>
      </c>
      <c r="P49" s="9">
        <v>1250</v>
      </c>
      <c r="Q49" s="9">
        <f t="shared" si="1"/>
        <v>23.815698604072061</v>
      </c>
      <c r="R49" s="9">
        <v>1250</v>
      </c>
      <c r="S49" s="9">
        <f t="shared" si="2"/>
        <v>23.815698604072061</v>
      </c>
      <c r="T49" s="9" t="s">
        <v>0</v>
      </c>
      <c r="U49" s="9" t="str">
        <f t="shared" si="3"/>
        <v>-</v>
      </c>
      <c r="V49" s="9" t="s">
        <v>0</v>
      </c>
      <c r="W49" s="9" t="str">
        <f t="shared" si="4"/>
        <v>-</v>
      </c>
      <c r="X49" s="9">
        <f>VLOOKUP(TMK[[#This Row],[Equipment ID]],AEL_Protection_Data[#All],12,0)</f>
        <v>1080</v>
      </c>
      <c r="Y49" s="9">
        <f t="shared" si="33"/>
        <v>20.576763593918262</v>
      </c>
      <c r="Z49" s="9">
        <v>1080</v>
      </c>
      <c r="AA49" s="9">
        <f t="shared" si="34"/>
        <v>20.576763593918262</v>
      </c>
      <c r="AB49" s="9" t="s">
        <v>0</v>
      </c>
      <c r="AC49" s="9" t="str">
        <f t="shared" si="35"/>
        <v>-</v>
      </c>
      <c r="AD49" s="9">
        <v>1200</v>
      </c>
      <c r="AE49" s="12">
        <f t="shared" si="36"/>
        <v>22.86307065990918</v>
      </c>
      <c r="AF49" s="9" t="s">
        <v>0</v>
      </c>
      <c r="AG49" s="9" t="s">
        <v>0</v>
      </c>
      <c r="AH49" s="9" t="s">
        <v>0</v>
      </c>
      <c r="AI49" s="9" t="s">
        <v>0</v>
      </c>
      <c r="AJ49" s="32" t="s">
        <v>0</v>
      </c>
      <c r="AK49" s="29" t="s">
        <v>0</v>
      </c>
      <c r="AL49" s="32" t="s">
        <v>0</v>
      </c>
      <c r="AM49" s="29" t="s">
        <v>0</v>
      </c>
      <c r="AN49" s="32" t="s">
        <v>0</v>
      </c>
      <c r="AO49" s="29" t="s">
        <v>0</v>
      </c>
      <c r="AP49" s="32" t="s">
        <v>0</v>
      </c>
      <c r="AQ49" s="32" t="s">
        <v>0</v>
      </c>
      <c r="AR4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49" s="9" t="str">
        <f t="shared" si="37"/>
        <v>-</v>
      </c>
      <c r="AT49" s="9">
        <f>IF(RIGHT(TMK[[#This Row],[Device type]],7)="Winding","-",TMK[[#This Row],[Cont Winter MVA]])</f>
        <v>23.815698604072061</v>
      </c>
      <c r="AU49" s="9">
        <f>IF(RIGHT(TMK[[#This Row],[Device type]],7)="Winding","-",TMK[[#This Row],[Cont Shoulder MVA]])</f>
        <v>23.815698604072061</v>
      </c>
      <c r="AV49" s="9">
        <f>IF(RIGHT(TMK[[#This Row],[Device type]],7)="Winding","-",TMK[[#This Row],[Cont Summer MVA]])</f>
        <v>23.815698604072061</v>
      </c>
      <c r="AW49" s="9" t="str">
        <f>IF(RIGHT(TMK[[#This Row],[Device type]],7)="Winding","-",TMK[[#This Row],[24 Hr Winter MVA]])</f>
        <v>-</v>
      </c>
      <c r="AX49" s="9" t="str">
        <f>IF(RIGHT(TMK[[#This Row],[Device type]],7)="Winding","-",TMK[[#This Row],[24 Hr Summer MVA]])</f>
        <v>-</v>
      </c>
      <c r="AY49" s="9">
        <f>TMK[[#This Row],[Forwards MVA]]</f>
        <v>20.576763593918262</v>
      </c>
      <c r="AZ49" s="9" t="str">
        <f>TMK[[#This Row],[Relay MVA]]</f>
        <v>-</v>
      </c>
      <c r="BA49" s="9">
        <f>TMK[[#This Row],[CT MVA]]</f>
        <v>22.86307065990918</v>
      </c>
      <c r="BB49" s="9" t="str">
        <f>TMK[[#This Row],[Derating MVA]]</f>
        <v>-</v>
      </c>
      <c r="BC49" s="9" t="str">
        <f>TMK[[#This Row],[Station/Feeder]]&amp;TMK[[#This Row],[Lowest MVA]]</f>
        <v>TMK20.5767635939183</v>
      </c>
      <c r="BD49" s="9" t="str">
        <f>CONCATENATE(TMK[[#This Row],[Supply Level]],TMK[[#This Row],[Station/Feeder]],TMK[[#This Row],[Voltage]],TMK[[#This Row],[Lowest A-No PTX]])</f>
        <v>ZoneSubstationTMK111080</v>
      </c>
      <c r="BE49" s="9" t="str">
        <f>CONCATENATE(TMK[[#This Row],[Supply Level]],TMK[[#This Row],[Station/Feeder]],TMK[[#This Row],[Voltage]],TMK[[#This Row],[Lowest A-PTX]])</f>
        <v>ZoneSubstationTMK111080</v>
      </c>
      <c r="BF49" s="43">
        <f>IFERROR(IF(MIN(TMK[[#This Row],[Summ Cont Winter A]:[Cable Derating]])=0,"",MIN(TMK[[#This Row],[Summ Cont Winter A]:[Cable Derating]])),"")</f>
        <v>20.576763593918262</v>
      </c>
      <c r="BG49" s="43">
        <f>IFERROR(TMK[[#This Row],[Lowest MVA]]*1000/(TMK[[#This Row],[Voltage]]*SQRT(3)),"")</f>
        <v>1080</v>
      </c>
      <c r="BH49" s="43">
        <f t="shared" si="5"/>
        <v>1080</v>
      </c>
      <c r="BI49" s="9" t="str">
        <f>TMK[[#This Row],[From]]</f>
        <v>TMK-D816-T1</v>
      </c>
      <c r="BJ49" s="9" t="str">
        <f>TMK[[#This Row],[To]]</f>
        <v>11 kV Bus</v>
      </c>
      <c r="BK4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Breaker-TMK-CB4-Protection</v>
      </c>
      <c r="BL49" s="9">
        <f>TMK[[#This Row],[Voltage]]</f>
        <v>11</v>
      </c>
    </row>
    <row r="50" spans="1:64" s="1" customFormat="1" ht="15" customHeight="1" x14ac:dyDescent="0.25">
      <c r="A50" s="6" t="str">
        <f>CONCATENATE(TMK[[#This Row],[Supply Level]],TMK[[#This Row],[Station/Feeder]],TMK[[#This Row],[Voltage]])</f>
        <v>ZoneSubstationTMK33.594</v>
      </c>
      <c r="B50" s="6" t="str">
        <f>CONCATENATE(TMK[[#This Row],[Supply Level]],TMK[[#This Row],[Station/Feeder]],TMK[[#This Row],[Equipment ID]],TMK[[#This Row],[Voltage]],TMK[[#This Row],[Device type]])</f>
        <v>ZoneSubstationTMKD816-T233.594HV Winding</v>
      </c>
      <c r="C50" s="6" t="s">
        <v>1246</v>
      </c>
      <c r="D50" s="11" t="s">
        <v>1138</v>
      </c>
      <c r="E50" s="7" t="s">
        <v>483</v>
      </c>
      <c r="F50" s="7" t="s">
        <v>243</v>
      </c>
      <c r="G50" s="56">
        <v>1</v>
      </c>
      <c r="H50" s="46" t="s">
        <v>275</v>
      </c>
      <c r="I50" s="123" t="s">
        <v>499</v>
      </c>
      <c r="J50" s="123" t="s">
        <v>19</v>
      </c>
      <c r="K50" s="46" t="s">
        <v>0</v>
      </c>
      <c r="L50" s="46" t="s">
        <v>36</v>
      </c>
      <c r="M50" s="43">
        <f>33*1.018</f>
        <v>33.594000000000001</v>
      </c>
      <c r="N50" s="9">
        <f>25000/(TMK[[#This Row],[Voltage]]*SQRT(3))</f>
        <v>429.6528168643402</v>
      </c>
      <c r="O50" s="9">
        <f t="shared" si="0"/>
        <v>25</v>
      </c>
      <c r="P50" s="9" t="s">
        <v>0</v>
      </c>
      <c r="Q50" s="9" t="str">
        <f t="shared" si="1"/>
        <v>-</v>
      </c>
      <c r="R50" s="9" t="s">
        <v>0</v>
      </c>
      <c r="S50" s="9" t="str">
        <f t="shared" si="2"/>
        <v>-</v>
      </c>
      <c r="T50" s="9" t="s">
        <v>0</v>
      </c>
      <c r="U50" s="9" t="str">
        <f t="shared" si="3"/>
        <v>-</v>
      </c>
      <c r="V50" s="9" t="s">
        <v>0</v>
      </c>
      <c r="W50" s="9" t="str">
        <f t="shared" si="4"/>
        <v>-</v>
      </c>
      <c r="X50" s="9" t="s">
        <v>0</v>
      </c>
      <c r="Y50" s="9" t="str">
        <f t="shared" si="33"/>
        <v>-</v>
      </c>
      <c r="Z50" s="9" t="s">
        <v>0</v>
      </c>
      <c r="AA50" s="9" t="str">
        <f t="shared" si="34"/>
        <v>-</v>
      </c>
      <c r="AB50" s="9" t="s">
        <v>0</v>
      </c>
      <c r="AC50" s="9" t="str">
        <f t="shared" si="35"/>
        <v>-</v>
      </c>
      <c r="AD50" s="9" t="s">
        <v>0</v>
      </c>
      <c r="AE50" s="12" t="str">
        <f t="shared" si="36"/>
        <v>-</v>
      </c>
      <c r="AF50" s="9" t="s">
        <v>0</v>
      </c>
      <c r="AG50" s="9" t="s">
        <v>0</v>
      </c>
      <c r="AH50" s="9" t="s">
        <v>0</v>
      </c>
      <c r="AI50" s="9" t="s">
        <v>0</v>
      </c>
      <c r="AJ50" s="32" t="s">
        <v>0</v>
      </c>
      <c r="AK50" s="29" t="s">
        <v>0</v>
      </c>
      <c r="AL50" s="32" t="s">
        <v>0</v>
      </c>
      <c r="AM50" s="29" t="s">
        <v>0</v>
      </c>
      <c r="AN50" s="32" t="s">
        <v>0</v>
      </c>
      <c r="AO50" s="29" t="s">
        <v>0</v>
      </c>
      <c r="AP50" s="32" t="s">
        <v>0</v>
      </c>
      <c r="AQ50" s="32" t="s">
        <v>0</v>
      </c>
      <c r="AR50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50" s="9" t="str">
        <f t="shared" si="37"/>
        <v>-</v>
      </c>
      <c r="AT50" s="9" t="str">
        <f>IF(RIGHT(TMK[[#This Row],[Device type]],7)="Winding","-",TMK[[#This Row],[Cont Winter MVA]])</f>
        <v>-</v>
      </c>
      <c r="AU50" s="9" t="str">
        <f>IF(RIGHT(TMK[[#This Row],[Device type]],7)="Winding","-",TMK[[#This Row],[Cont Shoulder MVA]])</f>
        <v>-</v>
      </c>
      <c r="AV50" s="9" t="str">
        <f>IF(RIGHT(TMK[[#This Row],[Device type]],7)="Winding","-",TMK[[#This Row],[Cont Summer MVA]])</f>
        <v>-</v>
      </c>
      <c r="AW50" s="9" t="str">
        <f>IF(RIGHT(TMK[[#This Row],[Device type]],7)="Winding","-",TMK[[#This Row],[24 Hr Winter MVA]])</f>
        <v>-</v>
      </c>
      <c r="AX50" s="9" t="str">
        <f>IF(RIGHT(TMK[[#This Row],[Device type]],7)="Winding","-",TMK[[#This Row],[24 Hr Summer MVA]])</f>
        <v>-</v>
      </c>
      <c r="AY50" s="9" t="str">
        <f>TMK[[#This Row],[Forwards MVA]]</f>
        <v>-</v>
      </c>
      <c r="AZ50" s="9" t="str">
        <f>TMK[[#This Row],[Relay MVA]]</f>
        <v>-</v>
      </c>
      <c r="BA50" s="9" t="str">
        <f>TMK[[#This Row],[CT MVA]]</f>
        <v>-</v>
      </c>
      <c r="BB50" s="9" t="str">
        <f>TMK[[#This Row],[Derating MVA]]</f>
        <v>-</v>
      </c>
      <c r="BC50" s="9" t="str">
        <f>TMK[[#This Row],[Station/Feeder]]&amp;TMK[[#This Row],[Lowest MVA]]</f>
        <v>TMK</v>
      </c>
      <c r="BD50" s="9" t="str">
        <f>CONCATENATE(TMK[[#This Row],[Supply Level]],TMK[[#This Row],[Station/Feeder]],TMK[[#This Row],[Voltage]],TMK[[#This Row],[Lowest A-No PTX]])</f>
        <v>ZoneSubstationTMK33.594</v>
      </c>
      <c r="BE50" s="9" t="str">
        <f>CONCATENATE(TMK[[#This Row],[Supply Level]],TMK[[#This Row],[Station/Feeder]],TMK[[#This Row],[Voltage]],TMK[[#This Row],[Lowest A-PTX]])</f>
        <v>ZoneSubstationTMK33.594429.65281686434</v>
      </c>
      <c r="BF50" s="43" t="str">
        <f>IFERROR(IF(MIN(TMK[[#This Row],[Summ Cont Winter A]:[Cable Derating]])=0,"",MIN(TMK[[#This Row],[Summ Cont Winter A]:[Cable Derating]])),"")</f>
        <v/>
      </c>
      <c r="BG50" s="43" t="str">
        <f>IFERROR(TMK[[#This Row],[Lowest MVA]]*1000/(TMK[[#This Row],[Voltage]]*SQRT(3)),"")</f>
        <v/>
      </c>
      <c r="BH50" s="43">
        <f t="shared" si="5"/>
        <v>429.6528168643402</v>
      </c>
      <c r="BI50" s="9" t="str">
        <f>TMK[[#This Row],[From]]</f>
        <v>TMK-D816-T2</v>
      </c>
      <c r="BJ50" s="9" t="str">
        <f>TMK[[#This Row],[To]]</f>
        <v>11 kV Bus</v>
      </c>
      <c r="BK5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Transformer-D816-T2-HV Winding</v>
      </c>
      <c r="BL50" s="9">
        <f>TMK[[#This Row],[Voltage]]</f>
        <v>33.594000000000001</v>
      </c>
    </row>
    <row r="51" spans="1:64" s="1" customFormat="1" x14ac:dyDescent="0.25">
      <c r="A51" s="6" t="str">
        <f>CONCATENATE(TMK[[#This Row],[Supply Level]],TMK[[#This Row],[Station/Feeder]],TMK[[#This Row],[Voltage]])</f>
        <v>ZoneSubstationTMK11</v>
      </c>
      <c r="B51" s="6" t="str">
        <f>CONCATENATE(TMK[[#This Row],[Supply Level]],TMK[[#This Row],[Station/Feeder]],TMK[[#This Row],[Equipment ID]],TMK[[#This Row],[Voltage]],TMK[[#This Row],[Device type]])</f>
        <v>ZoneSubstationTMKD816-T211LV Winding</v>
      </c>
      <c r="C51" s="6" t="s">
        <v>1246</v>
      </c>
      <c r="D51" s="11" t="s">
        <v>1138</v>
      </c>
      <c r="E51" s="7" t="s">
        <v>483</v>
      </c>
      <c r="F51" s="7" t="s">
        <v>243</v>
      </c>
      <c r="G51" s="56">
        <v>2</v>
      </c>
      <c r="H51" s="46" t="s">
        <v>275</v>
      </c>
      <c r="I51" s="123" t="s">
        <v>499</v>
      </c>
      <c r="J51" s="123" t="s">
        <v>19</v>
      </c>
      <c r="K51" s="46" t="s">
        <v>0</v>
      </c>
      <c r="L51" s="46" t="s">
        <v>37</v>
      </c>
      <c r="M51" s="43">
        <v>11</v>
      </c>
      <c r="N51" s="9">
        <f>25000/(TMK[[#This Row],[Voltage]]*SQRT(3))</f>
        <v>1312.1597027036951</v>
      </c>
      <c r="O51" s="9">
        <f t="shared" si="0"/>
        <v>25</v>
      </c>
      <c r="P51" s="9" t="s">
        <v>0</v>
      </c>
      <c r="Q51" s="9" t="str">
        <f t="shared" si="1"/>
        <v>-</v>
      </c>
      <c r="R51" s="9" t="s">
        <v>0</v>
      </c>
      <c r="S51" s="9" t="str">
        <f t="shared" si="2"/>
        <v>-</v>
      </c>
      <c r="T51" s="9" t="s">
        <v>0</v>
      </c>
      <c r="U51" s="9" t="str">
        <f t="shared" si="3"/>
        <v>-</v>
      </c>
      <c r="V51" s="9" t="s">
        <v>0</v>
      </c>
      <c r="W51" s="9" t="str">
        <f t="shared" si="4"/>
        <v>-</v>
      </c>
      <c r="X51" s="9" t="s">
        <v>0</v>
      </c>
      <c r="Y51" s="9" t="str">
        <f t="shared" si="33"/>
        <v>-</v>
      </c>
      <c r="Z51" s="9" t="s">
        <v>0</v>
      </c>
      <c r="AA51" s="9" t="str">
        <f t="shared" si="34"/>
        <v>-</v>
      </c>
      <c r="AB51" s="9" t="s">
        <v>0</v>
      </c>
      <c r="AC51" s="9" t="str">
        <f t="shared" si="35"/>
        <v>-</v>
      </c>
      <c r="AD51" s="9" t="s">
        <v>0</v>
      </c>
      <c r="AE51" s="12" t="str">
        <f t="shared" si="36"/>
        <v>-</v>
      </c>
      <c r="AF51" s="9" t="s">
        <v>0</v>
      </c>
      <c r="AG51" s="9" t="s">
        <v>0</v>
      </c>
      <c r="AH51" s="9" t="s">
        <v>0</v>
      </c>
      <c r="AI51" s="9" t="s">
        <v>0</v>
      </c>
      <c r="AJ51" s="32" t="s">
        <v>0</v>
      </c>
      <c r="AK51" s="29" t="s">
        <v>0</v>
      </c>
      <c r="AL51" s="32" t="s">
        <v>0</v>
      </c>
      <c r="AM51" s="29" t="s">
        <v>0</v>
      </c>
      <c r="AN51" s="32" t="s">
        <v>0</v>
      </c>
      <c r="AO51" s="29" t="s">
        <v>0</v>
      </c>
      <c r="AP51" s="32" t="s">
        <v>0</v>
      </c>
      <c r="AQ51" s="32" t="s">
        <v>0</v>
      </c>
      <c r="AR51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51" s="9" t="str">
        <f t="shared" si="37"/>
        <v>-</v>
      </c>
      <c r="AT51" s="9" t="str">
        <f>IF(RIGHT(TMK[[#This Row],[Device type]],7)="Winding","-",TMK[[#This Row],[Cont Winter MVA]])</f>
        <v>-</v>
      </c>
      <c r="AU51" s="9" t="str">
        <f>IF(RIGHT(TMK[[#This Row],[Device type]],7)="Winding","-",TMK[[#This Row],[Cont Shoulder MVA]])</f>
        <v>-</v>
      </c>
      <c r="AV51" s="9" t="str">
        <f>IF(RIGHT(TMK[[#This Row],[Device type]],7)="Winding","-",TMK[[#This Row],[Cont Summer MVA]])</f>
        <v>-</v>
      </c>
      <c r="AW51" s="9" t="str">
        <f>IF(RIGHT(TMK[[#This Row],[Device type]],7)="Winding","-",TMK[[#This Row],[24 Hr Winter MVA]])</f>
        <v>-</v>
      </c>
      <c r="AX51" s="9" t="str">
        <f>IF(RIGHT(TMK[[#This Row],[Device type]],7)="Winding","-",TMK[[#This Row],[24 Hr Summer MVA]])</f>
        <v>-</v>
      </c>
      <c r="AY51" s="9" t="str">
        <f>TMK[[#This Row],[Forwards MVA]]</f>
        <v>-</v>
      </c>
      <c r="AZ51" s="9" t="str">
        <f>TMK[[#This Row],[Relay MVA]]</f>
        <v>-</v>
      </c>
      <c r="BA51" s="9" t="str">
        <f>TMK[[#This Row],[CT MVA]]</f>
        <v>-</v>
      </c>
      <c r="BB51" s="9" t="str">
        <f>TMK[[#This Row],[Derating MVA]]</f>
        <v>-</v>
      </c>
      <c r="BC51" s="9" t="str">
        <f>TMK[[#This Row],[Station/Feeder]]&amp;TMK[[#This Row],[Lowest MVA]]</f>
        <v>TMK</v>
      </c>
      <c r="BD51" s="9" t="str">
        <f>CONCATENATE(TMK[[#This Row],[Supply Level]],TMK[[#This Row],[Station/Feeder]],TMK[[#This Row],[Voltage]],TMK[[#This Row],[Lowest A-No PTX]])</f>
        <v>ZoneSubstationTMK11</v>
      </c>
      <c r="BE51" s="9" t="str">
        <f>CONCATENATE(TMK[[#This Row],[Supply Level]],TMK[[#This Row],[Station/Feeder]],TMK[[#This Row],[Voltage]],TMK[[#This Row],[Lowest A-PTX]])</f>
        <v>ZoneSubstationTMK111312.1597027037</v>
      </c>
      <c r="BF51" s="43" t="str">
        <f>IFERROR(IF(MIN(TMK[[#This Row],[Summ Cont Winter A]:[Cable Derating]])=0,"",MIN(TMK[[#This Row],[Summ Cont Winter A]:[Cable Derating]])),"")</f>
        <v/>
      </c>
      <c r="BG51" s="43" t="str">
        <f>IFERROR(TMK[[#This Row],[Lowest MVA]]*1000/(TMK[[#This Row],[Voltage]]*SQRT(3)),"")</f>
        <v/>
      </c>
      <c r="BH51" s="43">
        <f t="shared" si="5"/>
        <v>1312.1597027036951</v>
      </c>
      <c r="BI51" s="9" t="str">
        <f>TMK[[#This Row],[From]]</f>
        <v>TMK-D816-T2</v>
      </c>
      <c r="BJ51" s="9" t="str">
        <f>TMK[[#This Row],[To]]</f>
        <v>11 kV Bus</v>
      </c>
      <c r="BK5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Transformer-D816-T2-LV Winding</v>
      </c>
      <c r="BL51" s="9">
        <f>TMK[[#This Row],[Voltage]]</f>
        <v>11</v>
      </c>
    </row>
    <row r="52" spans="1:64" s="1" customFormat="1" x14ac:dyDescent="0.25">
      <c r="A52" s="6" t="str">
        <f>CONCATENATE(TMK[[#This Row],[Supply Level]],TMK[[#This Row],[Station/Feeder]],TMK[[#This Row],[Voltage]])</f>
        <v>ZoneSubstationTMK11</v>
      </c>
      <c r="B52" s="6" t="str">
        <f>CONCATENATE(TMK[[#This Row],[Supply Level]],TMK[[#This Row],[Station/Feeder]],TMK[[#This Row],[Equipment ID]],TMK[[#This Row],[Voltage]],TMK[[#This Row],[Device type]])</f>
        <v>ZoneSubstationTMK6-1c 500 mm² Cu XLPE11-</v>
      </c>
      <c r="C52" s="6" t="s">
        <v>1246</v>
      </c>
      <c r="D52" s="11" t="s">
        <v>1138</v>
      </c>
      <c r="E52" s="7" t="s">
        <v>483</v>
      </c>
      <c r="F52" s="7" t="s">
        <v>243</v>
      </c>
      <c r="G52" s="56">
        <v>3</v>
      </c>
      <c r="H52" s="7" t="s">
        <v>495</v>
      </c>
      <c r="I52" s="123" t="s">
        <v>564</v>
      </c>
      <c r="J52" s="123" t="s">
        <v>250</v>
      </c>
      <c r="K52" s="46" t="s">
        <v>0</v>
      </c>
      <c r="L52" s="46" t="s">
        <v>0</v>
      </c>
      <c r="M52" s="43">
        <v>11</v>
      </c>
      <c r="N52" s="9">
        <f>2*596</f>
        <v>1192</v>
      </c>
      <c r="O52" s="9">
        <f t="shared" si="0"/>
        <v>22.710650188843118</v>
      </c>
      <c r="P52" s="9">
        <f>2*596</f>
        <v>1192</v>
      </c>
      <c r="Q52" s="9">
        <f t="shared" si="1"/>
        <v>22.710650188843118</v>
      </c>
      <c r="R52" s="9">
        <f>2*596</f>
        <v>1192</v>
      </c>
      <c r="S52" s="9">
        <f t="shared" si="2"/>
        <v>22.710650188843118</v>
      </c>
      <c r="T52" s="9" t="s">
        <v>0</v>
      </c>
      <c r="U52" s="9" t="str">
        <f t="shared" si="3"/>
        <v>-</v>
      </c>
      <c r="V52" s="9" t="s">
        <v>0</v>
      </c>
      <c r="W52" s="9" t="str">
        <f t="shared" si="4"/>
        <v>-</v>
      </c>
      <c r="X52" s="9" t="s">
        <v>0</v>
      </c>
      <c r="Y52" s="9" t="str">
        <f t="shared" si="33"/>
        <v>-</v>
      </c>
      <c r="Z52" s="9" t="s">
        <v>0</v>
      </c>
      <c r="AA52" s="9" t="str">
        <f t="shared" si="34"/>
        <v>-</v>
      </c>
      <c r="AB52" s="9" t="s">
        <v>0</v>
      </c>
      <c r="AC52" s="9" t="str">
        <f t="shared" si="35"/>
        <v>-</v>
      </c>
      <c r="AD52" s="9" t="s">
        <v>0</v>
      </c>
      <c r="AE52" s="12" t="str">
        <f t="shared" si="36"/>
        <v>-</v>
      </c>
      <c r="AF52" s="9">
        <v>1</v>
      </c>
      <c r="AG52" s="9" t="s">
        <v>344</v>
      </c>
      <c r="AH52" s="9">
        <v>46.5</v>
      </c>
      <c r="AI52" s="9">
        <v>0.9</v>
      </c>
      <c r="AJ52" s="32">
        <v>0.99</v>
      </c>
      <c r="AK52" s="29">
        <v>18</v>
      </c>
      <c r="AL52" s="32">
        <v>0.98</v>
      </c>
      <c r="AM52" s="29">
        <v>1.2</v>
      </c>
      <c r="AN52" s="32">
        <v>1.06</v>
      </c>
      <c r="AO52" s="29">
        <v>2</v>
      </c>
      <c r="AP52" s="32">
        <v>0</v>
      </c>
      <c r="AQ52" s="32">
        <v>0.85</v>
      </c>
      <c r="AR52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1041.9870384000001</v>
      </c>
      <c r="AS52" s="9">
        <f t="shared" si="37"/>
        <v>19.852519404707252</v>
      </c>
      <c r="AT52" s="9">
        <f>IF(RIGHT(TMK[[#This Row],[Device type]],7)="Winding","-",TMK[[#This Row],[Cont Winter MVA]])</f>
        <v>22.710650188843118</v>
      </c>
      <c r="AU52" s="9">
        <f>IF(RIGHT(TMK[[#This Row],[Device type]],7)="Winding","-",TMK[[#This Row],[Cont Shoulder MVA]])</f>
        <v>22.710650188843118</v>
      </c>
      <c r="AV52" s="9">
        <f>IF(RIGHT(TMK[[#This Row],[Device type]],7)="Winding","-",TMK[[#This Row],[Cont Summer MVA]])</f>
        <v>22.710650188843118</v>
      </c>
      <c r="AW52" s="9" t="str">
        <f>IF(RIGHT(TMK[[#This Row],[Device type]],7)="Winding","-",TMK[[#This Row],[24 Hr Winter MVA]])</f>
        <v>-</v>
      </c>
      <c r="AX52" s="9" t="str">
        <f>IF(RIGHT(TMK[[#This Row],[Device type]],7)="Winding","-",TMK[[#This Row],[24 Hr Summer MVA]])</f>
        <v>-</v>
      </c>
      <c r="AY52" s="9" t="str">
        <f>TMK[[#This Row],[Forwards MVA]]</f>
        <v>-</v>
      </c>
      <c r="AZ52" s="9" t="str">
        <f>TMK[[#This Row],[Relay MVA]]</f>
        <v>-</v>
      </c>
      <c r="BA52" s="9" t="str">
        <f>TMK[[#This Row],[CT MVA]]</f>
        <v>-</v>
      </c>
      <c r="BB52" s="9">
        <f>TMK[[#This Row],[Derating MVA]]</f>
        <v>19.852519404707252</v>
      </c>
      <c r="BC52" s="9" t="str">
        <f>TMK[[#This Row],[Station/Feeder]]&amp;TMK[[#This Row],[Lowest MVA]]</f>
        <v>TMK19.8525194047073</v>
      </c>
      <c r="BD52" s="9" t="str">
        <f>CONCATENATE(TMK[[#This Row],[Supply Level]],TMK[[#This Row],[Station/Feeder]],TMK[[#This Row],[Voltage]],TMK[[#This Row],[Lowest A-No PTX]])</f>
        <v>ZoneSubstationTMK111041.9870384</v>
      </c>
      <c r="BE52" s="9" t="str">
        <f>CONCATENATE(TMK[[#This Row],[Supply Level]],TMK[[#This Row],[Station/Feeder]],TMK[[#This Row],[Voltage]],TMK[[#This Row],[Lowest A-PTX]])</f>
        <v>ZoneSubstationTMK111041.9870384</v>
      </c>
      <c r="BF52" s="43">
        <f>IFERROR(IF(MIN(TMK[[#This Row],[Summ Cont Winter A]:[Cable Derating]])=0,"",MIN(TMK[[#This Row],[Summ Cont Winter A]:[Cable Derating]])),"")</f>
        <v>19.852519404707252</v>
      </c>
      <c r="BG52" s="43">
        <f>IFERROR(TMK[[#This Row],[Lowest MVA]]*1000/(TMK[[#This Row],[Voltage]]*SQRT(3)),"")</f>
        <v>1041.9870384000001</v>
      </c>
      <c r="BH52" s="43">
        <f t="shared" si="5"/>
        <v>1041.9870384000001</v>
      </c>
      <c r="BI52" s="9" t="str">
        <f>TMK[[#This Row],[From]]</f>
        <v>TMK-D816-T2</v>
      </c>
      <c r="BJ52" s="9" t="str">
        <f>TMK[[#This Row],[To]]</f>
        <v>11 kV Bus</v>
      </c>
      <c r="BK5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Cable-6-1c 500 mm² Cu XLPE</v>
      </c>
      <c r="BL52" s="9">
        <f>TMK[[#This Row],[Voltage]]</f>
        <v>11</v>
      </c>
    </row>
    <row r="53" spans="1:64" s="1" customFormat="1" x14ac:dyDescent="0.25">
      <c r="A53" s="6" t="str">
        <f>CONCATENATE(TMK[[#This Row],[Supply Level]],TMK[[#This Row],[Station/Feeder]],TMK[[#This Row],[Voltage]])</f>
        <v>ZoneSubstationTMK11</v>
      </c>
      <c r="B53" s="6" t="str">
        <f>CONCATENATE(TMK[[#This Row],[Supply Level]],TMK[[#This Row],[Station/Feeder]],TMK[[#This Row],[Equipment ID]],TMK[[#This Row],[Voltage]],TMK[[#This Row],[Device type]])</f>
        <v>ZoneSubstationTMKTMK-CB611Protection</v>
      </c>
      <c r="C53" s="6" t="s">
        <v>1246</v>
      </c>
      <c r="D53" s="11" t="s">
        <v>1138</v>
      </c>
      <c r="E53" s="7" t="s">
        <v>483</v>
      </c>
      <c r="F53" s="7" t="s">
        <v>243</v>
      </c>
      <c r="G53" s="56">
        <v>4</v>
      </c>
      <c r="H53" s="7" t="s">
        <v>343</v>
      </c>
      <c r="I53" s="123" t="s">
        <v>2318</v>
      </c>
      <c r="J53" s="123" t="s">
        <v>15</v>
      </c>
      <c r="K53" s="46" t="s">
        <v>1121</v>
      </c>
      <c r="L53" s="46" t="s">
        <v>1423</v>
      </c>
      <c r="M53" s="43">
        <v>11</v>
      </c>
      <c r="N53" s="9">
        <v>1250</v>
      </c>
      <c r="O53" s="9">
        <f t="shared" si="0"/>
        <v>23.815698604072061</v>
      </c>
      <c r="P53" s="9">
        <v>1250</v>
      </c>
      <c r="Q53" s="9">
        <f t="shared" si="1"/>
        <v>23.815698604072061</v>
      </c>
      <c r="R53" s="9">
        <v>1250</v>
      </c>
      <c r="S53" s="9">
        <f t="shared" si="2"/>
        <v>23.815698604072061</v>
      </c>
      <c r="T53" s="9" t="s">
        <v>0</v>
      </c>
      <c r="U53" s="9" t="str">
        <f t="shared" si="3"/>
        <v>-</v>
      </c>
      <c r="V53" s="9" t="s">
        <v>0</v>
      </c>
      <c r="W53" s="9" t="str">
        <f t="shared" si="4"/>
        <v>-</v>
      </c>
      <c r="X53" s="9">
        <f>VLOOKUP(TMK[[#This Row],[Equipment ID]],AEL_Protection_Data[#All],12,0)</f>
        <v>1080</v>
      </c>
      <c r="Y53" s="9">
        <f t="shared" si="33"/>
        <v>20.576763593918262</v>
      </c>
      <c r="Z53" s="9">
        <v>1080</v>
      </c>
      <c r="AA53" s="9">
        <f t="shared" si="34"/>
        <v>20.576763593918262</v>
      </c>
      <c r="AB53" s="9" t="s">
        <v>0</v>
      </c>
      <c r="AC53" s="9" t="str">
        <f t="shared" si="35"/>
        <v>-</v>
      </c>
      <c r="AD53" s="9">
        <v>1200</v>
      </c>
      <c r="AE53" s="12">
        <f t="shared" si="36"/>
        <v>22.86307065990918</v>
      </c>
      <c r="AF53" s="9" t="s">
        <v>0</v>
      </c>
      <c r="AG53" s="9" t="s">
        <v>0</v>
      </c>
      <c r="AH53" s="9" t="s">
        <v>0</v>
      </c>
      <c r="AI53" s="9" t="s">
        <v>0</v>
      </c>
      <c r="AJ53" s="32" t="s">
        <v>0</v>
      </c>
      <c r="AK53" s="29" t="s">
        <v>0</v>
      </c>
      <c r="AL53" s="32" t="s">
        <v>0</v>
      </c>
      <c r="AM53" s="29" t="s">
        <v>0</v>
      </c>
      <c r="AN53" s="32" t="s">
        <v>0</v>
      </c>
      <c r="AO53" s="29" t="s">
        <v>0</v>
      </c>
      <c r="AP53" s="32" t="s">
        <v>0</v>
      </c>
      <c r="AQ53" s="32" t="s">
        <v>0</v>
      </c>
      <c r="AR5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53" s="9" t="str">
        <f t="shared" si="37"/>
        <v>-</v>
      </c>
      <c r="AT53" s="9">
        <f>IF(RIGHT(TMK[[#This Row],[Device type]],7)="Winding","-",TMK[[#This Row],[Cont Winter MVA]])</f>
        <v>23.815698604072061</v>
      </c>
      <c r="AU53" s="9">
        <f>IF(RIGHT(TMK[[#This Row],[Device type]],7)="Winding","-",TMK[[#This Row],[Cont Shoulder MVA]])</f>
        <v>23.815698604072061</v>
      </c>
      <c r="AV53" s="9">
        <f>IF(RIGHT(TMK[[#This Row],[Device type]],7)="Winding","-",TMK[[#This Row],[Cont Summer MVA]])</f>
        <v>23.815698604072061</v>
      </c>
      <c r="AW53" s="9" t="str">
        <f>IF(RIGHT(TMK[[#This Row],[Device type]],7)="Winding","-",TMK[[#This Row],[24 Hr Winter MVA]])</f>
        <v>-</v>
      </c>
      <c r="AX53" s="9" t="str">
        <f>IF(RIGHT(TMK[[#This Row],[Device type]],7)="Winding","-",TMK[[#This Row],[24 Hr Summer MVA]])</f>
        <v>-</v>
      </c>
      <c r="AY53" s="9">
        <f>TMK[[#This Row],[Forwards MVA]]</f>
        <v>20.576763593918262</v>
      </c>
      <c r="AZ53" s="9" t="str">
        <f>TMK[[#This Row],[Relay MVA]]</f>
        <v>-</v>
      </c>
      <c r="BA53" s="9">
        <f>TMK[[#This Row],[CT MVA]]</f>
        <v>22.86307065990918</v>
      </c>
      <c r="BB53" s="9" t="str">
        <f>TMK[[#This Row],[Derating MVA]]</f>
        <v>-</v>
      </c>
      <c r="BC53" s="9" t="str">
        <f>TMK[[#This Row],[Station/Feeder]]&amp;TMK[[#This Row],[Lowest MVA]]</f>
        <v>TMK20.5767635939183</v>
      </c>
      <c r="BD53" s="9" t="str">
        <f>CONCATENATE(TMK[[#This Row],[Supply Level]],TMK[[#This Row],[Station/Feeder]],TMK[[#This Row],[Voltage]],TMK[[#This Row],[Lowest A-No PTX]])</f>
        <v>ZoneSubstationTMK111080</v>
      </c>
      <c r="BE53" s="9" t="str">
        <f>CONCATENATE(TMK[[#This Row],[Supply Level]],TMK[[#This Row],[Station/Feeder]],TMK[[#This Row],[Voltage]],TMK[[#This Row],[Lowest A-PTX]])</f>
        <v>ZoneSubstationTMK111080</v>
      </c>
      <c r="BF53" s="43">
        <f>IFERROR(IF(MIN(TMK[[#This Row],[Summ Cont Winter A]:[Cable Derating]])=0,"",MIN(TMK[[#This Row],[Summ Cont Winter A]:[Cable Derating]])),"")</f>
        <v>20.576763593918262</v>
      </c>
      <c r="BG53" s="43">
        <f>IFERROR(TMK[[#This Row],[Lowest MVA]]*1000/(TMK[[#This Row],[Voltage]]*SQRT(3)),"")</f>
        <v>1080</v>
      </c>
      <c r="BH53" s="43">
        <f t="shared" si="5"/>
        <v>1080</v>
      </c>
      <c r="BI53" s="9" t="str">
        <f>TMK[[#This Row],[From]]</f>
        <v>TMK-D816-T2</v>
      </c>
      <c r="BJ53" s="9" t="str">
        <f>TMK[[#This Row],[To]]</f>
        <v>11 kV Bus</v>
      </c>
      <c r="BK5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Breaker-TMK-CB6-Protection</v>
      </c>
      <c r="BL53" s="9">
        <f>TMK[[#This Row],[Voltage]]</f>
        <v>11</v>
      </c>
    </row>
    <row r="54" spans="1:64" s="1" customFormat="1" x14ac:dyDescent="0.25">
      <c r="A54" s="6" t="str">
        <f>CONCATENATE(TMK[[#This Row],[Supply Level]],TMK[[#This Row],[Station/Feeder]],TMK[[#This Row],[Voltage]])</f>
        <v>DistributionFeederCB1_Temuka West11</v>
      </c>
      <c r="B54" s="6" t="str">
        <f>CONCATENATE(TMK[[#This Row],[Supply Level]],TMK[[#This Row],[Station/Feeder]],TMK[[#This Row],[Equipment ID]],TMK[[#This Row],[Voltage]],TMK[[#This Row],[Device type]])</f>
        <v>DistributionFeederCB1_Temuka WestTMK-CB111Protection</v>
      </c>
      <c r="C54" s="6" t="s">
        <v>1276</v>
      </c>
      <c r="D54" s="11" t="s">
        <v>97</v>
      </c>
      <c r="E54" s="7" t="s">
        <v>243</v>
      </c>
      <c r="F54" s="7" t="s">
        <v>503</v>
      </c>
      <c r="G54" s="56">
        <v>1</v>
      </c>
      <c r="H54" s="7" t="s">
        <v>343</v>
      </c>
      <c r="I54" s="123" t="s">
        <v>2319</v>
      </c>
      <c r="J54" s="123" t="s">
        <v>15</v>
      </c>
      <c r="K54" s="46" t="s">
        <v>1121</v>
      </c>
      <c r="L54" s="46" t="s">
        <v>1423</v>
      </c>
      <c r="M54" s="43">
        <v>11</v>
      </c>
      <c r="N54" s="9">
        <v>630</v>
      </c>
      <c r="O54" s="9">
        <f t="shared" si="0"/>
        <v>12.00311209645232</v>
      </c>
      <c r="P54" s="9">
        <v>630</v>
      </c>
      <c r="Q54" s="9">
        <f t="shared" si="1"/>
        <v>12.00311209645232</v>
      </c>
      <c r="R54" s="9">
        <v>630</v>
      </c>
      <c r="S54" s="9">
        <f t="shared" si="2"/>
        <v>12.00311209645232</v>
      </c>
      <c r="T54" s="9" t="s">
        <v>0</v>
      </c>
      <c r="U54" s="9" t="str">
        <f t="shared" si="3"/>
        <v>-</v>
      </c>
      <c r="V54" s="9" t="s">
        <v>0</v>
      </c>
      <c r="W54" s="9" t="str">
        <f t="shared" si="4"/>
        <v>-</v>
      </c>
      <c r="X54" s="9">
        <f>VLOOKUP(TMK[[#This Row],[Equipment ID]],AEL_Protection_Data[#All],12,0)</f>
        <v>402</v>
      </c>
      <c r="Y54" s="9">
        <f t="shared" si="6"/>
        <v>7.659128671069575</v>
      </c>
      <c r="Z54" s="9">
        <v>402</v>
      </c>
      <c r="AA54" s="9">
        <f t="shared" si="7"/>
        <v>7.659128671069575</v>
      </c>
      <c r="AB54" s="9" t="s">
        <v>0</v>
      </c>
      <c r="AC54" s="9" t="str">
        <f t="shared" si="8"/>
        <v>-</v>
      </c>
      <c r="AD54" s="9">
        <v>600</v>
      </c>
      <c r="AE54" s="12">
        <f t="shared" si="9"/>
        <v>11.43153532995459</v>
      </c>
      <c r="AF54" s="9" t="s">
        <v>0</v>
      </c>
      <c r="AG54" s="9" t="s">
        <v>0</v>
      </c>
      <c r="AH54" s="9" t="s">
        <v>0</v>
      </c>
      <c r="AI54" s="9" t="s">
        <v>0</v>
      </c>
      <c r="AJ54" s="32" t="s">
        <v>0</v>
      </c>
      <c r="AK54" s="29" t="s">
        <v>0</v>
      </c>
      <c r="AL54" s="32" t="s">
        <v>0</v>
      </c>
      <c r="AM54" s="29" t="s">
        <v>0</v>
      </c>
      <c r="AN54" s="32" t="s">
        <v>0</v>
      </c>
      <c r="AO54" s="29" t="s">
        <v>0</v>
      </c>
      <c r="AP54" s="32" t="s">
        <v>0</v>
      </c>
      <c r="AQ54" s="32" t="s">
        <v>0</v>
      </c>
      <c r="AR54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54" s="9" t="str">
        <f t="shared" si="10"/>
        <v>-</v>
      </c>
      <c r="AT54" s="9">
        <f>IF(RIGHT(TMK[[#This Row],[Device type]],7)="Winding","-",TMK[[#This Row],[Cont Winter MVA]])</f>
        <v>12.00311209645232</v>
      </c>
      <c r="AU54" s="9">
        <f>IF(RIGHT(TMK[[#This Row],[Device type]],7)="Winding","-",TMK[[#This Row],[Cont Shoulder MVA]])</f>
        <v>12.00311209645232</v>
      </c>
      <c r="AV54" s="9">
        <f>IF(RIGHT(TMK[[#This Row],[Device type]],7)="Winding","-",TMK[[#This Row],[Cont Summer MVA]])</f>
        <v>12.00311209645232</v>
      </c>
      <c r="AW54" s="9" t="str">
        <f>IF(RIGHT(TMK[[#This Row],[Device type]],7)="Winding","-",TMK[[#This Row],[24 Hr Winter MVA]])</f>
        <v>-</v>
      </c>
      <c r="AX54" s="9" t="str">
        <f>IF(RIGHT(TMK[[#This Row],[Device type]],7)="Winding","-",TMK[[#This Row],[24 Hr Summer MVA]])</f>
        <v>-</v>
      </c>
      <c r="AY54" s="9">
        <f>TMK[[#This Row],[Forwards MVA]]</f>
        <v>7.659128671069575</v>
      </c>
      <c r="AZ54" s="9" t="str">
        <f>TMK[[#This Row],[Relay MVA]]</f>
        <v>-</v>
      </c>
      <c r="BA54" s="9">
        <f>TMK[[#This Row],[CT MVA]]</f>
        <v>11.43153532995459</v>
      </c>
      <c r="BB54" s="9" t="str">
        <f>TMK[[#This Row],[Derating MVA]]</f>
        <v>-</v>
      </c>
      <c r="BC54" s="9" t="str">
        <f>TMK[[#This Row],[Station/Feeder]]&amp;TMK[[#This Row],[Lowest MVA]]</f>
        <v>CB1_Temuka West7.65912867106957</v>
      </c>
      <c r="BD54" s="9" t="str">
        <f>CONCATENATE(TMK[[#This Row],[Supply Level]],TMK[[#This Row],[Station/Feeder]],TMK[[#This Row],[Voltage]],TMK[[#This Row],[Lowest A-No PTX]])</f>
        <v>DistributionFeederCB1_Temuka West11402</v>
      </c>
      <c r="BE54" s="9" t="str">
        <f>CONCATENATE(TMK[[#This Row],[Supply Level]],TMK[[#This Row],[Station/Feeder]],TMK[[#This Row],[Voltage]],TMK[[#This Row],[Lowest A-PTX]])</f>
        <v>DistributionFeederCB1_Temuka West11402</v>
      </c>
      <c r="BF54" s="9">
        <f>IFERROR(IF(MIN(TMK[[#This Row],[Summ Cont Winter A]:[Cable Derating]])=0,"",MIN(TMK[[#This Row],[Summ Cont Winter A]:[Cable Derating]])),"")</f>
        <v>7.659128671069575</v>
      </c>
      <c r="BG54" s="9">
        <f>IFERROR(TMK[[#This Row],[Lowest MVA]]*1000/(TMK[[#This Row],[Voltage]]*SQRT(3)),"")</f>
        <v>402</v>
      </c>
      <c r="BH54" s="9">
        <f t="shared" si="5"/>
        <v>402</v>
      </c>
      <c r="BI54" s="9" t="str">
        <f>TMK[[#This Row],[From]]</f>
        <v>11 kV Bus</v>
      </c>
      <c r="BJ54" s="9" t="str">
        <f>TMK[[#This Row],[To]]</f>
        <v>T200</v>
      </c>
      <c r="BK5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Breaker-TMK-CB1-Protection</v>
      </c>
      <c r="BL54" s="9">
        <f>TMK[[#This Row],[Voltage]]</f>
        <v>11</v>
      </c>
    </row>
    <row r="55" spans="1:64" s="1" customFormat="1" x14ac:dyDescent="0.25">
      <c r="A55" s="6" t="str">
        <f>CONCATENATE(TMK[[#This Row],[Supply Level]],TMK[[#This Row],[Station/Feeder]],TMK[[#This Row],[Voltage]])</f>
        <v>DistributionFeederCB1_Temuka West11</v>
      </c>
      <c r="B55" s="6" t="str">
        <f>CONCATENATE(TMK[[#This Row],[Supply Level]],TMK[[#This Row],[Station/Feeder]],TMK[[#This Row],[Equipment ID]],TMK[[#This Row],[Voltage]],TMK[[#This Row],[Device type]])</f>
        <v>DistributionFeederCB1_Temuka West1-3c 300 mm² Al XLPE HD11-</v>
      </c>
      <c r="C55" s="6" t="s">
        <v>1276</v>
      </c>
      <c r="D55" s="11" t="s">
        <v>97</v>
      </c>
      <c r="E55" s="7" t="s">
        <v>243</v>
      </c>
      <c r="F55" s="7" t="s">
        <v>503</v>
      </c>
      <c r="G55" s="56">
        <v>2</v>
      </c>
      <c r="H55" s="46" t="s">
        <v>1469</v>
      </c>
      <c r="I55" s="123" t="s">
        <v>1467</v>
      </c>
      <c r="J55" s="123" t="s">
        <v>250</v>
      </c>
      <c r="K55" s="46" t="s">
        <v>0</v>
      </c>
      <c r="L55" s="46" t="s">
        <v>0</v>
      </c>
      <c r="M55" s="43">
        <v>11</v>
      </c>
      <c r="N55" s="9">
        <v>476</v>
      </c>
      <c r="O55" s="9">
        <f t="shared" si="0"/>
        <v>9.0690180284306408</v>
      </c>
      <c r="P55" s="9">
        <v>476</v>
      </c>
      <c r="Q55" s="9">
        <f t="shared" si="1"/>
        <v>9.0690180284306408</v>
      </c>
      <c r="R55" s="9">
        <v>476</v>
      </c>
      <c r="S55" s="9">
        <f t="shared" si="2"/>
        <v>9.0690180284306408</v>
      </c>
      <c r="T55" s="9" t="s">
        <v>0</v>
      </c>
      <c r="U55" s="9" t="str">
        <f t="shared" si="3"/>
        <v>-</v>
      </c>
      <c r="V55" s="9" t="s">
        <v>0</v>
      </c>
      <c r="W55" s="9" t="str">
        <f t="shared" si="4"/>
        <v>-</v>
      </c>
      <c r="X55" s="9" t="s">
        <v>0</v>
      </c>
      <c r="Y55" s="9" t="str">
        <f t="shared" si="6"/>
        <v>-</v>
      </c>
      <c r="Z55" s="9" t="s">
        <v>0</v>
      </c>
      <c r="AA55" s="9" t="str">
        <f t="shared" si="7"/>
        <v>-</v>
      </c>
      <c r="AB55" s="9" t="s">
        <v>0</v>
      </c>
      <c r="AC55" s="9" t="str">
        <f t="shared" si="8"/>
        <v>-</v>
      </c>
      <c r="AD55" s="9" t="s">
        <v>0</v>
      </c>
      <c r="AE55" s="12" t="str">
        <f t="shared" si="9"/>
        <v>-</v>
      </c>
      <c r="AF55" s="9">
        <v>3</v>
      </c>
      <c r="AG55" s="9" t="s">
        <v>265</v>
      </c>
      <c r="AH55" s="9">
        <v>13.5</v>
      </c>
      <c r="AI55" s="9">
        <v>1</v>
      </c>
      <c r="AJ55" s="32">
        <v>0.98170000000000002</v>
      </c>
      <c r="AK55" s="29">
        <v>18</v>
      </c>
      <c r="AL55" s="32">
        <v>0.96719999999999984</v>
      </c>
      <c r="AM55" s="29">
        <v>1.2</v>
      </c>
      <c r="AN55" s="32">
        <v>1.0065995964405885</v>
      </c>
      <c r="AO55" s="29">
        <v>5</v>
      </c>
      <c r="AP55" s="32">
        <v>0</v>
      </c>
      <c r="AQ55" s="32">
        <v>0.56999999999999995</v>
      </c>
      <c r="AR55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259.31858262623888</v>
      </c>
      <c r="AS55" s="9">
        <f t="shared" si="10"/>
        <v>4.9406825650093298</v>
      </c>
      <c r="AT55" s="9">
        <f>IF(RIGHT(TMK[[#This Row],[Device type]],7)="Winding","-",TMK[[#This Row],[Cont Winter MVA]])</f>
        <v>9.0690180284306408</v>
      </c>
      <c r="AU55" s="9">
        <f>IF(RIGHT(TMK[[#This Row],[Device type]],7)="Winding","-",TMK[[#This Row],[Cont Shoulder MVA]])</f>
        <v>9.0690180284306408</v>
      </c>
      <c r="AV55" s="9">
        <f>IF(RIGHT(TMK[[#This Row],[Device type]],7)="Winding","-",TMK[[#This Row],[Cont Summer MVA]])</f>
        <v>9.0690180284306408</v>
      </c>
      <c r="AW55" s="9" t="str">
        <f>IF(RIGHT(TMK[[#This Row],[Device type]],7)="Winding","-",TMK[[#This Row],[24 Hr Winter MVA]])</f>
        <v>-</v>
      </c>
      <c r="AX55" s="9" t="str">
        <f>IF(RIGHT(TMK[[#This Row],[Device type]],7)="Winding","-",TMK[[#This Row],[24 Hr Summer MVA]])</f>
        <v>-</v>
      </c>
      <c r="AY55" s="9" t="str">
        <f>TMK[[#This Row],[Forwards MVA]]</f>
        <v>-</v>
      </c>
      <c r="AZ55" s="9" t="str">
        <f>TMK[[#This Row],[Relay MVA]]</f>
        <v>-</v>
      </c>
      <c r="BA55" s="9" t="str">
        <f>TMK[[#This Row],[CT MVA]]</f>
        <v>-</v>
      </c>
      <c r="BB55" s="9">
        <f>TMK[[#This Row],[Derating MVA]]</f>
        <v>4.9406825650093298</v>
      </c>
      <c r="BC55" s="9" t="str">
        <f>TMK[[#This Row],[Station/Feeder]]&amp;TMK[[#This Row],[Lowest MVA]]</f>
        <v>CB1_Temuka West4.94068256500933</v>
      </c>
      <c r="BD55" s="9" t="str">
        <f>CONCATENATE(TMK[[#This Row],[Supply Level]],TMK[[#This Row],[Station/Feeder]],TMK[[#This Row],[Voltage]],TMK[[#This Row],[Lowest A-No PTX]])</f>
        <v>DistributionFeederCB1_Temuka West11259.318582626239</v>
      </c>
      <c r="BE55" s="9" t="str">
        <f>CONCATENATE(TMK[[#This Row],[Supply Level]],TMK[[#This Row],[Station/Feeder]],TMK[[#This Row],[Voltage]],TMK[[#This Row],[Lowest A-PTX]])</f>
        <v>DistributionFeederCB1_Temuka West11259.318582626239</v>
      </c>
      <c r="BF55" s="9">
        <f>IFERROR(IF(MIN(TMK[[#This Row],[Summ Cont Winter A]:[Cable Derating]])=0,"",MIN(TMK[[#This Row],[Summ Cont Winter A]:[Cable Derating]])),"")</f>
        <v>4.9406825650093298</v>
      </c>
      <c r="BG55" s="9">
        <f>IFERROR(TMK[[#This Row],[Lowest MVA]]*1000/(TMK[[#This Row],[Voltage]]*SQRT(3)),"")</f>
        <v>259.31858262623882</v>
      </c>
      <c r="BH55" s="9">
        <f t="shared" si="5"/>
        <v>259.31858262623888</v>
      </c>
      <c r="BI55" s="9" t="str">
        <f>TMK[[#This Row],[From]]</f>
        <v>11 kV Bus</v>
      </c>
      <c r="BJ55" s="9" t="str">
        <f>TMK[[#This Row],[To]]</f>
        <v>T200</v>
      </c>
      <c r="BK5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XLPE HD</v>
      </c>
      <c r="BL55" s="9">
        <f>TMK[[#This Row],[Voltage]]</f>
        <v>11</v>
      </c>
    </row>
    <row r="56" spans="1:64" s="1" customFormat="1" x14ac:dyDescent="0.25">
      <c r="A56" s="6" t="str">
        <f>CONCATENATE(TMK[[#This Row],[Supply Level]],TMK[[#This Row],[Station/Feeder]],TMK[[#This Row],[Voltage]])</f>
        <v>DistributionFeederCB1_Temuka West11</v>
      </c>
      <c r="B56" s="6" t="str">
        <f>CONCATENATE(TMK[[#This Row],[Supply Level]],TMK[[#This Row],[Station/Feeder]],TMK[[#This Row],[Equipment ID]],TMK[[#This Row],[Voltage]],TMK[[#This Row],[Device type]])</f>
        <v>DistributionFeederCB1_Temuka West2-3c 150 mm² Al PILC11-</v>
      </c>
      <c r="C56" s="6" t="s">
        <v>1276</v>
      </c>
      <c r="D56" s="11" t="s">
        <v>97</v>
      </c>
      <c r="E56" s="7" t="s">
        <v>243</v>
      </c>
      <c r="F56" s="7" t="s">
        <v>503</v>
      </c>
      <c r="G56" s="56">
        <v>3</v>
      </c>
      <c r="H56" s="46" t="s">
        <v>1470</v>
      </c>
      <c r="I56" s="123" t="s">
        <v>1468</v>
      </c>
      <c r="J56" s="123" t="s">
        <v>250</v>
      </c>
      <c r="K56" s="46" t="s">
        <v>0</v>
      </c>
      <c r="L56" s="46" t="s">
        <v>0</v>
      </c>
      <c r="M56" s="43">
        <v>11</v>
      </c>
      <c r="N56" s="9">
        <f>2*265</f>
        <v>530</v>
      </c>
      <c r="O56" s="9">
        <f t="shared" si="0"/>
        <v>10.097856208126554</v>
      </c>
      <c r="P56" s="9">
        <f>2*265</f>
        <v>530</v>
      </c>
      <c r="Q56" s="9">
        <f t="shared" si="1"/>
        <v>10.097856208126554</v>
      </c>
      <c r="R56" s="9">
        <f>2*265</f>
        <v>530</v>
      </c>
      <c r="S56" s="9">
        <f t="shared" si="2"/>
        <v>10.097856208126554</v>
      </c>
      <c r="T56" s="9" t="s">
        <v>0</v>
      </c>
      <c r="U56" s="9" t="str">
        <f t="shared" si="3"/>
        <v>-</v>
      </c>
      <c r="V56" s="9" t="s">
        <v>0</v>
      </c>
      <c r="W56" s="9" t="str">
        <f t="shared" si="4"/>
        <v>-</v>
      </c>
      <c r="X56" s="9" t="s">
        <v>0</v>
      </c>
      <c r="Y56" s="9" t="str">
        <f t="shared" si="33"/>
        <v>-</v>
      </c>
      <c r="Z56" s="9" t="s">
        <v>0</v>
      </c>
      <c r="AA56" s="9" t="str">
        <f t="shared" si="34"/>
        <v>-</v>
      </c>
      <c r="AB56" s="9" t="s">
        <v>0</v>
      </c>
      <c r="AC56" s="9" t="str">
        <f t="shared" si="35"/>
        <v>-</v>
      </c>
      <c r="AD56" s="9" t="s">
        <v>0</v>
      </c>
      <c r="AE56" s="12" t="str">
        <f t="shared" si="36"/>
        <v>-</v>
      </c>
      <c r="AF56" s="9">
        <v>3</v>
      </c>
      <c r="AG56" s="9" t="s">
        <v>265</v>
      </c>
      <c r="AH56" s="9">
        <v>36.9</v>
      </c>
      <c r="AI56" s="9">
        <v>1</v>
      </c>
      <c r="AJ56" s="32">
        <v>0.98170000000000002</v>
      </c>
      <c r="AK56" s="29">
        <v>18</v>
      </c>
      <c r="AL56" s="32">
        <v>0.96719999999999984</v>
      </c>
      <c r="AM56" s="29">
        <v>1.2</v>
      </c>
      <c r="AN56" s="32">
        <v>1.0065995964405885</v>
      </c>
      <c r="AO56" s="29">
        <v>2</v>
      </c>
      <c r="AP56" s="32">
        <v>0.45</v>
      </c>
      <c r="AQ56" s="32">
        <v>0.90740575000000001</v>
      </c>
      <c r="AR56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459.65207749947155</v>
      </c>
      <c r="AS56" s="9">
        <f t="shared" si="37"/>
        <v>8.7575482723703892</v>
      </c>
      <c r="AT56" s="9">
        <f>IF(RIGHT(TMK[[#This Row],[Device type]],7)="Winding","-",TMK[[#This Row],[Cont Winter MVA]])</f>
        <v>10.097856208126554</v>
      </c>
      <c r="AU56" s="9">
        <f>IF(RIGHT(TMK[[#This Row],[Device type]],7)="Winding","-",TMK[[#This Row],[Cont Shoulder MVA]])</f>
        <v>10.097856208126554</v>
      </c>
      <c r="AV56" s="9">
        <f>IF(RIGHT(TMK[[#This Row],[Device type]],7)="Winding","-",TMK[[#This Row],[Cont Summer MVA]])</f>
        <v>10.097856208126554</v>
      </c>
      <c r="AW56" s="9" t="str">
        <f>IF(RIGHT(TMK[[#This Row],[Device type]],7)="Winding","-",TMK[[#This Row],[24 Hr Winter MVA]])</f>
        <v>-</v>
      </c>
      <c r="AX56" s="9" t="str">
        <f>IF(RIGHT(TMK[[#This Row],[Device type]],7)="Winding","-",TMK[[#This Row],[24 Hr Summer MVA]])</f>
        <v>-</v>
      </c>
      <c r="AY56" s="9" t="str">
        <f>TMK[[#This Row],[Forwards MVA]]</f>
        <v>-</v>
      </c>
      <c r="AZ56" s="9" t="str">
        <f>TMK[[#This Row],[Relay MVA]]</f>
        <v>-</v>
      </c>
      <c r="BA56" s="9" t="str">
        <f>TMK[[#This Row],[CT MVA]]</f>
        <v>-</v>
      </c>
      <c r="BB56" s="9">
        <f>TMK[[#This Row],[Derating MVA]]</f>
        <v>8.7575482723703892</v>
      </c>
      <c r="BC56" s="9" t="str">
        <f>TMK[[#This Row],[Station/Feeder]]&amp;TMK[[#This Row],[Lowest MVA]]</f>
        <v>CB1_Temuka West8.75754827237039</v>
      </c>
      <c r="BD56" s="9" t="str">
        <f>CONCATENATE(TMK[[#This Row],[Supply Level]],TMK[[#This Row],[Station/Feeder]],TMK[[#This Row],[Voltage]],TMK[[#This Row],[Lowest A-No PTX]])</f>
        <v>DistributionFeederCB1_Temuka West11459.652077499472</v>
      </c>
      <c r="BE56" s="9" t="str">
        <f>CONCATENATE(TMK[[#This Row],[Supply Level]],TMK[[#This Row],[Station/Feeder]],TMK[[#This Row],[Voltage]],TMK[[#This Row],[Lowest A-PTX]])</f>
        <v>DistributionFeederCB1_Temuka West11459.652077499472</v>
      </c>
      <c r="BF56" s="9">
        <f>IFERROR(IF(MIN(TMK[[#This Row],[Summ Cont Winter A]:[Cable Derating]])=0,"",MIN(TMK[[#This Row],[Summ Cont Winter A]:[Cable Derating]])),"")</f>
        <v>8.7575482723703892</v>
      </c>
      <c r="BG56" s="9">
        <f>IFERROR(TMK[[#This Row],[Lowest MVA]]*1000/(TMK[[#This Row],[Voltage]]*SQRT(3)),"")</f>
        <v>459.65207749947155</v>
      </c>
      <c r="BH56" s="9">
        <f t="shared" si="5"/>
        <v>459.65207749947155</v>
      </c>
      <c r="BI56" s="9" t="str">
        <f>TMK[[#This Row],[From]]</f>
        <v>11 kV Bus</v>
      </c>
      <c r="BJ56" s="9" t="str">
        <f>TMK[[#This Row],[To]]</f>
        <v>T200</v>
      </c>
      <c r="BK5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Cable-2-3c 150 mm² Al PILC</v>
      </c>
      <c r="BL56" s="9">
        <f>TMK[[#This Row],[Voltage]]</f>
        <v>11</v>
      </c>
    </row>
    <row r="57" spans="1:64" s="1" customFormat="1" x14ac:dyDescent="0.25">
      <c r="A57" s="6" t="str">
        <f>CONCATENATE(TMK[[#This Row],[Supply Level]],TMK[[#This Row],[Station/Feeder]],TMK[[#This Row],[Voltage]])</f>
        <v>DistributionFeederCB1_Temuka West11</v>
      </c>
      <c r="B57" s="6" t="str">
        <f>CONCATENATE(TMK[[#This Row],[Supply Level]],TMK[[#This Row],[Station/Feeder]],TMK[[#This Row],[Equipment ID]],TMK[[#This Row],[Voltage]],TMK[[#This Row],[Device type]])</f>
        <v>DistributionFeederCB1_Temuka WestT20011-</v>
      </c>
      <c r="C57" s="6" t="s">
        <v>1276</v>
      </c>
      <c r="D57" s="11" t="s">
        <v>97</v>
      </c>
      <c r="E57" s="7" t="s">
        <v>496</v>
      </c>
      <c r="F57" s="7" t="s">
        <v>504</v>
      </c>
      <c r="G57" s="56">
        <v>4</v>
      </c>
      <c r="H57" s="46" t="s">
        <v>273</v>
      </c>
      <c r="I57" s="123" t="s">
        <v>503</v>
      </c>
      <c r="J57" s="123" t="s">
        <v>240</v>
      </c>
      <c r="K57" s="46" t="s">
        <v>0</v>
      </c>
      <c r="L57" s="46" t="s">
        <v>0</v>
      </c>
      <c r="M57" s="43">
        <v>11</v>
      </c>
      <c r="N57" s="9">
        <v>600</v>
      </c>
      <c r="O57" s="9">
        <f t="shared" si="0"/>
        <v>11.43153532995459</v>
      </c>
      <c r="P57" s="9">
        <v>600</v>
      </c>
      <c r="Q57" s="9">
        <f t="shared" si="1"/>
        <v>11.43153532995459</v>
      </c>
      <c r="R57" s="9">
        <v>600</v>
      </c>
      <c r="S57" s="9">
        <f t="shared" si="2"/>
        <v>11.43153532995459</v>
      </c>
      <c r="T57" s="9" t="s">
        <v>0</v>
      </c>
      <c r="U57" s="9" t="str">
        <f t="shared" si="3"/>
        <v>-</v>
      </c>
      <c r="V57" s="9" t="s">
        <v>0</v>
      </c>
      <c r="W57" s="9" t="str">
        <f t="shared" si="4"/>
        <v>-</v>
      </c>
      <c r="X57" s="9" t="s">
        <v>0</v>
      </c>
      <c r="Y57" s="9" t="str">
        <f t="shared" si="6"/>
        <v>-</v>
      </c>
      <c r="Z57" s="9" t="s">
        <v>0</v>
      </c>
      <c r="AA57" s="9" t="str">
        <f t="shared" si="7"/>
        <v>-</v>
      </c>
      <c r="AB57" s="9" t="s">
        <v>0</v>
      </c>
      <c r="AC57" s="9" t="str">
        <f t="shared" si="8"/>
        <v>-</v>
      </c>
      <c r="AD57" s="9" t="s">
        <v>0</v>
      </c>
      <c r="AE57" s="12" t="str">
        <f t="shared" si="9"/>
        <v>-</v>
      </c>
      <c r="AF57" s="9" t="s">
        <v>0</v>
      </c>
      <c r="AG57" s="9" t="s">
        <v>0</v>
      </c>
      <c r="AH57" s="9" t="s">
        <v>0</v>
      </c>
      <c r="AI57" s="9" t="s">
        <v>0</v>
      </c>
      <c r="AJ57" s="32" t="s">
        <v>0</v>
      </c>
      <c r="AK57" s="29" t="s">
        <v>0</v>
      </c>
      <c r="AL57" s="32" t="s">
        <v>0</v>
      </c>
      <c r="AM57" s="29" t="s">
        <v>0</v>
      </c>
      <c r="AN57" s="32" t="s">
        <v>0</v>
      </c>
      <c r="AO57" s="29" t="s">
        <v>0</v>
      </c>
      <c r="AP57" s="32" t="s">
        <v>0</v>
      </c>
      <c r="AQ57" s="32" t="s">
        <v>0</v>
      </c>
      <c r="AR57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57" s="9" t="str">
        <f t="shared" si="10"/>
        <v>-</v>
      </c>
      <c r="AT57" s="9">
        <f>IF(RIGHT(TMK[[#This Row],[Device type]],7)="Winding","-",TMK[[#This Row],[Cont Winter MVA]])</f>
        <v>11.43153532995459</v>
      </c>
      <c r="AU57" s="9">
        <f>IF(RIGHT(TMK[[#This Row],[Device type]],7)="Winding","-",TMK[[#This Row],[Cont Shoulder MVA]])</f>
        <v>11.43153532995459</v>
      </c>
      <c r="AV57" s="9">
        <f>IF(RIGHT(TMK[[#This Row],[Device type]],7)="Winding","-",TMK[[#This Row],[Cont Summer MVA]])</f>
        <v>11.43153532995459</v>
      </c>
      <c r="AW57" s="9" t="str">
        <f>IF(RIGHT(TMK[[#This Row],[Device type]],7)="Winding","-",TMK[[#This Row],[24 Hr Winter MVA]])</f>
        <v>-</v>
      </c>
      <c r="AX57" s="9" t="str">
        <f>IF(RIGHT(TMK[[#This Row],[Device type]],7)="Winding","-",TMK[[#This Row],[24 Hr Summer MVA]])</f>
        <v>-</v>
      </c>
      <c r="AY57" s="9" t="str">
        <f>TMK[[#This Row],[Forwards MVA]]</f>
        <v>-</v>
      </c>
      <c r="AZ57" s="9" t="str">
        <f>TMK[[#This Row],[Relay MVA]]</f>
        <v>-</v>
      </c>
      <c r="BA57" s="9" t="str">
        <f>TMK[[#This Row],[CT MVA]]</f>
        <v>-</v>
      </c>
      <c r="BB57" s="9" t="str">
        <f>TMK[[#This Row],[Derating MVA]]</f>
        <v>-</v>
      </c>
      <c r="BC57" s="9" t="str">
        <f>TMK[[#This Row],[Station/Feeder]]&amp;TMK[[#This Row],[Lowest MVA]]</f>
        <v>CB1_Temuka West11.4315353299546</v>
      </c>
      <c r="BD57" s="9" t="str">
        <f>CONCATENATE(TMK[[#This Row],[Supply Level]],TMK[[#This Row],[Station/Feeder]],TMK[[#This Row],[Voltage]],TMK[[#This Row],[Lowest A-No PTX]])</f>
        <v>DistributionFeederCB1_Temuka West11600</v>
      </c>
      <c r="BE57" s="9" t="str">
        <f>CONCATENATE(TMK[[#This Row],[Supply Level]],TMK[[#This Row],[Station/Feeder]],TMK[[#This Row],[Voltage]],TMK[[#This Row],[Lowest A-PTX]])</f>
        <v>DistributionFeederCB1_Temuka West11600</v>
      </c>
      <c r="BF57" s="9">
        <f>IFERROR(IF(MIN(TMK[[#This Row],[Summ Cont Winter A]:[Cable Derating]])=0,"",MIN(TMK[[#This Row],[Summ Cont Winter A]:[Cable Derating]])),"")</f>
        <v>11.43153532995459</v>
      </c>
      <c r="BG57" s="9">
        <f>IFERROR(TMK[[#This Row],[Lowest MVA]]*1000/(TMK[[#This Row],[Voltage]]*SQRT(3)),"")</f>
        <v>600</v>
      </c>
      <c r="BH57" s="9">
        <f t="shared" si="5"/>
        <v>600</v>
      </c>
      <c r="BI57" s="9" t="str">
        <f>TMK[[#This Row],[From]]</f>
        <v>12 kV Bus</v>
      </c>
      <c r="BJ57" s="9" t="str">
        <f>TMK[[#This Row],[To]]</f>
        <v>T201</v>
      </c>
      <c r="BK5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ABS-T200</v>
      </c>
      <c r="BL57" s="9">
        <f>TMK[[#This Row],[Voltage]]</f>
        <v>11</v>
      </c>
    </row>
    <row r="58" spans="1:64" s="1" customFormat="1" x14ac:dyDescent="0.25">
      <c r="A58" s="6" t="str">
        <f>CONCATENATE(TMK[[#This Row],[Supply Level]],TMK[[#This Row],[Station/Feeder]],TMK[[#This Row],[Voltage]])</f>
        <v>DistributionFeederCB1_Temuka West11</v>
      </c>
      <c r="B58" s="6" t="str">
        <f>CONCATENATE(TMK[[#This Row],[Supply Level]],TMK[[#This Row],[Station/Feeder]],TMK[[#This Row],[Equipment ID]],TMK[[#This Row],[Voltage]],TMK[[#This Row],[Device type]])</f>
        <v>DistributionFeederCB1_Temuka WestCHAFER11-</v>
      </c>
      <c r="C58" s="6" t="s">
        <v>1276</v>
      </c>
      <c r="D58" s="11" t="s">
        <v>97</v>
      </c>
      <c r="E58" s="7" t="s">
        <v>503</v>
      </c>
      <c r="F58" s="7" t="s">
        <v>504</v>
      </c>
      <c r="G58" s="56">
        <v>5</v>
      </c>
      <c r="H58" s="46" t="s">
        <v>1289</v>
      </c>
      <c r="I58" s="123" t="s">
        <v>505</v>
      </c>
      <c r="J58" s="123" t="s">
        <v>69</v>
      </c>
      <c r="K58" s="46" t="s">
        <v>0</v>
      </c>
      <c r="L58" s="46" t="s">
        <v>0</v>
      </c>
      <c r="M58" s="43">
        <v>11</v>
      </c>
      <c r="N58" s="9">
        <v>524.32641073638399</v>
      </c>
      <c r="O58" s="9">
        <f t="shared" si="0"/>
        <v>9.9897598146020918</v>
      </c>
      <c r="P58" s="9" t="s">
        <v>0</v>
      </c>
      <c r="Q58" s="9" t="str">
        <f t="shared" si="1"/>
        <v>-</v>
      </c>
      <c r="R58" s="9">
        <v>388.10484430946377</v>
      </c>
      <c r="S58" s="9">
        <f t="shared" si="2"/>
        <v>7.3943903990836004</v>
      </c>
      <c r="T58" s="9" t="s">
        <v>0</v>
      </c>
      <c r="U58" s="9" t="str">
        <f t="shared" si="3"/>
        <v>-</v>
      </c>
      <c r="V58" s="9" t="s">
        <v>0</v>
      </c>
      <c r="W58" s="9" t="str">
        <f t="shared" si="4"/>
        <v>-</v>
      </c>
      <c r="X58" s="9" t="s">
        <v>0</v>
      </c>
      <c r="Y58" s="9" t="str">
        <f t="shared" si="6"/>
        <v>-</v>
      </c>
      <c r="Z58" s="9" t="s">
        <v>0</v>
      </c>
      <c r="AA58" s="9" t="str">
        <f t="shared" si="7"/>
        <v>-</v>
      </c>
      <c r="AB58" s="9" t="s">
        <v>0</v>
      </c>
      <c r="AC58" s="9" t="str">
        <f t="shared" si="8"/>
        <v>-</v>
      </c>
      <c r="AD58" s="9" t="s">
        <v>0</v>
      </c>
      <c r="AE58" s="12" t="str">
        <f t="shared" si="9"/>
        <v>-</v>
      </c>
      <c r="AF58" s="9" t="s">
        <v>0</v>
      </c>
      <c r="AG58" s="9" t="s">
        <v>0</v>
      </c>
      <c r="AH58" s="9">
        <v>3.4</v>
      </c>
      <c r="AI58" s="9" t="s">
        <v>0</v>
      </c>
      <c r="AJ58" s="32" t="s">
        <v>0</v>
      </c>
      <c r="AK58" s="29" t="s">
        <v>0</v>
      </c>
      <c r="AL58" s="32" t="s">
        <v>0</v>
      </c>
      <c r="AM58" s="29" t="s">
        <v>0</v>
      </c>
      <c r="AN58" s="32" t="s">
        <v>0</v>
      </c>
      <c r="AO58" s="29" t="s">
        <v>0</v>
      </c>
      <c r="AP58" s="32" t="s">
        <v>0</v>
      </c>
      <c r="AQ58" s="32" t="s">
        <v>0</v>
      </c>
      <c r="AR58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58" s="9" t="str">
        <f t="shared" si="10"/>
        <v>-</v>
      </c>
      <c r="AT58" s="9">
        <f>IF(RIGHT(TMK[[#This Row],[Device type]],7)="Winding","-",TMK[[#This Row],[Cont Winter MVA]])</f>
        <v>9.9897598146020918</v>
      </c>
      <c r="AU58" s="9" t="str">
        <f>IF(RIGHT(TMK[[#This Row],[Device type]],7)="Winding","-",TMK[[#This Row],[Cont Shoulder MVA]])</f>
        <v>-</v>
      </c>
      <c r="AV58" s="9">
        <f>IF(RIGHT(TMK[[#This Row],[Device type]],7)="Winding","-",TMK[[#This Row],[Cont Summer MVA]])</f>
        <v>7.3943903990836004</v>
      </c>
      <c r="AW58" s="9" t="str">
        <f>IF(RIGHT(TMK[[#This Row],[Device type]],7)="Winding","-",TMK[[#This Row],[24 Hr Winter MVA]])</f>
        <v>-</v>
      </c>
      <c r="AX58" s="9" t="str">
        <f>IF(RIGHT(TMK[[#This Row],[Device type]],7)="Winding","-",TMK[[#This Row],[24 Hr Summer MVA]])</f>
        <v>-</v>
      </c>
      <c r="AY58" s="9" t="str">
        <f>TMK[[#This Row],[Forwards MVA]]</f>
        <v>-</v>
      </c>
      <c r="AZ58" s="9" t="str">
        <f>TMK[[#This Row],[Relay MVA]]</f>
        <v>-</v>
      </c>
      <c r="BA58" s="9" t="str">
        <f>TMK[[#This Row],[CT MVA]]</f>
        <v>-</v>
      </c>
      <c r="BB58" s="9" t="str">
        <f>TMK[[#This Row],[Derating MVA]]</f>
        <v>-</v>
      </c>
      <c r="BC58" s="9" t="str">
        <f>TMK[[#This Row],[Station/Feeder]]&amp;TMK[[#This Row],[Lowest MVA]]</f>
        <v>CB1_Temuka West7.3943903990836</v>
      </c>
      <c r="BD58" s="9" t="str">
        <f>CONCATENATE(TMK[[#This Row],[Supply Level]],TMK[[#This Row],[Station/Feeder]],TMK[[#This Row],[Voltage]],TMK[[#This Row],[Lowest A-No PTX]])</f>
        <v>DistributionFeederCB1_Temuka West11388.104844309464</v>
      </c>
      <c r="BE58" s="9" t="str">
        <f>CONCATENATE(TMK[[#This Row],[Supply Level]],TMK[[#This Row],[Station/Feeder]],TMK[[#This Row],[Voltage]],TMK[[#This Row],[Lowest A-PTX]])</f>
        <v>DistributionFeederCB1_Temuka West11388.104844309464</v>
      </c>
      <c r="BF58" s="9">
        <f>IFERROR(IF(MIN(TMK[[#This Row],[Summ Cont Winter A]:[Cable Derating]])=0,"",MIN(TMK[[#This Row],[Summ Cont Winter A]:[Cable Derating]])),"")</f>
        <v>7.3943903990836004</v>
      </c>
      <c r="BG58" s="9">
        <f>IFERROR(TMK[[#This Row],[Lowest MVA]]*1000/(TMK[[#This Row],[Voltage]]*SQRT(3)),"")</f>
        <v>388.10484430946377</v>
      </c>
      <c r="BH58" s="9">
        <f t="shared" si="5"/>
        <v>388.10484430946377</v>
      </c>
      <c r="BI58" s="9" t="str">
        <f>TMK[[#This Row],[From]]</f>
        <v>T200</v>
      </c>
      <c r="BJ58" s="9" t="str">
        <f>TMK[[#This Row],[To]]</f>
        <v>T201</v>
      </c>
      <c r="BK5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Line-CHAFER</v>
      </c>
      <c r="BL58" s="9">
        <f>TMK[[#This Row],[Voltage]]</f>
        <v>11</v>
      </c>
    </row>
    <row r="59" spans="1:64" s="1" customFormat="1" x14ac:dyDescent="0.25">
      <c r="A59" s="6" t="str">
        <f>CONCATENATE(TMK[[#This Row],[Supply Level]],TMK[[#This Row],[Station/Feeder]],TMK[[#This Row],[Voltage]])</f>
        <v>DistributionFeederCB1_Temuka West11</v>
      </c>
      <c r="B59" s="6" t="str">
        <f>CONCATENATE(TMK[[#This Row],[Supply Level]],TMK[[#This Row],[Station/Feeder]],TMK[[#This Row],[Equipment ID]],TMK[[#This Row],[Voltage]],TMK[[#This Row],[Device type]])</f>
        <v>DistributionFeederCB1_Temuka WestT20111-</v>
      </c>
      <c r="C59" s="6" t="s">
        <v>1276</v>
      </c>
      <c r="D59" s="11" t="s">
        <v>97</v>
      </c>
      <c r="E59" s="7" t="s">
        <v>503</v>
      </c>
      <c r="F59" s="7" t="s">
        <v>504</v>
      </c>
      <c r="G59" s="56">
        <v>6</v>
      </c>
      <c r="H59" s="46" t="s">
        <v>273</v>
      </c>
      <c r="I59" s="123" t="s">
        <v>504</v>
      </c>
      <c r="J59" s="123" t="s">
        <v>240</v>
      </c>
      <c r="K59" s="46" t="s">
        <v>0</v>
      </c>
      <c r="L59" s="46" t="s">
        <v>0</v>
      </c>
      <c r="M59" s="43">
        <v>11</v>
      </c>
      <c r="N59" s="9">
        <v>600</v>
      </c>
      <c r="O59" s="9">
        <f t="shared" si="0"/>
        <v>11.43153532995459</v>
      </c>
      <c r="P59" s="9">
        <v>600</v>
      </c>
      <c r="Q59" s="9">
        <f t="shared" si="1"/>
        <v>11.43153532995459</v>
      </c>
      <c r="R59" s="9">
        <v>600</v>
      </c>
      <c r="S59" s="9">
        <f t="shared" si="2"/>
        <v>11.43153532995459</v>
      </c>
      <c r="T59" s="9" t="s">
        <v>0</v>
      </c>
      <c r="U59" s="9" t="str">
        <f t="shared" si="3"/>
        <v>-</v>
      </c>
      <c r="V59" s="9" t="s">
        <v>0</v>
      </c>
      <c r="W59" s="9" t="str">
        <f t="shared" si="4"/>
        <v>-</v>
      </c>
      <c r="X59" s="9" t="s">
        <v>0</v>
      </c>
      <c r="Y59" s="9" t="str">
        <f t="shared" si="6"/>
        <v>-</v>
      </c>
      <c r="Z59" s="9" t="s">
        <v>0</v>
      </c>
      <c r="AA59" s="9" t="str">
        <f t="shared" si="7"/>
        <v>-</v>
      </c>
      <c r="AB59" s="9" t="s">
        <v>0</v>
      </c>
      <c r="AC59" s="9" t="str">
        <f t="shared" si="8"/>
        <v>-</v>
      </c>
      <c r="AD59" s="9" t="s">
        <v>0</v>
      </c>
      <c r="AE59" s="12" t="str">
        <f t="shared" si="9"/>
        <v>-</v>
      </c>
      <c r="AF59" s="9" t="s">
        <v>0</v>
      </c>
      <c r="AG59" s="9" t="s">
        <v>0</v>
      </c>
      <c r="AH59" s="9" t="s">
        <v>0</v>
      </c>
      <c r="AI59" s="9" t="s">
        <v>0</v>
      </c>
      <c r="AJ59" s="32" t="s">
        <v>0</v>
      </c>
      <c r="AK59" s="29" t="s">
        <v>0</v>
      </c>
      <c r="AL59" s="32" t="s">
        <v>0</v>
      </c>
      <c r="AM59" s="29" t="s">
        <v>0</v>
      </c>
      <c r="AN59" s="32" t="s">
        <v>0</v>
      </c>
      <c r="AO59" s="29" t="s">
        <v>0</v>
      </c>
      <c r="AP59" s="32" t="s">
        <v>0</v>
      </c>
      <c r="AQ59" s="32" t="s">
        <v>0</v>
      </c>
      <c r="AR5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59" s="9" t="str">
        <f t="shared" si="10"/>
        <v>-</v>
      </c>
      <c r="AT59" s="9">
        <f>IF(RIGHT(TMK[[#This Row],[Device type]],7)="Winding","-",TMK[[#This Row],[Cont Winter MVA]])</f>
        <v>11.43153532995459</v>
      </c>
      <c r="AU59" s="9">
        <f>IF(RIGHT(TMK[[#This Row],[Device type]],7)="Winding","-",TMK[[#This Row],[Cont Shoulder MVA]])</f>
        <v>11.43153532995459</v>
      </c>
      <c r="AV59" s="9">
        <f>IF(RIGHT(TMK[[#This Row],[Device type]],7)="Winding","-",TMK[[#This Row],[Cont Summer MVA]])</f>
        <v>11.43153532995459</v>
      </c>
      <c r="AW59" s="9" t="str">
        <f>IF(RIGHT(TMK[[#This Row],[Device type]],7)="Winding","-",TMK[[#This Row],[24 Hr Winter MVA]])</f>
        <v>-</v>
      </c>
      <c r="AX59" s="9" t="str">
        <f>IF(RIGHT(TMK[[#This Row],[Device type]],7)="Winding","-",TMK[[#This Row],[24 Hr Summer MVA]])</f>
        <v>-</v>
      </c>
      <c r="AY59" s="9" t="str">
        <f>TMK[[#This Row],[Forwards MVA]]</f>
        <v>-</v>
      </c>
      <c r="AZ59" s="9" t="str">
        <f>TMK[[#This Row],[Relay MVA]]</f>
        <v>-</v>
      </c>
      <c r="BA59" s="9" t="str">
        <f>TMK[[#This Row],[CT MVA]]</f>
        <v>-</v>
      </c>
      <c r="BB59" s="9" t="str">
        <f>TMK[[#This Row],[Derating MVA]]</f>
        <v>-</v>
      </c>
      <c r="BC59" s="9" t="str">
        <f>TMK[[#This Row],[Station/Feeder]]&amp;TMK[[#This Row],[Lowest MVA]]</f>
        <v>CB1_Temuka West11.4315353299546</v>
      </c>
      <c r="BD59" s="9" t="str">
        <f>CONCATENATE(TMK[[#This Row],[Supply Level]],TMK[[#This Row],[Station/Feeder]],TMK[[#This Row],[Voltage]],TMK[[#This Row],[Lowest A-No PTX]])</f>
        <v>DistributionFeederCB1_Temuka West11600</v>
      </c>
      <c r="BE59" s="9" t="str">
        <f>CONCATENATE(TMK[[#This Row],[Supply Level]],TMK[[#This Row],[Station/Feeder]],TMK[[#This Row],[Voltage]],TMK[[#This Row],[Lowest A-PTX]])</f>
        <v>DistributionFeederCB1_Temuka West11600</v>
      </c>
      <c r="BF59" s="9">
        <f>IFERROR(IF(MIN(TMK[[#This Row],[Summ Cont Winter A]:[Cable Derating]])=0,"",MIN(TMK[[#This Row],[Summ Cont Winter A]:[Cable Derating]])),"")</f>
        <v>11.43153532995459</v>
      </c>
      <c r="BG59" s="9">
        <f>IFERROR(TMK[[#This Row],[Lowest MVA]]*1000/(TMK[[#This Row],[Voltage]]*SQRT(3)),"")</f>
        <v>600</v>
      </c>
      <c r="BH59" s="9">
        <f t="shared" si="5"/>
        <v>600</v>
      </c>
      <c r="BI59" s="9" t="str">
        <f>TMK[[#This Row],[From]]</f>
        <v>T200</v>
      </c>
      <c r="BJ59" s="9" t="str">
        <f>TMK[[#This Row],[To]]</f>
        <v>T201</v>
      </c>
      <c r="BK5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ABS-T201</v>
      </c>
      <c r="BL59" s="9">
        <f>TMK[[#This Row],[Voltage]]</f>
        <v>11</v>
      </c>
    </row>
    <row r="60" spans="1:64" s="1" customFormat="1" x14ac:dyDescent="0.25">
      <c r="A60" s="6" t="str">
        <f>CONCATENATE(TMK[[#This Row],[Supply Level]],TMK[[#This Row],[Station/Feeder]],TMK[[#This Row],[Voltage]])</f>
        <v>DistributionFeederCB1_Temuka West11</v>
      </c>
      <c r="B60" s="6" t="str">
        <f>CONCATENATE(TMK[[#This Row],[Supply Level]],TMK[[#This Row],[Station/Feeder]],TMK[[#This Row],[Equipment ID]],TMK[[#This Row],[Voltage]],TMK[[#This Row],[Device type]])</f>
        <v>DistributionFeederCB1_Temuka WestCHAFER11-</v>
      </c>
      <c r="C60" s="6" t="s">
        <v>1276</v>
      </c>
      <c r="D60" s="11" t="s">
        <v>97</v>
      </c>
      <c r="E60" s="7" t="s">
        <v>504</v>
      </c>
      <c r="F60" s="7" t="s">
        <v>506</v>
      </c>
      <c r="G60" s="56">
        <v>7</v>
      </c>
      <c r="H60" s="46" t="s">
        <v>1289</v>
      </c>
      <c r="I60" s="123" t="s">
        <v>505</v>
      </c>
      <c r="J60" s="123" t="s">
        <v>69</v>
      </c>
      <c r="K60" s="46" t="s">
        <v>0</v>
      </c>
      <c r="L60" s="46" t="s">
        <v>0</v>
      </c>
      <c r="M60" s="43">
        <v>11</v>
      </c>
      <c r="N60" s="9">
        <v>524.32641073638399</v>
      </c>
      <c r="O60" s="9">
        <f t="shared" si="0"/>
        <v>9.9897598146020918</v>
      </c>
      <c r="P60" s="9" t="s">
        <v>0</v>
      </c>
      <c r="Q60" s="9" t="str">
        <f t="shared" si="1"/>
        <v>-</v>
      </c>
      <c r="R60" s="9">
        <v>388.10484430946377</v>
      </c>
      <c r="S60" s="9">
        <f t="shared" si="2"/>
        <v>7.3943903990836004</v>
      </c>
      <c r="T60" s="9" t="s">
        <v>0</v>
      </c>
      <c r="U60" s="9" t="str">
        <f t="shared" si="3"/>
        <v>-</v>
      </c>
      <c r="V60" s="9" t="s">
        <v>0</v>
      </c>
      <c r="W60" s="9" t="str">
        <f t="shared" si="4"/>
        <v>-</v>
      </c>
      <c r="X60" s="9" t="s">
        <v>0</v>
      </c>
      <c r="Y60" s="9" t="str">
        <f t="shared" ref="Y60" si="38">IF(OR(X60="",X60="-"),"-",X60*$M60*SQRT(3)/1000)</f>
        <v>-</v>
      </c>
      <c r="Z60" s="9" t="s">
        <v>0</v>
      </c>
      <c r="AA60" s="9" t="str">
        <f t="shared" ref="AA60" si="39">IF(OR(Z60="",Z60="-"),"-",Z60*$M60*SQRT(3)/1000)</f>
        <v>-</v>
      </c>
      <c r="AB60" s="9" t="s">
        <v>0</v>
      </c>
      <c r="AC60" s="9" t="str">
        <f t="shared" ref="AC60" si="40">IF(OR(AB60="",AB60="-"),"-",AB60*$M60*SQRT(3)/1000)</f>
        <v>-</v>
      </c>
      <c r="AD60" s="9" t="s">
        <v>0</v>
      </c>
      <c r="AE60" s="12" t="str">
        <f t="shared" ref="AE60" si="41">IF(OR(AD60="",AD60="-"),"-",AD60*$M60*SQRT(3)/1000)</f>
        <v>-</v>
      </c>
      <c r="AF60" s="9" t="s">
        <v>0</v>
      </c>
      <c r="AG60" s="9" t="s">
        <v>0</v>
      </c>
      <c r="AH60" s="9">
        <v>1695.8999999999999</v>
      </c>
      <c r="AI60" s="9" t="s">
        <v>0</v>
      </c>
      <c r="AJ60" s="32" t="s">
        <v>0</v>
      </c>
      <c r="AK60" s="29" t="s">
        <v>0</v>
      </c>
      <c r="AL60" s="32" t="s">
        <v>0</v>
      </c>
      <c r="AM60" s="29" t="s">
        <v>0</v>
      </c>
      <c r="AN60" s="32" t="s">
        <v>0</v>
      </c>
      <c r="AO60" s="29" t="s">
        <v>0</v>
      </c>
      <c r="AP60" s="32" t="s">
        <v>0</v>
      </c>
      <c r="AQ60" s="32" t="s">
        <v>0</v>
      </c>
      <c r="AR60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60" s="9" t="str">
        <f t="shared" ref="AS60" si="42">IF(OR(AR60="",AR60="-"),"-",AR60*$M60*SQRT(3)/1000)</f>
        <v>-</v>
      </c>
      <c r="AT60" s="9">
        <f>IF(RIGHT(TMK[[#This Row],[Device type]],7)="Winding","-",TMK[[#This Row],[Cont Winter MVA]])</f>
        <v>9.9897598146020918</v>
      </c>
      <c r="AU60" s="9" t="str">
        <f>IF(RIGHT(TMK[[#This Row],[Device type]],7)="Winding","-",TMK[[#This Row],[Cont Shoulder MVA]])</f>
        <v>-</v>
      </c>
      <c r="AV60" s="9">
        <f>IF(RIGHT(TMK[[#This Row],[Device type]],7)="Winding","-",TMK[[#This Row],[Cont Summer MVA]])</f>
        <v>7.3943903990836004</v>
      </c>
      <c r="AW60" s="9" t="str">
        <f>IF(RIGHT(TMK[[#This Row],[Device type]],7)="Winding","-",TMK[[#This Row],[24 Hr Winter MVA]])</f>
        <v>-</v>
      </c>
      <c r="AX60" s="9" t="str">
        <f>IF(RIGHT(TMK[[#This Row],[Device type]],7)="Winding","-",TMK[[#This Row],[24 Hr Summer MVA]])</f>
        <v>-</v>
      </c>
      <c r="AY60" s="9" t="str">
        <f>TMK[[#This Row],[Forwards MVA]]</f>
        <v>-</v>
      </c>
      <c r="AZ60" s="9" t="str">
        <f>TMK[[#This Row],[Relay MVA]]</f>
        <v>-</v>
      </c>
      <c r="BA60" s="9" t="str">
        <f>TMK[[#This Row],[CT MVA]]</f>
        <v>-</v>
      </c>
      <c r="BB60" s="9" t="str">
        <f>TMK[[#This Row],[Derating MVA]]</f>
        <v>-</v>
      </c>
      <c r="BC60" s="9" t="str">
        <f>TMK[[#This Row],[Station/Feeder]]&amp;TMK[[#This Row],[Lowest MVA]]</f>
        <v>CB1_Temuka West7.3943903990836</v>
      </c>
      <c r="BD60" s="9" t="str">
        <f>CONCATENATE(TMK[[#This Row],[Supply Level]],TMK[[#This Row],[Station/Feeder]],TMK[[#This Row],[Voltage]],TMK[[#This Row],[Lowest A-No PTX]])</f>
        <v>DistributionFeederCB1_Temuka West11388.104844309464</v>
      </c>
      <c r="BE60" s="9" t="str">
        <f>CONCATENATE(TMK[[#This Row],[Supply Level]],TMK[[#This Row],[Station/Feeder]],TMK[[#This Row],[Voltage]],TMK[[#This Row],[Lowest A-PTX]])</f>
        <v>DistributionFeederCB1_Temuka West11388.104844309464</v>
      </c>
      <c r="BF60" s="9">
        <f>IFERROR(IF(MIN(TMK[[#This Row],[Summ Cont Winter A]:[Cable Derating]])=0,"",MIN(TMK[[#This Row],[Summ Cont Winter A]:[Cable Derating]])),"")</f>
        <v>7.3943903990836004</v>
      </c>
      <c r="BG60" s="9">
        <f>IFERROR(TMK[[#This Row],[Lowest MVA]]*1000/(TMK[[#This Row],[Voltage]]*SQRT(3)),"")</f>
        <v>388.10484430946377</v>
      </c>
      <c r="BH60" s="9">
        <f t="shared" si="5"/>
        <v>388.10484430946377</v>
      </c>
      <c r="BI60" s="9" t="str">
        <f>TMK[[#This Row],[From]]</f>
        <v>T201</v>
      </c>
      <c r="BJ60" s="9" t="str">
        <f>TMK[[#This Row],[To]]</f>
        <v>T208</v>
      </c>
      <c r="BK6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Line-CHAFER</v>
      </c>
      <c r="BL60" s="9">
        <f>TMK[[#This Row],[Voltage]]</f>
        <v>11</v>
      </c>
    </row>
    <row r="61" spans="1:64" s="1" customFormat="1" x14ac:dyDescent="0.25">
      <c r="A61" s="6" t="str">
        <f>CONCATENATE(TMK[[#This Row],[Supply Level]],TMK[[#This Row],[Station/Feeder]],TMK[[#This Row],[Voltage]])</f>
        <v>DistributionFeederCB1_Temuka West11</v>
      </c>
      <c r="B61" s="6" t="str">
        <f>CONCATENATE(TMK[[#This Row],[Supply Level]],TMK[[#This Row],[Station/Feeder]],TMK[[#This Row],[Equipment ID]],TMK[[#This Row],[Voltage]],TMK[[#This Row],[Device type]])</f>
        <v>DistributionFeederCB1_Temuka WestT20811-</v>
      </c>
      <c r="C61" s="6" t="s">
        <v>1276</v>
      </c>
      <c r="D61" s="11" t="s">
        <v>97</v>
      </c>
      <c r="E61" s="7" t="s">
        <v>504</v>
      </c>
      <c r="F61" s="7" t="s">
        <v>506</v>
      </c>
      <c r="G61" s="56">
        <v>8</v>
      </c>
      <c r="H61" s="46" t="s">
        <v>273</v>
      </c>
      <c r="I61" s="123" t="s">
        <v>506</v>
      </c>
      <c r="J61" s="123" t="s">
        <v>240</v>
      </c>
      <c r="K61" s="46" t="s">
        <v>0</v>
      </c>
      <c r="L61" s="46" t="s">
        <v>0</v>
      </c>
      <c r="M61" s="43">
        <v>11</v>
      </c>
      <c r="N61" s="9">
        <v>400</v>
      </c>
      <c r="O61" s="9">
        <f t="shared" si="0"/>
        <v>7.6210235533030604</v>
      </c>
      <c r="P61" s="9">
        <v>400</v>
      </c>
      <c r="Q61" s="9">
        <f t="shared" si="1"/>
        <v>7.6210235533030604</v>
      </c>
      <c r="R61" s="9">
        <v>400</v>
      </c>
      <c r="S61" s="9">
        <f t="shared" si="2"/>
        <v>7.6210235533030604</v>
      </c>
      <c r="T61" s="9" t="s">
        <v>0</v>
      </c>
      <c r="U61" s="9" t="str">
        <f t="shared" si="3"/>
        <v>-</v>
      </c>
      <c r="V61" s="9" t="s">
        <v>0</v>
      </c>
      <c r="W61" s="9" t="str">
        <f t="shared" si="4"/>
        <v>-</v>
      </c>
      <c r="X61" s="9" t="s">
        <v>0</v>
      </c>
      <c r="Y61" s="9" t="str">
        <f t="shared" si="6"/>
        <v>-</v>
      </c>
      <c r="Z61" s="9" t="s">
        <v>0</v>
      </c>
      <c r="AA61" s="9" t="str">
        <f t="shared" si="7"/>
        <v>-</v>
      </c>
      <c r="AB61" s="9" t="s">
        <v>0</v>
      </c>
      <c r="AC61" s="9" t="str">
        <f t="shared" si="8"/>
        <v>-</v>
      </c>
      <c r="AD61" s="9" t="s">
        <v>0</v>
      </c>
      <c r="AE61" s="12" t="str">
        <f t="shared" si="9"/>
        <v>-</v>
      </c>
      <c r="AF61" s="9" t="s">
        <v>0</v>
      </c>
      <c r="AG61" s="9" t="s">
        <v>0</v>
      </c>
      <c r="AH61" s="9" t="s">
        <v>0</v>
      </c>
      <c r="AI61" s="9" t="s">
        <v>0</v>
      </c>
      <c r="AJ61" s="32" t="s">
        <v>0</v>
      </c>
      <c r="AK61" s="29" t="s">
        <v>0</v>
      </c>
      <c r="AL61" s="32" t="s">
        <v>0</v>
      </c>
      <c r="AM61" s="29" t="s">
        <v>0</v>
      </c>
      <c r="AN61" s="32" t="s">
        <v>0</v>
      </c>
      <c r="AO61" s="29" t="s">
        <v>0</v>
      </c>
      <c r="AP61" s="32" t="s">
        <v>0</v>
      </c>
      <c r="AQ61" s="32" t="s">
        <v>0</v>
      </c>
      <c r="AR61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61" s="9" t="str">
        <f t="shared" si="10"/>
        <v>-</v>
      </c>
      <c r="AT61" s="9">
        <f>IF(RIGHT(TMK[[#This Row],[Device type]],7)="Winding","-",TMK[[#This Row],[Cont Winter MVA]])</f>
        <v>7.6210235533030604</v>
      </c>
      <c r="AU61" s="9">
        <f>IF(RIGHT(TMK[[#This Row],[Device type]],7)="Winding","-",TMK[[#This Row],[Cont Shoulder MVA]])</f>
        <v>7.6210235533030604</v>
      </c>
      <c r="AV61" s="9">
        <f>IF(RIGHT(TMK[[#This Row],[Device type]],7)="Winding","-",TMK[[#This Row],[Cont Summer MVA]])</f>
        <v>7.6210235533030604</v>
      </c>
      <c r="AW61" s="9" t="str">
        <f>IF(RIGHT(TMK[[#This Row],[Device type]],7)="Winding","-",TMK[[#This Row],[24 Hr Winter MVA]])</f>
        <v>-</v>
      </c>
      <c r="AX61" s="9" t="str">
        <f>IF(RIGHT(TMK[[#This Row],[Device type]],7)="Winding","-",TMK[[#This Row],[24 Hr Summer MVA]])</f>
        <v>-</v>
      </c>
      <c r="AY61" s="9" t="str">
        <f>TMK[[#This Row],[Forwards MVA]]</f>
        <v>-</v>
      </c>
      <c r="AZ61" s="9" t="str">
        <f>TMK[[#This Row],[Relay MVA]]</f>
        <v>-</v>
      </c>
      <c r="BA61" s="9" t="str">
        <f>TMK[[#This Row],[CT MVA]]</f>
        <v>-</v>
      </c>
      <c r="BB61" s="9" t="str">
        <f>TMK[[#This Row],[Derating MVA]]</f>
        <v>-</v>
      </c>
      <c r="BC61" s="9" t="str">
        <f>TMK[[#This Row],[Station/Feeder]]&amp;TMK[[#This Row],[Lowest MVA]]</f>
        <v>CB1_Temuka West7.62102355330306</v>
      </c>
      <c r="BD61" s="9" t="str">
        <f>CONCATENATE(TMK[[#This Row],[Supply Level]],TMK[[#This Row],[Station/Feeder]],TMK[[#This Row],[Voltage]],TMK[[#This Row],[Lowest A-No PTX]])</f>
        <v>DistributionFeederCB1_Temuka West11400</v>
      </c>
      <c r="BE61" s="9" t="str">
        <f>CONCATENATE(TMK[[#This Row],[Supply Level]],TMK[[#This Row],[Station/Feeder]],TMK[[#This Row],[Voltage]],TMK[[#This Row],[Lowest A-PTX]])</f>
        <v>DistributionFeederCB1_Temuka West11400</v>
      </c>
      <c r="BF61" s="9">
        <f>IFERROR(IF(MIN(TMK[[#This Row],[Summ Cont Winter A]:[Cable Derating]])=0,"",MIN(TMK[[#This Row],[Summ Cont Winter A]:[Cable Derating]])),"")</f>
        <v>7.6210235533030604</v>
      </c>
      <c r="BG61" s="9">
        <f>IFERROR(TMK[[#This Row],[Lowest MVA]]*1000/(TMK[[#This Row],[Voltage]]*SQRT(3)),"")</f>
        <v>400</v>
      </c>
      <c r="BH61" s="9">
        <f t="shared" si="5"/>
        <v>400</v>
      </c>
      <c r="BI61" s="9" t="str">
        <f>TMK[[#This Row],[From]]</f>
        <v>T201</v>
      </c>
      <c r="BJ61" s="9" t="str">
        <f>TMK[[#This Row],[To]]</f>
        <v>T208</v>
      </c>
      <c r="BK6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ABS-T208</v>
      </c>
      <c r="BL61" s="9">
        <f>TMK[[#This Row],[Voltage]]</f>
        <v>11</v>
      </c>
    </row>
    <row r="62" spans="1:64" s="1" customFormat="1" x14ac:dyDescent="0.25">
      <c r="A62" s="6" t="str">
        <f>CONCATENATE(TMK[[#This Row],[Supply Level]],TMK[[#This Row],[Station/Feeder]],TMK[[#This Row],[Voltage]])</f>
        <v>DistributionFeederCB1_Temuka West11</v>
      </c>
      <c r="B62" s="6" t="str">
        <f>CONCATENATE(TMK[[#This Row],[Supply Level]],TMK[[#This Row],[Station/Feeder]],TMK[[#This Row],[Equipment ID]],TMK[[#This Row],[Voltage]],TMK[[#This Row],[Device type]])</f>
        <v>DistributionFeederCB1_Temuka WestCHAFER11-</v>
      </c>
      <c r="C62" s="6" t="s">
        <v>1276</v>
      </c>
      <c r="D62" s="11" t="s">
        <v>97</v>
      </c>
      <c r="E62" s="7" t="s">
        <v>243</v>
      </c>
      <c r="F62" s="7" t="s">
        <v>501</v>
      </c>
      <c r="G62" s="56">
        <v>9</v>
      </c>
      <c r="H62" s="46" t="s">
        <v>1289</v>
      </c>
      <c r="I62" s="123" t="s">
        <v>505</v>
      </c>
      <c r="J62" s="123" t="s">
        <v>69</v>
      </c>
      <c r="K62" s="46" t="s">
        <v>0</v>
      </c>
      <c r="L62" s="46" t="s">
        <v>0</v>
      </c>
      <c r="M62" s="43">
        <v>11</v>
      </c>
      <c r="N62" s="9">
        <v>524.32641073638399</v>
      </c>
      <c r="O62" s="9">
        <f t="shared" si="0"/>
        <v>9.9897598146020918</v>
      </c>
      <c r="P62" s="9" t="s">
        <v>0</v>
      </c>
      <c r="Q62" s="9" t="str">
        <f t="shared" si="1"/>
        <v>-</v>
      </c>
      <c r="R62" s="9">
        <v>388.10484430946377</v>
      </c>
      <c r="S62" s="9">
        <f t="shared" si="2"/>
        <v>7.3943903990836004</v>
      </c>
      <c r="T62" s="9" t="s">
        <v>0</v>
      </c>
      <c r="U62" s="9" t="str">
        <f t="shared" si="3"/>
        <v>-</v>
      </c>
      <c r="V62" s="9" t="s">
        <v>0</v>
      </c>
      <c r="W62" s="9" t="str">
        <f t="shared" si="4"/>
        <v>-</v>
      </c>
      <c r="X62" s="9" t="s">
        <v>0</v>
      </c>
      <c r="Y62" s="9" t="str">
        <f t="shared" si="6"/>
        <v>-</v>
      </c>
      <c r="Z62" s="9" t="s">
        <v>0</v>
      </c>
      <c r="AA62" s="9" t="str">
        <f t="shared" si="7"/>
        <v>-</v>
      </c>
      <c r="AB62" s="9" t="s">
        <v>0</v>
      </c>
      <c r="AC62" s="9" t="str">
        <f t="shared" si="8"/>
        <v>-</v>
      </c>
      <c r="AD62" s="9" t="s">
        <v>0</v>
      </c>
      <c r="AE62" s="12" t="str">
        <f t="shared" si="9"/>
        <v>-</v>
      </c>
      <c r="AF62" s="9" t="s">
        <v>0</v>
      </c>
      <c r="AG62" s="9" t="s">
        <v>0</v>
      </c>
      <c r="AH62" s="9">
        <v>604.29999999999995</v>
      </c>
      <c r="AI62" s="9" t="s">
        <v>0</v>
      </c>
      <c r="AJ62" s="32" t="s">
        <v>0</v>
      </c>
      <c r="AK62" s="29" t="s">
        <v>0</v>
      </c>
      <c r="AL62" s="32" t="s">
        <v>0</v>
      </c>
      <c r="AM62" s="29" t="s">
        <v>0</v>
      </c>
      <c r="AN62" s="32" t="s">
        <v>0</v>
      </c>
      <c r="AO62" s="29" t="s">
        <v>0</v>
      </c>
      <c r="AP62" s="32" t="s">
        <v>0</v>
      </c>
      <c r="AQ62" s="32" t="s">
        <v>0</v>
      </c>
      <c r="AR62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62" s="9" t="str">
        <f t="shared" si="10"/>
        <v>-</v>
      </c>
      <c r="AT62" s="9">
        <f>IF(RIGHT(TMK[[#This Row],[Device type]],7)="Winding","-",TMK[[#This Row],[Cont Winter MVA]])</f>
        <v>9.9897598146020918</v>
      </c>
      <c r="AU62" s="9" t="str">
        <f>IF(RIGHT(TMK[[#This Row],[Device type]],7)="Winding","-",TMK[[#This Row],[Cont Shoulder MVA]])</f>
        <v>-</v>
      </c>
      <c r="AV62" s="9">
        <f>IF(RIGHT(TMK[[#This Row],[Device type]],7)="Winding","-",TMK[[#This Row],[Cont Summer MVA]])</f>
        <v>7.3943903990836004</v>
      </c>
      <c r="AW62" s="9" t="str">
        <f>IF(RIGHT(TMK[[#This Row],[Device type]],7)="Winding","-",TMK[[#This Row],[24 Hr Winter MVA]])</f>
        <v>-</v>
      </c>
      <c r="AX62" s="9" t="str">
        <f>IF(RIGHT(TMK[[#This Row],[Device type]],7)="Winding","-",TMK[[#This Row],[24 Hr Summer MVA]])</f>
        <v>-</v>
      </c>
      <c r="AY62" s="9" t="str">
        <f>TMK[[#This Row],[Forwards MVA]]</f>
        <v>-</v>
      </c>
      <c r="AZ62" s="9" t="str">
        <f>TMK[[#This Row],[Relay MVA]]</f>
        <v>-</v>
      </c>
      <c r="BA62" s="9" t="str">
        <f>TMK[[#This Row],[CT MVA]]</f>
        <v>-</v>
      </c>
      <c r="BB62" s="9" t="str">
        <f>TMK[[#This Row],[Derating MVA]]</f>
        <v>-</v>
      </c>
      <c r="BC62" s="9" t="str">
        <f>TMK[[#This Row],[Station/Feeder]]&amp;TMK[[#This Row],[Lowest MVA]]</f>
        <v>CB1_Temuka West7.3943903990836</v>
      </c>
      <c r="BD62" s="9" t="str">
        <f>CONCATENATE(TMK[[#This Row],[Supply Level]],TMK[[#This Row],[Station/Feeder]],TMK[[#This Row],[Voltage]],TMK[[#This Row],[Lowest A-No PTX]])</f>
        <v>DistributionFeederCB1_Temuka West11388.104844309464</v>
      </c>
      <c r="BE62" s="9" t="str">
        <f>CONCATENATE(TMK[[#This Row],[Supply Level]],TMK[[#This Row],[Station/Feeder]],TMK[[#This Row],[Voltage]],TMK[[#This Row],[Lowest A-PTX]])</f>
        <v>DistributionFeederCB1_Temuka West11388.104844309464</v>
      </c>
      <c r="BF62" s="9">
        <f>IFERROR(IF(MIN(TMK[[#This Row],[Summ Cont Winter A]:[Cable Derating]])=0,"",MIN(TMK[[#This Row],[Summ Cont Winter A]:[Cable Derating]])),"")</f>
        <v>7.3943903990836004</v>
      </c>
      <c r="BG62" s="9">
        <f>IFERROR(TMK[[#This Row],[Lowest MVA]]*1000/(TMK[[#This Row],[Voltage]]*SQRT(3)),"")</f>
        <v>388.10484430946377</v>
      </c>
      <c r="BH62" s="9">
        <f t="shared" si="5"/>
        <v>388.10484430946377</v>
      </c>
      <c r="BI62" s="9" t="str">
        <f>TMK[[#This Row],[From]]</f>
        <v>11 kV Bus</v>
      </c>
      <c r="BJ62" s="9" t="str">
        <f>TMK[[#This Row],[To]]</f>
        <v>Pole 27077</v>
      </c>
      <c r="BK6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Line-CHAFER</v>
      </c>
      <c r="BL62" s="9">
        <f>TMK[[#This Row],[Voltage]]</f>
        <v>11</v>
      </c>
    </row>
    <row r="63" spans="1:64" s="1" customFormat="1" x14ac:dyDescent="0.25">
      <c r="A63" s="6" t="str">
        <f>CONCATENATE(TMK[[#This Row],[Supply Level]],TMK[[#This Row],[Station/Feeder]],TMK[[#This Row],[Voltage]])</f>
        <v>DistributionFeederCB2_Milford11</v>
      </c>
      <c r="B63" s="6" t="str">
        <f>CONCATENATE(TMK[[#This Row],[Supply Level]],TMK[[#This Row],[Station/Feeder]],TMK[[#This Row],[Equipment ID]],TMK[[#This Row],[Voltage]],TMK[[#This Row],[Device type]])</f>
        <v>DistributionFeederCB2_MilfordTMK-CB211Protection</v>
      </c>
      <c r="C63" s="6" t="s">
        <v>1276</v>
      </c>
      <c r="D63" s="11" t="s">
        <v>109</v>
      </c>
      <c r="E63" s="7" t="s">
        <v>243</v>
      </c>
      <c r="F63" s="7" t="s">
        <v>508</v>
      </c>
      <c r="G63" s="56">
        <v>1</v>
      </c>
      <c r="H63" s="7" t="s">
        <v>343</v>
      </c>
      <c r="I63" s="123" t="s">
        <v>2320</v>
      </c>
      <c r="J63" s="123" t="s">
        <v>15</v>
      </c>
      <c r="K63" s="46" t="s">
        <v>1121</v>
      </c>
      <c r="L63" s="46" t="s">
        <v>1423</v>
      </c>
      <c r="M63" s="43">
        <v>11</v>
      </c>
      <c r="N63" s="9">
        <v>630</v>
      </c>
      <c r="O63" s="9">
        <f t="shared" si="0"/>
        <v>12.00311209645232</v>
      </c>
      <c r="P63" s="9">
        <v>630</v>
      </c>
      <c r="Q63" s="9">
        <f t="shared" si="1"/>
        <v>12.00311209645232</v>
      </c>
      <c r="R63" s="9">
        <v>630</v>
      </c>
      <c r="S63" s="9">
        <f t="shared" si="2"/>
        <v>12.00311209645232</v>
      </c>
      <c r="T63" s="9" t="s">
        <v>0</v>
      </c>
      <c r="U63" s="9" t="str">
        <f t="shared" si="3"/>
        <v>-</v>
      </c>
      <c r="V63" s="9" t="s">
        <v>0</v>
      </c>
      <c r="W63" s="9" t="str">
        <f t="shared" si="4"/>
        <v>-</v>
      </c>
      <c r="X63" s="9">
        <f>VLOOKUP(TMK[[#This Row],[Equipment ID]],AEL_Protection_Data[#All],12,0)</f>
        <v>402</v>
      </c>
      <c r="Y63" s="9">
        <f t="shared" ref="Y63:Y65" si="43">IF(OR(X63="",X63="-"),"-",X63*$M63*SQRT(3)/1000)</f>
        <v>7.659128671069575</v>
      </c>
      <c r="Z63" s="9">
        <v>402</v>
      </c>
      <c r="AA63" s="9">
        <f t="shared" ref="AA63:AA65" si="44">IF(OR(Z63="",Z63="-"),"-",Z63*$M63*SQRT(3)/1000)</f>
        <v>7.659128671069575</v>
      </c>
      <c r="AB63" s="9" t="s">
        <v>0</v>
      </c>
      <c r="AC63" s="9" t="str">
        <f t="shared" ref="AC63:AC65" si="45">IF(OR(AB63="",AB63="-"),"-",AB63*$M63*SQRT(3)/1000)</f>
        <v>-</v>
      </c>
      <c r="AD63" s="9">
        <v>600</v>
      </c>
      <c r="AE63" s="12">
        <f t="shared" ref="AE63:AE65" si="46">IF(OR(AD63="",AD63="-"),"-",AD63*$M63*SQRT(3)/1000)</f>
        <v>11.43153532995459</v>
      </c>
      <c r="AF63" s="9" t="s">
        <v>0</v>
      </c>
      <c r="AG63" s="9" t="s">
        <v>0</v>
      </c>
      <c r="AH63" s="9" t="s">
        <v>0</v>
      </c>
      <c r="AI63" s="9" t="s">
        <v>0</v>
      </c>
      <c r="AJ63" s="32" t="s">
        <v>0</v>
      </c>
      <c r="AK63" s="29" t="s">
        <v>0</v>
      </c>
      <c r="AL63" s="32" t="s">
        <v>0</v>
      </c>
      <c r="AM63" s="29" t="s">
        <v>0</v>
      </c>
      <c r="AN63" s="32" t="s">
        <v>0</v>
      </c>
      <c r="AO63" s="29" t="s">
        <v>0</v>
      </c>
      <c r="AP63" s="32" t="s">
        <v>0</v>
      </c>
      <c r="AQ63" s="32" t="s">
        <v>0</v>
      </c>
      <c r="AR6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63" s="9" t="str">
        <f t="shared" ref="AS63:AS65" si="47">IF(OR(AR63="",AR63="-"),"-",AR63*$M63*SQRT(3)/1000)</f>
        <v>-</v>
      </c>
      <c r="AT63" s="9">
        <f>IF(RIGHT(TMK[[#This Row],[Device type]],7)="Winding","-",TMK[[#This Row],[Cont Winter MVA]])</f>
        <v>12.00311209645232</v>
      </c>
      <c r="AU63" s="9">
        <f>IF(RIGHT(TMK[[#This Row],[Device type]],7)="Winding","-",TMK[[#This Row],[Cont Shoulder MVA]])</f>
        <v>12.00311209645232</v>
      </c>
      <c r="AV63" s="9">
        <f>IF(RIGHT(TMK[[#This Row],[Device type]],7)="Winding","-",TMK[[#This Row],[Cont Summer MVA]])</f>
        <v>12.00311209645232</v>
      </c>
      <c r="AW63" s="9" t="str">
        <f>IF(RIGHT(TMK[[#This Row],[Device type]],7)="Winding","-",TMK[[#This Row],[24 Hr Winter MVA]])</f>
        <v>-</v>
      </c>
      <c r="AX63" s="9" t="str">
        <f>IF(RIGHT(TMK[[#This Row],[Device type]],7)="Winding","-",TMK[[#This Row],[24 Hr Summer MVA]])</f>
        <v>-</v>
      </c>
      <c r="AY63" s="9">
        <f>TMK[[#This Row],[Forwards MVA]]</f>
        <v>7.659128671069575</v>
      </c>
      <c r="AZ63" s="9" t="str">
        <f>TMK[[#This Row],[Relay MVA]]</f>
        <v>-</v>
      </c>
      <c r="BA63" s="9">
        <f>TMK[[#This Row],[CT MVA]]</f>
        <v>11.43153532995459</v>
      </c>
      <c r="BB63" s="9" t="str">
        <f>TMK[[#This Row],[Derating MVA]]</f>
        <v>-</v>
      </c>
      <c r="BC63" s="9" t="str">
        <f>TMK[[#This Row],[Station/Feeder]]&amp;TMK[[#This Row],[Lowest MVA]]</f>
        <v>CB2_Milford7.65912867106957</v>
      </c>
      <c r="BD63" s="9" t="str">
        <f>CONCATENATE(TMK[[#This Row],[Supply Level]],TMK[[#This Row],[Station/Feeder]],TMK[[#This Row],[Voltage]],TMK[[#This Row],[Lowest A-No PTX]])</f>
        <v>DistributionFeederCB2_Milford11402</v>
      </c>
      <c r="BE63" s="9" t="str">
        <f>CONCATENATE(TMK[[#This Row],[Supply Level]],TMK[[#This Row],[Station/Feeder]],TMK[[#This Row],[Voltage]],TMK[[#This Row],[Lowest A-PTX]])</f>
        <v>DistributionFeederCB2_Milford11402</v>
      </c>
      <c r="BF63" s="9">
        <f>IFERROR(IF(MIN(TMK[[#This Row],[Summ Cont Winter A]:[Cable Derating]])=0,"",MIN(TMK[[#This Row],[Summ Cont Winter A]:[Cable Derating]])),"")</f>
        <v>7.659128671069575</v>
      </c>
      <c r="BG63" s="9">
        <f>IFERROR(TMK[[#This Row],[Lowest MVA]]*1000/(TMK[[#This Row],[Voltage]]*SQRT(3)),"")</f>
        <v>402</v>
      </c>
      <c r="BH63" s="9">
        <f t="shared" si="5"/>
        <v>402</v>
      </c>
      <c r="BI63" s="9" t="str">
        <f>TMK[[#This Row],[From]]</f>
        <v>11 kV Bus</v>
      </c>
      <c r="BJ63" s="9" t="str">
        <f>TMK[[#This Row],[To]]</f>
        <v>T500</v>
      </c>
      <c r="BK6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Breaker-TMK-CB2-Protection</v>
      </c>
      <c r="BL63" s="9">
        <f>TMK[[#This Row],[Voltage]]</f>
        <v>11</v>
      </c>
    </row>
    <row r="64" spans="1:64" s="1" customFormat="1" x14ac:dyDescent="0.25">
      <c r="A64" s="6" t="str">
        <f>CONCATENATE(TMK[[#This Row],[Supply Level]],TMK[[#This Row],[Station/Feeder]],TMK[[#This Row],[Voltage]])</f>
        <v>DistributionFeederCB2_Milford11</v>
      </c>
      <c r="B64" s="6" t="str">
        <f>CONCATENATE(TMK[[#This Row],[Supply Level]],TMK[[#This Row],[Station/Feeder]],TMK[[#This Row],[Equipment ID]],TMK[[#This Row],[Voltage]],TMK[[#This Row],[Device type]])</f>
        <v>DistributionFeederCB2_Milford1-3c 300 mm² Al XLPE HD11-</v>
      </c>
      <c r="C64" s="6" t="s">
        <v>1276</v>
      </c>
      <c r="D64" s="11" t="s">
        <v>109</v>
      </c>
      <c r="E64" s="7" t="s">
        <v>243</v>
      </c>
      <c r="F64" s="7" t="s">
        <v>508</v>
      </c>
      <c r="G64" s="56">
        <v>2</v>
      </c>
      <c r="H64" s="46" t="s">
        <v>1471</v>
      </c>
      <c r="I64" s="123" t="s">
        <v>1467</v>
      </c>
      <c r="J64" s="123" t="s">
        <v>250</v>
      </c>
      <c r="K64" s="46" t="s">
        <v>0</v>
      </c>
      <c r="L64" s="46" t="s">
        <v>0</v>
      </c>
      <c r="M64" s="43">
        <v>11</v>
      </c>
      <c r="N64" s="9">
        <v>476</v>
      </c>
      <c r="O64" s="9">
        <f t="shared" si="0"/>
        <v>9.0690180284306408</v>
      </c>
      <c r="P64" s="9">
        <v>476</v>
      </c>
      <c r="Q64" s="9">
        <f t="shared" si="1"/>
        <v>9.0690180284306408</v>
      </c>
      <c r="R64" s="9">
        <v>476</v>
      </c>
      <c r="S64" s="9">
        <f t="shared" si="2"/>
        <v>9.0690180284306408</v>
      </c>
      <c r="T64" s="9" t="s">
        <v>0</v>
      </c>
      <c r="U64" s="9" t="str">
        <f t="shared" si="3"/>
        <v>-</v>
      </c>
      <c r="V64" s="9" t="s">
        <v>0</v>
      </c>
      <c r="W64" s="9" t="str">
        <f t="shared" si="4"/>
        <v>-</v>
      </c>
      <c r="X64" s="9" t="s">
        <v>0</v>
      </c>
      <c r="Y64" s="9" t="str">
        <f t="shared" si="43"/>
        <v>-</v>
      </c>
      <c r="Z64" s="9" t="s">
        <v>0</v>
      </c>
      <c r="AA64" s="9" t="str">
        <f t="shared" si="44"/>
        <v>-</v>
      </c>
      <c r="AB64" s="9" t="s">
        <v>0</v>
      </c>
      <c r="AC64" s="9" t="str">
        <f t="shared" si="45"/>
        <v>-</v>
      </c>
      <c r="AD64" s="9" t="s">
        <v>0</v>
      </c>
      <c r="AE64" s="12" t="str">
        <f t="shared" si="46"/>
        <v>-</v>
      </c>
      <c r="AF64" s="9">
        <v>3</v>
      </c>
      <c r="AG64" s="9" t="s">
        <v>265</v>
      </c>
      <c r="AH64" s="9">
        <v>7.9</v>
      </c>
      <c r="AI64" s="9">
        <v>1</v>
      </c>
      <c r="AJ64" s="32">
        <v>0.98170000000000002</v>
      </c>
      <c r="AK64" s="29">
        <v>18</v>
      </c>
      <c r="AL64" s="32">
        <v>0.96719999999999984</v>
      </c>
      <c r="AM64" s="29">
        <v>1.2</v>
      </c>
      <c r="AN64" s="32">
        <v>1.0065995964405885</v>
      </c>
      <c r="AO64" s="29">
        <v>5</v>
      </c>
      <c r="AP64" s="32">
        <v>0</v>
      </c>
      <c r="AQ64" s="32">
        <v>0.56999999999999995</v>
      </c>
      <c r="AR64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259.31858262623888</v>
      </c>
      <c r="AS64" s="9">
        <f t="shared" si="47"/>
        <v>4.9406825650093298</v>
      </c>
      <c r="AT64" s="9">
        <f>IF(RIGHT(TMK[[#This Row],[Device type]],7)="Winding","-",TMK[[#This Row],[Cont Winter MVA]])</f>
        <v>9.0690180284306408</v>
      </c>
      <c r="AU64" s="9">
        <f>IF(RIGHT(TMK[[#This Row],[Device type]],7)="Winding","-",TMK[[#This Row],[Cont Shoulder MVA]])</f>
        <v>9.0690180284306408</v>
      </c>
      <c r="AV64" s="9">
        <f>IF(RIGHT(TMK[[#This Row],[Device type]],7)="Winding","-",TMK[[#This Row],[Cont Summer MVA]])</f>
        <v>9.0690180284306408</v>
      </c>
      <c r="AW64" s="9" t="str">
        <f>IF(RIGHT(TMK[[#This Row],[Device type]],7)="Winding","-",TMK[[#This Row],[24 Hr Winter MVA]])</f>
        <v>-</v>
      </c>
      <c r="AX64" s="9" t="str">
        <f>IF(RIGHT(TMK[[#This Row],[Device type]],7)="Winding","-",TMK[[#This Row],[24 Hr Summer MVA]])</f>
        <v>-</v>
      </c>
      <c r="AY64" s="9" t="str">
        <f>TMK[[#This Row],[Forwards MVA]]</f>
        <v>-</v>
      </c>
      <c r="AZ64" s="9" t="str">
        <f>TMK[[#This Row],[Relay MVA]]</f>
        <v>-</v>
      </c>
      <c r="BA64" s="9" t="str">
        <f>TMK[[#This Row],[CT MVA]]</f>
        <v>-</v>
      </c>
      <c r="BB64" s="9">
        <f>TMK[[#This Row],[Derating MVA]]</f>
        <v>4.9406825650093298</v>
      </c>
      <c r="BC64" s="9" t="str">
        <f>TMK[[#This Row],[Station/Feeder]]&amp;TMK[[#This Row],[Lowest MVA]]</f>
        <v>CB2_Milford4.94068256500933</v>
      </c>
      <c r="BD64" s="9" t="str">
        <f>CONCATENATE(TMK[[#This Row],[Supply Level]],TMK[[#This Row],[Station/Feeder]],TMK[[#This Row],[Voltage]],TMK[[#This Row],[Lowest A-No PTX]])</f>
        <v>DistributionFeederCB2_Milford11259.318582626239</v>
      </c>
      <c r="BE64" s="9" t="str">
        <f>CONCATENATE(TMK[[#This Row],[Supply Level]],TMK[[#This Row],[Station/Feeder]],TMK[[#This Row],[Voltage]],TMK[[#This Row],[Lowest A-PTX]])</f>
        <v>DistributionFeederCB2_Milford11259.318582626239</v>
      </c>
      <c r="BF64" s="9">
        <f>IFERROR(IF(MIN(TMK[[#This Row],[Summ Cont Winter A]:[Cable Derating]])=0,"",MIN(TMK[[#This Row],[Summ Cont Winter A]:[Cable Derating]])),"")</f>
        <v>4.9406825650093298</v>
      </c>
      <c r="BG64" s="9">
        <f>IFERROR(TMK[[#This Row],[Lowest MVA]]*1000/(TMK[[#This Row],[Voltage]]*SQRT(3)),"")</f>
        <v>259.31858262623882</v>
      </c>
      <c r="BH64" s="9">
        <f t="shared" si="5"/>
        <v>259.31858262623888</v>
      </c>
      <c r="BI64" s="9" t="str">
        <f>TMK[[#This Row],[From]]</f>
        <v>11 kV Bus</v>
      </c>
      <c r="BJ64" s="9" t="str">
        <f>TMK[[#This Row],[To]]</f>
        <v>T500</v>
      </c>
      <c r="BK6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XLPE HD</v>
      </c>
      <c r="BL64" s="9">
        <f>TMK[[#This Row],[Voltage]]</f>
        <v>11</v>
      </c>
    </row>
    <row r="65" spans="1:64" s="1" customFormat="1" x14ac:dyDescent="0.25">
      <c r="A65" s="6" t="str">
        <f>CONCATENATE(TMK[[#This Row],[Supply Level]],TMK[[#This Row],[Station/Feeder]],TMK[[#This Row],[Voltage]])</f>
        <v>DistributionFeederCB2_Milford11</v>
      </c>
      <c r="B65" s="6" t="str">
        <f>CONCATENATE(TMK[[#This Row],[Supply Level]],TMK[[#This Row],[Station/Feeder]],TMK[[#This Row],[Equipment ID]],TMK[[#This Row],[Voltage]],TMK[[#This Row],[Device type]])</f>
        <v>DistributionFeederCB2_Milford1-3c 150 mm² Al PILC11-</v>
      </c>
      <c r="C65" s="6" t="s">
        <v>1276</v>
      </c>
      <c r="D65" s="11" t="s">
        <v>109</v>
      </c>
      <c r="E65" s="7" t="s">
        <v>243</v>
      </c>
      <c r="F65" s="7" t="s">
        <v>508</v>
      </c>
      <c r="G65" s="56">
        <v>3</v>
      </c>
      <c r="H65" s="46" t="s">
        <v>1472</v>
      </c>
      <c r="I65" s="123" t="s">
        <v>568</v>
      </c>
      <c r="J65" s="123" t="s">
        <v>250</v>
      </c>
      <c r="K65" s="46" t="s">
        <v>0</v>
      </c>
      <c r="L65" s="46" t="s">
        <v>0</v>
      </c>
      <c r="M65" s="43">
        <v>11</v>
      </c>
      <c r="N65" s="9">
        <v>265</v>
      </c>
      <c r="O65" s="9">
        <f t="shared" si="0"/>
        <v>5.0489281040632772</v>
      </c>
      <c r="P65" s="9">
        <v>265</v>
      </c>
      <c r="Q65" s="9">
        <f t="shared" si="1"/>
        <v>5.0489281040632772</v>
      </c>
      <c r="R65" s="9">
        <v>265</v>
      </c>
      <c r="S65" s="9">
        <f t="shared" si="2"/>
        <v>5.0489281040632772</v>
      </c>
      <c r="T65" s="9" t="s">
        <v>0</v>
      </c>
      <c r="U65" s="9" t="str">
        <f t="shared" si="3"/>
        <v>-</v>
      </c>
      <c r="V65" s="9" t="s">
        <v>0</v>
      </c>
      <c r="W65" s="9" t="str">
        <f t="shared" si="4"/>
        <v>-</v>
      </c>
      <c r="X65" s="9" t="s">
        <v>0</v>
      </c>
      <c r="Y65" s="9" t="str">
        <f t="shared" si="43"/>
        <v>-</v>
      </c>
      <c r="Z65" s="9" t="s">
        <v>0</v>
      </c>
      <c r="AA65" s="9" t="str">
        <f t="shared" si="44"/>
        <v>-</v>
      </c>
      <c r="AB65" s="9" t="s">
        <v>0</v>
      </c>
      <c r="AC65" s="9" t="str">
        <f t="shared" si="45"/>
        <v>-</v>
      </c>
      <c r="AD65" s="9" t="s">
        <v>0</v>
      </c>
      <c r="AE65" s="12" t="str">
        <f t="shared" si="46"/>
        <v>-</v>
      </c>
      <c r="AF65" s="9">
        <v>3</v>
      </c>
      <c r="AG65" s="9" t="s">
        <v>265</v>
      </c>
      <c r="AH65" s="9">
        <v>198.7</v>
      </c>
      <c r="AI65" s="9">
        <v>0.95</v>
      </c>
      <c r="AJ65" s="32">
        <v>0.98170000000000002</v>
      </c>
      <c r="AK65" s="29">
        <v>18</v>
      </c>
      <c r="AL65" s="32">
        <v>0.96719999999999984</v>
      </c>
      <c r="AM65" s="29">
        <v>1.2</v>
      </c>
      <c r="AN65" s="32">
        <v>1.0060869215876131</v>
      </c>
      <c r="AO65" s="29">
        <v>4</v>
      </c>
      <c r="AP65" s="32">
        <v>0</v>
      </c>
      <c r="AQ65" s="32">
        <v>0.62970000000000004</v>
      </c>
      <c r="AR65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159.40801344521674</v>
      </c>
      <c r="AS65" s="9">
        <f t="shared" si="47"/>
        <v>3.0371305626281191</v>
      </c>
      <c r="AT65" s="9">
        <f>IF(RIGHT(TMK[[#This Row],[Device type]],7)="Winding","-",TMK[[#This Row],[Cont Winter MVA]])</f>
        <v>5.0489281040632772</v>
      </c>
      <c r="AU65" s="9">
        <f>IF(RIGHT(TMK[[#This Row],[Device type]],7)="Winding","-",TMK[[#This Row],[Cont Shoulder MVA]])</f>
        <v>5.0489281040632772</v>
      </c>
      <c r="AV65" s="9">
        <f>IF(RIGHT(TMK[[#This Row],[Device type]],7)="Winding","-",TMK[[#This Row],[Cont Summer MVA]])</f>
        <v>5.0489281040632772</v>
      </c>
      <c r="AW65" s="9" t="str">
        <f>IF(RIGHT(TMK[[#This Row],[Device type]],7)="Winding","-",TMK[[#This Row],[24 Hr Winter MVA]])</f>
        <v>-</v>
      </c>
      <c r="AX65" s="9" t="str">
        <f>IF(RIGHT(TMK[[#This Row],[Device type]],7)="Winding","-",TMK[[#This Row],[24 Hr Summer MVA]])</f>
        <v>-</v>
      </c>
      <c r="AY65" s="9" t="str">
        <f>TMK[[#This Row],[Forwards MVA]]</f>
        <v>-</v>
      </c>
      <c r="AZ65" s="9" t="str">
        <f>TMK[[#This Row],[Relay MVA]]</f>
        <v>-</v>
      </c>
      <c r="BA65" s="9" t="str">
        <f>TMK[[#This Row],[CT MVA]]</f>
        <v>-</v>
      </c>
      <c r="BB65" s="9">
        <f>TMK[[#This Row],[Derating MVA]]</f>
        <v>3.0371305626281191</v>
      </c>
      <c r="BC65" s="9" t="str">
        <f>TMK[[#This Row],[Station/Feeder]]&amp;TMK[[#This Row],[Lowest MVA]]</f>
        <v>CB2_Milford3.03713056262812</v>
      </c>
      <c r="BD65" s="9" t="str">
        <f>CONCATENATE(TMK[[#This Row],[Supply Level]],TMK[[#This Row],[Station/Feeder]],TMK[[#This Row],[Voltage]],TMK[[#This Row],[Lowest A-No PTX]])</f>
        <v>DistributionFeederCB2_Milford11159.408013445217</v>
      </c>
      <c r="BE65" s="9" t="str">
        <f>CONCATENATE(TMK[[#This Row],[Supply Level]],TMK[[#This Row],[Station/Feeder]],TMK[[#This Row],[Voltage]],TMK[[#This Row],[Lowest A-PTX]])</f>
        <v>DistributionFeederCB2_Milford11159.408013445217</v>
      </c>
      <c r="BF65" s="9">
        <f>IFERROR(IF(MIN(TMK[[#This Row],[Summ Cont Winter A]:[Cable Derating]])=0,"",MIN(TMK[[#This Row],[Summ Cont Winter A]:[Cable Derating]])),"")</f>
        <v>3.0371305626281191</v>
      </c>
      <c r="BG65" s="9">
        <f>IFERROR(TMK[[#This Row],[Lowest MVA]]*1000/(TMK[[#This Row],[Voltage]]*SQRT(3)),"")</f>
        <v>159.40801344521674</v>
      </c>
      <c r="BH65" s="9">
        <f t="shared" si="5"/>
        <v>159.40801344521674</v>
      </c>
      <c r="BI65" s="9" t="str">
        <f>TMK[[#This Row],[From]]</f>
        <v>11 kV Bus</v>
      </c>
      <c r="BJ65" s="9" t="str">
        <f>TMK[[#This Row],[To]]</f>
        <v>T500</v>
      </c>
      <c r="BK6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150 mm² Al PILC</v>
      </c>
      <c r="BL65" s="9">
        <f>TMK[[#This Row],[Voltage]]</f>
        <v>11</v>
      </c>
    </row>
    <row r="66" spans="1:64" s="1" customFormat="1" x14ac:dyDescent="0.25">
      <c r="A66" s="6" t="str">
        <f>CONCATENATE(TMK[[#This Row],[Supply Level]],TMK[[#This Row],[Station/Feeder]],TMK[[#This Row],[Voltage]])</f>
        <v>DistributionFeederCB2_Milford11</v>
      </c>
      <c r="B66" s="6" t="str">
        <f>CONCATENATE(TMK[[#This Row],[Supply Level]],TMK[[#This Row],[Station/Feeder]],TMK[[#This Row],[Equipment ID]],TMK[[#This Row],[Voltage]],TMK[[#This Row],[Device type]])</f>
        <v>DistributionFeederCB2_Milford3-1c 185 mm² Al XLPE11-</v>
      </c>
      <c r="C66" s="6" t="s">
        <v>1276</v>
      </c>
      <c r="D66" s="11" t="s">
        <v>109</v>
      </c>
      <c r="E66" s="7" t="s">
        <v>243</v>
      </c>
      <c r="F66" s="7" t="s">
        <v>508</v>
      </c>
      <c r="G66" s="56">
        <v>4</v>
      </c>
      <c r="H66" s="46" t="s">
        <v>528</v>
      </c>
      <c r="I66" s="123" t="s">
        <v>563</v>
      </c>
      <c r="J66" s="123" t="s">
        <v>250</v>
      </c>
      <c r="K66" s="46" t="s">
        <v>0</v>
      </c>
      <c r="L66" s="46" t="s">
        <v>0</v>
      </c>
      <c r="M66" s="43">
        <v>11</v>
      </c>
      <c r="N66" s="9">
        <v>326</v>
      </c>
      <c r="O66" s="9">
        <f t="shared" si="0"/>
        <v>6.2111341959419937</v>
      </c>
      <c r="P66" s="9">
        <v>326</v>
      </c>
      <c r="Q66" s="9">
        <f t="shared" si="1"/>
        <v>6.2111341959419937</v>
      </c>
      <c r="R66" s="9">
        <v>326</v>
      </c>
      <c r="S66" s="9">
        <f t="shared" si="2"/>
        <v>6.2111341959419937</v>
      </c>
      <c r="T66" s="9" t="s">
        <v>0</v>
      </c>
      <c r="U66" s="9" t="str">
        <f t="shared" si="3"/>
        <v>-</v>
      </c>
      <c r="V66" s="9" t="s">
        <v>0</v>
      </c>
      <c r="W66" s="9" t="str">
        <f t="shared" si="4"/>
        <v>-</v>
      </c>
      <c r="X66" s="9" t="s">
        <v>0</v>
      </c>
      <c r="Y66" s="9" t="str">
        <f t="shared" ref="Y66" si="48">IF(OR(X66="",X66="-"),"-",X66*$M66*SQRT(3)/1000)</f>
        <v>-</v>
      </c>
      <c r="Z66" s="9" t="s">
        <v>0</v>
      </c>
      <c r="AA66" s="9" t="str">
        <f t="shared" ref="AA66" si="49">IF(OR(Z66="",Z66="-"),"-",Z66*$M66*SQRT(3)/1000)</f>
        <v>-</v>
      </c>
      <c r="AB66" s="9" t="s">
        <v>0</v>
      </c>
      <c r="AC66" s="9" t="str">
        <f t="shared" ref="AC66" si="50">IF(OR(AB66="",AB66="-"),"-",AB66*$M66*SQRT(3)/1000)</f>
        <v>-</v>
      </c>
      <c r="AD66" s="9" t="s">
        <v>0</v>
      </c>
      <c r="AE66" s="12" t="str">
        <f t="shared" ref="AE66" si="51">IF(OR(AD66="",AD66="-"),"-",AD66*$M66*SQRT(3)/1000)</f>
        <v>-</v>
      </c>
      <c r="AF66" s="9">
        <v>1</v>
      </c>
      <c r="AG66" s="9" t="s">
        <v>344</v>
      </c>
      <c r="AH66" s="9">
        <v>8.6999999999999993</v>
      </c>
      <c r="AI66" s="9">
        <v>1</v>
      </c>
      <c r="AJ66" s="32">
        <v>0.97760000000000002</v>
      </c>
      <c r="AK66" s="29">
        <v>18</v>
      </c>
      <c r="AL66" s="32">
        <v>0.97879999999999989</v>
      </c>
      <c r="AM66" s="29">
        <v>1.2</v>
      </c>
      <c r="AN66" s="32">
        <v>0.9985383563137229</v>
      </c>
      <c r="AO66" s="29">
        <v>1</v>
      </c>
      <c r="AP66" s="32">
        <v>0</v>
      </c>
      <c r="AQ66" s="32">
        <v>1</v>
      </c>
      <c r="AR66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311.48526397862759</v>
      </c>
      <c r="AS66" s="9">
        <f t="shared" ref="AS66" si="52">IF(OR(AR66="",AR66="-"),"-",AR66*$M66*SQRT(3)/1000)</f>
        <v>5.9345913332198545</v>
      </c>
      <c r="AT66" s="9">
        <f>IF(RIGHT(TMK[[#This Row],[Device type]],7)="Winding","-",TMK[[#This Row],[Cont Winter MVA]])</f>
        <v>6.2111341959419937</v>
      </c>
      <c r="AU66" s="9">
        <f>IF(RIGHT(TMK[[#This Row],[Device type]],7)="Winding","-",TMK[[#This Row],[Cont Shoulder MVA]])</f>
        <v>6.2111341959419937</v>
      </c>
      <c r="AV66" s="9">
        <f>IF(RIGHT(TMK[[#This Row],[Device type]],7)="Winding","-",TMK[[#This Row],[Cont Summer MVA]])</f>
        <v>6.2111341959419937</v>
      </c>
      <c r="AW66" s="9" t="str">
        <f>IF(RIGHT(TMK[[#This Row],[Device type]],7)="Winding","-",TMK[[#This Row],[24 Hr Winter MVA]])</f>
        <v>-</v>
      </c>
      <c r="AX66" s="9" t="str">
        <f>IF(RIGHT(TMK[[#This Row],[Device type]],7)="Winding","-",TMK[[#This Row],[24 Hr Summer MVA]])</f>
        <v>-</v>
      </c>
      <c r="AY66" s="9" t="str">
        <f>TMK[[#This Row],[Forwards MVA]]</f>
        <v>-</v>
      </c>
      <c r="AZ66" s="9" t="str">
        <f>TMK[[#This Row],[Relay MVA]]</f>
        <v>-</v>
      </c>
      <c r="BA66" s="9" t="str">
        <f>TMK[[#This Row],[CT MVA]]</f>
        <v>-</v>
      </c>
      <c r="BB66" s="9">
        <f>TMK[[#This Row],[Derating MVA]]</f>
        <v>5.9345913332198545</v>
      </c>
      <c r="BC66" s="9" t="str">
        <f>TMK[[#This Row],[Station/Feeder]]&amp;TMK[[#This Row],[Lowest MVA]]</f>
        <v>CB2_Milford5.93459133321985</v>
      </c>
      <c r="BD66" s="9" t="str">
        <f>CONCATENATE(TMK[[#This Row],[Supply Level]],TMK[[#This Row],[Station/Feeder]],TMK[[#This Row],[Voltage]],TMK[[#This Row],[Lowest A-No PTX]])</f>
        <v>DistributionFeederCB2_Milford11311.485263978628</v>
      </c>
      <c r="BE66" s="9" t="str">
        <f>CONCATENATE(TMK[[#This Row],[Supply Level]],TMK[[#This Row],[Station/Feeder]],TMK[[#This Row],[Voltage]],TMK[[#This Row],[Lowest A-PTX]])</f>
        <v>DistributionFeederCB2_Milford11311.485263978628</v>
      </c>
      <c r="BF66" s="9">
        <f>IFERROR(IF(MIN(TMK[[#This Row],[Summ Cont Winter A]:[Cable Derating]])=0,"",MIN(TMK[[#This Row],[Summ Cont Winter A]:[Cable Derating]])),"")</f>
        <v>5.9345913332198545</v>
      </c>
      <c r="BG66" s="9">
        <f>IFERROR(TMK[[#This Row],[Lowest MVA]]*1000/(TMK[[#This Row],[Voltage]]*SQRT(3)),"")</f>
        <v>311.48526397862753</v>
      </c>
      <c r="BH66" s="9">
        <f t="shared" si="5"/>
        <v>311.48526397862759</v>
      </c>
      <c r="BI66" s="9" t="str">
        <f>TMK[[#This Row],[From]]</f>
        <v>11 kV Bus</v>
      </c>
      <c r="BJ66" s="9" t="str">
        <f>TMK[[#This Row],[To]]</f>
        <v>T500</v>
      </c>
      <c r="BK6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185 mm² Al XLPE</v>
      </c>
      <c r="BL66" s="9">
        <f>TMK[[#This Row],[Voltage]]</f>
        <v>11</v>
      </c>
    </row>
    <row r="67" spans="1:64" s="1" customFormat="1" x14ac:dyDescent="0.25">
      <c r="A67" s="6" t="str">
        <f>CONCATENATE(TMK[[#This Row],[Supply Level]],TMK[[#This Row],[Station/Feeder]],TMK[[#This Row],[Voltage]])</f>
        <v>DistributionFeederCB2_Milford11</v>
      </c>
      <c r="B67" s="6" t="str">
        <f>CONCATENATE(TMK[[#This Row],[Supply Level]],TMK[[#This Row],[Station/Feeder]],TMK[[#This Row],[Equipment ID]],TMK[[#This Row],[Voltage]],TMK[[#This Row],[Device type]])</f>
        <v>DistributionFeederCB2_MilfordT50011-</v>
      </c>
      <c r="C67" s="6" t="s">
        <v>1276</v>
      </c>
      <c r="D67" s="11" t="s">
        <v>109</v>
      </c>
      <c r="E67" s="7" t="s">
        <v>508</v>
      </c>
      <c r="F67" s="7" t="s">
        <v>508</v>
      </c>
      <c r="G67" s="56">
        <v>5</v>
      </c>
      <c r="H67" s="49" t="s">
        <v>273</v>
      </c>
      <c r="I67" s="123" t="s">
        <v>508</v>
      </c>
      <c r="J67" s="123" t="s">
        <v>240</v>
      </c>
      <c r="K67" s="7" t="s">
        <v>0</v>
      </c>
      <c r="L67" s="7" t="s">
        <v>0</v>
      </c>
      <c r="M67" s="43">
        <v>11</v>
      </c>
      <c r="N67" s="9">
        <v>400</v>
      </c>
      <c r="O67" s="9">
        <f t="shared" si="0"/>
        <v>7.6210235533030604</v>
      </c>
      <c r="P67" s="9">
        <v>400</v>
      </c>
      <c r="Q67" s="9">
        <f t="shared" si="1"/>
        <v>7.6210235533030604</v>
      </c>
      <c r="R67" s="9">
        <v>400</v>
      </c>
      <c r="S67" s="9">
        <f t="shared" si="2"/>
        <v>7.6210235533030604</v>
      </c>
      <c r="T67" s="9" t="s">
        <v>0</v>
      </c>
      <c r="U67" s="9" t="str">
        <f t="shared" si="3"/>
        <v>-</v>
      </c>
      <c r="V67" s="9" t="s">
        <v>0</v>
      </c>
      <c r="W67" s="9" t="str">
        <f t="shared" si="4"/>
        <v>-</v>
      </c>
      <c r="X67" s="9" t="s">
        <v>0</v>
      </c>
      <c r="Y67" s="9" t="str">
        <f t="shared" si="6"/>
        <v>-</v>
      </c>
      <c r="Z67" s="9" t="s">
        <v>0</v>
      </c>
      <c r="AA67" s="9" t="str">
        <f t="shared" si="7"/>
        <v>-</v>
      </c>
      <c r="AB67" s="9" t="s">
        <v>0</v>
      </c>
      <c r="AC67" s="9" t="str">
        <f t="shared" si="8"/>
        <v>-</v>
      </c>
      <c r="AD67" s="9" t="s">
        <v>0</v>
      </c>
      <c r="AE67" s="12" t="str">
        <f t="shared" si="9"/>
        <v>-</v>
      </c>
      <c r="AF67" s="9" t="s">
        <v>0</v>
      </c>
      <c r="AG67" s="9" t="s">
        <v>0</v>
      </c>
      <c r="AH67" s="9" t="s">
        <v>0</v>
      </c>
      <c r="AI67" s="9" t="s">
        <v>0</v>
      </c>
      <c r="AJ67" s="43" t="s">
        <v>0</v>
      </c>
      <c r="AK67" s="9" t="s">
        <v>0</v>
      </c>
      <c r="AL67" s="43" t="s">
        <v>0</v>
      </c>
      <c r="AM67" s="9" t="s">
        <v>0</v>
      </c>
      <c r="AN67" s="43" t="s">
        <v>0</v>
      </c>
      <c r="AO67" s="9" t="s">
        <v>0</v>
      </c>
      <c r="AP67" s="9" t="s">
        <v>0</v>
      </c>
      <c r="AQ67" s="43" t="s">
        <v>0</v>
      </c>
      <c r="AR67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67" s="9" t="str">
        <f t="shared" si="10"/>
        <v>-</v>
      </c>
      <c r="AT67" s="9">
        <f>IF(RIGHT(TMK[[#This Row],[Device type]],7)="Winding","-",TMK[[#This Row],[Cont Winter MVA]])</f>
        <v>7.6210235533030604</v>
      </c>
      <c r="AU67" s="9">
        <f>IF(RIGHT(TMK[[#This Row],[Device type]],7)="Winding","-",TMK[[#This Row],[Cont Shoulder MVA]])</f>
        <v>7.6210235533030604</v>
      </c>
      <c r="AV67" s="9">
        <f>IF(RIGHT(TMK[[#This Row],[Device type]],7)="Winding","-",TMK[[#This Row],[Cont Summer MVA]])</f>
        <v>7.6210235533030604</v>
      </c>
      <c r="AW67" s="9" t="str">
        <f>IF(RIGHT(TMK[[#This Row],[Device type]],7)="Winding","-",TMK[[#This Row],[24 Hr Winter MVA]])</f>
        <v>-</v>
      </c>
      <c r="AX67" s="9" t="str">
        <f>IF(RIGHT(TMK[[#This Row],[Device type]],7)="Winding","-",TMK[[#This Row],[24 Hr Summer MVA]])</f>
        <v>-</v>
      </c>
      <c r="AY67" s="9" t="str">
        <f>TMK[[#This Row],[Forwards MVA]]</f>
        <v>-</v>
      </c>
      <c r="AZ67" s="9" t="str">
        <f>TMK[[#This Row],[Relay MVA]]</f>
        <v>-</v>
      </c>
      <c r="BA67" s="9" t="str">
        <f>TMK[[#This Row],[CT MVA]]</f>
        <v>-</v>
      </c>
      <c r="BB67" s="9" t="str">
        <f>TMK[[#This Row],[Derating MVA]]</f>
        <v>-</v>
      </c>
      <c r="BC67" s="9" t="str">
        <f>TMK[[#This Row],[Station/Feeder]]&amp;TMK[[#This Row],[Lowest MVA]]</f>
        <v>CB2_Milford7.62102355330306</v>
      </c>
      <c r="BD67" s="9" t="str">
        <f>CONCATENATE(TMK[[#This Row],[Supply Level]],TMK[[#This Row],[Station/Feeder]],TMK[[#This Row],[Voltage]],TMK[[#This Row],[Lowest A-No PTX]])</f>
        <v>DistributionFeederCB2_Milford11400</v>
      </c>
      <c r="BE67" s="9" t="str">
        <f>CONCATENATE(TMK[[#This Row],[Supply Level]],TMK[[#This Row],[Station/Feeder]],TMK[[#This Row],[Voltage]],TMK[[#This Row],[Lowest A-PTX]])</f>
        <v>DistributionFeederCB2_Milford11400</v>
      </c>
      <c r="BF67" s="9">
        <f>IFERROR(IF(MIN(TMK[[#This Row],[Summ Cont Winter A]:[Cable Derating]])=0,"",MIN(TMK[[#This Row],[Summ Cont Winter A]:[Cable Derating]])),"")</f>
        <v>7.6210235533030604</v>
      </c>
      <c r="BG67" s="9">
        <f>IFERROR(TMK[[#This Row],[Lowest MVA]]*1000/(TMK[[#This Row],[Voltage]]*SQRT(3)),"")</f>
        <v>400</v>
      </c>
      <c r="BH67" s="9">
        <f t="shared" si="5"/>
        <v>400</v>
      </c>
      <c r="BI67" s="9" t="str">
        <f>TMK[[#This Row],[From]]</f>
        <v>T500</v>
      </c>
      <c r="BJ67" s="9" t="str">
        <f>TMK[[#This Row],[To]]</f>
        <v>T500</v>
      </c>
      <c r="BK6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ABS-T500</v>
      </c>
      <c r="BL67" s="9">
        <f>TMK[[#This Row],[Voltage]]</f>
        <v>11</v>
      </c>
    </row>
    <row r="68" spans="1:64" s="1" customFormat="1" x14ac:dyDescent="0.25">
      <c r="A68" s="6" t="str">
        <f>CONCATENATE(TMK[[#This Row],[Supply Level]],TMK[[#This Row],[Station/Feeder]],TMK[[#This Row],[Voltage]])</f>
        <v>DistributionFeederCB2_Milford11</v>
      </c>
      <c r="B68" s="6" t="str">
        <f>CONCATENATE(TMK[[#This Row],[Supply Level]],TMK[[#This Row],[Station/Feeder]],TMK[[#This Row],[Equipment ID]],TMK[[#This Row],[Voltage]],TMK[[#This Row],[Device type]])</f>
        <v>DistributionFeederCB2_MilfordCHAFER11-</v>
      </c>
      <c r="C68" s="6" t="s">
        <v>1276</v>
      </c>
      <c r="D68" s="11" t="s">
        <v>109</v>
      </c>
      <c r="E68" s="7" t="s">
        <v>508</v>
      </c>
      <c r="F68" s="7" t="s">
        <v>509</v>
      </c>
      <c r="G68" s="56">
        <v>6</v>
      </c>
      <c r="H68" s="46" t="s">
        <v>1289</v>
      </c>
      <c r="I68" s="123" t="s">
        <v>505</v>
      </c>
      <c r="J68" s="123" t="s">
        <v>69</v>
      </c>
      <c r="K68" s="46" t="s">
        <v>0</v>
      </c>
      <c r="L68" s="46" t="s">
        <v>0</v>
      </c>
      <c r="M68" s="43">
        <v>11</v>
      </c>
      <c r="N68" s="9">
        <v>388.1</v>
      </c>
      <c r="O68" s="9">
        <f t="shared" si="0"/>
        <v>7.3942981025922947</v>
      </c>
      <c r="P68" s="9" t="s">
        <v>0</v>
      </c>
      <c r="Q68" s="9" t="str">
        <f t="shared" si="1"/>
        <v>-</v>
      </c>
      <c r="R68" s="9">
        <v>388.10484430946377</v>
      </c>
      <c r="S68" s="9">
        <f t="shared" si="2"/>
        <v>7.3943903990836004</v>
      </c>
      <c r="T68" s="9" t="s">
        <v>0</v>
      </c>
      <c r="U68" s="9" t="str">
        <f t="shared" si="3"/>
        <v>-</v>
      </c>
      <c r="V68" s="9" t="s">
        <v>0</v>
      </c>
      <c r="W68" s="9" t="str">
        <f t="shared" si="4"/>
        <v>-</v>
      </c>
      <c r="X68" s="9" t="s">
        <v>0</v>
      </c>
      <c r="Y68" s="9" t="str">
        <f t="shared" ref="Y68" si="53">IF(OR(X68="",X68="-"),"-",X68*$M68*SQRT(3)/1000)</f>
        <v>-</v>
      </c>
      <c r="Z68" s="9" t="s">
        <v>0</v>
      </c>
      <c r="AA68" s="9" t="str">
        <f t="shared" ref="AA68" si="54">IF(OR(Z68="",Z68="-"),"-",Z68*$M68*SQRT(3)/1000)</f>
        <v>-</v>
      </c>
      <c r="AB68" s="9" t="s">
        <v>0</v>
      </c>
      <c r="AC68" s="9" t="str">
        <f t="shared" ref="AC68" si="55">IF(OR(AB68="",AB68="-"),"-",AB68*$M68*SQRT(3)/1000)</f>
        <v>-</v>
      </c>
      <c r="AD68" s="9" t="s">
        <v>0</v>
      </c>
      <c r="AE68" s="12" t="str">
        <f t="shared" ref="AE68" si="56">IF(OR(AD68="",AD68="-"),"-",AD68*$M68*SQRT(3)/1000)</f>
        <v>-</v>
      </c>
      <c r="AF68" s="9" t="s">
        <v>0</v>
      </c>
      <c r="AG68" s="9" t="s">
        <v>0</v>
      </c>
      <c r="AH68" s="9">
        <v>15.5</v>
      </c>
      <c r="AI68" s="9" t="s">
        <v>0</v>
      </c>
      <c r="AJ68" s="32" t="s">
        <v>0</v>
      </c>
      <c r="AK68" s="29" t="s">
        <v>0</v>
      </c>
      <c r="AL68" s="32" t="s">
        <v>0</v>
      </c>
      <c r="AM68" s="29" t="s">
        <v>0</v>
      </c>
      <c r="AN68" s="32" t="s">
        <v>0</v>
      </c>
      <c r="AO68" s="29" t="s">
        <v>0</v>
      </c>
      <c r="AP68" s="32" t="s">
        <v>0</v>
      </c>
      <c r="AQ68" s="32" t="s">
        <v>0</v>
      </c>
      <c r="AR68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68" s="9" t="str">
        <f t="shared" ref="AS68" si="57">IF(OR(AR68="",AR68="-"),"-",AR68*$M68*SQRT(3)/1000)</f>
        <v>-</v>
      </c>
      <c r="AT68" s="9">
        <f>IF(RIGHT(TMK[[#This Row],[Device type]],7)="Winding","-",TMK[[#This Row],[Cont Winter MVA]])</f>
        <v>7.3942981025922947</v>
      </c>
      <c r="AU68" s="9" t="str">
        <f>IF(RIGHT(TMK[[#This Row],[Device type]],7)="Winding","-",TMK[[#This Row],[Cont Shoulder MVA]])</f>
        <v>-</v>
      </c>
      <c r="AV68" s="9">
        <f>IF(RIGHT(TMK[[#This Row],[Device type]],7)="Winding","-",TMK[[#This Row],[Cont Summer MVA]])</f>
        <v>7.3943903990836004</v>
      </c>
      <c r="AW68" s="9" t="str">
        <f>IF(RIGHT(TMK[[#This Row],[Device type]],7)="Winding","-",TMK[[#This Row],[24 Hr Winter MVA]])</f>
        <v>-</v>
      </c>
      <c r="AX68" s="9" t="str">
        <f>IF(RIGHT(TMK[[#This Row],[Device type]],7)="Winding","-",TMK[[#This Row],[24 Hr Summer MVA]])</f>
        <v>-</v>
      </c>
      <c r="AY68" s="9" t="str">
        <f>TMK[[#This Row],[Forwards MVA]]</f>
        <v>-</v>
      </c>
      <c r="AZ68" s="9" t="str">
        <f>TMK[[#This Row],[Relay MVA]]</f>
        <v>-</v>
      </c>
      <c r="BA68" s="9" t="str">
        <f>TMK[[#This Row],[CT MVA]]</f>
        <v>-</v>
      </c>
      <c r="BB68" s="9" t="str">
        <f>TMK[[#This Row],[Derating MVA]]</f>
        <v>-</v>
      </c>
      <c r="BC68" s="9" t="str">
        <f>TMK[[#This Row],[Station/Feeder]]&amp;TMK[[#This Row],[Lowest MVA]]</f>
        <v>CB2_Milford7.39429810259229</v>
      </c>
      <c r="BD68" s="9" t="str">
        <f>CONCATENATE(TMK[[#This Row],[Supply Level]],TMK[[#This Row],[Station/Feeder]],TMK[[#This Row],[Voltage]],TMK[[#This Row],[Lowest A-No PTX]])</f>
        <v>DistributionFeederCB2_Milford11388.1</v>
      </c>
      <c r="BE68" s="9" t="str">
        <f>CONCATENATE(TMK[[#This Row],[Supply Level]],TMK[[#This Row],[Station/Feeder]],TMK[[#This Row],[Voltage]],TMK[[#This Row],[Lowest A-PTX]])</f>
        <v>DistributionFeederCB2_Milford11388.1</v>
      </c>
      <c r="BF68" s="9">
        <f>IFERROR(IF(MIN(TMK[[#This Row],[Summ Cont Winter A]:[Cable Derating]])=0,"",MIN(TMK[[#This Row],[Summ Cont Winter A]:[Cable Derating]])),"")</f>
        <v>7.3942981025922947</v>
      </c>
      <c r="BG68" s="9">
        <f>IFERROR(TMK[[#This Row],[Lowest MVA]]*1000/(TMK[[#This Row],[Voltage]]*SQRT(3)),"")</f>
        <v>388.1</v>
      </c>
      <c r="BH68" s="9">
        <f t="shared" si="5"/>
        <v>388.1</v>
      </c>
      <c r="BI68" s="9" t="str">
        <f>TMK[[#This Row],[From]]</f>
        <v>T500</v>
      </c>
      <c r="BJ68" s="9" t="str">
        <f>TMK[[#This Row],[To]]</f>
        <v>T120</v>
      </c>
      <c r="BK6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Line-CHAFER</v>
      </c>
      <c r="BL68" s="9">
        <f>TMK[[#This Row],[Voltage]]</f>
        <v>11</v>
      </c>
    </row>
    <row r="69" spans="1:64" s="1" customFormat="1" ht="15" customHeight="1" x14ac:dyDescent="0.25">
      <c r="A69" s="6" t="str">
        <f>CONCATENATE(TMK[[#This Row],[Supply Level]],TMK[[#This Row],[Station/Feeder]],TMK[[#This Row],[Voltage]])</f>
        <v>DistributionFeederCB2_Milford11</v>
      </c>
      <c r="B69" s="6" t="str">
        <f>CONCATENATE(TMK[[#This Row],[Supply Level]],TMK[[#This Row],[Station/Feeder]],TMK[[#This Row],[Equipment ID]],TMK[[#This Row],[Voltage]],TMK[[#This Row],[Device type]])</f>
        <v>DistributionFeederCB2_MilfordDOG11-</v>
      </c>
      <c r="C69" s="6" t="s">
        <v>1276</v>
      </c>
      <c r="D69" s="11" t="s">
        <v>109</v>
      </c>
      <c r="E69" s="7" t="s">
        <v>508</v>
      </c>
      <c r="F69" s="7" t="s">
        <v>509</v>
      </c>
      <c r="G69" s="56">
        <v>7</v>
      </c>
      <c r="H69" s="46" t="s">
        <v>1289</v>
      </c>
      <c r="I69" s="123" t="s">
        <v>318</v>
      </c>
      <c r="J69" s="123" t="s">
        <v>69</v>
      </c>
      <c r="K69" s="46" t="s">
        <v>0</v>
      </c>
      <c r="L69" s="46" t="s">
        <v>0</v>
      </c>
      <c r="M69" s="43">
        <v>11</v>
      </c>
      <c r="N69" s="9">
        <v>257</v>
      </c>
      <c r="O69" s="9">
        <f t="shared" ref="O69:O136" si="58">IF(OR(N69="",N69="-"),"-",N69*$M69*SQRT(3)/1000)</f>
        <v>4.8965076329972161</v>
      </c>
      <c r="P69" s="9" t="s">
        <v>0</v>
      </c>
      <c r="Q69" s="9" t="str">
        <f t="shared" ref="Q69:Q136" si="59">IF(OR(P69="",P69="-"),"-",P69*$M69*SQRT(3)/1000)</f>
        <v>-</v>
      </c>
      <c r="R69" s="9">
        <v>256.85852310343915</v>
      </c>
      <c r="S69" s="9">
        <f t="shared" ref="S69:S136" si="60">IF(OR(R69="",R69="-"),"-",R69*$M69*SQRT(3)/1000)</f>
        <v>4.8938121360948701</v>
      </c>
      <c r="T69" s="9" t="s">
        <v>0</v>
      </c>
      <c r="U69" s="9" t="str">
        <f t="shared" ref="U69:U136" si="61">IF(OR(T69="",T69="-"),"-",T69*$M69*SQRT(3)/1000)</f>
        <v>-</v>
      </c>
      <c r="V69" s="9" t="s">
        <v>0</v>
      </c>
      <c r="W69" s="9" t="str">
        <f t="shared" ref="W69:W136" si="62">IF(OR(V69="",V69="-"),"-",V69*$M69*SQRT(3)/1000)</f>
        <v>-</v>
      </c>
      <c r="X69" s="9" t="s">
        <v>0</v>
      </c>
      <c r="Y69" s="9" t="str">
        <f t="shared" si="6"/>
        <v>-</v>
      </c>
      <c r="Z69" s="9" t="s">
        <v>0</v>
      </c>
      <c r="AA69" s="9" t="str">
        <f t="shared" si="7"/>
        <v>-</v>
      </c>
      <c r="AB69" s="9" t="s">
        <v>0</v>
      </c>
      <c r="AC69" s="9" t="str">
        <f t="shared" si="8"/>
        <v>-</v>
      </c>
      <c r="AD69" s="9" t="s">
        <v>0</v>
      </c>
      <c r="AE69" s="12" t="str">
        <f t="shared" si="9"/>
        <v>-</v>
      </c>
      <c r="AF69" s="9" t="s">
        <v>0</v>
      </c>
      <c r="AG69" s="9" t="s">
        <v>0</v>
      </c>
      <c r="AH69" s="9">
        <v>59.7</v>
      </c>
      <c r="AI69" s="9" t="s">
        <v>0</v>
      </c>
      <c r="AJ69" s="43" t="s">
        <v>0</v>
      </c>
      <c r="AK69" s="9" t="s">
        <v>0</v>
      </c>
      <c r="AL69" s="43" t="s">
        <v>0</v>
      </c>
      <c r="AM69" s="9" t="s">
        <v>0</v>
      </c>
      <c r="AN69" s="43" t="s">
        <v>0</v>
      </c>
      <c r="AO69" s="9" t="s">
        <v>0</v>
      </c>
      <c r="AP69" s="9" t="s">
        <v>0</v>
      </c>
      <c r="AQ69" s="43" t="s">
        <v>0</v>
      </c>
      <c r="AR69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69" s="9" t="str">
        <f t="shared" si="10"/>
        <v>-</v>
      </c>
      <c r="AT69" s="9">
        <f>IF(RIGHT(TMK[[#This Row],[Device type]],7)="Winding","-",TMK[[#This Row],[Cont Winter MVA]])</f>
        <v>4.8965076329972161</v>
      </c>
      <c r="AU69" s="9" t="str">
        <f>IF(RIGHT(TMK[[#This Row],[Device type]],7)="Winding","-",TMK[[#This Row],[Cont Shoulder MVA]])</f>
        <v>-</v>
      </c>
      <c r="AV69" s="9">
        <f>IF(RIGHT(TMK[[#This Row],[Device type]],7)="Winding","-",TMK[[#This Row],[Cont Summer MVA]])</f>
        <v>4.8938121360948701</v>
      </c>
      <c r="AW69" s="9" t="str">
        <f>IF(RIGHT(TMK[[#This Row],[Device type]],7)="Winding","-",TMK[[#This Row],[24 Hr Winter MVA]])</f>
        <v>-</v>
      </c>
      <c r="AX69" s="9" t="str">
        <f>IF(RIGHT(TMK[[#This Row],[Device type]],7)="Winding","-",TMK[[#This Row],[24 Hr Summer MVA]])</f>
        <v>-</v>
      </c>
      <c r="AY69" s="9" t="str">
        <f>TMK[[#This Row],[Forwards MVA]]</f>
        <v>-</v>
      </c>
      <c r="AZ69" s="9" t="str">
        <f>TMK[[#This Row],[Relay MVA]]</f>
        <v>-</v>
      </c>
      <c r="BA69" s="9" t="str">
        <f>TMK[[#This Row],[CT MVA]]</f>
        <v>-</v>
      </c>
      <c r="BB69" s="9" t="str">
        <f>TMK[[#This Row],[Derating MVA]]</f>
        <v>-</v>
      </c>
      <c r="BC69" s="9" t="str">
        <f>TMK[[#This Row],[Station/Feeder]]&amp;TMK[[#This Row],[Lowest MVA]]</f>
        <v>CB2_Milford4.89381213609487</v>
      </c>
      <c r="BD69" s="9" t="str">
        <f>CONCATENATE(TMK[[#This Row],[Supply Level]],TMK[[#This Row],[Station/Feeder]],TMK[[#This Row],[Voltage]],TMK[[#This Row],[Lowest A-No PTX]])</f>
        <v>DistributionFeederCB2_Milford11256.858523103439</v>
      </c>
      <c r="BE69" s="9" t="str">
        <f>CONCATENATE(TMK[[#This Row],[Supply Level]],TMK[[#This Row],[Station/Feeder]],TMK[[#This Row],[Voltage]],TMK[[#This Row],[Lowest A-PTX]])</f>
        <v>DistributionFeederCB2_Milford11256.858523103439</v>
      </c>
      <c r="BF69" s="9">
        <f>IFERROR(IF(MIN(TMK[[#This Row],[Summ Cont Winter A]:[Cable Derating]])=0,"",MIN(TMK[[#This Row],[Summ Cont Winter A]:[Cable Derating]])),"")</f>
        <v>4.8938121360948701</v>
      </c>
      <c r="BG69" s="9">
        <f>IFERROR(TMK[[#This Row],[Lowest MVA]]*1000/(TMK[[#This Row],[Voltage]]*SQRT(3)),"")</f>
        <v>256.85852310343915</v>
      </c>
      <c r="BH69" s="9">
        <f t="shared" ref="BH69:BH136" si="63">IF(MIN(N69,P69,R69,T69,V69,X69,Z69,AB69,AD69,AR69)=0,"",MIN(N69,P69,R69,T69,V69,X69,Z69,AB69,AD69,AR69))</f>
        <v>256.85852310343915</v>
      </c>
      <c r="BI69" s="9" t="str">
        <f>TMK[[#This Row],[From]]</f>
        <v>T500</v>
      </c>
      <c r="BJ69" s="9" t="str">
        <f>TMK[[#This Row],[To]]</f>
        <v>T120</v>
      </c>
      <c r="BK6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69" s="9">
        <f>TMK[[#This Row],[Voltage]]</f>
        <v>11</v>
      </c>
    </row>
    <row r="70" spans="1:64" s="1" customFormat="1" x14ac:dyDescent="0.25">
      <c r="A70" s="6" t="str">
        <f>CONCATENATE(TMK[[#This Row],[Supply Level]],TMK[[#This Row],[Station/Feeder]],TMK[[#This Row],[Voltage]])</f>
        <v>DistributionFeederCB2_Milford11</v>
      </c>
      <c r="B70" s="6" t="str">
        <f>CONCATENATE(TMK[[#This Row],[Supply Level]],TMK[[#This Row],[Station/Feeder]],TMK[[#This Row],[Equipment ID]],TMK[[#This Row],[Voltage]],TMK[[#This Row],[Device type]])</f>
        <v>DistributionFeederCB2_MilfordT12011-</v>
      </c>
      <c r="C70" s="6" t="s">
        <v>1276</v>
      </c>
      <c r="D70" s="11" t="s">
        <v>109</v>
      </c>
      <c r="E70" s="7" t="s">
        <v>508</v>
      </c>
      <c r="F70" s="7" t="s">
        <v>509</v>
      </c>
      <c r="G70" s="56">
        <v>8</v>
      </c>
      <c r="H70" s="49" t="s">
        <v>273</v>
      </c>
      <c r="I70" s="123" t="s">
        <v>509</v>
      </c>
      <c r="J70" s="123" t="s">
        <v>240</v>
      </c>
      <c r="K70" s="7" t="s">
        <v>0</v>
      </c>
      <c r="L70" s="7" t="s">
        <v>0</v>
      </c>
      <c r="M70" s="43">
        <v>11</v>
      </c>
      <c r="N70" s="9">
        <v>400</v>
      </c>
      <c r="O70" s="9">
        <f t="shared" si="58"/>
        <v>7.6210235533030604</v>
      </c>
      <c r="P70" s="9">
        <v>400</v>
      </c>
      <c r="Q70" s="9">
        <f t="shared" si="59"/>
        <v>7.6210235533030604</v>
      </c>
      <c r="R70" s="9">
        <v>400</v>
      </c>
      <c r="S70" s="9">
        <f t="shared" si="60"/>
        <v>7.6210235533030604</v>
      </c>
      <c r="T70" s="9" t="s">
        <v>0</v>
      </c>
      <c r="U70" s="9" t="str">
        <f t="shared" si="61"/>
        <v>-</v>
      </c>
      <c r="V70" s="9" t="s">
        <v>0</v>
      </c>
      <c r="W70" s="9" t="str">
        <f t="shared" si="62"/>
        <v>-</v>
      </c>
      <c r="X70" s="9" t="s">
        <v>0</v>
      </c>
      <c r="Y70" s="9" t="str">
        <f t="shared" si="6"/>
        <v>-</v>
      </c>
      <c r="Z70" s="9" t="s">
        <v>0</v>
      </c>
      <c r="AA70" s="9" t="str">
        <f t="shared" si="7"/>
        <v>-</v>
      </c>
      <c r="AB70" s="9" t="s">
        <v>0</v>
      </c>
      <c r="AC70" s="9" t="str">
        <f t="shared" si="8"/>
        <v>-</v>
      </c>
      <c r="AD70" s="9" t="s">
        <v>0</v>
      </c>
      <c r="AE70" s="12" t="str">
        <f t="shared" si="9"/>
        <v>-</v>
      </c>
      <c r="AF70" s="9" t="s">
        <v>0</v>
      </c>
      <c r="AG70" s="9" t="s">
        <v>0</v>
      </c>
      <c r="AH70" s="9" t="s">
        <v>0</v>
      </c>
      <c r="AI70" s="9" t="s">
        <v>0</v>
      </c>
      <c r="AJ70" s="43" t="s">
        <v>0</v>
      </c>
      <c r="AK70" s="9" t="s">
        <v>0</v>
      </c>
      <c r="AL70" s="43" t="s">
        <v>0</v>
      </c>
      <c r="AM70" s="9" t="s">
        <v>0</v>
      </c>
      <c r="AN70" s="43" t="s">
        <v>0</v>
      </c>
      <c r="AO70" s="9" t="s">
        <v>0</v>
      </c>
      <c r="AP70" s="9" t="s">
        <v>0</v>
      </c>
      <c r="AQ70" s="43" t="s">
        <v>0</v>
      </c>
      <c r="AR70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70" s="9" t="str">
        <f t="shared" si="10"/>
        <v>-</v>
      </c>
      <c r="AT70" s="9">
        <f>IF(RIGHT(TMK[[#This Row],[Device type]],7)="Winding","-",TMK[[#This Row],[Cont Winter MVA]])</f>
        <v>7.6210235533030604</v>
      </c>
      <c r="AU70" s="9">
        <f>IF(RIGHT(TMK[[#This Row],[Device type]],7)="Winding","-",TMK[[#This Row],[Cont Shoulder MVA]])</f>
        <v>7.6210235533030604</v>
      </c>
      <c r="AV70" s="9">
        <f>IF(RIGHT(TMK[[#This Row],[Device type]],7)="Winding","-",TMK[[#This Row],[Cont Summer MVA]])</f>
        <v>7.6210235533030604</v>
      </c>
      <c r="AW70" s="9" t="str">
        <f>IF(RIGHT(TMK[[#This Row],[Device type]],7)="Winding","-",TMK[[#This Row],[24 Hr Winter MVA]])</f>
        <v>-</v>
      </c>
      <c r="AX70" s="9" t="str">
        <f>IF(RIGHT(TMK[[#This Row],[Device type]],7)="Winding","-",TMK[[#This Row],[24 Hr Summer MVA]])</f>
        <v>-</v>
      </c>
      <c r="AY70" s="9" t="str">
        <f>TMK[[#This Row],[Forwards MVA]]</f>
        <v>-</v>
      </c>
      <c r="AZ70" s="9" t="str">
        <f>TMK[[#This Row],[Relay MVA]]</f>
        <v>-</v>
      </c>
      <c r="BA70" s="9" t="str">
        <f>TMK[[#This Row],[CT MVA]]</f>
        <v>-</v>
      </c>
      <c r="BB70" s="9" t="str">
        <f>TMK[[#This Row],[Derating MVA]]</f>
        <v>-</v>
      </c>
      <c r="BC70" s="9" t="str">
        <f>TMK[[#This Row],[Station/Feeder]]&amp;TMK[[#This Row],[Lowest MVA]]</f>
        <v>CB2_Milford7.62102355330306</v>
      </c>
      <c r="BD70" s="9" t="str">
        <f>CONCATENATE(TMK[[#This Row],[Supply Level]],TMK[[#This Row],[Station/Feeder]],TMK[[#This Row],[Voltage]],TMK[[#This Row],[Lowest A-No PTX]])</f>
        <v>DistributionFeederCB2_Milford11400</v>
      </c>
      <c r="BE70" s="9" t="str">
        <f>CONCATENATE(TMK[[#This Row],[Supply Level]],TMK[[#This Row],[Station/Feeder]],TMK[[#This Row],[Voltage]],TMK[[#This Row],[Lowest A-PTX]])</f>
        <v>DistributionFeederCB2_Milford11400</v>
      </c>
      <c r="BF70" s="9">
        <f>IFERROR(IF(MIN(TMK[[#This Row],[Summ Cont Winter A]:[Cable Derating]])=0,"",MIN(TMK[[#This Row],[Summ Cont Winter A]:[Cable Derating]])),"")</f>
        <v>7.6210235533030604</v>
      </c>
      <c r="BG70" s="9">
        <f>IFERROR(TMK[[#This Row],[Lowest MVA]]*1000/(TMK[[#This Row],[Voltage]]*SQRT(3)),"")</f>
        <v>400</v>
      </c>
      <c r="BH70" s="9">
        <f t="shared" si="63"/>
        <v>400</v>
      </c>
      <c r="BI70" s="9" t="str">
        <f>TMK[[#This Row],[From]]</f>
        <v>T500</v>
      </c>
      <c r="BJ70" s="9" t="str">
        <f>TMK[[#This Row],[To]]</f>
        <v>T120</v>
      </c>
      <c r="BK7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ABS-T120</v>
      </c>
      <c r="BL70" s="9">
        <f>TMK[[#This Row],[Voltage]]</f>
        <v>11</v>
      </c>
    </row>
    <row r="71" spans="1:64" s="1" customFormat="1" ht="15" customHeight="1" x14ac:dyDescent="0.25">
      <c r="A71" s="6" t="str">
        <f>CONCATENATE(TMK[[#This Row],[Supply Level]],TMK[[#This Row],[Station/Feeder]],TMK[[#This Row],[Voltage]])</f>
        <v>DistributionFeederCB2_Milford11</v>
      </c>
      <c r="B71" s="6" t="str">
        <f>CONCATENATE(TMK[[#This Row],[Supply Level]],TMK[[#This Row],[Station/Feeder]],TMK[[#This Row],[Equipment ID]],TMK[[#This Row],[Voltage]],TMK[[#This Row],[Device type]])</f>
        <v>DistributionFeederCB2_MilfordDOG11-</v>
      </c>
      <c r="C71" s="6" t="s">
        <v>1276</v>
      </c>
      <c r="D71" s="11" t="s">
        <v>109</v>
      </c>
      <c r="E71" s="7" t="s">
        <v>508</v>
      </c>
      <c r="F71" s="7" t="s">
        <v>510</v>
      </c>
      <c r="G71" s="56">
        <v>9</v>
      </c>
      <c r="H71" s="46" t="s">
        <v>1289</v>
      </c>
      <c r="I71" s="123" t="s">
        <v>318</v>
      </c>
      <c r="J71" s="123" t="s">
        <v>69</v>
      </c>
      <c r="K71" s="46" t="s">
        <v>0</v>
      </c>
      <c r="L71" s="46" t="s">
        <v>0</v>
      </c>
      <c r="M71" s="43">
        <v>11</v>
      </c>
      <c r="N71" s="9">
        <v>257</v>
      </c>
      <c r="O71" s="9">
        <f t="shared" si="58"/>
        <v>4.8965076329972161</v>
      </c>
      <c r="P71" s="9" t="s">
        <v>0</v>
      </c>
      <c r="Q71" s="9" t="str">
        <f t="shared" si="59"/>
        <v>-</v>
      </c>
      <c r="R71" s="9">
        <v>256.85852310343915</v>
      </c>
      <c r="S71" s="9">
        <f t="shared" si="60"/>
        <v>4.8938121360948701</v>
      </c>
      <c r="T71" s="9" t="s">
        <v>0</v>
      </c>
      <c r="U71" s="9" t="str">
        <f t="shared" si="61"/>
        <v>-</v>
      </c>
      <c r="V71" s="9" t="s">
        <v>0</v>
      </c>
      <c r="W71" s="9" t="str">
        <f t="shared" si="62"/>
        <v>-</v>
      </c>
      <c r="X71" s="9" t="s">
        <v>0</v>
      </c>
      <c r="Y71" s="9" t="str">
        <f t="shared" ref="Y71:Y73" si="64">IF(OR(X71="",X71="-"),"-",X71*$M71*SQRT(3)/1000)</f>
        <v>-</v>
      </c>
      <c r="Z71" s="9" t="s">
        <v>0</v>
      </c>
      <c r="AA71" s="9" t="str">
        <f t="shared" ref="AA71:AA73" si="65">IF(OR(Z71="",Z71="-"),"-",Z71*$M71*SQRT(3)/1000)</f>
        <v>-</v>
      </c>
      <c r="AB71" s="9" t="s">
        <v>0</v>
      </c>
      <c r="AC71" s="9" t="str">
        <f t="shared" ref="AC71:AC73" si="66">IF(OR(AB71="",AB71="-"),"-",AB71*$M71*SQRT(3)/1000)</f>
        <v>-</v>
      </c>
      <c r="AD71" s="9" t="s">
        <v>0</v>
      </c>
      <c r="AE71" s="12" t="str">
        <f t="shared" ref="AE71:AE73" si="67">IF(OR(AD71="",AD71="-"),"-",AD71*$M71*SQRT(3)/1000)</f>
        <v>-</v>
      </c>
      <c r="AF71" s="9" t="s">
        <v>0</v>
      </c>
      <c r="AG71" s="9" t="s">
        <v>0</v>
      </c>
      <c r="AH71" s="9">
        <v>1028.9000000000001</v>
      </c>
      <c r="AI71" s="9" t="s">
        <v>0</v>
      </c>
      <c r="AJ71" s="43" t="s">
        <v>0</v>
      </c>
      <c r="AK71" s="9" t="s">
        <v>0</v>
      </c>
      <c r="AL71" s="43" t="s">
        <v>0</v>
      </c>
      <c r="AM71" s="9" t="s">
        <v>0</v>
      </c>
      <c r="AN71" s="43" t="s">
        <v>0</v>
      </c>
      <c r="AO71" s="9" t="s">
        <v>0</v>
      </c>
      <c r="AP71" s="9" t="s">
        <v>0</v>
      </c>
      <c r="AQ71" s="43" t="s">
        <v>0</v>
      </c>
      <c r="AR71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71" s="9" t="str">
        <f t="shared" ref="AS71:AS73" si="68">IF(OR(AR71="",AR71="-"),"-",AR71*$M71*SQRT(3)/1000)</f>
        <v>-</v>
      </c>
      <c r="AT71" s="9">
        <f>IF(RIGHT(TMK[[#This Row],[Device type]],7)="Winding","-",TMK[[#This Row],[Cont Winter MVA]])</f>
        <v>4.8965076329972161</v>
      </c>
      <c r="AU71" s="9" t="str">
        <f>IF(RIGHT(TMK[[#This Row],[Device type]],7)="Winding","-",TMK[[#This Row],[Cont Shoulder MVA]])</f>
        <v>-</v>
      </c>
      <c r="AV71" s="9">
        <f>IF(RIGHT(TMK[[#This Row],[Device type]],7)="Winding","-",TMK[[#This Row],[Cont Summer MVA]])</f>
        <v>4.8938121360948701</v>
      </c>
      <c r="AW71" s="9" t="str">
        <f>IF(RIGHT(TMK[[#This Row],[Device type]],7)="Winding","-",TMK[[#This Row],[24 Hr Winter MVA]])</f>
        <v>-</v>
      </c>
      <c r="AX71" s="9" t="str">
        <f>IF(RIGHT(TMK[[#This Row],[Device type]],7)="Winding","-",TMK[[#This Row],[24 Hr Summer MVA]])</f>
        <v>-</v>
      </c>
      <c r="AY71" s="9" t="str">
        <f>TMK[[#This Row],[Forwards MVA]]</f>
        <v>-</v>
      </c>
      <c r="AZ71" s="9" t="str">
        <f>TMK[[#This Row],[Relay MVA]]</f>
        <v>-</v>
      </c>
      <c r="BA71" s="9" t="str">
        <f>TMK[[#This Row],[CT MVA]]</f>
        <v>-</v>
      </c>
      <c r="BB71" s="9" t="str">
        <f>TMK[[#This Row],[Derating MVA]]</f>
        <v>-</v>
      </c>
      <c r="BC71" s="9" t="str">
        <f>TMK[[#This Row],[Station/Feeder]]&amp;TMK[[#This Row],[Lowest MVA]]</f>
        <v>CB2_Milford4.89381213609487</v>
      </c>
      <c r="BD71" s="9" t="str">
        <f>CONCATENATE(TMK[[#This Row],[Supply Level]],TMK[[#This Row],[Station/Feeder]],TMK[[#This Row],[Voltage]],TMK[[#This Row],[Lowest A-No PTX]])</f>
        <v>DistributionFeederCB2_Milford11256.858523103439</v>
      </c>
      <c r="BE71" s="9" t="str">
        <f>CONCATENATE(TMK[[#This Row],[Supply Level]],TMK[[#This Row],[Station/Feeder]],TMK[[#This Row],[Voltage]],TMK[[#This Row],[Lowest A-PTX]])</f>
        <v>DistributionFeederCB2_Milford11256.858523103439</v>
      </c>
      <c r="BF71" s="9">
        <f>IFERROR(IF(MIN(TMK[[#This Row],[Summ Cont Winter A]:[Cable Derating]])=0,"",MIN(TMK[[#This Row],[Summ Cont Winter A]:[Cable Derating]])),"")</f>
        <v>4.8938121360948701</v>
      </c>
      <c r="BG71" s="9">
        <f>IFERROR(TMK[[#This Row],[Lowest MVA]]*1000/(TMK[[#This Row],[Voltage]]*SQRT(3)),"")</f>
        <v>256.85852310343915</v>
      </c>
      <c r="BH71" s="9">
        <f t="shared" si="63"/>
        <v>256.85852310343915</v>
      </c>
      <c r="BI71" s="9" t="str">
        <f>TMK[[#This Row],[From]]</f>
        <v>T500</v>
      </c>
      <c r="BJ71" s="9" t="str">
        <f>TMK[[#This Row],[To]]</f>
        <v>Pole 04185</v>
      </c>
      <c r="BK7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71" s="9">
        <f>TMK[[#This Row],[Voltage]]</f>
        <v>11</v>
      </c>
    </row>
    <row r="72" spans="1:64" s="1" customFormat="1" x14ac:dyDescent="0.25">
      <c r="A72" s="6" t="str">
        <f>CONCATENATE(TMK[[#This Row],[Supply Level]],TMK[[#This Row],[Station/Feeder]],TMK[[#This Row],[Voltage]])</f>
        <v>DistributionFeederCB3_Winchester11</v>
      </c>
      <c r="B72" s="6" t="str">
        <f>CONCATENATE(TMK[[#This Row],[Supply Level]],TMK[[#This Row],[Station/Feeder]],TMK[[#This Row],[Equipment ID]],TMK[[#This Row],[Voltage]],TMK[[#This Row],[Device type]])</f>
        <v>DistributionFeederCB3_WinchesterTMK-CB311Protection</v>
      </c>
      <c r="C72" s="6" t="s">
        <v>1276</v>
      </c>
      <c r="D72" s="11" t="s">
        <v>120</v>
      </c>
      <c r="E72" s="7" t="s">
        <v>243</v>
      </c>
      <c r="F72" s="7" t="s">
        <v>514</v>
      </c>
      <c r="G72" s="56">
        <v>1</v>
      </c>
      <c r="H72" s="7" t="s">
        <v>343</v>
      </c>
      <c r="I72" s="123" t="s">
        <v>2321</v>
      </c>
      <c r="J72" s="123" t="s">
        <v>15</v>
      </c>
      <c r="K72" s="46" t="s">
        <v>1121</v>
      </c>
      <c r="L72" s="46" t="s">
        <v>1423</v>
      </c>
      <c r="M72" s="43">
        <v>11</v>
      </c>
      <c r="N72" s="9">
        <v>630</v>
      </c>
      <c r="O72" s="9">
        <f t="shared" si="58"/>
        <v>12.00311209645232</v>
      </c>
      <c r="P72" s="9">
        <v>630</v>
      </c>
      <c r="Q72" s="9">
        <f t="shared" si="59"/>
        <v>12.00311209645232</v>
      </c>
      <c r="R72" s="9">
        <v>630</v>
      </c>
      <c r="S72" s="9">
        <f t="shared" si="60"/>
        <v>12.00311209645232</v>
      </c>
      <c r="T72" s="9" t="s">
        <v>0</v>
      </c>
      <c r="U72" s="9" t="str">
        <f t="shared" si="61"/>
        <v>-</v>
      </c>
      <c r="V72" s="9" t="s">
        <v>0</v>
      </c>
      <c r="W72" s="9" t="str">
        <f t="shared" si="62"/>
        <v>-</v>
      </c>
      <c r="X72" s="9">
        <f>VLOOKUP(TMK[[#This Row],[Equipment ID]],AEL_Protection_Data[#All],12,0)</f>
        <v>402</v>
      </c>
      <c r="Y72" s="9">
        <f t="shared" si="64"/>
        <v>7.659128671069575</v>
      </c>
      <c r="Z72" s="9">
        <v>402</v>
      </c>
      <c r="AA72" s="9">
        <f t="shared" si="65"/>
        <v>7.659128671069575</v>
      </c>
      <c r="AB72" s="9" t="s">
        <v>0</v>
      </c>
      <c r="AC72" s="9" t="str">
        <f t="shared" si="66"/>
        <v>-</v>
      </c>
      <c r="AD72" s="9">
        <v>600</v>
      </c>
      <c r="AE72" s="12">
        <f t="shared" si="67"/>
        <v>11.43153532995459</v>
      </c>
      <c r="AF72" s="9" t="s">
        <v>0</v>
      </c>
      <c r="AG72" s="9" t="s">
        <v>0</v>
      </c>
      <c r="AH72" s="9" t="s">
        <v>0</v>
      </c>
      <c r="AI72" s="9" t="s">
        <v>0</v>
      </c>
      <c r="AJ72" s="32" t="s">
        <v>0</v>
      </c>
      <c r="AK72" s="29" t="s">
        <v>0</v>
      </c>
      <c r="AL72" s="32" t="s">
        <v>0</v>
      </c>
      <c r="AM72" s="29" t="s">
        <v>0</v>
      </c>
      <c r="AN72" s="32" t="s">
        <v>0</v>
      </c>
      <c r="AO72" s="29" t="s">
        <v>0</v>
      </c>
      <c r="AP72" s="32" t="s">
        <v>0</v>
      </c>
      <c r="AQ72" s="32" t="s">
        <v>0</v>
      </c>
      <c r="AR72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72" s="9" t="str">
        <f t="shared" si="68"/>
        <v>-</v>
      </c>
      <c r="AT72" s="9">
        <f>IF(RIGHT(TMK[[#This Row],[Device type]],7)="Winding","-",TMK[[#This Row],[Cont Winter MVA]])</f>
        <v>12.00311209645232</v>
      </c>
      <c r="AU72" s="9">
        <f>IF(RIGHT(TMK[[#This Row],[Device type]],7)="Winding","-",TMK[[#This Row],[Cont Shoulder MVA]])</f>
        <v>12.00311209645232</v>
      </c>
      <c r="AV72" s="9">
        <f>IF(RIGHT(TMK[[#This Row],[Device type]],7)="Winding","-",TMK[[#This Row],[Cont Summer MVA]])</f>
        <v>12.00311209645232</v>
      </c>
      <c r="AW72" s="9" t="str">
        <f>IF(RIGHT(TMK[[#This Row],[Device type]],7)="Winding","-",TMK[[#This Row],[24 Hr Winter MVA]])</f>
        <v>-</v>
      </c>
      <c r="AX72" s="9" t="str">
        <f>IF(RIGHT(TMK[[#This Row],[Device type]],7)="Winding","-",TMK[[#This Row],[24 Hr Summer MVA]])</f>
        <v>-</v>
      </c>
      <c r="AY72" s="9">
        <f>TMK[[#This Row],[Forwards MVA]]</f>
        <v>7.659128671069575</v>
      </c>
      <c r="AZ72" s="9" t="str">
        <f>TMK[[#This Row],[Relay MVA]]</f>
        <v>-</v>
      </c>
      <c r="BA72" s="9">
        <f>TMK[[#This Row],[CT MVA]]</f>
        <v>11.43153532995459</v>
      </c>
      <c r="BB72" s="9" t="str">
        <f>TMK[[#This Row],[Derating MVA]]</f>
        <v>-</v>
      </c>
      <c r="BC72" s="9" t="str">
        <f>TMK[[#This Row],[Station/Feeder]]&amp;TMK[[#This Row],[Lowest MVA]]</f>
        <v>CB3_Winchester7.65912867106957</v>
      </c>
      <c r="BD72" s="9" t="str">
        <f>CONCATENATE(TMK[[#This Row],[Supply Level]],TMK[[#This Row],[Station/Feeder]],TMK[[#This Row],[Voltage]],TMK[[#This Row],[Lowest A-No PTX]])</f>
        <v>DistributionFeederCB3_Winchester11402</v>
      </c>
      <c r="BE72" s="9" t="str">
        <f>CONCATENATE(TMK[[#This Row],[Supply Level]],TMK[[#This Row],[Station/Feeder]],TMK[[#This Row],[Voltage]],TMK[[#This Row],[Lowest A-PTX]])</f>
        <v>DistributionFeederCB3_Winchester11402</v>
      </c>
      <c r="BF72" s="9">
        <f>IFERROR(IF(MIN(TMK[[#This Row],[Summ Cont Winter A]:[Cable Derating]])=0,"",MIN(TMK[[#This Row],[Summ Cont Winter A]:[Cable Derating]])),"")</f>
        <v>7.659128671069575</v>
      </c>
      <c r="BG72" s="9">
        <f>IFERROR(TMK[[#This Row],[Lowest MVA]]*1000/(TMK[[#This Row],[Voltage]]*SQRT(3)),"")</f>
        <v>402</v>
      </c>
      <c r="BH72" s="9">
        <f t="shared" si="63"/>
        <v>402</v>
      </c>
      <c r="BI72" s="9" t="str">
        <f>TMK[[#This Row],[From]]</f>
        <v>11 kV Bus</v>
      </c>
      <c r="BJ72" s="9" t="str">
        <f>TMK[[#This Row],[To]]</f>
        <v>G100</v>
      </c>
      <c r="BK7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Breaker-TMK-CB3-Protection</v>
      </c>
      <c r="BL72" s="9">
        <f>TMK[[#This Row],[Voltage]]</f>
        <v>11</v>
      </c>
    </row>
    <row r="73" spans="1:64" s="1" customFormat="1" x14ac:dyDescent="0.25">
      <c r="A73" s="6" t="str">
        <f>CONCATENATE(TMK[[#This Row],[Supply Level]],TMK[[#This Row],[Station/Feeder]],TMK[[#This Row],[Voltage]])</f>
        <v>DistributionFeederCB3_Winchester11</v>
      </c>
      <c r="B73" s="6" t="str">
        <f>CONCATENATE(TMK[[#This Row],[Supply Level]],TMK[[#This Row],[Station/Feeder]],TMK[[#This Row],[Equipment ID]],TMK[[#This Row],[Voltage]],TMK[[#This Row],[Device type]])</f>
        <v>DistributionFeederCB3_Winchester1-3c 300 mm² Al XLPE11-</v>
      </c>
      <c r="C73" s="6" t="s">
        <v>1276</v>
      </c>
      <c r="D73" s="11" t="s">
        <v>120</v>
      </c>
      <c r="E73" s="7" t="s">
        <v>243</v>
      </c>
      <c r="F73" s="7" t="s">
        <v>514</v>
      </c>
      <c r="G73" s="56">
        <v>2</v>
      </c>
      <c r="H73" s="46" t="s">
        <v>528</v>
      </c>
      <c r="I73" s="123" t="s">
        <v>569</v>
      </c>
      <c r="J73" s="123" t="s">
        <v>250</v>
      </c>
      <c r="K73" s="46" t="s">
        <v>0</v>
      </c>
      <c r="L73" s="46" t="s">
        <v>0</v>
      </c>
      <c r="M73" s="43">
        <v>11</v>
      </c>
      <c r="N73" s="9">
        <v>476</v>
      </c>
      <c r="O73" s="9">
        <f t="shared" si="58"/>
        <v>9.0690180284306408</v>
      </c>
      <c r="P73" s="9">
        <v>476</v>
      </c>
      <c r="Q73" s="9">
        <f t="shared" si="59"/>
        <v>9.0690180284306408</v>
      </c>
      <c r="R73" s="9">
        <v>476</v>
      </c>
      <c r="S73" s="9">
        <f t="shared" si="60"/>
        <v>9.0690180284306408</v>
      </c>
      <c r="T73" s="9" t="s">
        <v>0</v>
      </c>
      <c r="U73" s="9" t="str">
        <f t="shared" si="61"/>
        <v>-</v>
      </c>
      <c r="V73" s="9" t="s">
        <v>0</v>
      </c>
      <c r="W73" s="9" t="str">
        <f t="shared" si="62"/>
        <v>-</v>
      </c>
      <c r="X73" s="9" t="s">
        <v>0</v>
      </c>
      <c r="Y73" s="9" t="str">
        <f t="shared" si="64"/>
        <v>-</v>
      </c>
      <c r="Z73" s="9" t="s">
        <v>0</v>
      </c>
      <c r="AA73" s="9" t="str">
        <f t="shared" si="65"/>
        <v>-</v>
      </c>
      <c r="AB73" s="9" t="s">
        <v>0</v>
      </c>
      <c r="AC73" s="9" t="str">
        <f t="shared" si="66"/>
        <v>-</v>
      </c>
      <c r="AD73" s="9" t="s">
        <v>0</v>
      </c>
      <c r="AE73" s="12" t="str">
        <f t="shared" si="67"/>
        <v>-</v>
      </c>
      <c r="AF73" s="9">
        <v>3</v>
      </c>
      <c r="AG73" s="9" t="s">
        <v>265</v>
      </c>
      <c r="AH73" s="9">
        <v>118.2</v>
      </c>
      <c r="AI73" s="9">
        <v>1</v>
      </c>
      <c r="AJ73" s="32">
        <v>0.98</v>
      </c>
      <c r="AK73" s="29">
        <v>18</v>
      </c>
      <c r="AL73" s="32">
        <v>0.98</v>
      </c>
      <c r="AM73" s="29">
        <v>1.2</v>
      </c>
      <c r="AN73" s="32">
        <v>1</v>
      </c>
      <c r="AO73" s="29">
        <v>2</v>
      </c>
      <c r="AP73" s="32">
        <v>0.8</v>
      </c>
      <c r="AQ73" s="32">
        <v>0.95</v>
      </c>
      <c r="AR73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434.29287999999991</v>
      </c>
      <c r="AS73" s="9">
        <f t="shared" si="68"/>
        <v>8.2743906687795459</v>
      </c>
      <c r="AT73" s="9">
        <f>IF(RIGHT(TMK[[#This Row],[Device type]],7)="Winding","-",TMK[[#This Row],[Cont Winter MVA]])</f>
        <v>9.0690180284306408</v>
      </c>
      <c r="AU73" s="9">
        <f>IF(RIGHT(TMK[[#This Row],[Device type]],7)="Winding","-",TMK[[#This Row],[Cont Shoulder MVA]])</f>
        <v>9.0690180284306408</v>
      </c>
      <c r="AV73" s="9">
        <f>IF(RIGHT(TMK[[#This Row],[Device type]],7)="Winding","-",TMK[[#This Row],[Cont Summer MVA]])</f>
        <v>9.0690180284306408</v>
      </c>
      <c r="AW73" s="9" t="str">
        <f>IF(RIGHT(TMK[[#This Row],[Device type]],7)="Winding","-",TMK[[#This Row],[24 Hr Winter MVA]])</f>
        <v>-</v>
      </c>
      <c r="AX73" s="9" t="str">
        <f>IF(RIGHT(TMK[[#This Row],[Device type]],7)="Winding","-",TMK[[#This Row],[24 Hr Summer MVA]])</f>
        <v>-</v>
      </c>
      <c r="AY73" s="9" t="str">
        <f>TMK[[#This Row],[Forwards MVA]]</f>
        <v>-</v>
      </c>
      <c r="AZ73" s="9" t="str">
        <f>TMK[[#This Row],[Relay MVA]]</f>
        <v>-</v>
      </c>
      <c r="BA73" s="9" t="str">
        <f>TMK[[#This Row],[CT MVA]]</f>
        <v>-</v>
      </c>
      <c r="BB73" s="9">
        <f>TMK[[#This Row],[Derating MVA]]</f>
        <v>8.2743906687795459</v>
      </c>
      <c r="BC73" s="9" t="str">
        <f>TMK[[#This Row],[Station/Feeder]]&amp;TMK[[#This Row],[Lowest MVA]]</f>
        <v>CB3_Winchester8.27439066877955</v>
      </c>
      <c r="BD73" s="9" t="str">
        <f>CONCATENATE(TMK[[#This Row],[Supply Level]],TMK[[#This Row],[Station/Feeder]],TMK[[#This Row],[Voltage]],TMK[[#This Row],[Lowest A-No PTX]])</f>
        <v>DistributionFeederCB3_Winchester11434.29288</v>
      </c>
      <c r="BE73" s="9" t="str">
        <f>CONCATENATE(TMK[[#This Row],[Supply Level]],TMK[[#This Row],[Station/Feeder]],TMK[[#This Row],[Voltage]],TMK[[#This Row],[Lowest A-PTX]])</f>
        <v>DistributionFeederCB3_Winchester11434.29288</v>
      </c>
      <c r="BF73" s="9">
        <f>IFERROR(IF(MIN(TMK[[#This Row],[Summ Cont Winter A]:[Cable Derating]])=0,"",MIN(TMK[[#This Row],[Summ Cont Winter A]:[Cable Derating]])),"")</f>
        <v>8.2743906687795459</v>
      </c>
      <c r="BG73" s="9">
        <f>IFERROR(TMK[[#This Row],[Lowest MVA]]*1000/(TMK[[#This Row],[Voltage]]*SQRT(3)),"")</f>
        <v>434.29287999999985</v>
      </c>
      <c r="BH73" s="9">
        <f t="shared" si="63"/>
        <v>434.29287999999991</v>
      </c>
      <c r="BI73" s="9" t="str">
        <f>TMK[[#This Row],[From]]</f>
        <v>11 kV Bus</v>
      </c>
      <c r="BJ73" s="9" t="str">
        <f>TMK[[#This Row],[To]]</f>
        <v>G100</v>
      </c>
      <c r="BK7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XLPE</v>
      </c>
      <c r="BL73" s="9">
        <f>TMK[[#This Row],[Voltage]]</f>
        <v>11</v>
      </c>
    </row>
    <row r="74" spans="1:64" s="1" customFormat="1" x14ac:dyDescent="0.25">
      <c r="A74" s="6" t="str">
        <f>CONCATENATE(TMK[[#This Row],[Supply Level]],TMK[[#This Row],[Station/Feeder]],TMK[[#This Row],[Voltage]])</f>
        <v>DistributionFeederCB3_Winchester11</v>
      </c>
      <c r="B74" s="6" t="str">
        <f>CONCATENATE(TMK[[#This Row],[Supply Level]],TMK[[#This Row],[Station/Feeder]],TMK[[#This Row],[Equipment ID]],TMK[[#This Row],[Voltage]],TMK[[#This Row],[Device type]])</f>
        <v>DistributionFeederCB3_WinchesterG10011-</v>
      </c>
      <c r="C74" s="6" t="s">
        <v>1276</v>
      </c>
      <c r="D74" s="11" t="s">
        <v>120</v>
      </c>
      <c r="E74" s="7" t="s">
        <v>243</v>
      </c>
      <c r="F74" s="7" t="s">
        <v>514</v>
      </c>
      <c r="G74" s="56">
        <v>3</v>
      </c>
      <c r="H74" s="46" t="s">
        <v>273</v>
      </c>
      <c r="I74" s="123" t="s">
        <v>514</v>
      </c>
      <c r="J74" s="123" t="s">
        <v>240</v>
      </c>
      <c r="K74" s="46" t="s">
        <v>0</v>
      </c>
      <c r="L74" s="46" t="s">
        <v>0</v>
      </c>
      <c r="M74" s="43">
        <v>11</v>
      </c>
      <c r="N74" s="9">
        <v>400</v>
      </c>
      <c r="O74" s="9">
        <f t="shared" si="58"/>
        <v>7.6210235533030604</v>
      </c>
      <c r="P74" s="9">
        <v>400</v>
      </c>
      <c r="Q74" s="9">
        <f t="shared" si="59"/>
        <v>7.6210235533030604</v>
      </c>
      <c r="R74" s="9">
        <v>400</v>
      </c>
      <c r="S74" s="9">
        <f t="shared" si="60"/>
        <v>7.6210235533030604</v>
      </c>
      <c r="T74" s="9" t="s">
        <v>0</v>
      </c>
      <c r="U74" s="9" t="str">
        <f t="shared" si="61"/>
        <v>-</v>
      </c>
      <c r="V74" s="9" t="s">
        <v>0</v>
      </c>
      <c r="W74" s="9" t="str">
        <f t="shared" si="62"/>
        <v>-</v>
      </c>
      <c r="X74" s="9" t="s">
        <v>0</v>
      </c>
      <c r="Y74" s="9" t="str">
        <f t="shared" si="6"/>
        <v>-</v>
      </c>
      <c r="Z74" s="9" t="s">
        <v>0</v>
      </c>
      <c r="AA74" s="9" t="str">
        <f t="shared" si="7"/>
        <v>-</v>
      </c>
      <c r="AB74" s="9" t="s">
        <v>0</v>
      </c>
      <c r="AC74" s="9" t="str">
        <f t="shared" si="8"/>
        <v>-</v>
      </c>
      <c r="AD74" s="9" t="s">
        <v>0</v>
      </c>
      <c r="AE74" s="12" t="str">
        <f t="shared" si="9"/>
        <v>-</v>
      </c>
      <c r="AF74" s="29" t="s">
        <v>0</v>
      </c>
      <c r="AG74" s="29" t="s">
        <v>0</v>
      </c>
      <c r="AH74" s="29" t="s">
        <v>0</v>
      </c>
      <c r="AI74" s="29" t="s">
        <v>0</v>
      </c>
      <c r="AJ74" s="32" t="s">
        <v>0</v>
      </c>
      <c r="AK74" s="29" t="s">
        <v>0</v>
      </c>
      <c r="AL74" s="32" t="s">
        <v>0</v>
      </c>
      <c r="AM74" s="29" t="s">
        <v>0</v>
      </c>
      <c r="AN74" s="32" t="s">
        <v>0</v>
      </c>
      <c r="AO74" s="29" t="s">
        <v>0</v>
      </c>
      <c r="AP74" s="29" t="s">
        <v>0</v>
      </c>
      <c r="AQ74" s="32" t="s">
        <v>0</v>
      </c>
      <c r="AR74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74" s="9" t="str">
        <f t="shared" si="10"/>
        <v>-</v>
      </c>
      <c r="AT74" s="9">
        <f>IF(RIGHT(TMK[[#This Row],[Device type]],7)="Winding","-",TMK[[#This Row],[Cont Winter MVA]])</f>
        <v>7.6210235533030604</v>
      </c>
      <c r="AU74" s="9">
        <f>IF(RIGHT(TMK[[#This Row],[Device type]],7)="Winding","-",TMK[[#This Row],[Cont Shoulder MVA]])</f>
        <v>7.6210235533030604</v>
      </c>
      <c r="AV74" s="9">
        <f>IF(RIGHT(TMK[[#This Row],[Device type]],7)="Winding","-",TMK[[#This Row],[Cont Summer MVA]])</f>
        <v>7.6210235533030604</v>
      </c>
      <c r="AW74" s="9" t="str">
        <f>IF(RIGHT(TMK[[#This Row],[Device type]],7)="Winding","-",TMK[[#This Row],[24 Hr Winter MVA]])</f>
        <v>-</v>
      </c>
      <c r="AX74" s="9" t="str">
        <f>IF(RIGHT(TMK[[#This Row],[Device type]],7)="Winding","-",TMK[[#This Row],[24 Hr Summer MVA]])</f>
        <v>-</v>
      </c>
      <c r="AY74" s="9" t="str">
        <f>TMK[[#This Row],[Forwards MVA]]</f>
        <v>-</v>
      </c>
      <c r="AZ74" s="9" t="str">
        <f>TMK[[#This Row],[Relay MVA]]</f>
        <v>-</v>
      </c>
      <c r="BA74" s="9" t="str">
        <f>TMK[[#This Row],[CT MVA]]</f>
        <v>-</v>
      </c>
      <c r="BB74" s="9" t="str">
        <f>TMK[[#This Row],[Derating MVA]]</f>
        <v>-</v>
      </c>
      <c r="BC74" s="9" t="str">
        <f>TMK[[#This Row],[Station/Feeder]]&amp;TMK[[#This Row],[Lowest MVA]]</f>
        <v>CB3_Winchester7.62102355330306</v>
      </c>
      <c r="BD74" s="9" t="str">
        <f>CONCATENATE(TMK[[#This Row],[Supply Level]],TMK[[#This Row],[Station/Feeder]],TMK[[#This Row],[Voltage]],TMK[[#This Row],[Lowest A-No PTX]])</f>
        <v>DistributionFeederCB3_Winchester11400</v>
      </c>
      <c r="BE74" s="9" t="str">
        <f>CONCATENATE(TMK[[#This Row],[Supply Level]],TMK[[#This Row],[Station/Feeder]],TMK[[#This Row],[Voltage]],TMK[[#This Row],[Lowest A-PTX]])</f>
        <v>DistributionFeederCB3_Winchester11400</v>
      </c>
      <c r="BF74" s="9">
        <f>IFERROR(IF(MIN(TMK[[#This Row],[Summ Cont Winter A]:[Cable Derating]])=0,"",MIN(TMK[[#This Row],[Summ Cont Winter A]:[Cable Derating]])),"")</f>
        <v>7.6210235533030604</v>
      </c>
      <c r="BG74" s="9">
        <f>IFERROR(TMK[[#This Row],[Lowest MVA]]*1000/(TMK[[#This Row],[Voltage]]*SQRT(3)),"")</f>
        <v>400</v>
      </c>
      <c r="BH74" s="9">
        <f t="shared" si="63"/>
        <v>400</v>
      </c>
      <c r="BI74" s="9" t="str">
        <f>TMK[[#This Row],[From]]</f>
        <v>11 kV Bus</v>
      </c>
      <c r="BJ74" s="9" t="str">
        <f>TMK[[#This Row],[To]]</f>
        <v>G100</v>
      </c>
      <c r="BK7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ABS-G100</v>
      </c>
      <c r="BL74" s="9">
        <f>TMK[[#This Row],[Voltage]]</f>
        <v>11</v>
      </c>
    </row>
    <row r="75" spans="1:64" s="1" customFormat="1" x14ac:dyDescent="0.25">
      <c r="A75" s="6" t="str">
        <f>CONCATENATE(TMK[[#This Row],[Supply Level]],TMK[[#This Row],[Station/Feeder]],TMK[[#This Row],[Voltage]])</f>
        <v>DistributionFeederCB3_Winchester11</v>
      </c>
      <c r="B75" s="6" t="str">
        <f>CONCATENATE(TMK[[#This Row],[Supply Level]],TMK[[#This Row],[Station/Feeder]],TMK[[#This Row],[Equipment ID]],TMK[[#This Row],[Voltage]],TMK[[#This Row],[Device type]])</f>
        <v>DistributionFeederCB3_WinchesterCHAFER11-</v>
      </c>
      <c r="C75" s="6" t="s">
        <v>1276</v>
      </c>
      <c r="D75" s="11" t="s">
        <v>120</v>
      </c>
      <c r="E75" s="7" t="s">
        <v>514</v>
      </c>
      <c r="F75" s="7" t="s">
        <v>516</v>
      </c>
      <c r="G75" s="56">
        <v>4</v>
      </c>
      <c r="H75" s="46" t="s">
        <v>1289</v>
      </c>
      <c r="I75" s="123" t="s">
        <v>505</v>
      </c>
      <c r="J75" s="123" t="s">
        <v>69</v>
      </c>
      <c r="K75" s="46" t="s">
        <v>0</v>
      </c>
      <c r="L75" s="46" t="s">
        <v>0</v>
      </c>
      <c r="M75" s="43">
        <v>11</v>
      </c>
      <c r="N75" s="9">
        <v>524.32641073638399</v>
      </c>
      <c r="O75" s="9">
        <f t="shared" si="58"/>
        <v>9.9897598146020918</v>
      </c>
      <c r="P75" s="9" t="s">
        <v>0</v>
      </c>
      <c r="Q75" s="9" t="str">
        <f t="shared" si="59"/>
        <v>-</v>
      </c>
      <c r="R75" s="9">
        <v>388.10484430946377</v>
      </c>
      <c r="S75" s="9">
        <f t="shared" si="60"/>
        <v>7.3943903990836004</v>
      </c>
      <c r="T75" s="9" t="s">
        <v>0</v>
      </c>
      <c r="U75" s="9" t="str">
        <f t="shared" si="61"/>
        <v>-</v>
      </c>
      <c r="V75" s="9" t="s">
        <v>0</v>
      </c>
      <c r="W75" s="9" t="str">
        <f t="shared" si="62"/>
        <v>-</v>
      </c>
      <c r="X75" s="9" t="s">
        <v>0</v>
      </c>
      <c r="Y75" s="9" t="str">
        <f t="shared" si="6"/>
        <v>-</v>
      </c>
      <c r="Z75" s="9" t="s">
        <v>0</v>
      </c>
      <c r="AA75" s="9" t="str">
        <f t="shared" si="7"/>
        <v>-</v>
      </c>
      <c r="AB75" s="9" t="s">
        <v>0</v>
      </c>
      <c r="AC75" s="9" t="str">
        <f t="shared" si="8"/>
        <v>-</v>
      </c>
      <c r="AD75" s="9" t="s">
        <v>0</v>
      </c>
      <c r="AE75" s="12" t="str">
        <f t="shared" si="9"/>
        <v>-</v>
      </c>
      <c r="AF75" s="9" t="s">
        <v>0</v>
      </c>
      <c r="AG75" s="9" t="s">
        <v>0</v>
      </c>
      <c r="AH75" s="9">
        <v>33.4</v>
      </c>
      <c r="AI75" s="9" t="s">
        <v>0</v>
      </c>
      <c r="AJ75" s="32" t="s">
        <v>0</v>
      </c>
      <c r="AK75" s="29" t="s">
        <v>0</v>
      </c>
      <c r="AL75" s="32" t="s">
        <v>0</v>
      </c>
      <c r="AM75" s="29" t="s">
        <v>0</v>
      </c>
      <c r="AN75" s="32" t="s">
        <v>0</v>
      </c>
      <c r="AO75" s="29" t="s">
        <v>0</v>
      </c>
      <c r="AP75" s="32" t="s">
        <v>0</v>
      </c>
      <c r="AQ75" s="32" t="s">
        <v>0</v>
      </c>
      <c r="AR75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75" s="9" t="str">
        <f t="shared" si="10"/>
        <v>-</v>
      </c>
      <c r="AT75" s="9">
        <f>IF(RIGHT(TMK[[#This Row],[Device type]],7)="Winding","-",TMK[[#This Row],[Cont Winter MVA]])</f>
        <v>9.9897598146020918</v>
      </c>
      <c r="AU75" s="9" t="str">
        <f>IF(RIGHT(TMK[[#This Row],[Device type]],7)="Winding","-",TMK[[#This Row],[Cont Shoulder MVA]])</f>
        <v>-</v>
      </c>
      <c r="AV75" s="9">
        <f>IF(RIGHT(TMK[[#This Row],[Device type]],7)="Winding","-",TMK[[#This Row],[Cont Summer MVA]])</f>
        <v>7.3943903990836004</v>
      </c>
      <c r="AW75" s="9" t="str">
        <f>IF(RIGHT(TMK[[#This Row],[Device type]],7)="Winding","-",TMK[[#This Row],[24 Hr Winter MVA]])</f>
        <v>-</v>
      </c>
      <c r="AX75" s="9" t="str">
        <f>IF(RIGHT(TMK[[#This Row],[Device type]],7)="Winding","-",TMK[[#This Row],[24 Hr Summer MVA]])</f>
        <v>-</v>
      </c>
      <c r="AY75" s="9" t="str">
        <f>TMK[[#This Row],[Forwards MVA]]</f>
        <v>-</v>
      </c>
      <c r="AZ75" s="9" t="str">
        <f>TMK[[#This Row],[Relay MVA]]</f>
        <v>-</v>
      </c>
      <c r="BA75" s="9" t="str">
        <f>TMK[[#This Row],[CT MVA]]</f>
        <v>-</v>
      </c>
      <c r="BB75" s="9" t="str">
        <f>TMK[[#This Row],[Derating MVA]]</f>
        <v>-</v>
      </c>
      <c r="BC75" s="9" t="str">
        <f>TMK[[#This Row],[Station/Feeder]]&amp;TMK[[#This Row],[Lowest MVA]]</f>
        <v>CB3_Winchester7.3943903990836</v>
      </c>
      <c r="BD75" s="9" t="str">
        <f>CONCATENATE(TMK[[#This Row],[Supply Level]],TMK[[#This Row],[Station/Feeder]],TMK[[#This Row],[Voltage]],TMK[[#This Row],[Lowest A-No PTX]])</f>
        <v>DistributionFeederCB3_Winchester11388.104844309464</v>
      </c>
      <c r="BE75" s="9" t="str">
        <f>CONCATENATE(TMK[[#This Row],[Supply Level]],TMK[[#This Row],[Station/Feeder]],TMK[[#This Row],[Voltage]],TMK[[#This Row],[Lowest A-PTX]])</f>
        <v>DistributionFeederCB3_Winchester11388.104844309464</v>
      </c>
      <c r="BF75" s="9">
        <f>IFERROR(IF(MIN(TMK[[#This Row],[Summ Cont Winter A]:[Cable Derating]])=0,"",MIN(TMK[[#This Row],[Summ Cont Winter A]:[Cable Derating]])),"")</f>
        <v>7.3943903990836004</v>
      </c>
      <c r="BG75" s="9">
        <f>IFERROR(TMK[[#This Row],[Lowest MVA]]*1000/(TMK[[#This Row],[Voltage]]*SQRT(3)),"")</f>
        <v>388.10484430946377</v>
      </c>
      <c r="BH75" s="9">
        <f t="shared" si="63"/>
        <v>388.10484430946377</v>
      </c>
      <c r="BI75" s="9" t="str">
        <f>TMK[[#This Row],[From]]</f>
        <v>G100</v>
      </c>
      <c r="BJ75" s="9" t="str">
        <f>TMK[[#This Row],[To]]</f>
        <v>Pole 47049</v>
      </c>
      <c r="BK7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Line-CHAFER</v>
      </c>
      <c r="BL75" s="9">
        <f>TMK[[#This Row],[Voltage]]</f>
        <v>11</v>
      </c>
    </row>
    <row r="76" spans="1:64" s="1" customFormat="1" x14ac:dyDescent="0.25">
      <c r="A76" s="6" t="str">
        <f>CONCATENATE(TMK[[#This Row],[Supply Level]],TMK[[#This Row],[Station/Feeder]],TMK[[#This Row],[Voltage]])</f>
        <v>DistributionFeederCB3_Winchester11</v>
      </c>
      <c r="B76" s="6" t="str">
        <f>CONCATENATE(TMK[[#This Row],[Supply Level]],TMK[[#This Row],[Station/Feeder]],TMK[[#This Row],[Equipment ID]],TMK[[#This Row],[Voltage]],TMK[[#This Row],[Device type]])</f>
        <v>DistributionFeederCB3_WinchesterJAGUAR11-</v>
      </c>
      <c r="C76" s="6" t="s">
        <v>1276</v>
      </c>
      <c r="D76" s="11" t="s">
        <v>120</v>
      </c>
      <c r="E76" s="7" t="s">
        <v>516</v>
      </c>
      <c r="F76" s="7" t="s">
        <v>520</v>
      </c>
      <c r="G76" s="56">
        <v>5</v>
      </c>
      <c r="H76" s="46" t="s">
        <v>1289</v>
      </c>
      <c r="I76" s="123" t="s">
        <v>345</v>
      </c>
      <c r="J76" s="123" t="s">
        <v>69</v>
      </c>
      <c r="K76" s="9" t="s">
        <v>0</v>
      </c>
      <c r="L76" s="46" t="s">
        <v>0</v>
      </c>
      <c r="M76" s="43">
        <v>11</v>
      </c>
      <c r="N76" s="9">
        <v>523.13480389780273</v>
      </c>
      <c r="O76" s="9">
        <f t="shared" si="58"/>
        <v>9.9670566551443294</v>
      </c>
      <c r="P76" s="9" t="s">
        <v>0</v>
      </c>
      <c r="Q76" s="9" t="str">
        <f t="shared" si="59"/>
        <v>-</v>
      </c>
      <c r="R76" s="9">
        <v>386.92827157177999</v>
      </c>
      <c r="S76" s="9">
        <f t="shared" si="60"/>
        <v>7.3719736777184455</v>
      </c>
      <c r="T76" s="9" t="s">
        <v>0</v>
      </c>
      <c r="U76" s="9" t="str">
        <f t="shared" si="61"/>
        <v>-</v>
      </c>
      <c r="V76" s="9" t="s">
        <v>0</v>
      </c>
      <c r="W76" s="9" t="str">
        <f t="shared" si="62"/>
        <v>-</v>
      </c>
      <c r="X76" s="9" t="s">
        <v>0</v>
      </c>
      <c r="Y76" s="9" t="str">
        <f>IF(OR(X76="",X76="-"),"-",X76*$M76*SQRT(3)/1000)</f>
        <v>-</v>
      </c>
      <c r="Z76" s="9" t="s">
        <v>0</v>
      </c>
      <c r="AA76" s="9" t="str">
        <f t="shared" ref="AA76:AA89" si="69">IF(OR(Z76="",Z76="-"),"-",Z76*$M76*SQRT(3)/1000)</f>
        <v>-</v>
      </c>
      <c r="AB76" s="9" t="s">
        <v>0</v>
      </c>
      <c r="AC76" s="9" t="str">
        <f t="shared" ref="AC76:AC89" si="70">IF(OR(AB76="",AB76="-"),"-",AB76*$M76*SQRT(3)/1000)</f>
        <v>-</v>
      </c>
      <c r="AD76" s="9" t="s">
        <v>0</v>
      </c>
      <c r="AE76" s="12" t="str">
        <f t="shared" ref="AE76:AE89" si="71">IF(OR(AD76="",AD76="-"),"-",AD76*$M76*SQRT(3)/1000)</f>
        <v>-</v>
      </c>
      <c r="AF76" s="29" t="s">
        <v>0</v>
      </c>
      <c r="AG76" s="29" t="s">
        <v>0</v>
      </c>
      <c r="AH76" s="29">
        <v>577.1</v>
      </c>
      <c r="AI76" s="29" t="s">
        <v>0</v>
      </c>
      <c r="AJ76" s="32" t="s">
        <v>0</v>
      </c>
      <c r="AK76" s="29" t="s">
        <v>0</v>
      </c>
      <c r="AL76" s="32" t="s">
        <v>0</v>
      </c>
      <c r="AM76" s="29" t="s">
        <v>0</v>
      </c>
      <c r="AN76" s="32" t="s">
        <v>0</v>
      </c>
      <c r="AO76" s="29" t="s">
        <v>0</v>
      </c>
      <c r="AP76" s="29" t="s">
        <v>0</v>
      </c>
      <c r="AQ76" s="32" t="s">
        <v>0</v>
      </c>
      <c r="AR76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76" s="9" t="str">
        <f t="shared" ref="AS76:AS89" si="72">IF(OR(AR76="",AR76="-"),"-",AR76*$M76*SQRT(3)/1000)</f>
        <v>-</v>
      </c>
      <c r="AT76" s="9">
        <f>IF(RIGHT(TMK[[#This Row],[Device type]],7)="Winding","-",TMK[[#This Row],[Cont Winter MVA]])</f>
        <v>9.9670566551443294</v>
      </c>
      <c r="AU76" s="9" t="str">
        <f>IF(RIGHT(TMK[[#This Row],[Device type]],7)="Winding","-",TMK[[#This Row],[Cont Shoulder MVA]])</f>
        <v>-</v>
      </c>
      <c r="AV76" s="9">
        <f>IF(RIGHT(TMK[[#This Row],[Device type]],7)="Winding","-",TMK[[#This Row],[Cont Summer MVA]])</f>
        <v>7.3719736777184455</v>
      </c>
      <c r="AW76" s="9" t="str">
        <f>IF(RIGHT(TMK[[#This Row],[Device type]],7)="Winding","-",TMK[[#This Row],[24 Hr Winter MVA]])</f>
        <v>-</v>
      </c>
      <c r="AX76" s="9" t="str">
        <f>IF(RIGHT(TMK[[#This Row],[Device type]],7)="Winding","-",TMK[[#This Row],[24 Hr Summer MVA]])</f>
        <v>-</v>
      </c>
      <c r="AY76" s="9" t="str">
        <f>TMK[[#This Row],[Forwards MVA]]</f>
        <v>-</v>
      </c>
      <c r="AZ76" s="9" t="str">
        <f>TMK[[#This Row],[Relay MVA]]</f>
        <v>-</v>
      </c>
      <c r="BA76" s="9" t="str">
        <f>TMK[[#This Row],[CT MVA]]</f>
        <v>-</v>
      </c>
      <c r="BB76" s="9" t="str">
        <f>TMK[[#This Row],[Derating MVA]]</f>
        <v>-</v>
      </c>
      <c r="BC76" s="9" t="str">
        <f>TMK[[#This Row],[Station/Feeder]]&amp;TMK[[#This Row],[Lowest MVA]]</f>
        <v>CB3_Winchester7.37197367771845</v>
      </c>
      <c r="BD76" s="9" t="str">
        <f>CONCATENATE(TMK[[#This Row],[Supply Level]],TMK[[#This Row],[Station/Feeder]],TMK[[#This Row],[Voltage]],TMK[[#This Row],[Lowest A-No PTX]])</f>
        <v>DistributionFeederCB3_Winchester11386.92827157178</v>
      </c>
      <c r="BE76" s="9" t="str">
        <f>CONCATENATE(TMK[[#This Row],[Supply Level]],TMK[[#This Row],[Station/Feeder]],TMK[[#This Row],[Voltage]],TMK[[#This Row],[Lowest A-PTX]])</f>
        <v>DistributionFeederCB3_Winchester11386.92827157178</v>
      </c>
      <c r="BF76" s="9">
        <f>IFERROR(IF(MIN(TMK[[#This Row],[Summ Cont Winter A]:[Cable Derating]])=0,"",MIN(TMK[[#This Row],[Summ Cont Winter A]:[Cable Derating]])),"")</f>
        <v>7.3719736777184455</v>
      </c>
      <c r="BG76" s="9">
        <f>IFERROR(TMK[[#This Row],[Lowest MVA]]*1000/(TMK[[#This Row],[Voltage]]*SQRT(3)),"")</f>
        <v>386.92827157177999</v>
      </c>
      <c r="BH76" s="9">
        <f t="shared" si="63"/>
        <v>386.92827157177999</v>
      </c>
      <c r="BI76" s="9" t="str">
        <f>TMK[[#This Row],[From]]</f>
        <v>Pole 47049</v>
      </c>
      <c r="BJ76" s="9" t="str">
        <f>TMK[[#This Row],[To]]</f>
        <v>T548</v>
      </c>
      <c r="BK7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Line-JAGUAR</v>
      </c>
      <c r="BL76" s="9">
        <f>TMK[[#This Row],[Voltage]]</f>
        <v>11</v>
      </c>
    </row>
    <row r="77" spans="1:64" s="1" customFormat="1" x14ac:dyDescent="0.25">
      <c r="A77" s="6" t="str">
        <f>CONCATENATE(TMK[[#This Row],[Supply Level]],TMK[[#This Row],[Station/Feeder]],TMK[[#This Row],[Voltage]])</f>
        <v>DistributionFeederCB3_Winchester11</v>
      </c>
      <c r="B77" s="6" t="str">
        <f>CONCATENATE(TMK[[#This Row],[Supply Level]],TMK[[#This Row],[Station/Feeder]],TMK[[#This Row],[Equipment ID]],TMK[[#This Row],[Voltage]],TMK[[#This Row],[Device type]])</f>
        <v>DistributionFeederCB3_WinchesterT54611-</v>
      </c>
      <c r="C77" s="6" t="s">
        <v>1276</v>
      </c>
      <c r="D77" s="11" t="s">
        <v>120</v>
      </c>
      <c r="E77" s="7" t="s">
        <v>516</v>
      </c>
      <c r="F77" s="7" t="s">
        <v>520</v>
      </c>
      <c r="G77" s="56">
        <v>6</v>
      </c>
      <c r="H77" s="46" t="s">
        <v>273</v>
      </c>
      <c r="I77" s="123" t="s">
        <v>517</v>
      </c>
      <c r="J77" s="123" t="s">
        <v>249</v>
      </c>
      <c r="K77" s="7" t="s">
        <v>0</v>
      </c>
      <c r="L77" s="7" t="s">
        <v>0</v>
      </c>
      <c r="M77" s="43">
        <v>11</v>
      </c>
      <c r="N77" s="9">
        <v>300</v>
      </c>
      <c r="O77" s="9">
        <f t="shared" si="58"/>
        <v>5.715767664977295</v>
      </c>
      <c r="P77" s="9">
        <v>300</v>
      </c>
      <c r="Q77" s="9">
        <f t="shared" si="59"/>
        <v>5.715767664977295</v>
      </c>
      <c r="R77" s="9">
        <v>300</v>
      </c>
      <c r="S77" s="9">
        <f t="shared" si="60"/>
        <v>5.715767664977295</v>
      </c>
      <c r="T77" s="9" t="s">
        <v>0</v>
      </c>
      <c r="U77" s="9" t="str">
        <f t="shared" si="61"/>
        <v>-</v>
      </c>
      <c r="V77" s="9" t="s">
        <v>0</v>
      </c>
      <c r="W77" s="9" t="str">
        <f t="shared" si="62"/>
        <v>-</v>
      </c>
      <c r="X77" s="9" t="s">
        <v>0</v>
      </c>
      <c r="Y77" s="9" t="str">
        <f t="shared" ref="Y77" si="73">IF(OR(X77="",X77="-"),"-",X77*$M77*SQRT(3)/1000)</f>
        <v>-</v>
      </c>
      <c r="Z77" s="9" t="s">
        <v>0</v>
      </c>
      <c r="AA77" s="9" t="str">
        <f t="shared" si="69"/>
        <v>-</v>
      </c>
      <c r="AB77" s="9" t="s">
        <v>0</v>
      </c>
      <c r="AC77" s="9" t="str">
        <f t="shared" si="70"/>
        <v>-</v>
      </c>
      <c r="AD77" s="9" t="s">
        <v>0</v>
      </c>
      <c r="AE77" s="12" t="str">
        <f t="shared" si="71"/>
        <v>-</v>
      </c>
      <c r="AF77" s="29" t="s">
        <v>0</v>
      </c>
      <c r="AG77" s="29" t="s">
        <v>0</v>
      </c>
      <c r="AH77" s="29" t="s">
        <v>0</v>
      </c>
      <c r="AI77" s="29" t="s">
        <v>0</v>
      </c>
      <c r="AJ77" s="32" t="s">
        <v>0</v>
      </c>
      <c r="AK77" s="29" t="s">
        <v>0</v>
      </c>
      <c r="AL77" s="32" t="s">
        <v>0</v>
      </c>
      <c r="AM77" s="29" t="s">
        <v>0</v>
      </c>
      <c r="AN77" s="32" t="s">
        <v>0</v>
      </c>
      <c r="AO77" s="29" t="s">
        <v>0</v>
      </c>
      <c r="AP77" s="29" t="s">
        <v>0</v>
      </c>
      <c r="AQ77" s="32" t="s">
        <v>0</v>
      </c>
      <c r="AR77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77" s="9" t="str">
        <f t="shared" si="72"/>
        <v>-</v>
      </c>
      <c r="AT77" s="9">
        <f>IF(RIGHT(TMK[[#This Row],[Device type]],7)="Winding","-",TMK[[#This Row],[Cont Winter MVA]])</f>
        <v>5.715767664977295</v>
      </c>
      <c r="AU77" s="9">
        <f>IF(RIGHT(TMK[[#This Row],[Device type]],7)="Winding","-",TMK[[#This Row],[Cont Shoulder MVA]])</f>
        <v>5.715767664977295</v>
      </c>
      <c r="AV77" s="9">
        <f>IF(RIGHT(TMK[[#This Row],[Device type]],7)="Winding","-",TMK[[#This Row],[Cont Summer MVA]])</f>
        <v>5.715767664977295</v>
      </c>
      <c r="AW77" s="9" t="str">
        <f>IF(RIGHT(TMK[[#This Row],[Device type]],7)="Winding","-",TMK[[#This Row],[24 Hr Winter MVA]])</f>
        <v>-</v>
      </c>
      <c r="AX77" s="9" t="str">
        <f>IF(RIGHT(TMK[[#This Row],[Device type]],7)="Winding","-",TMK[[#This Row],[24 Hr Summer MVA]])</f>
        <v>-</v>
      </c>
      <c r="AY77" s="9" t="str">
        <f>TMK[[#This Row],[Forwards MVA]]</f>
        <v>-</v>
      </c>
      <c r="AZ77" s="9" t="str">
        <f>TMK[[#This Row],[Relay MVA]]</f>
        <v>-</v>
      </c>
      <c r="BA77" s="9" t="str">
        <f>TMK[[#This Row],[CT MVA]]</f>
        <v>-</v>
      </c>
      <c r="BB77" s="9" t="str">
        <f>TMK[[#This Row],[Derating MVA]]</f>
        <v>-</v>
      </c>
      <c r="BC77" s="9" t="str">
        <f>TMK[[#This Row],[Station/Feeder]]&amp;TMK[[#This Row],[Lowest MVA]]</f>
        <v>CB3_Winchester5.7157676649773</v>
      </c>
      <c r="BD77" s="9" t="str">
        <f>CONCATENATE(TMK[[#This Row],[Supply Level]],TMK[[#This Row],[Station/Feeder]],TMK[[#This Row],[Voltage]],TMK[[#This Row],[Lowest A-No PTX]])</f>
        <v>DistributionFeederCB3_Winchester11300</v>
      </c>
      <c r="BE77" s="9" t="str">
        <f>CONCATENATE(TMK[[#This Row],[Supply Level]],TMK[[#This Row],[Station/Feeder]],TMK[[#This Row],[Voltage]],TMK[[#This Row],[Lowest A-PTX]])</f>
        <v>DistributionFeederCB3_Winchester11300</v>
      </c>
      <c r="BF77" s="9">
        <f>IFERROR(IF(MIN(TMK[[#This Row],[Summ Cont Winter A]:[Cable Derating]])=0,"",MIN(TMK[[#This Row],[Summ Cont Winter A]:[Cable Derating]])),"")</f>
        <v>5.715767664977295</v>
      </c>
      <c r="BG77" s="9">
        <f>IFERROR(TMK[[#This Row],[Lowest MVA]]*1000/(TMK[[#This Row],[Voltage]]*SQRT(3)),"")</f>
        <v>300</v>
      </c>
      <c r="BH77" s="9">
        <f t="shared" si="63"/>
        <v>300</v>
      </c>
      <c r="BI77" s="9" t="str">
        <f>TMK[[#This Row],[From]]</f>
        <v>Pole 47049</v>
      </c>
      <c r="BJ77" s="9" t="str">
        <f>TMK[[#This Row],[To]]</f>
        <v>T548</v>
      </c>
      <c r="BK7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Link-T546</v>
      </c>
      <c r="BL77" s="9">
        <f>TMK[[#This Row],[Voltage]]</f>
        <v>11</v>
      </c>
    </row>
    <row r="78" spans="1:64" s="1" customFormat="1" x14ac:dyDescent="0.25">
      <c r="A78" s="6" t="str">
        <f>CONCATENATE(TMK[[#This Row],[Supply Level]],TMK[[#This Row],[Station/Feeder]],TMK[[#This Row],[Voltage]])</f>
        <v>DistributionFeederCB3_Winchester11</v>
      </c>
      <c r="B78" s="6" t="str">
        <f>CONCATENATE(TMK[[#This Row],[Supply Level]],TMK[[#This Row],[Station/Feeder]],TMK[[#This Row],[Equipment ID]],TMK[[#This Row],[Voltage]],TMK[[#This Row],[Device type]])</f>
        <v>DistributionFeederCB3_Winchester1-3c 300 mm² Al XLPE11-</v>
      </c>
      <c r="C78" s="6" t="s">
        <v>1276</v>
      </c>
      <c r="D78" s="11" t="s">
        <v>120</v>
      </c>
      <c r="E78" s="7" t="s">
        <v>516</v>
      </c>
      <c r="F78" s="7" t="s">
        <v>520</v>
      </c>
      <c r="G78" s="56">
        <v>7</v>
      </c>
      <c r="H78" s="46" t="s">
        <v>276</v>
      </c>
      <c r="I78" s="123" t="s">
        <v>569</v>
      </c>
      <c r="J78" s="123" t="s">
        <v>250</v>
      </c>
      <c r="K78" s="46" t="s">
        <v>0</v>
      </c>
      <c r="L78" s="46" t="s">
        <v>0</v>
      </c>
      <c r="M78" s="43">
        <v>11</v>
      </c>
      <c r="N78" s="9">
        <v>476</v>
      </c>
      <c r="O78" s="9">
        <f t="shared" si="58"/>
        <v>9.0690180284306408</v>
      </c>
      <c r="P78" s="9">
        <v>476</v>
      </c>
      <c r="Q78" s="9">
        <f t="shared" si="59"/>
        <v>9.0690180284306408</v>
      </c>
      <c r="R78" s="9">
        <v>476</v>
      </c>
      <c r="S78" s="9">
        <f t="shared" si="60"/>
        <v>9.0690180284306408</v>
      </c>
      <c r="T78" s="9" t="s">
        <v>0</v>
      </c>
      <c r="U78" s="9" t="str">
        <f t="shared" si="61"/>
        <v>-</v>
      </c>
      <c r="V78" s="9" t="s">
        <v>0</v>
      </c>
      <c r="W78" s="9" t="str">
        <f t="shared" si="62"/>
        <v>-</v>
      </c>
      <c r="X78" s="9" t="s">
        <v>0</v>
      </c>
      <c r="Y78" s="9" t="str">
        <f>IF(OR(X78="",X78="-"),"-",X78*$M78*SQRT(3)/1000)</f>
        <v>-</v>
      </c>
      <c r="Z78" s="9" t="s">
        <v>0</v>
      </c>
      <c r="AA78" s="9" t="str">
        <f t="shared" si="69"/>
        <v>-</v>
      </c>
      <c r="AB78" s="9" t="s">
        <v>0</v>
      </c>
      <c r="AC78" s="9" t="str">
        <f t="shared" si="70"/>
        <v>-</v>
      </c>
      <c r="AD78" s="9" t="s">
        <v>0</v>
      </c>
      <c r="AE78" s="12" t="str">
        <f t="shared" si="71"/>
        <v>-</v>
      </c>
      <c r="AF78" s="9">
        <v>3</v>
      </c>
      <c r="AG78" s="9" t="s">
        <v>265</v>
      </c>
      <c r="AH78" s="9">
        <v>391.5</v>
      </c>
      <c r="AI78" s="9">
        <v>1</v>
      </c>
      <c r="AJ78" s="32">
        <v>0.98</v>
      </c>
      <c r="AK78" s="29">
        <v>18</v>
      </c>
      <c r="AL78" s="32">
        <v>0.98</v>
      </c>
      <c r="AM78" s="29">
        <v>1.2</v>
      </c>
      <c r="AN78" s="32">
        <v>1</v>
      </c>
      <c r="AO78" s="29">
        <v>2</v>
      </c>
      <c r="AP78" s="32">
        <v>0.8</v>
      </c>
      <c r="AQ78" s="32">
        <v>0.95</v>
      </c>
      <c r="AR78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434.29287999999991</v>
      </c>
      <c r="AS78" s="9">
        <f t="shared" si="72"/>
        <v>8.2743906687795459</v>
      </c>
      <c r="AT78" s="9">
        <f>IF(RIGHT(TMK[[#This Row],[Device type]],7)="Winding","-",TMK[[#This Row],[Cont Winter MVA]])</f>
        <v>9.0690180284306408</v>
      </c>
      <c r="AU78" s="9">
        <f>IF(RIGHT(TMK[[#This Row],[Device type]],7)="Winding","-",TMK[[#This Row],[Cont Shoulder MVA]])</f>
        <v>9.0690180284306408</v>
      </c>
      <c r="AV78" s="9">
        <f>IF(RIGHT(TMK[[#This Row],[Device type]],7)="Winding","-",TMK[[#This Row],[Cont Summer MVA]])</f>
        <v>9.0690180284306408</v>
      </c>
      <c r="AW78" s="9" t="str">
        <f>IF(RIGHT(TMK[[#This Row],[Device type]],7)="Winding","-",TMK[[#This Row],[24 Hr Winter MVA]])</f>
        <v>-</v>
      </c>
      <c r="AX78" s="9" t="str">
        <f>IF(RIGHT(TMK[[#This Row],[Device type]],7)="Winding","-",TMK[[#This Row],[24 Hr Summer MVA]])</f>
        <v>-</v>
      </c>
      <c r="AY78" s="9" t="str">
        <f>TMK[[#This Row],[Forwards MVA]]</f>
        <v>-</v>
      </c>
      <c r="AZ78" s="9" t="str">
        <f>TMK[[#This Row],[Relay MVA]]</f>
        <v>-</v>
      </c>
      <c r="BA78" s="9" t="str">
        <f>TMK[[#This Row],[CT MVA]]</f>
        <v>-</v>
      </c>
      <c r="BB78" s="9">
        <f>TMK[[#This Row],[Derating MVA]]</f>
        <v>8.2743906687795459</v>
      </c>
      <c r="BC78" s="9" t="str">
        <f>TMK[[#This Row],[Station/Feeder]]&amp;TMK[[#This Row],[Lowest MVA]]</f>
        <v>CB3_Winchester8.27439066877955</v>
      </c>
      <c r="BD78" s="9" t="str">
        <f>CONCATENATE(TMK[[#This Row],[Supply Level]],TMK[[#This Row],[Station/Feeder]],TMK[[#This Row],[Voltage]],TMK[[#This Row],[Lowest A-No PTX]])</f>
        <v>DistributionFeederCB3_Winchester11434.29288</v>
      </c>
      <c r="BE78" s="9" t="str">
        <f>CONCATENATE(TMK[[#This Row],[Supply Level]],TMK[[#This Row],[Station/Feeder]],TMK[[#This Row],[Voltage]],TMK[[#This Row],[Lowest A-PTX]])</f>
        <v>DistributionFeederCB3_Winchester11434.29288</v>
      </c>
      <c r="BF78" s="9">
        <f>IFERROR(IF(MIN(TMK[[#This Row],[Summ Cont Winter A]:[Cable Derating]])=0,"",MIN(TMK[[#This Row],[Summ Cont Winter A]:[Cable Derating]])),"")</f>
        <v>8.2743906687795459</v>
      </c>
      <c r="BG78" s="9">
        <f>IFERROR(TMK[[#This Row],[Lowest MVA]]*1000/(TMK[[#This Row],[Voltage]]*SQRT(3)),"")</f>
        <v>434.29287999999985</v>
      </c>
      <c r="BH78" s="9">
        <f t="shared" si="63"/>
        <v>434.29287999999991</v>
      </c>
      <c r="BI78" s="9" t="str">
        <f>TMK[[#This Row],[From]]</f>
        <v>Pole 47049</v>
      </c>
      <c r="BJ78" s="9" t="str">
        <f>TMK[[#This Row],[To]]</f>
        <v>T548</v>
      </c>
      <c r="BK7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XLPE</v>
      </c>
      <c r="BL78" s="9">
        <f>TMK[[#This Row],[Voltage]]</f>
        <v>11</v>
      </c>
    </row>
    <row r="79" spans="1:64" s="1" customFormat="1" x14ac:dyDescent="0.25">
      <c r="A79" s="6" t="str">
        <f>CONCATENATE(TMK[[#This Row],[Supply Level]],TMK[[#This Row],[Station/Feeder]],TMK[[#This Row],[Voltage]])</f>
        <v>DistributionFeederCB3_Winchester11</v>
      </c>
      <c r="B79" s="6" t="str">
        <f>CONCATENATE(TMK[[#This Row],[Supply Level]],TMK[[#This Row],[Station/Feeder]],TMK[[#This Row],[Equipment ID]],TMK[[#This Row],[Voltage]],TMK[[#This Row],[Device type]])</f>
        <v>DistributionFeederCB3_WinchesterT54811-</v>
      </c>
      <c r="C79" s="6" t="s">
        <v>1276</v>
      </c>
      <c r="D79" s="11" t="s">
        <v>120</v>
      </c>
      <c r="E79" s="7" t="s">
        <v>516</v>
      </c>
      <c r="F79" s="7" t="s">
        <v>520</v>
      </c>
      <c r="G79" s="56">
        <v>8</v>
      </c>
      <c r="H79" s="46" t="s">
        <v>273</v>
      </c>
      <c r="I79" s="123" t="s">
        <v>520</v>
      </c>
      <c r="J79" s="123" t="s">
        <v>249</v>
      </c>
      <c r="K79" s="7" t="s">
        <v>0</v>
      </c>
      <c r="L79" s="7" t="s">
        <v>0</v>
      </c>
      <c r="M79" s="43">
        <v>11</v>
      </c>
      <c r="N79" s="9">
        <v>300</v>
      </c>
      <c r="O79" s="9">
        <f t="shared" si="58"/>
        <v>5.715767664977295</v>
      </c>
      <c r="P79" s="9">
        <v>300</v>
      </c>
      <c r="Q79" s="9">
        <f t="shared" si="59"/>
        <v>5.715767664977295</v>
      </c>
      <c r="R79" s="9">
        <v>300</v>
      </c>
      <c r="S79" s="9">
        <f t="shared" si="60"/>
        <v>5.715767664977295</v>
      </c>
      <c r="T79" s="9" t="s">
        <v>0</v>
      </c>
      <c r="U79" s="9" t="str">
        <f t="shared" si="61"/>
        <v>-</v>
      </c>
      <c r="V79" s="9" t="s">
        <v>0</v>
      </c>
      <c r="W79" s="9" t="str">
        <f t="shared" si="62"/>
        <v>-</v>
      </c>
      <c r="X79" s="9" t="s">
        <v>0</v>
      </c>
      <c r="Y79" s="9" t="str">
        <f t="shared" ref="Y79" si="74">IF(OR(X79="",X79="-"),"-",X79*$M79*SQRT(3)/1000)</f>
        <v>-</v>
      </c>
      <c r="Z79" s="9" t="s">
        <v>0</v>
      </c>
      <c r="AA79" s="9" t="str">
        <f t="shared" si="69"/>
        <v>-</v>
      </c>
      <c r="AB79" s="9" t="s">
        <v>0</v>
      </c>
      <c r="AC79" s="9" t="str">
        <f t="shared" si="70"/>
        <v>-</v>
      </c>
      <c r="AD79" s="9" t="s">
        <v>0</v>
      </c>
      <c r="AE79" s="12" t="str">
        <f t="shared" si="71"/>
        <v>-</v>
      </c>
      <c r="AF79" s="29" t="s">
        <v>0</v>
      </c>
      <c r="AG79" s="29" t="s">
        <v>0</v>
      </c>
      <c r="AH79" s="29" t="s">
        <v>0</v>
      </c>
      <c r="AI79" s="29" t="s">
        <v>0</v>
      </c>
      <c r="AJ79" s="32" t="s">
        <v>0</v>
      </c>
      <c r="AK79" s="29" t="s">
        <v>0</v>
      </c>
      <c r="AL79" s="32" t="s">
        <v>0</v>
      </c>
      <c r="AM79" s="29" t="s">
        <v>0</v>
      </c>
      <c r="AN79" s="32" t="s">
        <v>0</v>
      </c>
      <c r="AO79" s="29" t="s">
        <v>0</v>
      </c>
      <c r="AP79" s="29" t="s">
        <v>0</v>
      </c>
      <c r="AQ79" s="32" t="s">
        <v>0</v>
      </c>
      <c r="AR79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79" s="9" t="str">
        <f t="shared" si="72"/>
        <v>-</v>
      </c>
      <c r="AT79" s="9">
        <f>IF(RIGHT(TMK[[#This Row],[Device type]],7)="Winding","-",TMK[[#This Row],[Cont Winter MVA]])</f>
        <v>5.715767664977295</v>
      </c>
      <c r="AU79" s="9">
        <f>IF(RIGHT(TMK[[#This Row],[Device type]],7)="Winding","-",TMK[[#This Row],[Cont Shoulder MVA]])</f>
        <v>5.715767664977295</v>
      </c>
      <c r="AV79" s="9">
        <f>IF(RIGHT(TMK[[#This Row],[Device type]],7)="Winding","-",TMK[[#This Row],[Cont Summer MVA]])</f>
        <v>5.715767664977295</v>
      </c>
      <c r="AW79" s="9" t="str">
        <f>IF(RIGHT(TMK[[#This Row],[Device type]],7)="Winding","-",TMK[[#This Row],[24 Hr Winter MVA]])</f>
        <v>-</v>
      </c>
      <c r="AX79" s="9" t="str">
        <f>IF(RIGHT(TMK[[#This Row],[Device type]],7)="Winding","-",TMK[[#This Row],[24 Hr Summer MVA]])</f>
        <v>-</v>
      </c>
      <c r="AY79" s="9" t="str">
        <f>TMK[[#This Row],[Forwards MVA]]</f>
        <v>-</v>
      </c>
      <c r="AZ79" s="9" t="str">
        <f>TMK[[#This Row],[Relay MVA]]</f>
        <v>-</v>
      </c>
      <c r="BA79" s="9" t="str">
        <f>TMK[[#This Row],[CT MVA]]</f>
        <v>-</v>
      </c>
      <c r="BB79" s="9" t="str">
        <f>TMK[[#This Row],[Derating MVA]]</f>
        <v>-</v>
      </c>
      <c r="BC79" s="9" t="str">
        <f>TMK[[#This Row],[Station/Feeder]]&amp;TMK[[#This Row],[Lowest MVA]]</f>
        <v>CB3_Winchester5.7157676649773</v>
      </c>
      <c r="BD79" s="9" t="str">
        <f>CONCATENATE(TMK[[#This Row],[Supply Level]],TMK[[#This Row],[Station/Feeder]],TMK[[#This Row],[Voltage]],TMK[[#This Row],[Lowest A-No PTX]])</f>
        <v>DistributionFeederCB3_Winchester11300</v>
      </c>
      <c r="BE79" s="9" t="str">
        <f>CONCATENATE(TMK[[#This Row],[Supply Level]],TMK[[#This Row],[Station/Feeder]],TMK[[#This Row],[Voltage]],TMK[[#This Row],[Lowest A-PTX]])</f>
        <v>DistributionFeederCB3_Winchester11300</v>
      </c>
      <c r="BF79" s="9">
        <f>IFERROR(IF(MIN(TMK[[#This Row],[Summ Cont Winter A]:[Cable Derating]])=0,"",MIN(TMK[[#This Row],[Summ Cont Winter A]:[Cable Derating]])),"")</f>
        <v>5.715767664977295</v>
      </c>
      <c r="BG79" s="9">
        <f>IFERROR(TMK[[#This Row],[Lowest MVA]]*1000/(TMK[[#This Row],[Voltage]]*SQRT(3)),"")</f>
        <v>300</v>
      </c>
      <c r="BH79" s="9">
        <f t="shared" si="63"/>
        <v>300</v>
      </c>
      <c r="BI79" s="9" t="str">
        <f>TMK[[#This Row],[From]]</f>
        <v>Pole 47049</v>
      </c>
      <c r="BJ79" s="9" t="str">
        <f>TMK[[#This Row],[To]]</f>
        <v>T548</v>
      </c>
      <c r="BK7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Link-T548</v>
      </c>
      <c r="BL79" s="9">
        <f>TMK[[#This Row],[Voltage]]</f>
        <v>11</v>
      </c>
    </row>
    <row r="80" spans="1:64" s="1" customFormat="1" x14ac:dyDescent="0.25">
      <c r="A80" s="6" t="str">
        <f>CONCATENATE(TMK[[#This Row],[Supply Level]],TMK[[#This Row],[Station/Feeder]],TMK[[#This Row],[Voltage]])</f>
        <v>DistributionFeederCB7_Rangitata11</v>
      </c>
      <c r="B80" s="6" t="str">
        <f>CONCATENATE(TMK[[#This Row],[Supply Level]],TMK[[#This Row],[Station/Feeder]],TMK[[#This Row],[Equipment ID]],TMK[[#This Row],[Voltage]],TMK[[#This Row],[Device type]])</f>
        <v>DistributionFeederCB7_RangitataTMK-CB711Protection</v>
      </c>
      <c r="C80" s="6" t="s">
        <v>1276</v>
      </c>
      <c r="D80" s="11" t="s">
        <v>130</v>
      </c>
      <c r="E80" s="7" t="s">
        <v>243</v>
      </c>
      <c r="F80" s="7" t="s">
        <v>513</v>
      </c>
      <c r="G80" s="56">
        <v>1</v>
      </c>
      <c r="H80" s="7" t="s">
        <v>343</v>
      </c>
      <c r="I80" s="123" t="s">
        <v>2322</v>
      </c>
      <c r="J80" s="123" t="s">
        <v>15</v>
      </c>
      <c r="K80" s="46" t="s">
        <v>1121</v>
      </c>
      <c r="L80" s="46" t="s">
        <v>1423</v>
      </c>
      <c r="M80" s="43">
        <v>11</v>
      </c>
      <c r="N80" s="9">
        <v>630</v>
      </c>
      <c r="O80" s="9">
        <f t="shared" si="58"/>
        <v>12.00311209645232</v>
      </c>
      <c r="P80" s="9">
        <v>630</v>
      </c>
      <c r="Q80" s="9">
        <f t="shared" si="59"/>
        <v>12.00311209645232</v>
      </c>
      <c r="R80" s="9">
        <v>630</v>
      </c>
      <c r="S80" s="9">
        <f t="shared" si="60"/>
        <v>12.00311209645232</v>
      </c>
      <c r="T80" s="9" t="s">
        <v>0</v>
      </c>
      <c r="U80" s="9" t="str">
        <f t="shared" si="61"/>
        <v>-</v>
      </c>
      <c r="V80" s="9" t="s">
        <v>0</v>
      </c>
      <c r="W80" s="9" t="str">
        <f t="shared" si="62"/>
        <v>-</v>
      </c>
      <c r="X80" s="9">
        <f>VLOOKUP(TMK[[#This Row],[Equipment ID]],AEL_Protection_Data[#All],12,0)</f>
        <v>402</v>
      </c>
      <c r="Y80" s="9">
        <f>IF(OR(X80="",X80="-"),"-",X80*$M80*SQRT(3)/1000)</f>
        <v>7.659128671069575</v>
      </c>
      <c r="Z80" s="9">
        <v>402</v>
      </c>
      <c r="AA80" s="9">
        <f t="shared" si="69"/>
        <v>7.659128671069575</v>
      </c>
      <c r="AB80" s="9" t="s">
        <v>0</v>
      </c>
      <c r="AC80" s="9" t="str">
        <f t="shared" si="70"/>
        <v>-</v>
      </c>
      <c r="AD80" s="9">
        <v>600</v>
      </c>
      <c r="AE80" s="12">
        <f t="shared" si="71"/>
        <v>11.43153532995459</v>
      </c>
      <c r="AF80" s="9" t="s">
        <v>0</v>
      </c>
      <c r="AG80" s="9" t="s">
        <v>0</v>
      </c>
      <c r="AH80" s="9" t="s">
        <v>0</v>
      </c>
      <c r="AI80" s="9" t="s">
        <v>0</v>
      </c>
      <c r="AJ80" s="32" t="s">
        <v>0</v>
      </c>
      <c r="AK80" s="29" t="s">
        <v>0</v>
      </c>
      <c r="AL80" s="32" t="s">
        <v>0</v>
      </c>
      <c r="AM80" s="29" t="s">
        <v>0</v>
      </c>
      <c r="AN80" s="32" t="s">
        <v>0</v>
      </c>
      <c r="AO80" s="29" t="s">
        <v>0</v>
      </c>
      <c r="AP80" s="32" t="s">
        <v>0</v>
      </c>
      <c r="AQ80" s="32" t="s">
        <v>0</v>
      </c>
      <c r="AR80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80" s="9" t="str">
        <f t="shared" si="72"/>
        <v>-</v>
      </c>
      <c r="AT80" s="9">
        <f>IF(RIGHT(TMK[[#This Row],[Device type]],7)="Winding","-",TMK[[#This Row],[Cont Winter MVA]])</f>
        <v>12.00311209645232</v>
      </c>
      <c r="AU80" s="9">
        <f>IF(RIGHT(TMK[[#This Row],[Device type]],7)="Winding","-",TMK[[#This Row],[Cont Shoulder MVA]])</f>
        <v>12.00311209645232</v>
      </c>
      <c r="AV80" s="9">
        <f>IF(RIGHT(TMK[[#This Row],[Device type]],7)="Winding","-",TMK[[#This Row],[Cont Summer MVA]])</f>
        <v>12.00311209645232</v>
      </c>
      <c r="AW80" s="9" t="str">
        <f>IF(RIGHT(TMK[[#This Row],[Device type]],7)="Winding","-",TMK[[#This Row],[24 Hr Winter MVA]])</f>
        <v>-</v>
      </c>
      <c r="AX80" s="9" t="str">
        <f>IF(RIGHT(TMK[[#This Row],[Device type]],7)="Winding","-",TMK[[#This Row],[24 Hr Summer MVA]])</f>
        <v>-</v>
      </c>
      <c r="AY80" s="9">
        <f>TMK[[#This Row],[Forwards MVA]]</f>
        <v>7.659128671069575</v>
      </c>
      <c r="AZ80" s="9" t="str">
        <f>TMK[[#This Row],[Relay MVA]]</f>
        <v>-</v>
      </c>
      <c r="BA80" s="9">
        <f>TMK[[#This Row],[CT MVA]]</f>
        <v>11.43153532995459</v>
      </c>
      <c r="BB80" s="9" t="str">
        <f>TMK[[#This Row],[Derating MVA]]</f>
        <v>-</v>
      </c>
      <c r="BC80" s="9" t="str">
        <f>TMK[[#This Row],[Station/Feeder]]&amp;TMK[[#This Row],[Lowest MVA]]</f>
        <v>CB7_Rangitata7.65912867106957</v>
      </c>
      <c r="BD80" s="9" t="str">
        <f>CONCATENATE(TMK[[#This Row],[Supply Level]],TMK[[#This Row],[Station/Feeder]],TMK[[#This Row],[Voltage]],TMK[[#This Row],[Lowest A-No PTX]])</f>
        <v>DistributionFeederCB7_Rangitata11402</v>
      </c>
      <c r="BE80" s="9" t="str">
        <f>CONCATENATE(TMK[[#This Row],[Supply Level]],TMK[[#This Row],[Station/Feeder]],TMK[[#This Row],[Voltage]],TMK[[#This Row],[Lowest A-PTX]])</f>
        <v>DistributionFeederCB7_Rangitata11402</v>
      </c>
      <c r="BF80" s="9">
        <f>IFERROR(IF(MIN(TMK[[#This Row],[Summ Cont Winter A]:[Cable Derating]])=0,"",MIN(TMK[[#This Row],[Summ Cont Winter A]:[Cable Derating]])),"")</f>
        <v>7.659128671069575</v>
      </c>
      <c r="BG80" s="9">
        <f>IFERROR(TMK[[#This Row],[Lowest MVA]]*1000/(TMK[[#This Row],[Voltage]]*SQRT(3)),"")</f>
        <v>402</v>
      </c>
      <c r="BH80" s="9">
        <f t="shared" si="63"/>
        <v>402</v>
      </c>
      <c r="BI80" s="9" t="str">
        <f>TMK[[#This Row],[From]]</f>
        <v>11 kV Bus</v>
      </c>
      <c r="BJ80" s="9" t="str">
        <f>TMK[[#This Row],[To]]</f>
        <v>T400</v>
      </c>
      <c r="BK8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Breaker-TMK-CB7-Protection</v>
      </c>
      <c r="BL80" s="9">
        <f>TMK[[#This Row],[Voltage]]</f>
        <v>11</v>
      </c>
    </row>
    <row r="81" spans="1:64" s="1" customFormat="1" x14ac:dyDescent="0.25">
      <c r="A81" s="6" t="str">
        <f>CONCATENATE(TMK[[#This Row],[Supply Level]],TMK[[#This Row],[Station/Feeder]],TMK[[#This Row],[Voltage]])</f>
        <v>DistributionFeederCB7_Rangitata11</v>
      </c>
      <c r="B81" s="6" t="str">
        <f>CONCATENATE(TMK[[#This Row],[Supply Level]],TMK[[#This Row],[Station/Feeder]],TMK[[#This Row],[Equipment ID]],TMK[[#This Row],[Voltage]],TMK[[#This Row],[Device type]])</f>
        <v>DistributionFeederCB7_Rangitata1-3c 300 mm² Al XLPE11-</v>
      </c>
      <c r="C81" s="6" t="s">
        <v>1276</v>
      </c>
      <c r="D81" s="11" t="s">
        <v>130</v>
      </c>
      <c r="E81" s="7" t="s">
        <v>243</v>
      </c>
      <c r="F81" s="7" t="s">
        <v>513</v>
      </c>
      <c r="G81" s="56">
        <v>2</v>
      </c>
      <c r="H81" s="46" t="s">
        <v>528</v>
      </c>
      <c r="I81" s="123" t="s">
        <v>569</v>
      </c>
      <c r="J81" s="123" t="s">
        <v>250</v>
      </c>
      <c r="K81" s="46" t="s">
        <v>0</v>
      </c>
      <c r="L81" s="46" t="s">
        <v>0</v>
      </c>
      <c r="M81" s="43">
        <v>11</v>
      </c>
      <c r="N81" s="9">
        <v>476</v>
      </c>
      <c r="O81" s="9">
        <f t="shared" si="58"/>
        <v>9.0690180284306408</v>
      </c>
      <c r="P81" s="9">
        <v>476</v>
      </c>
      <c r="Q81" s="9">
        <f t="shared" si="59"/>
        <v>9.0690180284306408</v>
      </c>
      <c r="R81" s="9">
        <v>476</v>
      </c>
      <c r="S81" s="9">
        <f t="shared" si="60"/>
        <v>9.0690180284306408</v>
      </c>
      <c r="T81" s="9" t="s">
        <v>0</v>
      </c>
      <c r="U81" s="9" t="str">
        <f t="shared" si="61"/>
        <v>-</v>
      </c>
      <c r="V81" s="9" t="s">
        <v>0</v>
      </c>
      <c r="W81" s="9" t="str">
        <f t="shared" si="62"/>
        <v>-</v>
      </c>
      <c r="X81" s="9" t="s">
        <v>0</v>
      </c>
      <c r="Y81" s="9" t="str">
        <f>IF(OR(X81="",X81="-"),"-",X81*$M81*SQRT(3)/1000)</f>
        <v>-</v>
      </c>
      <c r="Z81" s="9" t="s">
        <v>0</v>
      </c>
      <c r="AA81" s="9" t="str">
        <f t="shared" si="69"/>
        <v>-</v>
      </c>
      <c r="AB81" s="9" t="s">
        <v>0</v>
      </c>
      <c r="AC81" s="9" t="str">
        <f t="shared" si="70"/>
        <v>-</v>
      </c>
      <c r="AD81" s="9" t="s">
        <v>0</v>
      </c>
      <c r="AE81" s="12" t="str">
        <f t="shared" si="71"/>
        <v>-</v>
      </c>
      <c r="AF81" s="9">
        <v>3</v>
      </c>
      <c r="AG81" s="9" t="s">
        <v>265</v>
      </c>
      <c r="AH81" s="9">
        <v>118.2</v>
      </c>
      <c r="AI81" s="9">
        <v>1</v>
      </c>
      <c r="AJ81" s="32">
        <v>0.98</v>
      </c>
      <c r="AK81" s="29">
        <v>18</v>
      </c>
      <c r="AL81" s="32">
        <v>0.98</v>
      </c>
      <c r="AM81" s="29">
        <v>1.2</v>
      </c>
      <c r="AN81" s="32">
        <v>1</v>
      </c>
      <c r="AO81" s="29">
        <v>2</v>
      </c>
      <c r="AP81" s="32">
        <v>0.8</v>
      </c>
      <c r="AQ81" s="32">
        <v>0.95</v>
      </c>
      <c r="AR81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434.29287999999991</v>
      </c>
      <c r="AS81" s="9">
        <f t="shared" si="72"/>
        <v>8.2743906687795459</v>
      </c>
      <c r="AT81" s="9">
        <f>IF(RIGHT(TMK[[#This Row],[Device type]],7)="Winding","-",TMK[[#This Row],[Cont Winter MVA]])</f>
        <v>9.0690180284306408</v>
      </c>
      <c r="AU81" s="9">
        <f>IF(RIGHT(TMK[[#This Row],[Device type]],7)="Winding","-",TMK[[#This Row],[Cont Shoulder MVA]])</f>
        <v>9.0690180284306408</v>
      </c>
      <c r="AV81" s="9">
        <f>IF(RIGHT(TMK[[#This Row],[Device type]],7)="Winding","-",TMK[[#This Row],[Cont Summer MVA]])</f>
        <v>9.0690180284306408</v>
      </c>
      <c r="AW81" s="9" t="str">
        <f>IF(RIGHT(TMK[[#This Row],[Device type]],7)="Winding","-",TMK[[#This Row],[24 Hr Winter MVA]])</f>
        <v>-</v>
      </c>
      <c r="AX81" s="9" t="str">
        <f>IF(RIGHT(TMK[[#This Row],[Device type]],7)="Winding","-",TMK[[#This Row],[24 Hr Summer MVA]])</f>
        <v>-</v>
      </c>
      <c r="AY81" s="9" t="str">
        <f>TMK[[#This Row],[Forwards MVA]]</f>
        <v>-</v>
      </c>
      <c r="AZ81" s="9" t="str">
        <f>TMK[[#This Row],[Relay MVA]]</f>
        <v>-</v>
      </c>
      <c r="BA81" s="9" t="str">
        <f>TMK[[#This Row],[CT MVA]]</f>
        <v>-</v>
      </c>
      <c r="BB81" s="9">
        <f>TMK[[#This Row],[Derating MVA]]</f>
        <v>8.2743906687795459</v>
      </c>
      <c r="BC81" s="9" t="str">
        <f>TMK[[#This Row],[Station/Feeder]]&amp;TMK[[#This Row],[Lowest MVA]]</f>
        <v>CB7_Rangitata8.27439066877955</v>
      </c>
      <c r="BD81" s="9" t="str">
        <f>CONCATENATE(TMK[[#This Row],[Supply Level]],TMK[[#This Row],[Station/Feeder]],TMK[[#This Row],[Voltage]],TMK[[#This Row],[Lowest A-No PTX]])</f>
        <v>DistributionFeederCB7_Rangitata11434.29288</v>
      </c>
      <c r="BE81" s="9" t="str">
        <f>CONCATENATE(TMK[[#This Row],[Supply Level]],TMK[[#This Row],[Station/Feeder]],TMK[[#This Row],[Voltage]],TMK[[#This Row],[Lowest A-PTX]])</f>
        <v>DistributionFeederCB7_Rangitata11434.29288</v>
      </c>
      <c r="BF81" s="9">
        <f>IFERROR(IF(MIN(TMK[[#This Row],[Summ Cont Winter A]:[Cable Derating]])=0,"",MIN(TMK[[#This Row],[Summ Cont Winter A]:[Cable Derating]])),"")</f>
        <v>8.2743906687795459</v>
      </c>
      <c r="BG81" s="9">
        <f>IFERROR(TMK[[#This Row],[Lowest MVA]]*1000/(TMK[[#This Row],[Voltage]]*SQRT(3)),"")</f>
        <v>434.29287999999985</v>
      </c>
      <c r="BH81" s="9">
        <f t="shared" si="63"/>
        <v>434.29287999999991</v>
      </c>
      <c r="BI81" s="9" t="str">
        <f>TMK[[#This Row],[From]]</f>
        <v>11 kV Bus</v>
      </c>
      <c r="BJ81" s="9" t="str">
        <f>TMK[[#This Row],[To]]</f>
        <v>T400</v>
      </c>
      <c r="BK8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XLPE</v>
      </c>
      <c r="BL81" s="9">
        <f>TMK[[#This Row],[Voltage]]</f>
        <v>11</v>
      </c>
    </row>
    <row r="82" spans="1:64" s="1" customFormat="1" x14ac:dyDescent="0.25">
      <c r="A82" s="6" t="str">
        <f>CONCATENATE(TMK[[#This Row],[Supply Level]],TMK[[#This Row],[Station/Feeder]],TMK[[#This Row],[Voltage]])</f>
        <v>DistributionFeederCB7_Rangitata11</v>
      </c>
      <c r="B82" s="6" t="str">
        <f>CONCATENATE(TMK[[#This Row],[Supply Level]],TMK[[#This Row],[Station/Feeder]],TMK[[#This Row],[Equipment ID]],TMK[[#This Row],[Voltage]],TMK[[#This Row],[Device type]])</f>
        <v>DistributionFeederCB7_RangitataT40011-</v>
      </c>
      <c r="C82" s="6" t="s">
        <v>1276</v>
      </c>
      <c r="D82" s="11" t="s">
        <v>130</v>
      </c>
      <c r="E82" s="7" t="s">
        <v>243</v>
      </c>
      <c r="F82" s="7" t="s">
        <v>513</v>
      </c>
      <c r="G82" s="56">
        <v>3</v>
      </c>
      <c r="H82" s="46" t="s">
        <v>273</v>
      </c>
      <c r="I82" s="123" t="s">
        <v>513</v>
      </c>
      <c r="J82" s="123" t="s">
        <v>240</v>
      </c>
      <c r="K82" s="7" t="s">
        <v>0</v>
      </c>
      <c r="L82" s="7" t="s">
        <v>0</v>
      </c>
      <c r="M82" s="43">
        <v>11</v>
      </c>
      <c r="N82" s="9">
        <v>400</v>
      </c>
      <c r="O82" s="9">
        <f t="shared" si="58"/>
        <v>7.6210235533030604</v>
      </c>
      <c r="P82" s="9">
        <v>400</v>
      </c>
      <c r="Q82" s="9">
        <f t="shared" si="59"/>
        <v>7.6210235533030604</v>
      </c>
      <c r="R82" s="9">
        <v>400</v>
      </c>
      <c r="S82" s="9">
        <f t="shared" si="60"/>
        <v>7.6210235533030604</v>
      </c>
      <c r="T82" s="9" t="s">
        <v>0</v>
      </c>
      <c r="U82" s="9" t="str">
        <f t="shared" si="61"/>
        <v>-</v>
      </c>
      <c r="V82" s="9" t="s">
        <v>0</v>
      </c>
      <c r="W82" s="9" t="str">
        <f t="shared" si="62"/>
        <v>-</v>
      </c>
      <c r="X82" s="9" t="s">
        <v>0</v>
      </c>
      <c r="Y82" s="9" t="str">
        <f>IF(OR(X82="",X82="-"),"-",X82*$M82*SQRT(3)/1000)</f>
        <v>-</v>
      </c>
      <c r="Z82" s="9" t="s">
        <v>0</v>
      </c>
      <c r="AA82" s="9" t="str">
        <f t="shared" si="69"/>
        <v>-</v>
      </c>
      <c r="AB82" s="9" t="s">
        <v>0</v>
      </c>
      <c r="AC82" s="9" t="str">
        <f t="shared" si="70"/>
        <v>-</v>
      </c>
      <c r="AD82" s="9" t="s">
        <v>0</v>
      </c>
      <c r="AE82" s="12" t="str">
        <f t="shared" si="71"/>
        <v>-</v>
      </c>
      <c r="AF82" s="29" t="s">
        <v>0</v>
      </c>
      <c r="AG82" s="29" t="s">
        <v>0</v>
      </c>
      <c r="AH82" s="29" t="s">
        <v>0</v>
      </c>
      <c r="AI82" s="29" t="s">
        <v>0</v>
      </c>
      <c r="AJ82" s="32" t="s">
        <v>0</v>
      </c>
      <c r="AK82" s="29" t="s">
        <v>0</v>
      </c>
      <c r="AL82" s="32" t="s">
        <v>0</v>
      </c>
      <c r="AM82" s="29" t="s">
        <v>0</v>
      </c>
      <c r="AN82" s="32" t="s">
        <v>0</v>
      </c>
      <c r="AO82" s="29" t="s">
        <v>0</v>
      </c>
      <c r="AP82" s="29" t="s">
        <v>0</v>
      </c>
      <c r="AQ82" s="32" t="s">
        <v>0</v>
      </c>
      <c r="AR82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82" s="9" t="str">
        <f t="shared" si="72"/>
        <v>-</v>
      </c>
      <c r="AT82" s="9">
        <f>IF(RIGHT(TMK[[#This Row],[Device type]],7)="Winding","-",TMK[[#This Row],[Cont Winter MVA]])</f>
        <v>7.6210235533030604</v>
      </c>
      <c r="AU82" s="9">
        <f>IF(RIGHT(TMK[[#This Row],[Device type]],7)="Winding","-",TMK[[#This Row],[Cont Shoulder MVA]])</f>
        <v>7.6210235533030604</v>
      </c>
      <c r="AV82" s="9">
        <f>IF(RIGHT(TMK[[#This Row],[Device type]],7)="Winding","-",TMK[[#This Row],[Cont Summer MVA]])</f>
        <v>7.6210235533030604</v>
      </c>
      <c r="AW82" s="9" t="str">
        <f>IF(RIGHT(TMK[[#This Row],[Device type]],7)="Winding","-",TMK[[#This Row],[24 Hr Winter MVA]])</f>
        <v>-</v>
      </c>
      <c r="AX82" s="9" t="str">
        <f>IF(RIGHT(TMK[[#This Row],[Device type]],7)="Winding","-",TMK[[#This Row],[24 Hr Summer MVA]])</f>
        <v>-</v>
      </c>
      <c r="AY82" s="9" t="str">
        <f>TMK[[#This Row],[Forwards MVA]]</f>
        <v>-</v>
      </c>
      <c r="AZ82" s="9" t="str">
        <f>TMK[[#This Row],[Relay MVA]]</f>
        <v>-</v>
      </c>
      <c r="BA82" s="9" t="str">
        <f>TMK[[#This Row],[CT MVA]]</f>
        <v>-</v>
      </c>
      <c r="BB82" s="9" t="str">
        <f>TMK[[#This Row],[Derating MVA]]</f>
        <v>-</v>
      </c>
      <c r="BC82" s="9" t="str">
        <f>TMK[[#This Row],[Station/Feeder]]&amp;TMK[[#This Row],[Lowest MVA]]</f>
        <v>CB7_Rangitata7.62102355330306</v>
      </c>
      <c r="BD82" s="9" t="str">
        <f>CONCATENATE(TMK[[#This Row],[Supply Level]],TMK[[#This Row],[Station/Feeder]],TMK[[#This Row],[Voltage]],TMK[[#This Row],[Lowest A-No PTX]])</f>
        <v>DistributionFeederCB7_Rangitata11400</v>
      </c>
      <c r="BE82" s="9" t="str">
        <f>CONCATENATE(TMK[[#This Row],[Supply Level]],TMK[[#This Row],[Station/Feeder]],TMK[[#This Row],[Voltage]],TMK[[#This Row],[Lowest A-PTX]])</f>
        <v>DistributionFeederCB7_Rangitata11400</v>
      </c>
      <c r="BF82" s="9">
        <f>IFERROR(IF(MIN(TMK[[#This Row],[Summ Cont Winter A]:[Cable Derating]])=0,"",MIN(TMK[[#This Row],[Summ Cont Winter A]:[Cable Derating]])),"")</f>
        <v>7.6210235533030604</v>
      </c>
      <c r="BG82" s="9">
        <f>IFERROR(TMK[[#This Row],[Lowest MVA]]*1000/(TMK[[#This Row],[Voltage]]*SQRT(3)),"")</f>
        <v>400</v>
      </c>
      <c r="BH82" s="9">
        <f t="shared" si="63"/>
        <v>400</v>
      </c>
      <c r="BI82" s="9" t="str">
        <f>TMK[[#This Row],[From]]</f>
        <v>11 kV Bus</v>
      </c>
      <c r="BJ82" s="9" t="str">
        <f>TMK[[#This Row],[To]]</f>
        <v>T400</v>
      </c>
      <c r="BK8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ABS-T400</v>
      </c>
      <c r="BL82" s="9">
        <f>TMK[[#This Row],[Voltage]]</f>
        <v>11</v>
      </c>
    </row>
    <row r="83" spans="1:64" s="1" customFormat="1" x14ac:dyDescent="0.25">
      <c r="A83" s="6" t="str">
        <f>CONCATENATE(TMK[[#This Row],[Supply Level]],TMK[[#This Row],[Station/Feeder]],TMK[[#This Row],[Voltage]])</f>
        <v>DistributionFeederCB7_Rangitata11</v>
      </c>
      <c r="B83" s="6" t="str">
        <f>CONCATENATE(TMK[[#This Row],[Supply Level]],TMK[[#This Row],[Station/Feeder]],TMK[[#This Row],[Equipment ID]],TMK[[#This Row],[Voltage]],TMK[[#This Row],[Device type]])</f>
        <v>DistributionFeederCB7_RangitataCHAFER11-</v>
      </c>
      <c r="C83" s="6" t="s">
        <v>1276</v>
      </c>
      <c r="D83" s="11" t="s">
        <v>130</v>
      </c>
      <c r="E83" s="7" t="s">
        <v>513</v>
      </c>
      <c r="F83" s="7" t="s">
        <v>515</v>
      </c>
      <c r="G83" s="56">
        <v>4</v>
      </c>
      <c r="H83" s="46" t="s">
        <v>1289</v>
      </c>
      <c r="I83" s="123" t="s">
        <v>505</v>
      </c>
      <c r="J83" s="123" t="s">
        <v>69</v>
      </c>
      <c r="K83" s="46" t="s">
        <v>0</v>
      </c>
      <c r="L83" s="46" t="s">
        <v>0</v>
      </c>
      <c r="M83" s="43">
        <v>11</v>
      </c>
      <c r="N83" s="9">
        <v>524.32641073638399</v>
      </c>
      <c r="O83" s="9">
        <f t="shared" si="58"/>
        <v>9.9897598146020918</v>
      </c>
      <c r="P83" s="9" t="s">
        <v>0</v>
      </c>
      <c r="Q83" s="9" t="str">
        <f t="shared" si="59"/>
        <v>-</v>
      </c>
      <c r="R83" s="9">
        <v>388.10484430946377</v>
      </c>
      <c r="S83" s="9">
        <f t="shared" si="60"/>
        <v>7.3943903990836004</v>
      </c>
      <c r="T83" s="9" t="s">
        <v>0</v>
      </c>
      <c r="U83" s="9" t="str">
        <f t="shared" si="61"/>
        <v>-</v>
      </c>
      <c r="V83" s="9" t="s">
        <v>0</v>
      </c>
      <c r="W83" s="9" t="str">
        <f t="shared" si="62"/>
        <v>-</v>
      </c>
      <c r="X83" s="9" t="s">
        <v>0</v>
      </c>
      <c r="Y83" s="9" t="str">
        <f>IF(OR(X83="",X83="-"),"-",X83*$M83*SQRT(3)/1000)</f>
        <v>-</v>
      </c>
      <c r="Z83" s="9" t="s">
        <v>0</v>
      </c>
      <c r="AA83" s="9" t="str">
        <f t="shared" si="69"/>
        <v>-</v>
      </c>
      <c r="AB83" s="9" t="s">
        <v>0</v>
      </c>
      <c r="AC83" s="9" t="str">
        <f t="shared" si="70"/>
        <v>-</v>
      </c>
      <c r="AD83" s="9" t="s">
        <v>0</v>
      </c>
      <c r="AE83" s="12" t="str">
        <f t="shared" si="71"/>
        <v>-</v>
      </c>
      <c r="AF83" s="9" t="s">
        <v>0</v>
      </c>
      <c r="AG83" s="9" t="s">
        <v>0</v>
      </c>
      <c r="AH83" s="9">
        <v>35.799999999999997</v>
      </c>
      <c r="AI83" s="9" t="s">
        <v>0</v>
      </c>
      <c r="AJ83" s="32" t="s">
        <v>0</v>
      </c>
      <c r="AK83" s="29" t="s">
        <v>0</v>
      </c>
      <c r="AL83" s="32" t="s">
        <v>0</v>
      </c>
      <c r="AM83" s="29" t="s">
        <v>0</v>
      </c>
      <c r="AN83" s="32" t="s">
        <v>0</v>
      </c>
      <c r="AO83" s="29" t="s">
        <v>0</v>
      </c>
      <c r="AP83" s="32" t="s">
        <v>0</v>
      </c>
      <c r="AQ83" s="32" t="s">
        <v>0</v>
      </c>
      <c r="AR8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83" s="9" t="str">
        <f t="shared" si="72"/>
        <v>-</v>
      </c>
      <c r="AT83" s="9">
        <f>IF(RIGHT(TMK[[#This Row],[Device type]],7)="Winding","-",TMK[[#This Row],[Cont Winter MVA]])</f>
        <v>9.9897598146020918</v>
      </c>
      <c r="AU83" s="9" t="str">
        <f>IF(RIGHT(TMK[[#This Row],[Device type]],7)="Winding","-",TMK[[#This Row],[Cont Shoulder MVA]])</f>
        <v>-</v>
      </c>
      <c r="AV83" s="9">
        <f>IF(RIGHT(TMK[[#This Row],[Device type]],7)="Winding","-",TMK[[#This Row],[Cont Summer MVA]])</f>
        <v>7.3943903990836004</v>
      </c>
      <c r="AW83" s="9" t="str">
        <f>IF(RIGHT(TMK[[#This Row],[Device type]],7)="Winding","-",TMK[[#This Row],[24 Hr Winter MVA]])</f>
        <v>-</v>
      </c>
      <c r="AX83" s="9" t="str">
        <f>IF(RIGHT(TMK[[#This Row],[Device type]],7)="Winding","-",TMK[[#This Row],[24 Hr Summer MVA]])</f>
        <v>-</v>
      </c>
      <c r="AY83" s="9" t="str">
        <f>TMK[[#This Row],[Forwards MVA]]</f>
        <v>-</v>
      </c>
      <c r="AZ83" s="9" t="str">
        <f>TMK[[#This Row],[Relay MVA]]</f>
        <v>-</v>
      </c>
      <c r="BA83" s="9" t="str">
        <f>TMK[[#This Row],[CT MVA]]</f>
        <v>-</v>
      </c>
      <c r="BB83" s="9" t="str">
        <f>TMK[[#This Row],[Derating MVA]]</f>
        <v>-</v>
      </c>
      <c r="BC83" s="9" t="str">
        <f>TMK[[#This Row],[Station/Feeder]]&amp;TMK[[#This Row],[Lowest MVA]]</f>
        <v>CB7_Rangitata7.3943903990836</v>
      </c>
      <c r="BD83" s="9" t="str">
        <f>CONCATENATE(TMK[[#This Row],[Supply Level]],TMK[[#This Row],[Station/Feeder]],TMK[[#This Row],[Voltage]],TMK[[#This Row],[Lowest A-No PTX]])</f>
        <v>DistributionFeederCB7_Rangitata11388.104844309464</v>
      </c>
      <c r="BE83" s="9" t="str">
        <f>CONCATENATE(TMK[[#This Row],[Supply Level]],TMK[[#This Row],[Station/Feeder]],TMK[[#This Row],[Voltage]],TMK[[#This Row],[Lowest A-PTX]])</f>
        <v>DistributionFeederCB7_Rangitata11388.104844309464</v>
      </c>
      <c r="BF83" s="9">
        <f>IFERROR(IF(MIN(TMK[[#This Row],[Summ Cont Winter A]:[Cable Derating]])=0,"",MIN(TMK[[#This Row],[Summ Cont Winter A]:[Cable Derating]])),"")</f>
        <v>7.3943903990836004</v>
      </c>
      <c r="BG83" s="9">
        <f>IFERROR(TMK[[#This Row],[Lowest MVA]]*1000/(TMK[[#This Row],[Voltage]]*SQRT(3)),"")</f>
        <v>388.10484430946377</v>
      </c>
      <c r="BH83" s="9">
        <f t="shared" si="63"/>
        <v>388.10484430946377</v>
      </c>
      <c r="BI83" s="9" t="str">
        <f>TMK[[#This Row],[From]]</f>
        <v>T400</v>
      </c>
      <c r="BJ83" s="9" t="str">
        <f>TMK[[#This Row],[To]]</f>
        <v>Pole 47048</v>
      </c>
      <c r="BK8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Line-CHAFER</v>
      </c>
      <c r="BL83" s="9">
        <f>TMK[[#This Row],[Voltage]]</f>
        <v>11</v>
      </c>
    </row>
    <row r="84" spans="1:64" s="1" customFormat="1" x14ac:dyDescent="0.25">
      <c r="A84" s="6" t="str">
        <f>CONCATENATE(TMK[[#This Row],[Supply Level]],TMK[[#This Row],[Station/Feeder]],TMK[[#This Row],[Voltage]])</f>
        <v>DistributionFeederCB7_Rangitata11</v>
      </c>
      <c r="B84" s="6" t="str">
        <f>CONCATENATE(TMK[[#This Row],[Supply Level]],TMK[[#This Row],[Station/Feeder]],TMK[[#This Row],[Equipment ID]],TMK[[#This Row],[Voltage]],TMK[[#This Row],[Device type]])</f>
        <v>DistributionFeederCB7_RangitataJAGUAR11-</v>
      </c>
      <c r="C84" s="6" t="s">
        <v>1276</v>
      </c>
      <c r="D84" s="11" t="s">
        <v>130</v>
      </c>
      <c r="E84" s="7" t="s">
        <v>515</v>
      </c>
      <c r="F84" s="7" t="s">
        <v>519</v>
      </c>
      <c r="G84" s="56">
        <v>5</v>
      </c>
      <c r="H84" s="46" t="s">
        <v>1289</v>
      </c>
      <c r="I84" s="123" t="s">
        <v>345</v>
      </c>
      <c r="J84" s="123" t="s">
        <v>69</v>
      </c>
      <c r="K84" s="9" t="s">
        <v>0</v>
      </c>
      <c r="L84" s="46" t="s">
        <v>0</v>
      </c>
      <c r="M84" s="43">
        <v>11</v>
      </c>
      <c r="N84" s="9">
        <v>523.13480389780273</v>
      </c>
      <c r="O84" s="9">
        <f t="shared" si="58"/>
        <v>9.9670566551443294</v>
      </c>
      <c r="P84" s="9" t="s">
        <v>0</v>
      </c>
      <c r="Q84" s="9" t="str">
        <f t="shared" si="59"/>
        <v>-</v>
      </c>
      <c r="R84" s="9">
        <v>386.92827157177999</v>
      </c>
      <c r="S84" s="9">
        <f t="shared" si="60"/>
        <v>7.3719736777184455</v>
      </c>
      <c r="T84" s="9" t="s">
        <v>0</v>
      </c>
      <c r="U84" s="9" t="str">
        <f t="shared" si="61"/>
        <v>-</v>
      </c>
      <c r="V84" s="9" t="s">
        <v>0</v>
      </c>
      <c r="W84" s="9" t="str">
        <f t="shared" si="62"/>
        <v>-</v>
      </c>
      <c r="X84" s="9" t="s">
        <v>0</v>
      </c>
      <c r="Y84" s="9" t="str">
        <f>IF(OR(X84="",X84="-"),"-",X84*$M84*SQRT(3)/1000)</f>
        <v>-</v>
      </c>
      <c r="Z84" s="9" t="s">
        <v>0</v>
      </c>
      <c r="AA84" s="9" t="str">
        <f t="shared" si="69"/>
        <v>-</v>
      </c>
      <c r="AB84" s="9" t="s">
        <v>0</v>
      </c>
      <c r="AC84" s="9" t="str">
        <f t="shared" si="70"/>
        <v>-</v>
      </c>
      <c r="AD84" s="9" t="s">
        <v>0</v>
      </c>
      <c r="AE84" s="12" t="str">
        <f t="shared" si="71"/>
        <v>-</v>
      </c>
      <c r="AF84" s="29" t="s">
        <v>0</v>
      </c>
      <c r="AG84" s="29" t="s">
        <v>0</v>
      </c>
      <c r="AH84" s="29">
        <v>778.3</v>
      </c>
      <c r="AI84" s="29" t="s">
        <v>0</v>
      </c>
      <c r="AJ84" s="32" t="s">
        <v>0</v>
      </c>
      <c r="AK84" s="29" t="s">
        <v>0</v>
      </c>
      <c r="AL84" s="32" t="s">
        <v>0</v>
      </c>
      <c r="AM84" s="29" t="s">
        <v>0</v>
      </c>
      <c r="AN84" s="32" t="s">
        <v>0</v>
      </c>
      <c r="AO84" s="29" t="s">
        <v>0</v>
      </c>
      <c r="AP84" s="29" t="s">
        <v>0</v>
      </c>
      <c r="AQ84" s="32" t="s">
        <v>0</v>
      </c>
      <c r="AR84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84" s="9" t="str">
        <f t="shared" si="72"/>
        <v>-</v>
      </c>
      <c r="AT84" s="9">
        <f>IF(RIGHT(TMK[[#This Row],[Device type]],7)="Winding","-",TMK[[#This Row],[Cont Winter MVA]])</f>
        <v>9.9670566551443294</v>
      </c>
      <c r="AU84" s="9" t="str">
        <f>IF(RIGHT(TMK[[#This Row],[Device type]],7)="Winding","-",TMK[[#This Row],[Cont Shoulder MVA]])</f>
        <v>-</v>
      </c>
      <c r="AV84" s="9">
        <f>IF(RIGHT(TMK[[#This Row],[Device type]],7)="Winding","-",TMK[[#This Row],[Cont Summer MVA]])</f>
        <v>7.3719736777184455</v>
      </c>
      <c r="AW84" s="9" t="str">
        <f>IF(RIGHT(TMK[[#This Row],[Device type]],7)="Winding","-",TMK[[#This Row],[24 Hr Winter MVA]])</f>
        <v>-</v>
      </c>
      <c r="AX84" s="9" t="str">
        <f>IF(RIGHT(TMK[[#This Row],[Device type]],7)="Winding","-",TMK[[#This Row],[24 Hr Summer MVA]])</f>
        <v>-</v>
      </c>
      <c r="AY84" s="9" t="str">
        <f>TMK[[#This Row],[Forwards MVA]]</f>
        <v>-</v>
      </c>
      <c r="AZ84" s="9" t="str">
        <f>TMK[[#This Row],[Relay MVA]]</f>
        <v>-</v>
      </c>
      <c r="BA84" s="9" t="str">
        <f>TMK[[#This Row],[CT MVA]]</f>
        <v>-</v>
      </c>
      <c r="BB84" s="9" t="str">
        <f>TMK[[#This Row],[Derating MVA]]</f>
        <v>-</v>
      </c>
      <c r="BC84" s="9" t="str">
        <f>TMK[[#This Row],[Station/Feeder]]&amp;TMK[[#This Row],[Lowest MVA]]</f>
        <v>CB7_Rangitata7.37197367771845</v>
      </c>
      <c r="BD84" s="9" t="str">
        <f>CONCATENATE(TMK[[#This Row],[Supply Level]],TMK[[#This Row],[Station/Feeder]],TMK[[#This Row],[Voltage]],TMK[[#This Row],[Lowest A-No PTX]])</f>
        <v>DistributionFeederCB7_Rangitata11386.92827157178</v>
      </c>
      <c r="BE84" s="9" t="str">
        <f>CONCATENATE(TMK[[#This Row],[Supply Level]],TMK[[#This Row],[Station/Feeder]],TMK[[#This Row],[Voltage]],TMK[[#This Row],[Lowest A-PTX]])</f>
        <v>DistributionFeederCB7_Rangitata11386.92827157178</v>
      </c>
      <c r="BF84" s="9">
        <f>IFERROR(IF(MIN(TMK[[#This Row],[Summ Cont Winter A]:[Cable Derating]])=0,"",MIN(TMK[[#This Row],[Summ Cont Winter A]:[Cable Derating]])),"")</f>
        <v>7.3719736777184455</v>
      </c>
      <c r="BG84" s="9">
        <f>IFERROR(TMK[[#This Row],[Lowest MVA]]*1000/(TMK[[#This Row],[Voltage]]*SQRT(3)),"")</f>
        <v>386.92827157177999</v>
      </c>
      <c r="BH84" s="9">
        <f t="shared" si="63"/>
        <v>386.92827157177999</v>
      </c>
      <c r="BI84" s="9" t="str">
        <f>TMK[[#This Row],[From]]</f>
        <v>Pole 47048</v>
      </c>
      <c r="BJ84" s="9" t="str">
        <f>TMK[[#This Row],[To]]</f>
        <v>T549</v>
      </c>
      <c r="BK8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Line-JAGUAR</v>
      </c>
      <c r="BL84" s="9">
        <f>TMK[[#This Row],[Voltage]]</f>
        <v>11</v>
      </c>
    </row>
    <row r="85" spans="1:64" s="1" customFormat="1" x14ac:dyDescent="0.25">
      <c r="A85" s="6" t="str">
        <f>CONCATENATE(TMK[[#This Row],[Supply Level]],TMK[[#This Row],[Station/Feeder]],TMK[[#This Row],[Voltage]])</f>
        <v>DistributionFeederCB7_Rangitata11</v>
      </c>
      <c r="B85" s="6" t="str">
        <f>CONCATENATE(TMK[[#This Row],[Supply Level]],TMK[[#This Row],[Station/Feeder]],TMK[[#This Row],[Equipment ID]],TMK[[#This Row],[Voltage]],TMK[[#This Row],[Device type]])</f>
        <v>DistributionFeederCB7_RangitataT54711-</v>
      </c>
      <c r="C85" s="6" t="s">
        <v>1276</v>
      </c>
      <c r="D85" s="11" t="s">
        <v>130</v>
      </c>
      <c r="E85" s="7" t="s">
        <v>515</v>
      </c>
      <c r="F85" s="7" t="s">
        <v>519</v>
      </c>
      <c r="G85" s="56">
        <v>6</v>
      </c>
      <c r="H85" s="46" t="s">
        <v>273</v>
      </c>
      <c r="I85" s="123" t="s">
        <v>518</v>
      </c>
      <c r="J85" s="123" t="s">
        <v>249</v>
      </c>
      <c r="K85" s="7" t="s">
        <v>0</v>
      </c>
      <c r="L85" s="7" t="s">
        <v>0</v>
      </c>
      <c r="M85" s="43">
        <v>11</v>
      </c>
      <c r="N85" s="9">
        <v>300</v>
      </c>
      <c r="O85" s="9">
        <f t="shared" si="58"/>
        <v>5.715767664977295</v>
      </c>
      <c r="P85" s="9">
        <v>300</v>
      </c>
      <c r="Q85" s="9">
        <f t="shared" si="59"/>
        <v>5.715767664977295</v>
      </c>
      <c r="R85" s="9">
        <v>300</v>
      </c>
      <c r="S85" s="9">
        <f t="shared" si="60"/>
        <v>5.715767664977295</v>
      </c>
      <c r="T85" s="9" t="s">
        <v>0</v>
      </c>
      <c r="U85" s="9" t="str">
        <f t="shared" si="61"/>
        <v>-</v>
      </c>
      <c r="V85" s="9" t="s">
        <v>0</v>
      </c>
      <c r="W85" s="9" t="str">
        <f t="shared" si="62"/>
        <v>-</v>
      </c>
      <c r="X85" s="9" t="s">
        <v>0</v>
      </c>
      <c r="Y85" s="9" t="str">
        <f t="shared" si="6"/>
        <v>-</v>
      </c>
      <c r="Z85" s="9" t="s">
        <v>0</v>
      </c>
      <c r="AA85" s="9" t="str">
        <f t="shared" si="69"/>
        <v>-</v>
      </c>
      <c r="AB85" s="9" t="s">
        <v>0</v>
      </c>
      <c r="AC85" s="9" t="str">
        <f t="shared" si="70"/>
        <v>-</v>
      </c>
      <c r="AD85" s="9" t="s">
        <v>0</v>
      </c>
      <c r="AE85" s="12" t="str">
        <f t="shared" si="71"/>
        <v>-</v>
      </c>
      <c r="AF85" s="29" t="s">
        <v>0</v>
      </c>
      <c r="AG85" s="29" t="s">
        <v>0</v>
      </c>
      <c r="AH85" s="29" t="s">
        <v>0</v>
      </c>
      <c r="AI85" s="29" t="s">
        <v>0</v>
      </c>
      <c r="AJ85" s="32" t="s">
        <v>0</v>
      </c>
      <c r="AK85" s="29" t="s">
        <v>0</v>
      </c>
      <c r="AL85" s="32" t="s">
        <v>0</v>
      </c>
      <c r="AM85" s="29" t="s">
        <v>0</v>
      </c>
      <c r="AN85" s="32" t="s">
        <v>0</v>
      </c>
      <c r="AO85" s="29" t="s">
        <v>0</v>
      </c>
      <c r="AP85" s="29" t="s">
        <v>0</v>
      </c>
      <c r="AQ85" s="32" t="s">
        <v>0</v>
      </c>
      <c r="AR85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85" s="9" t="str">
        <f t="shared" si="72"/>
        <v>-</v>
      </c>
      <c r="AT85" s="9">
        <f>IF(RIGHT(TMK[[#This Row],[Device type]],7)="Winding","-",TMK[[#This Row],[Cont Winter MVA]])</f>
        <v>5.715767664977295</v>
      </c>
      <c r="AU85" s="9">
        <f>IF(RIGHT(TMK[[#This Row],[Device type]],7)="Winding","-",TMK[[#This Row],[Cont Shoulder MVA]])</f>
        <v>5.715767664977295</v>
      </c>
      <c r="AV85" s="9">
        <f>IF(RIGHT(TMK[[#This Row],[Device type]],7)="Winding","-",TMK[[#This Row],[Cont Summer MVA]])</f>
        <v>5.715767664977295</v>
      </c>
      <c r="AW85" s="9" t="str">
        <f>IF(RIGHT(TMK[[#This Row],[Device type]],7)="Winding","-",TMK[[#This Row],[24 Hr Winter MVA]])</f>
        <v>-</v>
      </c>
      <c r="AX85" s="9" t="str">
        <f>IF(RIGHT(TMK[[#This Row],[Device type]],7)="Winding","-",TMK[[#This Row],[24 Hr Summer MVA]])</f>
        <v>-</v>
      </c>
      <c r="AY85" s="9" t="str">
        <f>TMK[[#This Row],[Forwards MVA]]</f>
        <v>-</v>
      </c>
      <c r="AZ85" s="9" t="str">
        <f>TMK[[#This Row],[Relay MVA]]</f>
        <v>-</v>
      </c>
      <c r="BA85" s="9" t="str">
        <f>TMK[[#This Row],[CT MVA]]</f>
        <v>-</v>
      </c>
      <c r="BB85" s="9" t="str">
        <f>TMK[[#This Row],[Derating MVA]]</f>
        <v>-</v>
      </c>
      <c r="BC85" s="9" t="str">
        <f>TMK[[#This Row],[Station/Feeder]]&amp;TMK[[#This Row],[Lowest MVA]]</f>
        <v>CB7_Rangitata5.7157676649773</v>
      </c>
      <c r="BD85" s="9" t="str">
        <f>CONCATENATE(TMK[[#This Row],[Supply Level]],TMK[[#This Row],[Station/Feeder]],TMK[[#This Row],[Voltage]],TMK[[#This Row],[Lowest A-No PTX]])</f>
        <v>DistributionFeederCB7_Rangitata11300</v>
      </c>
      <c r="BE85" s="9" t="str">
        <f>CONCATENATE(TMK[[#This Row],[Supply Level]],TMK[[#This Row],[Station/Feeder]],TMK[[#This Row],[Voltage]],TMK[[#This Row],[Lowest A-PTX]])</f>
        <v>DistributionFeederCB7_Rangitata11300</v>
      </c>
      <c r="BF85" s="9">
        <f>IFERROR(IF(MIN(TMK[[#This Row],[Summ Cont Winter A]:[Cable Derating]])=0,"",MIN(TMK[[#This Row],[Summ Cont Winter A]:[Cable Derating]])),"")</f>
        <v>5.715767664977295</v>
      </c>
      <c r="BG85" s="9">
        <f>IFERROR(TMK[[#This Row],[Lowest MVA]]*1000/(TMK[[#This Row],[Voltage]]*SQRT(3)),"")</f>
        <v>300</v>
      </c>
      <c r="BH85" s="9">
        <f t="shared" si="63"/>
        <v>300</v>
      </c>
      <c r="BI85" s="9" t="str">
        <f>TMK[[#This Row],[From]]</f>
        <v>Pole 47048</v>
      </c>
      <c r="BJ85" s="9" t="str">
        <f>TMK[[#This Row],[To]]</f>
        <v>T549</v>
      </c>
      <c r="BK8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Link-T547</v>
      </c>
      <c r="BL85" s="9">
        <f>TMK[[#This Row],[Voltage]]</f>
        <v>11</v>
      </c>
    </row>
    <row r="86" spans="1:64" s="1" customFormat="1" x14ac:dyDescent="0.25">
      <c r="A86" s="6" t="str">
        <f>CONCATENATE(TMK[[#This Row],[Supply Level]],TMK[[#This Row],[Station/Feeder]],TMK[[#This Row],[Voltage]])</f>
        <v>DistributionFeederCB7_Rangitata11</v>
      </c>
      <c r="B86" s="6" t="str">
        <f>CONCATENATE(TMK[[#This Row],[Supply Level]],TMK[[#This Row],[Station/Feeder]],TMK[[#This Row],[Equipment ID]],TMK[[#This Row],[Voltage]],TMK[[#This Row],[Device type]])</f>
        <v>DistributionFeederCB7_Rangitata1-3c 300 mm² Al XLPE11-</v>
      </c>
      <c r="C86" s="6" t="s">
        <v>1276</v>
      </c>
      <c r="D86" s="11" t="s">
        <v>130</v>
      </c>
      <c r="E86" s="7" t="s">
        <v>515</v>
      </c>
      <c r="F86" s="7" t="s">
        <v>519</v>
      </c>
      <c r="G86" s="56">
        <v>7</v>
      </c>
      <c r="H86" s="46" t="s">
        <v>276</v>
      </c>
      <c r="I86" s="123" t="s">
        <v>569</v>
      </c>
      <c r="J86" s="123" t="s">
        <v>250</v>
      </c>
      <c r="K86" s="46" t="s">
        <v>0</v>
      </c>
      <c r="L86" s="46" t="s">
        <v>0</v>
      </c>
      <c r="M86" s="43">
        <v>11</v>
      </c>
      <c r="N86" s="9">
        <v>476</v>
      </c>
      <c r="O86" s="9">
        <f t="shared" si="58"/>
        <v>9.0690180284306408</v>
      </c>
      <c r="P86" s="9">
        <v>476</v>
      </c>
      <c r="Q86" s="9">
        <f t="shared" si="59"/>
        <v>9.0690180284306408</v>
      </c>
      <c r="R86" s="9">
        <v>476</v>
      </c>
      <c r="S86" s="9">
        <f t="shared" si="60"/>
        <v>9.0690180284306408</v>
      </c>
      <c r="T86" s="9" t="s">
        <v>0</v>
      </c>
      <c r="U86" s="9" t="str">
        <f t="shared" si="61"/>
        <v>-</v>
      </c>
      <c r="V86" s="9" t="s">
        <v>0</v>
      </c>
      <c r="W86" s="9" t="str">
        <f t="shared" si="62"/>
        <v>-</v>
      </c>
      <c r="X86" s="9" t="s">
        <v>0</v>
      </c>
      <c r="Y86" s="9" t="str">
        <f>IF(OR(X86="",X86="-"),"-",X86*$M86*SQRT(3)/1000)</f>
        <v>-</v>
      </c>
      <c r="Z86" s="9" t="s">
        <v>0</v>
      </c>
      <c r="AA86" s="9" t="str">
        <f t="shared" si="69"/>
        <v>-</v>
      </c>
      <c r="AB86" s="9" t="s">
        <v>0</v>
      </c>
      <c r="AC86" s="9" t="str">
        <f t="shared" si="70"/>
        <v>-</v>
      </c>
      <c r="AD86" s="9" t="s">
        <v>0</v>
      </c>
      <c r="AE86" s="12" t="str">
        <f t="shared" si="71"/>
        <v>-</v>
      </c>
      <c r="AF86" s="9">
        <v>3</v>
      </c>
      <c r="AG86" s="9" t="s">
        <v>265</v>
      </c>
      <c r="AH86" s="9">
        <v>390.8</v>
      </c>
      <c r="AI86" s="9">
        <v>1</v>
      </c>
      <c r="AJ86" s="32">
        <v>0.98</v>
      </c>
      <c r="AK86" s="29">
        <v>18</v>
      </c>
      <c r="AL86" s="32">
        <v>0.98</v>
      </c>
      <c r="AM86" s="29">
        <v>1.2</v>
      </c>
      <c r="AN86" s="32">
        <v>1</v>
      </c>
      <c r="AO86" s="29">
        <v>2</v>
      </c>
      <c r="AP86" s="32">
        <v>0.8</v>
      </c>
      <c r="AQ86" s="32">
        <v>0.95</v>
      </c>
      <c r="AR86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434.29287999999991</v>
      </c>
      <c r="AS86" s="9">
        <f t="shared" si="72"/>
        <v>8.2743906687795459</v>
      </c>
      <c r="AT86" s="9">
        <f>IF(RIGHT(TMK[[#This Row],[Device type]],7)="Winding","-",TMK[[#This Row],[Cont Winter MVA]])</f>
        <v>9.0690180284306408</v>
      </c>
      <c r="AU86" s="9">
        <f>IF(RIGHT(TMK[[#This Row],[Device type]],7)="Winding","-",TMK[[#This Row],[Cont Shoulder MVA]])</f>
        <v>9.0690180284306408</v>
      </c>
      <c r="AV86" s="9">
        <f>IF(RIGHT(TMK[[#This Row],[Device type]],7)="Winding","-",TMK[[#This Row],[Cont Summer MVA]])</f>
        <v>9.0690180284306408</v>
      </c>
      <c r="AW86" s="9" t="str">
        <f>IF(RIGHT(TMK[[#This Row],[Device type]],7)="Winding","-",TMK[[#This Row],[24 Hr Winter MVA]])</f>
        <v>-</v>
      </c>
      <c r="AX86" s="9" t="str">
        <f>IF(RIGHT(TMK[[#This Row],[Device type]],7)="Winding","-",TMK[[#This Row],[24 Hr Summer MVA]])</f>
        <v>-</v>
      </c>
      <c r="AY86" s="9" t="str">
        <f>TMK[[#This Row],[Forwards MVA]]</f>
        <v>-</v>
      </c>
      <c r="AZ86" s="9" t="str">
        <f>TMK[[#This Row],[Relay MVA]]</f>
        <v>-</v>
      </c>
      <c r="BA86" s="9" t="str">
        <f>TMK[[#This Row],[CT MVA]]</f>
        <v>-</v>
      </c>
      <c r="BB86" s="9">
        <f>TMK[[#This Row],[Derating MVA]]</f>
        <v>8.2743906687795459</v>
      </c>
      <c r="BC86" s="9" t="str">
        <f>TMK[[#This Row],[Station/Feeder]]&amp;TMK[[#This Row],[Lowest MVA]]</f>
        <v>CB7_Rangitata8.27439066877955</v>
      </c>
      <c r="BD86" s="9" t="str">
        <f>CONCATENATE(TMK[[#This Row],[Supply Level]],TMK[[#This Row],[Station/Feeder]],TMK[[#This Row],[Voltage]],TMK[[#This Row],[Lowest A-No PTX]])</f>
        <v>DistributionFeederCB7_Rangitata11434.29288</v>
      </c>
      <c r="BE86" s="9" t="str">
        <f>CONCATENATE(TMK[[#This Row],[Supply Level]],TMK[[#This Row],[Station/Feeder]],TMK[[#This Row],[Voltage]],TMK[[#This Row],[Lowest A-PTX]])</f>
        <v>DistributionFeederCB7_Rangitata11434.29288</v>
      </c>
      <c r="BF86" s="9">
        <f>IFERROR(IF(MIN(TMK[[#This Row],[Summ Cont Winter A]:[Cable Derating]])=0,"",MIN(TMK[[#This Row],[Summ Cont Winter A]:[Cable Derating]])),"")</f>
        <v>8.2743906687795459</v>
      </c>
      <c r="BG86" s="9">
        <f>IFERROR(TMK[[#This Row],[Lowest MVA]]*1000/(TMK[[#This Row],[Voltage]]*SQRT(3)),"")</f>
        <v>434.29287999999985</v>
      </c>
      <c r="BH86" s="9">
        <f t="shared" si="63"/>
        <v>434.29287999999991</v>
      </c>
      <c r="BI86" s="9" t="str">
        <f>TMK[[#This Row],[From]]</f>
        <v>Pole 47048</v>
      </c>
      <c r="BJ86" s="9" t="str">
        <f>TMK[[#This Row],[To]]</f>
        <v>T549</v>
      </c>
      <c r="BK8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XLPE</v>
      </c>
      <c r="BL86" s="9">
        <f>TMK[[#This Row],[Voltage]]</f>
        <v>11</v>
      </c>
    </row>
    <row r="87" spans="1:64" s="1" customFormat="1" x14ac:dyDescent="0.25">
      <c r="A87" s="6" t="str">
        <f>CONCATENATE(TMK[[#This Row],[Supply Level]],TMK[[#This Row],[Station/Feeder]],TMK[[#This Row],[Voltage]])</f>
        <v>DistributionFeederCB7_Rangitata11</v>
      </c>
      <c r="B87" s="6" t="str">
        <f>CONCATENATE(TMK[[#This Row],[Supply Level]],TMK[[#This Row],[Station/Feeder]],TMK[[#This Row],[Equipment ID]],TMK[[#This Row],[Voltage]],TMK[[#This Row],[Device type]])</f>
        <v>DistributionFeederCB7_RangitataT54911-</v>
      </c>
      <c r="C87" s="6" t="s">
        <v>1276</v>
      </c>
      <c r="D87" s="11" t="s">
        <v>130</v>
      </c>
      <c r="E87" s="7" t="s">
        <v>515</v>
      </c>
      <c r="F87" s="7" t="s">
        <v>519</v>
      </c>
      <c r="G87" s="56">
        <v>8</v>
      </c>
      <c r="H87" s="46" t="s">
        <v>273</v>
      </c>
      <c r="I87" s="123" t="s">
        <v>519</v>
      </c>
      <c r="J87" s="123" t="s">
        <v>249</v>
      </c>
      <c r="K87" s="7" t="s">
        <v>0</v>
      </c>
      <c r="L87" s="7" t="s">
        <v>0</v>
      </c>
      <c r="M87" s="43">
        <v>11</v>
      </c>
      <c r="N87" s="9">
        <v>300</v>
      </c>
      <c r="O87" s="9">
        <f t="shared" si="58"/>
        <v>5.715767664977295</v>
      </c>
      <c r="P87" s="9">
        <v>300</v>
      </c>
      <c r="Q87" s="9">
        <f t="shared" si="59"/>
        <v>5.715767664977295</v>
      </c>
      <c r="R87" s="9">
        <v>300</v>
      </c>
      <c r="S87" s="9">
        <f t="shared" si="60"/>
        <v>5.715767664977295</v>
      </c>
      <c r="T87" s="9" t="s">
        <v>0</v>
      </c>
      <c r="U87" s="9" t="str">
        <f t="shared" si="61"/>
        <v>-</v>
      </c>
      <c r="V87" s="9" t="s">
        <v>0</v>
      </c>
      <c r="W87" s="9" t="str">
        <f t="shared" si="62"/>
        <v>-</v>
      </c>
      <c r="X87" s="9" t="s">
        <v>0</v>
      </c>
      <c r="Y87" s="9" t="str">
        <f t="shared" ref="Y87" si="75">IF(OR(X87="",X87="-"),"-",X87*$M87*SQRT(3)/1000)</f>
        <v>-</v>
      </c>
      <c r="Z87" s="9" t="s">
        <v>0</v>
      </c>
      <c r="AA87" s="9" t="str">
        <f t="shared" si="69"/>
        <v>-</v>
      </c>
      <c r="AB87" s="9" t="s">
        <v>0</v>
      </c>
      <c r="AC87" s="9" t="str">
        <f t="shared" si="70"/>
        <v>-</v>
      </c>
      <c r="AD87" s="9" t="s">
        <v>0</v>
      </c>
      <c r="AE87" s="12" t="str">
        <f t="shared" si="71"/>
        <v>-</v>
      </c>
      <c r="AF87" s="29" t="s">
        <v>0</v>
      </c>
      <c r="AG87" s="29" t="s">
        <v>0</v>
      </c>
      <c r="AH87" s="29" t="s">
        <v>0</v>
      </c>
      <c r="AI87" s="29" t="s">
        <v>0</v>
      </c>
      <c r="AJ87" s="32" t="s">
        <v>0</v>
      </c>
      <c r="AK87" s="29" t="s">
        <v>0</v>
      </c>
      <c r="AL87" s="32" t="s">
        <v>0</v>
      </c>
      <c r="AM87" s="29" t="s">
        <v>0</v>
      </c>
      <c r="AN87" s="32" t="s">
        <v>0</v>
      </c>
      <c r="AO87" s="29" t="s">
        <v>0</v>
      </c>
      <c r="AP87" s="29" t="s">
        <v>0</v>
      </c>
      <c r="AQ87" s="32" t="s">
        <v>0</v>
      </c>
      <c r="AR87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87" s="9" t="str">
        <f t="shared" si="72"/>
        <v>-</v>
      </c>
      <c r="AT87" s="9">
        <f>IF(RIGHT(TMK[[#This Row],[Device type]],7)="Winding","-",TMK[[#This Row],[Cont Winter MVA]])</f>
        <v>5.715767664977295</v>
      </c>
      <c r="AU87" s="9">
        <f>IF(RIGHT(TMK[[#This Row],[Device type]],7)="Winding","-",TMK[[#This Row],[Cont Shoulder MVA]])</f>
        <v>5.715767664977295</v>
      </c>
      <c r="AV87" s="9">
        <f>IF(RIGHT(TMK[[#This Row],[Device type]],7)="Winding","-",TMK[[#This Row],[Cont Summer MVA]])</f>
        <v>5.715767664977295</v>
      </c>
      <c r="AW87" s="9" t="str">
        <f>IF(RIGHT(TMK[[#This Row],[Device type]],7)="Winding","-",TMK[[#This Row],[24 Hr Winter MVA]])</f>
        <v>-</v>
      </c>
      <c r="AX87" s="9" t="str">
        <f>IF(RIGHT(TMK[[#This Row],[Device type]],7)="Winding","-",TMK[[#This Row],[24 Hr Summer MVA]])</f>
        <v>-</v>
      </c>
      <c r="AY87" s="9" t="str">
        <f>TMK[[#This Row],[Forwards MVA]]</f>
        <v>-</v>
      </c>
      <c r="AZ87" s="9" t="str">
        <f>TMK[[#This Row],[Relay MVA]]</f>
        <v>-</v>
      </c>
      <c r="BA87" s="9" t="str">
        <f>TMK[[#This Row],[CT MVA]]</f>
        <v>-</v>
      </c>
      <c r="BB87" s="9" t="str">
        <f>TMK[[#This Row],[Derating MVA]]</f>
        <v>-</v>
      </c>
      <c r="BC87" s="9" t="str">
        <f>TMK[[#This Row],[Station/Feeder]]&amp;TMK[[#This Row],[Lowest MVA]]</f>
        <v>CB7_Rangitata5.7157676649773</v>
      </c>
      <c r="BD87" s="9" t="str">
        <f>CONCATENATE(TMK[[#This Row],[Supply Level]],TMK[[#This Row],[Station/Feeder]],TMK[[#This Row],[Voltage]],TMK[[#This Row],[Lowest A-No PTX]])</f>
        <v>DistributionFeederCB7_Rangitata11300</v>
      </c>
      <c r="BE87" s="9" t="str">
        <f>CONCATENATE(TMK[[#This Row],[Supply Level]],TMK[[#This Row],[Station/Feeder]],TMK[[#This Row],[Voltage]],TMK[[#This Row],[Lowest A-PTX]])</f>
        <v>DistributionFeederCB7_Rangitata11300</v>
      </c>
      <c r="BF87" s="9">
        <f>IFERROR(IF(MIN(TMK[[#This Row],[Summ Cont Winter A]:[Cable Derating]])=0,"",MIN(TMK[[#This Row],[Summ Cont Winter A]:[Cable Derating]])),"")</f>
        <v>5.715767664977295</v>
      </c>
      <c r="BG87" s="9">
        <f>IFERROR(TMK[[#This Row],[Lowest MVA]]*1000/(TMK[[#This Row],[Voltage]]*SQRT(3)),"")</f>
        <v>300</v>
      </c>
      <c r="BH87" s="9">
        <f t="shared" si="63"/>
        <v>300</v>
      </c>
      <c r="BI87" s="9" t="str">
        <f>TMK[[#This Row],[From]]</f>
        <v>Pole 47048</v>
      </c>
      <c r="BJ87" s="9" t="str">
        <f>TMK[[#This Row],[To]]</f>
        <v>T549</v>
      </c>
      <c r="BK8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Link-T549</v>
      </c>
      <c r="BL87" s="9">
        <f>TMK[[#This Row],[Voltage]]</f>
        <v>11</v>
      </c>
    </row>
    <row r="88" spans="1:64" s="1" customFormat="1" x14ac:dyDescent="0.25">
      <c r="A88" s="6" t="str">
        <f>CONCATENATE(TMK[[#This Row],[Supply Level]],TMK[[#This Row],[Station/Feeder]],TMK[[#This Row],[Voltage]])</f>
        <v>DistributionFeederCB8_Temuka East11</v>
      </c>
      <c r="B88" s="6" t="str">
        <f>CONCATENATE(TMK[[#This Row],[Supply Level]],TMK[[#This Row],[Station/Feeder]],TMK[[#This Row],[Equipment ID]],TMK[[#This Row],[Voltage]],TMK[[#This Row],[Device type]])</f>
        <v>DistributionFeederCB8_Temuka EastTMK-CB811Protection</v>
      </c>
      <c r="C88" s="6" t="s">
        <v>1276</v>
      </c>
      <c r="D88" s="11" t="s">
        <v>136</v>
      </c>
      <c r="E88" s="7" t="s">
        <v>243</v>
      </c>
      <c r="F88" s="7" t="s">
        <v>521</v>
      </c>
      <c r="G88" s="56">
        <v>1</v>
      </c>
      <c r="H88" s="7" t="s">
        <v>343</v>
      </c>
      <c r="I88" s="123" t="s">
        <v>2323</v>
      </c>
      <c r="J88" s="123" t="s">
        <v>15</v>
      </c>
      <c r="K88" s="46" t="s">
        <v>1121</v>
      </c>
      <c r="L88" s="46" t="s">
        <v>1423</v>
      </c>
      <c r="M88" s="43">
        <v>11</v>
      </c>
      <c r="N88" s="9">
        <v>630</v>
      </c>
      <c r="O88" s="9">
        <f t="shared" si="58"/>
        <v>12.00311209645232</v>
      </c>
      <c r="P88" s="9">
        <v>630</v>
      </c>
      <c r="Q88" s="9">
        <f t="shared" si="59"/>
        <v>12.00311209645232</v>
      </c>
      <c r="R88" s="9">
        <v>630</v>
      </c>
      <c r="S88" s="9">
        <f t="shared" si="60"/>
        <v>12.00311209645232</v>
      </c>
      <c r="T88" s="9" t="s">
        <v>0</v>
      </c>
      <c r="U88" s="9" t="str">
        <f t="shared" si="61"/>
        <v>-</v>
      </c>
      <c r="V88" s="9" t="s">
        <v>0</v>
      </c>
      <c r="W88" s="9" t="str">
        <f t="shared" si="62"/>
        <v>-</v>
      </c>
      <c r="X88" s="9">
        <f>VLOOKUP(TMK[[#This Row],[Equipment ID]],AEL_Protection_Data[#All],12,0)</f>
        <v>402</v>
      </c>
      <c r="Y88" s="9">
        <f>IF(OR(X88="",X88="-"),"-",X88*$M88*SQRT(3)/1000)</f>
        <v>7.659128671069575</v>
      </c>
      <c r="Z88" s="9">
        <v>402</v>
      </c>
      <c r="AA88" s="9">
        <f t="shared" si="69"/>
        <v>7.659128671069575</v>
      </c>
      <c r="AB88" s="9" t="s">
        <v>0</v>
      </c>
      <c r="AC88" s="9" t="str">
        <f t="shared" si="70"/>
        <v>-</v>
      </c>
      <c r="AD88" s="9">
        <v>600</v>
      </c>
      <c r="AE88" s="12">
        <f t="shared" si="71"/>
        <v>11.43153532995459</v>
      </c>
      <c r="AF88" s="9" t="s">
        <v>0</v>
      </c>
      <c r="AG88" s="9" t="s">
        <v>0</v>
      </c>
      <c r="AH88" s="9" t="s">
        <v>0</v>
      </c>
      <c r="AI88" s="9" t="s">
        <v>0</v>
      </c>
      <c r="AJ88" s="32" t="s">
        <v>0</v>
      </c>
      <c r="AK88" s="29" t="s">
        <v>0</v>
      </c>
      <c r="AL88" s="32" t="s">
        <v>0</v>
      </c>
      <c r="AM88" s="29" t="s">
        <v>0</v>
      </c>
      <c r="AN88" s="32" t="s">
        <v>0</v>
      </c>
      <c r="AO88" s="29" t="s">
        <v>0</v>
      </c>
      <c r="AP88" s="32" t="s">
        <v>0</v>
      </c>
      <c r="AQ88" s="32" t="s">
        <v>0</v>
      </c>
      <c r="AR88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88" s="9" t="str">
        <f t="shared" si="72"/>
        <v>-</v>
      </c>
      <c r="AT88" s="9">
        <f>IF(RIGHT(TMK[[#This Row],[Device type]],7)="Winding","-",TMK[[#This Row],[Cont Winter MVA]])</f>
        <v>12.00311209645232</v>
      </c>
      <c r="AU88" s="9">
        <f>IF(RIGHT(TMK[[#This Row],[Device type]],7)="Winding","-",TMK[[#This Row],[Cont Shoulder MVA]])</f>
        <v>12.00311209645232</v>
      </c>
      <c r="AV88" s="9">
        <f>IF(RIGHT(TMK[[#This Row],[Device type]],7)="Winding","-",TMK[[#This Row],[Cont Summer MVA]])</f>
        <v>12.00311209645232</v>
      </c>
      <c r="AW88" s="9" t="str">
        <f>IF(RIGHT(TMK[[#This Row],[Device type]],7)="Winding","-",TMK[[#This Row],[24 Hr Winter MVA]])</f>
        <v>-</v>
      </c>
      <c r="AX88" s="9" t="str">
        <f>IF(RIGHT(TMK[[#This Row],[Device type]],7)="Winding","-",TMK[[#This Row],[24 Hr Summer MVA]])</f>
        <v>-</v>
      </c>
      <c r="AY88" s="9">
        <f>TMK[[#This Row],[Forwards MVA]]</f>
        <v>7.659128671069575</v>
      </c>
      <c r="AZ88" s="9" t="str">
        <f>TMK[[#This Row],[Relay MVA]]</f>
        <v>-</v>
      </c>
      <c r="BA88" s="9">
        <f>TMK[[#This Row],[CT MVA]]</f>
        <v>11.43153532995459</v>
      </c>
      <c r="BB88" s="9" t="str">
        <f>TMK[[#This Row],[Derating MVA]]</f>
        <v>-</v>
      </c>
      <c r="BC88" s="9" t="str">
        <f>TMK[[#This Row],[Station/Feeder]]&amp;TMK[[#This Row],[Lowest MVA]]</f>
        <v>CB8_Temuka East7.65912867106957</v>
      </c>
      <c r="BD88" s="9" t="str">
        <f>CONCATENATE(TMK[[#This Row],[Supply Level]],TMK[[#This Row],[Station/Feeder]],TMK[[#This Row],[Voltage]],TMK[[#This Row],[Lowest A-No PTX]])</f>
        <v>DistributionFeederCB8_Temuka East11402</v>
      </c>
      <c r="BE88" s="9" t="str">
        <f>CONCATENATE(TMK[[#This Row],[Supply Level]],TMK[[#This Row],[Station/Feeder]],TMK[[#This Row],[Voltage]],TMK[[#This Row],[Lowest A-PTX]])</f>
        <v>DistributionFeederCB8_Temuka East11402</v>
      </c>
      <c r="BF88" s="9">
        <f>IFERROR(IF(MIN(TMK[[#This Row],[Summ Cont Winter A]:[Cable Derating]])=0,"",MIN(TMK[[#This Row],[Summ Cont Winter A]:[Cable Derating]])),"")</f>
        <v>7.659128671069575</v>
      </c>
      <c r="BG88" s="9">
        <f>IFERROR(TMK[[#This Row],[Lowest MVA]]*1000/(TMK[[#This Row],[Voltage]]*SQRT(3)),"")</f>
        <v>402</v>
      </c>
      <c r="BH88" s="9">
        <f t="shared" si="63"/>
        <v>402</v>
      </c>
      <c r="BI88" s="9" t="str">
        <f>TMK[[#This Row],[From]]</f>
        <v>11 kV Bus</v>
      </c>
      <c r="BJ88" s="9" t="str">
        <f>TMK[[#This Row],[To]]</f>
        <v>T101</v>
      </c>
      <c r="BK8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Breaker-TMK-CB8-Protection</v>
      </c>
      <c r="BL88" s="9">
        <f>TMK[[#This Row],[Voltage]]</f>
        <v>11</v>
      </c>
    </row>
    <row r="89" spans="1:64" s="1" customFormat="1" x14ac:dyDescent="0.25">
      <c r="A89" s="6" t="str">
        <f>CONCATENATE(TMK[[#This Row],[Supply Level]],TMK[[#This Row],[Station/Feeder]],TMK[[#This Row],[Voltage]])</f>
        <v>DistributionFeederCB8_Temuka East11</v>
      </c>
      <c r="B89" s="6" t="str">
        <f>CONCATENATE(TMK[[#This Row],[Supply Level]],TMK[[#This Row],[Station/Feeder]],TMK[[#This Row],[Equipment ID]],TMK[[#This Row],[Voltage]],TMK[[#This Row],[Device type]])</f>
        <v>DistributionFeederCB8_Temuka East1-3c 300 mm² Al PILC11-</v>
      </c>
      <c r="C89" s="6" t="s">
        <v>1276</v>
      </c>
      <c r="D89" s="11" t="s">
        <v>136</v>
      </c>
      <c r="E89" s="7" t="s">
        <v>243</v>
      </c>
      <c r="F89" s="7" t="s">
        <v>521</v>
      </c>
      <c r="G89" s="56">
        <v>2</v>
      </c>
      <c r="H89" s="46" t="s">
        <v>528</v>
      </c>
      <c r="I89" s="123" t="s">
        <v>572</v>
      </c>
      <c r="J89" s="123" t="s">
        <v>250</v>
      </c>
      <c r="K89" s="46" t="s">
        <v>0</v>
      </c>
      <c r="L89" s="46" t="s">
        <v>0</v>
      </c>
      <c r="M89" s="43">
        <v>11</v>
      </c>
      <c r="N89" s="9">
        <v>390</v>
      </c>
      <c r="O89" s="9">
        <f t="shared" si="58"/>
        <v>7.4304979644704838</v>
      </c>
      <c r="P89" s="9">
        <v>390</v>
      </c>
      <c r="Q89" s="9">
        <f t="shared" si="59"/>
        <v>7.4304979644704838</v>
      </c>
      <c r="R89" s="9">
        <v>390</v>
      </c>
      <c r="S89" s="9">
        <f t="shared" si="60"/>
        <v>7.4304979644704838</v>
      </c>
      <c r="T89" s="9" t="s">
        <v>0</v>
      </c>
      <c r="U89" s="9" t="str">
        <f t="shared" si="61"/>
        <v>-</v>
      </c>
      <c r="V89" s="9" t="s">
        <v>0</v>
      </c>
      <c r="W89" s="9" t="str">
        <f t="shared" si="62"/>
        <v>-</v>
      </c>
      <c r="X89" s="9" t="s">
        <v>0</v>
      </c>
      <c r="Y89" s="9" t="str">
        <f t="shared" ref="Y89" si="76">IF(OR(X89="",X89="-"),"-",X89*$M89*SQRT(3)/1000)</f>
        <v>-</v>
      </c>
      <c r="Z89" s="9" t="s">
        <v>0</v>
      </c>
      <c r="AA89" s="9" t="str">
        <f t="shared" si="69"/>
        <v>-</v>
      </c>
      <c r="AB89" s="9" t="s">
        <v>0</v>
      </c>
      <c r="AC89" s="9" t="str">
        <f t="shared" si="70"/>
        <v>-</v>
      </c>
      <c r="AD89" s="9" t="s">
        <v>0</v>
      </c>
      <c r="AE89" s="12" t="str">
        <f t="shared" si="71"/>
        <v>-</v>
      </c>
      <c r="AF89" s="9">
        <v>3</v>
      </c>
      <c r="AG89" s="9" t="s">
        <v>265</v>
      </c>
      <c r="AH89" s="9">
        <v>149.9</v>
      </c>
      <c r="AI89" s="9">
        <v>1</v>
      </c>
      <c r="AJ89" s="32">
        <v>0.98</v>
      </c>
      <c r="AK89" s="29">
        <v>18</v>
      </c>
      <c r="AL89" s="32">
        <v>0.98</v>
      </c>
      <c r="AM89" s="29">
        <v>1.2</v>
      </c>
      <c r="AN89" s="32">
        <v>1</v>
      </c>
      <c r="AO89" s="29">
        <v>3</v>
      </c>
      <c r="AP89" s="32">
        <v>0.6</v>
      </c>
      <c r="AQ89" s="32">
        <v>0.86</v>
      </c>
      <c r="AR89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322.11815999999999</v>
      </c>
      <c r="AS89" s="9">
        <f t="shared" si="72"/>
        <v>6.1371752107666087</v>
      </c>
      <c r="AT89" s="9">
        <f>IF(RIGHT(TMK[[#This Row],[Device type]],7)="Winding","-",TMK[[#This Row],[Cont Winter MVA]])</f>
        <v>7.4304979644704838</v>
      </c>
      <c r="AU89" s="9">
        <f>IF(RIGHT(TMK[[#This Row],[Device type]],7)="Winding","-",TMK[[#This Row],[Cont Shoulder MVA]])</f>
        <v>7.4304979644704838</v>
      </c>
      <c r="AV89" s="9">
        <f>IF(RIGHT(TMK[[#This Row],[Device type]],7)="Winding","-",TMK[[#This Row],[Cont Summer MVA]])</f>
        <v>7.4304979644704838</v>
      </c>
      <c r="AW89" s="9" t="str">
        <f>IF(RIGHT(TMK[[#This Row],[Device type]],7)="Winding","-",TMK[[#This Row],[24 Hr Winter MVA]])</f>
        <v>-</v>
      </c>
      <c r="AX89" s="9" t="str">
        <f>IF(RIGHT(TMK[[#This Row],[Device type]],7)="Winding","-",TMK[[#This Row],[24 Hr Summer MVA]])</f>
        <v>-</v>
      </c>
      <c r="AY89" s="9" t="str">
        <f>TMK[[#This Row],[Forwards MVA]]</f>
        <v>-</v>
      </c>
      <c r="AZ89" s="9" t="str">
        <f>TMK[[#This Row],[Relay MVA]]</f>
        <v>-</v>
      </c>
      <c r="BA89" s="9" t="str">
        <f>TMK[[#This Row],[CT MVA]]</f>
        <v>-</v>
      </c>
      <c r="BB89" s="9">
        <f>TMK[[#This Row],[Derating MVA]]</f>
        <v>6.1371752107666087</v>
      </c>
      <c r="BC89" s="9" t="str">
        <f>TMK[[#This Row],[Station/Feeder]]&amp;TMK[[#This Row],[Lowest MVA]]</f>
        <v>CB8_Temuka East6.13717521076661</v>
      </c>
      <c r="BD89" s="9" t="str">
        <f>CONCATENATE(TMK[[#This Row],[Supply Level]],TMK[[#This Row],[Station/Feeder]],TMK[[#This Row],[Voltage]],TMK[[#This Row],[Lowest A-No PTX]])</f>
        <v>DistributionFeederCB8_Temuka East11322.11816</v>
      </c>
      <c r="BE89" s="9" t="str">
        <f>CONCATENATE(TMK[[#This Row],[Supply Level]],TMK[[#This Row],[Station/Feeder]],TMK[[#This Row],[Voltage]],TMK[[#This Row],[Lowest A-PTX]])</f>
        <v>DistributionFeederCB8_Temuka East11322.11816</v>
      </c>
      <c r="BF89" s="9">
        <f>IFERROR(IF(MIN(TMK[[#This Row],[Summ Cont Winter A]:[Cable Derating]])=0,"",MIN(TMK[[#This Row],[Summ Cont Winter A]:[Cable Derating]])),"")</f>
        <v>6.1371752107666087</v>
      </c>
      <c r="BG89" s="9">
        <f>IFERROR(TMK[[#This Row],[Lowest MVA]]*1000/(TMK[[#This Row],[Voltage]]*SQRT(3)),"")</f>
        <v>322.11815999999999</v>
      </c>
      <c r="BH89" s="9">
        <f t="shared" si="63"/>
        <v>322.11815999999999</v>
      </c>
      <c r="BI89" s="9" t="str">
        <f>TMK[[#This Row],[From]]</f>
        <v>11 kV Bus</v>
      </c>
      <c r="BJ89" s="9" t="str">
        <f>TMK[[#This Row],[To]]</f>
        <v>T101</v>
      </c>
      <c r="BK8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PILC</v>
      </c>
      <c r="BL89" s="9">
        <f>TMK[[#This Row],[Voltage]]</f>
        <v>11</v>
      </c>
    </row>
    <row r="90" spans="1:64" s="1" customFormat="1" x14ac:dyDescent="0.25">
      <c r="A90" s="6" t="str">
        <f>CONCATENATE(TMK[[#This Row],[Supply Level]],TMK[[#This Row],[Station/Feeder]],TMK[[#This Row],[Voltage]])</f>
        <v>DistributionFeederCB8_Temuka East11</v>
      </c>
      <c r="B90" s="6" t="str">
        <f>CONCATENATE(TMK[[#This Row],[Supply Level]],TMK[[#This Row],[Station/Feeder]],TMK[[#This Row],[Equipment ID]],TMK[[#This Row],[Voltage]],TMK[[#This Row],[Device type]])</f>
        <v>DistributionFeederCB8_Temuka EastT10111-</v>
      </c>
      <c r="C90" s="6" t="s">
        <v>1276</v>
      </c>
      <c r="D90" s="11" t="s">
        <v>136</v>
      </c>
      <c r="E90" s="7" t="s">
        <v>243</v>
      </c>
      <c r="F90" s="7" t="s">
        <v>521</v>
      </c>
      <c r="G90" s="56">
        <v>3</v>
      </c>
      <c r="H90" s="46" t="s">
        <v>273</v>
      </c>
      <c r="I90" s="123" t="s">
        <v>521</v>
      </c>
      <c r="J90" s="123" t="s">
        <v>249</v>
      </c>
      <c r="K90" s="46" t="s">
        <v>0</v>
      </c>
      <c r="L90" s="46" t="s">
        <v>0</v>
      </c>
      <c r="M90" s="43">
        <v>11</v>
      </c>
      <c r="N90" s="9" t="s">
        <v>0</v>
      </c>
      <c r="O90" s="9" t="str">
        <f t="shared" si="58"/>
        <v>-</v>
      </c>
      <c r="P90" s="9" t="s">
        <v>0</v>
      </c>
      <c r="Q90" s="9" t="str">
        <f t="shared" si="59"/>
        <v>-</v>
      </c>
      <c r="R90" s="9" t="s">
        <v>0</v>
      </c>
      <c r="S90" s="9" t="str">
        <f t="shared" si="60"/>
        <v>-</v>
      </c>
      <c r="T90" s="9" t="s">
        <v>0</v>
      </c>
      <c r="U90" s="9" t="str">
        <f t="shared" si="61"/>
        <v>-</v>
      </c>
      <c r="V90" s="9" t="s">
        <v>0</v>
      </c>
      <c r="W90" s="9" t="str">
        <f t="shared" si="62"/>
        <v>-</v>
      </c>
      <c r="X90" s="9" t="s">
        <v>0</v>
      </c>
      <c r="Y90" s="9" t="str">
        <f t="shared" si="6"/>
        <v>-</v>
      </c>
      <c r="Z90" s="9" t="s">
        <v>0</v>
      </c>
      <c r="AA90" s="9" t="str">
        <f t="shared" si="7"/>
        <v>-</v>
      </c>
      <c r="AB90" s="9" t="s">
        <v>0</v>
      </c>
      <c r="AC90" s="9" t="str">
        <f t="shared" si="8"/>
        <v>-</v>
      </c>
      <c r="AD90" s="9" t="s">
        <v>0</v>
      </c>
      <c r="AE90" s="12" t="str">
        <f t="shared" si="9"/>
        <v>-</v>
      </c>
      <c r="AF90" s="29" t="s">
        <v>0</v>
      </c>
      <c r="AG90" s="29" t="s">
        <v>0</v>
      </c>
      <c r="AH90" s="29" t="s">
        <v>0</v>
      </c>
      <c r="AI90" s="29" t="s">
        <v>0</v>
      </c>
      <c r="AJ90" s="32" t="s">
        <v>0</v>
      </c>
      <c r="AK90" s="29" t="s">
        <v>0</v>
      </c>
      <c r="AL90" s="32" t="s">
        <v>0</v>
      </c>
      <c r="AM90" s="29" t="s">
        <v>0</v>
      </c>
      <c r="AN90" s="32" t="s">
        <v>0</v>
      </c>
      <c r="AO90" s="29" t="s">
        <v>0</v>
      </c>
      <c r="AP90" s="29" t="s">
        <v>0</v>
      </c>
      <c r="AQ90" s="32" t="s">
        <v>0</v>
      </c>
      <c r="AR90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90" s="9" t="str">
        <f t="shared" si="10"/>
        <v>-</v>
      </c>
      <c r="AT90" s="9" t="str">
        <f>IF(RIGHT(TMK[[#This Row],[Device type]],7)="Winding","-",TMK[[#This Row],[Cont Winter MVA]])</f>
        <v>-</v>
      </c>
      <c r="AU90" s="9" t="str">
        <f>IF(RIGHT(TMK[[#This Row],[Device type]],7)="Winding","-",TMK[[#This Row],[Cont Shoulder MVA]])</f>
        <v>-</v>
      </c>
      <c r="AV90" s="9" t="str">
        <f>IF(RIGHT(TMK[[#This Row],[Device type]],7)="Winding","-",TMK[[#This Row],[Cont Summer MVA]])</f>
        <v>-</v>
      </c>
      <c r="AW90" s="9" t="str">
        <f>IF(RIGHT(TMK[[#This Row],[Device type]],7)="Winding","-",TMK[[#This Row],[24 Hr Winter MVA]])</f>
        <v>-</v>
      </c>
      <c r="AX90" s="9" t="str">
        <f>IF(RIGHT(TMK[[#This Row],[Device type]],7)="Winding","-",TMK[[#This Row],[24 Hr Summer MVA]])</f>
        <v>-</v>
      </c>
      <c r="AY90" s="9" t="str">
        <f>TMK[[#This Row],[Forwards MVA]]</f>
        <v>-</v>
      </c>
      <c r="AZ90" s="9" t="str">
        <f>TMK[[#This Row],[Relay MVA]]</f>
        <v>-</v>
      </c>
      <c r="BA90" s="9" t="str">
        <f>TMK[[#This Row],[CT MVA]]</f>
        <v>-</v>
      </c>
      <c r="BB90" s="9" t="str">
        <f>TMK[[#This Row],[Derating MVA]]</f>
        <v>-</v>
      </c>
      <c r="BC90" s="9" t="str">
        <f>TMK[[#This Row],[Station/Feeder]]&amp;TMK[[#This Row],[Lowest MVA]]</f>
        <v>CB8_Temuka East</v>
      </c>
      <c r="BD90" s="9" t="str">
        <f>CONCATENATE(TMK[[#This Row],[Supply Level]],TMK[[#This Row],[Station/Feeder]],TMK[[#This Row],[Voltage]],TMK[[#This Row],[Lowest A-No PTX]])</f>
        <v>DistributionFeederCB8_Temuka East11</v>
      </c>
      <c r="BE90" s="9" t="str">
        <f>CONCATENATE(TMK[[#This Row],[Supply Level]],TMK[[#This Row],[Station/Feeder]],TMK[[#This Row],[Voltage]],TMK[[#This Row],[Lowest A-PTX]])</f>
        <v>DistributionFeederCB8_Temuka East11</v>
      </c>
      <c r="BF90" s="9" t="str">
        <f>IFERROR(IF(MIN(TMK[[#This Row],[Summ Cont Winter A]:[Cable Derating]])=0,"",MIN(TMK[[#This Row],[Summ Cont Winter A]:[Cable Derating]])),"")</f>
        <v/>
      </c>
      <c r="BG90" s="9" t="str">
        <f>IFERROR(TMK[[#This Row],[Lowest MVA]]*1000/(TMK[[#This Row],[Voltage]]*SQRT(3)),"")</f>
        <v/>
      </c>
      <c r="BH90" s="9" t="str">
        <f t="shared" si="63"/>
        <v/>
      </c>
      <c r="BI90" s="9" t="str">
        <f>TMK[[#This Row],[From]]</f>
        <v>11 kV Bus</v>
      </c>
      <c r="BJ90" s="9" t="str">
        <f>TMK[[#This Row],[To]]</f>
        <v>T101</v>
      </c>
      <c r="BK9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Link-T101</v>
      </c>
      <c r="BL90" s="9">
        <f>TMK[[#This Row],[Voltage]]</f>
        <v>11</v>
      </c>
    </row>
    <row r="91" spans="1:64" s="1" customFormat="1" x14ac:dyDescent="0.25">
      <c r="A91" s="6" t="str">
        <f>CONCATENATE(TMK[[#This Row],[Supply Level]],TMK[[#This Row],[Station/Feeder]],TMK[[#This Row],[Voltage]])</f>
        <v>DistributionFeederCB8_Temuka East11</v>
      </c>
      <c r="B91" s="6" t="str">
        <f>CONCATENATE(TMK[[#This Row],[Supply Level]],TMK[[#This Row],[Station/Feeder]],TMK[[#This Row],[Equipment ID]],TMK[[#This Row],[Voltage]],TMK[[#This Row],[Device type]])</f>
        <v>DistributionFeederCB8_Temuka East37/14 Cu11-</v>
      </c>
      <c r="C91" s="6" t="s">
        <v>1276</v>
      </c>
      <c r="D91" s="11" t="s">
        <v>136</v>
      </c>
      <c r="E91" s="7" t="s">
        <v>521</v>
      </c>
      <c r="F91" s="7" t="s">
        <v>523</v>
      </c>
      <c r="G91" s="56">
        <v>4</v>
      </c>
      <c r="H91" s="46" t="s">
        <v>1289</v>
      </c>
      <c r="I91" s="123" t="s">
        <v>524</v>
      </c>
      <c r="J91" s="123" t="s">
        <v>69</v>
      </c>
      <c r="K91" s="7" t="s">
        <v>0</v>
      </c>
      <c r="L91" s="7" t="s">
        <v>0</v>
      </c>
      <c r="M91" s="43">
        <v>11</v>
      </c>
      <c r="N91" s="9">
        <v>486</v>
      </c>
      <c r="O91" s="9">
        <f t="shared" si="58"/>
        <v>9.2595436172632173</v>
      </c>
      <c r="P91" s="9">
        <f>470*0.85</f>
        <v>399.5</v>
      </c>
      <c r="Q91" s="9">
        <f t="shared" si="59"/>
        <v>7.6114972738614304</v>
      </c>
      <c r="R91" s="9">
        <v>363</v>
      </c>
      <c r="S91" s="9">
        <f t="shared" si="60"/>
        <v>6.9160788746225261</v>
      </c>
      <c r="T91" s="9" t="s">
        <v>0</v>
      </c>
      <c r="U91" s="9" t="str">
        <f t="shared" si="61"/>
        <v>-</v>
      </c>
      <c r="V91" s="9" t="s">
        <v>0</v>
      </c>
      <c r="W91" s="9" t="str">
        <f t="shared" si="62"/>
        <v>-</v>
      </c>
      <c r="X91" s="9" t="s">
        <v>0</v>
      </c>
      <c r="Y91" s="9" t="str">
        <f t="shared" si="6"/>
        <v>-</v>
      </c>
      <c r="Z91" s="9" t="s">
        <v>0</v>
      </c>
      <c r="AA91" s="9" t="str">
        <f>IF(OR(Z91="",Z91="-"),"-",Z91*$M91*SQRT(3)/1000)</f>
        <v>-</v>
      </c>
      <c r="AB91" s="9" t="s">
        <v>0</v>
      </c>
      <c r="AC91" s="9" t="str">
        <f>IF(OR(AB91="",AB91="-"),"-",AB91*$M91*SQRT(3)/1000)</f>
        <v>-</v>
      </c>
      <c r="AD91" s="9" t="s">
        <v>0</v>
      </c>
      <c r="AE91" s="12" t="str">
        <f>IF(OR(AD91="",AD91="-"),"-",AD91*$M91*SQRT(3)/1000)</f>
        <v>-</v>
      </c>
      <c r="AF91" s="9" t="s">
        <v>0</v>
      </c>
      <c r="AG91" s="9" t="s">
        <v>0</v>
      </c>
      <c r="AH91" s="9">
        <v>31.6</v>
      </c>
      <c r="AI91" s="9" t="s">
        <v>0</v>
      </c>
      <c r="AJ91" s="43" t="s">
        <v>0</v>
      </c>
      <c r="AK91" s="9" t="s">
        <v>0</v>
      </c>
      <c r="AL91" s="43" t="s">
        <v>0</v>
      </c>
      <c r="AM91" s="9" t="s">
        <v>0</v>
      </c>
      <c r="AN91" s="43" t="s">
        <v>0</v>
      </c>
      <c r="AO91" s="9" t="s">
        <v>0</v>
      </c>
      <c r="AP91" s="9" t="s">
        <v>0</v>
      </c>
      <c r="AQ91" s="43" t="s">
        <v>0</v>
      </c>
      <c r="AR91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91" s="9" t="str">
        <f>IF(OR(AR91="",AR91="-"),"-",AR91*$M91*SQRT(3)/1000)</f>
        <v>-</v>
      </c>
      <c r="AT91" s="9">
        <f>IF(RIGHT(TMK[[#This Row],[Device type]],7)="Winding","-",TMK[[#This Row],[Cont Winter MVA]])</f>
        <v>9.2595436172632173</v>
      </c>
      <c r="AU91" s="9">
        <f>IF(RIGHT(TMK[[#This Row],[Device type]],7)="Winding","-",TMK[[#This Row],[Cont Shoulder MVA]])</f>
        <v>7.6114972738614304</v>
      </c>
      <c r="AV91" s="9">
        <f>IF(RIGHT(TMK[[#This Row],[Device type]],7)="Winding","-",TMK[[#This Row],[Cont Summer MVA]])</f>
        <v>6.9160788746225261</v>
      </c>
      <c r="AW91" s="9" t="str">
        <f>IF(RIGHT(TMK[[#This Row],[Device type]],7)="Winding","-",TMK[[#This Row],[24 Hr Winter MVA]])</f>
        <v>-</v>
      </c>
      <c r="AX91" s="9" t="str">
        <f>IF(RIGHT(TMK[[#This Row],[Device type]],7)="Winding","-",TMK[[#This Row],[24 Hr Summer MVA]])</f>
        <v>-</v>
      </c>
      <c r="AY91" s="9" t="str">
        <f>TMK[[#This Row],[Forwards MVA]]</f>
        <v>-</v>
      </c>
      <c r="AZ91" s="9" t="str">
        <f>TMK[[#This Row],[Relay MVA]]</f>
        <v>-</v>
      </c>
      <c r="BA91" s="9" t="str">
        <f>TMK[[#This Row],[CT MVA]]</f>
        <v>-</v>
      </c>
      <c r="BB91" s="9" t="str">
        <f>TMK[[#This Row],[Derating MVA]]</f>
        <v>-</v>
      </c>
      <c r="BC91" s="9" t="str">
        <f>TMK[[#This Row],[Station/Feeder]]&amp;TMK[[#This Row],[Lowest MVA]]</f>
        <v>CB8_Temuka East6.91607887462253</v>
      </c>
      <c r="BD91" s="9" t="str">
        <f>CONCATENATE(TMK[[#This Row],[Supply Level]],TMK[[#This Row],[Station/Feeder]],TMK[[#This Row],[Voltage]],TMK[[#This Row],[Lowest A-No PTX]])</f>
        <v>DistributionFeederCB8_Temuka East11363</v>
      </c>
      <c r="BE91" s="9" t="str">
        <f>CONCATENATE(TMK[[#This Row],[Supply Level]],TMK[[#This Row],[Station/Feeder]],TMK[[#This Row],[Voltage]],TMK[[#This Row],[Lowest A-PTX]])</f>
        <v>DistributionFeederCB8_Temuka East11363</v>
      </c>
      <c r="BF91" s="9">
        <f>IFERROR(IF(MIN(TMK[[#This Row],[Summ Cont Winter A]:[Cable Derating]])=0,"",MIN(TMK[[#This Row],[Summ Cont Winter A]:[Cable Derating]])),"")</f>
        <v>6.9160788746225261</v>
      </c>
      <c r="BG91" s="9">
        <f>IFERROR(TMK[[#This Row],[Lowest MVA]]*1000/(TMK[[#This Row],[Voltage]]*SQRT(3)),"")</f>
        <v>362.99999999999994</v>
      </c>
      <c r="BH91" s="9">
        <f t="shared" si="63"/>
        <v>363</v>
      </c>
      <c r="BI91" s="9" t="str">
        <f>TMK[[#This Row],[From]]</f>
        <v>T101</v>
      </c>
      <c r="BJ91" s="9" t="str">
        <f>TMK[[#This Row],[To]]</f>
        <v>T102</v>
      </c>
      <c r="BK9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Line-37/14 Cu</v>
      </c>
      <c r="BL91" s="9">
        <f>TMK[[#This Row],[Voltage]]</f>
        <v>11</v>
      </c>
    </row>
    <row r="92" spans="1:64" s="1" customFormat="1" x14ac:dyDescent="0.25">
      <c r="A92" s="6" t="str">
        <f>CONCATENATE(TMK[[#This Row],[Supply Level]],TMK[[#This Row],[Station/Feeder]],TMK[[#This Row],[Voltage]])</f>
        <v>DistributionFeederCB8_Temuka East11</v>
      </c>
      <c r="B92" s="6" t="str">
        <f>CONCATENATE(TMK[[#This Row],[Supply Level]],TMK[[#This Row],[Station/Feeder]],TMK[[#This Row],[Equipment ID]],TMK[[#This Row],[Voltage]],TMK[[#This Row],[Device type]])</f>
        <v>DistributionFeederCB8_Temuka EastT10211-</v>
      </c>
      <c r="C92" s="6" t="s">
        <v>1276</v>
      </c>
      <c r="D92" s="11" t="s">
        <v>136</v>
      </c>
      <c r="E92" s="7" t="s">
        <v>521</v>
      </c>
      <c r="F92" s="7" t="s">
        <v>523</v>
      </c>
      <c r="G92" s="56">
        <v>5</v>
      </c>
      <c r="H92" s="46" t="s">
        <v>273</v>
      </c>
      <c r="I92" s="123" t="s">
        <v>523</v>
      </c>
      <c r="J92" s="123" t="s">
        <v>240</v>
      </c>
      <c r="K92" s="46" t="s">
        <v>0</v>
      </c>
      <c r="L92" s="46" t="s">
        <v>0</v>
      </c>
      <c r="M92" s="43">
        <v>11</v>
      </c>
      <c r="N92" s="9">
        <v>600</v>
      </c>
      <c r="O92" s="9">
        <f t="shared" si="58"/>
        <v>11.43153532995459</v>
      </c>
      <c r="P92" s="9">
        <v>600</v>
      </c>
      <c r="Q92" s="9">
        <f t="shared" si="59"/>
        <v>11.43153532995459</v>
      </c>
      <c r="R92" s="9">
        <v>600</v>
      </c>
      <c r="S92" s="9">
        <f t="shared" si="60"/>
        <v>11.43153532995459</v>
      </c>
      <c r="T92" s="9" t="s">
        <v>0</v>
      </c>
      <c r="U92" s="9" t="str">
        <f t="shared" si="61"/>
        <v>-</v>
      </c>
      <c r="V92" s="9" t="s">
        <v>0</v>
      </c>
      <c r="W92" s="9" t="str">
        <f t="shared" si="62"/>
        <v>-</v>
      </c>
      <c r="X92" s="9" t="s">
        <v>0</v>
      </c>
      <c r="Y92" s="9" t="str">
        <f t="shared" si="6"/>
        <v>-</v>
      </c>
      <c r="Z92" s="9" t="s">
        <v>0</v>
      </c>
      <c r="AA92" s="9" t="str">
        <f t="shared" ref="AA92" si="77">IF(OR(Z92="",Z92="-"),"-",Z92*$M92*SQRT(3)/1000)</f>
        <v>-</v>
      </c>
      <c r="AB92" s="9" t="s">
        <v>0</v>
      </c>
      <c r="AC92" s="9" t="str">
        <f t="shared" ref="AC92" si="78">IF(OR(AB92="",AB92="-"),"-",AB92*$M92*SQRT(3)/1000)</f>
        <v>-</v>
      </c>
      <c r="AD92" s="9" t="s">
        <v>0</v>
      </c>
      <c r="AE92" s="12" t="str">
        <f t="shared" ref="AE92" si="79">IF(OR(AD92="",AD92="-"),"-",AD92*$M92*SQRT(3)/1000)</f>
        <v>-</v>
      </c>
      <c r="AF92" s="29" t="s">
        <v>0</v>
      </c>
      <c r="AG92" s="29" t="s">
        <v>0</v>
      </c>
      <c r="AH92" s="29" t="s">
        <v>0</v>
      </c>
      <c r="AI92" s="29" t="s">
        <v>0</v>
      </c>
      <c r="AJ92" s="32" t="s">
        <v>0</v>
      </c>
      <c r="AK92" s="29" t="s">
        <v>0</v>
      </c>
      <c r="AL92" s="32" t="s">
        <v>0</v>
      </c>
      <c r="AM92" s="29" t="s">
        <v>0</v>
      </c>
      <c r="AN92" s="32" t="s">
        <v>0</v>
      </c>
      <c r="AO92" s="29" t="s">
        <v>0</v>
      </c>
      <c r="AP92" s="29" t="s">
        <v>0</v>
      </c>
      <c r="AQ92" s="32" t="s">
        <v>0</v>
      </c>
      <c r="AR92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92" s="9" t="str">
        <f t="shared" ref="AS92" si="80">IF(OR(AR92="",AR92="-"),"-",AR92*$M92*SQRT(3)/1000)</f>
        <v>-</v>
      </c>
      <c r="AT92" s="9">
        <f>IF(RIGHT(TMK[[#This Row],[Device type]],7)="Winding","-",TMK[[#This Row],[Cont Winter MVA]])</f>
        <v>11.43153532995459</v>
      </c>
      <c r="AU92" s="9">
        <f>IF(RIGHT(TMK[[#This Row],[Device type]],7)="Winding","-",TMK[[#This Row],[Cont Shoulder MVA]])</f>
        <v>11.43153532995459</v>
      </c>
      <c r="AV92" s="9">
        <f>IF(RIGHT(TMK[[#This Row],[Device type]],7)="Winding","-",TMK[[#This Row],[Cont Summer MVA]])</f>
        <v>11.43153532995459</v>
      </c>
      <c r="AW92" s="9" t="str">
        <f>IF(RIGHT(TMK[[#This Row],[Device type]],7)="Winding","-",TMK[[#This Row],[24 Hr Winter MVA]])</f>
        <v>-</v>
      </c>
      <c r="AX92" s="9" t="str">
        <f>IF(RIGHT(TMK[[#This Row],[Device type]],7)="Winding","-",TMK[[#This Row],[24 Hr Summer MVA]])</f>
        <v>-</v>
      </c>
      <c r="AY92" s="9" t="str">
        <f>TMK[[#This Row],[Forwards MVA]]</f>
        <v>-</v>
      </c>
      <c r="AZ92" s="9" t="str">
        <f>TMK[[#This Row],[Relay MVA]]</f>
        <v>-</v>
      </c>
      <c r="BA92" s="9" t="str">
        <f>TMK[[#This Row],[CT MVA]]</f>
        <v>-</v>
      </c>
      <c r="BB92" s="9" t="str">
        <f>TMK[[#This Row],[Derating MVA]]</f>
        <v>-</v>
      </c>
      <c r="BC92" s="9" t="str">
        <f>TMK[[#This Row],[Station/Feeder]]&amp;TMK[[#This Row],[Lowest MVA]]</f>
        <v>CB8_Temuka East11.4315353299546</v>
      </c>
      <c r="BD92" s="9" t="str">
        <f>CONCATENATE(TMK[[#This Row],[Supply Level]],TMK[[#This Row],[Station/Feeder]],TMK[[#This Row],[Voltage]],TMK[[#This Row],[Lowest A-No PTX]])</f>
        <v>DistributionFeederCB8_Temuka East11600</v>
      </c>
      <c r="BE92" s="9" t="str">
        <f>CONCATENATE(TMK[[#This Row],[Supply Level]],TMK[[#This Row],[Station/Feeder]],TMK[[#This Row],[Voltage]],TMK[[#This Row],[Lowest A-PTX]])</f>
        <v>DistributionFeederCB8_Temuka East11600</v>
      </c>
      <c r="BF92" s="9">
        <f>IFERROR(IF(MIN(TMK[[#This Row],[Summ Cont Winter A]:[Cable Derating]])=0,"",MIN(TMK[[#This Row],[Summ Cont Winter A]:[Cable Derating]])),"")</f>
        <v>11.43153532995459</v>
      </c>
      <c r="BG92" s="9">
        <f>IFERROR(TMK[[#This Row],[Lowest MVA]]*1000/(TMK[[#This Row],[Voltage]]*SQRT(3)),"")</f>
        <v>600</v>
      </c>
      <c r="BH92" s="9">
        <f t="shared" si="63"/>
        <v>600</v>
      </c>
      <c r="BI92" s="9" t="str">
        <f>TMK[[#This Row],[From]]</f>
        <v>T101</v>
      </c>
      <c r="BJ92" s="9" t="str">
        <f>TMK[[#This Row],[To]]</f>
        <v>T102</v>
      </c>
      <c r="BK9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ABS-T102</v>
      </c>
      <c r="BL92" s="9">
        <f>TMK[[#This Row],[Voltage]]</f>
        <v>11</v>
      </c>
    </row>
    <row r="93" spans="1:64" s="1" customFormat="1" x14ac:dyDescent="0.25">
      <c r="A93" s="6" t="str">
        <f>CONCATENATE(TMK[[#This Row],[Supply Level]],TMK[[#This Row],[Station/Feeder]],TMK[[#This Row],[Voltage]])</f>
        <v>DistributionFeederCB8_Temuka East11</v>
      </c>
      <c r="B93" s="6" t="str">
        <f>CONCATENATE(TMK[[#This Row],[Supply Level]],TMK[[#This Row],[Station/Feeder]],TMK[[#This Row],[Equipment ID]],TMK[[#This Row],[Voltage]],TMK[[#This Row],[Device type]])</f>
        <v>DistributionFeederCB8_Temuka East37/14 Cu11-</v>
      </c>
      <c r="C93" s="6" t="s">
        <v>1276</v>
      </c>
      <c r="D93" s="11" t="s">
        <v>136</v>
      </c>
      <c r="E93" s="7" t="s">
        <v>523</v>
      </c>
      <c r="F93" s="7" t="s">
        <v>525</v>
      </c>
      <c r="G93" s="56">
        <v>6</v>
      </c>
      <c r="H93" s="46" t="s">
        <v>1289</v>
      </c>
      <c r="I93" s="123" t="s">
        <v>524</v>
      </c>
      <c r="J93" s="123" t="s">
        <v>69</v>
      </c>
      <c r="K93" s="7" t="s">
        <v>0</v>
      </c>
      <c r="L93" s="7" t="s">
        <v>0</v>
      </c>
      <c r="M93" s="43">
        <v>11</v>
      </c>
      <c r="N93" s="9">
        <v>486</v>
      </c>
      <c r="O93" s="9">
        <f t="shared" si="58"/>
        <v>9.2595436172632173</v>
      </c>
      <c r="P93" s="9">
        <f>470*0.85</f>
        <v>399.5</v>
      </c>
      <c r="Q93" s="9">
        <f t="shared" si="59"/>
        <v>7.6114972738614304</v>
      </c>
      <c r="R93" s="9">
        <v>363</v>
      </c>
      <c r="S93" s="9">
        <f t="shared" si="60"/>
        <v>6.9160788746225261</v>
      </c>
      <c r="T93" s="9" t="s">
        <v>0</v>
      </c>
      <c r="U93" s="9" t="str">
        <f t="shared" si="61"/>
        <v>-</v>
      </c>
      <c r="V93" s="9" t="s">
        <v>0</v>
      </c>
      <c r="W93" s="9" t="str">
        <f t="shared" si="62"/>
        <v>-</v>
      </c>
      <c r="X93" s="9" t="s">
        <v>0</v>
      </c>
      <c r="Y93" s="9" t="str">
        <f t="shared" ref="Y93" si="81">IF(OR(X93="",X93="-"),"-",X93*$M93*SQRT(3)/1000)</f>
        <v>-</v>
      </c>
      <c r="Z93" s="9" t="s">
        <v>0</v>
      </c>
      <c r="AA93" s="9" t="str">
        <f>IF(OR(Z93="",Z93="-"),"-",Z93*$M93*SQRT(3)/1000)</f>
        <v>-</v>
      </c>
      <c r="AB93" s="9" t="s">
        <v>0</v>
      </c>
      <c r="AC93" s="9" t="str">
        <f>IF(OR(AB93="",AB93="-"),"-",AB93*$M93*SQRT(3)/1000)</f>
        <v>-</v>
      </c>
      <c r="AD93" s="9" t="s">
        <v>0</v>
      </c>
      <c r="AE93" s="12" t="str">
        <f>IF(OR(AD93="",AD93="-"),"-",AD93*$M93*SQRT(3)/1000)</f>
        <v>-</v>
      </c>
      <c r="AF93" s="9" t="s">
        <v>0</v>
      </c>
      <c r="AG93" s="9" t="s">
        <v>0</v>
      </c>
      <c r="AH93" s="9">
        <v>0.2</v>
      </c>
      <c r="AI93" s="9" t="s">
        <v>0</v>
      </c>
      <c r="AJ93" s="43" t="s">
        <v>0</v>
      </c>
      <c r="AK93" s="9" t="s">
        <v>0</v>
      </c>
      <c r="AL93" s="43" t="s">
        <v>0</v>
      </c>
      <c r="AM93" s="9" t="s">
        <v>0</v>
      </c>
      <c r="AN93" s="43" t="s">
        <v>0</v>
      </c>
      <c r="AO93" s="9" t="s">
        <v>0</v>
      </c>
      <c r="AP93" s="9" t="s">
        <v>0</v>
      </c>
      <c r="AQ93" s="43" t="s">
        <v>0</v>
      </c>
      <c r="AR93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93" s="9" t="str">
        <f>IF(OR(AR93="",AR93="-"),"-",AR93*$M93*SQRT(3)/1000)</f>
        <v>-</v>
      </c>
      <c r="AT93" s="9">
        <f>IF(RIGHT(TMK[[#This Row],[Device type]],7)="Winding","-",TMK[[#This Row],[Cont Winter MVA]])</f>
        <v>9.2595436172632173</v>
      </c>
      <c r="AU93" s="9">
        <f>IF(RIGHT(TMK[[#This Row],[Device type]],7)="Winding","-",TMK[[#This Row],[Cont Shoulder MVA]])</f>
        <v>7.6114972738614304</v>
      </c>
      <c r="AV93" s="9">
        <f>IF(RIGHT(TMK[[#This Row],[Device type]],7)="Winding","-",TMK[[#This Row],[Cont Summer MVA]])</f>
        <v>6.9160788746225261</v>
      </c>
      <c r="AW93" s="9" t="str">
        <f>IF(RIGHT(TMK[[#This Row],[Device type]],7)="Winding","-",TMK[[#This Row],[24 Hr Winter MVA]])</f>
        <v>-</v>
      </c>
      <c r="AX93" s="9" t="str">
        <f>IF(RIGHT(TMK[[#This Row],[Device type]],7)="Winding","-",TMK[[#This Row],[24 Hr Summer MVA]])</f>
        <v>-</v>
      </c>
      <c r="AY93" s="9" t="str">
        <f>TMK[[#This Row],[Forwards MVA]]</f>
        <v>-</v>
      </c>
      <c r="AZ93" s="9" t="str">
        <f>TMK[[#This Row],[Relay MVA]]</f>
        <v>-</v>
      </c>
      <c r="BA93" s="9" t="str">
        <f>TMK[[#This Row],[CT MVA]]</f>
        <v>-</v>
      </c>
      <c r="BB93" s="9" t="str">
        <f>TMK[[#This Row],[Derating MVA]]</f>
        <v>-</v>
      </c>
      <c r="BC93" s="9" t="str">
        <f>TMK[[#This Row],[Station/Feeder]]&amp;TMK[[#This Row],[Lowest MVA]]</f>
        <v>CB8_Temuka East6.91607887462253</v>
      </c>
      <c r="BD93" s="9" t="str">
        <f>CONCATENATE(TMK[[#This Row],[Supply Level]],TMK[[#This Row],[Station/Feeder]],TMK[[#This Row],[Voltage]],TMK[[#This Row],[Lowest A-No PTX]])</f>
        <v>DistributionFeederCB8_Temuka East11363</v>
      </c>
      <c r="BE93" s="9" t="str">
        <f>CONCATENATE(TMK[[#This Row],[Supply Level]],TMK[[#This Row],[Station/Feeder]],TMK[[#This Row],[Voltage]],TMK[[#This Row],[Lowest A-PTX]])</f>
        <v>DistributionFeederCB8_Temuka East11363</v>
      </c>
      <c r="BF93" s="9">
        <f>IFERROR(IF(MIN(TMK[[#This Row],[Summ Cont Winter A]:[Cable Derating]])=0,"",MIN(TMK[[#This Row],[Summ Cont Winter A]:[Cable Derating]])),"")</f>
        <v>6.9160788746225261</v>
      </c>
      <c r="BG93" s="9">
        <f>IFERROR(TMK[[#This Row],[Lowest MVA]]*1000/(TMK[[#This Row],[Voltage]]*SQRT(3)),"")</f>
        <v>362.99999999999994</v>
      </c>
      <c r="BH93" s="9">
        <f t="shared" si="63"/>
        <v>363</v>
      </c>
      <c r="BI93" s="9" t="str">
        <f>TMK[[#This Row],[From]]</f>
        <v>T102</v>
      </c>
      <c r="BJ93" s="9" t="str">
        <f>TMK[[#This Row],[To]]</f>
        <v>Pole 36752</v>
      </c>
      <c r="BK9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Line-37/14 Cu</v>
      </c>
      <c r="BL93" s="9">
        <f>TMK[[#This Row],[Voltage]]</f>
        <v>11</v>
      </c>
    </row>
    <row r="94" spans="1:64" s="1" customFormat="1" x14ac:dyDescent="0.25">
      <c r="A94" s="6" t="str">
        <f>CONCATENATE(TMK[[#This Row],[Supply Level]],TMK[[#This Row],[Station/Feeder]],TMK[[#This Row],[Voltage]])</f>
        <v>DistributionFeederCB8_Temuka East11</v>
      </c>
      <c r="B94" s="6" t="str">
        <f>CONCATENATE(TMK[[#This Row],[Supply Level]],TMK[[#This Row],[Station/Feeder]],TMK[[#This Row],[Equipment ID]],TMK[[#This Row],[Voltage]],TMK[[#This Row],[Device type]])</f>
        <v>DistributionFeederCB8_Temuka East7/0.136 Cu11-</v>
      </c>
      <c r="C94" s="6" t="s">
        <v>1276</v>
      </c>
      <c r="D94" s="11" t="s">
        <v>136</v>
      </c>
      <c r="E94" s="7" t="s">
        <v>523</v>
      </c>
      <c r="F94" s="7" t="s">
        <v>525</v>
      </c>
      <c r="G94" s="56">
        <v>7</v>
      </c>
      <c r="H94" s="46" t="s">
        <v>1289</v>
      </c>
      <c r="I94" s="123" t="s">
        <v>549</v>
      </c>
      <c r="J94" s="123" t="s">
        <v>69</v>
      </c>
      <c r="K94" s="7" t="s">
        <v>0</v>
      </c>
      <c r="L94" s="7" t="s">
        <v>0</v>
      </c>
      <c r="M94" s="43">
        <v>11</v>
      </c>
      <c r="N94" s="9">
        <v>320</v>
      </c>
      <c r="O94" s="9">
        <f t="shared" si="58"/>
        <v>6.0968188426424472</v>
      </c>
      <c r="P94" s="9">
        <f>310*0.85</f>
        <v>263.5</v>
      </c>
      <c r="Q94" s="9">
        <f t="shared" si="59"/>
        <v>5.0203492657383908</v>
      </c>
      <c r="R94" s="9">
        <v>241</v>
      </c>
      <c r="S94" s="9">
        <f t="shared" si="60"/>
        <v>4.5916666908650932</v>
      </c>
      <c r="T94" s="9" t="s">
        <v>0</v>
      </c>
      <c r="U94" s="9" t="str">
        <f t="shared" si="61"/>
        <v>-</v>
      </c>
      <c r="V94" s="9" t="s">
        <v>0</v>
      </c>
      <c r="W94" s="9" t="str">
        <f t="shared" si="62"/>
        <v>-</v>
      </c>
      <c r="X94" s="9" t="s">
        <v>0</v>
      </c>
      <c r="Y94" s="9" t="str">
        <f t="shared" ref="Y94" si="82">IF(OR(X94="",X94="-"),"-",X94*$M94*SQRT(3)/1000)</f>
        <v>-</v>
      </c>
      <c r="Z94" s="9" t="s">
        <v>0</v>
      </c>
      <c r="AA94" s="9" t="str">
        <f>IF(OR(Z94="",Z94="-"),"-",Z94*$M94*SQRT(3)/1000)</f>
        <v>-</v>
      </c>
      <c r="AB94" s="9" t="s">
        <v>0</v>
      </c>
      <c r="AC94" s="9" t="str">
        <f>IF(OR(AB94="",AB94="-"),"-",AB94*$M94*SQRT(3)/1000)</f>
        <v>-</v>
      </c>
      <c r="AD94" s="9" t="s">
        <v>0</v>
      </c>
      <c r="AE94" s="12" t="str">
        <f>IF(OR(AD94="",AD94="-"),"-",AD94*$M94*SQRT(3)/1000)</f>
        <v>-</v>
      </c>
      <c r="AF94" s="9" t="s">
        <v>0</v>
      </c>
      <c r="AG94" s="9" t="s">
        <v>0</v>
      </c>
      <c r="AH94" s="9">
        <v>399</v>
      </c>
      <c r="AI94" s="9" t="s">
        <v>0</v>
      </c>
      <c r="AJ94" s="43" t="s">
        <v>0</v>
      </c>
      <c r="AK94" s="9" t="s">
        <v>0</v>
      </c>
      <c r="AL94" s="43" t="s">
        <v>0</v>
      </c>
      <c r="AM94" s="9" t="s">
        <v>0</v>
      </c>
      <c r="AN94" s="43" t="s">
        <v>0</v>
      </c>
      <c r="AO94" s="9" t="s">
        <v>0</v>
      </c>
      <c r="AP94" s="9" t="s">
        <v>0</v>
      </c>
      <c r="AQ94" s="43" t="s">
        <v>0</v>
      </c>
      <c r="AR94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94" s="9" t="str">
        <f>IF(OR(AR94="",AR94="-"),"-",AR94*$M94*SQRT(3)/1000)</f>
        <v>-</v>
      </c>
      <c r="AT94" s="9">
        <f>IF(RIGHT(TMK[[#This Row],[Device type]],7)="Winding","-",TMK[[#This Row],[Cont Winter MVA]])</f>
        <v>6.0968188426424472</v>
      </c>
      <c r="AU94" s="9">
        <f>IF(RIGHT(TMK[[#This Row],[Device type]],7)="Winding","-",TMK[[#This Row],[Cont Shoulder MVA]])</f>
        <v>5.0203492657383908</v>
      </c>
      <c r="AV94" s="9">
        <f>IF(RIGHT(TMK[[#This Row],[Device type]],7)="Winding","-",TMK[[#This Row],[Cont Summer MVA]])</f>
        <v>4.5916666908650932</v>
      </c>
      <c r="AW94" s="9" t="str">
        <f>IF(RIGHT(TMK[[#This Row],[Device type]],7)="Winding","-",TMK[[#This Row],[24 Hr Winter MVA]])</f>
        <v>-</v>
      </c>
      <c r="AX94" s="9" t="str">
        <f>IF(RIGHT(TMK[[#This Row],[Device type]],7)="Winding","-",TMK[[#This Row],[24 Hr Summer MVA]])</f>
        <v>-</v>
      </c>
      <c r="AY94" s="9" t="str">
        <f>TMK[[#This Row],[Forwards MVA]]</f>
        <v>-</v>
      </c>
      <c r="AZ94" s="9" t="str">
        <f>TMK[[#This Row],[Relay MVA]]</f>
        <v>-</v>
      </c>
      <c r="BA94" s="9" t="str">
        <f>TMK[[#This Row],[CT MVA]]</f>
        <v>-</v>
      </c>
      <c r="BB94" s="9" t="str">
        <f>TMK[[#This Row],[Derating MVA]]</f>
        <v>-</v>
      </c>
      <c r="BC94" s="9" t="str">
        <f>TMK[[#This Row],[Station/Feeder]]&amp;TMK[[#This Row],[Lowest MVA]]</f>
        <v>CB8_Temuka East4.59166669086509</v>
      </c>
      <c r="BD94" s="9" t="str">
        <f>CONCATENATE(TMK[[#This Row],[Supply Level]],TMK[[#This Row],[Station/Feeder]],TMK[[#This Row],[Voltage]],TMK[[#This Row],[Lowest A-No PTX]])</f>
        <v>DistributionFeederCB8_Temuka East11241</v>
      </c>
      <c r="BE94" s="9" t="str">
        <f>CONCATENATE(TMK[[#This Row],[Supply Level]],TMK[[#This Row],[Station/Feeder]],TMK[[#This Row],[Voltage]],TMK[[#This Row],[Lowest A-PTX]])</f>
        <v>DistributionFeederCB8_Temuka East11241</v>
      </c>
      <c r="BF94" s="9">
        <f>IFERROR(IF(MIN(TMK[[#This Row],[Summ Cont Winter A]:[Cable Derating]])=0,"",MIN(TMK[[#This Row],[Summ Cont Winter A]:[Cable Derating]])),"")</f>
        <v>4.5916666908650932</v>
      </c>
      <c r="BG94" s="9">
        <f>IFERROR(TMK[[#This Row],[Lowest MVA]]*1000/(TMK[[#This Row],[Voltage]]*SQRT(3)),"")</f>
        <v>240.99999999999997</v>
      </c>
      <c r="BH94" s="9">
        <f t="shared" si="63"/>
        <v>241</v>
      </c>
      <c r="BI94" s="9" t="str">
        <f>TMK[[#This Row],[From]]</f>
        <v>T102</v>
      </c>
      <c r="BJ94" s="9" t="str">
        <f>TMK[[#This Row],[To]]</f>
        <v>Pole 36752</v>
      </c>
      <c r="BK9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Line-7/0.136 Cu</v>
      </c>
      <c r="BL94" s="9">
        <f>TMK[[#This Row],[Voltage]]</f>
        <v>11</v>
      </c>
    </row>
    <row r="95" spans="1:64" s="1" customFormat="1" x14ac:dyDescent="0.25">
      <c r="A95" s="6" t="str">
        <f>CONCATENATE(TMK[[#This Row],[Supply Level]],TMK[[#This Row],[Station/Feeder]],TMK[[#This Row],[Voltage]])</f>
        <v>DistributionFeederCB9_Waitohi11</v>
      </c>
      <c r="B95" s="6" t="str">
        <f>CONCATENATE(TMK[[#This Row],[Supply Level]],TMK[[#This Row],[Station/Feeder]],TMK[[#This Row],[Equipment ID]],TMK[[#This Row],[Voltage]],TMK[[#This Row],[Device type]])</f>
        <v>DistributionFeederCB9_WaitohiTMK-CB911Protection</v>
      </c>
      <c r="C95" s="6" t="s">
        <v>1276</v>
      </c>
      <c r="D95" s="11" t="s">
        <v>140</v>
      </c>
      <c r="E95" s="7" t="s">
        <v>243</v>
      </c>
      <c r="F95" s="7" t="s">
        <v>527</v>
      </c>
      <c r="G95" s="56">
        <v>1</v>
      </c>
      <c r="H95" s="7" t="s">
        <v>343</v>
      </c>
      <c r="I95" s="123" t="s">
        <v>2324</v>
      </c>
      <c r="J95" s="123" t="s">
        <v>15</v>
      </c>
      <c r="K95" s="46" t="s">
        <v>1121</v>
      </c>
      <c r="L95" s="46" t="s">
        <v>1423</v>
      </c>
      <c r="M95" s="43">
        <v>11</v>
      </c>
      <c r="N95" s="9">
        <v>630</v>
      </c>
      <c r="O95" s="9">
        <f t="shared" si="58"/>
        <v>12.00311209645232</v>
      </c>
      <c r="P95" s="9">
        <v>630</v>
      </c>
      <c r="Q95" s="9">
        <f t="shared" si="59"/>
        <v>12.00311209645232</v>
      </c>
      <c r="R95" s="9">
        <v>630</v>
      </c>
      <c r="S95" s="9">
        <f t="shared" si="60"/>
        <v>12.00311209645232</v>
      </c>
      <c r="T95" s="9" t="s">
        <v>0</v>
      </c>
      <c r="U95" s="9" t="str">
        <f t="shared" si="61"/>
        <v>-</v>
      </c>
      <c r="V95" s="9" t="s">
        <v>0</v>
      </c>
      <c r="W95" s="9" t="str">
        <f t="shared" si="62"/>
        <v>-</v>
      </c>
      <c r="X95" s="9">
        <f>VLOOKUP(TMK[[#This Row],[Equipment ID]],AEL_Protection_Data[#All],12,0)</f>
        <v>402</v>
      </c>
      <c r="Y95" s="9">
        <f>IF(OR(X95="",X95="-"),"-",X95*$M95*SQRT(3)/1000)</f>
        <v>7.659128671069575</v>
      </c>
      <c r="Z95" s="9">
        <v>402</v>
      </c>
      <c r="AA95" s="9">
        <f t="shared" ref="AA95" si="83">IF(OR(Z95="",Z95="-"),"-",Z95*$M95*SQRT(3)/1000)</f>
        <v>7.659128671069575</v>
      </c>
      <c r="AB95" s="9" t="s">
        <v>0</v>
      </c>
      <c r="AC95" s="9" t="str">
        <f t="shared" ref="AC95" si="84">IF(OR(AB95="",AB95="-"),"-",AB95*$M95*SQRT(3)/1000)</f>
        <v>-</v>
      </c>
      <c r="AD95" s="9">
        <v>600</v>
      </c>
      <c r="AE95" s="12">
        <f t="shared" ref="AE95" si="85">IF(OR(AD95="",AD95="-"),"-",AD95*$M95*SQRT(3)/1000)</f>
        <v>11.43153532995459</v>
      </c>
      <c r="AF95" s="9" t="s">
        <v>0</v>
      </c>
      <c r="AG95" s="9" t="s">
        <v>0</v>
      </c>
      <c r="AH95" s="9" t="s">
        <v>0</v>
      </c>
      <c r="AI95" s="9" t="s">
        <v>0</v>
      </c>
      <c r="AJ95" s="32" t="s">
        <v>0</v>
      </c>
      <c r="AK95" s="29" t="s">
        <v>0</v>
      </c>
      <c r="AL95" s="32" t="s">
        <v>0</v>
      </c>
      <c r="AM95" s="29" t="s">
        <v>0</v>
      </c>
      <c r="AN95" s="32" t="s">
        <v>0</v>
      </c>
      <c r="AO95" s="29" t="s">
        <v>0</v>
      </c>
      <c r="AP95" s="32" t="s">
        <v>0</v>
      </c>
      <c r="AQ95" s="32" t="s">
        <v>0</v>
      </c>
      <c r="AR95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95" s="9" t="str">
        <f t="shared" ref="AS95" si="86">IF(OR(AR95="",AR95="-"),"-",AR95*$M95*SQRT(3)/1000)</f>
        <v>-</v>
      </c>
      <c r="AT95" s="9">
        <f>IF(RIGHT(TMK[[#This Row],[Device type]],7)="Winding","-",TMK[[#This Row],[Cont Winter MVA]])</f>
        <v>12.00311209645232</v>
      </c>
      <c r="AU95" s="9">
        <f>IF(RIGHT(TMK[[#This Row],[Device type]],7)="Winding","-",TMK[[#This Row],[Cont Shoulder MVA]])</f>
        <v>12.00311209645232</v>
      </c>
      <c r="AV95" s="9">
        <f>IF(RIGHT(TMK[[#This Row],[Device type]],7)="Winding","-",TMK[[#This Row],[Cont Summer MVA]])</f>
        <v>12.00311209645232</v>
      </c>
      <c r="AW95" s="9" t="str">
        <f>IF(RIGHT(TMK[[#This Row],[Device type]],7)="Winding","-",TMK[[#This Row],[24 Hr Winter MVA]])</f>
        <v>-</v>
      </c>
      <c r="AX95" s="9" t="str">
        <f>IF(RIGHT(TMK[[#This Row],[Device type]],7)="Winding","-",TMK[[#This Row],[24 Hr Summer MVA]])</f>
        <v>-</v>
      </c>
      <c r="AY95" s="9">
        <f>TMK[[#This Row],[Forwards MVA]]</f>
        <v>7.659128671069575</v>
      </c>
      <c r="AZ95" s="9" t="str">
        <f>TMK[[#This Row],[Relay MVA]]</f>
        <v>-</v>
      </c>
      <c r="BA95" s="9">
        <f>TMK[[#This Row],[CT MVA]]</f>
        <v>11.43153532995459</v>
      </c>
      <c r="BB95" s="9" t="str">
        <f>TMK[[#This Row],[Derating MVA]]</f>
        <v>-</v>
      </c>
      <c r="BC95" s="9" t="str">
        <f>TMK[[#This Row],[Station/Feeder]]&amp;TMK[[#This Row],[Lowest MVA]]</f>
        <v>CB9_Waitohi7.65912867106957</v>
      </c>
      <c r="BD95" s="9" t="str">
        <f>CONCATENATE(TMK[[#This Row],[Supply Level]],TMK[[#This Row],[Station/Feeder]],TMK[[#This Row],[Voltage]],TMK[[#This Row],[Lowest A-No PTX]])</f>
        <v>DistributionFeederCB9_Waitohi11402</v>
      </c>
      <c r="BE95" s="9" t="str">
        <f>CONCATENATE(TMK[[#This Row],[Supply Level]],TMK[[#This Row],[Station/Feeder]],TMK[[#This Row],[Voltage]],TMK[[#This Row],[Lowest A-PTX]])</f>
        <v>DistributionFeederCB9_Waitohi11402</v>
      </c>
      <c r="BF95" s="9">
        <f>IFERROR(IF(MIN(TMK[[#This Row],[Summ Cont Winter A]:[Cable Derating]])=0,"",MIN(TMK[[#This Row],[Summ Cont Winter A]:[Cable Derating]])),"")</f>
        <v>7.659128671069575</v>
      </c>
      <c r="BG95" s="9">
        <f>IFERROR(TMK[[#This Row],[Lowest MVA]]*1000/(TMK[[#This Row],[Voltage]]*SQRT(3)),"")</f>
        <v>402</v>
      </c>
      <c r="BH95" s="9">
        <f t="shared" si="63"/>
        <v>402</v>
      </c>
      <c r="BI95" s="9" t="str">
        <f>TMK[[#This Row],[From]]</f>
        <v>11 kV Bus</v>
      </c>
      <c r="BJ95" s="9" t="str">
        <f>TMK[[#This Row],[To]]</f>
        <v>T300</v>
      </c>
      <c r="BK9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Breaker-TMK-CB9-Protection</v>
      </c>
      <c r="BL95" s="9">
        <f>TMK[[#This Row],[Voltage]]</f>
        <v>11</v>
      </c>
    </row>
    <row r="96" spans="1:64" s="1" customFormat="1" x14ac:dyDescent="0.25">
      <c r="A96" s="6" t="str">
        <f>CONCATENATE(TMK[[#This Row],[Supply Level]],TMK[[#This Row],[Station/Feeder]],TMK[[#This Row],[Voltage]])</f>
        <v>DistributionFeederCB9_Waitohi11</v>
      </c>
      <c r="B96" s="6" t="str">
        <f>CONCATENATE(TMK[[#This Row],[Supply Level]],TMK[[#This Row],[Station/Feeder]],TMK[[#This Row],[Equipment ID]],TMK[[#This Row],[Voltage]],TMK[[#This Row],[Device type]])</f>
        <v>DistributionFeederCB9_Waitohi1-3c 240 mm² Al PILC11-</v>
      </c>
      <c r="C96" s="6" t="s">
        <v>1276</v>
      </c>
      <c r="D96" s="11" t="s">
        <v>140</v>
      </c>
      <c r="E96" s="7" t="s">
        <v>243</v>
      </c>
      <c r="F96" s="7" t="s">
        <v>527</v>
      </c>
      <c r="G96" s="56">
        <v>2</v>
      </c>
      <c r="H96" s="46" t="s">
        <v>528</v>
      </c>
      <c r="I96" s="123" t="s">
        <v>573</v>
      </c>
      <c r="J96" s="123" t="s">
        <v>250</v>
      </c>
      <c r="K96" s="46" t="s">
        <v>0</v>
      </c>
      <c r="L96" s="46" t="s">
        <v>0</v>
      </c>
      <c r="M96" s="43">
        <v>11</v>
      </c>
      <c r="N96" s="9">
        <v>345</v>
      </c>
      <c r="O96" s="16">
        <f t="shared" si="58"/>
        <v>6.5731328147238894</v>
      </c>
      <c r="P96" s="9">
        <v>345</v>
      </c>
      <c r="Q96" s="16">
        <f t="shared" si="59"/>
        <v>6.5731328147238894</v>
      </c>
      <c r="R96" s="9">
        <v>345</v>
      </c>
      <c r="S96" s="16">
        <f t="shared" si="60"/>
        <v>6.5731328147238894</v>
      </c>
      <c r="T96" s="9" t="s">
        <v>0</v>
      </c>
      <c r="U96" s="16" t="str">
        <f t="shared" si="61"/>
        <v>-</v>
      </c>
      <c r="V96" s="9" t="s">
        <v>0</v>
      </c>
      <c r="W96" s="16" t="str">
        <f t="shared" si="62"/>
        <v>-</v>
      </c>
      <c r="X96" s="9" t="s">
        <v>0</v>
      </c>
      <c r="Y96" s="9" t="str">
        <f t="shared" si="6"/>
        <v>-</v>
      </c>
      <c r="Z96" s="9" t="s">
        <v>0</v>
      </c>
      <c r="AA96" s="16" t="str">
        <f t="shared" si="7"/>
        <v>-</v>
      </c>
      <c r="AB96" s="9" t="s">
        <v>0</v>
      </c>
      <c r="AC96" s="16" t="str">
        <f t="shared" si="8"/>
        <v>-</v>
      </c>
      <c r="AD96" s="9" t="s">
        <v>0</v>
      </c>
      <c r="AE96" s="17" t="str">
        <f t="shared" si="9"/>
        <v>-</v>
      </c>
      <c r="AF96" s="29">
        <v>3</v>
      </c>
      <c r="AG96" s="29" t="s">
        <v>265</v>
      </c>
      <c r="AH96" s="29">
        <v>57.4</v>
      </c>
      <c r="AI96" s="29">
        <v>1</v>
      </c>
      <c r="AJ96" s="32">
        <v>0.98</v>
      </c>
      <c r="AK96" s="29">
        <v>18</v>
      </c>
      <c r="AL96" s="32">
        <v>0.98</v>
      </c>
      <c r="AM96" s="29">
        <v>1.2</v>
      </c>
      <c r="AN96" s="32">
        <v>1</v>
      </c>
      <c r="AO96" s="29">
        <v>2</v>
      </c>
      <c r="AP96" s="29">
        <v>0.45</v>
      </c>
      <c r="AQ96" s="32">
        <v>0.9</v>
      </c>
      <c r="AR96" s="2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298.20419999999996</v>
      </c>
      <c r="AS96" s="9">
        <f t="shared" si="10"/>
        <v>5.6815530797347398</v>
      </c>
      <c r="AT96" s="9">
        <f>IF(RIGHT(TMK[[#This Row],[Device type]],7)="Winding","-",TMK[[#This Row],[Cont Winter MVA]])</f>
        <v>6.5731328147238894</v>
      </c>
      <c r="AU96" s="9">
        <f>IF(RIGHT(TMK[[#This Row],[Device type]],7)="Winding","-",TMK[[#This Row],[Cont Shoulder MVA]])</f>
        <v>6.5731328147238894</v>
      </c>
      <c r="AV96" s="9">
        <f>IF(RIGHT(TMK[[#This Row],[Device type]],7)="Winding","-",TMK[[#This Row],[Cont Summer MVA]])</f>
        <v>6.5731328147238894</v>
      </c>
      <c r="AW96" s="9" t="str">
        <f>IF(RIGHT(TMK[[#This Row],[Device type]],7)="Winding","-",TMK[[#This Row],[24 Hr Winter MVA]])</f>
        <v>-</v>
      </c>
      <c r="AX96" s="9" t="str">
        <f>IF(RIGHT(TMK[[#This Row],[Device type]],7)="Winding","-",TMK[[#This Row],[24 Hr Summer MVA]])</f>
        <v>-</v>
      </c>
      <c r="AY96" s="9" t="str">
        <f>TMK[[#This Row],[Forwards MVA]]</f>
        <v>-</v>
      </c>
      <c r="AZ96" s="9" t="str">
        <f>TMK[[#This Row],[Relay MVA]]</f>
        <v>-</v>
      </c>
      <c r="BA96" s="9" t="str">
        <f>TMK[[#This Row],[CT MVA]]</f>
        <v>-</v>
      </c>
      <c r="BB96" s="9">
        <f>TMK[[#This Row],[Derating MVA]]</f>
        <v>5.6815530797347398</v>
      </c>
      <c r="BC96" s="9" t="str">
        <f>TMK[[#This Row],[Station/Feeder]]&amp;TMK[[#This Row],[Lowest MVA]]</f>
        <v>CB9_Waitohi5.68155307973474</v>
      </c>
      <c r="BD96" s="9" t="str">
        <f>CONCATENATE(TMK[[#This Row],[Supply Level]],TMK[[#This Row],[Station/Feeder]],TMK[[#This Row],[Voltage]],TMK[[#This Row],[Lowest A-No PTX]])</f>
        <v>DistributionFeederCB9_Waitohi11298.2042</v>
      </c>
      <c r="BE96" s="9" t="str">
        <f>CONCATENATE(TMK[[#This Row],[Supply Level]],TMK[[#This Row],[Station/Feeder]],TMK[[#This Row],[Voltage]],TMK[[#This Row],[Lowest A-PTX]])</f>
        <v>DistributionFeederCB9_Waitohi11298.2042</v>
      </c>
      <c r="BF96" s="9">
        <f>IFERROR(IF(MIN(TMK[[#This Row],[Summ Cont Winter A]:[Cable Derating]])=0,"",MIN(TMK[[#This Row],[Summ Cont Winter A]:[Cable Derating]])),"")</f>
        <v>5.6815530797347398</v>
      </c>
      <c r="BG96" s="9">
        <f>IFERROR(TMK[[#This Row],[Lowest MVA]]*1000/(TMK[[#This Row],[Voltage]]*SQRT(3)),"")</f>
        <v>298.20419999999996</v>
      </c>
      <c r="BH96" s="9">
        <f t="shared" si="63"/>
        <v>298.20419999999996</v>
      </c>
      <c r="BI96" s="9" t="str">
        <f>TMK[[#This Row],[From]]</f>
        <v>11 kV Bus</v>
      </c>
      <c r="BJ96" s="9" t="str">
        <f>TMK[[#This Row],[To]]</f>
        <v>T300</v>
      </c>
      <c r="BK9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240 mm² Al PILC</v>
      </c>
      <c r="BL96" s="9">
        <f>TMK[[#This Row],[Voltage]]</f>
        <v>11</v>
      </c>
    </row>
    <row r="97" spans="1:64" s="1" customFormat="1" x14ac:dyDescent="0.25">
      <c r="A97" s="6" t="str">
        <f>CONCATENATE(TMK[[#This Row],[Supply Level]],TMK[[#This Row],[Station/Feeder]],TMK[[#This Row],[Voltage]])</f>
        <v>DistributionFeederCB9_Waitohi11</v>
      </c>
      <c r="B97" s="6" t="str">
        <f>CONCATENATE(TMK[[#This Row],[Supply Level]],TMK[[#This Row],[Station/Feeder]],TMK[[#This Row],[Equipment ID]],TMK[[#This Row],[Voltage]],TMK[[#This Row],[Device type]])</f>
        <v>DistributionFeederCB9_WaitohiT30011-</v>
      </c>
      <c r="C97" s="6" t="s">
        <v>1276</v>
      </c>
      <c r="D97" s="11" t="s">
        <v>140</v>
      </c>
      <c r="E97" s="7" t="s">
        <v>243</v>
      </c>
      <c r="F97" s="7" t="s">
        <v>527</v>
      </c>
      <c r="G97" s="56">
        <v>3</v>
      </c>
      <c r="H97" s="46" t="s">
        <v>273</v>
      </c>
      <c r="I97" s="123" t="s">
        <v>527</v>
      </c>
      <c r="J97" s="123" t="s">
        <v>240</v>
      </c>
      <c r="K97" s="46" t="s">
        <v>0</v>
      </c>
      <c r="L97" s="46" t="s">
        <v>0</v>
      </c>
      <c r="M97" s="43">
        <v>11</v>
      </c>
      <c r="N97" s="9">
        <v>600</v>
      </c>
      <c r="O97" s="9">
        <f t="shared" si="58"/>
        <v>11.43153532995459</v>
      </c>
      <c r="P97" s="9">
        <v>600</v>
      </c>
      <c r="Q97" s="9">
        <f t="shared" si="59"/>
        <v>11.43153532995459</v>
      </c>
      <c r="R97" s="9">
        <v>600</v>
      </c>
      <c r="S97" s="9">
        <f t="shared" si="60"/>
        <v>11.43153532995459</v>
      </c>
      <c r="T97" s="9" t="s">
        <v>0</v>
      </c>
      <c r="U97" s="9" t="str">
        <f t="shared" si="61"/>
        <v>-</v>
      </c>
      <c r="V97" s="9" t="s">
        <v>0</v>
      </c>
      <c r="W97" s="9" t="str">
        <f t="shared" si="62"/>
        <v>-</v>
      </c>
      <c r="X97" s="9" t="s">
        <v>0</v>
      </c>
      <c r="Y97" s="9" t="str">
        <f t="shared" ref="Y97" si="87">IF(OR(X97="",X97="-"),"-",X97*$M97*SQRT(3)/1000)</f>
        <v>-</v>
      </c>
      <c r="Z97" s="9" t="s">
        <v>0</v>
      </c>
      <c r="AA97" s="9" t="str">
        <f t="shared" si="7"/>
        <v>-</v>
      </c>
      <c r="AB97" s="9" t="s">
        <v>0</v>
      </c>
      <c r="AC97" s="9" t="str">
        <f t="shared" si="8"/>
        <v>-</v>
      </c>
      <c r="AD97" s="9" t="s">
        <v>0</v>
      </c>
      <c r="AE97" s="12" t="str">
        <f t="shared" si="9"/>
        <v>-</v>
      </c>
      <c r="AF97" s="29" t="s">
        <v>0</v>
      </c>
      <c r="AG97" s="29" t="s">
        <v>0</v>
      </c>
      <c r="AH97" s="29" t="s">
        <v>0</v>
      </c>
      <c r="AI97" s="29" t="s">
        <v>0</v>
      </c>
      <c r="AJ97" s="32" t="s">
        <v>0</v>
      </c>
      <c r="AK97" s="29" t="s">
        <v>0</v>
      </c>
      <c r="AL97" s="32" t="s">
        <v>0</v>
      </c>
      <c r="AM97" s="29" t="s">
        <v>0</v>
      </c>
      <c r="AN97" s="32" t="s">
        <v>0</v>
      </c>
      <c r="AO97" s="29" t="s">
        <v>0</v>
      </c>
      <c r="AP97" s="29" t="s">
        <v>0</v>
      </c>
      <c r="AQ97" s="32" t="s">
        <v>0</v>
      </c>
      <c r="AR97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97" s="9" t="str">
        <f t="shared" si="10"/>
        <v>-</v>
      </c>
      <c r="AT97" s="9">
        <f>IF(RIGHT(TMK[[#This Row],[Device type]],7)="Winding","-",TMK[[#This Row],[Cont Winter MVA]])</f>
        <v>11.43153532995459</v>
      </c>
      <c r="AU97" s="9">
        <f>IF(RIGHT(TMK[[#This Row],[Device type]],7)="Winding","-",TMK[[#This Row],[Cont Shoulder MVA]])</f>
        <v>11.43153532995459</v>
      </c>
      <c r="AV97" s="9">
        <f>IF(RIGHT(TMK[[#This Row],[Device type]],7)="Winding","-",TMK[[#This Row],[Cont Summer MVA]])</f>
        <v>11.43153532995459</v>
      </c>
      <c r="AW97" s="9" t="str">
        <f>IF(RIGHT(TMK[[#This Row],[Device type]],7)="Winding","-",TMK[[#This Row],[24 Hr Winter MVA]])</f>
        <v>-</v>
      </c>
      <c r="AX97" s="9" t="str">
        <f>IF(RIGHT(TMK[[#This Row],[Device type]],7)="Winding","-",TMK[[#This Row],[24 Hr Summer MVA]])</f>
        <v>-</v>
      </c>
      <c r="AY97" s="9" t="str">
        <f>TMK[[#This Row],[Forwards MVA]]</f>
        <v>-</v>
      </c>
      <c r="AZ97" s="9" t="str">
        <f>TMK[[#This Row],[Relay MVA]]</f>
        <v>-</v>
      </c>
      <c r="BA97" s="9" t="str">
        <f>TMK[[#This Row],[CT MVA]]</f>
        <v>-</v>
      </c>
      <c r="BB97" s="9" t="str">
        <f>TMK[[#This Row],[Derating MVA]]</f>
        <v>-</v>
      </c>
      <c r="BC97" s="9" t="str">
        <f>TMK[[#This Row],[Station/Feeder]]&amp;TMK[[#This Row],[Lowest MVA]]</f>
        <v>CB9_Waitohi11.4315353299546</v>
      </c>
      <c r="BD97" s="9" t="str">
        <f>CONCATENATE(TMK[[#This Row],[Supply Level]],TMK[[#This Row],[Station/Feeder]],TMK[[#This Row],[Voltage]],TMK[[#This Row],[Lowest A-No PTX]])</f>
        <v>DistributionFeederCB9_Waitohi11600</v>
      </c>
      <c r="BE97" s="9" t="str">
        <f>CONCATENATE(TMK[[#This Row],[Supply Level]],TMK[[#This Row],[Station/Feeder]],TMK[[#This Row],[Voltage]],TMK[[#This Row],[Lowest A-PTX]])</f>
        <v>DistributionFeederCB9_Waitohi11600</v>
      </c>
      <c r="BF97" s="9">
        <f>IFERROR(IF(MIN(TMK[[#This Row],[Summ Cont Winter A]:[Cable Derating]])=0,"",MIN(TMK[[#This Row],[Summ Cont Winter A]:[Cable Derating]])),"")</f>
        <v>11.43153532995459</v>
      </c>
      <c r="BG97" s="9">
        <f>IFERROR(TMK[[#This Row],[Lowest MVA]]*1000/(TMK[[#This Row],[Voltage]]*SQRT(3)),"")</f>
        <v>600</v>
      </c>
      <c r="BH97" s="9">
        <f t="shared" si="63"/>
        <v>600</v>
      </c>
      <c r="BI97" s="9" t="str">
        <f>TMK[[#This Row],[From]]</f>
        <v>11 kV Bus</v>
      </c>
      <c r="BJ97" s="9" t="str">
        <f>TMK[[#This Row],[To]]</f>
        <v>T300</v>
      </c>
      <c r="BK9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ABS-T300</v>
      </c>
      <c r="BL97" s="9">
        <f>TMK[[#This Row],[Voltage]]</f>
        <v>11</v>
      </c>
    </row>
    <row r="98" spans="1:64" s="1" customFormat="1" x14ac:dyDescent="0.25">
      <c r="A98" s="6" t="str">
        <f>CONCATENATE(TMK[[#This Row],[Supply Level]],TMK[[#This Row],[Station/Feeder]],TMK[[#This Row],[Voltage]])</f>
        <v>DistributionFeederCB9_Waitohi11</v>
      </c>
      <c r="B98" s="6" t="str">
        <f>CONCATENATE(TMK[[#This Row],[Supply Level]],TMK[[#This Row],[Station/Feeder]],TMK[[#This Row],[Equipment ID]],TMK[[#This Row],[Voltage]],TMK[[#This Row],[Device type]])</f>
        <v>DistributionFeederCB9_Waitohi19/16 Cu11-</v>
      </c>
      <c r="C98" s="6" t="s">
        <v>1276</v>
      </c>
      <c r="D98" s="11" t="s">
        <v>140</v>
      </c>
      <c r="E98" s="7" t="s">
        <v>527</v>
      </c>
      <c r="F98" s="7" t="s">
        <v>530</v>
      </c>
      <c r="G98" s="56">
        <v>4</v>
      </c>
      <c r="H98" s="46" t="s">
        <v>1289</v>
      </c>
      <c r="I98" s="123" t="s">
        <v>529</v>
      </c>
      <c r="J98" s="123" t="s">
        <v>69</v>
      </c>
      <c r="K98" s="46" t="s">
        <v>0</v>
      </c>
      <c r="L98" s="46" t="s">
        <v>0</v>
      </c>
      <c r="M98" s="43">
        <v>11</v>
      </c>
      <c r="N98" s="9">
        <v>233</v>
      </c>
      <c r="O98" s="9">
        <f t="shared" si="58"/>
        <v>4.439246219799033</v>
      </c>
      <c r="P98" s="9">
        <f>230*0.85</f>
        <v>195.5</v>
      </c>
      <c r="Q98" s="9">
        <f t="shared" si="59"/>
        <v>3.7247752616768701</v>
      </c>
      <c r="R98" s="9">
        <v>176</v>
      </c>
      <c r="S98" s="9">
        <f t="shared" si="60"/>
        <v>3.3532503634533466</v>
      </c>
      <c r="T98" s="9" t="s">
        <v>0</v>
      </c>
      <c r="U98" s="9" t="str">
        <f t="shared" si="61"/>
        <v>-</v>
      </c>
      <c r="V98" s="9" t="s">
        <v>0</v>
      </c>
      <c r="W98" s="9" t="str">
        <f t="shared" si="62"/>
        <v>-</v>
      </c>
      <c r="X98" s="9" t="s">
        <v>0</v>
      </c>
      <c r="Y98" s="9" t="str">
        <f t="shared" si="6"/>
        <v>-</v>
      </c>
      <c r="Z98" s="9" t="s">
        <v>0</v>
      </c>
      <c r="AA98" s="9" t="str">
        <f t="shared" si="7"/>
        <v>-</v>
      </c>
      <c r="AB98" s="9" t="s">
        <v>0</v>
      </c>
      <c r="AC98" s="9" t="str">
        <f t="shared" si="8"/>
        <v>-</v>
      </c>
      <c r="AD98" s="9" t="s">
        <v>0</v>
      </c>
      <c r="AE98" s="12" t="str">
        <f t="shared" si="9"/>
        <v>-</v>
      </c>
      <c r="AF98" s="29" t="s">
        <v>0</v>
      </c>
      <c r="AG98" s="29" t="s">
        <v>0</v>
      </c>
      <c r="AH98" s="29">
        <v>3.3</v>
      </c>
      <c r="AI98" s="29" t="s">
        <v>0</v>
      </c>
      <c r="AJ98" s="32" t="s">
        <v>0</v>
      </c>
      <c r="AK98" s="29" t="s">
        <v>0</v>
      </c>
      <c r="AL98" s="32" t="s">
        <v>0</v>
      </c>
      <c r="AM98" s="29" t="s">
        <v>0</v>
      </c>
      <c r="AN98" s="32" t="s">
        <v>0</v>
      </c>
      <c r="AO98" s="29" t="s">
        <v>0</v>
      </c>
      <c r="AP98" s="29" t="s">
        <v>0</v>
      </c>
      <c r="AQ98" s="32" t="s">
        <v>0</v>
      </c>
      <c r="AR98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98" s="9" t="str">
        <f t="shared" si="10"/>
        <v>-</v>
      </c>
      <c r="AT98" s="9">
        <f>IF(RIGHT(TMK[[#This Row],[Device type]],7)="Winding","-",TMK[[#This Row],[Cont Winter MVA]])</f>
        <v>4.439246219799033</v>
      </c>
      <c r="AU98" s="9">
        <f>IF(RIGHT(TMK[[#This Row],[Device type]],7)="Winding","-",TMK[[#This Row],[Cont Shoulder MVA]])</f>
        <v>3.7247752616768701</v>
      </c>
      <c r="AV98" s="9">
        <f>IF(RIGHT(TMK[[#This Row],[Device type]],7)="Winding","-",TMK[[#This Row],[Cont Summer MVA]])</f>
        <v>3.3532503634533466</v>
      </c>
      <c r="AW98" s="9" t="str">
        <f>IF(RIGHT(TMK[[#This Row],[Device type]],7)="Winding","-",TMK[[#This Row],[24 Hr Winter MVA]])</f>
        <v>-</v>
      </c>
      <c r="AX98" s="9" t="str">
        <f>IF(RIGHT(TMK[[#This Row],[Device type]],7)="Winding","-",TMK[[#This Row],[24 Hr Summer MVA]])</f>
        <v>-</v>
      </c>
      <c r="AY98" s="9" t="str">
        <f>TMK[[#This Row],[Forwards MVA]]</f>
        <v>-</v>
      </c>
      <c r="AZ98" s="9" t="str">
        <f>TMK[[#This Row],[Relay MVA]]</f>
        <v>-</v>
      </c>
      <c r="BA98" s="9" t="str">
        <f>TMK[[#This Row],[CT MVA]]</f>
        <v>-</v>
      </c>
      <c r="BB98" s="9" t="str">
        <f>TMK[[#This Row],[Derating MVA]]</f>
        <v>-</v>
      </c>
      <c r="BC98" s="9" t="str">
        <f>TMK[[#This Row],[Station/Feeder]]&amp;TMK[[#This Row],[Lowest MVA]]</f>
        <v>CB9_Waitohi3.35325036345335</v>
      </c>
      <c r="BD98" s="9" t="str">
        <f>CONCATENATE(TMK[[#This Row],[Supply Level]],TMK[[#This Row],[Station/Feeder]],TMK[[#This Row],[Voltage]],TMK[[#This Row],[Lowest A-No PTX]])</f>
        <v>DistributionFeederCB9_Waitohi11176</v>
      </c>
      <c r="BE98" s="9" t="str">
        <f>CONCATENATE(TMK[[#This Row],[Supply Level]],TMK[[#This Row],[Station/Feeder]],TMK[[#This Row],[Voltage]],TMK[[#This Row],[Lowest A-PTX]])</f>
        <v>DistributionFeederCB9_Waitohi11176</v>
      </c>
      <c r="BF98" s="9">
        <f>IFERROR(IF(MIN(TMK[[#This Row],[Summ Cont Winter A]:[Cable Derating]])=0,"",MIN(TMK[[#This Row],[Summ Cont Winter A]:[Cable Derating]])),"")</f>
        <v>3.3532503634533466</v>
      </c>
      <c r="BG98" s="9">
        <f>IFERROR(TMK[[#This Row],[Lowest MVA]]*1000/(TMK[[#This Row],[Voltage]]*SQRT(3)),"")</f>
        <v>176</v>
      </c>
      <c r="BH98" s="9">
        <f t="shared" si="63"/>
        <v>176</v>
      </c>
      <c r="BI98" s="9" t="str">
        <f>TMK[[#This Row],[From]]</f>
        <v>T300</v>
      </c>
      <c r="BJ98" s="9" t="str">
        <f>TMK[[#This Row],[To]]</f>
        <v>Pole 36779</v>
      </c>
      <c r="BK9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Line-19/16 Cu</v>
      </c>
      <c r="BL98" s="9">
        <f>TMK[[#This Row],[Voltage]]</f>
        <v>11</v>
      </c>
    </row>
    <row r="99" spans="1:64" s="1" customFormat="1" ht="15.75" thickBot="1" x14ac:dyDescent="0.3">
      <c r="A99" s="191" t="str">
        <f>CONCATENATE(TMK[[#This Row],[Supply Level]],TMK[[#This Row],[Station/Feeder]],TMK[[#This Row],[Voltage]])</f>
        <v>DistributionFeederCB9_Waitohi11</v>
      </c>
      <c r="B99" s="191" t="str">
        <f>CONCATENATE(TMK[[#This Row],[Supply Level]],TMK[[#This Row],[Station/Feeder]],TMK[[#This Row],[Equipment ID]],TMK[[#This Row],[Voltage]],TMK[[#This Row],[Device type]])</f>
        <v>DistributionFeederCB9_WaitohiCHAFER11-</v>
      </c>
      <c r="C99" s="191" t="s">
        <v>1276</v>
      </c>
      <c r="D99" s="192" t="s">
        <v>140</v>
      </c>
      <c r="E99" s="193" t="s">
        <v>530</v>
      </c>
      <c r="F99" s="193" t="s">
        <v>531</v>
      </c>
      <c r="G99" s="194">
        <v>5</v>
      </c>
      <c r="H99" s="196" t="s">
        <v>1289</v>
      </c>
      <c r="I99" s="205" t="s">
        <v>505</v>
      </c>
      <c r="J99" s="205" t="s">
        <v>69</v>
      </c>
      <c r="K99" s="196" t="s">
        <v>0</v>
      </c>
      <c r="L99" s="196" t="s">
        <v>0</v>
      </c>
      <c r="M99" s="175">
        <v>11</v>
      </c>
      <c r="N99" s="155">
        <v>524.32641073638399</v>
      </c>
      <c r="O99" s="155">
        <f t="shared" si="58"/>
        <v>9.9897598146020918</v>
      </c>
      <c r="P99" s="155" t="s">
        <v>0</v>
      </c>
      <c r="Q99" s="155" t="str">
        <f t="shared" si="59"/>
        <v>-</v>
      </c>
      <c r="R99" s="155">
        <v>388.10484430946377</v>
      </c>
      <c r="S99" s="155">
        <f t="shared" si="60"/>
        <v>7.3943903990836004</v>
      </c>
      <c r="T99" s="155" t="s">
        <v>0</v>
      </c>
      <c r="U99" s="155" t="str">
        <f t="shared" si="61"/>
        <v>-</v>
      </c>
      <c r="V99" s="155" t="s">
        <v>0</v>
      </c>
      <c r="W99" s="155" t="str">
        <f t="shared" si="62"/>
        <v>-</v>
      </c>
      <c r="X99" s="155" t="s">
        <v>0</v>
      </c>
      <c r="Y99" s="155" t="str">
        <f>IF(OR(X99="",X99="-"),"-",X99*$M99*SQRT(3)/1000)</f>
        <v>-</v>
      </c>
      <c r="Z99" s="155" t="s">
        <v>0</v>
      </c>
      <c r="AA99" s="155" t="str">
        <f t="shared" si="7"/>
        <v>-</v>
      </c>
      <c r="AB99" s="155" t="s">
        <v>0</v>
      </c>
      <c r="AC99" s="155" t="str">
        <f t="shared" si="8"/>
        <v>-</v>
      </c>
      <c r="AD99" s="155" t="s">
        <v>0</v>
      </c>
      <c r="AE99" s="195" t="str">
        <f t="shared" si="9"/>
        <v>-</v>
      </c>
      <c r="AF99" s="155" t="s">
        <v>0</v>
      </c>
      <c r="AG99" s="155" t="s">
        <v>0</v>
      </c>
      <c r="AH99" s="155">
        <v>375.3</v>
      </c>
      <c r="AI99" s="155" t="s">
        <v>0</v>
      </c>
      <c r="AJ99" s="175" t="s">
        <v>0</v>
      </c>
      <c r="AK99" s="155" t="s">
        <v>0</v>
      </c>
      <c r="AL99" s="175" t="s">
        <v>0</v>
      </c>
      <c r="AM99" s="155" t="s">
        <v>0</v>
      </c>
      <c r="AN99" s="175" t="s">
        <v>0</v>
      </c>
      <c r="AO99" s="155" t="s">
        <v>0</v>
      </c>
      <c r="AP99" s="175" t="s">
        <v>0</v>
      </c>
      <c r="AQ99" s="175" t="s">
        <v>0</v>
      </c>
      <c r="AR99" s="155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99" s="155" t="str">
        <f t="shared" si="10"/>
        <v>-</v>
      </c>
      <c r="AT99" s="155">
        <f>IF(RIGHT(TMK[[#This Row],[Device type]],7)="Winding","-",TMK[[#This Row],[Cont Winter MVA]])</f>
        <v>9.9897598146020918</v>
      </c>
      <c r="AU99" s="155" t="str">
        <f>IF(RIGHT(TMK[[#This Row],[Device type]],7)="Winding","-",TMK[[#This Row],[Cont Shoulder MVA]])</f>
        <v>-</v>
      </c>
      <c r="AV99" s="155">
        <f>IF(RIGHT(TMK[[#This Row],[Device type]],7)="Winding","-",TMK[[#This Row],[Cont Summer MVA]])</f>
        <v>7.3943903990836004</v>
      </c>
      <c r="AW99" s="155" t="str">
        <f>IF(RIGHT(TMK[[#This Row],[Device type]],7)="Winding","-",TMK[[#This Row],[24 Hr Winter MVA]])</f>
        <v>-</v>
      </c>
      <c r="AX99" s="155" t="str">
        <f>IF(RIGHT(TMK[[#This Row],[Device type]],7)="Winding","-",TMK[[#This Row],[24 Hr Summer MVA]])</f>
        <v>-</v>
      </c>
      <c r="AY99" s="155" t="str">
        <f>TMK[[#This Row],[Forwards MVA]]</f>
        <v>-</v>
      </c>
      <c r="AZ99" s="155" t="str">
        <f>TMK[[#This Row],[Relay MVA]]</f>
        <v>-</v>
      </c>
      <c r="BA99" s="155" t="str">
        <f>TMK[[#This Row],[CT MVA]]</f>
        <v>-</v>
      </c>
      <c r="BB99" s="155" t="str">
        <f>TMK[[#This Row],[Derating MVA]]</f>
        <v>-</v>
      </c>
      <c r="BC99" s="155" t="str">
        <f>TMK[[#This Row],[Station/Feeder]]&amp;TMK[[#This Row],[Lowest MVA]]</f>
        <v>CB9_Waitohi7.3943903990836</v>
      </c>
      <c r="BD99" s="155" t="str">
        <f>CONCATENATE(TMK[[#This Row],[Supply Level]],TMK[[#This Row],[Station/Feeder]],TMK[[#This Row],[Voltage]],TMK[[#This Row],[Lowest A-No PTX]])</f>
        <v>DistributionFeederCB9_Waitohi11388.104844309464</v>
      </c>
      <c r="BE99" s="155" t="str">
        <f>CONCATENATE(TMK[[#This Row],[Supply Level]],TMK[[#This Row],[Station/Feeder]],TMK[[#This Row],[Voltage]],TMK[[#This Row],[Lowest A-PTX]])</f>
        <v>DistributionFeederCB9_Waitohi11388.104844309464</v>
      </c>
      <c r="BF99" s="155">
        <f>IFERROR(IF(MIN(TMK[[#This Row],[Summ Cont Winter A]:[Cable Derating]])=0,"",MIN(TMK[[#This Row],[Summ Cont Winter A]:[Cable Derating]])),"")</f>
        <v>7.3943903990836004</v>
      </c>
      <c r="BG99" s="155">
        <f>IFERROR(TMK[[#This Row],[Lowest MVA]]*1000/(TMK[[#This Row],[Voltage]]*SQRT(3)),"")</f>
        <v>388.10484430946377</v>
      </c>
      <c r="BH99" s="155">
        <f t="shared" si="63"/>
        <v>388.10484430946377</v>
      </c>
      <c r="BI99" s="155" t="str">
        <f>TMK[[#This Row],[From]]</f>
        <v>Pole 36779</v>
      </c>
      <c r="BJ99" s="155" t="str">
        <f>TMK[[#This Row],[To]]</f>
        <v>Pole 36784</v>
      </c>
      <c r="BK99" s="19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Line-CHAFER</v>
      </c>
      <c r="BL99" s="155">
        <f>TMK[[#This Row],[Voltage]]</f>
        <v>11</v>
      </c>
    </row>
    <row r="100" spans="1:64" s="1" customFormat="1" ht="15" customHeight="1" x14ac:dyDescent="0.25">
      <c r="A100" s="168" t="str">
        <f>CONCATENATE(TMK[[#This Row],[Supply Level]],TMK[[#This Row],[Station/Feeder]],TMK[[#This Row],[Voltage]])</f>
        <v>SubTransmissionCB1292_Geraldine33.594</v>
      </c>
      <c r="B100" s="168" t="str">
        <f>CONCATENATE(TMK[[#This Row],[Supply Level]],TMK[[#This Row],[Station/Feeder]],TMK[[#This Row],[Equipment ID]],TMK[[#This Row],[Voltage]],TMK[[#This Row],[Device type]])</f>
        <v>SubTransmissionCB1292_GeraldineTMK-CB129233.594Protection</v>
      </c>
      <c r="C100" s="168" t="s">
        <v>1245</v>
      </c>
      <c r="D100" s="118" t="s">
        <v>226</v>
      </c>
      <c r="E100" s="49" t="s">
        <v>63</v>
      </c>
      <c r="F100" s="49" t="s">
        <v>533</v>
      </c>
      <c r="G100" s="190">
        <v>1</v>
      </c>
      <c r="H100" s="49" t="s">
        <v>2388</v>
      </c>
      <c r="I100" s="124" t="s">
        <v>2316</v>
      </c>
      <c r="J100" s="124" t="s">
        <v>15</v>
      </c>
      <c r="K100" s="45" t="s">
        <v>1121</v>
      </c>
      <c r="L100" s="45" t="s">
        <v>1423</v>
      </c>
      <c r="M100" s="32">
        <f t="shared" ref="M100:M103" si="88">33*1.018</f>
        <v>33.594000000000001</v>
      </c>
      <c r="N100" s="29">
        <v>630</v>
      </c>
      <c r="O100" s="29">
        <f t="shared" si="58"/>
        <v>36.657504342565389</v>
      </c>
      <c r="P100" s="29">
        <v>630</v>
      </c>
      <c r="Q100" s="29">
        <f t="shared" si="59"/>
        <v>36.657504342565389</v>
      </c>
      <c r="R100" s="29">
        <v>630</v>
      </c>
      <c r="S100" s="29">
        <f t="shared" si="60"/>
        <v>36.657504342565389</v>
      </c>
      <c r="T100" s="29">
        <v>630</v>
      </c>
      <c r="U100" s="29">
        <f t="shared" si="61"/>
        <v>36.657504342565389</v>
      </c>
      <c r="V100" s="29">
        <v>630</v>
      </c>
      <c r="W100" s="29">
        <f t="shared" si="62"/>
        <v>36.657504342565389</v>
      </c>
      <c r="X100" s="29">
        <f>VLOOKUP(TMK[[#This Row],[Equipment ID]],AEL_Protection_Data[#All],12,0)</f>
        <v>462</v>
      </c>
      <c r="Y100" s="29">
        <f>IF(OR(X100="",X100="-"),"-",X100*$M100*SQRT(3)/1000)</f>
        <v>26.882169851214613</v>
      </c>
      <c r="Z100" s="29">
        <f>TMK[[#This Row],[Forward A]]</f>
        <v>462</v>
      </c>
      <c r="AA100" s="29">
        <f>IF(OR(Z100="",Z100="-"),"-",Z100*$M100*SQRT(3)/1000)</f>
        <v>26.882169851214613</v>
      </c>
      <c r="AB100" s="29">
        <v>1800</v>
      </c>
      <c r="AC100" s="29">
        <f>IF(OR(AB100="",AB100="-"),"-",AB100*$M100*SQRT(3)/1000)</f>
        <v>104.73572669304396</v>
      </c>
      <c r="AD100" s="29">
        <v>600</v>
      </c>
      <c r="AE100" s="169">
        <f>IF(OR(AD100="",AD100="-"),"-",AD100*$M100*SQRT(3)/1000)</f>
        <v>34.911908897681322</v>
      </c>
      <c r="AF100" s="29" t="s">
        <v>0</v>
      </c>
      <c r="AG100" s="29" t="s">
        <v>0</v>
      </c>
      <c r="AH100" s="29" t="s">
        <v>0</v>
      </c>
      <c r="AI100" s="29" t="s">
        <v>0</v>
      </c>
      <c r="AJ100" s="32" t="s">
        <v>0</v>
      </c>
      <c r="AK100" s="29" t="s">
        <v>0</v>
      </c>
      <c r="AL100" s="32" t="s">
        <v>0</v>
      </c>
      <c r="AM100" s="29" t="s">
        <v>0</v>
      </c>
      <c r="AN100" s="32" t="s">
        <v>0</v>
      </c>
      <c r="AO100" s="29" t="s">
        <v>0</v>
      </c>
      <c r="AP100" s="32" t="s">
        <v>0</v>
      </c>
      <c r="AQ100" s="32" t="s">
        <v>0</v>
      </c>
      <c r="AR100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00" s="29" t="str">
        <f>IF(OR(AR100="",AR100="-"),"-",AR100*$M100*SQRT(3)/1000)</f>
        <v>-</v>
      </c>
      <c r="AT100" s="29">
        <f>IF(RIGHT(TMK[[#This Row],[Device type]],7)="Winding","-",TMK[[#This Row],[Cont Winter MVA]])</f>
        <v>36.657504342565389</v>
      </c>
      <c r="AU100" s="29">
        <f>IF(RIGHT(TMK[[#This Row],[Device type]],7)="Winding","-",TMK[[#This Row],[Cont Shoulder MVA]])</f>
        <v>36.657504342565389</v>
      </c>
      <c r="AV100" s="29">
        <f>IF(RIGHT(TMK[[#This Row],[Device type]],7)="Winding","-",TMK[[#This Row],[Cont Summer MVA]])</f>
        <v>36.657504342565389</v>
      </c>
      <c r="AW100" s="29">
        <f>IF(RIGHT(TMK[[#This Row],[Device type]],7)="Winding","-",TMK[[#This Row],[24 Hr Winter MVA]])</f>
        <v>36.657504342565389</v>
      </c>
      <c r="AX100" s="29">
        <f>IF(RIGHT(TMK[[#This Row],[Device type]],7)="Winding","-",TMK[[#This Row],[24 Hr Summer MVA]])</f>
        <v>36.657504342565389</v>
      </c>
      <c r="AY100" s="29">
        <f>TMK[[#This Row],[Forwards MVA]]</f>
        <v>26.882169851214613</v>
      </c>
      <c r="AZ100" s="29">
        <f>TMK[[#This Row],[Relay MVA]]</f>
        <v>104.73572669304396</v>
      </c>
      <c r="BA100" s="29">
        <f>TMK[[#This Row],[CT MVA]]</f>
        <v>34.911908897681322</v>
      </c>
      <c r="BB100" s="29" t="str">
        <f>TMK[[#This Row],[Derating MVA]]</f>
        <v>-</v>
      </c>
      <c r="BC100" s="29" t="str">
        <f>TMK[[#This Row],[Station/Feeder]]&amp;TMK[[#This Row],[Lowest MVA]]</f>
        <v>CB1292_Geraldine26.8821698512146</v>
      </c>
      <c r="BD100" s="29" t="str">
        <f>CONCATENATE(TMK[[#This Row],[Supply Level]],TMK[[#This Row],[Station/Feeder]],TMK[[#This Row],[Voltage]],TMK[[#This Row],[Lowest A-No PTX]])</f>
        <v>SubTransmissionCB1292_Geraldine33.594462</v>
      </c>
      <c r="BE100" s="29" t="str">
        <f>CONCATENATE(TMK[[#This Row],[Supply Level]],TMK[[#This Row],[Station/Feeder]],TMK[[#This Row],[Voltage]],TMK[[#This Row],[Lowest A-PTX]])</f>
        <v>SubTransmissionCB1292_Geraldine33.594462</v>
      </c>
      <c r="BF100" s="29">
        <f>IFERROR(IF(MIN(TMK[[#This Row],[Summ Cont Winter A]:[Cable Derating]])=0,"",MIN(TMK[[#This Row],[Summ Cont Winter A]:[Cable Derating]])),"")</f>
        <v>26.882169851214613</v>
      </c>
      <c r="BG100" s="29">
        <f>IFERROR(TMK[[#This Row],[Lowest MVA]]*1000/(TMK[[#This Row],[Voltage]]*SQRT(3)),"")</f>
        <v>462</v>
      </c>
      <c r="BH100" s="29">
        <f t="shared" si="63"/>
        <v>462</v>
      </c>
      <c r="BI100" s="29" t="str">
        <f>TMK[[#This Row],[From]]</f>
        <v>33 kV Bus</v>
      </c>
      <c r="BJ100" s="29" t="str">
        <f>TMK[[#This Row],[To]]</f>
        <v>G217</v>
      </c>
      <c r="BK100" s="45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Breaker-TMK-CB1292-Protection</v>
      </c>
      <c r="BL100" s="29">
        <f>TMK[[#This Row],[Voltage]]</f>
        <v>33.594000000000001</v>
      </c>
    </row>
    <row r="101" spans="1:64" s="1" customFormat="1" ht="15" customHeight="1" x14ac:dyDescent="0.25">
      <c r="A101" s="6" t="str">
        <f>CONCATENATE(TMK[[#This Row],[Supply Level]],TMK[[#This Row],[Station/Feeder]],TMK[[#This Row],[Voltage]])</f>
        <v>SubTransmissionCB1292_Geraldine33.594</v>
      </c>
      <c r="B101" s="6" t="str">
        <f>CONCATENATE(TMK[[#This Row],[Supply Level]],TMK[[#This Row],[Station/Feeder]],TMK[[#This Row],[Equipment ID]],TMK[[#This Row],[Voltage]],TMK[[#This Row],[Device type]])</f>
        <v>SubTransmissionCB1292_Geraldine3-1c 400 mm² Al XLPE33.594-</v>
      </c>
      <c r="C101" s="6" t="s">
        <v>1245</v>
      </c>
      <c r="D101" s="11" t="s">
        <v>226</v>
      </c>
      <c r="E101" s="7" t="s">
        <v>63</v>
      </c>
      <c r="F101" s="7" t="s">
        <v>533</v>
      </c>
      <c r="G101" s="56">
        <v>2</v>
      </c>
      <c r="H101" s="260" t="s">
        <v>1293</v>
      </c>
      <c r="I101" s="123" t="s">
        <v>559</v>
      </c>
      <c r="J101" s="123" t="s">
        <v>250</v>
      </c>
      <c r="K101" s="46" t="s">
        <v>0</v>
      </c>
      <c r="L101" s="46" t="s">
        <v>0</v>
      </c>
      <c r="M101" s="43">
        <f t="shared" si="88"/>
        <v>33.594000000000001</v>
      </c>
      <c r="N101" s="9">
        <v>521</v>
      </c>
      <c r="O101" s="9">
        <f t="shared" si="58"/>
        <v>30.315174226153278</v>
      </c>
      <c r="P101" s="9">
        <v>521</v>
      </c>
      <c r="Q101" s="9">
        <f t="shared" si="59"/>
        <v>30.315174226153278</v>
      </c>
      <c r="R101" s="9">
        <v>521</v>
      </c>
      <c r="S101" s="9">
        <f t="shared" si="60"/>
        <v>30.315174226153278</v>
      </c>
      <c r="T101" s="9" t="s">
        <v>0</v>
      </c>
      <c r="U101" s="9" t="str">
        <f t="shared" si="61"/>
        <v>-</v>
      </c>
      <c r="V101" s="9" t="s">
        <v>0</v>
      </c>
      <c r="W101" s="9" t="str">
        <f t="shared" si="62"/>
        <v>-</v>
      </c>
      <c r="X101" s="9" t="s">
        <v>0</v>
      </c>
      <c r="Y101" s="9" t="str">
        <f t="shared" ref="Y101:Y103" si="89">IF(OR(X101="",X101="-"),"-",X101*$M101*SQRT(3)/1000)</f>
        <v>-</v>
      </c>
      <c r="Z101" s="9" t="s">
        <v>0</v>
      </c>
      <c r="AA101" s="9" t="str">
        <f t="shared" ref="AA101:AA103" si="90">IF(OR(Z101="",Z101="-"),"-",Z101*$M101*SQRT(3)/1000)</f>
        <v>-</v>
      </c>
      <c r="AB101" s="9" t="s">
        <v>0</v>
      </c>
      <c r="AC101" s="9" t="str">
        <f t="shared" ref="AC101:AC103" si="91">IF(OR(AB101="",AB101="-"),"-",AB101*$M101*SQRT(3)/1000)</f>
        <v>-</v>
      </c>
      <c r="AD101" s="9" t="s">
        <v>0</v>
      </c>
      <c r="AE101" s="12" t="str">
        <f t="shared" ref="AE101:AE103" si="92">IF(OR(AD101="",AD101="-"),"-",AD101*$M101*SQRT(3)/1000)</f>
        <v>-</v>
      </c>
      <c r="AF101" s="29">
        <v>1</v>
      </c>
      <c r="AG101" s="29" t="s">
        <v>265</v>
      </c>
      <c r="AH101" s="29">
        <v>43.8</v>
      </c>
      <c r="AI101" s="29">
        <v>1.2</v>
      </c>
      <c r="AJ101" s="32">
        <v>0.95</v>
      </c>
      <c r="AK101" s="29">
        <v>18</v>
      </c>
      <c r="AL101" s="32">
        <v>0.98</v>
      </c>
      <c r="AM101" s="29">
        <v>1.2</v>
      </c>
      <c r="AN101" s="32">
        <v>1</v>
      </c>
      <c r="AO101" s="29">
        <v>4</v>
      </c>
      <c r="AP101" s="29">
        <v>0.3</v>
      </c>
      <c r="AQ101" s="32">
        <v>0.72</v>
      </c>
      <c r="AR101" s="2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349.23671999999993</v>
      </c>
      <c r="AS101" s="9">
        <f t="shared" ref="AS101:AS103" si="93">IF(OR(AR101="",AR101="-"),"-",AR101*$M101*SQRT(3)/1000)</f>
        <v>20.32086758727506</v>
      </c>
      <c r="AT101" s="9">
        <f>IF(RIGHT(TMK[[#This Row],[Device type]],7)="Winding","-",TMK[[#This Row],[Cont Winter MVA]])</f>
        <v>30.315174226153278</v>
      </c>
      <c r="AU101" s="9">
        <f>IF(RIGHT(TMK[[#This Row],[Device type]],7)="Winding","-",TMK[[#This Row],[Cont Shoulder MVA]])</f>
        <v>30.315174226153278</v>
      </c>
      <c r="AV101" s="9">
        <f>IF(RIGHT(TMK[[#This Row],[Device type]],7)="Winding","-",TMK[[#This Row],[Cont Summer MVA]])</f>
        <v>30.315174226153278</v>
      </c>
      <c r="AW101" s="9" t="str">
        <f>IF(RIGHT(TMK[[#This Row],[Device type]],7)="Winding","-",TMK[[#This Row],[24 Hr Winter MVA]])</f>
        <v>-</v>
      </c>
      <c r="AX101" s="9" t="str">
        <f>IF(RIGHT(TMK[[#This Row],[Device type]],7)="Winding","-",TMK[[#This Row],[24 Hr Summer MVA]])</f>
        <v>-</v>
      </c>
      <c r="AY101" s="9" t="str">
        <f>TMK[[#This Row],[Forwards MVA]]</f>
        <v>-</v>
      </c>
      <c r="AZ101" s="9" t="str">
        <f>TMK[[#This Row],[Relay MVA]]</f>
        <v>-</v>
      </c>
      <c r="BA101" s="9" t="str">
        <f>TMK[[#This Row],[CT MVA]]</f>
        <v>-</v>
      </c>
      <c r="BB101" s="9">
        <f>TMK[[#This Row],[Derating MVA]]</f>
        <v>20.32086758727506</v>
      </c>
      <c r="BC101" s="9" t="str">
        <f>TMK[[#This Row],[Station/Feeder]]&amp;TMK[[#This Row],[Lowest MVA]]</f>
        <v>CB1292_Geraldine20.3208675872751</v>
      </c>
      <c r="BD101" s="9" t="str">
        <f>CONCATENATE(TMK[[#This Row],[Supply Level]],TMK[[#This Row],[Station/Feeder]],TMK[[#This Row],[Voltage]],TMK[[#This Row],[Lowest A-No PTX]])</f>
        <v>SubTransmissionCB1292_Geraldine33.594349.23672</v>
      </c>
      <c r="BE101" s="9" t="str">
        <f>CONCATENATE(TMK[[#This Row],[Supply Level]],TMK[[#This Row],[Station/Feeder]],TMK[[#This Row],[Voltage]],TMK[[#This Row],[Lowest A-PTX]])</f>
        <v>SubTransmissionCB1292_Geraldine33.594349.23672</v>
      </c>
      <c r="BF101" s="9">
        <f>IFERROR(IF(MIN(TMK[[#This Row],[Summ Cont Winter A]:[Cable Derating]])=0,"",MIN(TMK[[#This Row],[Summ Cont Winter A]:[Cable Derating]])),"")</f>
        <v>20.32086758727506</v>
      </c>
      <c r="BG101" s="9">
        <f>IFERROR(TMK[[#This Row],[Lowest MVA]]*1000/(TMK[[#This Row],[Voltage]]*SQRT(3)),"")</f>
        <v>349.23671999999993</v>
      </c>
      <c r="BH101" s="9">
        <f t="shared" si="63"/>
        <v>349.23671999999993</v>
      </c>
      <c r="BI101" s="9" t="str">
        <f>TMK[[#This Row],[From]]</f>
        <v>33 kV Bus</v>
      </c>
      <c r="BJ101" s="9" t="str">
        <f>TMK[[#This Row],[To]]</f>
        <v>G217</v>
      </c>
      <c r="BK10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Al XLPE</v>
      </c>
      <c r="BL101" s="9">
        <f>TMK[[#This Row],[Voltage]]</f>
        <v>33.594000000000001</v>
      </c>
    </row>
    <row r="102" spans="1:64" s="1" customFormat="1" ht="15" customHeight="1" x14ac:dyDescent="0.25">
      <c r="A102" s="6" t="str">
        <f>CONCATENATE(TMK[[#This Row],[Supply Level]],TMK[[#This Row],[Station/Feeder]],TMK[[#This Row],[Voltage]])</f>
        <v>SubTransmissionCB1292_Geraldine33.594</v>
      </c>
      <c r="B102" s="6" t="str">
        <f>CONCATENATE(TMK[[#This Row],[Supply Level]],TMK[[#This Row],[Station/Feeder]],TMK[[#This Row],[Equipment ID]],TMK[[#This Row],[Voltage]],TMK[[#This Row],[Device type]])</f>
        <v>SubTransmissionCB1292_GeraldineT55933.594-</v>
      </c>
      <c r="C102" s="6" t="s">
        <v>1245</v>
      </c>
      <c r="D102" s="11" t="s">
        <v>226</v>
      </c>
      <c r="E102" s="7" t="s">
        <v>63</v>
      </c>
      <c r="F102" s="7" t="s">
        <v>533</v>
      </c>
      <c r="G102" s="56">
        <v>3</v>
      </c>
      <c r="H102" s="46" t="s">
        <v>273</v>
      </c>
      <c r="I102" s="123" t="s">
        <v>532</v>
      </c>
      <c r="J102" s="123" t="s">
        <v>240</v>
      </c>
      <c r="K102" s="46" t="s">
        <v>0</v>
      </c>
      <c r="L102" s="46" t="s">
        <v>0</v>
      </c>
      <c r="M102" s="43">
        <f t="shared" si="88"/>
        <v>33.594000000000001</v>
      </c>
      <c r="N102" s="9">
        <v>800</v>
      </c>
      <c r="O102" s="9">
        <f t="shared" si="58"/>
        <v>46.549211863575088</v>
      </c>
      <c r="P102" s="9">
        <v>800</v>
      </c>
      <c r="Q102" s="9">
        <f t="shared" si="59"/>
        <v>46.549211863575088</v>
      </c>
      <c r="R102" s="9">
        <v>800</v>
      </c>
      <c r="S102" s="9">
        <f t="shared" si="60"/>
        <v>46.549211863575088</v>
      </c>
      <c r="T102" s="9" t="s">
        <v>0</v>
      </c>
      <c r="U102" s="9" t="str">
        <f t="shared" si="61"/>
        <v>-</v>
      </c>
      <c r="V102" s="9" t="s">
        <v>0</v>
      </c>
      <c r="W102" s="9" t="str">
        <f t="shared" si="62"/>
        <v>-</v>
      </c>
      <c r="X102" s="9" t="s">
        <v>0</v>
      </c>
      <c r="Y102" s="9" t="str">
        <f t="shared" si="89"/>
        <v>-</v>
      </c>
      <c r="Z102" s="9" t="s">
        <v>0</v>
      </c>
      <c r="AA102" s="9" t="str">
        <f t="shared" si="90"/>
        <v>-</v>
      </c>
      <c r="AB102" s="9" t="s">
        <v>0</v>
      </c>
      <c r="AC102" s="9" t="str">
        <f t="shared" si="91"/>
        <v>-</v>
      </c>
      <c r="AD102" s="9" t="s">
        <v>0</v>
      </c>
      <c r="AE102" s="12" t="str">
        <f t="shared" si="92"/>
        <v>-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32" t="s">
        <v>0</v>
      </c>
      <c r="AK102" s="29" t="s">
        <v>0</v>
      </c>
      <c r="AL102" s="32" t="s">
        <v>0</v>
      </c>
      <c r="AM102" s="29" t="s">
        <v>0</v>
      </c>
      <c r="AN102" s="32" t="s">
        <v>0</v>
      </c>
      <c r="AO102" s="29" t="s">
        <v>0</v>
      </c>
      <c r="AP102" s="29" t="s">
        <v>0</v>
      </c>
      <c r="AQ102" s="32" t="s">
        <v>0</v>
      </c>
      <c r="AR102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02" s="9" t="str">
        <f t="shared" si="93"/>
        <v>-</v>
      </c>
      <c r="AT102" s="9">
        <f>IF(RIGHT(TMK[[#This Row],[Device type]],7)="Winding","-",TMK[[#This Row],[Cont Winter MVA]])</f>
        <v>46.549211863575088</v>
      </c>
      <c r="AU102" s="9">
        <f>IF(RIGHT(TMK[[#This Row],[Device type]],7)="Winding","-",TMK[[#This Row],[Cont Shoulder MVA]])</f>
        <v>46.549211863575088</v>
      </c>
      <c r="AV102" s="9">
        <f>IF(RIGHT(TMK[[#This Row],[Device type]],7)="Winding","-",TMK[[#This Row],[Cont Summer MVA]])</f>
        <v>46.549211863575088</v>
      </c>
      <c r="AW102" s="9" t="str">
        <f>IF(RIGHT(TMK[[#This Row],[Device type]],7)="Winding","-",TMK[[#This Row],[24 Hr Winter MVA]])</f>
        <v>-</v>
      </c>
      <c r="AX102" s="9" t="str">
        <f>IF(RIGHT(TMK[[#This Row],[Device type]],7)="Winding","-",TMK[[#This Row],[24 Hr Summer MVA]])</f>
        <v>-</v>
      </c>
      <c r="AY102" s="9" t="str">
        <f>TMK[[#This Row],[Forwards MVA]]</f>
        <v>-</v>
      </c>
      <c r="AZ102" s="9" t="str">
        <f>TMK[[#This Row],[Relay MVA]]</f>
        <v>-</v>
      </c>
      <c r="BA102" s="9" t="str">
        <f>TMK[[#This Row],[CT MVA]]</f>
        <v>-</v>
      </c>
      <c r="BB102" s="9" t="str">
        <f>TMK[[#This Row],[Derating MVA]]</f>
        <v>-</v>
      </c>
      <c r="BC102" s="9" t="str">
        <f>TMK[[#This Row],[Station/Feeder]]&amp;TMK[[#This Row],[Lowest MVA]]</f>
        <v>CB1292_Geraldine46.5492118635751</v>
      </c>
      <c r="BD102" s="9" t="str">
        <f>CONCATENATE(TMK[[#This Row],[Supply Level]],TMK[[#This Row],[Station/Feeder]],TMK[[#This Row],[Voltage]],TMK[[#This Row],[Lowest A-No PTX]])</f>
        <v>SubTransmissionCB1292_Geraldine33.594800</v>
      </c>
      <c r="BE102" s="9" t="str">
        <f>CONCATENATE(TMK[[#This Row],[Supply Level]],TMK[[#This Row],[Station/Feeder]],TMK[[#This Row],[Voltage]],TMK[[#This Row],[Lowest A-PTX]])</f>
        <v>SubTransmissionCB1292_Geraldine33.594800</v>
      </c>
      <c r="BF102" s="9">
        <f>IFERROR(IF(MIN(TMK[[#This Row],[Summ Cont Winter A]:[Cable Derating]])=0,"",MIN(TMK[[#This Row],[Summ Cont Winter A]:[Cable Derating]])),"")</f>
        <v>46.549211863575088</v>
      </c>
      <c r="BG102" s="9">
        <f>IFERROR(TMK[[#This Row],[Lowest MVA]]*1000/(TMK[[#This Row],[Voltage]]*SQRT(3)),"")</f>
        <v>800</v>
      </c>
      <c r="BH102" s="9">
        <f t="shared" si="63"/>
        <v>800</v>
      </c>
      <c r="BI102" s="9" t="str">
        <f>TMK[[#This Row],[From]]</f>
        <v>33 kV Bus</v>
      </c>
      <c r="BJ102" s="9" t="str">
        <f>TMK[[#This Row],[To]]</f>
        <v>G217</v>
      </c>
      <c r="BK10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ABS-T559</v>
      </c>
      <c r="BL102" s="9">
        <f>TMK[[#This Row],[Voltage]]</f>
        <v>33.594000000000001</v>
      </c>
    </row>
    <row r="103" spans="1:64" s="1" customFormat="1" ht="15" customHeight="1" x14ac:dyDescent="0.25">
      <c r="A103" s="6" t="str">
        <f>CONCATENATE(TMK[[#This Row],[Supply Level]],TMK[[#This Row],[Station/Feeder]],TMK[[#This Row],[Voltage]])</f>
        <v>SubTransmissionCB1292_Geraldine33.594</v>
      </c>
      <c r="B103" s="6" t="str">
        <f>CONCATENATE(TMK[[#This Row],[Supply Level]],TMK[[#This Row],[Station/Feeder]],TMK[[#This Row],[Equipment ID]],TMK[[#This Row],[Voltage]],TMK[[#This Row],[Device type]])</f>
        <v>SubTransmissionCB1292_GeraldineDOG33.594-</v>
      </c>
      <c r="C103" s="6" t="s">
        <v>1245</v>
      </c>
      <c r="D103" s="11" t="s">
        <v>226</v>
      </c>
      <c r="E103" s="7" t="s">
        <v>63</v>
      </c>
      <c r="F103" s="7" t="s">
        <v>533</v>
      </c>
      <c r="G103" s="56">
        <v>4</v>
      </c>
      <c r="H103" s="46" t="s">
        <v>1289</v>
      </c>
      <c r="I103" s="123" t="s">
        <v>318</v>
      </c>
      <c r="J103" s="123" t="s">
        <v>69</v>
      </c>
      <c r="K103" s="46" t="s">
        <v>0</v>
      </c>
      <c r="L103" s="46" t="s">
        <v>0</v>
      </c>
      <c r="M103" s="43">
        <f t="shared" si="88"/>
        <v>33.594000000000001</v>
      </c>
      <c r="N103" s="9">
        <v>343.69342642524197</v>
      </c>
      <c r="O103" s="9">
        <f t="shared" si="58"/>
        <v>19.99832265348331</v>
      </c>
      <c r="P103" s="9" t="s">
        <v>0</v>
      </c>
      <c r="Q103" s="9" t="str">
        <f t="shared" si="59"/>
        <v>-</v>
      </c>
      <c r="R103" s="9">
        <v>256.85852310343915</v>
      </c>
      <c r="S103" s="9">
        <f t="shared" si="60"/>
        <v>14.945702263633732</v>
      </c>
      <c r="T103" s="9" t="s">
        <v>0</v>
      </c>
      <c r="U103" s="9" t="str">
        <f t="shared" si="61"/>
        <v>-</v>
      </c>
      <c r="V103" s="9" t="s">
        <v>0</v>
      </c>
      <c r="W103" s="9" t="str">
        <f t="shared" si="62"/>
        <v>-</v>
      </c>
      <c r="X103" s="9" t="s">
        <v>0</v>
      </c>
      <c r="Y103" s="9" t="str">
        <f t="shared" si="89"/>
        <v>-</v>
      </c>
      <c r="Z103" s="9" t="s">
        <v>0</v>
      </c>
      <c r="AA103" s="9" t="str">
        <f t="shared" si="90"/>
        <v>-</v>
      </c>
      <c r="AB103" s="9" t="s">
        <v>0</v>
      </c>
      <c r="AC103" s="9" t="str">
        <f t="shared" si="91"/>
        <v>-</v>
      </c>
      <c r="AD103" s="9" t="s">
        <v>0</v>
      </c>
      <c r="AE103" s="12" t="str">
        <f t="shared" si="92"/>
        <v>-</v>
      </c>
      <c r="AF103" s="9" t="s">
        <v>0</v>
      </c>
      <c r="AG103" s="9" t="s">
        <v>0</v>
      </c>
      <c r="AH103" s="9">
        <v>16513.2</v>
      </c>
      <c r="AI103" s="9" t="s">
        <v>0</v>
      </c>
      <c r="AJ103" s="43" t="s">
        <v>0</v>
      </c>
      <c r="AK103" s="9" t="s">
        <v>0</v>
      </c>
      <c r="AL103" s="43" t="s">
        <v>0</v>
      </c>
      <c r="AM103" s="9" t="s">
        <v>0</v>
      </c>
      <c r="AN103" s="43" t="s">
        <v>0</v>
      </c>
      <c r="AO103" s="9" t="s">
        <v>0</v>
      </c>
      <c r="AP103" s="9" t="s">
        <v>0</v>
      </c>
      <c r="AQ103" s="43" t="s">
        <v>0</v>
      </c>
      <c r="AR103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03" s="9" t="str">
        <f t="shared" si="93"/>
        <v>-</v>
      </c>
      <c r="AT103" s="9">
        <f>IF(RIGHT(TMK[[#This Row],[Device type]],7)="Winding","-",TMK[[#This Row],[Cont Winter MVA]])</f>
        <v>19.99832265348331</v>
      </c>
      <c r="AU103" s="9" t="str">
        <f>IF(RIGHT(TMK[[#This Row],[Device type]],7)="Winding","-",TMK[[#This Row],[Cont Shoulder MVA]])</f>
        <v>-</v>
      </c>
      <c r="AV103" s="9">
        <f>IF(RIGHT(TMK[[#This Row],[Device type]],7)="Winding","-",TMK[[#This Row],[Cont Summer MVA]])</f>
        <v>14.945702263633732</v>
      </c>
      <c r="AW103" s="9" t="str">
        <f>IF(RIGHT(TMK[[#This Row],[Device type]],7)="Winding","-",TMK[[#This Row],[24 Hr Winter MVA]])</f>
        <v>-</v>
      </c>
      <c r="AX103" s="9" t="str">
        <f>IF(RIGHT(TMK[[#This Row],[Device type]],7)="Winding","-",TMK[[#This Row],[24 Hr Summer MVA]])</f>
        <v>-</v>
      </c>
      <c r="AY103" s="9" t="str">
        <f>TMK[[#This Row],[Forwards MVA]]</f>
        <v>-</v>
      </c>
      <c r="AZ103" s="9" t="str">
        <f>TMK[[#This Row],[Relay MVA]]</f>
        <v>-</v>
      </c>
      <c r="BA103" s="9" t="str">
        <f>TMK[[#This Row],[CT MVA]]</f>
        <v>-</v>
      </c>
      <c r="BB103" s="9" t="str">
        <f>TMK[[#This Row],[Derating MVA]]</f>
        <v>-</v>
      </c>
      <c r="BC103" s="9" t="str">
        <f>TMK[[#This Row],[Station/Feeder]]&amp;TMK[[#This Row],[Lowest MVA]]</f>
        <v>CB1292_Geraldine14.9457022636337</v>
      </c>
      <c r="BD103" s="9" t="str">
        <f>CONCATENATE(TMK[[#This Row],[Supply Level]],TMK[[#This Row],[Station/Feeder]],TMK[[#This Row],[Voltage]],TMK[[#This Row],[Lowest A-No PTX]])</f>
        <v>SubTransmissionCB1292_Geraldine33.594256.858523103439</v>
      </c>
      <c r="BE103" s="9" t="str">
        <f>CONCATENATE(TMK[[#This Row],[Supply Level]],TMK[[#This Row],[Station/Feeder]],TMK[[#This Row],[Voltage]],TMK[[#This Row],[Lowest A-PTX]])</f>
        <v>SubTransmissionCB1292_Geraldine33.594256.858523103439</v>
      </c>
      <c r="BF103" s="9">
        <f>IFERROR(IF(MIN(TMK[[#This Row],[Summ Cont Winter A]:[Cable Derating]])=0,"",MIN(TMK[[#This Row],[Summ Cont Winter A]:[Cable Derating]])),"")</f>
        <v>14.945702263633732</v>
      </c>
      <c r="BG103" s="9">
        <f>IFERROR(TMK[[#This Row],[Lowest MVA]]*1000/(TMK[[#This Row],[Voltage]]*SQRT(3)),"")</f>
        <v>256.85852310343915</v>
      </c>
      <c r="BH103" s="9">
        <f t="shared" si="63"/>
        <v>256.85852310343915</v>
      </c>
      <c r="BI103" s="9" t="str">
        <f>TMK[[#This Row],[From]]</f>
        <v>33 kV Bus</v>
      </c>
      <c r="BJ103" s="9" t="str">
        <f>TMK[[#This Row],[To]]</f>
        <v>G217</v>
      </c>
      <c r="BK10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103" s="9">
        <f>TMK[[#This Row],[Voltage]]</f>
        <v>33.594000000000001</v>
      </c>
    </row>
    <row r="104" spans="1:64" s="1" customFormat="1" ht="15" customHeight="1" x14ac:dyDescent="0.25">
      <c r="A104" s="168" t="str">
        <f>CONCATENATE(TMK[[#This Row],[Supply Level]],TMK[[#This Row],[Station/Feeder]],TMK[[#This Row],[Voltage]])</f>
        <v>SubTransmissionGLD33.594</v>
      </c>
      <c r="B104" s="168" t="str">
        <f>CONCATENATE(TMK[[#This Row],[Supply Level]],TMK[[#This Row],[Station/Feeder]],TMK[[#This Row],[Equipment ID]],TMK[[#This Row],[Voltage]],TMK[[#This Row],[Device type]])</f>
        <v>SubTransmissionGLDTMK-CB129233.594Protection</v>
      </c>
      <c r="C104" s="168" t="s">
        <v>1245</v>
      </c>
      <c r="D104" s="118" t="s">
        <v>85</v>
      </c>
      <c r="E104" s="49" t="s">
        <v>63</v>
      </c>
      <c r="F104" s="49" t="s">
        <v>533</v>
      </c>
      <c r="G104" s="190">
        <v>1</v>
      </c>
      <c r="H104" s="49" t="s">
        <v>2388</v>
      </c>
      <c r="I104" s="124" t="s">
        <v>2316</v>
      </c>
      <c r="J104" s="124" t="s">
        <v>15</v>
      </c>
      <c r="K104" s="45" t="s">
        <v>1121</v>
      </c>
      <c r="L104" s="45" t="s">
        <v>1423</v>
      </c>
      <c r="M104" s="32">
        <f t="shared" ref="M104:M112" si="94">33*1.018</f>
        <v>33.594000000000001</v>
      </c>
      <c r="N104" s="29">
        <v>630</v>
      </c>
      <c r="O104" s="29">
        <f t="shared" si="58"/>
        <v>36.657504342565389</v>
      </c>
      <c r="P104" s="29">
        <v>630</v>
      </c>
      <c r="Q104" s="29">
        <f t="shared" si="59"/>
        <v>36.657504342565389</v>
      </c>
      <c r="R104" s="29">
        <v>630</v>
      </c>
      <c r="S104" s="29">
        <f t="shared" si="60"/>
        <v>36.657504342565389</v>
      </c>
      <c r="T104" s="29">
        <v>630</v>
      </c>
      <c r="U104" s="29">
        <f t="shared" si="61"/>
        <v>36.657504342565389</v>
      </c>
      <c r="V104" s="29">
        <v>630</v>
      </c>
      <c r="W104" s="29">
        <f t="shared" si="62"/>
        <v>36.657504342565389</v>
      </c>
      <c r="X104" s="29">
        <f>VLOOKUP(TMK[[#This Row],[Equipment ID]],AEL_Protection_Data[#All],12,0)</f>
        <v>462</v>
      </c>
      <c r="Y104" s="29">
        <f>IF(OR(X104="",X104="-"),"-",X104*$M104*SQRT(3)/1000)</f>
        <v>26.882169851214613</v>
      </c>
      <c r="Z104" s="29">
        <f>TMK[[#This Row],[Forward A]]</f>
        <v>462</v>
      </c>
      <c r="AA104" s="29">
        <f>IF(OR(Z104="",Z104="-"),"-",Z104*$M104*SQRT(3)/1000)</f>
        <v>26.882169851214613</v>
      </c>
      <c r="AB104" s="29">
        <v>1800</v>
      </c>
      <c r="AC104" s="29">
        <f>IF(OR(AB104="",AB104="-"),"-",AB104*$M104*SQRT(3)/1000)</f>
        <v>104.73572669304396</v>
      </c>
      <c r="AD104" s="29">
        <v>600</v>
      </c>
      <c r="AE104" s="169">
        <f>IF(OR(AD104="",AD104="-"),"-",AD104*$M104*SQRT(3)/1000)</f>
        <v>34.911908897681322</v>
      </c>
      <c r="AF104" s="29" t="s">
        <v>0</v>
      </c>
      <c r="AG104" s="29" t="s">
        <v>0</v>
      </c>
      <c r="AH104" s="29" t="s">
        <v>0</v>
      </c>
      <c r="AI104" s="29" t="s">
        <v>0</v>
      </c>
      <c r="AJ104" s="32" t="s">
        <v>0</v>
      </c>
      <c r="AK104" s="29" t="s">
        <v>0</v>
      </c>
      <c r="AL104" s="32" t="s">
        <v>0</v>
      </c>
      <c r="AM104" s="29" t="s">
        <v>0</v>
      </c>
      <c r="AN104" s="32" t="s">
        <v>0</v>
      </c>
      <c r="AO104" s="29" t="s">
        <v>0</v>
      </c>
      <c r="AP104" s="32" t="s">
        <v>0</v>
      </c>
      <c r="AQ104" s="32" t="s">
        <v>0</v>
      </c>
      <c r="AR104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04" s="29" t="str">
        <f>IF(OR(AR104="",AR104="-"),"-",AR104*$M104*SQRT(3)/1000)</f>
        <v>-</v>
      </c>
      <c r="AT104" s="29">
        <f>IF(RIGHT(TMK[[#This Row],[Device type]],7)="Winding","-",TMK[[#This Row],[Cont Winter MVA]])</f>
        <v>36.657504342565389</v>
      </c>
      <c r="AU104" s="29">
        <f>IF(RIGHT(TMK[[#This Row],[Device type]],7)="Winding","-",TMK[[#This Row],[Cont Shoulder MVA]])</f>
        <v>36.657504342565389</v>
      </c>
      <c r="AV104" s="29">
        <f>IF(RIGHT(TMK[[#This Row],[Device type]],7)="Winding","-",TMK[[#This Row],[Cont Summer MVA]])</f>
        <v>36.657504342565389</v>
      </c>
      <c r="AW104" s="29">
        <f>IF(RIGHT(TMK[[#This Row],[Device type]],7)="Winding","-",TMK[[#This Row],[24 Hr Winter MVA]])</f>
        <v>36.657504342565389</v>
      </c>
      <c r="AX104" s="29">
        <f>IF(RIGHT(TMK[[#This Row],[Device type]],7)="Winding","-",TMK[[#This Row],[24 Hr Summer MVA]])</f>
        <v>36.657504342565389</v>
      </c>
      <c r="AY104" s="29">
        <f>TMK[[#This Row],[Forwards MVA]]</f>
        <v>26.882169851214613</v>
      </c>
      <c r="AZ104" s="29">
        <f>TMK[[#This Row],[Relay MVA]]</f>
        <v>104.73572669304396</v>
      </c>
      <c r="BA104" s="29">
        <f>TMK[[#This Row],[CT MVA]]</f>
        <v>34.911908897681322</v>
      </c>
      <c r="BB104" s="29" t="str">
        <f>TMK[[#This Row],[Derating MVA]]</f>
        <v>-</v>
      </c>
      <c r="BC104" s="29" t="str">
        <f>TMK[[#This Row],[Station/Feeder]]&amp;TMK[[#This Row],[Lowest MVA]]</f>
        <v>GLD26.8821698512146</v>
      </c>
      <c r="BD104" s="29" t="str">
        <f>CONCATENATE(TMK[[#This Row],[Supply Level]],TMK[[#This Row],[Station/Feeder]],TMK[[#This Row],[Voltage]],TMK[[#This Row],[Lowest A-No PTX]])</f>
        <v>SubTransmissionGLD33.594462</v>
      </c>
      <c r="BE104" s="29" t="str">
        <f>CONCATENATE(TMK[[#This Row],[Supply Level]],TMK[[#This Row],[Station/Feeder]],TMK[[#This Row],[Voltage]],TMK[[#This Row],[Lowest A-PTX]])</f>
        <v>SubTransmissionGLD33.594462</v>
      </c>
      <c r="BF104" s="29">
        <f>IFERROR(IF(MIN(TMK[[#This Row],[Summ Cont Winter A]:[Cable Derating]])=0,"",MIN(TMK[[#This Row],[Summ Cont Winter A]:[Cable Derating]])),"")</f>
        <v>26.882169851214613</v>
      </c>
      <c r="BG104" s="29">
        <f>IFERROR(TMK[[#This Row],[Lowest MVA]]*1000/(TMK[[#This Row],[Voltage]]*SQRT(3)),"")</f>
        <v>462</v>
      </c>
      <c r="BH104" s="29">
        <f t="shared" si="63"/>
        <v>462</v>
      </c>
      <c r="BI104" s="29" t="str">
        <f>TMK[[#This Row],[From]]</f>
        <v>33 kV Bus</v>
      </c>
      <c r="BJ104" s="29" t="str">
        <f>TMK[[#This Row],[To]]</f>
        <v>G217</v>
      </c>
      <c r="BK104" s="45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Breaker-TMK-CB1292-Protection</v>
      </c>
      <c r="BL104" s="29">
        <f>TMK[[#This Row],[Voltage]]</f>
        <v>33.594000000000001</v>
      </c>
    </row>
    <row r="105" spans="1:64" s="1" customFormat="1" ht="15" customHeight="1" x14ac:dyDescent="0.25">
      <c r="A105" s="6" t="str">
        <f>CONCATENATE(TMK[[#This Row],[Supply Level]],TMK[[#This Row],[Station/Feeder]],TMK[[#This Row],[Voltage]])</f>
        <v>SubTransmissionGLD33.594</v>
      </c>
      <c r="B105" s="6" t="str">
        <f>CONCATENATE(TMK[[#This Row],[Supply Level]],TMK[[#This Row],[Station/Feeder]],TMK[[#This Row],[Equipment ID]],TMK[[#This Row],[Voltage]],TMK[[#This Row],[Device type]])</f>
        <v>SubTransmissionGLD3-1c 400 mm² Al XLPE33.594-</v>
      </c>
      <c r="C105" s="6" t="s">
        <v>1245</v>
      </c>
      <c r="D105" s="11" t="s">
        <v>85</v>
      </c>
      <c r="E105" s="7" t="s">
        <v>63</v>
      </c>
      <c r="F105" s="7" t="s">
        <v>533</v>
      </c>
      <c r="G105" s="56">
        <v>2</v>
      </c>
      <c r="H105" s="260" t="s">
        <v>1293</v>
      </c>
      <c r="I105" s="123" t="s">
        <v>559</v>
      </c>
      <c r="J105" s="123" t="s">
        <v>250</v>
      </c>
      <c r="K105" s="46" t="s">
        <v>0</v>
      </c>
      <c r="L105" s="46" t="s">
        <v>0</v>
      </c>
      <c r="M105" s="43">
        <f t="shared" si="94"/>
        <v>33.594000000000001</v>
      </c>
      <c r="N105" s="9">
        <v>521</v>
      </c>
      <c r="O105" s="9">
        <f t="shared" si="58"/>
        <v>30.315174226153278</v>
      </c>
      <c r="P105" s="9">
        <v>521</v>
      </c>
      <c r="Q105" s="9">
        <f t="shared" si="59"/>
        <v>30.315174226153278</v>
      </c>
      <c r="R105" s="9">
        <v>521</v>
      </c>
      <c r="S105" s="9">
        <f t="shared" si="60"/>
        <v>30.315174226153278</v>
      </c>
      <c r="T105" s="9" t="s">
        <v>0</v>
      </c>
      <c r="U105" s="9" t="str">
        <f t="shared" si="61"/>
        <v>-</v>
      </c>
      <c r="V105" s="9" t="s">
        <v>0</v>
      </c>
      <c r="W105" s="9" t="str">
        <f t="shared" si="62"/>
        <v>-</v>
      </c>
      <c r="X105" s="9" t="s">
        <v>0</v>
      </c>
      <c r="Y105" s="9" t="str">
        <f t="shared" si="6"/>
        <v>-</v>
      </c>
      <c r="Z105" s="9" t="s">
        <v>0</v>
      </c>
      <c r="AA105" s="9" t="str">
        <f t="shared" si="7"/>
        <v>-</v>
      </c>
      <c r="AB105" s="9" t="s">
        <v>0</v>
      </c>
      <c r="AC105" s="9" t="str">
        <f t="shared" si="8"/>
        <v>-</v>
      </c>
      <c r="AD105" s="9" t="s">
        <v>0</v>
      </c>
      <c r="AE105" s="12" t="str">
        <f t="shared" si="9"/>
        <v>-</v>
      </c>
      <c r="AF105" s="29">
        <v>1</v>
      </c>
      <c r="AG105" s="29" t="s">
        <v>265</v>
      </c>
      <c r="AH105" s="29">
        <v>43.8</v>
      </c>
      <c r="AI105" s="29">
        <v>1.2</v>
      </c>
      <c r="AJ105" s="32">
        <v>0.95</v>
      </c>
      <c r="AK105" s="29">
        <v>18</v>
      </c>
      <c r="AL105" s="32">
        <v>0.98</v>
      </c>
      <c r="AM105" s="29">
        <v>1.2</v>
      </c>
      <c r="AN105" s="32">
        <v>1</v>
      </c>
      <c r="AO105" s="29">
        <v>4</v>
      </c>
      <c r="AP105" s="29">
        <v>0.3</v>
      </c>
      <c r="AQ105" s="32">
        <v>0.72</v>
      </c>
      <c r="AR105" s="2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349.23671999999993</v>
      </c>
      <c r="AS105" s="9">
        <f t="shared" si="10"/>
        <v>20.32086758727506</v>
      </c>
      <c r="AT105" s="9">
        <f>IF(RIGHT(TMK[[#This Row],[Device type]],7)="Winding","-",TMK[[#This Row],[Cont Winter MVA]])</f>
        <v>30.315174226153278</v>
      </c>
      <c r="AU105" s="9">
        <f>IF(RIGHT(TMK[[#This Row],[Device type]],7)="Winding","-",TMK[[#This Row],[Cont Shoulder MVA]])</f>
        <v>30.315174226153278</v>
      </c>
      <c r="AV105" s="9">
        <f>IF(RIGHT(TMK[[#This Row],[Device type]],7)="Winding","-",TMK[[#This Row],[Cont Summer MVA]])</f>
        <v>30.315174226153278</v>
      </c>
      <c r="AW105" s="9" t="str">
        <f>IF(RIGHT(TMK[[#This Row],[Device type]],7)="Winding","-",TMK[[#This Row],[24 Hr Winter MVA]])</f>
        <v>-</v>
      </c>
      <c r="AX105" s="9" t="str">
        <f>IF(RIGHT(TMK[[#This Row],[Device type]],7)="Winding","-",TMK[[#This Row],[24 Hr Summer MVA]])</f>
        <v>-</v>
      </c>
      <c r="AY105" s="9" t="str">
        <f>TMK[[#This Row],[Forwards MVA]]</f>
        <v>-</v>
      </c>
      <c r="AZ105" s="9" t="str">
        <f>TMK[[#This Row],[Relay MVA]]</f>
        <v>-</v>
      </c>
      <c r="BA105" s="9" t="str">
        <f>TMK[[#This Row],[CT MVA]]</f>
        <v>-</v>
      </c>
      <c r="BB105" s="9">
        <f>TMK[[#This Row],[Derating MVA]]</f>
        <v>20.32086758727506</v>
      </c>
      <c r="BC105" s="9" t="str">
        <f>TMK[[#This Row],[Station/Feeder]]&amp;TMK[[#This Row],[Lowest MVA]]</f>
        <v>GLD20.3208675872751</v>
      </c>
      <c r="BD105" s="9" t="str">
        <f>CONCATENATE(TMK[[#This Row],[Supply Level]],TMK[[#This Row],[Station/Feeder]],TMK[[#This Row],[Voltage]],TMK[[#This Row],[Lowest A-No PTX]])</f>
        <v>SubTransmissionGLD33.594349.23672</v>
      </c>
      <c r="BE105" s="9" t="str">
        <f>CONCATENATE(TMK[[#This Row],[Supply Level]],TMK[[#This Row],[Station/Feeder]],TMK[[#This Row],[Voltage]],TMK[[#This Row],[Lowest A-PTX]])</f>
        <v>SubTransmissionGLD33.594349.23672</v>
      </c>
      <c r="BF105" s="9">
        <f>IFERROR(IF(MIN(TMK[[#This Row],[Summ Cont Winter A]:[Cable Derating]])=0,"",MIN(TMK[[#This Row],[Summ Cont Winter A]:[Cable Derating]])),"")</f>
        <v>20.32086758727506</v>
      </c>
      <c r="BG105" s="9">
        <f>IFERROR(TMK[[#This Row],[Lowest MVA]]*1000/(TMK[[#This Row],[Voltage]]*SQRT(3)),"")</f>
        <v>349.23671999999993</v>
      </c>
      <c r="BH105" s="9">
        <f t="shared" si="63"/>
        <v>349.23671999999993</v>
      </c>
      <c r="BI105" s="9" t="str">
        <f>TMK[[#This Row],[From]]</f>
        <v>33 kV Bus</v>
      </c>
      <c r="BJ105" s="9" t="str">
        <f>TMK[[#This Row],[To]]</f>
        <v>G217</v>
      </c>
      <c r="BK10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Al XLPE</v>
      </c>
      <c r="BL105" s="9">
        <f>TMK[[#This Row],[Voltage]]</f>
        <v>33.594000000000001</v>
      </c>
    </row>
    <row r="106" spans="1:64" s="1" customFormat="1" ht="15" customHeight="1" x14ac:dyDescent="0.25">
      <c r="A106" s="6" t="str">
        <f>CONCATENATE(TMK[[#This Row],[Supply Level]],TMK[[#This Row],[Station/Feeder]],TMK[[#This Row],[Voltage]])</f>
        <v>SubTransmissionGLD33.594</v>
      </c>
      <c r="B106" s="6" t="str">
        <f>CONCATENATE(TMK[[#This Row],[Supply Level]],TMK[[#This Row],[Station/Feeder]],TMK[[#This Row],[Equipment ID]],TMK[[#This Row],[Voltage]],TMK[[#This Row],[Device type]])</f>
        <v>SubTransmissionGLDT55933.594-</v>
      </c>
      <c r="C106" s="6" t="s">
        <v>1245</v>
      </c>
      <c r="D106" s="11" t="s">
        <v>85</v>
      </c>
      <c r="E106" s="7" t="s">
        <v>63</v>
      </c>
      <c r="F106" s="7" t="s">
        <v>533</v>
      </c>
      <c r="G106" s="56">
        <v>3</v>
      </c>
      <c r="H106" s="46" t="s">
        <v>273</v>
      </c>
      <c r="I106" s="123" t="s">
        <v>532</v>
      </c>
      <c r="J106" s="123" t="s">
        <v>240</v>
      </c>
      <c r="K106" s="46" t="s">
        <v>0</v>
      </c>
      <c r="L106" s="46" t="s">
        <v>0</v>
      </c>
      <c r="M106" s="43">
        <f t="shared" si="94"/>
        <v>33.594000000000001</v>
      </c>
      <c r="N106" s="9">
        <v>800</v>
      </c>
      <c r="O106" s="9">
        <f t="shared" si="58"/>
        <v>46.549211863575088</v>
      </c>
      <c r="P106" s="9">
        <v>800</v>
      </c>
      <c r="Q106" s="9">
        <f t="shared" si="59"/>
        <v>46.549211863575088</v>
      </c>
      <c r="R106" s="9">
        <v>800</v>
      </c>
      <c r="S106" s="9">
        <f t="shared" si="60"/>
        <v>46.549211863575088</v>
      </c>
      <c r="T106" s="9" t="s">
        <v>0</v>
      </c>
      <c r="U106" s="9" t="str">
        <f t="shared" si="61"/>
        <v>-</v>
      </c>
      <c r="V106" s="9" t="s">
        <v>0</v>
      </c>
      <c r="W106" s="9" t="str">
        <f t="shared" si="62"/>
        <v>-</v>
      </c>
      <c r="X106" s="9" t="s">
        <v>0</v>
      </c>
      <c r="Y106" s="9" t="str">
        <f t="shared" si="6"/>
        <v>-</v>
      </c>
      <c r="Z106" s="9" t="s">
        <v>0</v>
      </c>
      <c r="AA106" s="9" t="str">
        <f t="shared" si="7"/>
        <v>-</v>
      </c>
      <c r="AB106" s="9" t="s">
        <v>0</v>
      </c>
      <c r="AC106" s="9" t="str">
        <f t="shared" si="8"/>
        <v>-</v>
      </c>
      <c r="AD106" s="9" t="s">
        <v>0</v>
      </c>
      <c r="AE106" s="12" t="str">
        <f t="shared" si="9"/>
        <v>-</v>
      </c>
      <c r="AF106" s="29" t="s">
        <v>0</v>
      </c>
      <c r="AG106" s="29" t="s">
        <v>0</v>
      </c>
      <c r="AH106" s="29" t="s">
        <v>0</v>
      </c>
      <c r="AI106" s="29" t="s">
        <v>0</v>
      </c>
      <c r="AJ106" s="32" t="s">
        <v>0</v>
      </c>
      <c r="AK106" s="29" t="s">
        <v>0</v>
      </c>
      <c r="AL106" s="32" t="s">
        <v>0</v>
      </c>
      <c r="AM106" s="29" t="s">
        <v>0</v>
      </c>
      <c r="AN106" s="32" t="s">
        <v>0</v>
      </c>
      <c r="AO106" s="29" t="s">
        <v>0</v>
      </c>
      <c r="AP106" s="29" t="s">
        <v>0</v>
      </c>
      <c r="AQ106" s="32" t="s">
        <v>0</v>
      </c>
      <c r="AR106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06" s="9" t="str">
        <f t="shared" si="10"/>
        <v>-</v>
      </c>
      <c r="AT106" s="9">
        <f>IF(RIGHT(TMK[[#This Row],[Device type]],7)="Winding","-",TMK[[#This Row],[Cont Winter MVA]])</f>
        <v>46.549211863575088</v>
      </c>
      <c r="AU106" s="9">
        <f>IF(RIGHT(TMK[[#This Row],[Device type]],7)="Winding","-",TMK[[#This Row],[Cont Shoulder MVA]])</f>
        <v>46.549211863575088</v>
      </c>
      <c r="AV106" s="9">
        <f>IF(RIGHT(TMK[[#This Row],[Device type]],7)="Winding","-",TMK[[#This Row],[Cont Summer MVA]])</f>
        <v>46.549211863575088</v>
      </c>
      <c r="AW106" s="9" t="str">
        <f>IF(RIGHT(TMK[[#This Row],[Device type]],7)="Winding","-",TMK[[#This Row],[24 Hr Winter MVA]])</f>
        <v>-</v>
      </c>
      <c r="AX106" s="9" t="str">
        <f>IF(RIGHT(TMK[[#This Row],[Device type]],7)="Winding","-",TMK[[#This Row],[24 Hr Summer MVA]])</f>
        <v>-</v>
      </c>
      <c r="AY106" s="9" t="str">
        <f>TMK[[#This Row],[Forwards MVA]]</f>
        <v>-</v>
      </c>
      <c r="AZ106" s="9" t="str">
        <f>TMK[[#This Row],[Relay MVA]]</f>
        <v>-</v>
      </c>
      <c r="BA106" s="9" t="str">
        <f>TMK[[#This Row],[CT MVA]]</f>
        <v>-</v>
      </c>
      <c r="BB106" s="9" t="str">
        <f>TMK[[#This Row],[Derating MVA]]</f>
        <v>-</v>
      </c>
      <c r="BC106" s="9" t="str">
        <f>TMK[[#This Row],[Station/Feeder]]&amp;TMK[[#This Row],[Lowest MVA]]</f>
        <v>GLD46.5492118635751</v>
      </c>
      <c r="BD106" s="9" t="str">
        <f>CONCATENATE(TMK[[#This Row],[Supply Level]],TMK[[#This Row],[Station/Feeder]],TMK[[#This Row],[Voltage]],TMK[[#This Row],[Lowest A-No PTX]])</f>
        <v>SubTransmissionGLD33.594800</v>
      </c>
      <c r="BE106" s="9" t="str">
        <f>CONCATENATE(TMK[[#This Row],[Supply Level]],TMK[[#This Row],[Station/Feeder]],TMK[[#This Row],[Voltage]],TMK[[#This Row],[Lowest A-PTX]])</f>
        <v>SubTransmissionGLD33.594800</v>
      </c>
      <c r="BF106" s="9">
        <f>IFERROR(IF(MIN(TMK[[#This Row],[Summ Cont Winter A]:[Cable Derating]])=0,"",MIN(TMK[[#This Row],[Summ Cont Winter A]:[Cable Derating]])),"")</f>
        <v>46.549211863575088</v>
      </c>
      <c r="BG106" s="9">
        <f>IFERROR(TMK[[#This Row],[Lowest MVA]]*1000/(TMK[[#This Row],[Voltage]]*SQRT(3)),"")</f>
        <v>800</v>
      </c>
      <c r="BH106" s="9">
        <f t="shared" si="63"/>
        <v>800</v>
      </c>
      <c r="BI106" s="9" t="str">
        <f>TMK[[#This Row],[From]]</f>
        <v>33 kV Bus</v>
      </c>
      <c r="BJ106" s="9" t="str">
        <f>TMK[[#This Row],[To]]</f>
        <v>G217</v>
      </c>
      <c r="BK10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ABS-T559</v>
      </c>
      <c r="BL106" s="9">
        <f>TMK[[#This Row],[Voltage]]</f>
        <v>33.594000000000001</v>
      </c>
    </row>
    <row r="107" spans="1:64" s="1" customFormat="1" ht="15" customHeight="1" x14ac:dyDescent="0.25">
      <c r="A107" s="6" t="str">
        <f>CONCATENATE(TMK[[#This Row],[Supply Level]],TMK[[#This Row],[Station/Feeder]],TMK[[#This Row],[Voltage]])</f>
        <v>SubTransmissionGLD33.594</v>
      </c>
      <c r="B107" s="6" t="str">
        <f>CONCATENATE(TMK[[#This Row],[Supply Level]],TMK[[#This Row],[Station/Feeder]],TMK[[#This Row],[Equipment ID]],TMK[[#This Row],[Voltage]],TMK[[#This Row],[Device type]])</f>
        <v>SubTransmissionGLDDOG33.594-</v>
      </c>
      <c r="C107" s="6" t="s">
        <v>1245</v>
      </c>
      <c r="D107" s="11" t="s">
        <v>85</v>
      </c>
      <c r="E107" s="7" t="s">
        <v>63</v>
      </c>
      <c r="F107" s="7" t="s">
        <v>533</v>
      </c>
      <c r="G107" s="56">
        <v>4</v>
      </c>
      <c r="H107" s="46" t="s">
        <v>1289</v>
      </c>
      <c r="I107" s="123" t="s">
        <v>318</v>
      </c>
      <c r="J107" s="123" t="s">
        <v>69</v>
      </c>
      <c r="K107" s="46" t="s">
        <v>0</v>
      </c>
      <c r="L107" s="46" t="s">
        <v>0</v>
      </c>
      <c r="M107" s="43">
        <f t="shared" si="94"/>
        <v>33.594000000000001</v>
      </c>
      <c r="N107" s="9">
        <v>343.69342642524197</v>
      </c>
      <c r="O107" s="9">
        <f t="shared" si="58"/>
        <v>19.99832265348331</v>
      </c>
      <c r="P107" s="9" t="s">
        <v>0</v>
      </c>
      <c r="Q107" s="9" t="str">
        <f t="shared" si="59"/>
        <v>-</v>
      </c>
      <c r="R107" s="9">
        <v>256.85852310343915</v>
      </c>
      <c r="S107" s="9">
        <f t="shared" si="60"/>
        <v>14.945702263633732</v>
      </c>
      <c r="T107" s="9" t="s">
        <v>0</v>
      </c>
      <c r="U107" s="9" t="str">
        <f t="shared" si="61"/>
        <v>-</v>
      </c>
      <c r="V107" s="9" t="s">
        <v>0</v>
      </c>
      <c r="W107" s="9" t="str">
        <f t="shared" si="62"/>
        <v>-</v>
      </c>
      <c r="X107" s="9" t="s">
        <v>0</v>
      </c>
      <c r="Y107" s="9" t="str">
        <f t="shared" si="6"/>
        <v>-</v>
      </c>
      <c r="Z107" s="9" t="s">
        <v>0</v>
      </c>
      <c r="AA107" s="9" t="str">
        <f t="shared" si="7"/>
        <v>-</v>
      </c>
      <c r="AB107" s="9" t="s">
        <v>0</v>
      </c>
      <c r="AC107" s="9" t="str">
        <f t="shared" si="8"/>
        <v>-</v>
      </c>
      <c r="AD107" s="9" t="s">
        <v>0</v>
      </c>
      <c r="AE107" s="12" t="str">
        <f t="shared" si="9"/>
        <v>-</v>
      </c>
      <c r="AF107" s="9" t="s">
        <v>0</v>
      </c>
      <c r="AG107" s="9" t="s">
        <v>0</v>
      </c>
      <c r="AH107" s="9">
        <v>16513.2</v>
      </c>
      <c r="AI107" s="9" t="s">
        <v>0</v>
      </c>
      <c r="AJ107" s="43" t="s">
        <v>0</v>
      </c>
      <c r="AK107" s="9" t="s">
        <v>0</v>
      </c>
      <c r="AL107" s="43" t="s">
        <v>0</v>
      </c>
      <c r="AM107" s="9" t="s">
        <v>0</v>
      </c>
      <c r="AN107" s="43" t="s">
        <v>0</v>
      </c>
      <c r="AO107" s="9" t="s">
        <v>0</v>
      </c>
      <c r="AP107" s="9" t="s">
        <v>0</v>
      </c>
      <c r="AQ107" s="43" t="s">
        <v>0</v>
      </c>
      <c r="AR107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07" s="9" t="str">
        <f t="shared" si="10"/>
        <v>-</v>
      </c>
      <c r="AT107" s="9">
        <f>IF(RIGHT(TMK[[#This Row],[Device type]],7)="Winding","-",TMK[[#This Row],[Cont Winter MVA]])</f>
        <v>19.99832265348331</v>
      </c>
      <c r="AU107" s="9" t="str">
        <f>IF(RIGHT(TMK[[#This Row],[Device type]],7)="Winding","-",TMK[[#This Row],[Cont Shoulder MVA]])</f>
        <v>-</v>
      </c>
      <c r="AV107" s="9">
        <f>IF(RIGHT(TMK[[#This Row],[Device type]],7)="Winding","-",TMK[[#This Row],[Cont Summer MVA]])</f>
        <v>14.945702263633732</v>
      </c>
      <c r="AW107" s="9" t="str">
        <f>IF(RIGHT(TMK[[#This Row],[Device type]],7)="Winding","-",TMK[[#This Row],[24 Hr Winter MVA]])</f>
        <v>-</v>
      </c>
      <c r="AX107" s="9" t="str">
        <f>IF(RIGHT(TMK[[#This Row],[Device type]],7)="Winding","-",TMK[[#This Row],[24 Hr Summer MVA]])</f>
        <v>-</v>
      </c>
      <c r="AY107" s="9" t="str">
        <f>TMK[[#This Row],[Forwards MVA]]</f>
        <v>-</v>
      </c>
      <c r="AZ107" s="9" t="str">
        <f>TMK[[#This Row],[Relay MVA]]</f>
        <v>-</v>
      </c>
      <c r="BA107" s="9" t="str">
        <f>TMK[[#This Row],[CT MVA]]</f>
        <v>-</v>
      </c>
      <c r="BB107" s="9" t="str">
        <f>TMK[[#This Row],[Derating MVA]]</f>
        <v>-</v>
      </c>
      <c r="BC107" s="9" t="str">
        <f>TMK[[#This Row],[Station/Feeder]]&amp;TMK[[#This Row],[Lowest MVA]]</f>
        <v>GLD14.9457022636337</v>
      </c>
      <c r="BD107" s="9" t="str">
        <f>CONCATENATE(TMK[[#This Row],[Supply Level]],TMK[[#This Row],[Station/Feeder]],TMK[[#This Row],[Voltage]],TMK[[#This Row],[Lowest A-No PTX]])</f>
        <v>SubTransmissionGLD33.594256.858523103439</v>
      </c>
      <c r="BE107" s="9" t="str">
        <f>CONCATENATE(TMK[[#This Row],[Supply Level]],TMK[[#This Row],[Station/Feeder]],TMK[[#This Row],[Voltage]],TMK[[#This Row],[Lowest A-PTX]])</f>
        <v>SubTransmissionGLD33.594256.858523103439</v>
      </c>
      <c r="BF107" s="9">
        <f>IFERROR(IF(MIN(TMK[[#This Row],[Summ Cont Winter A]:[Cable Derating]])=0,"",MIN(TMK[[#This Row],[Summ Cont Winter A]:[Cable Derating]])),"")</f>
        <v>14.945702263633732</v>
      </c>
      <c r="BG107" s="9">
        <f>IFERROR(TMK[[#This Row],[Lowest MVA]]*1000/(TMK[[#This Row],[Voltage]]*SQRT(3)),"")</f>
        <v>256.85852310343915</v>
      </c>
      <c r="BH107" s="9">
        <f t="shared" si="63"/>
        <v>256.85852310343915</v>
      </c>
      <c r="BI107" s="9" t="str">
        <f>TMK[[#This Row],[From]]</f>
        <v>33 kV Bus</v>
      </c>
      <c r="BJ107" s="9" t="str">
        <f>TMK[[#This Row],[To]]</f>
        <v>G217</v>
      </c>
      <c r="BK10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107" s="9">
        <f>TMK[[#This Row],[Voltage]]</f>
        <v>33.594000000000001</v>
      </c>
    </row>
    <row r="108" spans="1:64" s="1" customFormat="1" ht="15" customHeight="1" x14ac:dyDescent="0.25">
      <c r="A108" s="6" t="str">
        <f>CONCATENATE(TMK[[#This Row],[Supply Level]],TMK[[#This Row],[Station/Feeder]],TMK[[#This Row],[Voltage]])</f>
        <v>ZoneSubstationGLD33.594</v>
      </c>
      <c r="B108" s="6" t="str">
        <f>CONCATENATE(TMK[[#This Row],[Supply Level]],TMK[[#This Row],[Station/Feeder]],TMK[[#This Row],[Equipment ID]],TMK[[#This Row],[Voltage]],TMK[[#This Row],[Device type]])</f>
        <v>ZoneSubstationGLDG21733.594-</v>
      </c>
      <c r="C108" s="6" t="s">
        <v>1246</v>
      </c>
      <c r="D108" s="11" t="s">
        <v>85</v>
      </c>
      <c r="E108" s="7" t="s">
        <v>533</v>
      </c>
      <c r="F108" s="7" t="s">
        <v>534</v>
      </c>
      <c r="G108" s="56">
        <v>1</v>
      </c>
      <c r="H108" s="46" t="s">
        <v>273</v>
      </c>
      <c r="I108" s="123" t="s">
        <v>533</v>
      </c>
      <c r="J108" s="123" t="s">
        <v>240</v>
      </c>
      <c r="K108" s="46" t="s">
        <v>0</v>
      </c>
      <c r="L108" s="7" t="s">
        <v>0</v>
      </c>
      <c r="M108" s="43">
        <f t="shared" si="94"/>
        <v>33.594000000000001</v>
      </c>
      <c r="N108" s="9" t="s">
        <v>0</v>
      </c>
      <c r="O108" s="9" t="str">
        <f t="shared" si="58"/>
        <v>-</v>
      </c>
      <c r="P108" s="9" t="s">
        <v>0</v>
      </c>
      <c r="Q108" s="9" t="str">
        <f t="shared" si="59"/>
        <v>-</v>
      </c>
      <c r="R108" s="9" t="s">
        <v>0</v>
      </c>
      <c r="S108" s="9" t="str">
        <f t="shared" si="60"/>
        <v>-</v>
      </c>
      <c r="T108" s="9" t="s">
        <v>0</v>
      </c>
      <c r="U108" s="9" t="str">
        <f t="shared" si="61"/>
        <v>-</v>
      </c>
      <c r="V108" s="9" t="s">
        <v>0</v>
      </c>
      <c r="W108" s="9" t="str">
        <f t="shared" si="62"/>
        <v>-</v>
      </c>
      <c r="X108" s="9" t="s">
        <v>0</v>
      </c>
      <c r="Y108" s="9" t="str">
        <f t="shared" si="6"/>
        <v>-</v>
      </c>
      <c r="Z108" s="9" t="s">
        <v>0</v>
      </c>
      <c r="AA108" s="9" t="str">
        <f>IF(OR(Z108="",Z108="-"),"-",Z108*$M108*SQRT(3)/1000)</f>
        <v>-</v>
      </c>
      <c r="AB108" s="9" t="s">
        <v>0</v>
      </c>
      <c r="AC108" s="9" t="str">
        <f>IF(OR(AB108="",AB108="-"),"-",AB108*$M108*SQRT(3)/1000)</f>
        <v>-</v>
      </c>
      <c r="AD108" s="9" t="s">
        <v>0</v>
      </c>
      <c r="AE108" s="12" t="str">
        <f>IF(OR(AD108="",AD108="-"),"-",AD108*$M108*SQRT(3)/1000)</f>
        <v>-</v>
      </c>
      <c r="AF108" s="29" t="s">
        <v>0</v>
      </c>
      <c r="AG108" s="29" t="s">
        <v>0</v>
      </c>
      <c r="AH108" s="29" t="s">
        <v>0</v>
      </c>
      <c r="AI108" s="29" t="s">
        <v>0</v>
      </c>
      <c r="AJ108" s="32" t="s">
        <v>0</v>
      </c>
      <c r="AK108" s="29" t="s">
        <v>0</v>
      </c>
      <c r="AL108" s="32" t="s">
        <v>0</v>
      </c>
      <c r="AM108" s="29" t="s">
        <v>0</v>
      </c>
      <c r="AN108" s="32" t="s">
        <v>0</v>
      </c>
      <c r="AO108" s="29" t="s">
        <v>0</v>
      </c>
      <c r="AP108" s="29" t="s">
        <v>0</v>
      </c>
      <c r="AQ108" s="32" t="s">
        <v>0</v>
      </c>
      <c r="AR108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08" s="9" t="str">
        <f>IF(OR(AR108="",AR108="-"),"-",AR108*$M108*SQRT(3)/1000)</f>
        <v>-</v>
      </c>
      <c r="AT108" s="9" t="str">
        <f>IF(RIGHT(TMK[[#This Row],[Device type]],7)="Winding","-",TMK[[#This Row],[Cont Winter MVA]])</f>
        <v>-</v>
      </c>
      <c r="AU108" s="9" t="str">
        <f>IF(RIGHT(TMK[[#This Row],[Device type]],7)="Winding","-",TMK[[#This Row],[Cont Shoulder MVA]])</f>
        <v>-</v>
      </c>
      <c r="AV108" s="9" t="str">
        <f>IF(RIGHT(TMK[[#This Row],[Device type]],7)="Winding","-",TMK[[#This Row],[Cont Summer MVA]])</f>
        <v>-</v>
      </c>
      <c r="AW108" s="9" t="str">
        <f>IF(RIGHT(TMK[[#This Row],[Device type]],7)="Winding","-",TMK[[#This Row],[24 Hr Winter MVA]])</f>
        <v>-</v>
      </c>
      <c r="AX108" s="9" t="str">
        <f>IF(RIGHT(TMK[[#This Row],[Device type]],7)="Winding","-",TMK[[#This Row],[24 Hr Summer MVA]])</f>
        <v>-</v>
      </c>
      <c r="AY108" s="9" t="str">
        <f>TMK[[#This Row],[Forwards MVA]]</f>
        <v>-</v>
      </c>
      <c r="AZ108" s="9" t="str">
        <f>TMK[[#This Row],[Relay MVA]]</f>
        <v>-</v>
      </c>
      <c r="BA108" s="9" t="str">
        <f>TMK[[#This Row],[CT MVA]]</f>
        <v>-</v>
      </c>
      <c r="BB108" s="9" t="str">
        <f>TMK[[#This Row],[Derating MVA]]</f>
        <v>-</v>
      </c>
      <c r="BC108" s="9" t="str">
        <f>TMK[[#This Row],[Station/Feeder]]&amp;TMK[[#This Row],[Lowest MVA]]</f>
        <v>GLD</v>
      </c>
      <c r="BD108" s="9" t="str">
        <f>CONCATENATE(TMK[[#This Row],[Supply Level]],TMK[[#This Row],[Station/Feeder]],TMK[[#This Row],[Voltage]],TMK[[#This Row],[Lowest A-No PTX]])</f>
        <v>ZoneSubstationGLD33.594</v>
      </c>
      <c r="BE108" s="9" t="str">
        <f>CONCATENATE(TMK[[#This Row],[Supply Level]],TMK[[#This Row],[Station/Feeder]],TMK[[#This Row],[Voltage]],TMK[[#This Row],[Lowest A-PTX]])</f>
        <v>ZoneSubstationGLD33.594</v>
      </c>
      <c r="BF108" s="9" t="str">
        <f>IFERROR(IF(MIN(TMK[[#This Row],[Summ Cont Winter A]:[Cable Derating]])=0,"",MIN(TMK[[#This Row],[Summ Cont Winter A]:[Cable Derating]])),"")</f>
        <v/>
      </c>
      <c r="BG108" s="9" t="str">
        <f>IFERROR(TMK[[#This Row],[Lowest MVA]]*1000/(TMK[[#This Row],[Voltage]]*SQRT(3)),"")</f>
        <v/>
      </c>
      <c r="BH108" s="9" t="str">
        <f t="shared" si="63"/>
        <v/>
      </c>
      <c r="BI108" s="9" t="str">
        <f>TMK[[#This Row],[From]]</f>
        <v>G217</v>
      </c>
      <c r="BJ108" s="9" t="str">
        <f>TMK[[#This Row],[To]]</f>
        <v>G222</v>
      </c>
      <c r="BK10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ABS-G217</v>
      </c>
      <c r="BL108" s="9">
        <f>TMK[[#This Row],[Voltage]]</f>
        <v>33.594000000000001</v>
      </c>
    </row>
    <row r="109" spans="1:64" s="1" customFormat="1" ht="15" customHeight="1" x14ac:dyDescent="0.25">
      <c r="A109" s="6" t="str">
        <f>CONCATENATE(TMK[[#This Row],[Supply Level]],TMK[[#This Row],[Station/Feeder]],TMK[[#This Row],[Voltage]])</f>
        <v>ZoneSubstationGLD33.594</v>
      </c>
      <c r="B109" s="6" t="str">
        <f>CONCATENATE(TMK[[#This Row],[Supply Level]],TMK[[#This Row],[Station/Feeder]],TMK[[#This Row],[Equipment ID]],TMK[[#This Row],[Voltage]],TMK[[#This Row],[Device type]])</f>
        <v>ZoneSubstationGLDGX2733.594-</v>
      </c>
      <c r="C109" s="6" t="s">
        <v>1246</v>
      </c>
      <c r="D109" s="11" t="s">
        <v>85</v>
      </c>
      <c r="E109" s="7" t="s">
        <v>533</v>
      </c>
      <c r="F109" s="7" t="s">
        <v>534</v>
      </c>
      <c r="G109" s="56">
        <v>2</v>
      </c>
      <c r="H109" s="46" t="s">
        <v>273</v>
      </c>
      <c r="I109" s="123" t="s">
        <v>535</v>
      </c>
      <c r="J109" s="123" t="s">
        <v>240</v>
      </c>
      <c r="K109" s="46" t="s">
        <v>0</v>
      </c>
      <c r="L109" s="46" t="s">
        <v>0</v>
      </c>
      <c r="M109" s="43">
        <f t="shared" si="94"/>
        <v>33.594000000000001</v>
      </c>
      <c r="N109" s="9">
        <v>400</v>
      </c>
      <c r="O109" s="9">
        <f t="shared" si="58"/>
        <v>23.274605931787544</v>
      </c>
      <c r="P109" s="9">
        <v>400</v>
      </c>
      <c r="Q109" s="9">
        <f t="shared" si="59"/>
        <v>23.274605931787544</v>
      </c>
      <c r="R109" s="9">
        <v>400</v>
      </c>
      <c r="S109" s="9">
        <f t="shared" si="60"/>
        <v>23.274605931787544</v>
      </c>
      <c r="T109" s="9" t="s">
        <v>0</v>
      </c>
      <c r="U109" s="9" t="str">
        <f t="shared" si="61"/>
        <v>-</v>
      </c>
      <c r="V109" s="9" t="s">
        <v>0</v>
      </c>
      <c r="W109" s="9" t="str">
        <f t="shared" si="62"/>
        <v>-</v>
      </c>
      <c r="X109" s="9" t="s">
        <v>0</v>
      </c>
      <c r="Y109" s="9" t="str">
        <f t="shared" si="6"/>
        <v>-</v>
      </c>
      <c r="Z109" s="9" t="s">
        <v>0</v>
      </c>
      <c r="AA109" s="9" t="str">
        <f t="shared" si="7"/>
        <v>-</v>
      </c>
      <c r="AB109" s="9" t="s">
        <v>0</v>
      </c>
      <c r="AC109" s="9" t="str">
        <f t="shared" si="8"/>
        <v>-</v>
      </c>
      <c r="AD109" s="9" t="s">
        <v>0</v>
      </c>
      <c r="AE109" s="12" t="str">
        <f t="shared" si="9"/>
        <v>-</v>
      </c>
      <c r="AF109" s="29" t="s">
        <v>0</v>
      </c>
      <c r="AG109" s="29" t="s">
        <v>0</v>
      </c>
      <c r="AH109" s="29" t="s">
        <v>0</v>
      </c>
      <c r="AI109" s="29" t="s">
        <v>0</v>
      </c>
      <c r="AJ109" s="32" t="s">
        <v>0</v>
      </c>
      <c r="AK109" s="29" t="s">
        <v>0</v>
      </c>
      <c r="AL109" s="32" t="s">
        <v>0</v>
      </c>
      <c r="AM109" s="29" t="s">
        <v>0</v>
      </c>
      <c r="AN109" s="32" t="s">
        <v>0</v>
      </c>
      <c r="AO109" s="29" t="s">
        <v>0</v>
      </c>
      <c r="AP109" s="29" t="s">
        <v>0</v>
      </c>
      <c r="AQ109" s="32" t="s">
        <v>0</v>
      </c>
      <c r="AR109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09" s="9" t="str">
        <f t="shared" si="10"/>
        <v>-</v>
      </c>
      <c r="AT109" s="9">
        <f>IF(RIGHT(TMK[[#This Row],[Device type]],7)="Winding","-",TMK[[#This Row],[Cont Winter MVA]])</f>
        <v>23.274605931787544</v>
      </c>
      <c r="AU109" s="9">
        <f>IF(RIGHT(TMK[[#This Row],[Device type]],7)="Winding","-",TMK[[#This Row],[Cont Shoulder MVA]])</f>
        <v>23.274605931787544</v>
      </c>
      <c r="AV109" s="9">
        <f>IF(RIGHT(TMK[[#This Row],[Device type]],7)="Winding","-",TMK[[#This Row],[Cont Summer MVA]])</f>
        <v>23.274605931787544</v>
      </c>
      <c r="AW109" s="9" t="str">
        <f>IF(RIGHT(TMK[[#This Row],[Device type]],7)="Winding","-",TMK[[#This Row],[24 Hr Winter MVA]])</f>
        <v>-</v>
      </c>
      <c r="AX109" s="9" t="str">
        <f>IF(RIGHT(TMK[[#This Row],[Device type]],7)="Winding","-",TMK[[#This Row],[24 Hr Summer MVA]])</f>
        <v>-</v>
      </c>
      <c r="AY109" s="9" t="str">
        <f>TMK[[#This Row],[Forwards MVA]]</f>
        <v>-</v>
      </c>
      <c r="AZ109" s="9" t="str">
        <f>TMK[[#This Row],[Relay MVA]]</f>
        <v>-</v>
      </c>
      <c r="BA109" s="9" t="str">
        <f>TMK[[#This Row],[CT MVA]]</f>
        <v>-</v>
      </c>
      <c r="BB109" s="9" t="str">
        <f>TMK[[#This Row],[Derating MVA]]</f>
        <v>-</v>
      </c>
      <c r="BC109" s="9" t="str">
        <f>TMK[[#This Row],[Station/Feeder]]&amp;TMK[[#This Row],[Lowest MVA]]</f>
        <v>GLD23.2746059317875</v>
      </c>
      <c r="BD109" s="9" t="str">
        <f>CONCATENATE(TMK[[#This Row],[Supply Level]],TMK[[#This Row],[Station/Feeder]],TMK[[#This Row],[Voltage]],TMK[[#This Row],[Lowest A-No PTX]])</f>
        <v>ZoneSubstationGLD33.594400</v>
      </c>
      <c r="BE109" s="9" t="str">
        <f>CONCATENATE(TMK[[#This Row],[Supply Level]],TMK[[#This Row],[Station/Feeder]],TMK[[#This Row],[Voltage]],TMK[[#This Row],[Lowest A-PTX]])</f>
        <v>ZoneSubstationGLD33.594400</v>
      </c>
      <c r="BF109" s="9">
        <f>IFERROR(IF(MIN(TMK[[#This Row],[Summ Cont Winter A]:[Cable Derating]])=0,"",MIN(TMK[[#This Row],[Summ Cont Winter A]:[Cable Derating]])),"")</f>
        <v>23.274605931787544</v>
      </c>
      <c r="BG109" s="9">
        <f>IFERROR(TMK[[#This Row],[Lowest MVA]]*1000/(TMK[[#This Row],[Voltage]]*SQRT(3)),"")</f>
        <v>400</v>
      </c>
      <c r="BH109" s="9">
        <f t="shared" si="63"/>
        <v>400</v>
      </c>
      <c r="BI109" s="9" t="str">
        <f>TMK[[#This Row],[From]]</f>
        <v>G217</v>
      </c>
      <c r="BJ109" s="9" t="str">
        <f>TMK[[#This Row],[To]]</f>
        <v>G222</v>
      </c>
      <c r="BK10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ABS-GX27</v>
      </c>
      <c r="BL109" s="9">
        <f>TMK[[#This Row],[Voltage]]</f>
        <v>33.594000000000001</v>
      </c>
    </row>
    <row r="110" spans="1:64" s="1" customFormat="1" ht="15" customHeight="1" x14ac:dyDescent="0.25">
      <c r="A110" s="6" t="str">
        <f>CONCATENATE(TMK[[#This Row],[Supply Level]],TMK[[#This Row],[Station/Feeder]],TMK[[#This Row],[Voltage]])</f>
        <v>ZoneSubstationGLD33.594</v>
      </c>
      <c r="B110" s="6" t="str">
        <f>CONCATENATE(TMK[[#This Row],[Supply Level]],TMK[[#This Row],[Station/Feeder]],TMK[[#This Row],[Equipment ID]],TMK[[#This Row],[Voltage]],TMK[[#This Row],[Device type]])</f>
        <v>ZoneSubstationGLDG22033.594-</v>
      </c>
      <c r="C110" s="6" t="s">
        <v>1246</v>
      </c>
      <c r="D110" s="11" t="s">
        <v>85</v>
      </c>
      <c r="E110" s="7" t="s">
        <v>533</v>
      </c>
      <c r="F110" s="7" t="s">
        <v>534</v>
      </c>
      <c r="G110" s="56">
        <v>3</v>
      </c>
      <c r="H110" s="46" t="s">
        <v>273</v>
      </c>
      <c r="I110" s="123" t="s">
        <v>536</v>
      </c>
      <c r="J110" s="123" t="s">
        <v>240</v>
      </c>
      <c r="K110" s="46" t="s">
        <v>0</v>
      </c>
      <c r="L110" s="46" t="s">
        <v>0</v>
      </c>
      <c r="M110" s="43">
        <f t="shared" si="94"/>
        <v>33.594000000000001</v>
      </c>
      <c r="N110" s="9">
        <v>400</v>
      </c>
      <c r="O110" s="9">
        <f t="shared" si="58"/>
        <v>23.274605931787544</v>
      </c>
      <c r="P110" s="9">
        <v>400</v>
      </c>
      <c r="Q110" s="9">
        <f t="shared" si="59"/>
        <v>23.274605931787544</v>
      </c>
      <c r="R110" s="9">
        <v>400</v>
      </c>
      <c r="S110" s="9">
        <f t="shared" si="60"/>
        <v>23.274605931787544</v>
      </c>
      <c r="T110" s="9" t="s">
        <v>0</v>
      </c>
      <c r="U110" s="9" t="str">
        <f t="shared" si="61"/>
        <v>-</v>
      </c>
      <c r="V110" s="9" t="s">
        <v>0</v>
      </c>
      <c r="W110" s="9" t="str">
        <f t="shared" si="62"/>
        <v>-</v>
      </c>
      <c r="X110" s="9" t="s">
        <v>0</v>
      </c>
      <c r="Y110" s="9" t="str">
        <f t="shared" si="6"/>
        <v>-</v>
      </c>
      <c r="Z110" s="9" t="s">
        <v>0</v>
      </c>
      <c r="AA110" s="9" t="str">
        <f>IF(OR(Z110="",Z110="-"),"-",Z110*$M110*SQRT(3)/1000)</f>
        <v>-</v>
      </c>
      <c r="AB110" s="9" t="s">
        <v>0</v>
      </c>
      <c r="AC110" s="9" t="str">
        <f>IF(OR(AB110="",AB110="-"),"-",AB110*$M110*SQRT(3)/1000)</f>
        <v>-</v>
      </c>
      <c r="AD110" s="9" t="s">
        <v>0</v>
      </c>
      <c r="AE110" s="12" t="str">
        <f>IF(OR(AD110="",AD110="-"),"-",AD110*$M110*SQRT(3)/1000)</f>
        <v>-</v>
      </c>
      <c r="AF110" s="29" t="s">
        <v>0</v>
      </c>
      <c r="AG110" s="29" t="s">
        <v>0</v>
      </c>
      <c r="AH110" s="29" t="s">
        <v>0</v>
      </c>
      <c r="AI110" s="29" t="s">
        <v>0</v>
      </c>
      <c r="AJ110" s="32" t="s">
        <v>0</v>
      </c>
      <c r="AK110" s="29" t="s">
        <v>0</v>
      </c>
      <c r="AL110" s="32" t="s">
        <v>0</v>
      </c>
      <c r="AM110" s="29" t="s">
        <v>0</v>
      </c>
      <c r="AN110" s="32" t="s">
        <v>0</v>
      </c>
      <c r="AO110" s="29" t="s">
        <v>0</v>
      </c>
      <c r="AP110" s="29" t="s">
        <v>0</v>
      </c>
      <c r="AQ110" s="32" t="s">
        <v>0</v>
      </c>
      <c r="AR110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10" s="9" t="str">
        <f>IF(OR(AR110="",AR110="-"),"-",AR110*$M110*SQRT(3)/1000)</f>
        <v>-</v>
      </c>
      <c r="AT110" s="9">
        <f>IF(RIGHT(TMK[[#This Row],[Device type]],7)="Winding","-",TMK[[#This Row],[Cont Winter MVA]])</f>
        <v>23.274605931787544</v>
      </c>
      <c r="AU110" s="9">
        <f>IF(RIGHT(TMK[[#This Row],[Device type]],7)="Winding","-",TMK[[#This Row],[Cont Shoulder MVA]])</f>
        <v>23.274605931787544</v>
      </c>
      <c r="AV110" s="9">
        <f>IF(RIGHT(TMK[[#This Row],[Device type]],7)="Winding","-",TMK[[#This Row],[Cont Summer MVA]])</f>
        <v>23.274605931787544</v>
      </c>
      <c r="AW110" s="9" t="str">
        <f>IF(RIGHT(TMK[[#This Row],[Device type]],7)="Winding","-",TMK[[#This Row],[24 Hr Winter MVA]])</f>
        <v>-</v>
      </c>
      <c r="AX110" s="9" t="str">
        <f>IF(RIGHT(TMK[[#This Row],[Device type]],7)="Winding","-",TMK[[#This Row],[24 Hr Summer MVA]])</f>
        <v>-</v>
      </c>
      <c r="AY110" s="9" t="str">
        <f>TMK[[#This Row],[Forwards MVA]]</f>
        <v>-</v>
      </c>
      <c r="AZ110" s="9" t="str">
        <f>TMK[[#This Row],[Relay MVA]]</f>
        <v>-</v>
      </c>
      <c r="BA110" s="9" t="str">
        <f>TMK[[#This Row],[CT MVA]]</f>
        <v>-</v>
      </c>
      <c r="BB110" s="9" t="str">
        <f>TMK[[#This Row],[Derating MVA]]</f>
        <v>-</v>
      </c>
      <c r="BC110" s="9" t="str">
        <f>TMK[[#This Row],[Station/Feeder]]&amp;TMK[[#This Row],[Lowest MVA]]</f>
        <v>GLD23.2746059317875</v>
      </c>
      <c r="BD110" s="9" t="str">
        <f>CONCATENATE(TMK[[#This Row],[Supply Level]],TMK[[#This Row],[Station/Feeder]],TMK[[#This Row],[Voltage]],TMK[[#This Row],[Lowest A-No PTX]])</f>
        <v>ZoneSubstationGLD33.594400</v>
      </c>
      <c r="BE110" s="9" t="str">
        <f>CONCATENATE(TMK[[#This Row],[Supply Level]],TMK[[#This Row],[Station/Feeder]],TMK[[#This Row],[Voltage]],TMK[[#This Row],[Lowest A-PTX]])</f>
        <v>ZoneSubstationGLD33.594400</v>
      </c>
      <c r="BF110" s="9">
        <f>IFERROR(IF(MIN(TMK[[#This Row],[Summ Cont Winter A]:[Cable Derating]])=0,"",MIN(TMK[[#This Row],[Summ Cont Winter A]:[Cable Derating]])),"")</f>
        <v>23.274605931787544</v>
      </c>
      <c r="BG110" s="9">
        <f>IFERROR(TMK[[#This Row],[Lowest MVA]]*1000/(TMK[[#This Row],[Voltage]]*SQRT(3)),"")</f>
        <v>400</v>
      </c>
      <c r="BH110" s="9">
        <f t="shared" si="63"/>
        <v>400</v>
      </c>
      <c r="BI110" s="9" t="str">
        <f>TMK[[#This Row],[From]]</f>
        <v>G217</v>
      </c>
      <c r="BJ110" s="9" t="str">
        <f>TMK[[#This Row],[To]]</f>
        <v>G222</v>
      </c>
      <c r="BK11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ABS-G220</v>
      </c>
      <c r="BL110" s="9">
        <f>TMK[[#This Row],[Voltage]]</f>
        <v>33.594000000000001</v>
      </c>
    </row>
    <row r="111" spans="1:64" s="1" customFormat="1" ht="15" customHeight="1" x14ac:dyDescent="0.25">
      <c r="A111" s="6" t="str">
        <f>CONCATENATE(TMK[[#This Row],[Supply Level]],TMK[[#This Row],[Station/Feeder]],TMK[[#This Row],[Voltage]])</f>
        <v>ZoneSubstationGLD33.594</v>
      </c>
      <c r="B111" s="6" t="str">
        <f>CONCATENATE(TMK[[#This Row],[Supply Level]],TMK[[#This Row],[Station/Feeder]],TMK[[#This Row],[Equipment ID]],TMK[[#This Row],[Voltage]],TMK[[#This Row],[Device type]])</f>
        <v>ZoneSubstationGLDGLD-G25933.594Protection</v>
      </c>
      <c r="C111" s="6" t="s">
        <v>1246</v>
      </c>
      <c r="D111" s="11" t="s">
        <v>85</v>
      </c>
      <c r="E111" s="7" t="s">
        <v>533</v>
      </c>
      <c r="F111" s="7" t="s">
        <v>534</v>
      </c>
      <c r="G111" s="56">
        <v>4</v>
      </c>
      <c r="H111" s="46" t="s">
        <v>343</v>
      </c>
      <c r="I111" s="123" t="s">
        <v>2433</v>
      </c>
      <c r="J111" s="123" t="s">
        <v>15</v>
      </c>
      <c r="K111" s="46" t="s">
        <v>1122</v>
      </c>
      <c r="L111" s="46" t="s">
        <v>1423</v>
      </c>
      <c r="M111" s="43">
        <f t="shared" si="94"/>
        <v>33.594000000000001</v>
      </c>
      <c r="N111" s="9">
        <v>560</v>
      </c>
      <c r="O111" s="9">
        <f t="shared" si="58"/>
        <v>32.584448304502558</v>
      </c>
      <c r="P111" s="9">
        <v>560</v>
      </c>
      <c r="Q111" s="9">
        <f t="shared" si="59"/>
        <v>32.584448304502558</v>
      </c>
      <c r="R111" s="9">
        <v>560</v>
      </c>
      <c r="S111" s="9">
        <f t="shared" si="60"/>
        <v>32.584448304502558</v>
      </c>
      <c r="T111" s="9" t="s">
        <v>0</v>
      </c>
      <c r="U111" s="9" t="str">
        <f t="shared" si="61"/>
        <v>-</v>
      </c>
      <c r="V111" s="9" t="s">
        <v>0</v>
      </c>
      <c r="W111" s="9" t="str">
        <f t="shared" si="62"/>
        <v>-</v>
      </c>
      <c r="X111" s="9">
        <f>VLOOKUP(TMK[[#This Row],[Equipment ID]],AEL_Protection_Data[#All],12,0)</f>
        <v>350</v>
      </c>
      <c r="Y111" s="9">
        <f t="shared" si="6"/>
        <v>20.365280190314103</v>
      </c>
      <c r="Z111" s="9">
        <v>220</v>
      </c>
      <c r="AA111" s="9">
        <f t="shared" ref="AA111" si="95">IF(OR(Z111="",Z111="-"),"-",Z111*$M111*SQRT(3)/1000)</f>
        <v>12.80103326248315</v>
      </c>
      <c r="AB111" s="9" t="s">
        <v>0</v>
      </c>
      <c r="AC111" s="9" t="str">
        <f t="shared" ref="AC111" si="96">IF(OR(AB111="",AB111="-"),"-",AB111*$M111*SQRT(3)/1000)</f>
        <v>-</v>
      </c>
      <c r="AD111" s="9">
        <v>500</v>
      </c>
      <c r="AE111" s="12">
        <f t="shared" ref="AE111" si="97">IF(OR(AD111="",AD111="-"),"-",AD111*$M111*SQRT(3)/1000)</f>
        <v>29.093257414734431</v>
      </c>
      <c r="AF111" s="29" t="s">
        <v>0</v>
      </c>
      <c r="AG111" s="29" t="s">
        <v>0</v>
      </c>
      <c r="AH111" s="29" t="s">
        <v>0</v>
      </c>
      <c r="AI111" s="29" t="s">
        <v>0</v>
      </c>
      <c r="AJ111" s="32" t="s">
        <v>0</v>
      </c>
      <c r="AK111" s="29" t="s">
        <v>0</v>
      </c>
      <c r="AL111" s="32" t="s">
        <v>0</v>
      </c>
      <c r="AM111" s="29" t="s">
        <v>0</v>
      </c>
      <c r="AN111" s="32" t="s">
        <v>0</v>
      </c>
      <c r="AO111" s="29" t="s">
        <v>0</v>
      </c>
      <c r="AP111" s="29" t="s">
        <v>0</v>
      </c>
      <c r="AQ111" s="32" t="s">
        <v>0</v>
      </c>
      <c r="AR111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11" s="9" t="str">
        <f t="shared" ref="AS111" si="98">IF(OR(AR111="",AR111="-"),"-",AR111*$M111*SQRT(3)/1000)</f>
        <v>-</v>
      </c>
      <c r="AT111" s="9">
        <f>IF(RIGHT(TMK[[#This Row],[Device type]],7)="Winding","-",TMK[[#This Row],[Cont Winter MVA]])</f>
        <v>32.584448304502558</v>
      </c>
      <c r="AU111" s="9">
        <f>IF(RIGHT(TMK[[#This Row],[Device type]],7)="Winding","-",TMK[[#This Row],[Cont Shoulder MVA]])</f>
        <v>32.584448304502558</v>
      </c>
      <c r="AV111" s="9">
        <f>IF(RIGHT(TMK[[#This Row],[Device type]],7)="Winding","-",TMK[[#This Row],[Cont Summer MVA]])</f>
        <v>32.584448304502558</v>
      </c>
      <c r="AW111" s="9" t="str">
        <f>IF(RIGHT(TMK[[#This Row],[Device type]],7)="Winding","-",TMK[[#This Row],[24 Hr Winter MVA]])</f>
        <v>-</v>
      </c>
      <c r="AX111" s="9" t="str">
        <f>IF(RIGHT(TMK[[#This Row],[Device type]],7)="Winding","-",TMK[[#This Row],[24 Hr Summer MVA]])</f>
        <v>-</v>
      </c>
      <c r="AY111" s="9">
        <f>TMK[[#This Row],[Forwards MVA]]</f>
        <v>20.365280190314103</v>
      </c>
      <c r="AZ111" s="9" t="str">
        <f>TMK[[#This Row],[Relay MVA]]</f>
        <v>-</v>
      </c>
      <c r="BA111" s="9">
        <f>TMK[[#This Row],[CT MVA]]</f>
        <v>29.093257414734431</v>
      </c>
      <c r="BB111" s="9" t="str">
        <f>TMK[[#This Row],[Derating MVA]]</f>
        <v>-</v>
      </c>
      <c r="BC111" s="9" t="str">
        <f>TMK[[#This Row],[Station/Feeder]]&amp;TMK[[#This Row],[Lowest MVA]]</f>
        <v>GLD20.3652801903141</v>
      </c>
      <c r="BD111" s="9" t="str">
        <f>CONCATENATE(TMK[[#This Row],[Supply Level]],TMK[[#This Row],[Station/Feeder]],TMK[[#This Row],[Voltage]],TMK[[#This Row],[Lowest A-No PTX]])</f>
        <v>ZoneSubstationGLD33.594350</v>
      </c>
      <c r="BE111" s="9" t="str">
        <f>CONCATENATE(TMK[[#This Row],[Supply Level]],TMK[[#This Row],[Station/Feeder]],TMK[[#This Row],[Voltage]],TMK[[#This Row],[Lowest A-PTX]])</f>
        <v>ZoneSubstationGLD33.594220</v>
      </c>
      <c r="BF111" s="9">
        <f>IFERROR(IF(MIN(TMK[[#This Row],[Summ Cont Winter A]:[Cable Derating]])=0,"",MIN(TMK[[#This Row],[Summ Cont Winter A]:[Cable Derating]])),"")</f>
        <v>20.365280190314103</v>
      </c>
      <c r="BG111" s="9">
        <f>IFERROR(TMK[[#This Row],[Lowest MVA]]*1000/(TMK[[#This Row],[Voltage]]*SQRT(3)),"")</f>
        <v>350</v>
      </c>
      <c r="BH111" s="9">
        <f t="shared" si="63"/>
        <v>220</v>
      </c>
      <c r="BI111" s="9" t="str">
        <f>TMK[[#This Row],[From]]</f>
        <v>G217</v>
      </c>
      <c r="BJ111" s="9" t="str">
        <f>TMK[[#This Row],[To]]</f>
        <v>G222</v>
      </c>
      <c r="BK11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Breaker-GLD-G259-Protection</v>
      </c>
      <c r="BL111" s="9">
        <f>TMK[[#This Row],[Voltage]]</f>
        <v>33.594000000000001</v>
      </c>
    </row>
    <row r="112" spans="1:64" s="1" customFormat="1" ht="15" customHeight="1" x14ac:dyDescent="0.25">
      <c r="A112" s="6" t="str">
        <f>CONCATENATE(TMK[[#This Row],[Supply Level]],TMK[[#This Row],[Station/Feeder]],TMK[[#This Row],[Voltage]])</f>
        <v>ZoneSubstationGLD33.594</v>
      </c>
      <c r="B112" s="6" t="str">
        <f>CONCATENATE(TMK[[#This Row],[Supply Level]],TMK[[#This Row],[Station/Feeder]],TMK[[#This Row],[Equipment ID]],TMK[[#This Row],[Voltage]],TMK[[#This Row],[Device type]])</f>
        <v>ZoneSubstationGLDD823-T233.594HV Winding</v>
      </c>
      <c r="C112" s="6" t="s">
        <v>1246</v>
      </c>
      <c r="D112" s="11" t="s">
        <v>85</v>
      </c>
      <c r="E112" s="7" t="s">
        <v>533</v>
      </c>
      <c r="F112" s="7" t="s">
        <v>534</v>
      </c>
      <c r="G112" s="56">
        <v>5</v>
      </c>
      <c r="H112" s="46" t="s">
        <v>275</v>
      </c>
      <c r="I112" s="123" t="s">
        <v>538</v>
      </c>
      <c r="J112" s="123" t="s">
        <v>19</v>
      </c>
      <c r="K112" s="46" t="s">
        <v>0</v>
      </c>
      <c r="L112" s="46" t="s">
        <v>36</v>
      </c>
      <c r="M112" s="43">
        <f t="shared" si="94"/>
        <v>33.594000000000001</v>
      </c>
      <c r="N112" s="9">
        <f>15*1000/(TMK[[#This Row],[Voltage]]*SQRT(3))</f>
        <v>257.79169011860409</v>
      </c>
      <c r="O112" s="9">
        <f t="shared" si="58"/>
        <v>14.999999999999998</v>
      </c>
      <c r="P112" s="9" t="s">
        <v>0</v>
      </c>
      <c r="Q112" s="9" t="str">
        <f t="shared" si="59"/>
        <v>-</v>
      </c>
      <c r="R112" s="9" t="s">
        <v>0</v>
      </c>
      <c r="S112" s="9" t="str">
        <f t="shared" si="60"/>
        <v>-</v>
      </c>
      <c r="T112" s="9" t="s">
        <v>0</v>
      </c>
      <c r="U112" s="9" t="str">
        <f t="shared" si="61"/>
        <v>-</v>
      </c>
      <c r="V112" s="9" t="s">
        <v>0</v>
      </c>
      <c r="W112" s="9" t="str">
        <f t="shared" si="62"/>
        <v>-</v>
      </c>
      <c r="X112" s="9" t="s">
        <v>0</v>
      </c>
      <c r="Y112" s="9" t="str">
        <f t="shared" si="6"/>
        <v>-</v>
      </c>
      <c r="Z112" s="9" t="s">
        <v>0</v>
      </c>
      <c r="AA112" s="9" t="str">
        <f>IF(OR(Z112="",Z112="-"),"-",Z112*$M112*SQRT(3)/1000)</f>
        <v>-</v>
      </c>
      <c r="AB112" s="9" t="s">
        <v>0</v>
      </c>
      <c r="AC112" s="9" t="str">
        <f>IF(OR(AB112="",AB112="-"),"-",AB112*$M112*SQRT(3)/1000)</f>
        <v>-</v>
      </c>
      <c r="AD112" s="9" t="s">
        <v>0</v>
      </c>
      <c r="AE112" s="12" t="str">
        <f>IF(OR(AD112="",AD112="-"),"-",AD112*$M112*SQRT(3)/1000)</f>
        <v>-</v>
      </c>
      <c r="AF112" s="29" t="s">
        <v>0</v>
      </c>
      <c r="AG112" s="29" t="s">
        <v>0</v>
      </c>
      <c r="AH112" s="29" t="s">
        <v>0</v>
      </c>
      <c r="AI112" s="29" t="s">
        <v>0</v>
      </c>
      <c r="AJ112" s="32" t="s">
        <v>0</v>
      </c>
      <c r="AK112" s="29" t="s">
        <v>0</v>
      </c>
      <c r="AL112" s="32" t="s">
        <v>0</v>
      </c>
      <c r="AM112" s="29" t="s">
        <v>0</v>
      </c>
      <c r="AN112" s="32" t="s">
        <v>0</v>
      </c>
      <c r="AO112" s="29" t="s">
        <v>0</v>
      </c>
      <c r="AP112" s="29" t="s">
        <v>0</v>
      </c>
      <c r="AQ112" s="32" t="s">
        <v>0</v>
      </c>
      <c r="AR112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12" s="9" t="str">
        <f>IF(OR(AR112="",AR112="-"),"-",AR112*$M112*SQRT(3)/1000)</f>
        <v>-</v>
      </c>
      <c r="AT112" s="9" t="str">
        <f>IF(RIGHT(TMK[[#This Row],[Device type]],7)="Winding","-",TMK[[#This Row],[Cont Winter MVA]])</f>
        <v>-</v>
      </c>
      <c r="AU112" s="9" t="str">
        <f>IF(RIGHT(TMK[[#This Row],[Device type]],7)="Winding","-",TMK[[#This Row],[Cont Shoulder MVA]])</f>
        <v>-</v>
      </c>
      <c r="AV112" s="9" t="str">
        <f>IF(RIGHT(TMK[[#This Row],[Device type]],7)="Winding","-",TMK[[#This Row],[Cont Summer MVA]])</f>
        <v>-</v>
      </c>
      <c r="AW112" s="9" t="str">
        <f>IF(RIGHT(TMK[[#This Row],[Device type]],7)="Winding","-",TMK[[#This Row],[24 Hr Winter MVA]])</f>
        <v>-</v>
      </c>
      <c r="AX112" s="9" t="str">
        <f>IF(RIGHT(TMK[[#This Row],[Device type]],7)="Winding","-",TMK[[#This Row],[24 Hr Summer MVA]])</f>
        <v>-</v>
      </c>
      <c r="AY112" s="9" t="str">
        <f>TMK[[#This Row],[Forwards MVA]]</f>
        <v>-</v>
      </c>
      <c r="AZ112" s="9" t="str">
        <f>TMK[[#This Row],[Relay MVA]]</f>
        <v>-</v>
      </c>
      <c r="BA112" s="9" t="str">
        <f>TMK[[#This Row],[CT MVA]]</f>
        <v>-</v>
      </c>
      <c r="BB112" s="9" t="str">
        <f>TMK[[#This Row],[Derating MVA]]</f>
        <v>-</v>
      </c>
      <c r="BC112" s="9" t="str">
        <f>TMK[[#This Row],[Station/Feeder]]&amp;TMK[[#This Row],[Lowest MVA]]</f>
        <v>GLD</v>
      </c>
      <c r="BD112" s="9" t="str">
        <f>CONCATENATE(TMK[[#This Row],[Supply Level]],TMK[[#This Row],[Station/Feeder]],TMK[[#This Row],[Voltage]],TMK[[#This Row],[Lowest A-No PTX]])</f>
        <v>ZoneSubstationGLD33.594</v>
      </c>
      <c r="BE112" s="9" t="str">
        <f>CONCATENATE(TMK[[#This Row],[Supply Level]],TMK[[#This Row],[Station/Feeder]],TMK[[#This Row],[Voltage]],TMK[[#This Row],[Lowest A-PTX]])</f>
        <v>ZoneSubstationGLD33.594257.791690118604</v>
      </c>
      <c r="BF112" s="9" t="str">
        <f>IFERROR(IF(MIN(TMK[[#This Row],[Summ Cont Winter A]:[Cable Derating]])=0,"",MIN(TMK[[#This Row],[Summ Cont Winter A]:[Cable Derating]])),"")</f>
        <v/>
      </c>
      <c r="BG112" s="9" t="str">
        <f>IFERROR(TMK[[#This Row],[Lowest MVA]]*1000/(TMK[[#This Row],[Voltage]]*SQRT(3)),"")</f>
        <v/>
      </c>
      <c r="BH112" s="9">
        <f t="shared" si="63"/>
        <v>257.79169011860409</v>
      </c>
      <c r="BI112" s="9" t="str">
        <f>TMK[[#This Row],[From]]</f>
        <v>G217</v>
      </c>
      <c r="BJ112" s="9" t="str">
        <f>TMK[[#This Row],[To]]</f>
        <v>G222</v>
      </c>
      <c r="BK11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Transformer-D823-T2-HV Winding</v>
      </c>
      <c r="BL112" s="9">
        <f>TMK[[#This Row],[Voltage]]</f>
        <v>33.594000000000001</v>
      </c>
    </row>
    <row r="113" spans="1:64" s="1" customFormat="1" x14ac:dyDescent="0.25">
      <c r="A113" s="6" t="str">
        <f>CONCATENATE(TMK[[#This Row],[Supply Level]],TMK[[#This Row],[Station/Feeder]],TMK[[#This Row],[Voltage]])</f>
        <v>ZoneSubstationGLD11.055</v>
      </c>
      <c r="B113" s="6" t="str">
        <f>CONCATENATE(TMK[[#This Row],[Supply Level]],TMK[[#This Row],[Station/Feeder]],TMK[[#This Row],[Equipment ID]],TMK[[#This Row],[Voltage]],TMK[[#This Row],[Device type]])</f>
        <v>ZoneSubstationGLDD823-T211.055LV Winding</v>
      </c>
      <c r="C113" s="6" t="s">
        <v>1246</v>
      </c>
      <c r="D113" s="11" t="s">
        <v>85</v>
      </c>
      <c r="E113" s="7" t="s">
        <v>533</v>
      </c>
      <c r="F113" s="7" t="s">
        <v>534</v>
      </c>
      <c r="G113" s="56">
        <v>6</v>
      </c>
      <c r="H113" s="46" t="s">
        <v>275</v>
      </c>
      <c r="I113" s="123" t="s">
        <v>538</v>
      </c>
      <c r="J113" s="123" t="s">
        <v>19</v>
      </c>
      <c r="K113" s="46" t="s">
        <v>0</v>
      </c>
      <c r="L113" s="46" t="s">
        <v>37</v>
      </c>
      <c r="M113" s="43">
        <f>1.005*11</f>
        <v>11.055</v>
      </c>
      <c r="N113" s="9">
        <f>15*1000/(TMK[[#This Row],[Voltage]]*SQRT(3))</f>
        <v>783.37892698728069</v>
      </c>
      <c r="O113" s="9">
        <f t="shared" si="58"/>
        <v>15.000000000000002</v>
      </c>
      <c r="P113" s="9" t="s">
        <v>0</v>
      </c>
      <c r="Q113" s="9" t="str">
        <f t="shared" si="59"/>
        <v>-</v>
      </c>
      <c r="R113" s="9" t="s">
        <v>0</v>
      </c>
      <c r="S113" s="9" t="str">
        <f t="shared" si="60"/>
        <v>-</v>
      </c>
      <c r="T113" s="9" t="s">
        <v>0</v>
      </c>
      <c r="U113" s="9" t="str">
        <f t="shared" si="61"/>
        <v>-</v>
      </c>
      <c r="V113" s="9" t="s">
        <v>0</v>
      </c>
      <c r="W113" s="9" t="str">
        <f t="shared" si="62"/>
        <v>-</v>
      </c>
      <c r="X113" s="9" t="s">
        <v>0</v>
      </c>
      <c r="Y113" s="9" t="str">
        <f t="shared" si="6"/>
        <v>-</v>
      </c>
      <c r="Z113" s="9" t="s">
        <v>0</v>
      </c>
      <c r="AA113" s="9" t="str">
        <f t="shared" si="7"/>
        <v>-</v>
      </c>
      <c r="AB113" s="9" t="s">
        <v>0</v>
      </c>
      <c r="AC113" s="9" t="str">
        <f t="shared" si="8"/>
        <v>-</v>
      </c>
      <c r="AD113" s="9" t="s">
        <v>0</v>
      </c>
      <c r="AE113" s="12" t="str">
        <f t="shared" si="9"/>
        <v>-</v>
      </c>
      <c r="AF113" s="29" t="s">
        <v>0</v>
      </c>
      <c r="AG113" s="29" t="s">
        <v>0</v>
      </c>
      <c r="AH113" s="29" t="s">
        <v>0</v>
      </c>
      <c r="AI113" s="29" t="s">
        <v>0</v>
      </c>
      <c r="AJ113" s="32" t="s">
        <v>0</v>
      </c>
      <c r="AK113" s="29" t="s">
        <v>0</v>
      </c>
      <c r="AL113" s="32" t="s">
        <v>0</v>
      </c>
      <c r="AM113" s="29" t="s">
        <v>0</v>
      </c>
      <c r="AN113" s="32" t="s">
        <v>0</v>
      </c>
      <c r="AO113" s="29" t="s">
        <v>0</v>
      </c>
      <c r="AP113" s="29" t="s">
        <v>0</v>
      </c>
      <c r="AQ113" s="32" t="s">
        <v>0</v>
      </c>
      <c r="AR113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13" s="9" t="str">
        <f t="shared" si="10"/>
        <v>-</v>
      </c>
      <c r="AT113" s="9" t="str">
        <f>IF(RIGHT(TMK[[#This Row],[Device type]],7)="Winding","-",TMK[[#This Row],[Cont Winter MVA]])</f>
        <v>-</v>
      </c>
      <c r="AU113" s="9" t="str">
        <f>IF(RIGHT(TMK[[#This Row],[Device type]],7)="Winding","-",TMK[[#This Row],[Cont Shoulder MVA]])</f>
        <v>-</v>
      </c>
      <c r="AV113" s="9" t="str">
        <f>IF(RIGHT(TMK[[#This Row],[Device type]],7)="Winding","-",TMK[[#This Row],[Cont Summer MVA]])</f>
        <v>-</v>
      </c>
      <c r="AW113" s="9" t="str">
        <f>IF(RIGHT(TMK[[#This Row],[Device type]],7)="Winding","-",TMK[[#This Row],[24 Hr Winter MVA]])</f>
        <v>-</v>
      </c>
      <c r="AX113" s="9" t="str">
        <f>IF(RIGHT(TMK[[#This Row],[Device type]],7)="Winding","-",TMK[[#This Row],[24 Hr Summer MVA]])</f>
        <v>-</v>
      </c>
      <c r="AY113" s="9" t="str">
        <f>TMK[[#This Row],[Forwards MVA]]</f>
        <v>-</v>
      </c>
      <c r="AZ113" s="9" t="str">
        <f>TMK[[#This Row],[Relay MVA]]</f>
        <v>-</v>
      </c>
      <c r="BA113" s="9" t="str">
        <f>TMK[[#This Row],[CT MVA]]</f>
        <v>-</v>
      </c>
      <c r="BB113" s="9" t="str">
        <f>TMK[[#This Row],[Derating MVA]]</f>
        <v>-</v>
      </c>
      <c r="BC113" s="9" t="str">
        <f>TMK[[#This Row],[Station/Feeder]]&amp;TMK[[#This Row],[Lowest MVA]]</f>
        <v>GLD</v>
      </c>
      <c r="BD113" s="9" t="str">
        <f>CONCATENATE(TMK[[#This Row],[Supply Level]],TMK[[#This Row],[Station/Feeder]],TMK[[#This Row],[Voltage]],TMK[[#This Row],[Lowest A-No PTX]])</f>
        <v>ZoneSubstationGLD11.055</v>
      </c>
      <c r="BE113" s="9" t="str">
        <f>CONCATENATE(TMK[[#This Row],[Supply Level]],TMK[[#This Row],[Station/Feeder]],TMK[[#This Row],[Voltage]],TMK[[#This Row],[Lowest A-PTX]])</f>
        <v>ZoneSubstationGLD11.055783.378926987281</v>
      </c>
      <c r="BF113" s="9" t="str">
        <f>IFERROR(IF(MIN(TMK[[#This Row],[Summ Cont Winter A]:[Cable Derating]])=0,"",MIN(TMK[[#This Row],[Summ Cont Winter A]:[Cable Derating]])),"")</f>
        <v/>
      </c>
      <c r="BG113" s="9" t="str">
        <f>IFERROR(TMK[[#This Row],[Lowest MVA]]*1000/(TMK[[#This Row],[Voltage]]*SQRT(3)),"")</f>
        <v/>
      </c>
      <c r="BH113" s="9">
        <f t="shared" si="63"/>
        <v>783.37892698728069</v>
      </c>
      <c r="BI113" s="9" t="str">
        <f>TMK[[#This Row],[From]]</f>
        <v>G217</v>
      </c>
      <c r="BJ113" s="9" t="str">
        <f>TMK[[#This Row],[To]]</f>
        <v>G222</v>
      </c>
      <c r="BK11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Transformer-D823-T2-LV Winding</v>
      </c>
      <c r="BL113" s="9">
        <f>TMK[[#This Row],[Voltage]]</f>
        <v>11.055</v>
      </c>
    </row>
    <row r="114" spans="1:64" s="1" customFormat="1" x14ac:dyDescent="0.25">
      <c r="A114" s="6" t="str">
        <f>CONCATENATE(TMK[[#This Row],[Supply Level]],TMK[[#This Row],[Station/Feeder]],TMK[[#This Row],[Voltage]])</f>
        <v>ZoneSubstationGLD11.055</v>
      </c>
      <c r="B114" s="6" t="str">
        <f>CONCATENATE(TMK[[#This Row],[Supply Level]],TMK[[#This Row],[Station/Feeder]],TMK[[#This Row],[Equipment ID]],TMK[[#This Row],[Voltage]],TMK[[#This Row],[Device type]])</f>
        <v>ZoneSubstationGLDGLD-G26011.055Protection</v>
      </c>
      <c r="C114" s="6" t="s">
        <v>1246</v>
      </c>
      <c r="D114" s="11" t="s">
        <v>85</v>
      </c>
      <c r="E114" s="7" t="s">
        <v>533</v>
      </c>
      <c r="F114" s="7" t="s">
        <v>534</v>
      </c>
      <c r="G114" s="56">
        <v>7</v>
      </c>
      <c r="H114" s="46" t="s">
        <v>343</v>
      </c>
      <c r="I114" s="123" t="s">
        <v>2434</v>
      </c>
      <c r="J114" s="123" t="s">
        <v>15</v>
      </c>
      <c r="K114" s="46" t="s">
        <v>540</v>
      </c>
      <c r="L114" s="46" t="s">
        <v>1423</v>
      </c>
      <c r="M114" s="43">
        <f t="shared" ref="M114:M136" si="99">1.005*11</f>
        <v>11.055</v>
      </c>
      <c r="N114" s="9">
        <v>630</v>
      </c>
      <c r="O114" s="9">
        <f t="shared" si="58"/>
        <v>12.063127656934579</v>
      </c>
      <c r="P114" s="9">
        <v>630</v>
      </c>
      <c r="Q114" s="9">
        <f t="shared" si="59"/>
        <v>12.063127656934579</v>
      </c>
      <c r="R114" s="9">
        <v>630</v>
      </c>
      <c r="S114" s="9">
        <f t="shared" si="60"/>
        <v>12.063127656934579</v>
      </c>
      <c r="T114" s="9" t="s">
        <v>0</v>
      </c>
      <c r="U114" s="9" t="str">
        <f t="shared" si="61"/>
        <v>-</v>
      </c>
      <c r="V114" s="9" t="s">
        <v>0</v>
      </c>
      <c r="W114" s="9" t="str">
        <f t="shared" si="62"/>
        <v>-</v>
      </c>
      <c r="X114" s="9">
        <f>VLOOKUP(TMK[[#This Row],[Equipment ID]],AEL_Protection_Data[#All],12,0)</f>
        <v>948</v>
      </c>
      <c r="Y114" s="9">
        <f t="shared" si="6"/>
        <v>18.152134950434892</v>
      </c>
      <c r="Z114" s="9" t="s">
        <v>0</v>
      </c>
      <c r="AA114" s="9" t="str">
        <f t="shared" si="7"/>
        <v>-</v>
      </c>
      <c r="AB114" s="9">
        <v>2000</v>
      </c>
      <c r="AC114" s="9">
        <f t="shared" si="8"/>
        <v>38.295643355347877</v>
      </c>
      <c r="AD114" s="9" t="s">
        <v>0</v>
      </c>
      <c r="AE114" s="12" t="str">
        <f t="shared" si="9"/>
        <v>-</v>
      </c>
      <c r="AF114" s="29" t="s">
        <v>0</v>
      </c>
      <c r="AG114" s="29" t="s">
        <v>0</v>
      </c>
      <c r="AH114" s="29" t="s">
        <v>0</v>
      </c>
      <c r="AI114" s="29" t="s">
        <v>0</v>
      </c>
      <c r="AJ114" s="32" t="s">
        <v>0</v>
      </c>
      <c r="AK114" s="29" t="s">
        <v>0</v>
      </c>
      <c r="AL114" s="32" t="s">
        <v>0</v>
      </c>
      <c r="AM114" s="29" t="s">
        <v>0</v>
      </c>
      <c r="AN114" s="32" t="s">
        <v>0</v>
      </c>
      <c r="AO114" s="29" t="s">
        <v>0</v>
      </c>
      <c r="AP114" s="29" t="s">
        <v>0</v>
      </c>
      <c r="AQ114" s="32" t="s">
        <v>0</v>
      </c>
      <c r="AR114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14" s="9" t="str">
        <f t="shared" si="10"/>
        <v>-</v>
      </c>
      <c r="AT114" s="9">
        <f>IF(RIGHT(TMK[[#This Row],[Device type]],7)="Winding","-",TMK[[#This Row],[Cont Winter MVA]])</f>
        <v>12.063127656934579</v>
      </c>
      <c r="AU114" s="9">
        <f>IF(RIGHT(TMK[[#This Row],[Device type]],7)="Winding","-",TMK[[#This Row],[Cont Shoulder MVA]])</f>
        <v>12.063127656934579</v>
      </c>
      <c r="AV114" s="9">
        <f>IF(RIGHT(TMK[[#This Row],[Device type]],7)="Winding","-",TMK[[#This Row],[Cont Summer MVA]])</f>
        <v>12.063127656934579</v>
      </c>
      <c r="AW114" s="9" t="str">
        <f>IF(RIGHT(TMK[[#This Row],[Device type]],7)="Winding","-",TMK[[#This Row],[24 Hr Winter MVA]])</f>
        <v>-</v>
      </c>
      <c r="AX114" s="9" t="str">
        <f>IF(RIGHT(TMK[[#This Row],[Device type]],7)="Winding","-",TMK[[#This Row],[24 Hr Summer MVA]])</f>
        <v>-</v>
      </c>
      <c r="AY114" s="9">
        <f>TMK[[#This Row],[Forwards MVA]]</f>
        <v>18.152134950434892</v>
      </c>
      <c r="AZ114" s="9">
        <f>TMK[[#This Row],[Relay MVA]]</f>
        <v>38.295643355347877</v>
      </c>
      <c r="BA114" s="9" t="str">
        <f>TMK[[#This Row],[CT MVA]]</f>
        <v>-</v>
      </c>
      <c r="BB114" s="9" t="str">
        <f>TMK[[#This Row],[Derating MVA]]</f>
        <v>-</v>
      </c>
      <c r="BC114" s="9" t="str">
        <f>TMK[[#This Row],[Station/Feeder]]&amp;TMK[[#This Row],[Lowest MVA]]</f>
        <v>GLD12.0631276569346</v>
      </c>
      <c r="BD114" s="9" t="str">
        <f>CONCATENATE(TMK[[#This Row],[Supply Level]],TMK[[#This Row],[Station/Feeder]],TMK[[#This Row],[Voltage]],TMK[[#This Row],[Lowest A-No PTX]])</f>
        <v>ZoneSubstationGLD11.055630</v>
      </c>
      <c r="BE114" s="9" t="str">
        <f>CONCATENATE(TMK[[#This Row],[Supply Level]],TMK[[#This Row],[Station/Feeder]],TMK[[#This Row],[Voltage]],TMK[[#This Row],[Lowest A-PTX]])</f>
        <v>ZoneSubstationGLD11.055630</v>
      </c>
      <c r="BF114" s="9">
        <f>IFERROR(IF(MIN(TMK[[#This Row],[Summ Cont Winter A]:[Cable Derating]])=0,"",MIN(TMK[[#This Row],[Summ Cont Winter A]:[Cable Derating]])),"")</f>
        <v>12.063127656934579</v>
      </c>
      <c r="BG114" s="9">
        <f>IFERROR(TMK[[#This Row],[Lowest MVA]]*1000/(TMK[[#This Row],[Voltage]]*SQRT(3)),"")</f>
        <v>630</v>
      </c>
      <c r="BH114" s="9">
        <f t="shared" si="63"/>
        <v>630</v>
      </c>
      <c r="BI114" s="9" t="str">
        <f>TMK[[#This Row],[From]]</f>
        <v>G217</v>
      </c>
      <c r="BJ114" s="9" t="str">
        <f>TMK[[#This Row],[To]]</f>
        <v>G222</v>
      </c>
      <c r="BK11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Breaker-GLD-G260-Protection</v>
      </c>
      <c r="BL114" s="9">
        <f>TMK[[#This Row],[Voltage]]</f>
        <v>11.055</v>
      </c>
    </row>
    <row r="115" spans="1:64" s="1" customFormat="1" x14ac:dyDescent="0.25">
      <c r="A115" s="6" t="str">
        <f>CONCATENATE(TMK[[#This Row],[Supply Level]],TMK[[#This Row],[Station/Feeder]],TMK[[#This Row],[Voltage]])</f>
        <v>ZoneSubstationGLD11.055</v>
      </c>
      <c r="B115" s="6" t="str">
        <f>CONCATENATE(TMK[[#This Row],[Supply Level]],TMK[[#This Row],[Station/Feeder]],TMK[[#This Row],[Equipment ID]],TMK[[#This Row],[Voltage]],TMK[[#This Row],[Device type]])</f>
        <v>ZoneSubstationGLDG22211.055-</v>
      </c>
      <c r="C115" s="6" t="s">
        <v>1246</v>
      </c>
      <c r="D115" s="11" t="s">
        <v>85</v>
      </c>
      <c r="E115" s="7" t="s">
        <v>533</v>
      </c>
      <c r="F115" s="7" t="s">
        <v>534</v>
      </c>
      <c r="G115" s="56">
        <v>8</v>
      </c>
      <c r="H115" s="46" t="s">
        <v>273</v>
      </c>
      <c r="I115" s="123" t="s">
        <v>534</v>
      </c>
      <c r="J115" s="123" t="s">
        <v>240</v>
      </c>
      <c r="K115" s="46" t="s">
        <v>0</v>
      </c>
      <c r="L115" s="46" t="s">
        <v>0</v>
      </c>
      <c r="M115" s="43">
        <f t="shared" si="99"/>
        <v>11.055</v>
      </c>
      <c r="N115" s="9">
        <v>800</v>
      </c>
      <c r="O115" s="9">
        <f t="shared" si="58"/>
        <v>15.31825734213915</v>
      </c>
      <c r="P115" s="9">
        <v>800</v>
      </c>
      <c r="Q115" s="9">
        <f t="shared" si="59"/>
        <v>15.31825734213915</v>
      </c>
      <c r="R115" s="9">
        <v>800</v>
      </c>
      <c r="S115" s="9">
        <f t="shared" si="60"/>
        <v>15.31825734213915</v>
      </c>
      <c r="T115" s="9" t="s">
        <v>0</v>
      </c>
      <c r="U115" s="9" t="str">
        <f t="shared" si="61"/>
        <v>-</v>
      </c>
      <c r="V115" s="9" t="s">
        <v>0</v>
      </c>
      <c r="W115" s="9" t="str">
        <f t="shared" si="62"/>
        <v>-</v>
      </c>
      <c r="X115" s="9" t="s">
        <v>0</v>
      </c>
      <c r="Y115" s="9" t="str">
        <f t="shared" si="6"/>
        <v>-</v>
      </c>
      <c r="Z115" s="9" t="s">
        <v>0</v>
      </c>
      <c r="AA115" s="9" t="str">
        <f t="shared" si="7"/>
        <v>-</v>
      </c>
      <c r="AB115" s="9" t="s">
        <v>0</v>
      </c>
      <c r="AC115" s="9" t="str">
        <f t="shared" si="8"/>
        <v>-</v>
      </c>
      <c r="AD115" s="9" t="s">
        <v>0</v>
      </c>
      <c r="AE115" s="12" t="str">
        <f t="shared" si="9"/>
        <v>-</v>
      </c>
      <c r="AF115" s="29" t="s">
        <v>0</v>
      </c>
      <c r="AG115" s="29" t="s">
        <v>0</v>
      </c>
      <c r="AH115" s="29" t="s">
        <v>0</v>
      </c>
      <c r="AI115" s="29" t="s">
        <v>0</v>
      </c>
      <c r="AJ115" s="32" t="s">
        <v>0</v>
      </c>
      <c r="AK115" s="29" t="s">
        <v>0</v>
      </c>
      <c r="AL115" s="32" t="s">
        <v>0</v>
      </c>
      <c r="AM115" s="29" t="s">
        <v>0</v>
      </c>
      <c r="AN115" s="32" t="s">
        <v>0</v>
      </c>
      <c r="AO115" s="29" t="s">
        <v>0</v>
      </c>
      <c r="AP115" s="29" t="s">
        <v>0</v>
      </c>
      <c r="AQ115" s="32" t="s">
        <v>0</v>
      </c>
      <c r="AR115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15" s="9" t="str">
        <f t="shared" si="10"/>
        <v>-</v>
      </c>
      <c r="AT115" s="9">
        <f>IF(RIGHT(TMK[[#This Row],[Device type]],7)="Winding","-",TMK[[#This Row],[Cont Winter MVA]])</f>
        <v>15.31825734213915</v>
      </c>
      <c r="AU115" s="9">
        <f>IF(RIGHT(TMK[[#This Row],[Device type]],7)="Winding","-",TMK[[#This Row],[Cont Shoulder MVA]])</f>
        <v>15.31825734213915</v>
      </c>
      <c r="AV115" s="9">
        <f>IF(RIGHT(TMK[[#This Row],[Device type]],7)="Winding","-",TMK[[#This Row],[Cont Summer MVA]])</f>
        <v>15.31825734213915</v>
      </c>
      <c r="AW115" s="9" t="str">
        <f>IF(RIGHT(TMK[[#This Row],[Device type]],7)="Winding","-",TMK[[#This Row],[24 Hr Winter MVA]])</f>
        <v>-</v>
      </c>
      <c r="AX115" s="9" t="str">
        <f>IF(RIGHT(TMK[[#This Row],[Device type]],7)="Winding","-",TMK[[#This Row],[24 Hr Summer MVA]])</f>
        <v>-</v>
      </c>
      <c r="AY115" s="9" t="str">
        <f>TMK[[#This Row],[Forwards MVA]]</f>
        <v>-</v>
      </c>
      <c r="AZ115" s="9" t="str">
        <f>TMK[[#This Row],[Relay MVA]]</f>
        <v>-</v>
      </c>
      <c r="BA115" s="9" t="str">
        <f>TMK[[#This Row],[CT MVA]]</f>
        <v>-</v>
      </c>
      <c r="BB115" s="9" t="str">
        <f>TMK[[#This Row],[Derating MVA]]</f>
        <v>-</v>
      </c>
      <c r="BC115" s="9" t="str">
        <f>TMK[[#This Row],[Station/Feeder]]&amp;TMK[[#This Row],[Lowest MVA]]</f>
        <v>GLD15.3182573421391</v>
      </c>
      <c r="BD115" s="9" t="str">
        <f>CONCATENATE(TMK[[#This Row],[Supply Level]],TMK[[#This Row],[Station/Feeder]],TMK[[#This Row],[Voltage]],TMK[[#This Row],[Lowest A-No PTX]])</f>
        <v>ZoneSubstationGLD11.055800</v>
      </c>
      <c r="BE115" s="9" t="str">
        <f>CONCATENATE(TMK[[#This Row],[Supply Level]],TMK[[#This Row],[Station/Feeder]],TMK[[#This Row],[Voltage]],TMK[[#This Row],[Lowest A-PTX]])</f>
        <v>ZoneSubstationGLD11.055800</v>
      </c>
      <c r="BF115" s="9">
        <f>IFERROR(IF(MIN(TMK[[#This Row],[Summ Cont Winter A]:[Cable Derating]])=0,"",MIN(TMK[[#This Row],[Summ Cont Winter A]:[Cable Derating]])),"")</f>
        <v>15.31825734213915</v>
      </c>
      <c r="BG115" s="9">
        <f>IFERROR(TMK[[#This Row],[Lowest MVA]]*1000/(TMK[[#This Row],[Voltage]]*SQRT(3)),"")</f>
        <v>800.00000000000011</v>
      </c>
      <c r="BH115" s="9">
        <f t="shared" si="63"/>
        <v>800</v>
      </c>
      <c r="BI115" s="9" t="str">
        <f>TMK[[#This Row],[From]]</f>
        <v>G217</v>
      </c>
      <c r="BJ115" s="9" t="str">
        <f>TMK[[#This Row],[To]]</f>
        <v>G222</v>
      </c>
      <c r="BK11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ABS-G222</v>
      </c>
      <c r="BL115" s="9">
        <f>TMK[[#This Row],[Voltage]]</f>
        <v>11.055</v>
      </c>
    </row>
    <row r="116" spans="1:64" s="1" customFormat="1" x14ac:dyDescent="0.25">
      <c r="A116" s="6" t="str">
        <f>CONCATENATE(TMK[[#This Row],[Supply Level]],TMK[[#This Row],[Station/Feeder]],TMK[[#This Row],[Voltage]])</f>
        <v>DistributionFeederG194_Speechly11.055</v>
      </c>
      <c r="B116" s="6" t="str">
        <f>CONCATENATE(TMK[[#This Row],[Supply Level]],TMK[[#This Row],[Station/Feeder]],TMK[[#This Row],[Equipment ID]],TMK[[#This Row],[Voltage]],TMK[[#This Row],[Device type]])</f>
        <v>DistributionFeederG194_SpeechlyG19311.055-</v>
      </c>
      <c r="C116" s="6" t="s">
        <v>1276</v>
      </c>
      <c r="D116" s="11" t="s">
        <v>96</v>
      </c>
      <c r="E116" s="7" t="s">
        <v>534</v>
      </c>
      <c r="F116" s="46" t="s">
        <v>545</v>
      </c>
      <c r="G116" s="57">
        <v>1</v>
      </c>
      <c r="H116" s="46" t="s">
        <v>273</v>
      </c>
      <c r="I116" s="123" t="s">
        <v>541</v>
      </c>
      <c r="J116" s="123" t="s">
        <v>249</v>
      </c>
      <c r="K116" s="46" t="s">
        <v>0</v>
      </c>
      <c r="L116" s="46" t="s">
        <v>0</v>
      </c>
      <c r="M116" s="43">
        <f t="shared" si="99"/>
        <v>11.055</v>
      </c>
      <c r="N116" s="9" t="s">
        <v>0</v>
      </c>
      <c r="O116" s="9" t="str">
        <f t="shared" si="58"/>
        <v>-</v>
      </c>
      <c r="P116" s="9" t="s">
        <v>0</v>
      </c>
      <c r="Q116" s="9" t="str">
        <f t="shared" si="59"/>
        <v>-</v>
      </c>
      <c r="R116" s="9" t="s">
        <v>0</v>
      </c>
      <c r="S116" s="9" t="str">
        <f t="shared" si="60"/>
        <v>-</v>
      </c>
      <c r="T116" s="9" t="s">
        <v>0</v>
      </c>
      <c r="U116" s="9" t="str">
        <f t="shared" si="61"/>
        <v>-</v>
      </c>
      <c r="V116" s="9" t="s">
        <v>0</v>
      </c>
      <c r="W116" s="9" t="str">
        <f t="shared" si="62"/>
        <v>-</v>
      </c>
      <c r="X116" s="9" t="s">
        <v>0</v>
      </c>
      <c r="Y116" s="9" t="str">
        <f t="shared" si="6"/>
        <v>-</v>
      </c>
      <c r="Z116" s="9" t="s">
        <v>0</v>
      </c>
      <c r="AA116" s="9" t="str">
        <f t="shared" si="7"/>
        <v>-</v>
      </c>
      <c r="AB116" s="9" t="s">
        <v>0</v>
      </c>
      <c r="AC116" s="9" t="str">
        <f t="shared" si="8"/>
        <v>-</v>
      </c>
      <c r="AD116" s="9" t="s">
        <v>0</v>
      </c>
      <c r="AE116" s="12" t="str">
        <f t="shared" si="9"/>
        <v>-</v>
      </c>
      <c r="AF116" s="29" t="s">
        <v>0</v>
      </c>
      <c r="AG116" s="29" t="s">
        <v>0</v>
      </c>
      <c r="AH116" s="29" t="s">
        <v>0</v>
      </c>
      <c r="AI116" s="29" t="s">
        <v>0</v>
      </c>
      <c r="AJ116" s="32" t="s">
        <v>0</v>
      </c>
      <c r="AK116" s="29" t="s">
        <v>0</v>
      </c>
      <c r="AL116" s="32" t="s">
        <v>0</v>
      </c>
      <c r="AM116" s="29" t="s">
        <v>0</v>
      </c>
      <c r="AN116" s="32" t="s">
        <v>0</v>
      </c>
      <c r="AO116" s="29" t="s">
        <v>0</v>
      </c>
      <c r="AP116" s="29" t="s">
        <v>0</v>
      </c>
      <c r="AQ116" s="32" t="s">
        <v>0</v>
      </c>
      <c r="AR116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16" s="9" t="str">
        <f t="shared" si="10"/>
        <v>-</v>
      </c>
      <c r="AT116" s="9" t="str">
        <f>IF(RIGHT(TMK[[#This Row],[Device type]],7)="Winding","-",TMK[[#This Row],[Cont Winter MVA]])</f>
        <v>-</v>
      </c>
      <c r="AU116" s="9" t="str">
        <f>IF(RIGHT(TMK[[#This Row],[Device type]],7)="Winding","-",TMK[[#This Row],[Cont Shoulder MVA]])</f>
        <v>-</v>
      </c>
      <c r="AV116" s="9" t="str">
        <f>IF(RIGHT(TMK[[#This Row],[Device type]],7)="Winding","-",TMK[[#This Row],[Cont Summer MVA]])</f>
        <v>-</v>
      </c>
      <c r="AW116" s="9" t="str">
        <f>IF(RIGHT(TMK[[#This Row],[Device type]],7)="Winding","-",TMK[[#This Row],[24 Hr Winter MVA]])</f>
        <v>-</v>
      </c>
      <c r="AX116" s="9" t="str">
        <f>IF(RIGHT(TMK[[#This Row],[Device type]],7)="Winding","-",TMK[[#This Row],[24 Hr Summer MVA]])</f>
        <v>-</v>
      </c>
      <c r="AY116" s="9" t="str">
        <f>TMK[[#This Row],[Forwards MVA]]</f>
        <v>-</v>
      </c>
      <c r="AZ116" s="9" t="str">
        <f>TMK[[#This Row],[Relay MVA]]</f>
        <v>-</v>
      </c>
      <c r="BA116" s="9" t="str">
        <f>TMK[[#This Row],[CT MVA]]</f>
        <v>-</v>
      </c>
      <c r="BB116" s="9" t="str">
        <f>TMK[[#This Row],[Derating MVA]]</f>
        <v>-</v>
      </c>
      <c r="BC116" s="9" t="str">
        <f>TMK[[#This Row],[Station/Feeder]]&amp;TMK[[#This Row],[Lowest MVA]]</f>
        <v>G194_Speechly</v>
      </c>
      <c r="BD116" s="9" t="str">
        <f>CONCATENATE(TMK[[#This Row],[Supply Level]],TMK[[#This Row],[Station/Feeder]],TMK[[#This Row],[Voltage]],TMK[[#This Row],[Lowest A-No PTX]])</f>
        <v>DistributionFeederG194_Speechly11.055</v>
      </c>
      <c r="BE116" s="9" t="str">
        <f>CONCATENATE(TMK[[#This Row],[Supply Level]],TMK[[#This Row],[Station/Feeder]],TMK[[#This Row],[Voltage]],TMK[[#This Row],[Lowest A-PTX]])</f>
        <v>DistributionFeederG194_Speechly11.055</v>
      </c>
      <c r="BF116" s="9" t="str">
        <f>IFERROR(IF(MIN(TMK[[#This Row],[Summ Cont Winter A]:[Cable Derating]])=0,"",MIN(TMK[[#This Row],[Summ Cont Winter A]:[Cable Derating]])),"")</f>
        <v/>
      </c>
      <c r="BG116" s="9" t="str">
        <f>IFERROR(TMK[[#This Row],[Lowest MVA]]*1000/(TMK[[#This Row],[Voltage]]*SQRT(3)),"")</f>
        <v/>
      </c>
      <c r="BH116" s="9" t="str">
        <f t="shared" si="63"/>
        <v/>
      </c>
      <c r="BI116" s="9" t="str">
        <f>TMK[[#This Row],[From]]</f>
        <v>G222</v>
      </c>
      <c r="BJ116" s="9" t="str">
        <f>TMK[[#This Row],[To]]</f>
        <v>Pole 03224</v>
      </c>
      <c r="BK11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Link-G193</v>
      </c>
      <c r="BL116" s="9">
        <f>TMK[[#This Row],[Voltage]]</f>
        <v>11.055</v>
      </c>
    </row>
    <row r="117" spans="1:64" s="1" customFormat="1" x14ac:dyDescent="0.25">
      <c r="A117" s="6" t="str">
        <f>CONCATENATE(TMK[[#This Row],[Supply Level]],TMK[[#This Row],[Station/Feeder]],TMK[[#This Row],[Voltage]])</f>
        <v>DistributionFeederG194_Speechly11.055</v>
      </c>
      <c r="B117" s="6" t="str">
        <f>CONCATENATE(TMK[[#This Row],[Supply Level]],TMK[[#This Row],[Station/Feeder]],TMK[[#This Row],[Equipment ID]],TMK[[#This Row],[Voltage]],TMK[[#This Row],[Device type]])</f>
        <v>DistributionFeederG194_SpeechlyGLD-G19411.055Protection</v>
      </c>
      <c r="C117" s="6" t="s">
        <v>1276</v>
      </c>
      <c r="D117" s="11" t="s">
        <v>96</v>
      </c>
      <c r="E117" s="7" t="s">
        <v>534</v>
      </c>
      <c r="F117" s="46" t="s">
        <v>545</v>
      </c>
      <c r="G117" s="57">
        <v>2</v>
      </c>
      <c r="H117" s="46" t="s">
        <v>343</v>
      </c>
      <c r="I117" s="123" t="s">
        <v>2435</v>
      </c>
      <c r="J117" s="123" t="s">
        <v>15</v>
      </c>
      <c r="K117" s="46" t="s">
        <v>540</v>
      </c>
      <c r="L117" s="46" t="s">
        <v>1423</v>
      </c>
      <c r="M117" s="43">
        <f t="shared" si="99"/>
        <v>11.055</v>
      </c>
      <c r="N117" s="9">
        <v>630</v>
      </c>
      <c r="O117" s="9">
        <f t="shared" si="58"/>
        <v>12.063127656934579</v>
      </c>
      <c r="P117" s="9">
        <v>630</v>
      </c>
      <c r="Q117" s="9">
        <f t="shared" si="59"/>
        <v>12.063127656934579</v>
      </c>
      <c r="R117" s="9">
        <v>630</v>
      </c>
      <c r="S117" s="9">
        <f t="shared" si="60"/>
        <v>12.063127656934579</v>
      </c>
      <c r="T117" s="9" t="s">
        <v>0</v>
      </c>
      <c r="U117" s="9" t="str">
        <f t="shared" si="61"/>
        <v>-</v>
      </c>
      <c r="V117" s="9" t="s">
        <v>0</v>
      </c>
      <c r="W117" s="9" t="str">
        <f t="shared" si="62"/>
        <v>-</v>
      </c>
      <c r="X117" s="9">
        <f>VLOOKUP(TMK[[#This Row],[Equipment ID]],AEL_Protection_Data[#All],12,0)</f>
        <v>350</v>
      </c>
      <c r="Y117" s="9">
        <f t="shared" si="6"/>
        <v>6.7017375871858782</v>
      </c>
      <c r="Z117" s="9">
        <v>300</v>
      </c>
      <c r="AA117" s="9">
        <f t="shared" si="7"/>
        <v>5.7443465033021814</v>
      </c>
      <c r="AB117" s="9" t="s">
        <v>0</v>
      </c>
      <c r="AC117" s="9" t="str">
        <f t="shared" si="8"/>
        <v>-</v>
      </c>
      <c r="AD117" s="9">
        <v>2000</v>
      </c>
      <c r="AE117" s="12">
        <f t="shared" si="9"/>
        <v>38.295643355347877</v>
      </c>
      <c r="AF117" s="29" t="s">
        <v>0</v>
      </c>
      <c r="AG117" s="29" t="s">
        <v>0</v>
      </c>
      <c r="AH117" s="29" t="s">
        <v>0</v>
      </c>
      <c r="AI117" s="29" t="s">
        <v>0</v>
      </c>
      <c r="AJ117" s="32" t="s">
        <v>0</v>
      </c>
      <c r="AK117" s="29" t="s">
        <v>0</v>
      </c>
      <c r="AL117" s="32" t="s">
        <v>0</v>
      </c>
      <c r="AM117" s="29" t="s">
        <v>0</v>
      </c>
      <c r="AN117" s="32" t="s">
        <v>0</v>
      </c>
      <c r="AO117" s="29" t="s">
        <v>0</v>
      </c>
      <c r="AP117" s="29" t="s">
        <v>0</v>
      </c>
      <c r="AQ117" s="32" t="s">
        <v>0</v>
      </c>
      <c r="AR117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17" s="9" t="str">
        <f t="shared" si="10"/>
        <v>-</v>
      </c>
      <c r="AT117" s="9">
        <f>IF(RIGHT(TMK[[#This Row],[Device type]],7)="Winding","-",TMK[[#This Row],[Cont Winter MVA]])</f>
        <v>12.063127656934579</v>
      </c>
      <c r="AU117" s="9">
        <f>IF(RIGHT(TMK[[#This Row],[Device type]],7)="Winding","-",TMK[[#This Row],[Cont Shoulder MVA]])</f>
        <v>12.063127656934579</v>
      </c>
      <c r="AV117" s="9">
        <f>IF(RIGHT(TMK[[#This Row],[Device type]],7)="Winding","-",TMK[[#This Row],[Cont Summer MVA]])</f>
        <v>12.063127656934579</v>
      </c>
      <c r="AW117" s="9" t="str">
        <f>IF(RIGHT(TMK[[#This Row],[Device type]],7)="Winding","-",TMK[[#This Row],[24 Hr Winter MVA]])</f>
        <v>-</v>
      </c>
      <c r="AX117" s="9" t="str">
        <f>IF(RIGHT(TMK[[#This Row],[Device type]],7)="Winding","-",TMK[[#This Row],[24 Hr Summer MVA]])</f>
        <v>-</v>
      </c>
      <c r="AY117" s="9">
        <f>TMK[[#This Row],[Forwards MVA]]</f>
        <v>6.7017375871858782</v>
      </c>
      <c r="AZ117" s="9" t="str">
        <f>TMK[[#This Row],[Relay MVA]]</f>
        <v>-</v>
      </c>
      <c r="BA117" s="9">
        <f>TMK[[#This Row],[CT MVA]]</f>
        <v>38.295643355347877</v>
      </c>
      <c r="BB117" s="9" t="str">
        <f>TMK[[#This Row],[Derating MVA]]</f>
        <v>-</v>
      </c>
      <c r="BC117" s="9" t="str">
        <f>TMK[[#This Row],[Station/Feeder]]&amp;TMK[[#This Row],[Lowest MVA]]</f>
        <v>G194_Speechly6.70173758718588</v>
      </c>
      <c r="BD117" s="9" t="str">
        <f>CONCATENATE(TMK[[#This Row],[Supply Level]],TMK[[#This Row],[Station/Feeder]],TMK[[#This Row],[Voltage]],TMK[[#This Row],[Lowest A-No PTX]])</f>
        <v>DistributionFeederG194_Speechly11.055350</v>
      </c>
      <c r="BE117" s="9" t="str">
        <f>CONCATENATE(TMK[[#This Row],[Supply Level]],TMK[[#This Row],[Station/Feeder]],TMK[[#This Row],[Voltage]],TMK[[#This Row],[Lowest A-PTX]])</f>
        <v>DistributionFeederG194_Speechly11.055300</v>
      </c>
      <c r="BF117" s="9">
        <f>IFERROR(IF(MIN(TMK[[#This Row],[Summ Cont Winter A]:[Cable Derating]])=0,"",MIN(TMK[[#This Row],[Summ Cont Winter A]:[Cable Derating]])),"")</f>
        <v>6.7017375871858782</v>
      </c>
      <c r="BG117" s="9">
        <f>IFERROR(TMK[[#This Row],[Lowest MVA]]*1000/(TMK[[#This Row],[Voltage]]*SQRT(3)),"")</f>
        <v>350.00000000000006</v>
      </c>
      <c r="BH117" s="9">
        <f t="shared" si="63"/>
        <v>300</v>
      </c>
      <c r="BI117" s="9" t="str">
        <f>TMK[[#This Row],[From]]</f>
        <v>G222</v>
      </c>
      <c r="BJ117" s="9" t="str">
        <f>TMK[[#This Row],[To]]</f>
        <v>Pole 03224</v>
      </c>
      <c r="BK11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Breaker-GLD-G194-Protection</v>
      </c>
      <c r="BL117" s="9">
        <f>TMK[[#This Row],[Voltage]]</f>
        <v>11.055</v>
      </c>
    </row>
    <row r="118" spans="1:64" s="1" customFormat="1" x14ac:dyDescent="0.25">
      <c r="A118" s="6" t="str">
        <f>CONCATENATE(TMK[[#This Row],[Supply Level]],TMK[[#This Row],[Station/Feeder]],TMK[[#This Row],[Voltage]])</f>
        <v>DistributionFeederG194_Speechly11.055</v>
      </c>
      <c r="B118" s="6" t="str">
        <f>CONCATENATE(TMK[[#This Row],[Supply Level]],TMK[[#This Row],[Station/Feeder]],TMK[[#This Row],[Equipment ID]],TMK[[#This Row],[Voltage]],TMK[[#This Row],[Device type]])</f>
        <v>DistributionFeederG194_SpeechlyG19511.055-</v>
      </c>
      <c r="C118" s="6" t="s">
        <v>1276</v>
      </c>
      <c r="D118" s="11" t="s">
        <v>96</v>
      </c>
      <c r="E118" s="7" t="s">
        <v>534</v>
      </c>
      <c r="F118" s="46" t="s">
        <v>545</v>
      </c>
      <c r="G118" s="57">
        <v>3</v>
      </c>
      <c r="H118" s="46" t="s">
        <v>273</v>
      </c>
      <c r="I118" s="123" t="s">
        <v>543</v>
      </c>
      <c r="J118" s="123" t="s">
        <v>249</v>
      </c>
      <c r="K118" s="46" t="s">
        <v>0</v>
      </c>
      <c r="L118" s="46" t="s">
        <v>0</v>
      </c>
      <c r="M118" s="43">
        <f t="shared" si="99"/>
        <v>11.055</v>
      </c>
      <c r="N118" s="9" t="s">
        <v>0</v>
      </c>
      <c r="O118" s="9" t="str">
        <f t="shared" si="58"/>
        <v>-</v>
      </c>
      <c r="P118" s="9" t="s">
        <v>0</v>
      </c>
      <c r="Q118" s="9" t="str">
        <f t="shared" si="59"/>
        <v>-</v>
      </c>
      <c r="R118" s="9" t="s">
        <v>0</v>
      </c>
      <c r="S118" s="9" t="str">
        <f t="shared" si="60"/>
        <v>-</v>
      </c>
      <c r="T118" s="9" t="s">
        <v>0</v>
      </c>
      <c r="U118" s="9" t="str">
        <f t="shared" si="61"/>
        <v>-</v>
      </c>
      <c r="V118" s="9" t="s">
        <v>0</v>
      </c>
      <c r="W118" s="9" t="str">
        <f t="shared" si="62"/>
        <v>-</v>
      </c>
      <c r="X118" s="9" t="s">
        <v>0</v>
      </c>
      <c r="Y118" s="9" t="str">
        <f t="shared" si="6"/>
        <v>-</v>
      </c>
      <c r="Z118" s="9" t="s">
        <v>0</v>
      </c>
      <c r="AA118" s="9" t="str">
        <f t="shared" si="7"/>
        <v>-</v>
      </c>
      <c r="AB118" s="9" t="s">
        <v>0</v>
      </c>
      <c r="AC118" s="9" t="str">
        <f t="shared" si="8"/>
        <v>-</v>
      </c>
      <c r="AD118" s="9" t="s">
        <v>0</v>
      </c>
      <c r="AE118" s="12" t="str">
        <f t="shared" si="9"/>
        <v>-</v>
      </c>
      <c r="AF118" s="29" t="s">
        <v>0</v>
      </c>
      <c r="AG118" s="29" t="s">
        <v>0</v>
      </c>
      <c r="AH118" s="29" t="s">
        <v>0</v>
      </c>
      <c r="AI118" s="29" t="s">
        <v>0</v>
      </c>
      <c r="AJ118" s="32" t="s">
        <v>0</v>
      </c>
      <c r="AK118" s="29" t="s">
        <v>0</v>
      </c>
      <c r="AL118" s="32" t="s">
        <v>0</v>
      </c>
      <c r="AM118" s="29" t="s">
        <v>0</v>
      </c>
      <c r="AN118" s="32" t="s">
        <v>0</v>
      </c>
      <c r="AO118" s="29" t="s">
        <v>0</v>
      </c>
      <c r="AP118" s="29" t="s">
        <v>0</v>
      </c>
      <c r="AQ118" s="32" t="s">
        <v>0</v>
      </c>
      <c r="AR118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18" s="9" t="str">
        <f t="shared" si="10"/>
        <v>-</v>
      </c>
      <c r="AT118" s="9" t="str">
        <f>IF(RIGHT(TMK[[#This Row],[Device type]],7)="Winding","-",TMK[[#This Row],[Cont Winter MVA]])</f>
        <v>-</v>
      </c>
      <c r="AU118" s="9" t="str">
        <f>IF(RIGHT(TMK[[#This Row],[Device type]],7)="Winding","-",TMK[[#This Row],[Cont Shoulder MVA]])</f>
        <v>-</v>
      </c>
      <c r="AV118" s="9" t="str">
        <f>IF(RIGHT(TMK[[#This Row],[Device type]],7)="Winding","-",TMK[[#This Row],[Cont Summer MVA]])</f>
        <v>-</v>
      </c>
      <c r="AW118" s="9" t="str">
        <f>IF(RIGHT(TMK[[#This Row],[Device type]],7)="Winding","-",TMK[[#This Row],[24 Hr Winter MVA]])</f>
        <v>-</v>
      </c>
      <c r="AX118" s="9" t="str">
        <f>IF(RIGHT(TMK[[#This Row],[Device type]],7)="Winding","-",TMK[[#This Row],[24 Hr Summer MVA]])</f>
        <v>-</v>
      </c>
      <c r="AY118" s="9" t="str">
        <f>TMK[[#This Row],[Forwards MVA]]</f>
        <v>-</v>
      </c>
      <c r="AZ118" s="9" t="str">
        <f>TMK[[#This Row],[Relay MVA]]</f>
        <v>-</v>
      </c>
      <c r="BA118" s="9" t="str">
        <f>TMK[[#This Row],[CT MVA]]</f>
        <v>-</v>
      </c>
      <c r="BB118" s="9" t="str">
        <f>TMK[[#This Row],[Derating MVA]]</f>
        <v>-</v>
      </c>
      <c r="BC118" s="9" t="str">
        <f>TMK[[#This Row],[Station/Feeder]]&amp;TMK[[#This Row],[Lowest MVA]]</f>
        <v>G194_Speechly</v>
      </c>
      <c r="BD118" s="9" t="str">
        <f>CONCATENATE(TMK[[#This Row],[Supply Level]],TMK[[#This Row],[Station/Feeder]],TMK[[#This Row],[Voltage]],TMK[[#This Row],[Lowest A-No PTX]])</f>
        <v>DistributionFeederG194_Speechly11.055</v>
      </c>
      <c r="BE118" s="9" t="str">
        <f>CONCATENATE(TMK[[#This Row],[Supply Level]],TMK[[#This Row],[Station/Feeder]],TMK[[#This Row],[Voltage]],TMK[[#This Row],[Lowest A-PTX]])</f>
        <v>DistributionFeederG194_Speechly11.055</v>
      </c>
      <c r="BF118" s="9" t="str">
        <f>IFERROR(IF(MIN(TMK[[#This Row],[Summ Cont Winter A]:[Cable Derating]])=0,"",MIN(TMK[[#This Row],[Summ Cont Winter A]:[Cable Derating]])),"")</f>
        <v/>
      </c>
      <c r="BG118" s="9" t="str">
        <f>IFERROR(TMK[[#This Row],[Lowest MVA]]*1000/(TMK[[#This Row],[Voltage]]*SQRT(3)),"")</f>
        <v/>
      </c>
      <c r="BH118" s="9" t="str">
        <f t="shared" si="63"/>
        <v/>
      </c>
      <c r="BI118" s="9" t="str">
        <f>TMK[[#This Row],[From]]</f>
        <v>G222</v>
      </c>
      <c r="BJ118" s="9" t="str">
        <f>TMK[[#This Row],[To]]</f>
        <v>Pole 03224</v>
      </c>
      <c r="BK11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Link-G195</v>
      </c>
      <c r="BL118" s="9">
        <f>TMK[[#This Row],[Voltage]]</f>
        <v>11.055</v>
      </c>
    </row>
    <row r="119" spans="1:64" s="1" customFormat="1" x14ac:dyDescent="0.25">
      <c r="A119" s="6" t="str">
        <f>CONCATENATE(TMK[[#This Row],[Supply Level]],TMK[[#This Row],[Station/Feeder]],TMK[[#This Row],[Voltage]])</f>
        <v>DistributionFeederG194_Speechly11.055</v>
      </c>
      <c r="B119" s="6" t="str">
        <f>CONCATENATE(TMK[[#This Row],[Supply Level]],TMK[[#This Row],[Station/Feeder]],TMK[[#This Row],[Equipment ID]],TMK[[#This Row],[Voltage]],TMK[[#This Row],[Device type]])</f>
        <v>DistributionFeederG194_Speechly70mm211.055</v>
      </c>
      <c r="C119" s="6" t="s">
        <v>1276</v>
      </c>
      <c r="D119" s="6" t="s">
        <v>96</v>
      </c>
      <c r="E119" s="7" t="s">
        <v>543</v>
      </c>
      <c r="F119" s="46" t="s">
        <v>2848</v>
      </c>
      <c r="G119" s="57">
        <v>4</v>
      </c>
      <c r="H119" s="46" t="s">
        <v>1289</v>
      </c>
      <c r="I119" s="123" t="s">
        <v>2847</v>
      </c>
      <c r="J119" s="123" t="s">
        <v>69</v>
      </c>
      <c r="K119" s="46"/>
      <c r="L119" s="46"/>
      <c r="M119" s="43">
        <f t="shared" si="99"/>
        <v>11.055</v>
      </c>
      <c r="N119" s="9"/>
      <c r="O119" s="9" t="str">
        <f>IF(OR(N119="",N119="-"),"-",N119*$M119*SQRT(3)/1000)</f>
        <v>-</v>
      </c>
      <c r="P119" s="9"/>
      <c r="Q119" s="9" t="str">
        <f>IF(OR(P119="",P119="-"),"-",P119*$M119*SQRT(3)/1000)</f>
        <v>-</v>
      </c>
      <c r="R119" s="9">
        <v>247</v>
      </c>
      <c r="S119" s="9">
        <f>IF(OR(R119="",R119="-"),"-",R119*$M119*SQRT(3)/1000)</f>
        <v>4.7295119543854627</v>
      </c>
      <c r="T119" s="9"/>
      <c r="U119" s="9" t="str">
        <f>IF(OR(T119="",T119="-"),"-",T119*$M119*SQRT(3)/1000)</f>
        <v>-</v>
      </c>
      <c r="V119" s="9"/>
      <c r="W119" s="9" t="str">
        <f>IF(OR(V119="",V119="-"),"-",V119*$M119*SQRT(3)/1000)</f>
        <v>-</v>
      </c>
      <c r="X119" s="9"/>
      <c r="Y119" s="9" t="str">
        <f>IF(OR(X119="",X119="-"),"-",X119*$M119*SQRT(3)/1000)</f>
        <v>-</v>
      </c>
      <c r="Z119" s="9"/>
      <c r="AA119" s="9" t="str">
        <f>IF(OR(Z119="",Z119="-"),"-",Z119*$M119*SQRT(3)/1000)</f>
        <v>-</v>
      </c>
      <c r="AB119" s="9"/>
      <c r="AC119" s="9" t="str">
        <f>IF(OR(AB119="",AB119="-"),"-",AB119*$M119*SQRT(3)/1000)</f>
        <v>-</v>
      </c>
      <c r="AD119" s="9"/>
      <c r="AE119" s="9" t="str">
        <f>IF(OR(AD119="",AD119="-"),"-",AD119*$M119*SQRT(3)/1000)</f>
        <v>-</v>
      </c>
      <c r="AF119" s="9"/>
      <c r="AG119" s="9"/>
      <c r="AH119" s="9"/>
      <c r="AI119" s="9"/>
      <c r="AJ119" s="43"/>
      <c r="AK119" s="9"/>
      <c r="AL119" s="43"/>
      <c r="AM119" s="9"/>
      <c r="AN119" s="43"/>
      <c r="AO119" s="9"/>
      <c r="AP119" s="43"/>
      <c r="AQ119" s="43"/>
      <c r="AR11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19" s="9" t="str">
        <f>IF(OR(AR119="",AR119="-"),"-",AR119*$M119*SQRT(3)/1000)</f>
        <v>-</v>
      </c>
      <c r="AT119" s="9" t="str">
        <f>IF(RIGHT(TMK[[#This Row],[Device type]],7)="Winding","-",TMK[[#This Row],[Cont Winter MVA]])</f>
        <v>-</v>
      </c>
      <c r="AU119" s="9" t="str">
        <f>IF(RIGHT(TMK[[#This Row],[Device type]],7)="Winding","-",TMK[[#This Row],[Cont Shoulder MVA]])</f>
        <v>-</v>
      </c>
      <c r="AV119" s="9">
        <f>IF(RIGHT(TMK[[#This Row],[Device type]],7)="Winding","-",TMK[[#This Row],[Cont Summer MVA]])</f>
        <v>4.7295119543854627</v>
      </c>
      <c r="AW119" s="9" t="str">
        <f>IF(RIGHT(TMK[[#This Row],[Device type]],7)="Winding","-",TMK[[#This Row],[24 Hr Winter MVA]])</f>
        <v>-</v>
      </c>
      <c r="AX119" s="9" t="str">
        <f>IF(RIGHT(TMK[[#This Row],[Device type]],7)="Winding","-",TMK[[#This Row],[24 Hr Summer MVA]])</f>
        <v>-</v>
      </c>
      <c r="AY119" s="9" t="str">
        <f>TMK[[#This Row],[Forwards MVA]]</f>
        <v>-</v>
      </c>
      <c r="AZ119" s="9" t="str">
        <f>TMK[[#This Row],[Relay MVA]]</f>
        <v>-</v>
      </c>
      <c r="BA119" s="9" t="str">
        <f>TMK[[#This Row],[CT MVA]]</f>
        <v>-</v>
      </c>
      <c r="BB119" s="9" t="str">
        <f>TMK[[#This Row],[Derating MVA]]</f>
        <v>-</v>
      </c>
      <c r="BC119" s="9" t="str">
        <f>TMK[[#This Row],[Station/Feeder]]&amp;TMK[[#This Row],[Lowest MVA]]</f>
        <v>G194_Speechly4.72951195438546</v>
      </c>
      <c r="BD119" s="9" t="str">
        <f>CONCATENATE(TMK[[#This Row],[Supply Level]],TMK[[#This Row],[Station/Feeder]],TMK[[#This Row],[Voltage]],TMK[[#This Row],[Lowest A-No PTX]])</f>
        <v>DistributionFeederG194_Speechly11.055247</v>
      </c>
      <c r="BE119" s="9" t="str">
        <f>CONCATENATE(TMK[[#This Row],[Supply Level]],TMK[[#This Row],[Station/Feeder]],TMK[[#This Row],[Voltage]],TMK[[#This Row],[Lowest A-PTX]])</f>
        <v>DistributionFeederG194_Speechly11.055247</v>
      </c>
      <c r="BF119" s="9">
        <f>IFERROR(IF(MIN(TMK[[#This Row],[Summ Cont Winter A]:[Cable Derating]])=0,"",MIN(TMK[[#This Row],[Summ Cont Winter A]:[Cable Derating]])),"")</f>
        <v>4.7295119543854627</v>
      </c>
      <c r="BG119" s="9">
        <f>IFERROR(TMK[[#This Row],[Lowest MVA]]*1000/(TMK[[#This Row],[Voltage]]*SQRT(3)),"")</f>
        <v>247.00000000000003</v>
      </c>
      <c r="BH119" s="9">
        <f>IF(MIN(N119,P119,R119,T119,V119,X119,Z119,AB119,AD119,AR119)=0,"",MIN(N119,P119,R119,T119,V119,X119,Z119,AB119,AD119,AR119))</f>
        <v>247</v>
      </c>
      <c r="BI119" s="9" t="str">
        <f>TMK[[#This Row],[From]]</f>
        <v>G195</v>
      </c>
      <c r="BJ119" s="9" t="str">
        <f>TMK[[#This Row],[To]]</f>
        <v>G318</v>
      </c>
      <c r="BK119" s="46" t="str">
        <f>IF(TMK[[#This Row],[Device type]]="-",TMK[[#This Row],[Equipment Type]]&amp;" - "&amp;TMK[[#This Row],[Equipment ID]],TMK[[#This Row],[Equipment Type]]&amp;" - "&amp;TMK[[#This Row],[Equipment ID]]&amp;" - "&amp;TMK[[#This Row],[Device type]])</f>
        <v xml:space="preserve">OH Line - 70mm2 - </v>
      </c>
      <c r="BL119" s="9">
        <f>TMK[[#This Row],[Voltage]]</f>
        <v>11.055</v>
      </c>
    </row>
    <row r="120" spans="1:64" s="1" customFormat="1" x14ac:dyDescent="0.25">
      <c r="A120" s="6" t="str">
        <f>CONCATENATE(TMK[[#This Row],[Supply Level]],TMK[[#This Row],[Station/Feeder]],TMK[[#This Row],[Voltage]])</f>
        <v>DistributionFeederG194_Speechly11.055</v>
      </c>
      <c r="B120" s="6" t="str">
        <f>CONCATENATE(TMK[[#This Row],[Supply Level]],TMK[[#This Row],[Station/Feeder]],TMK[[#This Row],[Equipment ID]],TMK[[#This Row],[Voltage]],TMK[[#This Row],[Device type]])</f>
        <v>DistributionFeederG194_SpeechlyG31811.055-</v>
      </c>
      <c r="C120" s="6" t="s">
        <v>1276</v>
      </c>
      <c r="D120" s="6" t="s">
        <v>96</v>
      </c>
      <c r="E120" s="7" t="s">
        <v>543</v>
      </c>
      <c r="F120" s="46" t="s">
        <v>2849</v>
      </c>
      <c r="G120" s="57">
        <v>5</v>
      </c>
      <c r="H120" s="46" t="s">
        <v>273</v>
      </c>
      <c r="I120" s="123" t="s">
        <v>2848</v>
      </c>
      <c r="J120" s="123" t="s">
        <v>240</v>
      </c>
      <c r="K120" s="46" t="s">
        <v>0</v>
      </c>
      <c r="L120" s="46" t="s">
        <v>0</v>
      </c>
      <c r="M120" s="43">
        <f t="shared" si="99"/>
        <v>11.055</v>
      </c>
      <c r="N120" s="9">
        <v>400</v>
      </c>
      <c r="O120" s="9">
        <f>IF(OR(N120="",N120="-"),"-",N120*$M120*SQRT(3)/1000)</f>
        <v>7.659128671069575</v>
      </c>
      <c r="P120" s="9"/>
      <c r="Q120" s="9" t="str">
        <f>IF(OR(P120="",P120="-"),"-",P120*$M120*SQRT(3)/1000)</f>
        <v>-</v>
      </c>
      <c r="R120" s="9"/>
      <c r="S120" s="9" t="str">
        <f>IF(OR(R120="",R120="-"),"-",R120*$M120*SQRT(3)/1000)</f>
        <v>-</v>
      </c>
      <c r="T120" s="9"/>
      <c r="U120" s="9" t="str">
        <f>IF(OR(T120="",T120="-"),"-",T120*$M120*SQRT(3)/1000)</f>
        <v>-</v>
      </c>
      <c r="V120" s="9"/>
      <c r="W120" s="9" t="str">
        <f>IF(OR(V120="",V120="-"),"-",V120*$M120*SQRT(3)/1000)</f>
        <v>-</v>
      </c>
      <c r="X120" s="9"/>
      <c r="Y120" s="9" t="str">
        <f>IF(OR(X120="",X120="-"),"-",X120*$M120*SQRT(3)/1000)</f>
        <v>-</v>
      </c>
      <c r="Z120" s="9"/>
      <c r="AA120" s="9" t="str">
        <f>IF(OR(Z120="",Z120="-"),"-",Z120*$M120*SQRT(3)/1000)</f>
        <v>-</v>
      </c>
      <c r="AB120" s="9"/>
      <c r="AC120" s="9" t="str">
        <f>IF(OR(AB120="",AB120="-"),"-",AB120*$M120*SQRT(3)/1000)</f>
        <v>-</v>
      </c>
      <c r="AD120" s="9"/>
      <c r="AE120" s="9" t="str">
        <f>IF(OR(AD120="",AD120="-"),"-",AD120*$M120*SQRT(3)/1000)</f>
        <v>-</v>
      </c>
      <c r="AF120" s="9"/>
      <c r="AG120" s="9"/>
      <c r="AH120" s="9"/>
      <c r="AI120" s="9"/>
      <c r="AJ120" s="43"/>
      <c r="AK120" s="9"/>
      <c r="AL120" s="43"/>
      <c r="AM120" s="9"/>
      <c r="AN120" s="43"/>
      <c r="AO120" s="9"/>
      <c r="AP120" s="43"/>
      <c r="AQ120" s="43"/>
      <c r="AR120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20" s="9" t="str">
        <f>IF(OR(AR120="",AR120="-"),"-",AR120*$M120*SQRT(3)/1000)</f>
        <v>-</v>
      </c>
      <c r="AT120" s="9">
        <f>IF(RIGHT(TMK[[#This Row],[Device type]],7)="Winding","-",TMK[[#This Row],[Cont Winter MVA]])</f>
        <v>7.659128671069575</v>
      </c>
      <c r="AU120" s="9" t="str">
        <f>IF(RIGHT(TMK[[#This Row],[Device type]],7)="Winding","-",TMK[[#This Row],[Cont Shoulder MVA]])</f>
        <v>-</v>
      </c>
      <c r="AV120" s="9" t="str">
        <f>IF(RIGHT(TMK[[#This Row],[Device type]],7)="Winding","-",TMK[[#This Row],[Cont Summer MVA]])</f>
        <v>-</v>
      </c>
      <c r="AW120" s="9" t="str">
        <f>IF(RIGHT(TMK[[#This Row],[Device type]],7)="Winding","-",TMK[[#This Row],[24 Hr Winter MVA]])</f>
        <v>-</v>
      </c>
      <c r="AX120" s="9" t="str">
        <f>IF(RIGHT(TMK[[#This Row],[Device type]],7)="Winding","-",TMK[[#This Row],[24 Hr Summer MVA]])</f>
        <v>-</v>
      </c>
      <c r="AY120" s="9" t="str">
        <f>TMK[[#This Row],[Forwards MVA]]</f>
        <v>-</v>
      </c>
      <c r="AZ120" s="9" t="str">
        <f>TMK[[#This Row],[Relay MVA]]</f>
        <v>-</v>
      </c>
      <c r="BA120" s="9" t="str">
        <f>TMK[[#This Row],[CT MVA]]</f>
        <v>-</v>
      </c>
      <c r="BB120" s="9" t="str">
        <f>TMK[[#This Row],[Derating MVA]]</f>
        <v>-</v>
      </c>
      <c r="BC120" s="9" t="str">
        <f>TMK[[#This Row],[Station/Feeder]]&amp;TMK[[#This Row],[Lowest MVA]]</f>
        <v>G194_Speechly7.65912867106957</v>
      </c>
      <c r="BD120" s="9" t="str">
        <f>CONCATENATE(TMK[[#This Row],[Supply Level]],TMK[[#This Row],[Station/Feeder]],TMK[[#This Row],[Voltage]],TMK[[#This Row],[Lowest A-No PTX]])</f>
        <v>DistributionFeederG194_Speechly11.055400</v>
      </c>
      <c r="BE120" s="9" t="str">
        <f>CONCATENATE(TMK[[#This Row],[Supply Level]],TMK[[#This Row],[Station/Feeder]],TMK[[#This Row],[Voltage]],TMK[[#This Row],[Lowest A-PTX]])</f>
        <v>DistributionFeederG194_Speechly11.055400</v>
      </c>
      <c r="BF120" s="9">
        <f>IFERROR(IF(MIN(TMK[[#This Row],[Summ Cont Winter A]:[Cable Derating]])=0,"",MIN(TMK[[#This Row],[Summ Cont Winter A]:[Cable Derating]])),"")</f>
        <v>7.659128671069575</v>
      </c>
      <c r="BG120" s="9">
        <f>IFERROR(TMK[[#This Row],[Lowest MVA]]*1000/(TMK[[#This Row],[Voltage]]*SQRT(3)),"")</f>
        <v>400.00000000000006</v>
      </c>
      <c r="BH120" s="9">
        <f>IF(MIN(N120,P120,R120,T120,V120,X120,Z120,AB120,AD120,AR120)=0,"",MIN(N120,P120,R120,T120,V120,X120,Z120,AB120,AD120,AR120))</f>
        <v>400</v>
      </c>
      <c r="BI120" s="9" t="str">
        <f>TMK[[#This Row],[From]]</f>
        <v>G195</v>
      </c>
      <c r="BJ120" s="9" t="str">
        <f>TMK[[#This Row],[To]]</f>
        <v>Pole 53271</v>
      </c>
      <c r="BK120" s="46" t="str">
        <f>IF(TMK[[#This Row],[Device type]]="-",TMK[[#This Row],[Equipment Type]]&amp;" - "&amp;TMK[[#This Row],[Equipment ID]],TMK[[#This Row],[Equipment Type]]&amp;" - "&amp;TMK[[#This Row],[Equipment ID]]&amp;" - "&amp;TMK[[#This Row],[Device type]])</f>
        <v>ABS - G318</v>
      </c>
      <c r="BL120" s="9">
        <f>TMK[[#This Row],[Voltage]]</f>
        <v>11.055</v>
      </c>
    </row>
    <row r="121" spans="1:64" s="1" customFormat="1" x14ac:dyDescent="0.25">
      <c r="A121" s="6" t="str">
        <f>CONCATENATE(TMK[[#This Row],[Supply Level]],TMK[[#This Row],[Station/Feeder]],TMK[[#This Row],[Voltage]])</f>
        <v>DistributionFeederG194_Speechly11.055</v>
      </c>
      <c r="B121" s="6" t="str">
        <f>CONCATENATE(TMK[[#This Row],[Supply Level]],TMK[[#This Row],[Station/Feeder]],TMK[[#This Row],[Equipment ID]],TMK[[#This Row],[Voltage]],TMK[[#This Row],[Device type]])</f>
        <v>DistributionFeederG194_SpeechlyMINK11.055-</v>
      </c>
      <c r="C121" s="6" t="s">
        <v>1276</v>
      </c>
      <c r="D121" s="11" t="s">
        <v>96</v>
      </c>
      <c r="E121" s="7" t="s">
        <v>534</v>
      </c>
      <c r="F121" s="46" t="s">
        <v>545</v>
      </c>
      <c r="G121" s="57">
        <v>4</v>
      </c>
      <c r="H121" s="46" t="s">
        <v>1289</v>
      </c>
      <c r="I121" s="123" t="s">
        <v>282</v>
      </c>
      <c r="J121" s="123" t="s">
        <v>69</v>
      </c>
      <c r="K121" s="46" t="s">
        <v>0</v>
      </c>
      <c r="L121" s="46" t="s">
        <v>0</v>
      </c>
      <c r="M121" s="43">
        <f t="shared" si="99"/>
        <v>11.055</v>
      </c>
      <c r="N121" s="9">
        <v>250.58233772128858</v>
      </c>
      <c r="O121" s="9">
        <f t="shared" si="58"/>
        <v>4.7981059182619008</v>
      </c>
      <c r="P121" s="9" t="s">
        <v>0</v>
      </c>
      <c r="Q121" s="9" t="str">
        <f t="shared" si="59"/>
        <v>-</v>
      </c>
      <c r="R121" s="9">
        <v>188.62660722014468</v>
      </c>
      <c r="S121" s="9">
        <f t="shared" si="60"/>
        <v>3.6117886387159737</v>
      </c>
      <c r="T121" s="9" t="s">
        <v>0</v>
      </c>
      <c r="U121" s="9" t="str">
        <f t="shared" si="61"/>
        <v>-</v>
      </c>
      <c r="V121" s="9" t="s">
        <v>0</v>
      </c>
      <c r="W121" s="9" t="str">
        <f t="shared" si="62"/>
        <v>-</v>
      </c>
      <c r="X121" s="9" t="s">
        <v>0</v>
      </c>
      <c r="Y121" s="9" t="str">
        <f t="shared" si="6"/>
        <v>-</v>
      </c>
      <c r="Z121" s="9" t="s">
        <v>0</v>
      </c>
      <c r="AA121" s="9" t="str">
        <f t="shared" si="7"/>
        <v>-</v>
      </c>
      <c r="AB121" s="9" t="s">
        <v>0</v>
      </c>
      <c r="AC121" s="9" t="str">
        <f t="shared" si="8"/>
        <v>-</v>
      </c>
      <c r="AD121" s="9" t="s">
        <v>0</v>
      </c>
      <c r="AE121" s="12" t="str">
        <f t="shared" si="9"/>
        <v>-</v>
      </c>
      <c r="AF121" s="29" t="s">
        <v>0</v>
      </c>
      <c r="AG121" s="29" t="s">
        <v>0</v>
      </c>
      <c r="AH121" s="9">
        <v>13.8</v>
      </c>
      <c r="AI121" s="29" t="s">
        <v>0</v>
      </c>
      <c r="AJ121" s="32" t="s">
        <v>0</v>
      </c>
      <c r="AK121" s="29" t="s">
        <v>0</v>
      </c>
      <c r="AL121" s="32" t="s">
        <v>0</v>
      </c>
      <c r="AM121" s="29" t="s">
        <v>0</v>
      </c>
      <c r="AN121" s="32" t="s">
        <v>0</v>
      </c>
      <c r="AO121" s="29" t="s">
        <v>0</v>
      </c>
      <c r="AP121" s="32" t="s">
        <v>0</v>
      </c>
      <c r="AQ121" s="32" t="s">
        <v>0</v>
      </c>
      <c r="AR121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21" s="9" t="str">
        <f t="shared" si="10"/>
        <v>-</v>
      </c>
      <c r="AT121" s="9">
        <f>IF(RIGHT(TMK[[#This Row],[Device type]],7)="Winding","-",TMK[[#This Row],[Cont Winter MVA]])</f>
        <v>4.7981059182619008</v>
      </c>
      <c r="AU121" s="9" t="str">
        <f>IF(RIGHT(TMK[[#This Row],[Device type]],7)="Winding","-",TMK[[#This Row],[Cont Shoulder MVA]])</f>
        <v>-</v>
      </c>
      <c r="AV121" s="9">
        <f>IF(RIGHT(TMK[[#This Row],[Device type]],7)="Winding","-",TMK[[#This Row],[Cont Summer MVA]])</f>
        <v>3.6117886387159737</v>
      </c>
      <c r="AW121" s="9" t="str">
        <f>IF(RIGHT(TMK[[#This Row],[Device type]],7)="Winding","-",TMK[[#This Row],[24 Hr Winter MVA]])</f>
        <v>-</v>
      </c>
      <c r="AX121" s="9" t="str">
        <f>IF(RIGHT(TMK[[#This Row],[Device type]],7)="Winding","-",TMK[[#This Row],[24 Hr Summer MVA]])</f>
        <v>-</v>
      </c>
      <c r="AY121" s="9" t="str">
        <f>TMK[[#This Row],[Forwards MVA]]</f>
        <v>-</v>
      </c>
      <c r="AZ121" s="9" t="str">
        <f>TMK[[#This Row],[Relay MVA]]</f>
        <v>-</v>
      </c>
      <c r="BA121" s="9" t="str">
        <f>TMK[[#This Row],[CT MVA]]</f>
        <v>-</v>
      </c>
      <c r="BB121" s="9" t="str">
        <f>TMK[[#This Row],[Derating MVA]]</f>
        <v>-</v>
      </c>
      <c r="BC121" s="9" t="str">
        <f>TMK[[#This Row],[Station/Feeder]]&amp;TMK[[#This Row],[Lowest MVA]]</f>
        <v>G194_Speechly3.61178863871597</v>
      </c>
      <c r="BD121" s="9" t="str">
        <f>CONCATENATE(TMK[[#This Row],[Supply Level]],TMK[[#This Row],[Station/Feeder]],TMK[[#This Row],[Voltage]],TMK[[#This Row],[Lowest A-No PTX]])</f>
        <v>DistributionFeederG194_Speechly11.055188.626607220145</v>
      </c>
      <c r="BE121" s="9" t="str">
        <f>CONCATENATE(TMK[[#This Row],[Supply Level]],TMK[[#This Row],[Station/Feeder]],TMK[[#This Row],[Voltage]],TMK[[#This Row],[Lowest A-PTX]])</f>
        <v>DistributionFeederG194_Speechly11.055188.626607220145</v>
      </c>
      <c r="BF121" s="9">
        <f>IFERROR(IF(MIN(TMK[[#This Row],[Summ Cont Winter A]:[Cable Derating]])=0,"",MIN(TMK[[#This Row],[Summ Cont Winter A]:[Cable Derating]])),"")</f>
        <v>3.6117886387159737</v>
      </c>
      <c r="BG121" s="9">
        <f>IFERROR(TMK[[#This Row],[Lowest MVA]]*1000/(TMK[[#This Row],[Voltage]]*SQRT(3)),"")</f>
        <v>188.62660722014471</v>
      </c>
      <c r="BH121" s="9">
        <f t="shared" si="63"/>
        <v>188.62660722014468</v>
      </c>
      <c r="BI121" s="9" t="str">
        <f>TMK[[#This Row],[From]]</f>
        <v>G222</v>
      </c>
      <c r="BJ121" s="9" t="str">
        <f>TMK[[#This Row],[To]]</f>
        <v>Pole 03224</v>
      </c>
      <c r="BK12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Line-MINK</v>
      </c>
      <c r="BL121" s="9">
        <f>TMK[[#This Row],[Voltage]]</f>
        <v>11.055</v>
      </c>
    </row>
    <row r="122" spans="1:64" s="1" customFormat="1" x14ac:dyDescent="0.25">
      <c r="A122" s="6" t="str">
        <f>CONCATENATE(TMK[[#This Row],[Supply Level]],TMK[[#This Row],[Station/Feeder]],TMK[[#This Row],[Voltage]])</f>
        <v>DistributionFeederG194_Speechly11.055</v>
      </c>
      <c r="B122" s="6" t="str">
        <f>CONCATENATE(TMK[[#This Row],[Supply Level]],TMK[[#This Row],[Station/Feeder]],TMK[[#This Row],[Equipment ID]],TMK[[#This Row],[Voltage]],TMK[[#This Row],[Device type]])</f>
        <v>DistributionFeederG194_SpeechlyG27311.055-</v>
      </c>
      <c r="C122" s="6" t="s">
        <v>1276</v>
      </c>
      <c r="D122" s="11" t="s">
        <v>96</v>
      </c>
      <c r="E122" s="7" t="s">
        <v>534</v>
      </c>
      <c r="F122" s="46" t="s">
        <v>545</v>
      </c>
      <c r="G122" s="57">
        <v>5</v>
      </c>
      <c r="H122" s="46" t="s">
        <v>273</v>
      </c>
      <c r="I122" s="123" t="s">
        <v>544</v>
      </c>
      <c r="J122" s="123" t="s">
        <v>249</v>
      </c>
      <c r="K122" s="7" t="s">
        <v>0</v>
      </c>
      <c r="L122" s="7" t="s">
        <v>0</v>
      </c>
      <c r="M122" s="43">
        <f t="shared" si="99"/>
        <v>11.055</v>
      </c>
      <c r="N122" s="9" t="s">
        <v>0</v>
      </c>
      <c r="O122" s="9" t="str">
        <f t="shared" si="58"/>
        <v>-</v>
      </c>
      <c r="P122" s="9" t="s">
        <v>0</v>
      </c>
      <c r="Q122" s="9" t="str">
        <f t="shared" si="59"/>
        <v>-</v>
      </c>
      <c r="R122" s="9" t="s">
        <v>0</v>
      </c>
      <c r="S122" s="9" t="str">
        <f t="shared" si="60"/>
        <v>-</v>
      </c>
      <c r="T122" s="9" t="s">
        <v>0</v>
      </c>
      <c r="U122" s="9" t="str">
        <f t="shared" si="61"/>
        <v>-</v>
      </c>
      <c r="V122" s="9" t="s">
        <v>0</v>
      </c>
      <c r="W122" s="9" t="str">
        <f t="shared" si="62"/>
        <v>-</v>
      </c>
      <c r="X122" s="9" t="s">
        <v>0</v>
      </c>
      <c r="Y122" s="9" t="str">
        <f t="shared" si="6"/>
        <v>-</v>
      </c>
      <c r="Z122" s="9" t="s">
        <v>0</v>
      </c>
      <c r="AA122" s="9" t="str">
        <f t="shared" si="7"/>
        <v>-</v>
      </c>
      <c r="AB122" s="9" t="s">
        <v>0</v>
      </c>
      <c r="AC122" s="9" t="str">
        <f t="shared" si="8"/>
        <v>-</v>
      </c>
      <c r="AD122" s="9" t="s">
        <v>0</v>
      </c>
      <c r="AE122" s="12" t="str">
        <f t="shared" si="9"/>
        <v>-</v>
      </c>
      <c r="AF122" s="29" t="s">
        <v>0</v>
      </c>
      <c r="AG122" s="29" t="s">
        <v>0</v>
      </c>
      <c r="AH122" s="29" t="s">
        <v>0</v>
      </c>
      <c r="AI122" s="29" t="s">
        <v>0</v>
      </c>
      <c r="AJ122" s="32" t="s">
        <v>0</v>
      </c>
      <c r="AK122" s="29" t="s">
        <v>0</v>
      </c>
      <c r="AL122" s="32" t="s">
        <v>0</v>
      </c>
      <c r="AM122" s="29" t="s">
        <v>0</v>
      </c>
      <c r="AN122" s="32" t="s">
        <v>0</v>
      </c>
      <c r="AO122" s="29" t="s">
        <v>0</v>
      </c>
      <c r="AP122" s="29" t="s">
        <v>0</v>
      </c>
      <c r="AQ122" s="32" t="s">
        <v>0</v>
      </c>
      <c r="AR122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22" s="9" t="str">
        <f t="shared" si="10"/>
        <v>-</v>
      </c>
      <c r="AT122" s="9" t="str">
        <f>IF(RIGHT(TMK[[#This Row],[Device type]],7)="Winding","-",TMK[[#This Row],[Cont Winter MVA]])</f>
        <v>-</v>
      </c>
      <c r="AU122" s="9" t="str">
        <f>IF(RIGHT(TMK[[#This Row],[Device type]],7)="Winding","-",TMK[[#This Row],[Cont Shoulder MVA]])</f>
        <v>-</v>
      </c>
      <c r="AV122" s="9" t="str">
        <f>IF(RIGHT(TMK[[#This Row],[Device type]],7)="Winding","-",TMK[[#This Row],[Cont Summer MVA]])</f>
        <v>-</v>
      </c>
      <c r="AW122" s="9" t="str">
        <f>IF(RIGHT(TMK[[#This Row],[Device type]],7)="Winding","-",TMK[[#This Row],[24 Hr Winter MVA]])</f>
        <v>-</v>
      </c>
      <c r="AX122" s="9" t="str">
        <f>IF(RIGHT(TMK[[#This Row],[Device type]],7)="Winding","-",TMK[[#This Row],[24 Hr Summer MVA]])</f>
        <v>-</v>
      </c>
      <c r="AY122" s="9" t="str">
        <f>TMK[[#This Row],[Forwards MVA]]</f>
        <v>-</v>
      </c>
      <c r="AZ122" s="9" t="str">
        <f>TMK[[#This Row],[Relay MVA]]</f>
        <v>-</v>
      </c>
      <c r="BA122" s="9" t="str">
        <f>TMK[[#This Row],[CT MVA]]</f>
        <v>-</v>
      </c>
      <c r="BB122" s="9" t="str">
        <f>TMK[[#This Row],[Derating MVA]]</f>
        <v>-</v>
      </c>
      <c r="BC122" s="9" t="str">
        <f>TMK[[#This Row],[Station/Feeder]]&amp;TMK[[#This Row],[Lowest MVA]]</f>
        <v>G194_Speechly</v>
      </c>
      <c r="BD122" s="9" t="str">
        <f>CONCATENATE(TMK[[#This Row],[Supply Level]],TMK[[#This Row],[Station/Feeder]],TMK[[#This Row],[Voltage]],TMK[[#This Row],[Lowest A-No PTX]])</f>
        <v>DistributionFeederG194_Speechly11.055</v>
      </c>
      <c r="BE122" s="9" t="str">
        <f>CONCATENATE(TMK[[#This Row],[Supply Level]],TMK[[#This Row],[Station/Feeder]],TMK[[#This Row],[Voltage]],TMK[[#This Row],[Lowest A-PTX]])</f>
        <v>DistributionFeederG194_Speechly11.055</v>
      </c>
      <c r="BF122" s="9" t="str">
        <f>IFERROR(IF(MIN(TMK[[#This Row],[Summ Cont Winter A]:[Cable Derating]])=0,"",MIN(TMK[[#This Row],[Summ Cont Winter A]:[Cable Derating]])),"")</f>
        <v/>
      </c>
      <c r="BG122" s="9" t="str">
        <f>IFERROR(TMK[[#This Row],[Lowest MVA]]*1000/(TMK[[#This Row],[Voltage]]*SQRT(3)),"")</f>
        <v/>
      </c>
      <c r="BH122" s="9" t="str">
        <f t="shared" si="63"/>
        <v/>
      </c>
      <c r="BI122" s="9" t="str">
        <f>TMK[[#This Row],[From]]</f>
        <v>G222</v>
      </c>
      <c r="BJ122" s="9" t="str">
        <f>TMK[[#This Row],[To]]</f>
        <v>Pole 03224</v>
      </c>
      <c r="BK12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Link-G273</v>
      </c>
      <c r="BL122" s="9">
        <f>TMK[[#This Row],[Voltage]]</f>
        <v>11.055</v>
      </c>
    </row>
    <row r="123" spans="1:64" s="1" customFormat="1" x14ac:dyDescent="0.25">
      <c r="A123" s="6" t="str">
        <f>CONCATENATE(TMK[[#This Row],[Supply Level]],TMK[[#This Row],[Station/Feeder]],TMK[[#This Row],[Voltage]])</f>
        <v>DistributionFeederG194_Speechly11.055</v>
      </c>
      <c r="B123" s="6" t="str">
        <f>CONCATENATE(TMK[[#This Row],[Supply Level]],TMK[[#This Row],[Station/Feeder]],TMK[[#This Row],[Equipment ID]],TMK[[#This Row],[Voltage]],TMK[[#This Row],[Device type]])</f>
        <v>DistributionFeederG194_SpeechlyMINK11.055-</v>
      </c>
      <c r="C123" s="6" t="s">
        <v>1276</v>
      </c>
      <c r="D123" s="11" t="s">
        <v>96</v>
      </c>
      <c r="E123" s="7" t="s">
        <v>534</v>
      </c>
      <c r="F123" s="46" t="s">
        <v>545</v>
      </c>
      <c r="G123" s="57">
        <v>6</v>
      </c>
      <c r="H123" s="46" t="s">
        <v>1289</v>
      </c>
      <c r="I123" s="123" t="s">
        <v>282</v>
      </c>
      <c r="J123" s="123" t="s">
        <v>69</v>
      </c>
      <c r="K123" s="46" t="s">
        <v>0</v>
      </c>
      <c r="L123" s="46" t="s">
        <v>0</v>
      </c>
      <c r="M123" s="43">
        <f t="shared" si="99"/>
        <v>11.055</v>
      </c>
      <c r="N123" s="9">
        <v>250.58233772128858</v>
      </c>
      <c r="O123" s="9">
        <f t="shared" si="58"/>
        <v>4.7981059182619008</v>
      </c>
      <c r="P123" s="9" t="s">
        <v>0</v>
      </c>
      <c r="Q123" s="9" t="str">
        <f t="shared" si="59"/>
        <v>-</v>
      </c>
      <c r="R123" s="9">
        <v>188.62660722014468</v>
      </c>
      <c r="S123" s="9">
        <f t="shared" si="60"/>
        <v>3.6117886387159737</v>
      </c>
      <c r="T123" s="9" t="s">
        <v>0</v>
      </c>
      <c r="U123" s="9" t="str">
        <f t="shared" si="61"/>
        <v>-</v>
      </c>
      <c r="V123" s="9" t="s">
        <v>0</v>
      </c>
      <c r="W123" s="9" t="str">
        <f t="shared" si="62"/>
        <v>-</v>
      </c>
      <c r="X123" s="9" t="s">
        <v>0</v>
      </c>
      <c r="Y123" s="9" t="str">
        <f t="shared" ref="Y123:Y127" si="100">IF(OR(X123="",X123="-"),"-",X123*$M123*SQRT(3)/1000)</f>
        <v>-</v>
      </c>
      <c r="Z123" s="9" t="s">
        <v>0</v>
      </c>
      <c r="AA123" s="9" t="str">
        <f t="shared" ref="AA123:AA127" si="101">IF(OR(Z123="",Z123="-"),"-",Z123*$M123*SQRT(3)/1000)</f>
        <v>-</v>
      </c>
      <c r="AB123" s="9" t="s">
        <v>0</v>
      </c>
      <c r="AC123" s="9" t="str">
        <f t="shared" ref="AC123:AC127" si="102">IF(OR(AB123="",AB123="-"),"-",AB123*$M123*SQRT(3)/1000)</f>
        <v>-</v>
      </c>
      <c r="AD123" s="9" t="s">
        <v>0</v>
      </c>
      <c r="AE123" s="12" t="str">
        <f t="shared" ref="AE123:AE127" si="103">IF(OR(AD123="",AD123="-"),"-",AD123*$M123*SQRT(3)/1000)</f>
        <v>-</v>
      </c>
      <c r="AF123" s="29" t="s">
        <v>0</v>
      </c>
      <c r="AG123" s="29" t="s">
        <v>0</v>
      </c>
      <c r="AH123" s="9">
        <v>750</v>
      </c>
      <c r="AI123" s="29" t="s">
        <v>0</v>
      </c>
      <c r="AJ123" s="32" t="s">
        <v>0</v>
      </c>
      <c r="AK123" s="29" t="s">
        <v>0</v>
      </c>
      <c r="AL123" s="32" t="s">
        <v>0</v>
      </c>
      <c r="AM123" s="29" t="s">
        <v>0</v>
      </c>
      <c r="AN123" s="32" t="s">
        <v>0</v>
      </c>
      <c r="AO123" s="29" t="s">
        <v>0</v>
      </c>
      <c r="AP123" s="32" t="s">
        <v>0</v>
      </c>
      <c r="AQ123" s="32" t="s">
        <v>0</v>
      </c>
      <c r="AR12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23" s="9" t="str">
        <f t="shared" ref="AS123:AS127" si="104">IF(OR(AR123="",AR123="-"),"-",AR123*$M123*SQRT(3)/1000)</f>
        <v>-</v>
      </c>
      <c r="AT123" s="9">
        <f>IF(RIGHT(TMK[[#This Row],[Device type]],7)="Winding","-",TMK[[#This Row],[Cont Winter MVA]])</f>
        <v>4.7981059182619008</v>
      </c>
      <c r="AU123" s="9" t="str">
        <f>IF(RIGHT(TMK[[#This Row],[Device type]],7)="Winding","-",TMK[[#This Row],[Cont Shoulder MVA]])</f>
        <v>-</v>
      </c>
      <c r="AV123" s="9">
        <f>IF(RIGHT(TMK[[#This Row],[Device type]],7)="Winding","-",TMK[[#This Row],[Cont Summer MVA]])</f>
        <v>3.6117886387159737</v>
      </c>
      <c r="AW123" s="9" t="str">
        <f>IF(RIGHT(TMK[[#This Row],[Device type]],7)="Winding","-",TMK[[#This Row],[24 Hr Winter MVA]])</f>
        <v>-</v>
      </c>
      <c r="AX123" s="9" t="str">
        <f>IF(RIGHT(TMK[[#This Row],[Device type]],7)="Winding","-",TMK[[#This Row],[24 Hr Summer MVA]])</f>
        <v>-</v>
      </c>
      <c r="AY123" s="9" t="str">
        <f>TMK[[#This Row],[Forwards MVA]]</f>
        <v>-</v>
      </c>
      <c r="AZ123" s="9" t="str">
        <f>TMK[[#This Row],[Relay MVA]]</f>
        <v>-</v>
      </c>
      <c r="BA123" s="9" t="str">
        <f>TMK[[#This Row],[CT MVA]]</f>
        <v>-</v>
      </c>
      <c r="BB123" s="9" t="str">
        <f>TMK[[#This Row],[Derating MVA]]</f>
        <v>-</v>
      </c>
      <c r="BC123" s="9" t="str">
        <f>TMK[[#This Row],[Station/Feeder]]&amp;TMK[[#This Row],[Lowest MVA]]</f>
        <v>G194_Speechly3.61178863871597</v>
      </c>
      <c r="BD123" s="9" t="str">
        <f>CONCATENATE(TMK[[#This Row],[Supply Level]],TMK[[#This Row],[Station/Feeder]],TMK[[#This Row],[Voltage]],TMK[[#This Row],[Lowest A-No PTX]])</f>
        <v>DistributionFeederG194_Speechly11.055188.626607220145</v>
      </c>
      <c r="BE123" s="9" t="str">
        <f>CONCATENATE(TMK[[#This Row],[Supply Level]],TMK[[#This Row],[Station/Feeder]],TMK[[#This Row],[Voltage]],TMK[[#This Row],[Lowest A-PTX]])</f>
        <v>DistributionFeederG194_Speechly11.055188.626607220145</v>
      </c>
      <c r="BF123" s="9">
        <f>IFERROR(IF(MIN(TMK[[#This Row],[Summ Cont Winter A]:[Cable Derating]])=0,"",MIN(TMK[[#This Row],[Summ Cont Winter A]:[Cable Derating]])),"")</f>
        <v>3.6117886387159737</v>
      </c>
      <c r="BG123" s="9">
        <f>IFERROR(TMK[[#This Row],[Lowest MVA]]*1000/(TMK[[#This Row],[Voltage]]*SQRT(3)),"")</f>
        <v>188.62660722014471</v>
      </c>
      <c r="BH123" s="9">
        <f t="shared" si="63"/>
        <v>188.62660722014468</v>
      </c>
      <c r="BI123" s="9" t="str">
        <f>TMK[[#This Row],[From]]</f>
        <v>G222</v>
      </c>
      <c r="BJ123" s="9" t="str">
        <f>TMK[[#This Row],[To]]</f>
        <v>Pole 03224</v>
      </c>
      <c r="BK12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Line-MINK</v>
      </c>
      <c r="BL123" s="9">
        <f>TMK[[#This Row],[Voltage]]</f>
        <v>11.055</v>
      </c>
    </row>
    <row r="124" spans="1:64" s="1" customFormat="1" x14ac:dyDescent="0.25">
      <c r="A124" s="6" t="str">
        <f>CONCATENATE(TMK[[#This Row],[Supply Level]],TMK[[#This Row],[Station/Feeder]],TMK[[#This Row],[Voltage]])</f>
        <v>DistributionFeederG191_Geraldine Township11.055</v>
      </c>
      <c r="B124" s="6" t="str">
        <f>CONCATENATE(TMK[[#This Row],[Supply Level]],TMK[[#This Row],[Station/Feeder]],TMK[[#This Row],[Equipment ID]],TMK[[#This Row],[Voltage]],TMK[[#This Row],[Device type]])</f>
        <v>DistributionFeederG191_Geraldine TownshipG19011.055-</v>
      </c>
      <c r="C124" s="6" t="s">
        <v>1276</v>
      </c>
      <c r="D124" s="11" t="s">
        <v>108</v>
      </c>
      <c r="E124" s="7" t="s">
        <v>534</v>
      </c>
      <c r="F124" s="46" t="s">
        <v>547</v>
      </c>
      <c r="G124" s="57">
        <v>1</v>
      </c>
      <c r="H124" s="46" t="s">
        <v>273</v>
      </c>
      <c r="I124" s="123" t="s">
        <v>546</v>
      </c>
      <c r="J124" s="123" t="s">
        <v>249</v>
      </c>
      <c r="K124" s="46" t="s">
        <v>0</v>
      </c>
      <c r="L124" s="46" t="s">
        <v>0</v>
      </c>
      <c r="M124" s="43">
        <f t="shared" si="99"/>
        <v>11.055</v>
      </c>
      <c r="N124" s="9" t="s">
        <v>0</v>
      </c>
      <c r="O124" s="9" t="str">
        <f t="shared" si="58"/>
        <v>-</v>
      </c>
      <c r="P124" s="9" t="s">
        <v>0</v>
      </c>
      <c r="Q124" s="9" t="str">
        <f t="shared" si="59"/>
        <v>-</v>
      </c>
      <c r="R124" s="9" t="s">
        <v>0</v>
      </c>
      <c r="S124" s="9" t="str">
        <f t="shared" si="60"/>
        <v>-</v>
      </c>
      <c r="T124" s="9" t="s">
        <v>0</v>
      </c>
      <c r="U124" s="9" t="str">
        <f t="shared" si="61"/>
        <v>-</v>
      </c>
      <c r="V124" s="9" t="s">
        <v>0</v>
      </c>
      <c r="W124" s="9" t="str">
        <f t="shared" si="62"/>
        <v>-</v>
      </c>
      <c r="X124" s="9" t="s">
        <v>0</v>
      </c>
      <c r="Y124" s="9" t="str">
        <f t="shared" si="100"/>
        <v>-</v>
      </c>
      <c r="Z124" s="9" t="s">
        <v>0</v>
      </c>
      <c r="AA124" s="9" t="str">
        <f t="shared" si="101"/>
        <v>-</v>
      </c>
      <c r="AB124" s="9" t="s">
        <v>0</v>
      </c>
      <c r="AC124" s="9" t="str">
        <f t="shared" si="102"/>
        <v>-</v>
      </c>
      <c r="AD124" s="9" t="s">
        <v>0</v>
      </c>
      <c r="AE124" s="12" t="str">
        <f t="shared" si="103"/>
        <v>-</v>
      </c>
      <c r="AF124" s="29" t="s">
        <v>0</v>
      </c>
      <c r="AG124" s="29" t="s">
        <v>0</v>
      </c>
      <c r="AH124" s="29" t="s">
        <v>0</v>
      </c>
      <c r="AI124" s="29" t="s">
        <v>0</v>
      </c>
      <c r="AJ124" s="32" t="s">
        <v>0</v>
      </c>
      <c r="AK124" s="29" t="s">
        <v>0</v>
      </c>
      <c r="AL124" s="32" t="s">
        <v>0</v>
      </c>
      <c r="AM124" s="29" t="s">
        <v>0</v>
      </c>
      <c r="AN124" s="32" t="s">
        <v>0</v>
      </c>
      <c r="AO124" s="29" t="s">
        <v>0</v>
      </c>
      <c r="AP124" s="29" t="s">
        <v>0</v>
      </c>
      <c r="AQ124" s="32" t="s">
        <v>0</v>
      </c>
      <c r="AR124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24" s="9" t="str">
        <f t="shared" si="104"/>
        <v>-</v>
      </c>
      <c r="AT124" s="9" t="str">
        <f>IF(RIGHT(TMK[[#This Row],[Device type]],7)="Winding","-",TMK[[#This Row],[Cont Winter MVA]])</f>
        <v>-</v>
      </c>
      <c r="AU124" s="9" t="str">
        <f>IF(RIGHT(TMK[[#This Row],[Device type]],7)="Winding","-",TMK[[#This Row],[Cont Shoulder MVA]])</f>
        <v>-</v>
      </c>
      <c r="AV124" s="9" t="str">
        <f>IF(RIGHT(TMK[[#This Row],[Device type]],7)="Winding","-",TMK[[#This Row],[Cont Summer MVA]])</f>
        <v>-</v>
      </c>
      <c r="AW124" s="9" t="str">
        <f>IF(RIGHT(TMK[[#This Row],[Device type]],7)="Winding","-",TMK[[#This Row],[24 Hr Winter MVA]])</f>
        <v>-</v>
      </c>
      <c r="AX124" s="9" t="str">
        <f>IF(RIGHT(TMK[[#This Row],[Device type]],7)="Winding","-",TMK[[#This Row],[24 Hr Summer MVA]])</f>
        <v>-</v>
      </c>
      <c r="AY124" s="9" t="str">
        <f>TMK[[#This Row],[Forwards MVA]]</f>
        <v>-</v>
      </c>
      <c r="AZ124" s="9" t="str">
        <f>TMK[[#This Row],[Relay MVA]]</f>
        <v>-</v>
      </c>
      <c r="BA124" s="9" t="str">
        <f>TMK[[#This Row],[CT MVA]]</f>
        <v>-</v>
      </c>
      <c r="BB124" s="9" t="str">
        <f>TMK[[#This Row],[Derating MVA]]</f>
        <v>-</v>
      </c>
      <c r="BC124" s="9" t="str">
        <f>TMK[[#This Row],[Station/Feeder]]&amp;TMK[[#This Row],[Lowest MVA]]</f>
        <v>G191_Geraldine Township</v>
      </c>
      <c r="BD124" s="9" t="str">
        <f>CONCATENATE(TMK[[#This Row],[Supply Level]],TMK[[#This Row],[Station/Feeder]],TMK[[#This Row],[Voltage]],TMK[[#This Row],[Lowest A-No PTX]])</f>
        <v>DistributionFeederG191_Geraldine Township11.055</v>
      </c>
      <c r="BE124" s="9" t="str">
        <f>CONCATENATE(TMK[[#This Row],[Supply Level]],TMK[[#This Row],[Station/Feeder]],TMK[[#This Row],[Voltage]],TMK[[#This Row],[Lowest A-PTX]])</f>
        <v>DistributionFeederG191_Geraldine Township11.055</v>
      </c>
      <c r="BF124" s="9" t="str">
        <f>IFERROR(IF(MIN(TMK[[#This Row],[Summ Cont Winter A]:[Cable Derating]])=0,"",MIN(TMK[[#This Row],[Summ Cont Winter A]:[Cable Derating]])),"")</f>
        <v/>
      </c>
      <c r="BG124" s="9" t="str">
        <f>IFERROR(TMK[[#This Row],[Lowest MVA]]*1000/(TMK[[#This Row],[Voltage]]*SQRT(3)),"")</f>
        <v/>
      </c>
      <c r="BH124" s="9" t="str">
        <f t="shared" si="63"/>
        <v/>
      </c>
      <c r="BI124" s="9" t="str">
        <f>TMK[[#This Row],[From]]</f>
        <v>G222</v>
      </c>
      <c r="BJ124" s="9" t="str">
        <f>TMK[[#This Row],[To]]</f>
        <v>G191</v>
      </c>
      <c r="BK12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Link-G190</v>
      </c>
      <c r="BL124" s="9">
        <f>TMK[[#This Row],[Voltage]]</f>
        <v>11.055</v>
      </c>
    </row>
    <row r="125" spans="1:64" s="1" customFormat="1" x14ac:dyDescent="0.25">
      <c r="A125" s="6" t="str">
        <f>CONCATENATE(TMK[[#This Row],[Supply Level]],TMK[[#This Row],[Station/Feeder]],TMK[[#This Row],[Voltage]])</f>
        <v>DistributionFeederG191_Geraldine Township11.055</v>
      </c>
      <c r="B125" s="6" t="str">
        <f>CONCATENATE(TMK[[#This Row],[Supply Level]],TMK[[#This Row],[Station/Feeder]],TMK[[#This Row],[Equipment ID]],TMK[[#This Row],[Voltage]],TMK[[#This Row],[Device type]])</f>
        <v>DistributionFeederG191_Geraldine TownshipGLD-G19111.055Protection</v>
      </c>
      <c r="C125" s="6" t="s">
        <v>1276</v>
      </c>
      <c r="D125" s="11" t="s">
        <v>108</v>
      </c>
      <c r="E125" s="7" t="s">
        <v>546</v>
      </c>
      <c r="F125" s="46" t="s">
        <v>548</v>
      </c>
      <c r="G125" s="57">
        <v>2</v>
      </c>
      <c r="H125" s="46" t="s">
        <v>343</v>
      </c>
      <c r="I125" s="123" t="s">
        <v>2436</v>
      </c>
      <c r="J125" s="123" t="s">
        <v>15</v>
      </c>
      <c r="K125" s="46" t="s">
        <v>540</v>
      </c>
      <c r="L125" s="46" t="s">
        <v>1423</v>
      </c>
      <c r="M125" s="43">
        <f t="shared" si="99"/>
        <v>11.055</v>
      </c>
      <c r="N125" s="9">
        <v>630</v>
      </c>
      <c r="O125" s="9">
        <f t="shared" si="58"/>
        <v>12.063127656934579</v>
      </c>
      <c r="P125" s="9">
        <v>630</v>
      </c>
      <c r="Q125" s="9">
        <f t="shared" si="59"/>
        <v>12.063127656934579</v>
      </c>
      <c r="R125" s="9">
        <v>630</v>
      </c>
      <c r="S125" s="9">
        <f t="shared" si="60"/>
        <v>12.063127656934579</v>
      </c>
      <c r="T125" s="9" t="s">
        <v>0</v>
      </c>
      <c r="U125" s="9" t="str">
        <f t="shared" si="61"/>
        <v>-</v>
      </c>
      <c r="V125" s="9" t="s">
        <v>0</v>
      </c>
      <c r="W125" s="9" t="str">
        <f t="shared" si="62"/>
        <v>-</v>
      </c>
      <c r="X125" s="9">
        <f>VLOOKUP(TMK[[#This Row],[Equipment ID]],AEL_Protection_Data[#All],12,0)</f>
        <v>350</v>
      </c>
      <c r="Y125" s="9">
        <f t="shared" si="100"/>
        <v>6.7017375871858782</v>
      </c>
      <c r="Z125" s="9">
        <v>300</v>
      </c>
      <c r="AA125" s="9">
        <f t="shared" si="101"/>
        <v>5.7443465033021814</v>
      </c>
      <c r="AB125" s="9" t="s">
        <v>0</v>
      </c>
      <c r="AC125" s="9" t="str">
        <f t="shared" si="102"/>
        <v>-</v>
      </c>
      <c r="AD125" s="9">
        <v>2000</v>
      </c>
      <c r="AE125" s="12">
        <f t="shared" si="103"/>
        <v>38.295643355347877</v>
      </c>
      <c r="AF125" s="29" t="s">
        <v>0</v>
      </c>
      <c r="AG125" s="29" t="s">
        <v>0</v>
      </c>
      <c r="AH125" s="29" t="s">
        <v>0</v>
      </c>
      <c r="AI125" s="29" t="s">
        <v>0</v>
      </c>
      <c r="AJ125" s="32" t="s">
        <v>0</v>
      </c>
      <c r="AK125" s="29" t="s">
        <v>0</v>
      </c>
      <c r="AL125" s="32" t="s">
        <v>0</v>
      </c>
      <c r="AM125" s="29" t="s">
        <v>0</v>
      </c>
      <c r="AN125" s="32" t="s">
        <v>0</v>
      </c>
      <c r="AO125" s="29" t="s">
        <v>0</v>
      </c>
      <c r="AP125" s="29" t="s">
        <v>0</v>
      </c>
      <c r="AQ125" s="32" t="s">
        <v>0</v>
      </c>
      <c r="AR125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25" s="9" t="str">
        <f t="shared" si="104"/>
        <v>-</v>
      </c>
      <c r="AT125" s="9">
        <f>IF(RIGHT(TMK[[#This Row],[Device type]],7)="Winding","-",TMK[[#This Row],[Cont Winter MVA]])</f>
        <v>12.063127656934579</v>
      </c>
      <c r="AU125" s="9">
        <f>IF(RIGHT(TMK[[#This Row],[Device type]],7)="Winding","-",TMK[[#This Row],[Cont Shoulder MVA]])</f>
        <v>12.063127656934579</v>
      </c>
      <c r="AV125" s="9">
        <f>IF(RIGHT(TMK[[#This Row],[Device type]],7)="Winding","-",TMK[[#This Row],[Cont Summer MVA]])</f>
        <v>12.063127656934579</v>
      </c>
      <c r="AW125" s="9" t="str">
        <f>IF(RIGHT(TMK[[#This Row],[Device type]],7)="Winding","-",TMK[[#This Row],[24 Hr Winter MVA]])</f>
        <v>-</v>
      </c>
      <c r="AX125" s="9" t="str">
        <f>IF(RIGHT(TMK[[#This Row],[Device type]],7)="Winding","-",TMK[[#This Row],[24 Hr Summer MVA]])</f>
        <v>-</v>
      </c>
      <c r="AY125" s="9">
        <f>TMK[[#This Row],[Forwards MVA]]</f>
        <v>6.7017375871858782</v>
      </c>
      <c r="AZ125" s="9" t="str">
        <f>TMK[[#This Row],[Relay MVA]]</f>
        <v>-</v>
      </c>
      <c r="BA125" s="9">
        <f>TMK[[#This Row],[CT MVA]]</f>
        <v>38.295643355347877</v>
      </c>
      <c r="BB125" s="9" t="str">
        <f>TMK[[#This Row],[Derating MVA]]</f>
        <v>-</v>
      </c>
      <c r="BC125" s="9" t="str">
        <f>TMK[[#This Row],[Station/Feeder]]&amp;TMK[[#This Row],[Lowest MVA]]</f>
        <v>G191_Geraldine Township6.70173758718588</v>
      </c>
      <c r="BD125" s="9" t="str">
        <f>CONCATENATE(TMK[[#This Row],[Supply Level]],TMK[[#This Row],[Station/Feeder]],TMK[[#This Row],[Voltage]],TMK[[#This Row],[Lowest A-No PTX]])</f>
        <v>DistributionFeederG191_Geraldine Township11.055350</v>
      </c>
      <c r="BE125" s="9" t="str">
        <f>CONCATENATE(TMK[[#This Row],[Supply Level]],TMK[[#This Row],[Station/Feeder]],TMK[[#This Row],[Voltage]],TMK[[#This Row],[Lowest A-PTX]])</f>
        <v>DistributionFeederG191_Geraldine Township11.055300</v>
      </c>
      <c r="BF125" s="9">
        <f>IFERROR(IF(MIN(TMK[[#This Row],[Summ Cont Winter A]:[Cable Derating]])=0,"",MIN(TMK[[#This Row],[Summ Cont Winter A]:[Cable Derating]])),"")</f>
        <v>6.7017375871858782</v>
      </c>
      <c r="BG125" s="9">
        <f>IFERROR(TMK[[#This Row],[Lowest MVA]]*1000/(TMK[[#This Row],[Voltage]]*SQRT(3)),"")</f>
        <v>350.00000000000006</v>
      </c>
      <c r="BH125" s="9">
        <f t="shared" si="63"/>
        <v>300</v>
      </c>
      <c r="BI125" s="9" t="str">
        <f>TMK[[#This Row],[From]]</f>
        <v>G190</v>
      </c>
      <c r="BJ125" s="9" t="str">
        <f>TMK[[#This Row],[To]]</f>
        <v>G192</v>
      </c>
      <c r="BK12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Breaker-GLD-G191-Protection</v>
      </c>
      <c r="BL125" s="9">
        <f>TMK[[#This Row],[Voltage]]</f>
        <v>11.055</v>
      </c>
    </row>
    <row r="126" spans="1:64" s="1" customFormat="1" x14ac:dyDescent="0.25">
      <c r="A126" s="6" t="str">
        <f>CONCATENATE(TMK[[#This Row],[Supply Level]],TMK[[#This Row],[Station/Feeder]],TMK[[#This Row],[Voltage]])</f>
        <v>DistributionFeederG191_Geraldine Township11.055</v>
      </c>
      <c r="B126" s="6" t="str">
        <f>CONCATENATE(TMK[[#This Row],[Supply Level]],TMK[[#This Row],[Station/Feeder]],TMK[[#This Row],[Equipment ID]],TMK[[#This Row],[Voltage]],TMK[[#This Row],[Device type]])</f>
        <v>DistributionFeederG191_Geraldine TownshipG19211.055-</v>
      </c>
      <c r="C126" s="6" t="s">
        <v>1276</v>
      </c>
      <c r="D126" s="11" t="s">
        <v>108</v>
      </c>
      <c r="E126" s="7" t="s">
        <v>547</v>
      </c>
      <c r="F126" s="46" t="s">
        <v>2846</v>
      </c>
      <c r="G126" s="57">
        <v>3</v>
      </c>
      <c r="H126" s="46" t="s">
        <v>273</v>
      </c>
      <c r="I126" s="123" t="s">
        <v>548</v>
      </c>
      <c r="J126" s="123" t="s">
        <v>249</v>
      </c>
      <c r="K126" s="46" t="s">
        <v>0</v>
      </c>
      <c r="L126" s="46" t="s">
        <v>0</v>
      </c>
      <c r="M126" s="43">
        <f t="shared" si="99"/>
        <v>11.055</v>
      </c>
      <c r="N126" s="9" t="s">
        <v>0</v>
      </c>
      <c r="O126" s="9" t="str">
        <f t="shared" si="58"/>
        <v>-</v>
      </c>
      <c r="P126" s="9" t="s">
        <v>0</v>
      </c>
      <c r="Q126" s="9" t="str">
        <f t="shared" si="59"/>
        <v>-</v>
      </c>
      <c r="R126" s="9" t="s">
        <v>0</v>
      </c>
      <c r="S126" s="9" t="str">
        <f t="shared" si="60"/>
        <v>-</v>
      </c>
      <c r="T126" s="9" t="s">
        <v>0</v>
      </c>
      <c r="U126" s="9" t="str">
        <f t="shared" si="61"/>
        <v>-</v>
      </c>
      <c r="V126" s="9" t="s">
        <v>0</v>
      </c>
      <c r="W126" s="9" t="str">
        <f t="shared" si="62"/>
        <v>-</v>
      </c>
      <c r="X126" s="9" t="s">
        <v>0</v>
      </c>
      <c r="Y126" s="9" t="str">
        <f t="shared" si="100"/>
        <v>-</v>
      </c>
      <c r="Z126" s="9" t="s">
        <v>0</v>
      </c>
      <c r="AA126" s="9" t="str">
        <f t="shared" si="101"/>
        <v>-</v>
      </c>
      <c r="AB126" s="9" t="s">
        <v>0</v>
      </c>
      <c r="AC126" s="9" t="str">
        <f t="shared" si="102"/>
        <v>-</v>
      </c>
      <c r="AD126" s="9" t="s">
        <v>0</v>
      </c>
      <c r="AE126" s="12" t="str">
        <f t="shared" si="103"/>
        <v>-</v>
      </c>
      <c r="AF126" s="29" t="s">
        <v>0</v>
      </c>
      <c r="AG126" s="29" t="s">
        <v>0</v>
      </c>
      <c r="AH126" s="29" t="s">
        <v>0</v>
      </c>
      <c r="AI126" s="29" t="s">
        <v>0</v>
      </c>
      <c r="AJ126" s="32" t="s">
        <v>0</v>
      </c>
      <c r="AK126" s="29" t="s">
        <v>0</v>
      </c>
      <c r="AL126" s="32" t="s">
        <v>0</v>
      </c>
      <c r="AM126" s="29" t="s">
        <v>0</v>
      </c>
      <c r="AN126" s="32" t="s">
        <v>0</v>
      </c>
      <c r="AO126" s="29" t="s">
        <v>0</v>
      </c>
      <c r="AP126" s="29" t="s">
        <v>0</v>
      </c>
      <c r="AQ126" s="32" t="s">
        <v>0</v>
      </c>
      <c r="AR126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26" s="9" t="str">
        <f t="shared" si="104"/>
        <v>-</v>
      </c>
      <c r="AT126" s="9" t="str">
        <f>IF(RIGHT(TMK[[#This Row],[Device type]],7)="Winding","-",TMK[[#This Row],[Cont Winter MVA]])</f>
        <v>-</v>
      </c>
      <c r="AU126" s="9" t="str">
        <f>IF(RIGHT(TMK[[#This Row],[Device type]],7)="Winding","-",TMK[[#This Row],[Cont Shoulder MVA]])</f>
        <v>-</v>
      </c>
      <c r="AV126" s="9" t="str">
        <f>IF(RIGHT(TMK[[#This Row],[Device type]],7)="Winding","-",TMK[[#This Row],[Cont Summer MVA]])</f>
        <v>-</v>
      </c>
      <c r="AW126" s="9" t="str">
        <f>IF(RIGHT(TMK[[#This Row],[Device type]],7)="Winding","-",TMK[[#This Row],[24 Hr Winter MVA]])</f>
        <v>-</v>
      </c>
      <c r="AX126" s="9" t="str">
        <f>IF(RIGHT(TMK[[#This Row],[Device type]],7)="Winding","-",TMK[[#This Row],[24 Hr Summer MVA]])</f>
        <v>-</v>
      </c>
      <c r="AY126" s="9" t="str">
        <f>TMK[[#This Row],[Forwards MVA]]</f>
        <v>-</v>
      </c>
      <c r="AZ126" s="9" t="str">
        <f>TMK[[#This Row],[Relay MVA]]</f>
        <v>-</v>
      </c>
      <c r="BA126" s="9" t="str">
        <f>TMK[[#This Row],[CT MVA]]</f>
        <v>-</v>
      </c>
      <c r="BB126" s="9" t="str">
        <f>TMK[[#This Row],[Derating MVA]]</f>
        <v>-</v>
      </c>
      <c r="BC126" s="9" t="str">
        <f>TMK[[#This Row],[Station/Feeder]]&amp;TMK[[#This Row],[Lowest MVA]]</f>
        <v>G191_Geraldine Township</v>
      </c>
      <c r="BD126" s="9" t="str">
        <f>CONCATENATE(TMK[[#This Row],[Supply Level]],TMK[[#This Row],[Station/Feeder]],TMK[[#This Row],[Voltage]],TMK[[#This Row],[Lowest A-No PTX]])</f>
        <v>DistributionFeederG191_Geraldine Township11.055</v>
      </c>
      <c r="BE126" s="9" t="str">
        <f>CONCATENATE(TMK[[#This Row],[Supply Level]],TMK[[#This Row],[Station/Feeder]],TMK[[#This Row],[Voltage]],TMK[[#This Row],[Lowest A-PTX]])</f>
        <v>DistributionFeederG191_Geraldine Township11.055</v>
      </c>
      <c r="BF126" s="9" t="str">
        <f>IFERROR(IF(MIN(TMK[[#This Row],[Summ Cont Winter A]:[Cable Derating]])=0,"",MIN(TMK[[#This Row],[Summ Cont Winter A]:[Cable Derating]])),"")</f>
        <v/>
      </c>
      <c r="BG126" s="9" t="str">
        <f>IFERROR(TMK[[#This Row],[Lowest MVA]]*1000/(TMK[[#This Row],[Voltage]]*SQRT(3)),"")</f>
        <v/>
      </c>
      <c r="BH126" s="9" t="str">
        <f t="shared" si="63"/>
        <v/>
      </c>
      <c r="BI126" s="9" t="str">
        <f>TMK[[#This Row],[From]]</f>
        <v>G191</v>
      </c>
      <c r="BJ126" s="9" t="str">
        <f>TMK[[#This Row],[To]]</f>
        <v>G320</v>
      </c>
      <c r="BK12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Link-G192</v>
      </c>
      <c r="BL126" s="9">
        <f>TMK[[#This Row],[Voltage]]</f>
        <v>11.055</v>
      </c>
    </row>
    <row r="127" spans="1:64" s="1" customFormat="1" x14ac:dyDescent="0.25">
      <c r="A127" s="6" t="str">
        <f>CONCATENATE(TMK[[#This Row],[Supply Level]],TMK[[#This Row],[Station/Feeder]],TMK[[#This Row],[Voltage]])</f>
        <v>DistributionFeederG191_Geraldine Township11.055</v>
      </c>
      <c r="B127" s="6" t="str">
        <f>CONCATENATE(TMK[[#This Row],[Supply Level]],TMK[[#This Row],[Station/Feeder]],TMK[[#This Row],[Equipment ID]],TMK[[#This Row],[Voltage]],TMK[[#This Row],[Device type]])</f>
        <v>DistributionFeederG191_Geraldine Township7/0.136 Cu11.055-</v>
      </c>
      <c r="C127" s="6" t="s">
        <v>1276</v>
      </c>
      <c r="D127" s="11" t="s">
        <v>108</v>
      </c>
      <c r="E127" s="7" t="s">
        <v>548</v>
      </c>
      <c r="F127" s="46" t="s">
        <v>2846</v>
      </c>
      <c r="G127" s="57">
        <v>4</v>
      </c>
      <c r="H127" s="46" t="s">
        <v>1289</v>
      </c>
      <c r="I127" s="123" t="s">
        <v>549</v>
      </c>
      <c r="J127" s="123" t="s">
        <v>69</v>
      </c>
      <c r="K127" s="46" t="s">
        <v>0</v>
      </c>
      <c r="L127" s="46" t="s">
        <v>0</v>
      </c>
      <c r="M127" s="43">
        <f t="shared" si="99"/>
        <v>11.055</v>
      </c>
      <c r="N127" s="9">
        <v>320</v>
      </c>
      <c r="O127" s="9">
        <f t="shared" si="58"/>
        <v>6.12730293685566</v>
      </c>
      <c r="P127" s="9">
        <f>550*0.85</f>
        <v>467.5</v>
      </c>
      <c r="Q127" s="9">
        <f t="shared" si="59"/>
        <v>8.9516066343125651</v>
      </c>
      <c r="R127" s="9">
        <v>241</v>
      </c>
      <c r="S127" s="9">
        <f t="shared" si="60"/>
        <v>4.6146250243194187</v>
      </c>
      <c r="T127" s="9" t="s">
        <v>0</v>
      </c>
      <c r="U127" s="9" t="str">
        <f t="shared" si="61"/>
        <v>-</v>
      </c>
      <c r="V127" s="9" t="s">
        <v>0</v>
      </c>
      <c r="W127" s="9" t="str">
        <f t="shared" si="62"/>
        <v>-</v>
      </c>
      <c r="X127" s="9" t="s">
        <v>0</v>
      </c>
      <c r="Y127" s="9" t="str">
        <f t="shared" si="100"/>
        <v>-</v>
      </c>
      <c r="Z127" s="9" t="s">
        <v>0</v>
      </c>
      <c r="AA127" s="9" t="str">
        <f t="shared" si="101"/>
        <v>-</v>
      </c>
      <c r="AB127" s="9" t="s">
        <v>0</v>
      </c>
      <c r="AC127" s="9" t="str">
        <f t="shared" si="102"/>
        <v>-</v>
      </c>
      <c r="AD127" s="9" t="s">
        <v>0</v>
      </c>
      <c r="AE127" s="12" t="str">
        <f t="shared" si="103"/>
        <v>-</v>
      </c>
      <c r="AF127" s="29" t="s">
        <v>0</v>
      </c>
      <c r="AG127" s="29" t="s">
        <v>0</v>
      </c>
      <c r="AH127" s="29">
        <v>29.4</v>
      </c>
      <c r="AI127" s="29" t="s">
        <v>0</v>
      </c>
      <c r="AJ127" s="32" t="s">
        <v>0</v>
      </c>
      <c r="AK127" s="29" t="s">
        <v>0</v>
      </c>
      <c r="AL127" s="32" t="s">
        <v>0</v>
      </c>
      <c r="AM127" s="29" t="s">
        <v>0</v>
      </c>
      <c r="AN127" s="32" t="s">
        <v>0</v>
      </c>
      <c r="AO127" s="29" t="s">
        <v>0</v>
      </c>
      <c r="AP127" s="29" t="s">
        <v>0</v>
      </c>
      <c r="AQ127" s="32" t="s">
        <v>0</v>
      </c>
      <c r="AR127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27" s="9" t="str">
        <f t="shared" si="104"/>
        <v>-</v>
      </c>
      <c r="AT127" s="9">
        <f>IF(RIGHT(TMK[[#This Row],[Device type]],7)="Winding","-",TMK[[#This Row],[Cont Winter MVA]])</f>
        <v>6.12730293685566</v>
      </c>
      <c r="AU127" s="9">
        <f>IF(RIGHT(TMK[[#This Row],[Device type]],7)="Winding","-",TMK[[#This Row],[Cont Shoulder MVA]])</f>
        <v>8.9516066343125651</v>
      </c>
      <c r="AV127" s="9">
        <f>IF(RIGHT(TMK[[#This Row],[Device type]],7)="Winding","-",TMK[[#This Row],[Cont Summer MVA]])</f>
        <v>4.6146250243194187</v>
      </c>
      <c r="AW127" s="9" t="str">
        <f>IF(RIGHT(TMK[[#This Row],[Device type]],7)="Winding","-",TMK[[#This Row],[24 Hr Winter MVA]])</f>
        <v>-</v>
      </c>
      <c r="AX127" s="9" t="str">
        <f>IF(RIGHT(TMK[[#This Row],[Device type]],7)="Winding","-",TMK[[#This Row],[24 Hr Summer MVA]])</f>
        <v>-</v>
      </c>
      <c r="AY127" s="9" t="str">
        <f>TMK[[#This Row],[Forwards MVA]]</f>
        <v>-</v>
      </c>
      <c r="AZ127" s="9" t="str">
        <f>TMK[[#This Row],[Relay MVA]]</f>
        <v>-</v>
      </c>
      <c r="BA127" s="9" t="str">
        <f>TMK[[#This Row],[CT MVA]]</f>
        <v>-</v>
      </c>
      <c r="BB127" s="9" t="str">
        <f>TMK[[#This Row],[Derating MVA]]</f>
        <v>-</v>
      </c>
      <c r="BC127" s="9" t="str">
        <f>TMK[[#This Row],[Station/Feeder]]&amp;TMK[[#This Row],[Lowest MVA]]</f>
        <v>G191_Geraldine Township4.61462502431942</v>
      </c>
      <c r="BD127" s="9" t="str">
        <f>CONCATENATE(TMK[[#This Row],[Supply Level]],TMK[[#This Row],[Station/Feeder]],TMK[[#This Row],[Voltage]],TMK[[#This Row],[Lowest A-No PTX]])</f>
        <v>DistributionFeederG191_Geraldine Township11.055241</v>
      </c>
      <c r="BE127" s="9" t="str">
        <f>CONCATENATE(TMK[[#This Row],[Supply Level]],TMK[[#This Row],[Station/Feeder]],TMK[[#This Row],[Voltage]],TMK[[#This Row],[Lowest A-PTX]])</f>
        <v>DistributionFeederG191_Geraldine Township11.055241</v>
      </c>
      <c r="BF127" s="9">
        <f>IFERROR(IF(MIN(TMK[[#This Row],[Summ Cont Winter A]:[Cable Derating]])=0,"",MIN(TMK[[#This Row],[Summ Cont Winter A]:[Cable Derating]])),"")</f>
        <v>4.6146250243194187</v>
      </c>
      <c r="BG127" s="9">
        <f>IFERROR(TMK[[#This Row],[Lowest MVA]]*1000/(TMK[[#This Row],[Voltage]]*SQRT(3)),"")</f>
        <v>241.00000000000003</v>
      </c>
      <c r="BH127" s="9">
        <f t="shared" si="63"/>
        <v>241</v>
      </c>
      <c r="BI127" s="9" t="str">
        <f>TMK[[#This Row],[From]]</f>
        <v>G192</v>
      </c>
      <c r="BJ127" s="9" t="str">
        <f>TMK[[#This Row],[To]]</f>
        <v>G320</v>
      </c>
      <c r="BK12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Line-7/0.136 Cu</v>
      </c>
      <c r="BL127" s="9">
        <f>TMK[[#This Row],[Voltage]]</f>
        <v>11.055</v>
      </c>
    </row>
    <row r="128" spans="1:64" s="1" customFormat="1" x14ac:dyDescent="0.25">
      <c r="A128" s="6" t="str">
        <f>CONCATENATE(TMK[[#This Row],[Supply Level]],TMK[[#This Row],[Station/Feeder]],TMK[[#This Row],[Voltage]])</f>
        <v>DistributionFeederG191_Geraldine Township11.055</v>
      </c>
      <c r="B128" s="6" t="str">
        <f>CONCATENATE(TMK[[#This Row],[Supply Level]],TMK[[#This Row],[Station/Feeder]],TMK[[#This Row],[Equipment ID]],TMK[[#This Row],[Voltage]],TMK[[#This Row],[Device type]])</f>
        <v>DistributionFeederG191_Geraldine TownshipG32011.055-</v>
      </c>
      <c r="C128" s="6" t="s">
        <v>1276</v>
      </c>
      <c r="D128" s="6" t="s">
        <v>108</v>
      </c>
      <c r="E128" s="7" t="s">
        <v>548</v>
      </c>
      <c r="F128" s="46" t="s">
        <v>550</v>
      </c>
      <c r="G128" s="57">
        <v>5</v>
      </c>
      <c r="H128" s="46" t="s">
        <v>273</v>
      </c>
      <c r="I128" s="123" t="s">
        <v>2846</v>
      </c>
      <c r="J128" s="123" t="s">
        <v>278</v>
      </c>
      <c r="K128" s="46" t="s">
        <v>0</v>
      </c>
      <c r="L128" s="46" t="s">
        <v>0</v>
      </c>
      <c r="M128" s="43">
        <f t="shared" si="99"/>
        <v>11.055</v>
      </c>
      <c r="N128" s="9">
        <v>400</v>
      </c>
      <c r="O128" s="9">
        <f>IF(OR(N128="",N128="-"),"-",N128*$M128*SQRT(3)/1000)</f>
        <v>7.659128671069575</v>
      </c>
      <c r="P128" s="9"/>
      <c r="Q128" s="9" t="str">
        <f>IF(OR(P128="",P128="-"),"-",P128*$M128*SQRT(3)/1000)</f>
        <v>-</v>
      </c>
      <c r="R128" s="9"/>
      <c r="S128" s="9" t="str">
        <f>IF(OR(R128="",R128="-"),"-",R128*$M128*SQRT(3)/1000)</f>
        <v>-</v>
      </c>
      <c r="T128" s="9"/>
      <c r="U128" s="9" t="str">
        <f>IF(OR(T128="",T128="-"),"-",T128*$M128*SQRT(3)/1000)</f>
        <v>-</v>
      </c>
      <c r="V128" s="9"/>
      <c r="W128" s="9" t="str">
        <f>IF(OR(V128="",V128="-"),"-",V128*$M128*SQRT(3)/1000)</f>
        <v>-</v>
      </c>
      <c r="X128" s="9"/>
      <c r="Y128" s="9" t="str">
        <f>IF(OR(X128="",X128="-"),"-",X128*$M128*SQRT(3)/1000)</f>
        <v>-</v>
      </c>
      <c r="Z128" s="9"/>
      <c r="AA128" s="9" t="str">
        <f>IF(OR(Z128="",Z128="-"),"-",Z128*$M128*SQRT(3)/1000)</f>
        <v>-</v>
      </c>
      <c r="AB128" s="9"/>
      <c r="AC128" s="9" t="str">
        <f>IF(OR(AB128="",AB128="-"),"-",AB128*$M128*SQRT(3)/1000)</f>
        <v>-</v>
      </c>
      <c r="AD128" s="9"/>
      <c r="AE128" s="9" t="str">
        <f>IF(OR(AD128="",AD128="-"),"-",AD128*$M128*SQRT(3)/1000)</f>
        <v>-</v>
      </c>
      <c r="AF128" s="9"/>
      <c r="AG128" s="9"/>
      <c r="AH128" s="9"/>
      <c r="AI128" s="9"/>
      <c r="AJ128" s="43"/>
      <c r="AK128" s="9"/>
      <c r="AL128" s="43"/>
      <c r="AM128" s="9"/>
      <c r="AN128" s="43"/>
      <c r="AO128" s="9"/>
      <c r="AP128" s="43"/>
      <c r="AQ128" s="43"/>
      <c r="AR128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28" s="9" t="str">
        <f>IF(OR(AR128="",AR128="-"),"-",AR128*$M128*SQRT(3)/1000)</f>
        <v>-</v>
      </c>
      <c r="AT128" s="9">
        <f>IF(RIGHT(TMK[[#This Row],[Device type]],7)="Winding","-",TMK[[#This Row],[Cont Winter MVA]])</f>
        <v>7.659128671069575</v>
      </c>
      <c r="AU128" s="9" t="str">
        <f>IF(RIGHT(TMK[[#This Row],[Device type]],7)="Winding","-",TMK[[#This Row],[Cont Shoulder MVA]])</f>
        <v>-</v>
      </c>
      <c r="AV128" s="9" t="str">
        <f>IF(RIGHT(TMK[[#This Row],[Device type]],7)="Winding","-",TMK[[#This Row],[Cont Summer MVA]])</f>
        <v>-</v>
      </c>
      <c r="AW128" s="9" t="str">
        <f>IF(RIGHT(TMK[[#This Row],[Device type]],7)="Winding","-",TMK[[#This Row],[24 Hr Winter MVA]])</f>
        <v>-</v>
      </c>
      <c r="AX128" s="9" t="str">
        <f>IF(RIGHT(TMK[[#This Row],[Device type]],7)="Winding","-",TMK[[#This Row],[24 Hr Summer MVA]])</f>
        <v>-</v>
      </c>
      <c r="AY128" s="9" t="str">
        <f>TMK[[#This Row],[Forwards MVA]]</f>
        <v>-</v>
      </c>
      <c r="AZ128" s="9" t="str">
        <f>TMK[[#This Row],[Relay MVA]]</f>
        <v>-</v>
      </c>
      <c r="BA128" s="9" t="str">
        <f>TMK[[#This Row],[CT MVA]]</f>
        <v>-</v>
      </c>
      <c r="BB128" s="9" t="str">
        <f>TMK[[#This Row],[Derating MVA]]</f>
        <v>-</v>
      </c>
      <c r="BC128" s="9" t="str">
        <f>TMK[[#This Row],[Station/Feeder]]&amp;TMK[[#This Row],[Lowest MVA]]</f>
        <v>G191_Geraldine Township7.65912867106957</v>
      </c>
      <c r="BD128" s="9" t="str">
        <f>CONCATENATE(TMK[[#This Row],[Supply Level]],TMK[[#This Row],[Station/Feeder]],TMK[[#This Row],[Voltage]],TMK[[#This Row],[Lowest A-No PTX]])</f>
        <v>DistributionFeederG191_Geraldine Township11.055400</v>
      </c>
      <c r="BE128" s="9" t="str">
        <f>CONCATENATE(TMK[[#This Row],[Supply Level]],TMK[[#This Row],[Station/Feeder]],TMK[[#This Row],[Voltage]],TMK[[#This Row],[Lowest A-PTX]])</f>
        <v>DistributionFeederG191_Geraldine Township11.055400</v>
      </c>
      <c r="BF128" s="9">
        <f>IFERROR(IF(MIN(TMK[[#This Row],[Summ Cont Winter A]:[Cable Derating]])=0,"",MIN(TMK[[#This Row],[Summ Cont Winter A]:[Cable Derating]])),"")</f>
        <v>7.659128671069575</v>
      </c>
      <c r="BG128" s="9">
        <f>IFERROR(TMK[[#This Row],[Lowest MVA]]*1000/(TMK[[#This Row],[Voltage]]*SQRT(3)),"")</f>
        <v>400.00000000000006</v>
      </c>
      <c r="BH128" s="9">
        <f>IF(MIN(N128,P128,R128,T128,V128,X128,Z128,AB128,AD128,AR128)=0,"",MIN(N128,P128,R128,T128,V128,X128,Z128,AB128,AD128,AR128))</f>
        <v>400</v>
      </c>
      <c r="BI128" s="9" t="str">
        <f>TMK[[#This Row],[From]]</f>
        <v>G192</v>
      </c>
      <c r="BJ128" s="9" t="str">
        <f>TMK[[#This Row],[To]]</f>
        <v>G278</v>
      </c>
      <c r="BK128" s="46" t="str">
        <f>IF(TMK[[#This Row],[Device type]]="-",TMK[[#This Row],[Equipment Type]]&amp;" - "&amp;TMK[[#This Row],[Equipment ID]],TMK[[#This Row],[Equipment Type]]&amp;" - "&amp;TMK[[#This Row],[Equipment ID]]&amp;" - "&amp;TMK[[#This Row],[Device type]])</f>
        <v>Switch - G320</v>
      </c>
      <c r="BL128" s="9">
        <f>TMK[[#This Row],[Voltage]]</f>
        <v>11.055</v>
      </c>
    </row>
    <row r="129" spans="1:64" s="1" customFormat="1" x14ac:dyDescent="0.25">
      <c r="A129" s="6" t="str">
        <f>CONCATENATE(TMK[[#This Row],[Supply Level]],TMK[[#This Row],[Station/Feeder]],TMK[[#This Row],[Voltage]])</f>
        <v>DistributionFeederG191_Geraldine Township11.055</v>
      </c>
      <c r="B129" s="6" t="str">
        <f>CONCATENATE(TMK[[#This Row],[Supply Level]],TMK[[#This Row],[Station/Feeder]],TMK[[#This Row],[Equipment ID]],TMK[[#This Row],[Voltage]],TMK[[#This Row],[Device type]])</f>
        <v>DistributionFeederG191_Geraldine Township70mm211.055-</v>
      </c>
      <c r="C129" s="6" t="s">
        <v>1276</v>
      </c>
      <c r="D129" s="6" t="s">
        <v>108</v>
      </c>
      <c r="E129" s="7" t="s">
        <v>2846</v>
      </c>
      <c r="F129" s="46" t="s">
        <v>550</v>
      </c>
      <c r="G129" s="57">
        <v>6</v>
      </c>
      <c r="H129" s="46" t="s">
        <v>1289</v>
      </c>
      <c r="I129" s="123" t="s">
        <v>2847</v>
      </c>
      <c r="J129" s="123" t="s">
        <v>69</v>
      </c>
      <c r="K129" s="46" t="s">
        <v>0</v>
      </c>
      <c r="L129" s="46" t="s">
        <v>0</v>
      </c>
      <c r="M129" s="43">
        <f t="shared" si="99"/>
        <v>11.055</v>
      </c>
      <c r="N129" s="9"/>
      <c r="O129" s="9" t="str">
        <f>IF(OR(N129="",N129="-"),"-",N129*$M129*SQRT(3)/1000)</f>
        <v>-</v>
      </c>
      <c r="P129" s="9"/>
      <c r="Q129" s="9" t="str">
        <f>IF(OR(P129="",P129="-"),"-",P129*$M129*SQRT(3)/1000)</f>
        <v>-</v>
      </c>
      <c r="R129" s="9">
        <v>247</v>
      </c>
      <c r="S129" s="9">
        <f>IF(OR(R129="",R129="-"),"-",R129*$M129*SQRT(3)/1000)</f>
        <v>4.7295119543854627</v>
      </c>
      <c r="T129" s="9"/>
      <c r="U129" s="9" t="str">
        <f>IF(OR(T129="",T129="-"),"-",T129*$M129*SQRT(3)/1000)</f>
        <v>-</v>
      </c>
      <c r="V129" s="9"/>
      <c r="W129" s="9" t="str">
        <f>IF(OR(V129="",V129="-"),"-",V129*$M129*SQRT(3)/1000)</f>
        <v>-</v>
      </c>
      <c r="X129" s="9"/>
      <c r="Y129" s="9" t="str">
        <f>IF(OR(X129="",X129="-"),"-",X129*$M129*SQRT(3)/1000)</f>
        <v>-</v>
      </c>
      <c r="Z129" s="9"/>
      <c r="AA129" s="9" t="str">
        <f>IF(OR(Z129="",Z129="-"),"-",Z129*$M129*SQRT(3)/1000)</f>
        <v>-</v>
      </c>
      <c r="AB129" s="9"/>
      <c r="AC129" s="9" t="str">
        <f>IF(OR(AB129="",AB129="-"),"-",AB129*$M129*SQRT(3)/1000)</f>
        <v>-</v>
      </c>
      <c r="AD129" s="9"/>
      <c r="AE129" s="9" t="str">
        <f>IF(OR(AD129="",AD129="-"),"-",AD129*$M129*SQRT(3)/1000)</f>
        <v>-</v>
      </c>
      <c r="AF129" s="9"/>
      <c r="AG129" s="9"/>
      <c r="AH129" s="9"/>
      <c r="AI129" s="9"/>
      <c r="AJ129" s="43"/>
      <c r="AK129" s="9"/>
      <c r="AL129" s="43"/>
      <c r="AM129" s="9"/>
      <c r="AN129" s="43"/>
      <c r="AO129" s="9"/>
      <c r="AP129" s="43"/>
      <c r="AQ129" s="43"/>
      <c r="AR12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29" s="9" t="str">
        <f>IF(OR(AR129="",AR129="-"),"-",AR129*$M129*SQRT(3)/1000)</f>
        <v>-</v>
      </c>
      <c r="AT129" s="9" t="str">
        <f>IF(RIGHT(TMK[[#This Row],[Device type]],7)="Winding","-",TMK[[#This Row],[Cont Winter MVA]])</f>
        <v>-</v>
      </c>
      <c r="AU129" s="9" t="str">
        <f>IF(RIGHT(TMK[[#This Row],[Device type]],7)="Winding","-",TMK[[#This Row],[Cont Shoulder MVA]])</f>
        <v>-</v>
      </c>
      <c r="AV129" s="9">
        <f>IF(RIGHT(TMK[[#This Row],[Device type]],7)="Winding","-",TMK[[#This Row],[Cont Summer MVA]])</f>
        <v>4.7295119543854627</v>
      </c>
      <c r="AW129" s="9" t="str">
        <f>IF(RIGHT(TMK[[#This Row],[Device type]],7)="Winding","-",TMK[[#This Row],[24 Hr Winter MVA]])</f>
        <v>-</v>
      </c>
      <c r="AX129" s="9" t="str">
        <f>IF(RIGHT(TMK[[#This Row],[Device type]],7)="Winding","-",TMK[[#This Row],[24 Hr Summer MVA]])</f>
        <v>-</v>
      </c>
      <c r="AY129" s="9" t="str">
        <f>TMK[[#This Row],[Forwards MVA]]</f>
        <v>-</v>
      </c>
      <c r="AZ129" s="9" t="str">
        <f>TMK[[#This Row],[Relay MVA]]</f>
        <v>-</v>
      </c>
      <c r="BA129" s="9" t="str">
        <f>TMK[[#This Row],[CT MVA]]</f>
        <v>-</v>
      </c>
      <c r="BB129" s="9" t="str">
        <f>TMK[[#This Row],[Derating MVA]]</f>
        <v>-</v>
      </c>
      <c r="BC129" s="9" t="str">
        <f>TMK[[#This Row],[Station/Feeder]]&amp;TMK[[#This Row],[Lowest MVA]]</f>
        <v>G191_Geraldine Township4.72951195438546</v>
      </c>
      <c r="BD129" s="9" t="str">
        <f>CONCATENATE(TMK[[#This Row],[Supply Level]],TMK[[#This Row],[Station/Feeder]],TMK[[#This Row],[Voltage]],TMK[[#This Row],[Lowest A-No PTX]])</f>
        <v>DistributionFeederG191_Geraldine Township11.055247</v>
      </c>
      <c r="BE129" s="9" t="str">
        <f>CONCATENATE(TMK[[#This Row],[Supply Level]],TMK[[#This Row],[Station/Feeder]],TMK[[#This Row],[Voltage]],TMK[[#This Row],[Lowest A-PTX]])</f>
        <v>DistributionFeederG191_Geraldine Township11.055247</v>
      </c>
      <c r="BF129" s="9">
        <f>IFERROR(IF(MIN(TMK[[#This Row],[Summ Cont Winter A]:[Cable Derating]])=0,"",MIN(TMK[[#This Row],[Summ Cont Winter A]:[Cable Derating]])),"")</f>
        <v>4.7295119543854627</v>
      </c>
      <c r="BG129" s="9">
        <f>IFERROR(TMK[[#This Row],[Lowest MVA]]*1000/(TMK[[#This Row],[Voltage]]*SQRT(3)),"")</f>
        <v>247.00000000000003</v>
      </c>
      <c r="BH129" s="9">
        <f>IF(MIN(N129,P129,R129,T129,V129,X129,Z129,AB129,AD129,AR129)=0,"",MIN(N129,P129,R129,T129,V129,X129,Z129,AB129,AD129,AR129))</f>
        <v>247</v>
      </c>
      <c r="BI129" s="9" t="str">
        <f>TMK[[#This Row],[From]]</f>
        <v>G320</v>
      </c>
      <c r="BJ129" s="9" t="str">
        <f>TMK[[#This Row],[To]]</f>
        <v>G278</v>
      </c>
      <c r="BK129" s="46" t="str">
        <f>IF(TMK[[#This Row],[Device type]]="-",TMK[[#This Row],[Equipment Type]]&amp;" - "&amp;TMK[[#This Row],[Equipment ID]],TMK[[#This Row],[Equipment Type]]&amp;" - "&amp;TMK[[#This Row],[Equipment ID]]&amp;" - "&amp;TMK[[#This Row],[Device type]])</f>
        <v>OH Line - 70mm2</v>
      </c>
      <c r="BL129" s="9">
        <f>TMK[[#This Row],[Voltage]]</f>
        <v>11.055</v>
      </c>
    </row>
    <row r="130" spans="1:64" s="1" customFormat="1" x14ac:dyDescent="0.25">
      <c r="A130" s="6" t="str">
        <f>CONCATENATE(TMK[[#This Row],[Supply Level]],TMK[[#This Row],[Station/Feeder]],TMK[[#This Row],[Voltage]])</f>
        <v>DistributionFeederG191_Geraldine Township11.055</v>
      </c>
      <c r="B130" s="6" t="str">
        <f>CONCATENATE(TMK[[#This Row],[Supply Level]],TMK[[#This Row],[Station/Feeder]],TMK[[#This Row],[Equipment ID]],TMK[[#This Row],[Voltage]],TMK[[#This Row],[Device type]])</f>
        <v>DistributionFeederG191_Geraldine TownshipG27811.055-</v>
      </c>
      <c r="C130" s="6" t="s">
        <v>1276</v>
      </c>
      <c r="D130" s="11" t="s">
        <v>108</v>
      </c>
      <c r="E130" s="46" t="s">
        <v>550</v>
      </c>
      <c r="F130" s="46" t="s">
        <v>551</v>
      </c>
      <c r="G130" s="57">
        <v>7</v>
      </c>
      <c r="H130" s="46" t="s">
        <v>273</v>
      </c>
      <c r="I130" s="123" t="s">
        <v>550</v>
      </c>
      <c r="J130" s="123" t="s">
        <v>249</v>
      </c>
      <c r="K130" s="46" t="s">
        <v>0</v>
      </c>
      <c r="L130" s="46" t="s">
        <v>0</v>
      </c>
      <c r="M130" s="43">
        <f t="shared" si="99"/>
        <v>11.055</v>
      </c>
      <c r="N130" s="9">
        <v>300</v>
      </c>
      <c r="O130" s="9">
        <f t="shared" si="58"/>
        <v>5.7443465033021814</v>
      </c>
      <c r="P130" s="9">
        <v>300</v>
      </c>
      <c r="Q130" s="9">
        <f t="shared" si="59"/>
        <v>5.7443465033021814</v>
      </c>
      <c r="R130" s="9">
        <v>300</v>
      </c>
      <c r="S130" s="9">
        <f t="shared" si="60"/>
        <v>5.7443465033021814</v>
      </c>
      <c r="T130" s="9" t="s">
        <v>0</v>
      </c>
      <c r="U130" s="9" t="str">
        <f t="shared" si="61"/>
        <v>-</v>
      </c>
      <c r="V130" s="9" t="s">
        <v>0</v>
      </c>
      <c r="W130" s="9" t="str">
        <f t="shared" si="62"/>
        <v>-</v>
      </c>
      <c r="X130" s="9" t="s">
        <v>0</v>
      </c>
      <c r="Y130" s="9" t="str">
        <f t="shared" si="6"/>
        <v>-</v>
      </c>
      <c r="Z130" s="9" t="s">
        <v>0</v>
      </c>
      <c r="AA130" s="9" t="str">
        <f t="shared" si="7"/>
        <v>-</v>
      </c>
      <c r="AB130" s="9" t="s">
        <v>0</v>
      </c>
      <c r="AC130" s="9" t="str">
        <f t="shared" si="8"/>
        <v>-</v>
      </c>
      <c r="AD130" s="9" t="s">
        <v>0</v>
      </c>
      <c r="AE130" s="12" t="str">
        <f t="shared" si="9"/>
        <v>-</v>
      </c>
      <c r="AF130" s="29" t="s">
        <v>0</v>
      </c>
      <c r="AG130" s="29" t="s">
        <v>0</v>
      </c>
      <c r="AH130" s="29" t="s">
        <v>0</v>
      </c>
      <c r="AI130" s="29" t="s">
        <v>0</v>
      </c>
      <c r="AJ130" s="32" t="s">
        <v>0</v>
      </c>
      <c r="AK130" s="29" t="s">
        <v>0</v>
      </c>
      <c r="AL130" s="32" t="s">
        <v>0</v>
      </c>
      <c r="AM130" s="29" t="s">
        <v>0</v>
      </c>
      <c r="AN130" s="32" t="s">
        <v>0</v>
      </c>
      <c r="AO130" s="29" t="s">
        <v>0</v>
      </c>
      <c r="AP130" s="29" t="s">
        <v>0</v>
      </c>
      <c r="AQ130" s="32" t="s">
        <v>0</v>
      </c>
      <c r="AR130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30" s="9" t="str">
        <f t="shared" si="10"/>
        <v>-</v>
      </c>
      <c r="AT130" s="9">
        <f>IF(RIGHT(TMK[[#This Row],[Device type]],7)="Winding","-",TMK[[#This Row],[Cont Winter MVA]])</f>
        <v>5.7443465033021814</v>
      </c>
      <c r="AU130" s="9">
        <f>IF(RIGHT(TMK[[#This Row],[Device type]],7)="Winding","-",TMK[[#This Row],[Cont Shoulder MVA]])</f>
        <v>5.7443465033021814</v>
      </c>
      <c r="AV130" s="9">
        <f>IF(RIGHT(TMK[[#This Row],[Device type]],7)="Winding","-",TMK[[#This Row],[Cont Summer MVA]])</f>
        <v>5.7443465033021814</v>
      </c>
      <c r="AW130" s="9" t="str">
        <f>IF(RIGHT(TMK[[#This Row],[Device type]],7)="Winding","-",TMK[[#This Row],[24 Hr Winter MVA]])</f>
        <v>-</v>
      </c>
      <c r="AX130" s="9" t="str">
        <f>IF(RIGHT(TMK[[#This Row],[Device type]],7)="Winding","-",TMK[[#This Row],[24 Hr Summer MVA]])</f>
        <v>-</v>
      </c>
      <c r="AY130" s="9" t="str">
        <f>TMK[[#This Row],[Forwards MVA]]</f>
        <v>-</v>
      </c>
      <c r="AZ130" s="9" t="str">
        <f>TMK[[#This Row],[Relay MVA]]</f>
        <v>-</v>
      </c>
      <c r="BA130" s="9" t="str">
        <f>TMK[[#This Row],[CT MVA]]</f>
        <v>-</v>
      </c>
      <c r="BB130" s="9" t="str">
        <f>TMK[[#This Row],[Derating MVA]]</f>
        <v>-</v>
      </c>
      <c r="BC130" s="9" t="str">
        <f>TMK[[#This Row],[Station/Feeder]]&amp;TMK[[#This Row],[Lowest MVA]]</f>
        <v>G191_Geraldine Township5.74434650330218</v>
      </c>
      <c r="BD130" s="9" t="str">
        <f>CONCATENATE(TMK[[#This Row],[Supply Level]],TMK[[#This Row],[Station/Feeder]],TMK[[#This Row],[Voltage]],TMK[[#This Row],[Lowest A-No PTX]])</f>
        <v>DistributionFeederG191_Geraldine Township11.055300</v>
      </c>
      <c r="BE130" s="9" t="str">
        <f>CONCATENATE(TMK[[#This Row],[Supply Level]],TMK[[#This Row],[Station/Feeder]],TMK[[#This Row],[Voltage]],TMK[[#This Row],[Lowest A-PTX]])</f>
        <v>DistributionFeederG191_Geraldine Township11.055300</v>
      </c>
      <c r="BF130" s="9">
        <f>IFERROR(IF(MIN(TMK[[#This Row],[Summ Cont Winter A]:[Cable Derating]])=0,"",MIN(TMK[[#This Row],[Summ Cont Winter A]:[Cable Derating]])),"")</f>
        <v>5.7443465033021814</v>
      </c>
      <c r="BG130" s="9">
        <f>IFERROR(TMK[[#This Row],[Lowest MVA]]*1000/(TMK[[#This Row],[Voltage]]*SQRT(3)),"")</f>
        <v>300.00000000000006</v>
      </c>
      <c r="BH130" s="9">
        <f t="shared" si="63"/>
        <v>300</v>
      </c>
      <c r="BI130" s="9" t="str">
        <f>TMK[[#This Row],[From]]</f>
        <v>G278</v>
      </c>
      <c r="BJ130" s="9" t="str">
        <f>TMK[[#This Row],[To]]</f>
        <v>Pole 26842</v>
      </c>
      <c r="BK13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Link-G278</v>
      </c>
      <c r="BL130" s="9">
        <f>TMK[[#This Row],[Voltage]]</f>
        <v>11.055</v>
      </c>
    </row>
    <row r="131" spans="1:64" s="1" customFormat="1" x14ac:dyDescent="0.25">
      <c r="A131" s="6" t="str">
        <f>CONCATENATE(TMK[[#This Row],[Supply Level]],TMK[[#This Row],[Station/Feeder]],TMK[[#This Row],[Voltage]])</f>
        <v>DistributionFeederG191_Geraldine Township11.055</v>
      </c>
      <c r="B131" s="6" t="str">
        <f>CONCATENATE(TMK[[#This Row],[Supply Level]],TMK[[#This Row],[Station/Feeder]],TMK[[#This Row],[Equipment ID]],TMK[[#This Row],[Voltage]],TMK[[#This Row],[Device type]])</f>
        <v>DistributionFeederG191_Geraldine Township7/0.136 Cu11.055-</v>
      </c>
      <c r="C131" s="6" t="s">
        <v>1276</v>
      </c>
      <c r="D131" s="11" t="s">
        <v>108</v>
      </c>
      <c r="E131" s="46" t="s">
        <v>550</v>
      </c>
      <c r="F131" s="46" t="s">
        <v>551</v>
      </c>
      <c r="G131" s="57">
        <v>8</v>
      </c>
      <c r="H131" s="46" t="s">
        <v>1289</v>
      </c>
      <c r="I131" s="123" t="s">
        <v>549</v>
      </c>
      <c r="J131" s="123" t="s">
        <v>69</v>
      </c>
      <c r="K131" s="7" t="s">
        <v>0</v>
      </c>
      <c r="L131" s="7" t="s">
        <v>0</v>
      </c>
      <c r="M131" s="43">
        <f t="shared" si="99"/>
        <v>11.055</v>
      </c>
      <c r="N131" s="9">
        <v>320</v>
      </c>
      <c r="O131" s="9">
        <f t="shared" si="58"/>
        <v>6.12730293685566</v>
      </c>
      <c r="P131" s="9">
        <f>310*0.85</f>
        <v>263.5</v>
      </c>
      <c r="Q131" s="9">
        <f t="shared" si="59"/>
        <v>5.0454510120670824</v>
      </c>
      <c r="R131" s="9">
        <v>241</v>
      </c>
      <c r="S131" s="9">
        <f t="shared" si="60"/>
        <v>4.6146250243194187</v>
      </c>
      <c r="T131" s="9" t="s">
        <v>0</v>
      </c>
      <c r="U131" s="9" t="str">
        <f t="shared" si="61"/>
        <v>-</v>
      </c>
      <c r="V131" s="9" t="s">
        <v>0</v>
      </c>
      <c r="W131" s="9" t="str">
        <f t="shared" si="62"/>
        <v>-</v>
      </c>
      <c r="X131" s="9" t="s">
        <v>0</v>
      </c>
      <c r="Y131" s="9" t="str">
        <f t="shared" si="6"/>
        <v>-</v>
      </c>
      <c r="Z131" s="9" t="s">
        <v>0</v>
      </c>
      <c r="AA131" s="9" t="str">
        <f>IF(OR(Z131="",Z131="-"),"-",Z131*$M131*SQRT(3)/1000)</f>
        <v>-</v>
      </c>
      <c r="AB131" s="9" t="s">
        <v>0</v>
      </c>
      <c r="AC131" s="9" t="str">
        <f>IF(OR(AB131="",AB131="-"),"-",AB131*$M131*SQRT(3)/1000)</f>
        <v>-</v>
      </c>
      <c r="AD131" s="9" t="s">
        <v>0</v>
      </c>
      <c r="AE131" s="12" t="str">
        <f>IF(OR(AD131="",AD131="-"),"-",AD131*$M131*SQRT(3)/1000)</f>
        <v>-</v>
      </c>
      <c r="AF131" s="9" t="s">
        <v>0</v>
      </c>
      <c r="AG131" s="9" t="s">
        <v>0</v>
      </c>
      <c r="AH131" s="9">
        <v>127.1</v>
      </c>
      <c r="AI131" s="9" t="s">
        <v>0</v>
      </c>
      <c r="AJ131" s="43" t="s">
        <v>0</v>
      </c>
      <c r="AK131" s="9" t="s">
        <v>0</v>
      </c>
      <c r="AL131" s="43" t="s">
        <v>0</v>
      </c>
      <c r="AM131" s="9" t="s">
        <v>0</v>
      </c>
      <c r="AN131" s="43" t="s">
        <v>0</v>
      </c>
      <c r="AO131" s="9" t="s">
        <v>0</v>
      </c>
      <c r="AP131" s="9" t="s">
        <v>0</v>
      </c>
      <c r="AQ131" s="43" t="s">
        <v>0</v>
      </c>
      <c r="AR131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31" s="9" t="str">
        <f>IF(OR(AR131="",AR131="-"),"-",AR131*$M131*SQRT(3)/1000)</f>
        <v>-</v>
      </c>
      <c r="AT131" s="9">
        <f>IF(RIGHT(TMK[[#This Row],[Device type]],7)="Winding","-",TMK[[#This Row],[Cont Winter MVA]])</f>
        <v>6.12730293685566</v>
      </c>
      <c r="AU131" s="9">
        <f>IF(RIGHT(TMK[[#This Row],[Device type]],7)="Winding","-",TMK[[#This Row],[Cont Shoulder MVA]])</f>
        <v>5.0454510120670824</v>
      </c>
      <c r="AV131" s="9">
        <f>IF(RIGHT(TMK[[#This Row],[Device type]],7)="Winding","-",TMK[[#This Row],[Cont Summer MVA]])</f>
        <v>4.6146250243194187</v>
      </c>
      <c r="AW131" s="9" t="str">
        <f>IF(RIGHT(TMK[[#This Row],[Device type]],7)="Winding","-",TMK[[#This Row],[24 Hr Winter MVA]])</f>
        <v>-</v>
      </c>
      <c r="AX131" s="9" t="str">
        <f>IF(RIGHT(TMK[[#This Row],[Device type]],7)="Winding","-",TMK[[#This Row],[24 Hr Summer MVA]])</f>
        <v>-</v>
      </c>
      <c r="AY131" s="9" t="str">
        <f>TMK[[#This Row],[Forwards MVA]]</f>
        <v>-</v>
      </c>
      <c r="AZ131" s="9" t="str">
        <f>TMK[[#This Row],[Relay MVA]]</f>
        <v>-</v>
      </c>
      <c r="BA131" s="9" t="str">
        <f>TMK[[#This Row],[CT MVA]]</f>
        <v>-</v>
      </c>
      <c r="BB131" s="9" t="str">
        <f>TMK[[#This Row],[Derating MVA]]</f>
        <v>-</v>
      </c>
      <c r="BC131" s="9" t="str">
        <f>TMK[[#This Row],[Station/Feeder]]&amp;TMK[[#This Row],[Lowest MVA]]</f>
        <v>G191_Geraldine Township4.61462502431942</v>
      </c>
      <c r="BD131" s="9" t="str">
        <f>CONCATENATE(TMK[[#This Row],[Supply Level]],TMK[[#This Row],[Station/Feeder]],TMK[[#This Row],[Voltage]],TMK[[#This Row],[Lowest A-No PTX]])</f>
        <v>DistributionFeederG191_Geraldine Township11.055241</v>
      </c>
      <c r="BE131" s="9" t="str">
        <f>CONCATENATE(TMK[[#This Row],[Supply Level]],TMK[[#This Row],[Station/Feeder]],TMK[[#This Row],[Voltage]],TMK[[#This Row],[Lowest A-PTX]])</f>
        <v>DistributionFeederG191_Geraldine Township11.055241</v>
      </c>
      <c r="BF131" s="9">
        <f>IFERROR(IF(MIN(TMK[[#This Row],[Summ Cont Winter A]:[Cable Derating]])=0,"",MIN(TMK[[#This Row],[Summ Cont Winter A]:[Cable Derating]])),"")</f>
        <v>4.6146250243194187</v>
      </c>
      <c r="BG131" s="9">
        <f>IFERROR(TMK[[#This Row],[Lowest MVA]]*1000/(TMK[[#This Row],[Voltage]]*SQRT(3)),"")</f>
        <v>241.00000000000003</v>
      </c>
      <c r="BH131" s="9">
        <f t="shared" si="63"/>
        <v>241</v>
      </c>
      <c r="BI131" s="9" t="str">
        <f>TMK[[#This Row],[From]]</f>
        <v>G278</v>
      </c>
      <c r="BJ131" s="9" t="str">
        <f>TMK[[#This Row],[To]]</f>
        <v>Pole 26842</v>
      </c>
      <c r="BK13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Line-7/0.136 Cu</v>
      </c>
      <c r="BL131" s="9">
        <f>TMK[[#This Row],[Voltage]]</f>
        <v>11.055</v>
      </c>
    </row>
    <row r="132" spans="1:64" s="1" customFormat="1" x14ac:dyDescent="0.25">
      <c r="A132" s="6" t="str">
        <f>CONCATENATE(TMK[[#This Row],[Supply Level]],TMK[[#This Row],[Station/Feeder]],TMK[[#This Row],[Voltage]])</f>
        <v>DistributionFeederG156_Woodbury11.055</v>
      </c>
      <c r="B132" s="6" t="str">
        <f>CONCATENATE(TMK[[#This Row],[Supply Level]],TMK[[#This Row],[Station/Feeder]],TMK[[#This Row],[Equipment ID]],TMK[[#This Row],[Voltage]],TMK[[#This Row],[Device type]])</f>
        <v>DistributionFeederG156_WoodburyG15711.055-</v>
      </c>
      <c r="C132" s="6" t="s">
        <v>1276</v>
      </c>
      <c r="D132" s="11" t="s">
        <v>119</v>
      </c>
      <c r="E132" s="7" t="s">
        <v>534</v>
      </c>
      <c r="F132" s="46" t="s">
        <v>552</v>
      </c>
      <c r="G132" s="57">
        <v>1</v>
      </c>
      <c r="H132" s="46" t="s">
        <v>273</v>
      </c>
      <c r="I132" s="123" t="s">
        <v>553</v>
      </c>
      <c r="J132" s="123" t="s">
        <v>249</v>
      </c>
      <c r="K132" s="46" t="s">
        <v>0</v>
      </c>
      <c r="L132" s="46" t="s">
        <v>0</v>
      </c>
      <c r="M132" s="43">
        <f t="shared" si="99"/>
        <v>11.055</v>
      </c>
      <c r="N132" s="9" t="s">
        <v>0</v>
      </c>
      <c r="O132" s="9" t="str">
        <f t="shared" si="58"/>
        <v>-</v>
      </c>
      <c r="P132" s="9" t="s">
        <v>0</v>
      </c>
      <c r="Q132" s="9" t="str">
        <f t="shared" si="59"/>
        <v>-</v>
      </c>
      <c r="R132" s="9" t="s">
        <v>0</v>
      </c>
      <c r="S132" s="9" t="str">
        <f t="shared" si="60"/>
        <v>-</v>
      </c>
      <c r="T132" s="9" t="s">
        <v>0</v>
      </c>
      <c r="U132" s="9" t="str">
        <f t="shared" si="61"/>
        <v>-</v>
      </c>
      <c r="V132" s="9" t="s">
        <v>0</v>
      </c>
      <c r="W132" s="9" t="str">
        <f t="shared" si="62"/>
        <v>-</v>
      </c>
      <c r="X132" s="9" t="s">
        <v>0</v>
      </c>
      <c r="Y132" s="9" t="str">
        <f t="shared" si="6"/>
        <v>-</v>
      </c>
      <c r="Z132" s="9" t="s">
        <v>0</v>
      </c>
      <c r="AA132" s="9" t="str">
        <f t="shared" ref="AA132:AA135" si="105">IF(OR(Z132="",Z132="-"),"-",Z132*$M132*SQRT(3)/1000)</f>
        <v>-</v>
      </c>
      <c r="AB132" s="9" t="s">
        <v>0</v>
      </c>
      <c r="AC132" s="9" t="str">
        <f t="shared" ref="AC132:AC135" si="106">IF(OR(AB132="",AB132="-"),"-",AB132*$M132*SQRT(3)/1000)</f>
        <v>-</v>
      </c>
      <c r="AD132" s="9" t="s">
        <v>0</v>
      </c>
      <c r="AE132" s="12" t="str">
        <f t="shared" ref="AE132:AE135" si="107">IF(OR(AD132="",AD132="-"),"-",AD132*$M132*SQRT(3)/1000)</f>
        <v>-</v>
      </c>
      <c r="AF132" s="29" t="s">
        <v>0</v>
      </c>
      <c r="AG132" s="29" t="s">
        <v>0</v>
      </c>
      <c r="AH132" s="29" t="s">
        <v>0</v>
      </c>
      <c r="AI132" s="29" t="s">
        <v>0</v>
      </c>
      <c r="AJ132" s="32" t="s">
        <v>0</v>
      </c>
      <c r="AK132" s="29" t="s">
        <v>0</v>
      </c>
      <c r="AL132" s="32" t="s">
        <v>0</v>
      </c>
      <c r="AM132" s="29" t="s">
        <v>0</v>
      </c>
      <c r="AN132" s="32" t="s">
        <v>0</v>
      </c>
      <c r="AO132" s="29" t="s">
        <v>0</v>
      </c>
      <c r="AP132" s="29" t="s">
        <v>0</v>
      </c>
      <c r="AQ132" s="32" t="s">
        <v>0</v>
      </c>
      <c r="AR132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32" s="9" t="str">
        <f t="shared" ref="AS132:AS135" si="108">IF(OR(AR132="",AR132="-"),"-",AR132*$M132*SQRT(3)/1000)</f>
        <v>-</v>
      </c>
      <c r="AT132" s="9" t="str">
        <f>IF(RIGHT(TMK[[#This Row],[Device type]],7)="Winding","-",TMK[[#This Row],[Cont Winter MVA]])</f>
        <v>-</v>
      </c>
      <c r="AU132" s="9" t="str">
        <f>IF(RIGHT(TMK[[#This Row],[Device type]],7)="Winding","-",TMK[[#This Row],[Cont Shoulder MVA]])</f>
        <v>-</v>
      </c>
      <c r="AV132" s="9" t="str">
        <f>IF(RIGHT(TMK[[#This Row],[Device type]],7)="Winding","-",TMK[[#This Row],[Cont Summer MVA]])</f>
        <v>-</v>
      </c>
      <c r="AW132" s="9" t="str">
        <f>IF(RIGHT(TMK[[#This Row],[Device type]],7)="Winding","-",TMK[[#This Row],[24 Hr Winter MVA]])</f>
        <v>-</v>
      </c>
      <c r="AX132" s="9" t="str">
        <f>IF(RIGHT(TMK[[#This Row],[Device type]],7)="Winding","-",TMK[[#This Row],[24 Hr Summer MVA]])</f>
        <v>-</v>
      </c>
      <c r="AY132" s="9" t="str">
        <f>TMK[[#This Row],[Forwards MVA]]</f>
        <v>-</v>
      </c>
      <c r="AZ132" s="9" t="str">
        <f>TMK[[#This Row],[Relay MVA]]</f>
        <v>-</v>
      </c>
      <c r="BA132" s="9" t="str">
        <f>TMK[[#This Row],[CT MVA]]</f>
        <v>-</v>
      </c>
      <c r="BB132" s="9" t="str">
        <f>TMK[[#This Row],[Derating MVA]]</f>
        <v>-</v>
      </c>
      <c r="BC132" s="9" t="str">
        <f>TMK[[#This Row],[Station/Feeder]]&amp;TMK[[#This Row],[Lowest MVA]]</f>
        <v>G156_Woodbury</v>
      </c>
      <c r="BD132" s="9" t="str">
        <f>CONCATENATE(TMK[[#This Row],[Supply Level]],TMK[[#This Row],[Station/Feeder]],TMK[[#This Row],[Voltage]],TMK[[#This Row],[Lowest A-No PTX]])</f>
        <v>DistributionFeederG156_Woodbury11.055</v>
      </c>
      <c r="BE132" s="9" t="str">
        <f>CONCATENATE(TMK[[#This Row],[Supply Level]],TMK[[#This Row],[Station/Feeder]],TMK[[#This Row],[Voltage]],TMK[[#This Row],[Lowest A-PTX]])</f>
        <v>DistributionFeederG156_Woodbury11.055</v>
      </c>
      <c r="BF132" s="9" t="str">
        <f>IFERROR(IF(MIN(TMK[[#This Row],[Summ Cont Winter A]:[Cable Derating]])=0,"",MIN(TMK[[#This Row],[Summ Cont Winter A]:[Cable Derating]])),"")</f>
        <v/>
      </c>
      <c r="BG132" s="9" t="str">
        <f>IFERROR(TMK[[#This Row],[Lowest MVA]]*1000/(TMK[[#This Row],[Voltage]]*SQRT(3)),"")</f>
        <v/>
      </c>
      <c r="BH132" s="9" t="str">
        <f t="shared" si="63"/>
        <v/>
      </c>
      <c r="BI132" s="9" t="str">
        <f>TMK[[#This Row],[From]]</f>
        <v>G222</v>
      </c>
      <c r="BJ132" s="9" t="str">
        <f>TMK[[#This Row],[To]]</f>
        <v>G277</v>
      </c>
      <c r="BK13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Link-G157</v>
      </c>
      <c r="BL132" s="9">
        <f>TMK[[#This Row],[Voltage]]</f>
        <v>11.055</v>
      </c>
    </row>
    <row r="133" spans="1:64" s="1" customFormat="1" x14ac:dyDescent="0.25">
      <c r="A133" s="6" t="str">
        <f>CONCATENATE(TMK[[#This Row],[Supply Level]],TMK[[#This Row],[Station/Feeder]],TMK[[#This Row],[Voltage]])</f>
        <v>DistributionFeederG156_Woodbury11.055</v>
      </c>
      <c r="B133" s="6" t="str">
        <f>CONCATENATE(TMK[[#This Row],[Supply Level]],TMK[[#This Row],[Station/Feeder]],TMK[[#This Row],[Equipment ID]],TMK[[#This Row],[Voltage]],TMK[[#This Row],[Device type]])</f>
        <v>DistributionFeederG156_WoodburyGLD-G15611.055Protection</v>
      </c>
      <c r="C133" s="6" t="s">
        <v>1276</v>
      </c>
      <c r="D133" s="11" t="s">
        <v>119</v>
      </c>
      <c r="E133" s="7" t="s">
        <v>534</v>
      </c>
      <c r="F133" s="46" t="s">
        <v>552</v>
      </c>
      <c r="G133" s="57">
        <v>2</v>
      </c>
      <c r="H133" s="46" t="s">
        <v>343</v>
      </c>
      <c r="I133" s="123" t="s">
        <v>2437</v>
      </c>
      <c r="J133" s="123" t="s">
        <v>15</v>
      </c>
      <c r="K133" s="46" t="s">
        <v>540</v>
      </c>
      <c r="L133" s="46" t="s">
        <v>1423</v>
      </c>
      <c r="M133" s="43">
        <f t="shared" si="99"/>
        <v>11.055</v>
      </c>
      <c r="N133" s="9">
        <v>630</v>
      </c>
      <c r="O133" s="9">
        <f t="shared" si="58"/>
        <v>12.063127656934579</v>
      </c>
      <c r="P133" s="9">
        <v>630</v>
      </c>
      <c r="Q133" s="9">
        <f t="shared" si="59"/>
        <v>12.063127656934579</v>
      </c>
      <c r="R133" s="9">
        <v>630</v>
      </c>
      <c r="S133" s="9">
        <f t="shared" si="60"/>
        <v>12.063127656934579</v>
      </c>
      <c r="T133" s="9" t="s">
        <v>0</v>
      </c>
      <c r="U133" s="9" t="str">
        <f t="shared" si="61"/>
        <v>-</v>
      </c>
      <c r="V133" s="9" t="s">
        <v>0</v>
      </c>
      <c r="W133" s="9" t="str">
        <f t="shared" si="62"/>
        <v>-</v>
      </c>
      <c r="X133" s="9">
        <f>VLOOKUP(TMK[[#This Row],[Equipment ID]],AEL_Protection_Data[#All],12,0)</f>
        <v>350</v>
      </c>
      <c r="Y133" s="9">
        <f t="shared" si="6"/>
        <v>6.7017375871858782</v>
      </c>
      <c r="Z133" s="9">
        <v>300</v>
      </c>
      <c r="AA133" s="9">
        <f t="shared" si="105"/>
        <v>5.7443465033021814</v>
      </c>
      <c r="AB133" s="9" t="s">
        <v>0</v>
      </c>
      <c r="AC133" s="9" t="str">
        <f t="shared" si="106"/>
        <v>-</v>
      </c>
      <c r="AD133" s="9">
        <v>2000</v>
      </c>
      <c r="AE133" s="12">
        <f t="shared" si="107"/>
        <v>38.295643355347877</v>
      </c>
      <c r="AF133" s="29" t="s">
        <v>0</v>
      </c>
      <c r="AG133" s="29" t="s">
        <v>0</v>
      </c>
      <c r="AH133" s="29" t="s">
        <v>0</v>
      </c>
      <c r="AI133" s="29" t="s">
        <v>0</v>
      </c>
      <c r="AJ133" s="32" t="s">
        <v>0</v>
      </c>
      <c r="AK133" s="29" t="s">
        <v>0</v>
      </c>
      <c r="AL133" s="32" t="s">
        <v>0</v>
      </c>
      <c r="AM133" s="29" t="s">
        <v>0</v>
      </c>
      <c r="AN133" s="32" t="s">
        <v>0</v>
      </c>
      <c r="AO133" s="29" t="s">
        <v>0</v>
      </c>
      <c r="AP133" s="29" t="s">
        <v>0</v>
      </c>
      <c r="AQ133" s="32" t="s">
        <v>0</v>
      </c>
      <c r="AR133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33" s="9" t="str">
        <f t="shared" si="108"/>
        <v>-</v>
      </c>
      <c r="AT133" s="9">
        <f>IF(RIGHT(TMK[[#This Row],[Device type]],7)="Winding","-",TMK[[#This Row],[Cont Winter MVA]])</f>
        <v>12.063127656934579</v>
      </c>
      <c r="AU133" s="9">
        <f>IF(RIGHT(TMK[[#This Row],[Device type]],7)="Winding","-",TMK[[#This Row],[Cont Shoulder MVA]])</f>
        <v>12.063127656934579</v>
      </c>
      <c r="AV133" s="9">
        <f>IF(RIGHT(TMK[[#This Row],[Device type]],7)="Winding","-",TMK[[#This Row],[Cont Summer MVA]])</f>
        <v>12.063127656934579</v>
      </c>
      <c r="AW133" s="9" t="str">
        <f>IF(RIGHT(TMK[[#This Row],[Device type]],7)="Winding","-",TMK[[#This Row],[24 Hr Winter MVA]])</f>
        <v>-</v>
      </c>
      <c r="AX133" s="9" t="str">
        <f>IF(RIGHT(TMK[[#This Row],[Device type]],7)="Winding","-",TMK[[#This Row],[24 Hr Summer MVA]])</f>
        <v>-</v>
      </c>
      <c r="AY133" s="9">
        <f>TMK[[#This Row],[Forwards MVA]]</f>
        <v>6.7017375871858782</v>
      </c>
      <c r="AZ133" s="9" t="str">
        <f>TMK[[#This Row],[Relay MVA]]</f>
        <v>-</v>
      </c>
      <c r="BA133" s="9">
        <f>TMK[[#This Row],[CT MVA]]</f>
        <v>38.295643355347877</v>
      </c>
      <c r="BB133" s="9" t="str">
        <f>TMK[[#This Row],[Derating MVA]]</f>
        <v>-</v>
      </c>
      <c r="BC133" s="9" t="str">
        <f>TMK[[#This Row],[Station/Feeder]]&amp;TMK[[#This Row],[Lowest MVA]]</f>
        <v>G156_Woodbury6.70173758718588</v>
      </c>
      <c r="BD133" s="9" t="str">
        <f>CONCATENATE(TMK[[#This Row],[Supply Level]],TMK[[#This Row],[Station/Feeder]],TMK[[#This Row],[Voltage]],TMK[[#This Row],[Lowest A-No PTX]])</f>
        <v>DistributionFeederG156_Woodbury11.055350</v>
      </c>
      <c r="BE133" s="9" t="str">
        <f>CONCATENATE(TMK[[#This Row],[Supply Level]],TMK[[#This Row],[Station/Feeder]],TMK[[#This Row],[Voltage]],TMK[[#This Row],[Lowest A-PTX]])</f>
        <v>DistributionFeederG156_Woodbury11.055300</v>
      </c>
      <c r="BF133" s="9">
        <f>IFERROR(IF(MIN(TMK[[#This Row],[Summ Cont Winter A]:[Cable Derating]])=0,"",MIN(TMK[[#This Row],[Summ Cont Winter A]:[Cable Derating]])),"")</f>
        <v>6.7017375871858782</v>
      </c>
      <c r="BG133" s="9">
        <f>IFERROR(TMK[[#This Row],[Lowest MVA]]*1000/(TMK[[#This Row],[Voltage]]*SQRT(3)),"")</f>
        <v>350.00000000000006</v>
      </c>
      <c r="BH133" s="9">
        <f t="shared" si="63"/>
        <v>300</v>
      </c>
      <c r="BI133" s="9" t="str">
        <f>TMK[[#This Row],[From]]</f>
        <v>G222</v>
      </c>
      <c r="BJ133" s="9" t="str">
        <f>TMK[[#This Row],[To]]</f>
        <v>G277</v>
      </c>
      <c r="BK13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Breaker-GLD-G156-Protection</v>
      </c>
      <c r="BL133" s="9">
        <f>TMK[[#This Row],[Voltage]]</f>
        <v>11.055</v>
      </c>
    </row>
    <row r="134" spans="1:64" s="1" customFormat="1" x14ac:dyDescent="0.25">
      <c r="A134" s="6" t="str">
        <f>CONCATENATE(TMK[[#This Row],[Supply Level]],TMK[[#This Row],[Station/Feeder]],TMK[[#This Row],[Voltage]])</f>
        <v>DistributionFeederG156_Woodbury11.055</v>
      </c>
      <c r="B134" s="6" t="str">
        <f>CONCATENATE(TMK[[#This Row],[Supply Level]],TMK[[#This Row],[Station/Feeder]],TMK[[#This Row],[Equipment ID]],TMK[[#This Row],[Voltage]],TMK[[#This Row],[Device type]])</f>
        <v>DistributionFeederG156_WoodburyG15811.055-</v>
      </c>
      <c r="C134" s="6" t="s">
        <v>1276</v>
      </c>
      <c r="D134" s="11" t="s">
        <v>119</v>
      </c>
      <c r="E134" s="7" t="s">
        <v>534</v>
      </c>
      <c r="F134" s="46" t="s">
        <v>552</v>
      </c>
      <c r="G134" s="57">
        <v>3</v>
      </c>
      <c r="H134" s="46" t="s">
        <v>273</v>
      </c>
      <c r="I134" s="123" t="s">
        <v>555</v>
      </c>
      <c r="J134" s="123" t="s">
        <v>249</v>
      </c>
      <c r="K134" s="46" t="s">
        <v>0</v>
      </c>
      <c r="L134" s="46" t="s">
        <v>0</v>
      </c>
      <c r="M134" s="43">
        <f t="shared" si="99"/>
        <v>11.055</v>
      </c>
      <c r="N134" s="9" t="s">
        <v>0</v>
      </c>
      <c r="O134" s="9" t="str">
        <f t="shared" si="58"/>
        <v>-</v>
      </c>
      <c r="P134" s="9" t="s">
        <v>0</v>
      </c>
      <c r="Q134" s="9" t="str">
        <f t="shared" si="59"/>
        <v>-</v>
      </c>
      <c r="R134" s="9" t="s">
        <v>0</v>
      </c>
      <c r="S134" s="9" t="str">
        <f t="shared" si="60"/>
        <v>-</v>
      </c>
      <c r="T134" s="9" t="s">
        <v>0</v>
      </c>
      <c r="U134" s="9" t="str">
        <f t="shared" si="61"/>
        <v>-</v>
      </c>
      <c r="V134" s="9" t="s">
        <v>0</v>
      </c>
      <c r="W134" s="9" t="str">
        <f t="shared" si="62"/>
        <v>-</v>
      </c>
      <c r="X134" s="9" t="s">
        <v>0</v>
      </c>
      <c r="Y134" s="9" t="str">
        <f t="shared" si="6"/>
        <v>-</v>
      </c>
      <c r="Z134" s="9" t="s">
        <v>0</v>
      </c>
      <c r="AA134" s="9" t="str">
        <f t="shared" si="105"/>
        <v>-</v>
      </c>
      <c r="AB134" s="9" t="s">
        <v>0</v>
      </c>
      <c r="AC134" s="9" t="str">
        <f t="shared" si="106"/>
        <v>-</v>
      </c>
      <c r="AD134" s="9" t="s">
        <v>0</v>
      </c>
      <c r="AE134" s="12" t="str">
        <f t="shared" si="107"/>
        <v>-</v>
      </c>
      <c r="AF134" s="29" t="s">
        <v>0</v>
      </c>
      <c r="AG134" s="29" t="s">
        <v>0</v>
      </c>
      <c r="AH134" s="29" t="s">
        <v>0</v>
      </c>
      <c r="AI134" s="29" t="s">
        <v>0</v>
      </c>
      <c r="AJ134" s="32" t="s">
        <v>0</v>
      </c>
      <c r="AK134" s="29" t="s">
        <v>0</v>
      </c>
      <c r="AL134" s="32" t="s">
        <v>0</v>
      </c>
      <c r="AM134" s="29" t="s">
        <v>0</v>
      </c>
      <c r="AN134" s="32" t="s">
        <v>0</v>
      </c>
      <c r="AO134" s="29" t="s">
        <v>0</v>
      </c>
      <c r="AP134" s="29" t="s">
        <v>0</v>
      </c>
      <c r="AQ134" s="32" t="s">
        <v>0</v>
      </c>
      <c r="AR134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34" s="9" t="str">
        <f t="shared" si="108"/>
        <v>-</v>
      </c>
      <c r="AT134" s="9" t="str">
        <f>IF(RIGHT(TMK[[#This Row],[Device type]],7)="Winding","-",TMK[[#This Row],[Cont Winter MVA]])</f>
        <v>-</v>
      </c>
      <c r="AU134" s="9" t="str">
        <f>IF(RIGHT(TMK[[#This Row],[Device type]],7)="Winding","-",TMK[[#This Row],[Cont Shoulder MVA]])</f>
        <v>-</v>
      </c>
      <c r="AV134" s="9" t="str">
        <f>IF(RIGHT(TMK[[#This Row],[Device type]],7)="Winding","-",TMK[[#This Row],[Cont Summer MVA]])</f>
        <v>-</v>
      </c>
      <c r="AW134" s="9" t="str">
        <f>IF(RIGHT(TMK[[#This Row],[Device type]],7)="Winding","-",TMK[[#This Row],[24 Hr Winter MVA]])</f>
        <v>-</v>
      </c>
      <c r="AX134" s="9" t="str">
        <f>IF(RIGHT(TMK[[#This Row],[Device type]],7)="Winding","-",TMK[[#This Row],[24 Hr Summer MVA]])</f>
        <v>-</v>
      </c>
      <c r="AY134" s="9" t="str">
        <f>TMK[[#This Row],[Forwards MVA]]</f>
        <v>-</v>
      </c>
      <c r="AZ134" s="9" t="str">
        <f>TMK[[#This Row],[Relay MVA]]</f>
        <v>-</v>
      </c>
      <c r="BA134" s="9" t="str">
        <f>TMK[[#This Row],[CT MVA]]</f>
        <v>-</v>
      </c>
      <c r="BB134" s="9" t="str">
        <f>TMK[[#This Row],[Derating MVA]]</f>
        <v>-</v>
      </c>
      <c r="BC134" s="9" t="str">
        <f>TMK[[#This Row],[Station/Feeder]]&amp;TMK[[#This Row],[Lowest MVA]]</f>
        <v>G156_Woodbury</v>
      </c>
      <c r="BD134" s="9" t="str">
        <f>CONCATENATE(TMK[[#This Row],[Supply Level]],TMK[[#This Row],[Station/Feeder]],TMK[[#This Row],[Voltage]],TMK[[#This Row],[Lowest A-No PTX]])</f>
        <v>DistributionFeederG156_Woodbury11.055</v>
      </c>
      <c r="BE134" s="9" t="str">
        <f>CONCATENATE(TMK[[#This Row],[Supply Level]],TMK[[#This Row],[Station/Feeder]],TMK[[#This Row],[Voltage]],TMK[[#This Row],[Lowest A-PTX]])</f>
        <v>DistributionFeederG156_Woodbury11.055</v>
      </c>
      <c r="BF134" s="9" t="str">
        <f>IFERROR(IF(MIN(TMK[[#This Row],[Summ Cont Winter A]:[Cable Derating]])=0,"",MIN(TMK[[#This Row],[Summ Cont Winter A]:[Cable Derating]])),"")</f>
        <v/>
      </c>
      <c r="BG134" s="9" t="str">
        <f>IFERROR(TMK[[#This Row],[Lowest MVA]]*1000/(TMK[[#This Row],[Voltage]]*SQRT(3)),"")</f>
        <v/>
      </c>
      <c r="BH134" s="9" t="str">
        <f t="shared" si="63"/>
        <v/>
      </c>
      <c r="BI134" s="9" t="str">
        <f>TMK[[#This Row],[From]]</f>
        <v>G222</v>
      </c>
      <c r="BJ134" s="9" t="str">
        <f>TMK[[#This Row],[To]]</f>
        <v>G277</v>
      </c>
      <c r="BK13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Link-G158</v>
      </c>
      <c r="BL134" s="9">
        <f>TMK[[#This Row],[Voltage]]</f>
        <v>11.055</v>
      </c>
    </row>
    <row r="135" spans="1:64" s="1" customFormat="1" x14ac:dyDescent="0.25">
      <c r="A135" s="6" t="str">
        <f>CONCATENATE(TMK[[#This Row],[Supply Level]],TMK[[#This Row],[Station/Feeder]],TMK[[#This Row],[Voltage]])</f>
        <v>DistributionFeederG156_Woodbury11.055</v>
      </c>
      <c r="B135" s="6" t="str">
        <f>CONCATENATE(TMK[[#This Row],[Supply Level]],TMK[[#This Row],[Station/Feeder]],TMK[[#This Row],[Equipment ID]],TMK[[#This Row],[Voltage]],TMK[[#This Row],[Device type]])</f>
        <v>DistributionFeederG156_Woodbury7/0.136 Cu11.055-</v>
      </c>
      <c r="C135" s="6" t="s">
        <v>1276</v>
      </c>
      <c r="D135" s="11" t="s">
        <v>119</v>
      </c>
      <c r="E135" s="7" t="s">
        <v>534</v>
      </c>
      <c r="F135" s="46" t="s">
        <v>552</v>
      </c>
      <c r="G135" s="57">
        <v>4</v>
      </c>
      <c r="H135" s="46" t="s">
        <v>1289</v>
      </c>
      <c r="I135" s="123" t="s">
        <v>549</v>
      </c>
      <c r="J135" s="123" t="s">
        <v>69</v>
      </c>
      <c r="K135" s="46" t="s">
        <v>0</v>
      </c>
      <c r="L135" s="46" t="s">
        <v>0</v>
      </c>
      <c r="M135" s="43">
        <f t="shared" si="99"/>
        <v>11.055</v>
      </c>
      <c r="N135" s="9">
        <v>320</v>
      </c>
      <c r="O135" s="9">
        <f t="shared" si="58"/>
        <v>6.12730293685566</v>
      </c>
      <c r="P135" s="9" t="s">
        <v>0</v>
      </c>
      <c r="Q135" s="9" t="str">
        <f t="shared" si="59"/>
        <v>-</v>
      </c>
      <c r="R135" s="9">
        <v>241</v>
      </c>
      <c r="S135" s="9">
        <f t="shared" si="60"/>
        <v>4.6146250243194187</v>
      </c>
      <c r="T135" s="9" t="s">
        <v>0</v>
      </c>
      <c r="U135" s="9" t="str">
        <f t="shared" si="61"/>
        <v>-</v>
      </c>
      <c r="V135" s="9" t="s">
        <v>0</v>
      </c>
      <c r="W135" s="9" t="str">
        <f t="shared" si="62"/>
        <v>-</v>
      </c>
      <c r="X135" s="9" t="s">
        <v>0</v>
      </c>
      <c r="Y135" s="9" t="str">
        <f t="shared" si="6"/>
        <v>-</v>
      </c>
      <c r="Z135" s="9" t="s">
        <v>0</v>
      </c>
      <c r="AA135" s="9" t="str">
        <f t="shared" si="105"/>
        <v>-</v>
      </c>
      <c r="AB135" s="9" t="s">
        <v>0</v>
      </c>
      <c r="AC135" s="9" t="str">
        <f t="shared" si="106"/>
        <v>-</v>
      </c>
      <c r="AD135" s="9" t="s">
        <v>0</v>
      </c>
      <c r="AE135" s="12" t="str">
        <f t="shared" si="107"/>
        <v>-</v>
      </c>
      <c r="AF135" s="29" t="s">
        <v>0</v>
      </c>
      <c r="AG135" s="29" t="s">
        <v>0</v>
      </c>
      <c r="AH135" s="29">
        <v>26.4</v>
      </c>
      <c r="AI135" s="29" t="s">
        <v>0</v>
      </c>
      <c r="AJ135" s="32" t="s">
        <v>0</v>
      </c>
      <c r="AK135" s="29" t="s">
        <v>0</v>
      </c>
      <c r="AL135" s="32" t="s">
        <v>0</v>
      </c>
      <c r="AM135" s="29" t="s">
        <v>0</v>
      </c>
      <c r="AN135" s="32" t="s">
        <v>0</v>
      </c>
      <c r="AO135" s="29" t="s">
        <v>0</v>
      </c>
      <c r="AP135" s="29" t="s">
        <v>0</v>
      </c>
      <c r="AQ135" s="32" t="s">
        <v>0</v>
      </c>
      <c r="AR135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35" s="9" t="str">
        <f t="shared" si="108"/>
        <v>-</v>
      </c>
      <c r="AT135" s="9">
        <f>IF(RIGHT(TMK[[#This Row],[Device type]],7)="Winding","-",TMK[[#This Row],[Cont Winter MVA]])</f>
        <v>6.12730293685566</v>
      </c>
      <c r="AU135" s="9" t="str">
        <f>IF(RIGHT(TMK[[#This Row],[Device type]],7)="Winding","-",TMK[[#This Row],[Cont Shoulder MVA]])</f>
        <v>-</v>
      </c>
      <c r="AV135" s="9">
        <f>IF(RIGHT(TMK[[#This Row],[Device type]],7)="Winding","-",TMK[[#This Row],[Cont Summer MVA]])</f>
        <v>4.6146250243194187</v>
      </c>
      <c r="AW135" s="9" t="str">
        <f>IF(RIGHT(TMK[[#This Row],[Device type]],7)="Winding","-",TMK[[#This Row],[24 Hr Winter MVA]])</f>
        <v>-</v>
      </c>
      <c r="AX135" s="9" t="str">
        <f>IF(RIGHT(TMK[[#This Row],[Device type]],7)="Winding","-",TMK[[#This Row],[24 Hr Summer MVA]])</f>
        <v>-</v>
      </c>
      <c r="AY135" s="9" t="str">
        <f>TMK[[#This Row],[Forwards MVA]]</f>
        <v>-</v>
      </c>
      <c r="AZ135" s="9" t="str">
        <f>TMK[[#This Row],[Relay MVA]]</f>
        <v>-</v>
      </c>
      <c r="BA135" s="9" t="str">
        <f>TMK[[#This Row],[CT MVA]]</f>
        <v>-</v>
      </c>
      <c r="BB135" s="9" t="str">
        <f>TMK[[#This Row],[Derating MVA]]</f>
        <v>-</v>
      </c>
      <c r="BC135" s="9" t="str">
        <f>TMK[[#This Row],[Station/Feeder]]&amp;TMK[[#This Row],[Lowest MVA]]</f>
        <v>G156_Woodbury4.61462502431942</v>
      </c>
      <c r="BD135" s="9" t="str">
        <f>CONCATENATE(TMK[[#This Row],[Supply Level]],TMK[[#This Row],[Station/Feeder]],TMK[[#This Row],[Voltage]],TMK[[#This Row],[Lowest A-No PTX]])</f>
        <v>DistributionFeederG156_Woodbury11.055241</v>
      </c>
      <c r="BE135" s="9" t="str">
        <f>CONCATENATE(TMK[[#This Row],[Supply Level]],TMK[[#This Row],[Station/Feeder]],TMK[[#This Row],[Voltage]],TMK[[#This Row],[Lowest A-PTX]])</f>
        <v>DistributionFeederG156_Woodbury11.055241</v>
      </c>
      <c r="BF135" s="9">
        <f>IFERROR(IF(MIN(TMK[[#This Row],[Summ Cont Winter A]:[Cable Derating]])=0,"",MIN(TMK[[#This Row],[Summ Cont Winter A]:[Cable Derating]])),"")</f>
        <v>4.6146250243194187</v>
      </c>
      <c r="BG135" s="9">
        <f>IFERROR(TMK[[#This Row],[Lowest MVA]]*1000/(TMK[[#This Row],[Voltage]]*SQRT(3)),"")</f>
        <v>241.00000000000003</v>
      </c>
      <c r="BH135" s="9">
        <f t="shared" si="63"/>
        <v>241</v>
      </c>
      <c r="BI135" s="9" t="str">
        <f>TMK[[#This Row],[From]]</f>
        <v>G222</v>
      </c>
      <c r="BJ135" s="9" t="str">
        <f>TMK[[#This Row],[To]]</f>
        <v>G277</v>
      </c>
      <c r="BK13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Line-7/0.136 Cu</v>
      </c>
      <c r="BL135" s="9">
        <f>TMK[[#This Row],[Voltage]]</f>
        <v>11.055</v>
      </c>
    </row>
    <row r="136" spans="1:64" s="1" customFormat="1" ht="15.75" thickBot="1" x14ac:dyDescent="0.3">
      <c r="A136" s="191" t="str">
        <f>CONCATENATE(TMK[[#This Row],[Supply Level]],TMK[[#This Row],[Station/Feeder]],TMK[[#This Row],[Voltage]])</f>
        <v>DistributionFeederG156_Woodbury11.055</v>
      </c>
      <c r="B136" s="191" t="str">
        <f>CONCATENATE(TMK[[#This Row],[Supply Level]],TMK[[#This Row],[Station/Feeder]],TMK[[#This Row],[Equipment ID]],TMK[[#This Row],[Voltage]],TMK[[#This Row],[Device type]])</f>
        <v>DistributionFeederG156_WoodburyG27711.055-</v>
      </c>
      <c r="C136" s="191" t="s">
        <v>1276</v>
      </c>
      <c r="D136" s="192" t="s">
        <v>119</v>
      </c>
      <c r="E136" s="193" t="s">
        <v>534</v>
      </c>
      <c r="F136" s="196" t="s">
        <v>552</v>
      </c>
      <c r="G136" s="197">
        <v>5</v>
      </c>
      <c r="H136" s="196" t="s">
        <v>273</v>
      </c>
      <c r="I136" s="205" t="s">
        <v>552</v>
      </c>
      <c r="J136" s="205" t="s">
        <v>249</v>
      </c>
      <c r="K136" s="196" t="s">
        <v>0</v>
      </c>
      <c r="L136" s="196" t="s">
        <v>0</v>
      </c>
      <c r="M136" s="175">
        <f t="shared" si="99"/>
        <v>11.055</v>
      </c>
      <c r="N136" s="155">
        <v>300</v>
      </c>
      <c r="O136" s="155">
        <f t="shared" si="58"/>
        <v>5.7443465033021814</v>
      </c>
      <c r="P136" s="155">
        <v>300</v>
      </c>
      <c r="Q136" s="155">
        <f t="shared" si="59"/>
        <v>5.7443465033021814</v>
      </c>
      <c r="R136" s="155">
        <v>300</v>
      </c>
      <c r="S136" s="155">
        <f t="shared" si="60"/>
        <v>5.7443465033021814</v>
      </c>
      <c r="T136" s="155" t="s">
        <v>0</v>
      </c>
      <c r="U136" s="155" t="str">
        <f t="shared" si="61"/>
        <v>-</v>
      </c>
      <c r="V136" s="155" t="s">
        <v>0</v>
      </c>
      <c r="W136" s="155" t="str">
        <f t="shared" si="62"/>
        <v>-</v>
      </c>
      <c r="X136" s="155" t="s">
        <v>0</v>
      </c>
      <c r="Y136" s="155" t="str">
        <f t="shared" si="6"/>
        <v>-</v>
      </c>
      <c r="Z136" s="155" t="s">
        <v>0</v>
      </c>
      <c r="AA136" s="155" t="str">
        <f t="shared" si="7"/>
        <v>-</v>
      </c>
      <c r="AB136" s="155" t="s">
        <v>0</v>
      </c>
      <c r="AC136" s="155" t="str">
        <f t="shared" si="8"/>
        <v>-</v>
      </c>
      <c r="AD136" s="155" t="s">
        <v>0</v>
      </c>
      <c r="AE136" s="195" t="str">
        <f t="shared" si="9"/>
        <v>-</v>
      </c>
      <c r="AF136" s="155" t="s">
        <v>0</v>
      </c>
      <c r="AG136" s="155" t="s">
        <v>0</v>
      </c>
      <c r="AH136" s="155" t="s">
        <v>0</v>
      </c>
      <c r="AI136" s="155" t="s">
        <v>0</v>
      </c>
      <c r="AJ136" s="175" t="s">
        <v>0</v>
      </c>
      <c r="AK136" s="155" t="s">
        <v>0</v>
      </c>
      <c r="AL136" s="175" t="s">
        <v>0</v>
      </c>
      <c r="AM136" s="155" t="s">
        <v>0</v>
      </c>
      <c r="AN136" s="175" t="s">
        <v>0</v>
      </c>
      <c r="AO136" s="155" t="s">
        <v>0</v>
      </c>
      <c r="AP136" s="175" t="s">
        <v>0</v>
      </c>
      <c r="AQ136" s="175" t="s">
        <v>0</v>
      </c>
      <c r="AR136" s="155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36" s="155" t="str">
        <f t="shared" si="10"/>
        <v>-</v>
      </c>
      <c r="AT136" s="155">
        <f>IF(RIGHT(TMK[[#This Row],[Device type]],7)="Winding","-",TMK[[#This Row],[Cont Winter MVA]])</f>
        <v>5.7443465033021814</v>
      </c>
      <c r="AU136" s="155">
        <f>IF(RIGHT(TMK[[#This Row],[Device type]],7)="Winding","-",TMK[[#This Row],[Cont Shoulder MVA]])</f>
        <v>5.7443465033021814</v>
      </c>
      <c r="AV136" s="155">
        <f>IF(RIGHT(TMK[[#This Row],[Device type]],7)="Winding","-",TMK[[#This Row],[Cont Summer MVA]])</f>
        <v>5.7443465033021814</v>
      </c>
      <c r="AW136" s="155" t="str">
        <f>IF(RIGHT(TMK[[#This Row],[Device type]],7)="Winding","-",TMK[[#This Row],[24 Hr Winter MVA]])</f>
        <v>-</v>
      </c>
      <c r="AX136" s="155" t="str">
        <f>IF(RIGHT(TMK[[#This Row],[Device type]],7)="Winding","-",TMK[[#This Row],[24 Hr Summer MVA]])</f>
        <v>-</v>
      </c>
      <c r="AY136" s="155" t="str">
        <f>TMK[[#This Row],[Forwards MVA]]</f>
        <v>-</v>
      </c>
      <c r="AZ136" s="155" t="str">
        <f>TMK[[#This Row],[Relay MVA]]</f>
        <v>-</v>
      </c>
      <c r="BA136" s="155" t="str">
        <f>TMK[[#This Row],[CT MVA]]</f>
        <v>-</v>
      </c>
      <c r="BB136" s="155" t="str">
        <f>TMK[[#This Row],[Derating MVA]]</f>
        <v>-</v>
      </c>
      <c r="BC136" s="155" t="str">
        <f>TMK[[#This Row],[Station/Feeder]]&amp;TMK[[#This Row],[Lowest MVA]]</f>
        <v>G156_Woodbury5.74434650330218</v>
      </c>
      <c r="BD136" s="155" t="str">
        <f>CONCATENATE(TMK[[#This Row],[Supply Level]],TMK[[#This Row],[Station/Feeder]],TMK[[#This Row],[Voltage]],TMK[[#This Row],[Lowest A-No PTX]])</f>
        <v>DistributionFeederG156_Woodbury11.055300</v>
      </c>
      <c r="BE136" s="155" t="str">
        <f>CONCATENATE(TMK[[#This Row],[Supply Level]],TMK[[#This Row],[Station/Feeder]],TMK[[#This Row],[Voltage]],TMK[[#This Row],[Lowest A-PTX]])</f>
        <v>DistributionFeederG156_Woodbury11.055300</v>
      </c>
      <c r="BF136" s="155">
        <f>IFERROR(IF(MIN(TMK[[#This Row],[Summ Cont Winter A]:[Cable Derating]])=0,"",MIN(TMK[[#This Row],[Summ Cont Winter A]:[Cable Derating]])),"")</f>
        <v>5.7443465033021814</v>
      </c>
      <c r="BG136" s="155">
        <f>IFERROR(TMK[[#This Row],[Lowest MVA]]*1000/(TMK[[#This Row],[Voltage]]*SQRT(3)),"")</f>
        <v>300.00000000000006</v>
      </c>
      <c r="BH136" s="155">
        <f t="shared" si="63"/>
        <v>300</v>
      </c>
      <c r="BI136" s="155" t="str">
        <f>TMK[[#This Row],[From]]</f>
        <v>G222</v>
      </c>
      <c r="BJ136" s="155" t="str">
        <f>TMK[[#This Row],[To]]</f>
        <v>G277</v>
      </c>
      <c r="BK136" s="196" t="str">
        <f>IF(TMK[[#This Row],[Device type]]="-",TMK[[#This Row],[Equipment Type]]&amp;"-"&amp;TMK[[#This Row],[Equipment ID]],TMK[[#This Row],[Equipment Type]]&amp;"-"&amp;TMK[[#This Row],[Equipment ID]]&amp;"-"&amp;TMK[[#This Row],[Device type]])</f>
        <v>Link-G277</v>
      </c>
      <c r="BL136" s="155">
        <f>TMK[[#This Row],[Voltage]]</f>
        <v>11.055</v>
      </c>
    </row>
    <row r="137" spans="1:64" s="1" customFormat="1" ht="15" customHeight="1" x14ac:dyDescent="0.25">
      <c r="A137" s="168" t="str">
        <f>CONCATENATE(TMK[[#This Row],[Supply Level]],TMK[[#This Row],[Station/Feeder]],TMK[[#This Row],[Voltage]])</f>
        <v>SubTransmissionRGA_T133.594</v>
      </c>
      <c r="B137" s="168" t="str">
        <f>CONCATENATE(TMK[[#This Row],[Supply Level]],TMK[[#This Row],[Station/Feeder]],TMK[[#This Row],[Equipment ID]],TMK[[#This Row],[Voltage]],TMK[[#This Row],[Device type]])</f>
        <v>SubTransmissionRGA_T1TMK-CB127233.594Protection</v>
      </c>
      <c r="C137" s="168" t="s">
        <v>1245</v>
      </c>
      <c r="D137" s="118" t="s">
        <v>86</v>
      </c>
      <c r="E137" s="49" t="s">
        <v>63</v>
      </c>
      <c r="F137" s="49" t="s">
        <v>556</v>
      </c>
      <c r="G137" s="190">
        <v>1</v>
      </c>
      <c r="H137" s="49" t="s">
        <v>2386</v>
      </c>
      <c r="I137" s="124" t="s">
        <v>2314</v>
      </c>
      <c r="J137" s="124" t="s">
        <v>15</v>
      </c>
      <c r="K137" s="45" t="s">
        <v>470</v>
      </c>
      <c r="L137" s="45" t="s">
        <v>1423</v>
      </c>
      <c r="M137" s="32">
        <f t="shared" ref="M137:M153" si="109">33*1.018</f>
        <v>33.594000000000001</v>
      </c>
      <c r="N137" s="29">
        <v>630</v>
      </c>
      <c r="O137" s="29">
        <f t="shared" ref="O137:O200" si="110">IF(OR(N137="",N137="-"),"-",N137*$M137*SQRT(3)/1000)</f>
        <v>36.657504342565389</v>
      </c>
      <c r="P137" s="29">
        <v>630</v>
      </c>
      <c r="Q137" s="29">
        <f t="shared" ref="Q137:Q200" si="111">IF(OR(P137="",P137="-"),"-",P137*$M137*SQRT(3)/1000)</f>
        <v>36.657504342565389</v>
      </c>
      <c r="R137" s="29">
        <v>630</v>
      </c>
      <c r="S137" s="29">
        <f t="shared" ref="S137:S200" si="112">IF(OR(R137="",R137="-"),"-",R137*$M137*SQRT(3)/1000)</f>
        <v>36.657504342565389</v>
      </c>
      <c r="T137" s="29">
        <v>630</v>
      </c>
      <c r="U137" s="29">
        <f t="shared" ref="U137:U200" si="113">IF(OR(T137="",T137="-"),"-",T137*$M137*SQRT(3)/1000)</f>
        <v>36.657504342565389</v>
      </c>
      <c r="V137" s="29">
        <v>630</v>
      </c>
      <c r="W137" s="29">
        <f t="shared" ref="W137:W200" si="114">IF(OR(V137="",V137="-"),"-",V137*$M137*SQRT(3)/1000)</f>
        <v>36.657504342565389</v>
      </c>
      <c r="X137" s="29">
        <f>VLOOKUP(TMK[[#This Row],[Equipment ID]],AEL_Protection_Data[#All],12,0)</f>
        <v>510</v>
      </c>
      <c r="Y137" s="29">
        <f>IF(OR(X137="",X137="-"),"-",X137*$M137*SQRT(3)/1000)</f>
        <v>29.675122563029124</v>
      </c>
      <c r="Z137" s="29">
        <f>TMK[[#This Row],[Forward A]]</f>
        <v>510</v>
      </c>
      <c r="AA137" s="29">
        <f>IF(OR(Z137="",Z137="-"),"-",Z137*$M137*SQRT(3)/1000)</f>
        <v>29.675122563029124</v>
      </c>
      <c r="AB137" s="29">
        <v>1800</v>
      </c>
      <c r="AC137" s="29">
        <f>IF(OR(AB137="",AB137="-"),"-",AB137*$M137*SQRT(3)/1000)</f>
        <v>104.73572669304396</v>
      </c>
      <c r="AD137" s="29">
        <v>1250</v>
      </c>
      <c r="AE137" s="169">
        <f>IF(OR(AD137="",AD137="-"),"-",AD137*$M137*SQRT(3)/1000)</f>
        <v>72.733143536836067</v>
      </c>
      <c r="AF137" s="29" t="s">
        <v>0</v>
      </c>
      <c r="AG137" s="29" t="s">
        <v>0</v>
      </c>
      <c r="AH137" s="29" t="s">
        <v>0</v>
      </c>
      <c r="AI137" s="29" t="s">
        <v>0</v>
      </c>
      <c r="AJ137" s="32" t="s">
        <v>0</v>
      </c>
      <c r="AK137" s="29" t="s">
        <v>0</v>
      </c>
      <c r="AL137" s="32" t="s">
        <v>0</v>
      </c>
      <c r="AM137" s="29" t="s">
        <v>0</v>
      </c>
      <c r="AN137" s="32" t="s">
        <v>0</v>
      </c>
      <c r="AO137" s="29" t="s">
        <v>0</v>
      </c>
      <c r="AP137" s="32" t="s">
        <v>0</v>
      </c>
      <c r="AQ137" s="32" t="s">
        <v>0</v>
      </c>
      <c r="AR137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37" s="29" t="str">
        <f>IF(OR(AR137="",AR137="-"),"-",AR137*$M137*SQRT(3)/1000)</f>
        <v>-</v>
      </c>
      <c r="AT137" s="29">
        <f>IF(RIGHT(TMK[[#This Row],[Device type]],7)="Winding","-",TMK[[#This Row],[Cont Winter MVA]])</f>
        <v>36.657504342565389</v>
      </c>
      <c r="AU137" s="29">
        <f>IF(RIGHT(TMK[[#This Row],[Device type]],7)="Winding","-",TMK[[#This Row],[Cont Shoulder MVA]])</f>
        <v>36.657504342565389</v>
      </c>
      <c r="AV137" s="29">
        <f>IF(RIGHT(TMK[[#This Row],[Device type]],7)="Winding","-",TMK[[#This Row],[Cont Summer MVA]])</f>
        <v>36.657504342565389</v>
      </c>
      <c r="AW137" s="29">
        <f>IF(RIGHT(TMK[[#This Row],[Device type]],7)="Winding","-",TMK[[#This Row],[24 Hr Winter MVA]])</f>
        <v>36.657504342565389</v>
      </c>
      <c r="AX137" s="29">
        <f>IF(RIGHT(TMK[[#This Row],[Device type]],7)="Winding","-",TMK[[#This Row],[24 Hr Summer MVA]])</f>
        <v>36.657504342565389</v>
      </c>
      <c r="AY137" s="29">
        <f>TMK[[#This Row],[Forwards MVA]]</f>
        <v>29.675122563029124</v>
      </c>
      <c r="AZ137" s="29">
        <f>TMK[[#This Row],[Relay MVA]]</f>
        <v>104.73572669304396</v>
      </c>
      <c r="BA137" s="29">
        <f>TMK[[#This Row],[CT MVA]]</f>
        <v>72.733143536836067</v>
      </c>
      <c r="BB137" s="29" t="str">
        <f>TMK[[#This Row],[Derating MVA]]</f>
        <v>-</v>
      </c>
      <c r="BC137" s="29" t="str">
        <f>TMK[[#This Row],[Station/Feeder]]&amp;TMK[[#This Row],[Lowest MVA]]</f>
        <v>RGA_T129.6751225630291</v>
      </c>
      <c r="BD137" s="29" t="str">
        <f>CONCATENATE(TMK[[#This Row],[Supply Level]],TMK[[#This Row],[Station/Feeder]],TMK[[#This Row],[Voltage]],TMK[[#This Row],[Lowest A-No PTX]])</f>
        <v>SubTransmissionRGA_T133.594510</v>
      </c>
      <c r="BE137" s="29" t="str">
        <f>CONCATENATE(TMK[[#This Row],[Supply Level]],TMK[[#This Row],[Station/Feeder]],TMK[[#This Row],[Voltage]],TMK[[#This Row],[Lowest A-PTX]])</f>
        <v>SubTransmissionRGA_T133.594510</v>
      </c>
      <c r="BF137" s="29">
        <f>IFERROR(IF(MIN(TMK[[#This Row],[Summ Cont Winter A]:[Cable Derating]])=0,"",MIN(TMK[[#This Row],[Summ Cont Winter A]:[Cable Derating]])),"")</f>
        <v>29.675122563029124</v>
      </c>
      <c r="BG137" s="29">
        <f>IFERROR(TMK[[#This Row],[Lowest MVA]]*1000/(TMK[[#This Row],[Voltage]]*SQRT(3)),"")</f>
        <v>510.00000000000006</v>
      </c>
      <c r="BH137" s="29">
        <f t="shared" ref="BH137:BH200" si="115">IF(MIN(N137,P137,R137,T137,V137,X137,Z137,AB137,AD137,AR137)=0,"",MIN(N137,P137,R137,T137,V137,X137,Z137,AB137,AD137,AR137))</f>
        <v>510</v>
      </c>
      <c r="BI137" s="29" t="str">
        <f>TMK[[#This Row],[From]]</f>
        <v>33 kV Bus</v>
      </c>
      <c r="BJ137" s="29" t="str">
        <f>TMK[[#This Row],[To]]</f>
        <v>Pole 02001</v>
      </c>
      <c r="BK137" s="45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Breaker-TMK-CB1272-Protection</v>
      </c>
      <c r="BL137" s="29">
        <f>TMK[[#This Row],[Voltage]]</f>
        <v>33.594000000000001</v>
      </c>
    </row>
    <row r="138" spans="1:64" s="1" customFormat="1" ht="15" customHeight="1" x14ac:dyDescent="0.25">
      <c r="A138" s="6" t="str">
        <f>CONCATENATE(TMK[[#This Row],[Supply Level]],TMK[[#This Row],[Station/Feeder]],TMK[[#This Row],[Voltage]])</f>
        <v>SubTransmissionRGA_T133.594</v>
      </c>
      <c r="B138" s="6" t="str">
        <f>CONCATENATE(TMK[[#This Row],[Supply Level]],TMK[[#This Row],[Station/Feeder]],TMK[[#This Row],[Equipment ID]],TMK[[#This Row],[Voltage]],TMK[[#This Row],[Device type]])</f>
        <v>SubTransmissionRGA_T16-1c 300 mm² XLPE33.594-</v>
      </c>
      <c r="C138" s="6" t="s">
        <v>1245</v>
      </c>
      <c r="D138" s="11" t="s">
        <v>86</v>
      </c>
      <c r="E138" s="7" t="s">
        <v>63</v>
      </c>
      <c r="F138" s="7" t="s">
        <v>556</v>
      </c>
      <c r="G138" s="56">
        <v>2</v>
      </c>
      <c r="H138" s="7" t="s">
        <v>581</v>
      </c>
      <c r="I138" s="123" t="s">
        <v>565</v>
      </c>
      <c r="J138" s="123" t="s">
        <v>250</v>
      </c>
      <c r="K138" s="46" t="s">
        <v>0</v>
      </c>
      <c r="L138" s="46" t="s">
        <v>0</v>
      </c>
      <c r="M138" s="43">
        <f t="shared" si="109"/>
        <v>33.594000000000001</v>
      </c>
      <c r="N138" s="9">
        <f>414*2</f>
        <v>828</v>
      </c>
      <c r="O138" s="9">
        <f t="shared" si="110"/>
        <v>48.178434278800218</v>
      </c>
      <c r="P138" s="9">
        <f>414*2</f>
        <v>828</v>
      </c>
      <c r="Q138" s="9">
        <f t="shared" si="111"/>
        <v>48.178434278800218</v>
      </c>
      <c r="R138" s="9">
        <f>414*2</f>
        <v>828</v>
      </c>
      <c r="S138" s="9">
        <f t="shared" si="112"/>
        <v>48.178434278800218</v>
      </c>
      <c r="T138" s="9" t="s">
        <v>0</v>
      </c>
      <c r="U138" s="9" t="str">
        <f t="shared" si="113"/>
        <v>-</v>
      </c>
      <c r="V138" s="9" t="s">
        <v>0</v>
      </c>
      <c r="W138" s="9" t="str">
        <f t="shared" si="114"/>
        <v>-</v>
      </c>
      <c r="X138" s="9" t="s">
        <v>0</v>
      </c>
      <c r="Y138" s="9" t="str">
        <f t="shared" ref="Y138:Y170" si="116">IF(OR(X138="",X138="-"),"-",X138*$M138*SQRT(3)/1000)</f>
        <v>-</v>
      </c>
      <c r="Z138" s="9" t="s">
        <v>0</v>
      </c>
      <c r="AA138" s="9" t="str">
        <f t="shared" ref="AA138:AA170" si="117">IF(OR(Z138="",Z138="-"),"-",Z138*$M138*SQRT(3)/1000)</f>
        <v>-</v>
      </c>
      <c r="AB138" s="9" t="s">
        <v>0</v>
      </c>
      <c r="AC138" s="9" t="str">
        <f t="shared" ref="AC138:AC170" si="118">IF(OR(AB138="",AB138="-"),"-",AB138*$M138*SQRT(3)/1000)</f>
        <v>-</v>
      </c>
      <c r="AD138" s="9" t="s">
        <v>0</v>
      </c>
      <c r="AE138" s="12" t="str">
        <f t="shared" ref="AE138:AE170" si="119">IF(OR(AD138="",AD138="-"),"-",AD138*$M138*SQRT(3)/1000)</f>
        <v>-</v>
      </c>
      <c r="AF138" s="29">
        <v>1</v>
      </c>
      <c r="AG138" s="29" t="s">
        <v>344</v>
      </c>
      <c r="AH138" s="9">
        <v>231</v>
      </c>
      <c r="AI138" s="29">
        <v>1.1000000000000001</v>
      </c>
      <c r="AJ138" s="32">
        <v>0.97</v>
      </c>
      <c r="AK138" s="29">
        <v>18.5</v>
      </c>
      <c r="AL138" s="32">
        <v>0.98</v>
      </c>
      <c r="AM138" s="29">
        <v>1.2</v>
      </c>
      <c r="AN138" s="32">
        <v>1</v>
      </c>
      <c r="AO138" s="29">
        <v>4</v>
      </c>
      <c r="AP138" s="32">
        <v>0.4</v>
      </c>
      <c r="AQ138" s="32">
        <v>0.75</v>
      </c>
      <c r="AR138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590.32259999999997</v>
      </c>
      <c r="AS138" s="9">
        <f t="shared" ref="AS138:AS218" si="120">IF(OR(AR138="",AR138="-"),"-",AR138*$M138*SQRT(3)/1000)</f>
        <v>34.348814719070617</v>
      </c>
      <c r="AT138" s="9">
        <f>IF(RIGHT(TMK[[#This Row],[Device type]],7)="Winding","-",TMK[[#This Row],[Cont Winter MVA]])</f>
        <v>48.178434278800218</v>
      </c>
      <c r="AU138" s="9">
        <f>IF(RIGHT(TMK[[#This Row],[Device type]],7)="Winding","-",TMK[[#This Row],[Cont Shoulder MVA]])</f>
        <v>48.178434278800218</v>
      </c>
      <c r="AV138" s="9">
        <f>IF(RIGHT(TMK[[#This Row],[Device type]],7)="Winding","-",TMK[[#This Row],[Cont Summer MVA]])</f>
        <v>48.178434278800218</v>
      </c>
      <c r="AW138" s="9" t="str">
        <f>IF(RIGHT(TMK[[#This Row],[Device type]],7)="Winding","-",TMK[[#This Row],[24 Hr Winter MVA]])</f>
        <v>-</v>
      </c>
      <c r="AX138" s="9" t="str">
        <f>IF(RIGHT(TMK[[#This Row],[Device type]],7)="Winding","-",TMK[[#This Row],[24 Hr Summer MVA]])</f>
        <v>-</v>
      </c>
      <c r="AY138" s="9" t="str">
        <f>TMK[[#This Row],[Forwards MVA]]</f>
        <v>-</v>
      </c>
      <c r="AZ138" s="9" t="str">
        <f>TMK[[#This Row],[Relay MVA]]</f>
        <v>-</v>
      </c>
      <c r="BA138" s="9" t="str">
        <f>TMK[[#This Row],[CT MVA]]</f>
        <v>-</v>
      </c>
      <c r="BB138" s="9">
        <f>TMK[[#This Row],[Derating MVA]]</f>
        <v>34.348814719070617</v>
      </c>
      <c r="BC138" s="9" t="str">
        <f>TMK[[#This Row],[Station/Feeder]]&amp;TMK[[#This Row],[Lowest MVA]]</f>
        <v>RGA_T134.3488147190706</v>
      </c>
      <c r="BD138" s="9" t="str">
        <f>CONCATENATE(TMK[[#This Row],[Supply Level]],TMK[[#This Row],[Station/Feeder]],TMK[[#This Row],[Voltage]],TMK[[#This Row],[Lowest A-No PTX]])</f>
        <v>SubTransmissionRGA_T133.594590.3226</v>
      </c>
      <c r="BE138" s="9" t="str">
        <f>CONCATENATE(TMK[[#This Row],[Supply Level]],TMK[[#This Row],[Station/Feeder]],TMK[[#This Row],[Voltage]],TMK[[#This Row],[Lowest A-PTX]])</f>
        <v>SubTransmissionRGA_T133.594590.3226</v>
      </c>
      <c r="BF138" s="9">
        <f>IFERROR(IF(MIN(TMK[[#This Row],[Summ Cont Winter A]:[Cable Derating]])=0,"",MIN(TMK[[#This Row],[Summ Cont Winter A]:[Cable Derating]])),"")</f>
        <v>34.348814719070617</v>
      </c>
      <c r="BG138" s="9">
        <f>IFERROR(TMK[[#This Row],[Lowest MVA]]*1000/(TMK[[#This Row],[Voltage]]*SQRT(3)),"")</f>
        <v>590.32259999999997</v>
      </c>
      <c r="BH138" s="9">
        <f t="shared" si="115"/>
        <v>590.32259999999997</v>
      </c>
      <c r="BI138" s="9" t="str">
        <f>TMK[[#This Row],[From]]</f>
        <v>33 kV Bus</v>
      </c>
      <c r="BJ138" s="9" t="str">
        <f>TMK[[#This Row],[To]]</f>
        <v>Pole 02001</v>
      </c>
      <c r="BK13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Cable-6-1c 300 mm² XLPE</v>
      </c>
      <c r="BL138" s="9">
        <f>TMK[[#This Row],[Voltage]]</f>
        <v>33.594000000000001</v>
      </c>
    </row>
    <row r="139" spans="1:64" s="1" customFormat="1" ht="15" customHeight="1" x14ac:dyDescent="0.25">
      <c r="A139" s="6" t="str">
        <f>CONCATENATE(TMK[[#This Row],[Supply Level]],TMK[[#This Row],[Station/Feeder]],TMK[[#This Row],[Voltage]])</f>
        <v>SubTransmissionRGA_T133.594</v>
      </c>
      <c r="B139" s="6" t="str">
        <f>CONCATENATE(TMK[[#This Row],[Supply Level]],TMK[[#This Row],[Station/Feeder]],TMK[[#This Row],[Equipment ID]],TMK[[#This Row],[Voltage]],TMK[[#This Row],[Device type]])</f>
        <v>SubTransmissionRGA_T1JAGUAR33.594-</v>
      </c>
      <c r="C139" s="6" t="s">
        <v>1245</v>
      </c>
      <c r="D139" s="11" t="s">
        <v>86</v>
      </c>
      <c r="E139" s="7" t="s">
        <v>556</v>
      </c>
      <c r="F139" s="7" t="s">
        <v>557</v>
      </c>
      <c r="G139" s="56">
        <v>3</v>
      </c>
      <c r="H139" s="7" t="s">
        <v>1289</v>
      </c>
      <c r="I139" s="123" t="s">
        <v>345</v>
      </c>
      <c r="J139" s="123" t="s">
        <v>69</v>
      </c>
      <c r="K139" s="46" t="s">
        <v>0</v>
      </c>
      <c r="L139" s="46" t="s">
        <v>0</v>
      </c>
      <c r="M139" s="43">
        <f t="shared" si="109"/>
        <v>33.594000000000001</v>
      </c>
      <c r="N139" s="9">
        <v>673.28384221311683</v>
      </c>
      <c r="O139" s="9">
        <f t="shared" si="110"/>
        <v>39.176040269375299</v>
      </c>
      <c r="P139" s="9" t="s">
        <v>0</v>
      </c>
      <c r="Q139" s="9" t="str">
        <f t="shared" si="111"/>
        <v>-</v>
      </c>
      <c r="R139" s="9">
        <v>582.79308811233284</v>
      </c>
      <c r="S139" s="9">
        <f t="shared" si="112"/>
        <v>33.910698663960211</v>
      </c>
      <c r="T139" s="9" t="s">
        <v>0</v>
      </c>
      <c r="U139" s="9" t="str">
        <f t="shared" si="113"/>
        <v>-</v>
      </c>
      <c r="V139" s="9" t="s">
        <v>0</v>
      </c>
      <c r="W139" s="9" t="str">
        <f t="shared" si="114"/>
        <v>-</v>
      </c>
      <c r="X139" s="9" t="s">
        <v>0</v>
      </c>
      <c r="Y139" s="9" t="str">
        <f t="shared" si="116"/>
        <v>-</v>
      </c>
      <c r="Z139" s="9" t="s">
        <v>0</v>
      </c>
      <c r="AA139" s="9" t="str">
        <f t="shared" si="117"/>
        <v>-</v>
      </c>
      <c r="AB139" s="9" t="s">
        <v>0</v>
      </c>
      <c r="AC139" s="9" t="str">
        <f t="shared" si="118"/>
        <v>-</v>
      </c>
      <c r="AD139" s="9" t="s">
        <v>0</v>
      </c>
      <c r="AE139" s="12" t="str">
        <f t="shared" si="119"/>
        <v>-</v>
      </c>
      <c r="AF139" s="29" t="s">
        <v>0</v>
      </c>
      <c r="AG139" s="29" t="s">
        <v>0</v>
      </c>
      <c r="AH139" s="9">
        <v>5804</v>
      </c>
      <c r="AI139" s="29" t="s">
        <v>0</v>
      </c>
      <c r="AJ139" s="32" t="s">
        <v>0</v>
      </c>
      <c r="AK139" s="29" t="s">
        <v>0</v>
      </c>
      <c r="AL139" s="32" t="s">
        <v>0</v>
      </c>
      <c r="AM139" s="29" t="s">
        <v>0</v>
      </c>
      <c r="AN139" s="32" t="s">
        <v>0</v>
      </c>
      <c r="AO139" s="29" t="s">
        <v>0</v>
      </c>
      <c r="AP139" s="32" t="s">
        <v>0</v>
      </c>
      <c r="AQ139" s="32" t="s">
        <v>0</v>
      </c>
      <c r="AR13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39" s="9" t="str">
        <f t="shared" si="120"/>
        <v>-</v>
      </c>
      <c r="AT139" s="9">
        <f>IF(RIGHT(TMK[[#This Row],[Device type]],7)="Winding","-",TMK[[#This Row],[Cont Winter MVA]])</f>
        <v>39.176040269375299</v>
      </c>
      <c r="AU139" s="9" t="str">
        <f>IF(RIGHT(TMK[[#This Row],[Device type]],7)="Winding","-",TMK[[#This Row],[Cont Shoulder MVA]])</f>
        <v>-</v>
      </c>
      <c r="AV139" s="9">
        <f>IF(RIGHT(TMK[[#This Row],[Device type]],7)="Winding","-",TMK[[#This Row],[Cont Summer MVA]])</f>
        <v>33.910698663960211</v>
      </c>
      <c r="AW139" s="9" t="str">
        <f>IF(RIGHT(TMK[[#This Row],[Device type]],7)="Winding","-",TMK[[#This Row],[24 Hr Winter MVA]])</f>
        <v>-</v>
      </c>
      <c r="AX139" s="9" t="str">
        <f>IF(RIGHT(TMK[[#This Row],[Device type]],7)="Winding","-",TMK[[#This Row],[24 Hr Summer MVA]])</f>
        <v>-</v>
      </c>
      <c r="AY139" s="9" t="str">
        <f>TMK[[#This Row],[Forwards MVA]]</f>
        <v>-</v>
      </c>
      <c r="AZ139" s="9" t="str">
        <f>TMK[[#This Row],[Relay MVA]]</f>
        <v>-</v>
      </c>
      <c r="BA139" s="9" t="str">
        <f>TMK[[#This Row],[CT MVA]]</f>
        <v>-</v>
      </c>
      <c r="BB139" s="9" t="str">
        <f>TMK[[#This Row],[Derating MVA]]</f>
        <v>-</v>
      </c>
      <c r="BC139" s="9" t="str">
        <f>TMK[[#This Row],[Station/Feeder]]&amp;TMK[[#This Row],[Lowest MVA]]</f>
        <v>RGA_T133.9106986639602</v>
      </c>
      <c r="BD139" s="9" t="str">
        <f>CONCATENATE(TMK[[#This Row],[Supply Level]],TMK[[#This Row],[Station/Feeder]],TMK[[#This Row],[Voltage]],TMK[[#This Row],[Lowest A-No PTX]])</f>
        <v>SubTransmissionRGA_T133.594582.793088112333</v>
      </c>
      <c r="BE139" s="9" t="str">
        <f>CONCATENATE(TMK[[#This Row],[Supply Level]],TMK[[#This Row],[Station/Feeder]],TMK[[#This Row],[Voltage]],TMK[[#This Row],[Lowest A-PTX]])</f>
        <v>SubTransmissionRGA_T133.594582.793088112333</v>
      </c>
      <c r="BF139" s="9">
        <f>IFERROR(IF(MIN(TMK[[#This Row],[Summ Cont Winter A]:[Cable Derating]])=0,"",MIN(TMK[[#This Row],[Summ Cont Winter A]:[Cable Derating]])),"")</f>
        <v>33.910698663960211</v>
      </c>
      <c r="BG139" s="9">
        <f>IFERROR(TMK[[#This Row],[Lowest MVA]]*1000/(TMK[[#This Row],[Voltage]]*SQRT(3)),"")</f>
        <v>582.79308811233284</v>
      </c>
      <c r="BH139" s="9">
        <f t="shared" si="115"/>
        <v>582.79308811233284</v>
      </c>
      <c r="BI139" s="9" t="str">
        <f>TMK[[#This Row],[From]]</f>
        <v>Pole 02001</v>
      </c>
      <c r="BJ139" s="9" t="str">
        <f>TMK[[#This Row],[To]]</f>
        <v>Pole 02049</v>
      </c>
      <c r="BK13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Line-JAGUAR</v>
      </c>
      <c r="BL139" s="9">
        <f>TMK[[#This Row],[Voltage]]</f>
        <v>33.594000000000001</v>
      </c>
    </row>
    <row r="140" spans="1:64" s="1" customFormat="1" ht="15" customHeight="1" x14ac:dyDescent="0.25">
      <c r="A140" s="6" t="str">
        <f>CONCATENATE(TMK[[#This Row],[Supply Level]],TMK[[#This Row],[Station/Feeder]],TMK[[#This Row],[Voltage]])</f>
        <v>SubTransmissionRGA_T133.594</v>
      </c>
      <c r="B140" s="6" t="str">
        <f>CONCATENATE(TMK[[#This Row],[Supply Level]],TMK[[#This Row],[Station/Feeder]],TMK[[#This Row],[Equipment ID]],TMK[[#This Row],[Voltage]],TMK[[#This Row],[Device type]])</f>
        <v>SubTransmissionRGA_T1WOLF33.594-</v>
      </c>
      <c r="C140" s="6" t="s">
        <v>1245</v>
      </c>
      <c r="D140" s="11" t="s">
        <v>86</v>
      </c>
      <c r="E140" s="7" t="s">
        <v>557</v>
      </c>
      <c r="F140" s="7" t="s">
        <v>558</v>
      </c>
      <c r="G140" s="56">
        <v>4</v>
      </c>
      <c r="H140" s="7" t="s">
        <v>1289</v>
      </c>
      <c r="I140" s="123" t="s">
        <v>472</v>
      </c>
      <c r="J140" s="123" t="s">
        <v>69</v>
      </c>
      <c r="K140" s="46" t="s">
        <v>0</v>
      </c>
      <c r="L140" s="46" t="s">
        <v>0</v>
      </c>
      <c r="M140" s="43">
        <f t="shared" si="109"/>
        <v>33.594000000000001</v>
      </c>
      <c r="N140" s="9">
        <v>572.86734613879435</v>
      </c>
      <c r="O140" s="9">
        <f t="shared" si="110"/>
        <v>33.33315433142343</v>
      </c>
      <c r="P140" s="9" t="s">
        <v>0</v>
      </c>
      <c r="Q140" s="9" t="str">
        <f t="shared" si="111"/>
        <v>-</v>
      </c>
      <c r="R140" s="9">
        <v>496.06019819111373</v>
      </c>
      <c r="S140" s="9">
        <f t="shared" si="112"/>
        <v>28.864014078356504</v>
      </c>
      <c r="T140" s="9" t="s">
        <v>0</v>
      </c>
      <c r="U140" s="9" t="str">
        <f t="shared" si="113"/>
        <v>-</v>
      </c>
      <c r="V140" s="9" t="s">
        <v>0</v>
      </c>
      <c r="W140" s="9" t="str">
        <f t="shared" si="114"/>
        <v>-</v>
      </c>
      <c r="X140" s="9" t="s">
        <v>0</v>
      </c>
      <c r="Y140" s="9" t="str">
        <f t="shared" si="116"/>
        <v>-</v>
      </c>
      <c r="Z140" s="9" t="s">
        <v>0</v>
      </c>
      <c r="AA140" s="9" t="str">
        <f t="shared" si="117"/>
        <v>-</v>
      </c>
      <c r="AB140" s="9" t="s">
        <v>0</v>
      </c>
      <c r="AC140" s="9" t="str">
        <f t="shared" si="118"/>
        <v>-</v>
      </c>
      <c r="AD140" s="9" t="s">
        <v>0</v>
      </c>
      <c r="AE140" s="12" t="str">
        <f t="shared" si="119"/>
        <v>-</v>
      </c>
      <c r="AF140" s="29" t="s">
        <v>0</v>
      </c>
      <c r="AG140" s="29" t="s">
        <v>0</v>
      </c>
      <c r="AH140" s="9">
        <v>404</v>
      </c>
      <c r="AI140" s="29" t="s">
        <v>0</v>
      </c>
      <c r="AJ140" s="32" t="s">
        <v>0</v>
      </c>
      <c r="AK140" s="29" t="s">
        <v>0</v>
      </c>
      <c r="AL140" s="32" t="s">
        <v>0</v>
      </c>
      <c r="AM140" s="29" t="s">
        <v>0</v>
      </c>
      <c r="AN140" s="32" t="s">
        <v>0</v>
      </c>
      <c r="AO140" s="29" t="s">
        <v>0</v>
      </c>
      <c r="AP140" s="32" t="s">
        <v>0</v>
      </c>
      <c r="AQ140" s="32" t="s">
        <v>0</v>
      </c>
      <c r="AR140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40" s="9" t="str">
        <f t="shared" si="120"/>
        <v>-</v>
      </c>
      <c r="AT140" s="9">
        <f>IF(RIGHT(TMK[[#This Row],[Device type]],7)="Winding","-",TMK[[#This Row],[Cont Winter MVA]])</f>
        <v>33.33315433142343</v>
      </c>
      <c r="AU140" s="9" t="str">
        <f>IF(RIGHT(TMK[[#This Row],[Device type]],7)="Winding","-",TMK[[#This Row],[Cont Shoulder MVA]])</f>
        <v>-</v>
      </c>
      <c r="AV140" s="9">
        <f>IF(RIGHT(TMK[[#This Row],[Device type]],7)="Winding","-",TMK[[#This Row],[Cont Summer MVA]])</f>
        <v>28.864014078356504</v>
      </c>
      <c r="AW140" s="9" t="str">
        <f>IF(RIGHT(TMK[[#This Row],[Device type]],7)="Winding","-",TMK[[#This Row],[24 Hr Winter MVA]])</f>
        <v>-</v>
      </c>
      <c r="AX140" s="9" t="str">
        <f>IF(RIGHT(TMK[[#This Row],[Device type]],7)="Winding","-",TMK[[#This Row],[24 Hr Summer MVA]])</f>
        <v>-</v>
      </c>
      <c r="AY140" s="9" t="str">
        <f>TMK[[#This Row],[Forwards MVA]]</f>
        <v>-</v>
      </c>
      <c r="AZ140" s="9" t="str">
        <f>TMK[[#This Row],[Relay MVA]]</f>
        <v>-</v>
      </c>
      <c r="BA140" s="9" t="str">
        <f>TMK[[#This Row],[CT MVA]]</f>
        <v>-</v>
      </c>
      <c r="BB140" s="9" t="str">
        <f>TMK[[#This Row],[Derating MVA]]</f>
        <v>-</v>
      </c>
      <c r="BC140" s="9" t="str">
        <f>TMK[[#This Row],[Station/Feeder]]&amp;TMK[[#This Row],[Lowest MVA]]</f>
        <v>RGA_T128.8640140783565</v>
      </c>
      <c r="BD140" s="9" t="str">
        <f>CONCATENATE(TMK[[#This Row],[Supply Level]],TMK[[#This Row],[Station/Feeder]],TMK[[#This Row],[Voltage]],TMK[[#This Row],[Lowest A-No PTX]])</f>
        <v>SubTransmissionRGA_T133.594496.060198191114</v>
      </c>
      <c r="BE140" s="9" t="str">
        <f>CONCATENATE(TMK[[#This Row],[Supply Level]],TMK[[#This Row],[Station/Feeder]],TMK[[#This Row],[Voltage]],TMK[[#This Row],[Lowest A-PTX]])</f>
        <v>SubTransmissionRGA_T133.594496.060198191114</v>
      </c>
      <c r="BF140" s="9">
        <f>IFERROR(IF(MIN(TMK[[#This Row],[Summ Cont Winter A]:[Cable Derating]])=0,"",MIN(TMK[[#This Row],[Summ Cont Winter A]:[Cable Derating]])),"")</f>
        <v>28.864014078356504</v>
      </c>
      <c r="BG140" s="9">
        <f>IFERROR(TMK[[#This Row],[Lowest MVA]]*1000/(TMK[[#This Row],[Voltage]]*SQRT(3)),"")</f>
        <v>496.06019819111378</v>
      </c>
      <c r="BH140" s="9">
        <f t="shared" si="115"/>
        <v>496.06019819111373</v>
      </c>
      <c r="BI140" s="9" t="str">
        <f>TMK[[#This Row],[From]]</f>
        <v>Pole 02049</v>
      </c>
      <c r="BJ140" s="9" t="str">
        <f>TMK[[#This Row],[To]]</f>
        <v>Pole 02052</v>
      </c>
      <c r="BK14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Line-WOLF</v>
      </c>
      <c r="BL140" s="9">
        <f>TMK[[#This Row],[Voltage]]</f>
        <v>33.594000000000001</v>
      </c>
    </row>
    <row r="141" spans="1:64" s="1" customFormat="1" ht="15" customHeight="1" x14ac:dyDescent="0.25">
      <c r="A141" s="6" t="str">
        <f>CONCATENATE(TMK[[#This Row],[Supply Level]],TMK[[#This Row],[Station/Feeder]],TMK[[#This Row],[Voltage]])</f>
        <v>SubTransmissionRGA_T133.594</v>
      </c>
      <c r="B141" s="6" t="str">
        <f>CONCATENATE(TMK[[#This Row],[Supply Level]],TMK[[#This Row],[Station/Feeder]],TMK[[#This Row],[Equipment ID]],TMK[[#This Row],[Voltage]],TMK[[#This Row],[Device type]])</f>
        <v>SubTransmissionRGA_T110 MW Limit33.594-</v>
      </c>
      <c r="C141" s="6" t="s">
        <v>1245</v>
      </c>
      <c r="D141" s="11" t="s">
        <v>86</v>
      </c>
      <c r="E141" s="7" t="s">
        <v>558</v>
      </c>
      <c r="F141" s="7" t="s">
        <v>582</v>
      </c>
      <c r="G141" s="56">
        <v>5</v>
      </c>
      <c r="H141" s="7" t="s">
        <v>626</v>
      </c>
      <c r="I141" s="123" t="s">
        <v>2665</v>
      </c>
      <c r="J141" s="123" t="s">
        <v>2664</v>
      </c>
      <c r="K141" s="46" t="s">
        <v>0</v>
      </c>
      <c r="L141" s="46" t="s">
        <v>0</v>
      </c>
      <c r="M141" s="43">
        <f t="shared" ref="M141:M309" si="121">33*1.018</f>
        <v>33.594000000000001</v>
      </c>
      <c r="N141" s="9">
        <f>10000/(TMK[[#This Row],[Voltage]]*SQRT(3))</f>
        <v>171.86112674573607</v>
      </c>
      <c r="O141" s="9">
        <f t="shared" si="110"/>
        <v>10</v>
      </c>
      <c r="P141" s="9">
        <f>10000/(TMK[[#This Row],[Voltage]]*SQRT(3))</f>
        <v>171.86112674573607</v>
      </c>
      <c r="Q141" s="9">
        <f t="shared" si="111"/>
        <v>10</v>
      </c>
      <c r="R141" s="9">
        <f>10000/(TMK[[#This Row],[Voltage]]*SQRT(3))</f>
        <v>171.86112674573607</v>
      </c>
      <c r="S141" s="9">
        <f t="shared" si="112"/>
        <v>10</v>
      </c>
      <c r="T141" s="9" t="s">
        <v>0</v>
      </c>
      <c r="U141" s="9" t="str">
        <f t="shared" si="113"/>
        <v>-</v>
      </c>
      <c r="V141" s="9" t="s">
        <v>0</v>
      </c>
      <c r="W141" s="9" t="str">
        <f t="shared" si="114"/>
        <v>-</v>
      </c>
      <c r="X141" s="9" t="s">
        <v>0</v>
      </c>
      <c r="Y141" s="9" t="str">
        <f>IF(OR(X141="",X141="-"),"-",X141*$M141*SQRT(3)/1000)</f>
        <v>-</v>
      </c>
      <c r="Z141" s="9" t="s">
        <v>0</v>
      </c>
      <c r="AA141" s="9" t="str">
        <f>IF(OR(Z141="",Z141="-"),"-",Z141*$M141*SQRT(3)/1000)</f>
        <v>-</v>
      </c>
      <c r="AB141" s="9" t="s">
        <v>0</v>
      </c>
      <c r="AC141" s="9" t="str">
        <f>IF(OR(AB141="",AB141="-"),"-",AB141*$M141*SQRT(3)/1000)</f>
        <v>-</v>
      </c>
      <c r="AD141" s="9" t="s">
        <v>0</v>
      </c>
      <c r="AE141" s="12" t="str">
        <f>IF(OR(AD141="",AD141="-"),"-",AD141*$M141*SQRT(3)/1000)</f>
        <v>-</v>
      </c>
      <c r="AF141" s="9" t="s">
        <v>0</v>
      </c>
      <c r="AG141" s="9" t="s">
        <v>0</v>
      </c>
      <c r="AH141" s="9" t="s">
        <v>0</v>
      </c>
      <c r="AI141" s="9" t="s">
        <v>0</v>
      </c>
      <c r="AJ141" s="43" t="s">
        <v>0</v>
      </c>
      <c r="AK141" s="29" t="s">
        <v>0</v>
      </c>
      <c r="AL141" s="32" t="s">
        <v>0</v>
      </c>
      <c r="AM141" s="29" t="s">
        <v>0</v>
      </c>
      <c r="AN141" s="32" t="s">
        <v>0</v>
      </c>
      <c r="AO141" s="29" t="s">
        <v>0</v>
      </c>
      <c r="AP141" s="32" t="s">
        <v>0</v>
      </c>
      <c r="AQ141" s="32" t="s">
        <v>0</v>
      </c>
      <c r="AR141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41" s="9" t="str">
        <f>IF(OR(AR141="",AR141="-"),"-",AR141*$M141*SQRT(3)/1000)</f>
        <v>-</v>
      </c>
      <c r="AT141" s="9">
        <f>IF(RIGHT(TMK[[#This Row],[Device type]],7)="Winding","-",TMK[[#This Row],[Cont Winter MVA]])</f>
        <v>10</v>
      </c>
      <c r="AU141" s="9">
        <f>IF(RIGHT(TMK[[#This Row],[Device type]],7)="Winding","-",TMK[[#This Row],[Cont Shoulder MVA]])</f>
        <v>10</v>
      </c>
      <c r="AV141" s="9">
        <f>IF(RIGHT(TMK[[#This Row],[Device type]],7)="Winding","-",TMK[[#This Row],[Cont Summer MVA]])</f>
        <v>10</v>
      </c>
      <c r="AW141" s="9" t="str">
        <f>IF(RIGHT(TMK[[#This Row],[Device type]],7)="Winding","-",TMK[[#This Row],[24 Hr Winter MVA]])</f>
        <v>-</v>
      </c>
      <c r="AX141" s="9" t="str">
        <f>IF(RIGHT(TMK[[#This Row],[Device type]],7)="Winding","-",TMK[[#This Row],[24 Hr Summer MVA]])</f>
        <v>-</v>
      </c>
      <c r="AY141" s="9" t="str">
        <f>TMK[[#This Row],[Forwards MVA]]</f>
        <v>-</v>
      </c>
      <c r="AZ141" s="9" t="str">
        <f>TMK[[#This Row],[Relay MVA]]</f>
        <v>-</v>
      </c>
      <c r="BA141" s="9" t="str">
        <f>TMK[[#This Row],[CT MVA]]</f>
        <v>-</v>
      </c>
      <c r="BB141" s="9" t="str">
        <f>TMK[[#This Row],[Derating MVA]]</f>
        <v>-</v>
      </c>
      <c r="BC141" s="9" t="str">
        <f>TMK[[#This Row],[Station/Feeder]]&amp;TMK[[#This Row],[Lowest MVA]]</f>
        <v>RGA_T110</v>
      </c>
      <c r="BD141" s="9" t="str">
        <f>CONCATENATE(TMK[[#This Row],[Supply Level]],TMK[[#This Row],[Station/Feeder]],TMK[[#This Row],[Voltage]],TMK[[#This Row],[Lowest A-No PTX]])</f>
        <v>SubTransmissionRGA_T133.594171.861126745736</v>
      </c>
      <c r="BE141" s="9" t="str">
        <f>CONCATENATE(TMK[[#This Row],[Supply Level]],TMK[[#This Row],[Station/Feeder]],TMK[[#This Row],[Voltage]],TMK[[#This Row],[Lowest A-PTX]])</f>
        <v>SubTransmissionRGA_T133.594171.861126745736</v>
      </c>
      <c r="BF141" s="9">
        <f>IFERROR(IF(MIN(TMK[[#This Row],[Summ Cont Winter A]:[Cable Derating]])=0,"",MIN(TMK[[#This Row],[Summ Cont Winter A]:[Cable Derating]])),"")</f>
        <v>10</v>
      </c>
      <c r="BG141" s="9">
        <f>IFERROR(TMK[[#This Row],[Lowest MVA]]*1000/(TMK[[#This Row],[Voltage]]*SQRT(3)),"")</f>
        <v>171.86112674573607</v>
      </c>
      <c r="BH141" s="9">
        <f t="shared" si="115"/>
        <v>171.86112674573607</v>
      </c>
      <c r="BI141" s="9" t="str">
        <f>TMK[[#This Row],[From]]</f>
        <v>Pole 02052</v>
      </c>
      <c r="BJ141" s="9" t="str">
        <f>TMK[[#This Row],[To]]</f>
        <v>CB1416</v>
      </c>
      <c r="BK14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AEL-Fonterra Contractual-10 MW Limit</v>
      </c>
      <c r="BL141" s="9">
        <f>TMK[[#This Row],[Voltage]]</f>
        <v>33.594000000000001</v>
      </c>
    </row>
    <row r="142" spans="1:64" s="1" customFormat="1" ht="15" customHeight="1" x14ac:dyDescent="0.25">
      <c r="A142" s="6" t="str">
        <f>CONCATENATE(TMK[[#This Row],[Supply Level]],TMK[[#This Row],[Station/Feeder]],TMK[[#This Row],[Voltage]])</f>
        <v>SubTransmissionRGA_T133.594</v>
      </c>
      <c r="B142" s="6" t="str">
        <f>CONCATENATE(TMK[[#This Row],[Supply Level]],TMK[[#This Row],[Station/Feeder]],TMK[[#This Row],[Equipment ID]],TMK[[#This Row],[Voltage]],TMK[[#This Row],[Device type]])</f>
        <v>SubTransmissionRGA_T1CHAFER33.594-</v>
      </c>
      <c r="C142" s="6" t="s">
        <v>1245</v>
      </c>
      <c r="D142" s="11" t="s">
        <v>86</v>
      </c>
      <c r="E142" s="7" t="s">
        <v>558</v>
      </c>
      <c r="F142" s="7" t="s">
        <v>582</v>
      </c>
      <c r="G142" s="56">
        <v>6</v>
      </c>
      <c r="H142" s="7" t="s">
        <v>1291</v>
      </c>
      <c r="I142" s="123" t="s">
        <v>505</v>
      </c>
      <c r="J142" s="123" t="s">
        <v>69</v>
      </c>
      <c r="K142" s="46" t="s">
        <v>0</v>
      </c>
      <c r="L142" s="46" t="s">
        <v>0</v>
      </c>
      <c r="M142" s="43">
        <f t="shared" si="109"/>
        <v>33.594000000000001</v>
      </c>
      <c r="N142" s="9">
        <v>674.45358565586776</v>
      </c>
      <c r="O142" s="9">
        <f t="shared" si="110"/>
        <v>39.244103563553594</v>
      </c>
      <c r="P142" s="9" t="s">
        <v>0</v>
      </c>
      <c r="Q142" s="9" t="str">
        <f t="shared" si="111"/>
        <v>-</v>
      </c>
      <c r="R142" s="9">
        <v>583.88013440944542</v>
      </c>
      <c r="S142" s="9">
        <f t="shared" si="112"/>
        <v>33.973950099447464</v>
      </c>
      <c r="T142" s="9" t="s">
        <v>0</v>
      </c>
      <c r="U142" s="9" t="str">
        <f t="shared" si="113"/>
        <v>-</v>
      </c>
      <c r="V142" s="9" t="s">
        <v>0</v>
      </c>
      <c r="W142" s="9" t="str">
        <f t="shared" si="114"/>
        <v>-</v>
      </c>
      <c r="X142" s="9" t="s">
        <v>0</v>
      </c>
      <c r="Y142" s="9" t="str">
        <f t="shared" si="116"/>
        <v>-</v>
      </c>
      <c r="Z142" s="9" t="s">
        <v>0</v>
      </c>
      <c r="AA142" s="9" t="str">
        <f t="shared" si="117"/>
        <v>-</v>
      </c>
      <c r="AB142" s="9" t="s">
        <v>0</v>
      </c>
      <c r="AC142" s="9" t="str">
        <f t="shared" si="118"/>
        <v>-</v>
      </c>
      <c r="AD142" s="9" t="s">
        <v>0</v>
      </c>
      <c r="AE142" s="12" t="str">
        <f t="shared" si="119"/>
        <v>-</v>
      </c>
      <c r="AF142" s="29" t="s">
        <v>0</v>
      </c>
      <c r="AG142" s="29" t="s">
        <v>0</v>
      </c>
      <c r="AH142" s="9">
        <v>61</v>
      </c>
      <c r="AI142" s="29" t="s">
        <v>0</v>
      </c>
      <c r="AJ142" s="32" t="s">
        <v>0</v>
      </c>
      <c r="AK142" s="29" t="s">
        <v>0</v>
      </c>
      <c r="AL142" s="32" t="s">
        <v>0</v>
      </c>
      <c r="AM142" s="29" t="s">
        <v>0</v>
      </c>
      <c r="AN142" s="32" t="s">
        <v>0</v>
      </c>
      <c r="AO142" s="29" t="s">
        <v>0</v>
      </c>
      <c r="AP142" s="32" t="s">
        <v>0</v>
      </c>
      <c r="AQ142" s="32" t="s">
        <v>0</v>
      </c>
      <c r="AR142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42" s="9" t="str">
        <f t="shared" si="120"/>
        <v>-</v>
      </c>
      <c r="AT142" s="9">
        <f>IF(RIGHT(TMK[[#This Row],[Device type]],7)="Winding","-",TMK[[#This Row],[Cont Winter MVA]])</f>
        <v>39.244103563553594</v>
      </c>
      <c r="AU142" s="9" t="str">
        <f>IF(RIGHT(TMK[[#This Row],[Device type]],7)="Winding","-",TMK[[#This Row],[Cont Shoulder MVA]])</f>
        <v>-</v>
      </c>
      <c r="AV142" s="9">
        <f>IF(RIGHT(TMK[[#This Row],[Device type]],7)="Winding","-",TMK[[#This Row],[Cont Summer MVA]])</f>
        <v>33.973950099447464</v>
      </c>
      <c r="AW142" s="9" t="str">
        <f>IF(RIGHT(TMK[[#This Row],[Device type]],7)="Winding","-",TMK[[#This Row],[24 Hr Winter MVA]])</f>
        <v>-</v>
      </c>
      <c r="AX142" s="9" t="str">
        <f>IF(RIGHT(TMK[[#This Row],[Device type]],7)="Winding","-",TMK[[#This Row],[24 Hr Summer MVA]])</f>
        <v>-</v>
      </c>
      <c r="AY142" s="9" t="str">
        <f>TMK[[#This Row],[Forwards MVA]]</f>
        <v>-</v>
      </c>
      <c r="AZ142" s="9" t="str">
        <f>TMK[[#This Row],[Relay MVA]]</f>
        <v>-</v>
      </c>
      <c r="BA142" s="9" t="str">
        <f>TMK[[#This Row],[CT MVA]]</f>
        <v>-</v>
      </c>
      <c r="BB142" s="9" t="str">
        <f>TMK[[#This Row],[Derating MVA]]</f>
        <v>-</v>
      </c>
      <c r="BC142" s="9" t="str">
        <f>TMK[[#This Row],[Station/Feeder]]&amp;TMK[[#This Row],[Lowest MVA]]</f>
        <v>RGA_T133.9739500994475</v>
      </c>
      <c r="BD142" s="9" t="str">
        <f>CONCATENATE(TMK[[#This Row],[Supply Level]],TMK[[#This Row],[Station/Feeder]],TMK[[#This Row],[Voltage]],TMK[[#This Row],[Lowest A-No PTX]])</f>
        <v>SubTransmissionRGA_T133.594583.880134409445</v>
      </c>
      <c r="BE142" s="9" t="str">
        <f>CONCATENATE(TMK[[#This Row],[Supply Level]],TMK[[#This Row],[Station/Feeder]],TMK[[#This Row],[Voltage]],TMK[[#This Row],[Lowest A-PTX]])</f>
        <v>SubTransmissionRGA_T133.594583.880134409445</v>
      </c>
      <c r="BF142" s="9">
        <f>IFERROR(IF(MIN(TMK[[#This Row],[Summ Cont Winter A]:[Cable Derating]])=0,"",MIN(TMK[[#This Row],[Summ Cont Winter A]:[Cable Derating]])),"")</f>
        <v>33.973950099447464</v>
      </c>
      <c r="BG142" s="9">
        <f>IFERROR(TMK[[#This Row],[Lowest MVA]]*1000/(TMK[[#This Row],[Voltage]]*SQRT(3)),"")</f>
        <v>583.88013440944542</v>
      </c>
      <c r="BH142" s="9">
        <f t="shared" si="115"/>
        <v>583.88013440944542</v>
      </c>
      <c r="BI142" s="9" t="str">
        <f>TMK[[#This Row],[From]]</f>
        <v>Pole 02052</v>
      </c>
      <c r="BJ142" s="9" t="str">
        <f>TMK[[#This Row],[To]]</f>
        <v>CB1416</v>
      </c>
      <c r="BK14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Line-CHAFER</v>
      </c>
      <c r="BL142" s="9">
        <f>TMK[[#This Row],[Voltage]]</f>
        <v>33.594000000000001</v>
      </c>
    </row>
    <row r="143" spans="1:64" s="1" customFormat="1" ht="15" customHeight="1" x14ac:dyDescent="0.25">
      <c r="A143" s="6" t="str">
        <f>CONCATENATE(TMK[[#This Row],[Supply Level]],TMK[[#This Row],[Station/Feeder]],TMK[[#This Row],[Voltage]])</f>
        <v>SubTransmissionRGA_T133.594</v>
      </c>
      <c r="B143" s="6" t="str">
        <f>CONCATENATE(TMK[[#This Row],[Supply Level]],TMK[[#This Row],[Station/Feeder]],TMK[[#This Row],[Equipment ID]],TMK[[#This Row],[Voltage]],TMK[[#This Row],[Device type]])</f>
        <v>SubTransmissionRGA_T1141433.594-</v>
      </c>
      <c r="C143" s="6" t="s">
        <v>1245</v>
      </c>
      <c r="D143" s="11" t="s">
        <v>86</v>
      </c>
      <c r="E143" s="7" t="s">
        <v>558</v>
      </c>
      <c r="F143" s="7" t="s">
        <v>582</v>
      </c>
      <c r="G143" s="56">
        <v>7</v>
      </c>
      <c r="H143" s="46" t="s">
        <v>273</v>
      </c>
      <c r="I143" s="123">
        <v>1414</v>
      </c>
      <c r="J143" s="123" t="s">
        <v>240</v>
      </c>
      <c r="K143" s="46" t="s">
        <v>0</v>
      </c>
      <c r="L143" s="46" t="s">
        <v>0</v>
      </c>
      <c r="M143" s="43">
        <f t="shared" si="109"/>
        <v>33.594000000000001</v>
      </c>
      <c r="N143" s="9" t="s">
        <v>0</v>
      </c>
      <c r="O143" s="9" t="str">
        <f t="shared" si="110"/>
        <v>-</v>
      </c>
      <c r="P143" s="9" t="s">
        <v>0</v>
      </c>
      <c r="Q143" s="9" t="str">
        <f t="shared" si="111"/>
        <v>-</v>
      </c>
      <c r="R143" s="9" t="s">
        <v>0</v>
      </c>
      <c r="S143" s="9" t="str">
        <f t="shared" si="112"/>
        <v>-</v>
      </c>
      <c r="T143" s="9" t="s">
        <v>0</v>
      </c>
      <c r="U143" s="9" t="str">
        <f t="shared" si="113"/>
        <v>-</v>
      </c>
      <c r="V143" s="9" t="s">
        <v>0</v>
      </c>
      <c r="W143" s="9" t="str">
        <f t="shared" si="114"/>
        <v>-</v>
      </c>
      <c r="X143" s="9" t="s">
        <v>0</v>
      </c>
      <c r="Y143" s="9" t="str">
        <f t="shared" si="116"/>
        <v>-</v>
      </c>
      <c r="Z143" s="9" t="s">
        <v>0</v>
      </c>
      <c r="AA143" s="9" t="str">
        <f t="shared" si="117"/>
        <v>-</v>
      </c>
      <c r="AB143" s="9" t="s">
        <v>0</v>
      </c>
      <c r="AC143" s="9" t="str">
        <f t="shared" si="118"/>
        <v>-</v>
      </c>
      <c r="AD143" s="9" t="s">
        <v>0</v>
      </c>
      <c r="AE143" s="12" t="str">
        <f t="shared" si="119"/>
        <v>-</v>
      </c>
      <c r="AF143" s="29" t="s">
        <v>0</v>
      </c>
      <c r="AG143" s="29" t="s">
        <v>0</v>
      </c>
      <c r="AH143" s="9" t="s">
        <v>0</v>
      </c>
      <c r="AI143" s="29" t="s">
        <v>0</v>
      </c>
      <c r="AJ143" s="32" t="s">
        <v>0</v>
      </c>
      <c r="AK143" s="29" t="s">
        <v>0</v>
      </c>
      <c r="AL143" s="32" t="s">
        <v>0</v>
      </c>
      <c r="AM143" s="29" t="s">
        <v>0</v>
      </c>
      <c r="AN143" s="32" t="s">
        <v>0</v>
      </c>
      <c r="AO143" s="29" t="s">
        <v>0</v>
      </c>
      <c r="AP143" s="32" t="s">
        <v>0</v>
      </c>
      <c r="AQ143" s="32" t="s">
        <v>0</v>
      </c>
      <c r="AR14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43" s="9" t="str">
        <f t="shared" si="120"/>
        <v>-</v>
      </c>
      <c r="AT143" s="9" t="str">
        <f>IF(RIGHT(TMK[[#This Row],[Device type]],7)="Winding","-",TMK[[#This Row],[Cont Winter MVA]])</f>
        <v>-</v>
      </c>
      <c r="AU143" s="9" t="str">
        <f>IF(RIGHT(TMK[[#This Row],[Device type]],7)="Winding","-",TMK[[#This Row],[Cont Shoulder MVA]])</f>
        <v>-</v>
      </c>
      <c r="AV143" s="9" t="str">
        <f>IF(RIGHT(TMK[[#This Row],[Device type]],7)="Winding","-",TMK[[#This Row],[Cont Summer MVA]])</f>
        <v>-</v>
      </c>
      <c r="AW143" s="9" t="str">
        <f>IF(RIGHT(TMK[[#This Row],[Device type]],7)="Winding","-",TMK[[#This Row],[24 Hr Winter MVA]])</f>
        <v>-</v>
      </c>
      <c r="AX143" s="9" t="str">
        <f>IF(RIGHT(TMK[[#This Row],[Device type]],7)="Winding","-",TMK[[#This Row],[24 Hr Summer MVA]])</f>
        <v>-</v>
      </c>
      <c r="AY143" s="9" t="str">
        <f>TMK[[#This Row],[Forwards MVA]]</f>
        <v>-</v>
      </c>
      <c r="AZ143" s="9" t="str">
        <f>TMK[[#This Row],[Relay MVA]]</f>
        <v>-</v>
      </c>
      <c r="BA143" s="9" t="str">
        <f>TMK[[#This Row],[CT MVA]]</f>
        <v>-</v>
      </c>
      <c r="BB143" s="9" t="str">
        <f>TMK[[#This Row],[Derating MVA]]</f>
        <v>-</v>
      </c>
      <c r="BC143" s="9" t="str">
        <f>TMK[[#This Row],[Station/Feeder]]&amp;TMK[[#This Row],[Lowest MVA]]</f>
        <v>RGA_T1</v>
      </c>
      <c r="BD143" s="9" t="str">
        <f>CONCATENATE(TMK[[#This Row],[Supply Level]],TMK[[#This Row],[Station/Feeder]],TMK[[#This Row],[Voltage]],TMK[[#This Row],[Lowest A-No PTX]])</f>
        <v>SubTransmissionRGA_T133.594</v>
      </c>
      <c r="BE143" s="9" t="str">
        <f>CONCATENATE(TMK[[#This Row],[Supply Level]],TMK[[#This Row],[Station/Feeder]],TMK[[#This Row],[Voltage]],TMK[[#This Row],[Lowest A-PTX]])</f>
        <v>SubTransmissionRGA_T133.594</v>
      </c>
      <c r="BF143" s="9" t="str">
        <f>IFERROR(IF(MIN(TMK[[#This Row],[Summ Cont Winter A]:[Cable Derating]])=0,"",MIN(TMK[[#This Row],[Summ Cont Winter A]:[Cable Derating]])),"")</f>
        <v/>
      </c>
      <c r="BG143" s="9" t="str">
        <f>IFERROR(TMK[[#This Row],[Lowest MVA]]*1000/(TMK[[#This Row],[Voltage]]*SQRT(3)),"")</f>
        <v/>
      </c>
      <c r="BH143" s="9" t="str">
        <f t="shared" si="115"/>
        <v/>
      </c>
      <c r="BI143" s="9" t="str">
        <f>TMK[[#This Row],[From]]</f>
        <v>Pole 02052</v>
      </c>
      <c r="BJ143" s="9" t="str">
        <f>TMK[[#This Row],[To]]</f>
        <v>CB1416</v>
      </c>
      <c r="BK14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ABS-1414</v>
      </c>
      <c r="BL143" s="9">
        <f>TMK[[#This Row],[Voltage]]</f>
        <v>33.594000000000001</v>
      </c>
    </row>
    <row r="144" spans="1:64" s="1" customFormat="1" ht="15" customHeight="1" x14ac:dyDescent="0.25">
      <c r="A144" s="6" t="str">
        <f>CONCATENATE(TMK[[#This Row],[Supply Level]],TMK[[#This Row],[Station/Feeder]],TMK[[#This Row],[Voltage]])</f>
        <v>SubTransmissionRGA_T133.594</v>
      </c>
      <c r="B144" s="6" t="str">
        <f>CONCATENATE(TMK[[#This Row],[Supply Level]],TMK[[#This Row],[Station/Feeder]],TMK[[#This Row],[Equipment ID]],TMK[[#This Row],[Voltage]],TMK[[#This Row],[Device type]])</f>
        <v>SubTransmissionRGA_T1CNL-RGA-CB141233.594Protection</v>
      </c>
      <c r="C144" s="6" t="s">
        <v>1245</v>
      </c>
      <c r="D144" s="11" t="s">
        <v>86</v>
      </c>
      <c r="E144" s="7" t="s">
        <v>558</v>
      </c>
      <c r="F144" s="7" t="s">
        <v>582</v>
      </c>
      <c r="G144" s="56">
        <v>8</v>
      </c>
      <c r="H144" s="46" t="s">
        <v>343</v>
      </c>
      <c r="I144" s="123" t="s">
        <v>2709</v>
      </c>
      <c r="J144" s="123" t="s">
        <v>15</v>
      </c>
      <c r="K144" s="46" t="s">
        <v>791</v>
      </c>
      <c r="L144" s="46" t="s">
        <v>1423</v>
      </c>
      <c r="M144" s="43">
        <f t="shared" si="109"/>
        <v>33.594000000000001</v>
      </c>
      <c r="N144" s="9">
        <v>2000</v>
      </c>
      <c r="O144" s="9">
        <f t="shared" si="110"/>
        <v>116.37302965893772</v>
      </c>
      <c r="P144" s="9">
        <v>2000</v>
      </c>
      <c r="Q144" s="9">
        <f t="shared" si="111"/>
        <v>116.37302965893772</v>
      </c>
      <c r="R144" s="9">
        <v>2000</v>
      </c>
      <c r="S144" s="9">
        <f t="shared" si="112"/>
        <v>116.37302965893772</v>
      </c>
      <c r="T144" s="9" t="s">
        <v>0</v>
      </c>
      <c r="U144" s="9" t="str">
        <f t="shared" si="113"/>
        <v>-</v>
      </c>
      <c r="V144" s="9" t="s">
        <v>0</v>
      </c>
      <c r="W144" s="9" t="str">
        <f t="shared" si="114"/>
        <v>-</v>
      </c>
      <c r="X144" s="9">
        <f>VLOOKUP(TMK[[#This Row],[Equipment ID]],AEL_Protection_Data[#All],12,0)</f>
        <v>423</v>
      </c>
      <c r="Y144" s="9">
        <f t="shared" si="116"/>
        <v>24.612895772865329</v>
      </c>
      <c r="Z144" s="9" t="s">
        <v>0</v>
      </c>
      <c r="AA144" s="9" t="str">
        <f t="shared" si="117"/>
        <v>-</v>
      </c>
      <c r="AB144" s="9" t="s">
        <v>0</v>
      </c>
      <c r="AC144" s="9" t="str">
        <f t="shared" si="118"/>
        <v>-</v>
      </c>
      <c r="AD144" s="9">
        <v>300</v>
      </c>
      <c r="AE144" s="12">
        <f t="shared" si="119"/>
        <v>17.455954448840661</v>
      </c>
      <c r="AF144" s="29" t="s">
        <v>0</v>
      </c>
      <c r="AG144" s="29" t="s">
        <v>0</v>
      </c>
      <c r="AH144" s="9" t="s">
        <v>0</v>
      </c>
      <c r="AI144" s="29" t="s">
        <v>0</v>
      </c>
      <c r="AJ144" s="32" t="s">
        <v>0</v>
      </c>
      <c r="AK144" s="29" t="s">
        <v>0</v>
      </c>
      <c r="AL144" s="32" t="s">
        <v>0</v>
      </c>
      <c r="AM144" s="29" t="s">
        <v>0</v>
      </c>
      <c r="AN144" s="32" t="s">
        <v>0</v>
      </c>
      <c r="AO144" s="29" t="s">
        <v>0</v>
      </c>
      <c r="AP144" s="32" t="s">
        <v>0</v>
      </c>
      <c r="AQ144" s="32" t="s">
        <v>0</v>
      </c>
      <c r="AR144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44" s="9" t="str">
        <f t="shared" si="120"/>
        <v>-</v>
      </c>
      <c r="AT144" s="9">
        <f>IF(RIGHT(TMK[[#This Row],[Device type]],7)="Winding","-",TMK[[#This Row],[Cont Winter MVA]])</f>
        <v>116.37302965893772</v>
      </c>
      <c r="AU144" s="9">
        <f>IF(RIGHT(TMK[[#This Row],[Device type]],7)="Winding","-",TMK[[#This Row],[Cont Shoulder MVA]])</f>
        <v>116.37302965893772</v>
      </c>
      <c r="AV144" s="9">
        <f>IF(RIGHT(TMK[[#This Row],[Device type]],7)="Winding","-",TMK[[#This Row],[Cont Summer MVA]])</f>
        <v>116.37302965893772</v>
      </c>
      <c r="AW144" s="9" t="str">
        <f>IF(RIGHT(TMK[[#This Row],[Device type]],7)="Winding","-",TMK[[#This Row],[24 Hr Winter MVA]])</f>
        <v>-</v>
      </c>
      <c r="AX144" s="9" t="str">
        <f>IF(RIGHT(TMK[[#This Row],[Device type]],7)="Winding","-",TMK[[#This Row],[24 Hr Summer MVA]])</f>
        <v>-</v>
      </c>
      <c r="AY144" s="9">
        <f>TMK[[#This Row],[Forwards MVA]]</f>
        <v>24.612895772865329</v>
      </c>
      <c r="AZ144" s="9" t="str">
        <f>TMK[[#This Row],[Relay MVA]]</f>
        <v>-</v>
      </c>
      <c r="BA144" s="9">
        <f>TMK[[#This Row],[CT MVA]]</f>
        <v>17.455954448840661</v>
      </c>
      <c r="BB144" s="9" t="str">
        <f>TMK[[#This Row],[Derating MVA]]</f>
        <v>-</v>
      </c>
      <c r="BC144" s="9" t="str">
        <f>TMK[[#This Row],[Station/Feeder]]&amp;TMK[[#This Row],[Lowest MVA]]</f>
        <v>RGA_T117.4559544488407</v>
      </c>
      <c r="BD144" s="9" t="str">
        <f>CONCATENATE(TMK[[#This Row],[Supply Level]],TMK[[#This Row],[Station/Feeder]],TMK[[#This Row],[Voltage]],TMK[[#This Row],[Lowest A-No PTX]])</f>
        <v>SubTransmissionRGA_T133.594300</v>
      </c>
      <c r="BE144" s="9" t="str">
        <f>CONCATENATE(TMK[[#This Row],[Supply Level]],TMK[[#This Row],[Station/Feeder]],TMK[[#This Row],[Voltage]],TMK[[#This Row],[Lowest A-PTX]])</f>
        <v>SubTransmissionRGA_T133.594300</v>
      </c>
      <c r="BF144" s="9">
        <f>IFERROR(IF(MIN(TMK[[#This Row],[Summ Cont Winter A]:[Cable Derating]])=0,"",MIN(TMK[[#This Row],[Summ Cont Winter A]:[Cable Derating]])),"")</f>
        <v>17.455954448840661</v>
      </c>
      <c r="BG144" s="9">
        <f>IFERROR(TMK[[#This Row],[Lowest MVA]]*1000/(TMK[[#This Row],[Voltage]]*SQRT(3)),"")</f>
        <v>300.00000000000006</v>
      </c>
      <c r="BH144" s="9">
        <f t="shared" si="115"/>
        <v>300</v>
      </c>
      <c r="BI144" s="9" t="str">
        <f>TMK[[#This Row],[From]]</f>
        <v>Pole 02052</v>
      </c>
      <c r="BJ144" s="9" t="str">
        <f>TMK[[#This Row],[To]]</f>
        <v>CB1416</v>
      </c>
      <c r="BK14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Breaker-CNL-RGA-CB1412-Protection</v>
      </c>
      <c r="BL144" s="9">
        <f>TMK[[#This Row],[Voltage]]</f>
        <v>33.594000000000001</v>
      </c>
    </row>
    <row r="145" spans="1:64" s="1" customFormat="1" ht="15" customHeight="1" x14ac:dyDescent="0.25">
      <c r="A145" s="6" t="str">
        <f>CONCATENATE(TMK[[#This Row],[Supply Level]],TMK[[#This Row],[Station/Feeder]],TMK[[#This Row],[Voltage]])</f>
        <v>SubTransmissionRGA_T133.594</v>
      </c>
      <c r="B145" s="6" t="str">
        <f>CONCATENATE(TMK[[#This Row],[Supply Level]],TMK[[#This Row],[Station/Feeder]],TMK[[#This Row],[Equipment ID]],TMK[[#This Row],[Voltage]],TMK[[#This Row],[Device type]])</f>
        <v>SubTransmissionRGA_T1141633.594-</v>
      </c>
      <c r="C145" s="6" t="s">
        <v>1245</v>
      </c>
      <c r="D145" s="11" t="s">
        <v>86</v>
      </c>
      <c r="E145" s="7" t="s">
        <v>558</v>
      </c>
      <c r="F145" s="7" t="s">
        <v>582</v>
      </c>
      <c r="G145" s="56">
        <v>9</v>
      </c>
      <c r="H145" s="46" t="s">
        <v>273</v>
      </c>
      <c r="I145" s="123">
        <v>1416</v>
      </c>
      <c r="J145" s="123" t="s">
        <v>240</v>
      </c>
      <c r="K145" s="46" t="s">
        <v>0</v>
      </c>
      <c r="L145" s="46" t="s">
        <v>0</v>
      </c>
      <c r="M145" s="43">
        <f t="shared" si="109"/>
        <v>33.594000000000001</v>
      </c>
      <c r="N145" s="9" t="s">
        <v>0</v>
      </c>
      <c r="O145" s="9" t="str">
        <f t="shared" si="110"/>
        <v>-</v>
      </c>
      <c r="P145" s="9" t="s">
        <v>0</v>
      </c>
      <c r="Q145" s="9" t="str">
        <f t="shared" si="111"/>
        <v>-</v>
      </c>
      <c r="R145" s="9" t="s">
        <v>0</v>
      </c>
      <c r="S145" s="9" t="str">
        <f t="shared" si="112"/>
        <v>-</v>
      </c>
      <c r="T145" s="9" t="s">
        <v>0</v>
      </c>
      <c r="U145" s="9" t="str">
        <f t="shared" si="113"/>
        <v>-</v>
      </c>
      <c r="V145" s="9" t="s">
        <v>0</v>
      </c>
      <c r="W145" s="9" t="str">
        <f t="shared" si="114"/>
        <v>-</v>
      </c>
      <c r="X145" s="9" t="s">
        <v>0</v>
      </c>
      <c r="Y145" s="9" t="str">
        <f t="shared" si="116"/>
        <v>-</v>
      </c>
      <c r="Z145" s="9" t="s">
        <v>0</v>
      </c>
      <c r="AA145" s="9" t="str">
        <f t="shared" si="117"/>
        <v>-</v>
      </c>
      <c r="AB145" s="9" t="s">
        <v>0</v>
      </c>
      <c r="AC145" s="9" t="str">
        <f t="shared" si="118"/>
        <v>-</v>
      </c>
      <c r="AD145" s="9" t="s">
        <v>0</v>
      </c>
      <c r="AE145" s="12" t="str">
        <f t="shared" si="119"/>
        <v>-</v>
      </c>
      <c r="AF145" s="29" t="s">
        <v>0</v>
      </c>
      <c r="AG145" s="29" t="s">
        <v>0</v>
      </c>
      <c r="AH145" s="9" t="s">
        <v>0</v>
      </c>
      <c r="AI145" s="29" t="s">
        <v>0</v>
      </c>
      <c r="AJ145" s="32" t="s">
        <v>0</v>
      </c>
      <c r="AK145" s="29" t="s">
        <v>0</v>
      </c>
      <c r="AL145" s="32" t="s">
        <v>0</v>
      </c>
      <c r="AM145" s="29" t="s">
        <v>0</v>
      </c>
      <c r="AN145" s="32" t="s">
        <v>0</v>
      </c>
      <c r="AO145" s="29" t="s">
        <v>0</v>
      </c>
      <c r="AP145" s="32" t="s">
        <v>0</v>
      </c>
      <c r="AQ145" s="32" t="s">
        <v>0</v>
      </c>
      <c r="AR145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45" s="9" t="str">
        <f t="shared" si="120"/>
        <v>-</v>
      </c>
      <c r="AT145" s="9" t="str">
        <f>IF(RIGHT(TMK[[#This Row],[Device type]],7)="Winding","-",TMK[[#This Row],[Cont Winter MVA]])</f>
        <v>-</v>
      </c>
      <c r="AU145" s="9" t="str">
        <f>IF(RIGHT(TMK[[#This Row],[Device type]],7)="Winding","-",TMK[[#This Row],[Cont Shoulder MVA]])</f>
        <v>-</v>
      </c>
      <c r="AV145" s="9" t="str">
        <f>IF(RIGHT(TMK[[#This Row],[Device type]],7)="Winding","-",TMK[[#This Row],[Cont Summer MVA]])</f>
        <v>-</v>
      </c>
      <c r="AW145" s="9" t="str">
        <f>IF(RIGHT(TMK[[#This Row],[Device type]],7)="Winding","-",TMK[[#This Row],[24 Hr Winter MVA]])</f>
        <v>-</v>
      </c>
      <c r="AX145" s="9" t="str">
        <f>IF(RIGHT(TMK[[#This Row],[Device type]],7)="Winding","-",TMK[[#This Row],[24 Hr Summer MVA]])</f>
        <v>-</v>
      </c>
      <c r="AY145" s="9" t="str">
        <f>TMK[[#This Row],[Forwards MVA]]</f>
        <v>-</v>
      </c>
      <c r="AZ145" s="9" t="str">
        <f>TMK[[#This Row],[Relay MVA]]</f>
        <v>-</v>
      </c>
      <c r="BA145" s="9" t="str">
        <f>TMK[[#This Row],[CT MVA]]</f>
        <v>-</v>
      </c>
      <c r="BB145" s="9" t="str">
        <f>TMK[[#This Row],[Derating MVA]]</f>
        <v>-</v>
      </c>
      <c r="BC145" s="9" t="str">
        <f>TMK[[#This Row],[Station/Feeder]]&amp;TMK[[#This Row],[Lowest MVA]]</f>
        <v>RGA_T1</v>
      </c>
      <c r="BD145" s="9" t="str">
        <f>CONCATENATE(TMK[[#This Row],[Supply Level]],TMK[[#This Row],[Station/Feeder]],TMK[[#This Row],[Voltage]],TMK[[#This Row],[Lowest A-No PTX]])</f>
        <v>SubTransmissionRGA_T133.594</v>
      </c>
      <c r="BE145" s="9" t="str">
        <f>CONCATENATE(TMK[[#This Row],[Supply Level]],TMK[[#This Row],[Station/Feeder]],TMK[[#This Row],[Voltage]],TMK[[#This Row],[Lowest A-PTX]])</f>
        <v>SubTransmissionRGA_T133.594</v>
      </c>
      <c r="BF145" s="9" t="str">
        <f>IFERROR(IF(MIN(TMK[[#This Row],[Summ Cont Winter A]:[Cable Derating]])=0,"",MIN(TMK[[#This Row],[Summ Cont Winter A]:[Cable Derating]])),"")</f>
        <v/>
      </c>
      <c r="BG145" s="9" t="str">
        <f>IFERROR(TMK[[#This Row],[Lowest MVA]]*1000/(TMK[[#This Row],[Voltage]]*SQRT(3)),"")</f>
        <v/>
      </c>
      <c r="BH145" s="9" t="str">
        <f t="shared" si="115"/>
        <v/>
      </c>
      <c r="BI145" s="9" t="str">
        <f>TMK[[#This Row],[From]]</f>
        <v>Pole 02052</v>
      </c>
      <c r="BJ145" s="9" t="str">
        <f>TMK[[#This Row],[To]]</f>
        <v>CB1416</v>
      </c>
      <c r="BK14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ABS-1416</v>
      </c>
      <c r="BL145" s="9">
        <f>TMK[[#This Row],[Voltage]]</f>
        <v>33.594000000000001</v>
      </c>
    </row>
    <row r="146" spans="1:64" s="1" customFormat="1" ht="15" customHeight="1" x14ac:dyDescent="0.25">
      <c r="A146" s="6" t="str">
        <f>CONCATENATE(TMK[[#This Row],[Supply Level]],TMK[[#This Row],[Station/Feeder]],TMK[[#This Row],[Voltage]])</f>
        <v>SubTransmissionRGA_T133.594</v>
      </c>
      <c r="B146" s="6" t="str">
        <f>CONCATENATE(TMK[[#This Row],[Supply Level]],TMK[[#This Row],[Station/Feeder]],TMK[[#This Row],[Equipment ID]],TMK[[#This Row],[Voltage]],TMK[[#This Row],[Device type]])</f>
        <v>SubTransmissionRGA_T1JAGUAR33.594-</v>
      </c>
      <c r="C146" s="6" t="s">
        <v>1245</v>
      </c>
      <c r="D146" s="11" t="s">
        <v>86</v>
      </c>
      <c r="E146" s="7" t="s">
        <v>582</v>
      </c>
      <c r="F146" s="7" t="s">
        <v>584</v>
      </c>
      <c r="G146" s="56">
        <v>10</v>
      </c>
      <c r="H146" s="7" t="s">
        <v>1291</v>
      </c>
      <c r="I146" s="123" t="s">
        <v>345</v>
      </c>
      <c r="J146" s="123" t="s">
        <v>69</v>
      </c>
      <c r="K146" s="46" t="s">
        <v>0</v>
      </c>
      <c r="L146" s="46" t="s">
        <v>0</v>
      </c>
      <c r="M146" s="43">
        <f t="shared" si="109"/>
        <v>33.594000000000001</v>
      </c>
      <c r="N146" s="9">
        <v>673.28384221311683</v>
      </c>
      <c r="O146" s="9">
        <f t="shared" si="110"/>
        <v>39.176040269375299</v>
      </c>
      <c r="P146" s="9" t="s">
        <v>0</v>
      </c>
      <c r="Q146" s="9" t="str">
        <f t="shared" si="111"/>
        <v>-</v>
      </c>
      <c r="R146" s="9">
        <v>582.79308811233284</v>
      </c>
      <c r="S146" s="9">
        <f t="shared" si="112"/>
        <v>33.910698663960211</v>
      </c>
      <c r="T146" s="9" t="s">
        <v>0</v>
      </c>
      <c r="U146" s="9" t="str">
        <f t="shared" si="113"/>
        <v>-</v>
      </c>
      <c r="V146" s="9" t="s">
        <v>0</v>
      </c>
      <c r="W146" s="9" t="str">
        <f t="shared" si="114"/>
        <v>-</v>
      </c>
      <c r="X146" s="9" t="s">
        <v>0</v>
      </c>
      <c r="Y146" s="9" t="str">
        <f>IF(OR(X146="",X146="-"),"-",X146*$M146*SQRT(3)/1000)</f>
        <v>-</v>
      </c>
      <c r="Z146" s="9" t="s">
        <v>0</v>
      </c>
      <c r="AA146" s="9" t="str">
        <f>IF(OR(Z146="",Z146="-"),"-",Z146*$M146*SQRT(3)/1000)</f>
        <v>-</v>
      </c>
      <c r="AB146" s="9" t="s">
        <v>0</v>
      </c>
      <c r="AC146" s="9" t="str">
        <f>IF(OR(AB146="",AB146="-"),"-",AB146*$M146*SQRT(3)/1000)</f>
        <v>-</v>
      </c>
      <c r="AD146" s="9" t="s">
        <v>0</v>
      </c>
      <c r="AE146" s="12" t="str">
        <f>IF(OR(AD146="",AD146="-"),"-",AD146*$M146*SQRT(3)/1000)</f>
        <v>-</v>
      </c>
      <c r="AF146" s="29" t="s">
        <v>0</v>
      </c>
      <c r="AG146" s="29" t="s">
        <v>0</v>
      </c>
      <c r="AH146" s="9">
        <v>13936.4</v>
      </c>
      <c r="AI146" s="29" t="s">
        <v>0</v>
      </c>
      <c r="AJ146" s="32" t="s">
        <v>0</v>
      </c>
      <c r="AK146" s="29" t="s">
        <v>0</v>
      </c>
      <c r="AL146" s="32" t="s">
        <v>0</v>
      </c>
      <c r="AM146" s="29" t="s">
        <v>0</v>
      </c>
      <c r="AN146" s="32" t="s">
        <v>0</v>
      </c>
      <c r="AO146" s="29" t="s">
        <v>0</v>
      </c>
      <c r="AP146" s="32" t="s">
        <v>0</v>
      </c>
      <c r="AQ146" s="32" t="s">
        <v>0</v>
      </c>
      <c r="AR14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46" s="9" t="str">
        <f>IF(OR(AR146="",AR146="-"),"-",AR146*$M146*SQRT(3)/1000)</f>
        <v>-</v>
      </c>
      <c r="AT146" s="9">
        <f>IF(RIGHT(TMK[[#This Row],[Device type]],7)="Winding","-",TMK[[#This Row],[Cont Winter MVA]])</f>
        <v>39.176040269375299</v>
      </c>
      <c r="AU146" s="9" t="str">
        <f>IF(RIGHT(TMK[[#This Row],[Device type]],7)="Winding","-",TMK[[#This Row],[Cont Shoulder MVA]])</f>
        <v>-</v>
      </c>
      <c r="AV146" s="9">
        <f>IF(RIGHT(TMK[[#This Row],[Device type]],7)="Winding","-",TMK[[#This Row],[Cont Summer MVA]])</f>
        <v>33.910698663960211</v>
      </c>
      <c r="AW146" s="9" t="str">
        <f>IF(RIGHT(TMK[[#This Row],[Device type]],7)="Winding","-",TMK[[#This Row],[24 Hr Winter MVA]])</f>
        <v>-</v>
      </c>
      <c r="AX146" s="9" t="str">
        <f>IF(RIGHT(TMK[[#This Row],[Device type]],7)="Winding","-",TMK[[#This Row],[24 Hr Summer MVA]])</f>
        <v>-</v>
      </c>
      <c r="AY146" s="9" t="str">
        <f>TMK[[#This Row],[Forwards MVA]]</f>
        <v>-</v>
      </c>
      <c r="AZ146" s="9" t="str">
        <f>TMK[[#This Row],[Relay MVA]]</f>
        <v>-</v>
      </c>
      <c r="BA146" s="9" t="str">
        <f>TMK[[#This Row],[CT MVA]]</f>
        <v>-</v>
      </c>
      <c r="BB146" s="9" t="str">
        <f>TMK[[#This Row],[Derating MVA]]</f>
        <v>-</v>
      </c>
      <c r="BC146" s="9" t="str">
        <f>TMK[[#This Row],[Station/Feeder]]&amp;TMK[[#This Row],[Lowest MVA]]</f>
        <v>RGA_T133.9106986639602</v>
      </c>
      <c r="BD146" s="9" t="str">
        <f>CONCATENATE(TMK[[#This Row],[Supply Level]],TMK[[#This Row],[Station/Feeder]],TMK[[#This Row],[Voltage]],TMK[[#This Row],[Lowest A-No PTX]])</f>
        <v>SubTransmissionRGA_T133.594582.793088112333</v>
      </c>
      <c r="BE146" s="9" t="str">
        <f>CONCATENATE(TMK[[#This Row],[Supply Level]],TMK[[#This Row],[Station/Feeder]],TMK[[#This Row],[Voltage]],TMK[[#This Row],[Lowest A-PTX]])</f>
        <v>SubTransmissionRGA_T133.594582.793088112333</v>
      </c>
      <c r="BF146" s="9">
        <f>IFERROR(IF(MIN(TMK[[#This Row],[Summ Cont Winter A]:[Cable Derating]])=0,"",MIN(TMK[[#This Row],[Summ Cont Winter A]:[Cable Derating]])),"")</f>
        <v>33.910698663960211</v>
      </c>
      <c r="BG146" s="9">
        <f>IFERROR(TMK[[#This Row],[Lowest MVA]]*1000/(TMK[[#This Row],[Voltage]]*SQRT(3)),"")</f>
        <v>582.79308811233284</v>
      </c>
      <c r="BH146" s="9">
        <f t="shared" si="115"/>
        <v>582.79308811233284</v>
      </c>
      <c r="BI146" s="9" t="str">
        <f>TMK[[#This Row],[From]]</f>
        <v>CB1416</v>
      </c>
      <c r="BJ146" s="9" t="str">
        <f>TMK[[#This Row],[To]]</f>
        <v>ABS1516</v>
      </c>
      <c r="BK14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Line-JAGUAR</v>
      </c>
      <c r="BL146" s="9">
        <f>TMK[[#This Row],[Voltage]]</f>
        <v>33.594000000000001</v>
      </c>
    </row>
    <row r="147" spans="1:64" s="1" customFormat="1" ht="15" customHeight="1" x14ac:dyDescent="0.25">
      <c r="A147" s="6" t="str">
        <f>CONCATENATE(TMK[[#This Row],[Supply Level]],TMK[[#This Row],[Station/Feeder]],TMK[[#This Row],[Voltage]])</f>
        <v>SubTransmissionRGA_T133.594</v>
      </c>
      <c r="B147" s="6" t="str">
        <f>CONCATENATE(TMK[[#This Row],[Supply Level]],TMK[[#This Row],[Station/Feeder]],TMK[[#This Row],[Equipment ID]],TMK[[#This Row],[Voltage]],TMK[[#This Row],[Device type]])</f>
        <v>SubTransmissionRGA_T1151633.594-</v>
      </c>
      <c r="C147" s="6" t="s">
        <v>1245</v>
      </c>
      <c r="D147" s="11" t="s">
        <v>86</v>
      </c>
      <c r="E147" s="7" t="s">
        <v>582</v>
      </c>
      <c r="F147" s="7" t="s">
        <v>584</v>
      </c>
      <c r="G147" s="56">
        <v>11</v>
      </c>
      <c r="H147" s="46" t="s">
        <v>273</v>
      </c>
      <c r="I147" s="123">
        <v>1516</v>
      </c>
      <c r="J147" s="123" t="s">
        <v>240</v>
      </c>
      <c r="K147" s="46" t="s">
        <v>0</v>
      </c>
      <c r="L147" s="46" t="s">
        <v>0</v>
      </c>
      <c r="M147" s="43">
        <f t="shared" si="109"/>
        <v>33.594000000000001</v>
      </c>
      <c r="N147" s="9">
        <v>800</v>
      </c>
      <c r="O147" s="9">
        <f t="shared" si="110"/>
        <v>46.549211863575088</v>
      </c>
      <c r="P147" s="9">
        <v>800</v>
      </c>
      <c r="Q147" s="9">
        <f t="shared" si="111"/>
        <v>46.549211863575088</v>
      </c>
      <c r="R147" s="9">
        <v>800</v>
      </c>
      <c r="S147" s="9">
        <f t="shared" si="112"/>
        <v>46.549211863575088</v>
      </c>
      <c r="T147" s="9" t="s">
        <v>0</v>
      </c>
      <c r="U147" s="9" t="str">
        <f t="shared" si="113"/>
        <v>-</v>
      </c>
      <c r="V147" s="9" t="s">
        <v>0</v>
      </c>
      <c r="W147" s="9" t="str">
        <f t="shared" si="114"/>
        <v>-</v>
      </c>
      <c r="X147" s="9" t="s">
        <v>0</v>
      </c>
      <c r="Y147" s="9" t="str">
        <f>IF(OR(X147="",X147="-"),"-",X147*$M147*SQRT(3)/1000)</f>
        <v>-</v>
      </c>
      <c r="Z147" s="9" t="s">
        <v>0</v>
      </c>
      <c r="AA147" s="9" t="str">
        <f>IF(OR(Z147="",Z147="-"),"-",Z147*$M147*SQRT(3)/1000)</f>
        <v>-</v>
      </c>
      <c r="AB147" s="9" t="s">
        <v>0</v>
      </c>
      <c r="AC147" s="9" t="str">
        <f>IF(OR(AB147="",AB147="-"),"-",AB147*$M147*SQRT(3)/1000)</f>
        <v>-</v>
      </c>
      <c r="AD147" s="9" t="s">
        <v>0</v>
      </c>
      <c r="AE147" s="12" t="str">
        <f>IF(OR(AD147="",AD147="-"),"-",AD147*$M147*SQRT(3)/1000)</f>
        <v>-</v>
      </c>
      <c r="AF147" s="29" t="s">
        <v>0</v>
      </c>
      <c r="AG147" s="29" t="s">
        <v>0</v>
      </c>
      <c r="AH147" s="9" t="s">
        <v>0</v>
      </c>
      <c r="AI147" s="29" t="s">
        <v>0</v>
      </c>
      <c r="AJ147" s="32" t="s">
        <v>0</v>
      </c>
      <c r="AK147" s="29" t="s">
        <v>0</v>
      </c>
      <c r="AL147" s="32" t="s">
        <v>0</v>
      </c>
      <c r="AM147" s="29" t="s">
        <v>0</v>
      </c>
      <c r="AN147" s="32" t="s">
        <v>0</v>
      </c>
      <c r="AO147" s="29" t="s">
        <v>0</v>
      </c>
      <c r="AP147" s="32" t="s">
        <v>0</v>
      </c>
      <c r="AQ147" s="32" t="s">
        <v>0</v>
      </c>
      <c r="AR147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47" s="9" t="str">
        <f>IF(OR(AR147="",AR147="-"),"-",AR147*$M147*SQRT(3)/1000)</f>
        <v>-</v>
      </c>
      <c r="AT147" s="9">
        <f>IF(RIGHT(TMK[[#This Row],[Device type]],7)="Winding","-",TMK[[#This Row],[Cont Winter MVA]])</f>
        <v>46.549211863575088</v>
      </c>
      <c r="AU147" s="9">
        <f>IF(RIGHT(TMK[[#This Row],[Device type]],7)="Winding","-",TMK[[#This Row],[Cont Shoulder MVA]])</f>
        <v>46.549211863575088</v>
      </c>
      <c r="AV147" s="9">
        <f>IF(RIGHT(TMK[[#This Row],[Device type]],7)="Winding","-",TMK[[#This Row],[Cont Summer MVA]])</f>
        <v>46.549211863575088</v>
      </c>
      <c r="AW147" s="9" t="str">
        <f>IF(RIGHT(TMK[[#This Row],[Device type]],7)="Winding","-",TMK[[#This Row],[24 Hr Winter MVA]])</f>
        <v>-</v>
      </c>
      <c r="AX147" s="9" t="str">
        <f>IF(RIGHT(TMK[[#This Row],[Device type]],7)="Winding","-",TMK[[#This Row],[24 Hr Summer MVA]])</f>
        <v>-</v>
      </c>
      <c r="AY147" s="9" t="str">
        <f>TMK[[#This Row],[Forwards MVA]]</f>
        <v>-</v>
      </c>
      <c r="AZ147" s="9" t="str">
        <f>TMK[[#This Row],[Relay MVA]]</f>
        <v>-</v>
      </c>
      <c r="BA147" s="9" t="str">
        <f>TMK[[#This Row],[CT MVA]]</f>
        <v>-</v>
      </c>
      <c r="BB147" s="9" t="str">
        <f>TMK[[#This Row],[Derating MVA]]</f>
        <v>-</v>
      </c>
      <c r="BC147" s="9" t="str">
        <f>TMK[[#This Row],[Station/Feeder]]&amp;TMK[[#This Row],[Lowest MVA]]</f>
        <v>RGA_T146.5492118635751</v>
      </c>
      <c r="BD147" s="9" t="str">
        <f>CONCATENATE(TMK[[#This Row],[Supply Level]],TMK[[#This Row],[Station/Feeder]],TMK[[#This Row],[Voltage]],TMK[[#This Row],[Lowest A-No PTX]])</f>
        <v>SubTransmissionRGA_T133.594800</v>
      </c>
      <c r="BE147" s="9" t="str">
        <f>CONCATENATE(TMK[[#This Row],[Supply Level]],TMK[[#This Row],[Station/Feeder]],TMK[[#This Row],[Voltage]],TMK[[#This Row],[Lowest A-PTX]])</f>
        <v>SubTransmissionRGA_T133.594800</v>
      </c>
      <c r="BF147" s="9">
        <f>IFERROR(IF(MIN(TMK[[#This Row],[Summ Cont Winter A]:[Cable Derating]])=0,"",MIN(TMK[[#This Row],[Summ Cont Winter A]:[Cable Derating]])),"")</f>
        <v>46.549211863575088</v>
      </c>
      <c r="BG147" s="9">
        <f>IFERROR(TMK[[#This Row],[Lowest MVA]]*1000/(TMK[[#This Row],[Voltage]]*SQRT(3)),"")</f>
        <v>800</v>
      </c>
      <c r="BH147" s="9">
        <f t="shared" si="115"/>
        <v>800</v>
      </c>
      <c r="BI147" s="9" t="str">
        <f>TMK[[#This Row],[From]]</f>
        <v>CB1416</v>
      </c>
      <c r="BJ147" s="9" t="str">
        <f>TMK[[#This Row],[To]]</f>
        <v>ABS1516</v>
      </c>
      <c r="BK14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ABS-1516</v>
      </c>
      <c r="BL147" s="9">
        <f>TMK[[#This Row],[Voltage]]</f>
        <v>33.594000000000001</v>
      </c>
    </row>
    <row r="148" spans="1:64" s="1" customFormat="1" ht="15" customHeight="1" x14ac:dyDescent="0.25">
      <c r="A148" s="6" t="str">
        <f>CONCATENATE(TMK[[#This Row],[Supply Level]],TMK[[#This Row],[Station/Feeder]],TMK[[#This Row],[Voltage]])</f>
        <v>SubTransmissionRGA_T133.594</v>
      </c>
      <c r="B148" s="6" t="str">
        <f>CONCATENATE(TMK[[#This Row],[Supply Level]],TMK[[#This Row],[Station/Feeder]],TMK[[#This Row],[Equipment ID]],TMK[[#This Row],[Voltage]],TMK[[#This Row],[Device type]])</f>
        <v>SubTransmissionRGA_T1CHAFER33.594-</v>
      </c>
      <c r="C148" s="6" t="s">
        <v>1245</v>
      </c>
      <c r="D148" s="11" t="s">
        <v>86</v>
      </c>
      <c r="E148" s="7" t="s">
        <v>584</v>
      </c>
      <c r="F148" s="7" t="s">
        <v>586</v>
      </c>
      <c r="G148" s="56">
        <v>12</v>
      </c>
      <c r="H148" s="7" t="s">
        <v>1291</v>
      </c>
      <c r="I148" s="123" t="s">
        <v>505</v>
      </c>
      <c r="J148" s="123" t="s">
        <v>69</v>
      </c>
      <c r="K148" s="46" t="s">
        <v>0</v>
      </c>
      <c r="L148" s="46" t="s">
        <v>0</v>
      </c>
      <c r="M148" s="43">
        <f t="shared" si="109"/>
        <v>33.594000000000001</v>
      </c>
      <c r="N148" s="9">
        <v>674.45358565586776</v>
      </c>
      <c r="O148" s="9">
        <f t="shared" si="110"/>
        <v>39.244103563553594</v>
      </c>
      <c r="P148" s="9" t="s">
        <v>0</v>
      </c>
      <c r="Q148" s="9" t="str">
        <f t="shared" si="111"/>
        <v>-</v>
      </c>
      <c r="R148" s="9">
        <v>583.88013440944542</v>
      </c>
      <c r="S148" s="9">
        <f t="shared" si="112"/>
        <v>33.973950099447464</v>
      </c>
      <c r="T148" s="9" t="s">
        <v>0</v>
      </c>
      <c r="U148" s="9" t="str">
        <f t="shared" si="113"/>
        <v>-</v>
      </c>
      <c r="V148" s="9" t="s">
        <v>0</v>
      </c>
      <c r="W148" s="9" t="str">
        <f t="shared" si="114"/>
        <v>-</v>
      </c>
      <c r="X148" s="9" t="s">
        <v>0</v>
      </c>
      <c r="Y148" s="9" t="str">
        <f t="shared" si="116"/>
        <v>-</v>
      </c>
      <c r="Z148" s="9" t="s">
        <v>0</v>
      </c>
      <c r="AA148" s="9" t="str">
        <f t="shared" si="117"/>
        <v>-</v>
      </c>
      <c r="AB148" s="9" t="s">
        <v>0</v>
      </c>
      <c r="AC148" s="9" t="str">
        <f t="shared" si="118"/>
        <v>-</v>
      </c>
      <c r="AD148" s="9" t="s">
        <v>0</v>
      </c>
      <c r="AE148" s="12" t="str">
        <f t="shared" si="119"/>
        <v>-</v>
      </c>
      <c r="AF148" s="29" t="s">
        <v>0</v>
      </c>
      <c r="AG148" s="29" t="s">
        <v>0</v>
      </c>
      <c r="AH148" s="9">
        <v>87.6</v>
      </c>
      <c r="AI148" s="29" t="s">
        <v>0</v>
      </c>
      <c r="AJ148" s="32" t="s">
        <v>0</v>
      </c>
      <c r="AK148" s="29" t="s">
        <v>0</v>
      </c>
      <c r="AL148" s="32" t="s">
        <v>0</v>
      </c>
      <c r="AM148" s="29" t="s">
        <v>0</v>
      </c>
      <c r="AN148" s="32" t="s">
        <v>0</v>
      </c>
      <c r="AO148" s="29" t="s">
        <v>0</v>
      </c>
      <c r="AP148" s="32" t="s">
        <v>0</v>
      </c>
      <c r="AQ148" s="32" t="s">
        <v>0</v>
      </c>
      <c r="AR148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48" s="9" t="str">
        <f t="shared" si="120"/>
        <v>-</v>
      </c>
      <c r="AT148" s="9">
        <f>IF(RIGHT(TMK[[#This Row],[Device type]],7)="Winding","-",TMK[[#This Row],[Cont Winter MVA]])</f>
        <v>39.244103563553594</v>
      </c>
      <c r="AU148" s="9" t="str">
        <f>IF(RIGHT(TMK[[#This Row],[Device type]],7)="Winding","-",TMK[[#This Row],[Cont Shoulder MVA]])</f>
        <v>-</v>
      </c>
      <c r="AV148" s="9">
        <f>IF(RIGHT(TMK[[#This Row],[Device type]],7)="Winding","-",TMK[[#This Row],[Cont Summer MVA]])</f>
        <v>33.973950099447464</v>
      </c>
      <c r="AW148" s="9" t="str">
        <f>IF(RIGHT(TMK[[#This Row],[Device type]],7)="Winding","-",TMK[[#This Row],[24 Hr Winter MVA]])</f>
        <v>-</v>
      </c>
      <c r="AX148" s="9" t="str">
        <f>IF(RIGHT(TMK[[#This Row],[Device type]],7)="Winding","-",TMK[[#This Row],[24 Hr Summer MVA]])</f>
        <v>-</v>
      </c>
      <c r="AY148" s="9" t="str">
        <f>TMK[[#This Row],[Forwards MVA]]</f>
        <v>-</v>
      </c>
      <c r="AZ148" s="9" t="str">
        <f>TMK[[#This Row],[Relay MVA]]</f>
        <v>-</v>
      </c>
      <c r="BA148" s="9" t="str">
        <f>TMK[[#This Row],[CT MVA]]</f>
        <v>-</v>
      </c>
      <c r="BB148" s="9" t="str">
        <f>TMK[[#This Row],[Derating MVA]]</f>
        <v>-</v>
      </c>
      <c r="BC148" s="9" t="str">
        <f>TMK[[#This Row],[Station/Feeder]]&amp;TMK[[#This Row],[Lowest MVA]]</f>
        <v>RGA_T133.9739500994475</v>
      </c>
      <c r="BD148" s="9" t="str">
        <f>CONCATENATE(TMK[[#This Row],[Supply Level]],TMK[[#This Row],[Station/Feeder]],TMK[[#This Row],[Voltage]],TMK[[#This Row],[Lowest A-No PTX]])</f>
        <v>SubTransmissionRGA_T133.594583.880134409445</v>
      </c>
      <c r="BE148" s="9" t="str">
        <f>CONCATENATE(TMK[[#This Row],[Supply Level]],TMK[[#This Row],[Station/Feeder]],TMK[[#This Row],[Voltage]],TMK[[#This Row],[Lowest A-PTX]])</f>
        <v>SubTransmissionRGA_T133.594583.880134409445</v>
      </c>
      <c r="BF148" s="9">
        <f>IFERROR(IF(MIN(TMK[[#This Row],[Summ Cont Winter A]:[Cable Derating]])=0,"",MIN(TMK[[#This Row],[Summ Cont Winter A]:[Cable Derating]])),"")</f>
        <v>33.973950099447464</v>
      </c>
      <c r="BG148" s="9">
        <f>IFERROR(TMK[[#This Row],[Lowest MVA]]*1000/(TMK[[#This Row],[Voltage]]*SQRT(3)),"")</f>
        <v>583.88013440944542</v>
      </c>
      <c r="BH148" s="9">
        <f t="shared" si="115"/>
        <v>583.88013440944542</v>
      </c>
      <c r="BI148" s="9" t="str">
        <f>TMK[[#This Row],[From]]</f>
        <v>ABS1516</v>
      </c>
      <c r="BJ148" s="9" t="str">
        <f>TMK[[#This Row],[To]]</f>
        <v>ABS1524</v>
      </c>
      <c r="BK14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Line-CHAFER</v>
      </c>
      <c r="BL148" s="9">
        <f>TMK[[#This Row],[Voltage]]</f>
        <v>33.594000000000001</v>
      </c>
    </row>
    <row r="149" spans="1:64" s="1" customFormat="1" ht="15" customHeight="1" x14ac:dyDescent="0.25">
      <c r="A149" s="6" t="str">
        <f>CONCATENATE(TMK[[#This Row],[Supply Level]],TMK[[#This Row],[Station/Feeder]],TMK[[#This Row],[Voltage]])</f>
        <v>SubTransmissionRGA_T133.594</v>
      </c>
      <c r="B149" s="6" t="str">
        <f>CONCATENATE(TMK[[#This Row],[Supply Level]],TMK[[#This Row],[Station/Feeder]],TMK[[#This Row],[Equipment ID]],TMK[[#This Row],[Voltage]],TMK[[#This Row],[Device type]])</f>
        <v>SubTransmissionRGA_T1DOG33.594-</v>
      </c>
      <c r="C149" s="6" t="s">
        <v>1245</v>
      </c>
      <c r="D149" s="11" t="s">
        <v>86</v>
      </c>
      <c r="E149" s="7" t="s">
        <v>584</v>
      </c>
      <c r="F149" s="7" t="s">
        <v>586</v>
      </c>
      <c r="G149" s="56">
        <v>13</v>
      </c>
      <c r="H149" s="46" t="s">
        <v>1289</v>
      </c>
      <c r="I149" s="123" t="s">
        <v>318</v>
      </c>
      <c r="J149" s="123" t="s">
        <v>69</v>
      </c>
      <c r="K149" s="46" t="s">
        <v>0</v>
      </c>
      <c r="L149" s="46" t="s">
        <v>0</v>
      </c>
      <c r="M149" s="43">
        <f t="shared" si="109"/>
        <v>33.594000000000001</v>
      </c>
      <c r="N149" s="9">
        <v>439.05124362023736</v>
      </c>
      <c r="O149" s="9">
        <f t="shared" si="110"/>
        <v>25.546861697805689</v>
      </c>
      <c r="P149" s="9" t="s">
        <v>0</v>
      </c>
      <c r="Q149" s="9" t="str">
        <f t="shared" si="111"/>
        <v>-</v>
      </c>
      <c r="R149" s="9">
        <v>380.7202733309295</v>
      </c>
      <c r="S149" s="9">
        <f t="shared" si="112"/>
        <v>22.152785830049567</v>
      </c>
      <c r="T149" s="9" t="s">
        <v>0</v>
      </c>
      <c r="U149" s="9" t="str">
        <f t="shared" si="113"/>
        <v>-</v>
      </c>
      <c r="V149" s="9" t="s">
        <v>0</v>
      </c>
      <c r="W149" s="9" t="str">
        <f t="shared" si="114"/>
        <v>-</v>
      </c>
      <c r="X149" s="9" t="s">
        <v>0</v>
      </c>
      <c r="Y149" s="9" t="str">
        <f t="shared" si="116"/>
        <v>-</v>
      </c>
      <c r="Z149" s="9" t="s">
        <v>0</v>
      </c>
      <c r="AA149" s="9" t="str">
        <f t="shared" si="117"/>
        <v>-</v>
      </c>
      <c r="AB149" s="9" t="s">
        <v>0</v>
      </c>
      <c r="AC149" s="9" t="str">
        <f t="shared" si="118"/>
        <v>-</v>
      </c>
      <c r="AD149" s="9" t="s">
        <v>0</v>
      </c>
      <c r="AE149" s="12" t="str">
        <f t="shared" si="119"/>
        <v>-</v>
      </c>
      <c r="AF149" s="29" t="s">
        <v>0</v>
      </c>
      <c r="AG149" s="29" t="s">
        <v>0</v>
      </c>
      <c r="AH149" s="9" t="s">
        <v>0</v>
      </c>
      <c r="AI149" s="29" t="s">
        <v>0</v>
      </c>
      <c r="AJ149" s="32" t="s">
        <v>0</v>
      </c>
      <c r="AK149" s="29" t="s">
        <v>0</v>
      </c>
      <c r="AL149" s="32" t="s">
        <v>0</v>
      </c>
      <c r="AM149" s="29" t="s">
        <v>0</v>
      </c>
      <c r="AN149" s="32" t="s">
        <v>0</v>
      </c>
      <c r="AO149" s="29" t="s">
        <v>0</v>
      </c>
      <c r="AP149" s="32" t="s">
        <v>0</v>
      </c>
      <c r="AQ149" s="32" t="s">
        <v>0</v>
      </c>
      <c r="AR14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49" s="9" t="str">
        <f t="shared" si="120"/>
        <v>-</v>
      </c>
      <c r="AT149" s="9">
        <f>IF(RIGHT(TMK[[#This Row],[Device type]],7)="Winding","-",TMK[[#This Row],[Cont Winter MVA]])</f>
        <v>25.546861697805689</v>
      </c>
      <c r="AU149" s="9" t="str">
        <f>IF(RIGHT(TMK[[#This Row],[Device type]],7)="Winding","-",TMK[[#This Row],[Cont Shoulder MVA]])</f>
        <v>-</v>
      </c>
      <c r="AV149" s="9">
        <f>IF(RIGHT(TMK[[#This Row],[Device type]],7)="Winding","-",TMK[[#This Row],[Cont Summer MVA]])</f>
        <v>22.152785830049567</v>
      </c>
      <c r="AW149" s="9" t="str">
        <f>IF(RIGHT(TMK[[#This Row],[Device type]],7)="Winding","-",TMK[[#This Row],[24 Hr Winter MVA]])</f>
        <v>-</v>
      </c>
      <c r="AX149" s="9" t="str">
        <f>IF(RIGHT(TMK[[#This Row],[Device type]],7)="Winding","-",TMK[[#This Row],[24 Hr Summer MVA]])</f>
        <v>-</v>
      </c>
      <c r="AY149" s="9" t="str">
        <f>TMK[[#This Row],[Forwards MVA]]</f>
        <v>-</v>
      </c>
      <c r="AZ149" s="9" t="str">
        <f>TMK[[#This Row],[Relay MVA]]</f>
        <v>-</v>
      </c>
      <c r="BA149" s="9" t="str">
        <f>TMK[[#This Row],[CT MVA]]</f>
        <v>-</v>
      </c>
      <c r="BB149" s="9" t="str">
        <f>TMK[[#This Row],[Derating MVA]]</f>
        <v>-</v>
      </c>
      <c r="BC149" s="9" t="str">
        <f>TMK[[#This Row],[Station/Feeder]]&amp;TMK[[#This Row],[Lowest MVA]]</f>
        <v>RGA_T122.1527858300496</v>
      </c>
      <c r="BD149" s="9" t="str">
        <f>CONCATENATE(TMK[[#This Row],[Supply Level]],TMK[[#This Row],[Station/Feeder]],TMK[[#This Row],[Voltage]],TMK[[#This Row],[Lowest A-No PTX]])</f>
        <v>SubTransmissionRGA_T133.594380.72027333093</v>
      </c>
      <c r="BE149" s="9" t="str">
        <f>CONCATENATE(TMK[[#This Row],[Supply Level]],TMK[[#This Row],[Station/Feeder]],TMK[[#This Row],[Voltage]],TMK[[#This Row],[Lowest A-PTX]])</f>
        <v>SubTransmissionRGA_T133.594380.72027333093</v>
      </c>
      <c r="BF149" s="9">
        <f>IFERROR(IF(MIN(TMK[[#This Row],[Summ Cont Winter A]:[Cable Derating]])=0,"",MIN(TMK[[#This Row],[Summ Cont Winter A]:[Cable Derating]])),"")</f>
        <v>22.152785830049567</v>
      </c>
      <c r="BG149" s="9">
        <f>IFERROR(TMK[[#This Row],[Lowest MVA]]*1000/(TMK[[#This Row],[Voltage]]*SQRT(3)),"")</f>
        <v>380.7202733309295</v>
      </c>
      <c r="BH149" s="9">
        <f t="shared" si="115"/>
        <v>380.7202733309295</v>
      </c>
      <c r="BI149" s="9" t="str">
        <f>TMK[[#This Row],[From]]</f>
        <v>ABS1516</v>
      </c>
      <c r="BJ149" s="9" t="str">
        <f>TMK[[#This Row],[To]]</f>
        <v>ABS1524</v>
      </c>
      <c r="BK14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149" s="9">
        <f>TMK[[#This Row],[Voltage]]</f>
        <v>33.594000000000001</v>
      </c>
    </row>
    <row r="150" spans="1:64" s="1" customFormat="1" ht="15" customHeight="1" x14ac:dyDescent="0.25">
      <c r="A150" s="6" t="str">
        <f>CONCATENATE(TMK[[#This Row],[Supply Level]],TMK[[#This Row],[Station/Feeder]],TMK[[#This Row],[Voltage]])</f>
        <v>ZoneSubstationRGA_T133.594</v>
      </c>
      <c r="B150" s="6" t="str">
        <f>CONCATENATE(TMK[[#This Row],[Supply Level]],TMK[[#This Row],[Station/Feeder]],TMK[[#This Row],[Equipment ID]],TMK[[#This Row],[Voltage]],TMK[[#This Row],[Device type]])</f>
        <v>ZoneSubstationRGA_T1152433.594-</v>
      </c>
      <c r="C150" s="6" t="s">
        <v>1246</v>
      </c>
      <c r="D150" s="11" t="s">
        <v>86</v>
      </c>
      <c r="E150" s="7" t="s">
        <v>586</v>
      </c>
      <c r="F150" s="46" t="s">
        <v>587</v>
      </c>
      <c r="G150" s="56">
        <v>1</v>
      </c>
      <c r="H150" s="46" t="s">
        <v>273</v>
      </c>
      <c r="I150" s="123">
        <v>1524</v>
      </c>
      <c r="J150" s="123" t="s">
        <v>240</v>
      </c>
      <c r="K150" s="46" t="s">
        <v>0</v>
      </c>
      <c r="L150" s="46" t="s">
        <v>0</v>
      </c>
      <c r="M150" s="43">
        <f t="shared" si="109"/>
        <v>33.594000000000001</v>
      </c>
      <c r="N150" s="9" t="s">
        <v>0</v>
      </c>
      <c r="O150" s="9" t="str">
        <f t="shared" si="110"/>
        <v>-</v>
      </c>
      <c r="P150" s="9" t="s">
        <v>0</v>
      </c>
      <c r="Q150" s="9" t="str">
        <f t="shared" si="111"/>
        <v>-</v>
      </c>
      <c r="R150" s="9" t="s">
        <v>0</v>
      </c>
      <c r="S150" s="9" t="str">
        <f t="shared" si="112"/>
        <v>-</v>
      </c>
      <c r="T150" s="9" t="s">
        <v>0</v>
      </c>
      <c r="U150" s="9" t="str">
        <f t="shared" si="113"/>
        <v>-</v>
      </c>
      <c r="V150" s="9" t="s">
        <v>0</v>
      </c>
      <c r="W150" s="9" t="str">
        <f t="shared" si="114"/>
        <v>-</v>
      </c>
      <c r="X150" s="9" t="s">
        <v>0</v>
      </c>
      <c r="Y150" s="9" t="str">
        <f t="shared" si="116"/>
        <v>-</v>
      </c>
      <c r="Z150" s="9" t="s">
        <v>0</v>
      </c>
      <c r="AA150" s="9" t="str">
        <f t="shared" si="117"/>
        <v>-</v>
      </c>
      <c r="AB150" s="9" t="s">
        <v>0</v>
      </c>
      <c r="AC150" s="9" t="str">
        <f t="shared" si="118"/>
        <v>-</v>
      </c>
      <c r="AD150" s="9" t="s">
        <v>0</v>
      </c>
      <c r="AE150" s="12" t="str">
        <f t="shared" si="119"/>
        <v>-</v>
      </c>
      <c r="AF150" s="29" t="s">
        <v>0</v>
      </c>
      <c r="AG150" s="29" t="s">
        <v>0</v>
      </c>
      <c r="AH150" s="9" t="s">
        <v>0</v>
      </c>
      <c r="AI150" s="29" t="s">
        <v>0</v>
      </c>
      <c r="AJ150" s="32" t="s">
        <v>0</v>
      </c>
      <c r="AK150" s="29" t="s">
        <v>0</v>
      </c>
      <c r="AL150" s="32" t="s">
        <v>0</v>
      </c>
      <c r="AM150" s="29" t="s">
        <v>0</v>
      </c>
      <c r="AN150" s="32" t="s">
        <v>0</v>
      </c>
      <c r="AO150" s="29" t="s">
        <v>0</v>
      </c>
      <c r="AP150" s="32" t="s">
        <v>0</v>
      </c>
      <c r="AQ150" s="32" t="s">
        <v>0</v>
      </c>
      <c r="AR150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50" s="9" t="str">
        <f t="shared" si="120"/>
        <v>-</v>
      </c>
      <c r="AT150" s="9" t="str">
        <f>IF(RIGHT(TMK[[#This Row],[Device type]],7)="Winding","-",TMK[[#This Row],[Cont Winter MVA]])</f>
        <v>-</v>
      </c>
      <c r="AU150" s="9" t="str">
        <f>IF(RIGHT(TMK[[#This Row],[Device type]],7)="Winding","-",TMK[[#This Row],[Cont Shoulder MVA]])</f>
        <v>-</v>
      </c>
      <c r="AV150" s="9" t="str">
        <f>IF(RIGHT(TMK[[#This Row],[Device type]],7)="Winding","-",TMK[[#This Row],[Cont Summer MVA]])</f>
        <v>-</v>
      </c>
      <c r="AW150" s="9" t="str">
        <f>IF(RIGHT(TMK[[#This Row],[Device type]],7)="Winding","-",TMK[[#This Row],[24 Hr Winter MVA]])</f>
        <v>-</v>
      </c>
      <c r="AX150" s="9" t="str">
        <f>IF(RIGHT(TMK[[#This Row],[Device type]],7)="Winding","-",TMK[[#This Row],[24 Hr Summer MVA]])</f>
        <v>-</v>
      </c>
      <c r="AY150" s="9" t="str">
        <f>TMK[[#This Row],[Forwards MVA]]</f>
        <v>-</v>
      </c>
      <c r="AZ150" s="9" t="str">
        <f>TMK[[#This Row],[Relay MVA]]</f>
        <v>-</v>
      </c>
      <c r="BA150" s="9" t="str">
        <f>TMK[[#This Row],[CT MVA]]</f>
        <v>-</v>
      </c>
      <c r="BB150" s="9" t="str">
        <f>TMK[[#This Row],[Derating MVA]]</f>
        <v>-</v>
      </c>
      <c r="BC150" s="9" t="str">
        <f>TMK[[#This Row],[Station/Feeder]]&amp;TMK[[#This Row],[Lowest MVA]]</f>
        <v>RGA_T1</v>
      </c>
      <c r="BD150" s="9" t="str">
        <f>CONCATENATE(TMK[[#This Row],[Supply Level]],TMK[[#This Row],[Station/Feeder]],TMK[[#This Row],[Voltage]],TMK[[#This Row],[Lowest A-No PTX]])</f>
        <v>ZoneSubstationRGA_T133.594</v>
      </c>
      <c r="BE150" s="9" t="str">
        <f>CONCATENATE(TMK[[#This Row],[Supply Level]],TMK[[#This Row],[Station/Feeder]],TMK[[#This Row],[Voltage]],TMK[[#This Row],[Lowest A-PTX]])</f>
        <v>ZoneSubstationRGA_T133.594</v>
      </c>
      <c r="BF150" s="9" t="str">
        <f>IFERROR(IF(MIN(TMK[[#This Row],[Summ Cont Winter A]:[Cable Derating]])=0,"",MIN(TMK[[#This Row],[Summ Cont Winter A]:[Cable Derating]])),"")</f>
        <v/>
      </c>
      <c r="BG150" s="9" t="str">
        <f>IFERROR(TMK[[#This Row],[Lowest MVA]]*1000/(TMK[[#This Row],[Voltage]]*SQRT(3)),"")</f>
        <v/>
      </c>
      <c r="BH150" s="9" t="str">
        <f t="shared" si="115"/>
        <v/>
      </c>
      <c r="BI150" s="9" t="str">
        <f>TMK[[#This Row],[From]]</f>
        <v>ABS1524</v>
      </c>
      <c r="BJ150" s="9" t="str">
        <f>TMK[[#This Row],[To]]</f>
        <v>CB35</v>
      </c>
      <c r="BK15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ABS-1524</v>
      </c>
      <c r="BL150" s="9">
        <f>TMK[[#This Row],[Voltage]]</f>
        <v>33.594000000000001</v>
      </c>
    </row>
    <row r="151" spans="1:64" s="1" customFormat="1" ht="15" customHeight="1" x14ac:dyDescent="0.25">
      <c r="A151" s="6" t="str">
        <f>CONCATENATE(TMK[[#This Row],[Supply Level]],TMK[[#This Row],[Station/Feeder]],TMK[[#This Row],[Voltage]])</f>
        <v>ZoneSubstationRGA_T133.594</v>
      </c>
      <c r="B151" s="6" t="str">
        <f>CONCATENATE(TMK[[#This Row],[Supply Level]],TMK[[#This Row],[Station/Feeder]],TMK[[#This Row],[Equipment ID]],TMK[[#This Row],[Voltage]],TMK[[#This Row],[Device type]])</f>
        <v>ZoneSubstationRGA_T1RGA_T1-CB152233.594Protection</v>
      </c>
      <c r="C151" s="6" t="s">
        <v>1246</v>
      </c>
      <c r="D151" s="11" t="s">
        <v>86</v>
      </c>
      <c r="E151" s="7" t="s">
        <v>586</v>
      </c>
      <c r="F151" s="46" t="s">
        <v>587</v>
      </c>
      <c r="G151" s="56">
        <v>2</v>
      </c>
      <c r="H151" s="46" t="s">
        <v>343</v>
      </c>
      <c r="I151" s="123" t="s">
        <v>2574</v>
      </c>
      <c r="J151" s="123" t="s">
        <v>15</v>
      </c>
      <c r="K151" s="46" t="s">
        <v>1125</v>
      </c>
      <c r="L151" s="46" t="s">
        <v>1423</v>
      </c>
      <c r="M151" s="43">
        <f t="shared" si="109"/>
        <v>33.594000000000001</v>
      </c>
      <c r="N151" s="9" t="s">
        <v>0</v>
      </c>
      <c r="O151" s="9" t="str">
        <f t="shared" si="110"/>
        <v>-</v>
      </c>
      <c r="P151" s="9" t="s">
        <v>0</v>
      </c>
      <c r="Q151" s="9" t="str">
        <f t="shared" si="111"/>
        <v>-</v>
      </c>
      <c r="R151" s="9" t="s">
        <v>0</v>
      </c>
      <c r="S151" s="9" t="str">
        <f t="shared" si="112"/>
        <v>-</v>
      </c>
      <c r="T151" s="9" t="s">
        <v>0</v>
      </c>
      <c r="U151" s="9" t="str">
        <f t="shared" si="113"/>
        <v>-</v>
      </c>
      <c r="V151" s="9" t="s">
        <v>0</v>
      </c>
      <c r="W151" s="9" t="str">
        <f t="shared" si="114"/>
        <v>-</v>
      </c>
      <c r="X151" s="9">
        <f>VLOOKUP(TMK[[#This Row],[Equipment ID]],AEL_Protection_Data[#All],12,0)</f>
        <v>402</v>
      </c>
      <c r="Y151" s="9">
        <f t="shared" si="116"/>
        <v>23.390978961446482</v>
      </c>
      <c r="Z151" s="9">
        <v>402</v>
      </c>
      <c r="AA151" s="9">
        <f t="shared" si="117"/>
        <v>23.390978961446482</v>
      </c>
      <c r="AB151" s="9" t="s">
        <v>0</v>
      </c>
      <c r="AC151" s="9" t="str">
        <f t="shared" si="118"/>
        <v>-</v>
      </c>
      <c r="AD151" s="9">
        <v>300</v>
      </c>
      <c r="AE151" s="12">
        <f t="shared" si="119"/>
        <v>17.455954448840661</v>
      </c>
      <c r="AF151" s="29" t="s">
        <v>0</v>
      </c>
      <c r="AG151" s="29" t="s">
        <v>0</v>
      </c>
      <c r="AH151" s="9" t="s">
        <v>0</v>
      </c>
      <c r="AI151" s="29" t="s">
        <v>0</v>
      </c>
      <c r="AJ151" s="32" t="s">
        <v>0</v>
      </c>
      <c r="AK151" s="29" t="s">
        <v>0</v>
      </c>
      <c r="AL151" s="32" t="s">
        <v>0</v>
      </c>
      <c r="AM151" s="29" t="s">
        <v>0</v>
      </c>
      <c r="AN151" s="32" t="s">
        <v>0</v>
      </c>
      <c r="AO151" s="29" t="s">
        <v>0</v>
      </c>
      <c r="AP151" s="32" t="s">
        <v>0</v>
      </c>
      <c r="AQ151" s="32" t="s">
        <v>0</v>
      </c>
      <c r="AR151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51" s="9" t="str">
        <f t="shared" si="120"/>
        <v>-</v>
      </c>
      <c r="AT151" s="9" t="str">
        <f>IF(RIGHT(TMK[[#This Row],[Device type]],7)="Winding","-",TMK[[#This Row],[Cont Winter MVA]])</f>
        <v>-</v>
      </c>
      <c r="AU151" s="9" t="str">
        <f>IF(RIGHT(TMK[[#This Row],[Device type]],7)="Winding","-",TMK[[#This Row],[Cont Shoulder MVA]])</f>
        <v>-</v>
      </c>
      <c r="AV151" s="9" t="str">
        <f>IF(RIGHT(TMK[[#This Row],[Device type]],7)="Winding","-",TMK[[#This Row],[Cont Summer MVA]])</f>
        <v>-</v>
      </c>
      <c r="AW151" s="9" t="str">
        <f>IF(RIGHT(TMK[[#This Row],[Device type]],7)="Winding","-",TMK[[#This Row],[24 Hr Winter MVA]])</f>
        <v>-</v>
      </c>
      <c r="AX151" s="9" t="str">
        <f>IF(RIGHT(TMK[[#This Row],[Device type]],7)="Winding","-",TMK[[#This Row],[24 Hr Summer MVA]])</f>
        <v>-</v>
      </c>
      <c r="AY151" s="9">
        <f>TMK[[#This Row],[Forwards MVA]]</f>
        <v>23.390978961446482</v>
      </c>
      <c r="AZ151" s="9" t="str">
        <f>TMK[[#This Row],[Relay MVA]]</f>
        <v>-</v>
      </c>
      <c r="BA151" s="9">
        <f>TMK[[#This Row],[CT MVA]]</f>
        <v>17.455954448840661</v>
      </c>
      <c r="BB151" s="9" t="str">
        <f>TMK[[#This Row],[Derating MVA]]</f>
        <v>-</v>
      </c>
      <c r="BC151" s="9" t="str">
        <f>TMK[[#This Row],[Station/Feeder]]&amp;TMK[[#This Row],[Lowest MVA]]</f>
        <v>RGA_T117.4559544488407</v>
      </c>
      <c r="BD151" s="9" t="str">
        <f>CONCATENATE(TMK[[#This Row],[Supply Level]],TMK[[#This Row],[Station/Feeder]],TMK[[#This Row],[Voltage]],TMK[[#This Row],[Lowest A-No PTX]])</f>
        <v>ZoneSubstationRGA_T133.594300</v>
      </c>
      <c r="BE151" s="9" t="str">
        <f>CONCATENATE(TMK[[#This Row],[Supply Level]],TMK[[#This Row],[Station/Feeder]],TMK[[#This Row],[Voltage]],TMK[[#This Row],[Lowest A-PTX]])</f>
        <v>ZoneSubstationRGA_T133.594300</v>
      </c>
      <c r="BF151" s="9">
        <f>IFERROR(IF(MIN(TMK[[#This Row],[Summ Cont Winter A]:[Cable Derating]])=0,"",MIN(TMK[[#This Row],[Summ Cont Winter A]:[Cable Derating]])),"")</f>
        <v>17.455954448840661</v>
      </c>
      <c r="BG151" s="9">
        <f>IFERROR(TMK[[#This Row],[Lowest MVA]]*1000/(TMK[[#This Row],[Voltage]]*SQRT(3)),"")</f>
        <v>300.00000000000006</v>
      </c>
      <c r="BH151" s="9">
        <f t="shared" si="115"/>
        <v>300</v>
      </c>
      <c r="BI151" s="9" t="str">
        <f>TMK[[#This Row],[From]]</f>
        <v>ABS1524</v>
      </c>
      <c r="BJ151" s="9" t="str">
        <f>TMK[[#This Row],[To]]</f>
        <v>CB35</v>
      </c>
      <c r="BK15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Breaker-RGA_T1-CB1522-Protection</v>
      </c>
      <c r="BL151" s="9">
        <f>TMK[[#This Row],[Voltage]]</f>
        <v>33.594000000000001</v>
      </c>
    </row>
    <row r="152" spans="1:64" s="1" customFormat="1" ht="15" customHeight="1" x14ac:dyDescent="0.25">
      <c r="A152" s="6" t="str">
        <f>CONCATENATE(TMK[[#This Row],[Supply Level]],TMK[[#This Row],[Station/Feeder]],TMK[[#This Row],[Voltage]])</f>
        <v>ZoneSubstationRGA_T133.594</v>
      </c>
      <c r="B152" s="6" t="str">
        <f>CONCATENATE(TMK[[#This Row],[Supply Level]],TMK[[#This Row],[Station/Feeder]],TMK[[#This Row],[Equipment ID]],TMK[[#This Row],[Voltage]],TMK[[#This Row],[Device type]])</f>
        <v>ZoneSubstationRGA_T1152633.594-</v>
      </c>
      <c r="C152" s="6" t="s">
        <v>1246</v>
      </c>
      <c r="D152" s="11" t="s">
        <v>86</v>
      </c>
      <c r="E152" s="7" t="s">
        <v>586</v>
      </c>
      <c r="F152" s="46" t="s">
        <v>587</v>
      </c>
      <c r="G152" s="56">
        <v>3</v>
      </c>
      <c r="H152" s="46" t="s">
        <v>273</v>
      </c>
      <c r="I152" s="123">
        <v>1526</v>
      </c>
      <c r="J152" s="123" t="s">
        <v>240</v>
      </c>
      <c r="K152" s="46" t="s">
        <v>0</v>
      </c>
      <c r="L152" s="46" t="s">
        <v>0</v>
      </c>
      <c r="M152" s="43">
        <f t="shared" si="109"/>
        <v>33.594000000000001</v>
      </c>
      <c r="N152" s="9" t="s">
        <v>0</v>
      </c>
      <c r="O152" s="9" t="str">
        <f t="shared" si="110"/>
        <v>-</v>
      </c>
      <c r="P152" s="9" t="s">
        <v>0</v>
      </c>
      <c r="Q152" s="9" t="str">
        <f t="shared" si="111"/>
        <v>-</v>
      </c>
      <c r="R152" s="9" t="s">
        <v>0</v>
      </c>
      <c r="S152" s="9" t="str">
        <f t="shared" si="112"/>
        <v>-</v>
      </c>
      <c r="T152" s="9" t="s">
        <v>0</v>
      </c>
      <c r="U152" s="9" t="str">
        <f t="shared" si="113"/>
        <v>-</v>
      </c>
      <c r="V152" s="9" t="s">
        <v>0</v>
      </c>
      <c r="W152" s="9" t="str">
        <f t="shared" si="114"/>
        <v>-</v>
      </c>
      <c r="X152" s="9" t="s">
        <v>0</v>
      </c>
      <c r="Y152" s="9" t="str">
        <f t="shared" si="116"/>
        <v>-</v>
      </c>
      <c r="Z152" s="9" t="s">
        <v>0</v>
      </c>
      <c r="AA152" s="9" t="str">
        <f t="shared" si="117"/>
        <v>-</v>
      </c>
      <c r="AB152" s="9" t="s">
        <v>0</v>
      </c>
      <c r="AC152" s="9" t="str">
        <f t="shared" si="118"/>
        <v>-</v>
      </c>
      <c r="AD152" s="9" t="s">
        <v>0</v>
      </c>
      <c r="AE152" s="12" t="str">
        <f t="shared" si="119"/>
        <v>-</v>
      </c>
      <c r="AF152" s="29" t="s">
        <v>0</v>
      </c>
      <c r="AG152" s="29" t="s">
        <v>0</v>
      </c>
      <c r="AH152" s="9" t="s">
        <v>0</v>
      </c>
      <c r="AI152" s="29" t="s">
        <v>0</v>
      </c>
      <c r="AJ152" s="32" t="s">
        <v>0</v>
      </c>
      <c r="AK152" s="29" t="s">
        <v>0</v>
      </c>
      <c r="AL152" s="32" t="s">
        <v>0</v>
      </c>
      <c r="AM152" s="29" t="s">
        <v>0</v>
      </c>
      <c r="AN152" s="32" t="s">
        <v>0</v>
      </c>
      <c r="AO152" s="29" t="s">
        <v>0</v>
      </c>
      <c r="AP152" s="32" t="s">
        <v>0</v>
      </c>
      <c r="AQ152" s="32" t="s">
        <v>0</v>
      </c>
      <c r="AR152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52" s="9" t="str">
        <f t="shared" si="120"/>
        <v>-</v>
      </c>
      <c r="AT152" s="9" t="str">
        <f>IF(RIGHT(TMK[[#This Row],[Device type]],7)="Winding","-",TMK[[#This Row],[Cont Winter MVA]])</f>
        <v>-</v>
      </c>
      <c r="AU152" s="9" t="str">
        <f>IF(RIGHT(TMK[[#This Row],[Device type]],7)="Winding","-",TMK[[#This Row],[Cont Shoulder MVA]])</f>
        <v>-</v>
      </c>
      <c r="AV152" s="9" t="str">
        <f>IF(RIGHT(TMK[[#This Row],[Device type]],7)="Winding","-",TMK[[#This Row],[Cont Summer MVA]])</f>
        <v>-</v>
      </c>
      <c r="AW152" s="9" t="str">
        <f>IF(RIGHT(TMK[[#This Row],[Device type]],7)="Winding","-",TMK[[#This Row],[24 Hr Winter MVA]])</f>
        <v>-</v>
      </c>
      <c r="AX152" s="9" t="str">
        <f>IF(RIGHT(TMK[[#This Row],[Device type]],7)="Winding","-",TMK[[#This Row],[24 Hr Summer MVA]])</f>
        <v>-</v>
      </c>
      <c r="AY152" s="9" t="str">
        <f>TMK[[#This Row],[Forwards MVA]]</f>
        <v>-</v>
      </c>
      <c r="AZ152" s="9" t="str">
        <f>TMK[[#This Row],[Relay MVA]]</f>
        <v>-</v>
      </c>
      <c r="BA152" s="9" t="str">
        <f>TMK[[#This Row],[CT MVA]]</f>
        <v>-</v>
      </c>
      <c r="BB152" s="9" t="str">
        <f>TMK[[#This Row],[Derating MVA]]</f>
        <v>-</v>
      </c>
      <c r="BC152" s="9" t="str">
        <f>TMK[[#This Row],[Station/Feeder]]&amp;TMK[[#This Row],[Lowest MVA]]</f>
        <v>RGA_T1</v>
      </c>
      <c r="BD152" s="9" t="str">
        <f>CONCATENATE(TMK[[#This Row],[Supply Level]],TMK[[#This Row],[Station/Feeder]],TMK[[#This Row],[Voltage]],TMK[[#This Row],[Lowest A-No PTX]])</f>
        <v>ZoneSubstationRGA_T133.594</v>
      </c>
      <c r="BE152" s="9" t="str">
        <f>CONCATENATE(TMK[[#This Row],[Supply Level]],TMK[[#This Row],[Station/Feeder]],TMK[[#This Row],[Voltage]],TMK[[#This Row],[Lowest A-PTX]])</f>
        <v>ZoneSubstationRGA_T133.594</v>
      </c>
      <c r="BF152" s="9" t="str">
        <f>IFERROR(IF(MIN(TMK[[#This Row],[Summ Cont Winter A]:[Cable Derating]])=0,"",MIN(TMK[[#This Row],[Summ Cont Winter A]:[Cable Derating]])),"")</f>
        <v/>
      </c>
      <c r="BG152" s="9" t="str">
        <f>IFERROR(TMK[[#This Row],[Lowest MVA]]*1000/(TMK[[#This Row],[Voltage]]*SQRT(3)),"")</f>
        <v/>
      </c>
      <c r="BH152" s="9" t="str">
        <f t="shared" si="115"/>
        <v/>
      </c>
      <c r="BI152" s="9" t="str">
        <f>TMK[[#This Row],[From]]</f>
        <v>ABS1524</v>
      </c>
      <c r="BJ152" s="9" t="str">
        <f>TMK[[#This Row],[To]]</f>
        <v>CB35</v>
      </c>
      <c r="BK15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ABS-1526</v>
      </c>
      <c r="BL152" s="9">
        <f>TMK[[#This Row],[Voltage]]</f>
        <v>33.594000000000001</v>
      </c>
    </row>
    <row r="153" spans="1:64" s="1" customFormat="1" ht="15" customHeight="1" x14ac:dyDescent="0.25">
      <c r="A153" s="6" t="str">
        <f>CONCATENATE(TMK[[#This Row],[Supply Level]],TMK[[#This Row],[Station/Feeder]],TMK[[#This Row],[Voltage]])</f>
        <v>ZoneSubstationRGA_T133.594</v>
      </c>
      <c r="B153" s="6" t="str">
        <f>CONCATENATE(TMK[[#This Row],[Supply Level]],TMK[[#This Row],[Station/Feeder]],TMK[[#This Row],[Equipment ID]],TMK[[#This Row],[Voltage]],TMK[[#This Row],[Device type]])</f>
        <v>ZoneSubstationRGA_T1D1479-T133.594HV Winding</v>
      </c>
      <c r="C153" s="6" t="s">
        <v>1246</v>
      </c>
      <c r="D153" s="11" t="s">
        <v>86</v>
      </c>
      <c r="E153" s="7" t="s">
        <v>586</v>
      </c>
      <c r="F153" s="46" t="s">
        <v>587</v>
      </c>
      <c r="G153" s="56">
        <v>4</v>
      </c>
      <c r="H153" s="46" t="s">
        <v>275</v>
      </c>
      <c r="I153" s="123" t="s">
        <v>589</v>
      </c>
      <c r="J153" s="123" t="s">
        <v>19</v>
      </c>
      <c r="K153" s="46" t="s">
        <v>0</v>
      </c>
      <c r="L153" s="46" t="s">
        <v>36</v>
      </c>
      <c r="M153" s="43">
        <f t="shared" si="109"/>
        <v>33.594000000000001</v>
      </c>
      <c r="N153" s="9">
        <f>15*1000/(TMK[[#This Row],[Voltage]]*SQRT(3))</f>
        <v>257.79169011860409</v>
      </c>
      <c r="O153" s="9">
        <f t="shared" si="110"/>
        <v>14.999999999999998</v>
      </c>
      <c r="P153" s="9" t="s">
        <v>0</v>
      </c>
      <c r="Q153" s="9" t="str">
        <f t="shared" si="111"/>
        <v>-</v>
      </c>
      <c r="R153" s="9" t="s">
        <v>0</v>
      </c>
      <c r="S153" s="9" t="str">
        <f t="shared" si="112"/>
        <v>-</v>
      </c>
      <c r="T153" s="9" t="s">
        <v>0</v>
      </c>
      <c r="U153" s="9" t="str">
        <f t="shared" si="113"/>
        <v>-</v>
      </c>
      <c r="V153" s="9" t="s">
        <v>0</v>
      </c>
      <c r="W153" s="9" t="str">
        <f t="shared" si="114"/>
        <v>-</v>
      </c>
      <c r="X153" s="9" t="s">
        <v>0</v>
      </c>
      <c r="Y153" s="9" t="str">
        <f t="shared" si="116"/>
        <v>-</v>
      </c>
      <c r="Z153" s="9" t="s">
        <v>0</v>
      </c>
      <c r="AA153" s="9" t="str">
        <f t="shared" si="117"/>
        <v>-</v>
      </c>
      <c r="AB153" s="9" t="s">
        <v>0</v>
      </c>
      <c r="AC153" s="9" t="str">
        <f t="shared" si="118"/>
        <v>-</v>
      </c>
      <c r="AD153" s="9" t="s">
        <v>0</v>
      </c>
      <c r="AE153" s="12" t="str">
        <f t="shared" si="119"/>
        <v>-</v>
      </c>
      <c r="AF153" s="29" t="s">
        <v>0</v>
      </c>
      <c r="AG153" s="29" t="s">
        <v>0</v>
      </c>
      <c r="AH153" s="9" t="s">
        <v>0</v>
      </c>
      <c r="AI153" s="29" t="s">
        <v>0</v>
      </c>
      <c r="AJ153" s="32" t="s">
        <v>0</v>
      </c>
      <c r="AK153" s="29" t="s">
        <v>0</v>
      </c>
      <c r="AL153" s="32" t="s">
        <v>0</v>
      </c>
      <c r="AM153" s="29" t="s">
        <v>0</v>
      </c>
      <c r="AN153" s="32" t="s">
        <v>0</v>
      </c>
      <c r="AO153" s="29" t="s">
        <v>0</v>
      </c>
      <c r="AP153" s="32" t="s">
        <v>0</v>
      </c>
      <c r="AQ153" s="32" t="s">
        <v>0</v>
      </c>
      <c r="AR15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53" s="9" t="str">
        <f t="shared" si="120"/>
        <v>-</v>
      </c>
      <c r="AT153" s="9" t="str">
        <f>IF(RIGHT(TMK[[#This Row],[Device type]],7)="Winding","-",TMK[[#This Row],[Cont Winter MVA]])</f>
        <v>-</v>
      </c>
      <c r="AU153" s="9" t="str">
        <f>IF(RIGHT(TMK[[#This Row],[Device type]],7)="Winding","-",TMK[[#This Row],[Cont Shoulder MVA]])</f>
        <v>-</v>
      </c>
      <c r="AV153" s="9" t="str">
        <f>IF(RIGHT(TMK[[#This Row],[Device type]],7)="Winding","-",TMK[[#This Row],[Cont Summer MVA]])</f>
        <v>-</v>
      </c>
      <c r="AW153" s="9" t="str">
        <f>IF(RIGHT(TMK[[#This Row],[Device type]],7)="Winding","-",TMK[[#This Row],[24 Hr Winter MVA]])</f>
        <v>-</v>
      </c>
      <c r="AX153" s="9" t="str">
        <f>IF(RIGHT(TMK[[#This Row],[Device type]],7)="Winding","-",TMK[[#This Row],[24 Hr Summer MVA]])</f>
        <v>-</v>
      </c>
      <c r="AY153" s="9" t="str">
        <f>TMK[[#This Row],[Forwards MVA]]</f>
        <v>-</v>
      </c>
      <c r="AZ153" s="9" t="str">
        <f>TMK[[#This Row],[Relay MVA]]</f>
        <v>-</v>
      </c>
      <c r="BA153" s="9" t="str">
        <f>TMK[[#This Row],[CT MVA]]</f>
        <v>-</v>
      </c>
      <c r="BB153" s="9" t="str">
        <f>TMK[[#This Row],[Derating MVA]]</f>
        <v>-</v>
      </c>
      <c r="BC153" s="9" t="str">
        <f>TMK[[#This Row],[Station/Feeder]]&amp;TMK[[#This Row],[Lowest MVA]]</f>
        <v>RGA_T1</v>
      </c>
      <c r="BD153" s="9" t="str">
        <f>CONCATENATE(TMK[[#This Row],[Supply Level]],TMK[[#This Row],[Station/Feeder]],TMK[[#This Row],[Voltage]],TMK[[#This Row],[Lowest A-No PTX]])</f>
        <v>ZoneSubstationRGA_T133.594</v>
      </c>
      <c r="BE153" s="9" t="str">
        <f>CONCATENATE(TMK[[#This Row],[Supply Level]],TMK[[#This Row],[Station/Feeder]],TMK[[#This Row],[Voltage]],TMK[[#This Row],[Lowest A-PTX]])</f>
        <v>ZoneSubstationRGA_T133.594257.791690118604</v>
      </c>
      <c r="BF153" s="9" t="str">
        <f>IFERROR(IF(MIN(TMK[[#This Row],[Summ Cont Winter A]:[Cable Derating]])=0,"",MIN(TMK[[#This Row],[Summ Cont Winter A]:[Cable Derating]])),"")</f>
        <v/>
      </c>
      <c r="BG153" s="9" t="str">
        <f>IFERROR(TMK[[#This Row],[Lowest MVA]]*1000/(TMK[[#This Row],[Voltage]]*SQRT(3)),"")</f>
        <v/>
      </c>
      <c r="BH153" s="9">
        <f t="shared" si="115"/>
        <v>257.79169011860409</v>
      </c>
      <c r="BI153" s="9" t="str">
        <f>TMK[[#This Row],[From]]</f>
        <v>ABS1524</v>
      </c>
      <c r="BJ153" s="9" t="str">
        <f>TMK[[#This Row],[To]]</f>
        <v>CB35</v>
      </c>
      <c r="BK15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Transformer-D1479-T1-HV Winding</v>
      </c>
      <c r="BL153" s="9">
        <f>TMK[[#This Row],[Voltage]]</f>
        <v>33.594000000000001</v>
      </c>
    </row>
    <row r="154" spans="1:64" s="1" customFormat="1" x14ac:dyDescent="0.25">
      <c r="A154" s="6" t="str">
        <f>CONCATENATE(TMK[[#This Row],[Supply Level]],TMK[[#This Row],[Station/Feeder]],TMK[[#This Row],[Voltage]])</f>
        <v>ZoneSubstationRGA_T111.22</v>
      </c>
      <c r="B154" s="6" t="str">
        <f>CONCATENATE(TMK[[#This Row],[Supply Level]],TMK[[#This Row],[Station/Feeder]],TMK[[#This Row],[Equipment ID]],TMK[[#This Row],[Voltage]],TMK[[#This Row],[Device type]])</f>
        <v>ZoneSubstationRGA_T1D1479-T111.22LV Winding</v>
      </c>
      <c r="C154" s="6" t="s">
        <v>1246</v>
      </c>
      <c r="D154" s="11" t="s">
        <v>86</v>
      </c>
      <c r="E154" s="7" t="s">
        <v>586</v>
      </c>
      <c r="F154" s="46" t="s">
        <v>587</v>
      </c>
      <c r="G154" s="56">
        <v>5</v>
      </c>
      <c r="H154" s="46" t="s">
        <v>275</v>
      </c>
      <c r="I154" s="123" t="s">
        <v>589</v>
      </c>
      <c r="J154" s="123" t="s">
        <v>19</v>
      </c>
      <c r="K154" s="46" t="s">
        <v>0</v>
      </c>
      <c r="L154" s="46" t="s">
        <v>37</v>
      </c>
      <c r="M154" s="43">
        <f>1.02*11</f>
        <v>11.22</v>
      </c>
      <c r="N154" s="9">
        <f>15*1000/(TMK[[#This Row],[Voltage]]*SQRT(3))</f>
        <v>771.85864864923235</v>
      </c>
      <c r="O154" s="9">
        <f t="shared" si="110"/>
        <v>15.000000000000002</v>
      </c>
      <c r="P154" s="9" t="s">
        <v>0</v>
      </c>
      <c r="Q154" s="9" t="str">
        <f t="shared" si="111"/>
        <v>-</v>
      </c>
      <c r="R154" s="9" t="s">
        <v>0</v>
      </c>
      <c r="S154" s="9" t="str">
        <f t="shared" si="112"/>
        <v>-</v>
      </c>
      <c r="T154" s="9" t="s">
        <v>0</v>
      </c>
      <c r="U154" s="9" t="str">
        <f t="shared" si="113"/>
        <v>-</v>
      </c>
      <c r="V154" s="9" t="s">
        <v>0</v>
      </c>
      <c r="W154" s="9" t="str">
        <f t="shared" si="114"/>
        <v>-</v>
      </c>
      <c r="X154" s="9" t="s">
        <v>0</v>
      </c>
      <c r="Y154" s="9" t="str">
        <f t="shared" si="116"/>
        <v>-</v>
      </c>
      <c r="Z154" s="9" t="s">
        <v>0</v>
      </c>
      <c r="AA154" s="9" t="str">
        <f t="shared" si="117"/>
        <v>-</v>
      </c>
      <c r="AB154" s="9" t="s">
        <v>0</v>
      </c>
      <c r="AC154" s="9" t="str">
        <f t="shared" si="118"/>
        <v>-</v>
      </c>
      <c r="AD154" s="9" t="s">
        <v>0</v>
      </c>
      <c r="AE154" s="12" t="str">
        <f t="shared" si="119"/>
        <v>-</v>
      </c>
      <c r="AF154" s="29" t="s">
        <v>0</v>
      </c>
      <c r="AG154" s="29" t="s">
        <v>0</v>
      </c>
      <c r="AH154" s="9" t="s">
        <v>0</v>
      </c>
      <c r="AI154" s="29" t="s">
        <v>0</v>
      </c>
      <c r="AJ154" s="32" t="s">
        <v>0</v>
      </c>
      <c r="AK154" s="29" t="s">
        <v>0</v>
      </c>
      <c r="AL154" s="32" t="s">
        <v>0</v>
      </c>
      <c r="AM154" s="29" t="s">
        <v>0</v>
      </c>
      <c r="AN154" s="32" t="s">
        <v>0</v>
      </c>
      <c r="AO154" s="29" t="s">
        <v>0</v>
      </c>
      <c r="AP154" s="32" t="s">
        <v>0</v>
      </c>
      <c r="AQ154" s="32" t="s">
        <v>0</v>
      </c>
      <c r="AR154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54" s="9" t="str">
        <f t="shared" si="120"/>
        <v>-</v>
      </c>
      <c r="AT154" s="9" t="str">
        <f>IF(RIGHT(TMK[[#This Row],[Device type]],7)="Winding","-",TMK[[#This Row],[Cont Winter MVA]])</f>
        <v>-</v>
      </c>
      <c r="AU154" s="9" t="str">
        <f>IF(RIGHT(TMK[[#This Row],[Device type]],7)="Winding","-",TMK[[#This Row],[Cont Shoulder MVA]])</f>
        <v>-</v>
      </c>
      <c r="AV154" s="9" t="str">
        <f>IF(RIGHT(TMK[[#This Row],[Device type]],7)="Winding","-",TMK[[#This Row],[Cont Summer MVA]])</f>
        <v>-</v>
      </c>
      <c r="AW154" s="9" t="str">
        <f>IF(RIGHT(TMK[[#This Row],[Device type]],7)="Winding","-",TMK[[#This Row],[24 Hr Winter MVA]])</f>
        <v>-</v>
      </c>
      <c r="AX154" s="9" t="str">
        <f>IF(RIGHT(TMK[[#This Row],[Device type]],7)="Winding","-",TMK[[#This Row],[24 Hr Summer MVA]])</f>
        <v>-</v>
      </c>
      <c r="AY154" s="9" t="str">
        <f>TMK[[#This Row],[Forwards MVA]]</f>
        <v>-</v>
      </c>
      <c r="AZ154" s="9" t="str">
        <f>TMK[[#This Row],[Relay MVA]]</f>
        <v>-</v>
      </c>
      <c r="BA154" s="9" t="str">
        <f>TMK[[#This Row],[CT MVA]]</f>
        <v>-</v>
      </c>
      <c r="BB154" s="9" t="str">
        <f>TMK[[#This Row],[Derating MVA]]</f>
        <v>-</v>
      </c>
      <c r="BC154" s="9" t="str">
        <f>TMK[[#This Row],[Station/Feeder]]&amp;TMK[[#This Row],[Lowest MVA]]</f>
        <v>RGA_T1</v>
      </c>
      <c r="BD154" s="9" t="str">
        <f>CONCATENATE(TMK[[#This Row],[Supply Level]],TMK[[#This Row],[Station/Feeder]],TMK[[#This Row],[Voltage]],TMK[[#This Row],[Lowest A-No PTX]])</f>
        <v>ZoneSubstationRGA_T111.22</v>
      </c>
      <c r="BE154" s="9" t="str">
        <f>CONCATENATE(TMK[[#This Row],[Supply Level]],TMK[[#This Row],[Station/Feeder]],TMK[[#This Row],[Voltage]],TMK[[#This Row],[Lowest A-PTX]])</f>
        <v>ZoneSubstationRGA_T111.22771.858648649232</v>
      </c>
      <c r="BF154" s="9" t="str">
        <f>IFERROR(IF(MIN(TMK[[#This Row],[Summ Cont Winter A]:[Cable Derating]])=0,"",MIN(TMK[[#This Row],[Summ Cont Winter A]:[Cable Derating]])),"")</f>
        <v/>
      </c>
      <c r="BG154" s="9" t="str">
        <f>IFERROR(TMK[[#This Row],[Lowest MVA]]*1000/(TMK[[#This Row],[Voltage]]*SQRT(3)),"")</f>
        <v/>
      </c>
      <c r="BH154" s="9">
        <f t="shared" si="115"/>
        <v>771.85864864923235</v>
      </c>
      <c r="BI154" s="9" t="str">
        <f>TMK[[#This Row],[From]]</f>
        <v>ABS1524</v>
      </c>
      <c r="BJ154" s="9" t="str">
        <f>TMK[[#This Row],[To]]</f>
        <v>CB35</v>
      </c>
      <c r="BK15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Transformer-D1479-T1-LV Winding</v>
      </c>
      <c r="BL154" s="9">
        <f>TMK[[#This Row],[Voltage]]</f>
        <v>11.22</v>
      </c>
    </row>
    <row r="155" spans="1:64" s="1" customFormat="1" x14ac:dyDescent="0.25">
      <c r="A155" s="6" t="str">
        <f>CONCATENATE(TMK[[#This Row],[Supply Level]],TMK[[#This Row],[Station/Feeder]],TMK[[#This Row],[Voltage]])</f>
        <v>ZoneSubstationRGA_T111.22</v>
      </c>
      <c r="B155" s="6" t="str">
        <f>CONCATENATE(TMK[[#This Row],[Supply Level]],TMK[[#This Row],[Station/Feeder]],TMK[[#This Row],[Equipment ID]],TMK[[#This Row],[Voltage]],TMK[[#This Row],[Device type]])</f>
        <v>ZoneSubstationRGA_T13-1c 630 mm² Cu XLPE11.22-</v>
      </c>
      <c r="C155" s="6" t="s">
        <v>1246</v>
      </c>
      <c r="D155" s="11" t="s">
        <v>86</v>
      </c>
      <c r="E155" s="7" t="s">
        <v>586</v>
      </c>
      <c r="F155" s="46" t="s">
        <v>587</v>
      </c>
      <c r="G155" s="56">
        <v>6</v>
      </c>
      <c r="H155" s="7" t="s">
        <v>590</v>
      </c>
      <c r="I155" s="123" t="s">
        <v>608</v>
      </c>
      <c r="J155" s="123" t="s">
        <v>250</v>
      </c>
      <c r="K155" s="46" t="s">
        <v>0</v>
      </c>
      <c r="L155" s="46" t="s">
        <v>0</v>
      </c>
      <c r="M155" s="43">
        <f t="shared" ref="M155:M170" si="122">1.02*11</f>
        <v>11.22</v>
      </c>
      <c r="N155" s="9">
        <v>810</v>
      </c>
      <c r="O155" s="9">
        <f t="shared" si="110"/>
        <v>15.74122414934747</v>
      </c>
      <c r="P155" s="9">
        <v>810</v>
      </c>
      <c r="Q155" s="9">
        <f t="shared" si="111"/>
        <v>15.74122414934747</v>
      </c>
      <c r="R155" s="9">
        <v>810</v>
      </c>
      <c r="S155" s="9">
        <f t="shared" si="112"/>
        <v>15.74122414934747</v>
      </c>
      <c r="T155" s="9" t="s">
        <v>0</v>
      </c>
      <c r="U155" s="9" t="str">
        <f t="shared" si="113"/>
        <v>-</v>
      </c>
      <c r="V155" s="9" t="s">
        <v>0</v>
      </c>
      <c r="W155" s="9" t="str">
        <f t="shared" si="114"/>
        <v>-</v>
      </c>
      <c r="X155" s="9" t="s">
        <v>0</v>
      </c>
      <c r="Y155" s="9" t="str">
        <f>IF(OR(X155="",X155="-"),"-",X155*$M155*SQRT(3)/1000)</f>
        <v>-</v>
      </c>
      <c r="Z155" s="9" t="s">
        <v>0</v>
      </c>
      <c r="AA155" s="9" t="str">
        <f>IF(OR(Z155="",Z155="-"),"-",Z155*$M155*SQRT(3)/1000)</f>
        <v>-</v>
      </c>
      <c r="AB155" s="9" t="s">
        <v>0</v>
      </c>
      <c r="AC155" s="9" t="str">
        <f>IF(OR(AB155="",AB155="-"),"-",AB155*$M155*SQRT(3)/1000)</f>
        <v>-</v>
      </c>
      <c r="AD155" s="9" t="s">
        <v>0</v>
      </c>
      <c r="AE155" s="12" t="str">
        <f>IF(OR(AD155="",AD155="-"),"-",AD155*$M155*SQRT(3)/1000)</f>
        <v>-</v>
      </c>
      <c r="AF155" s="29">
        <v>1</v>
      </c>
      <c r="AG155" s="29" t="s">
        <v>265</v>
      </c>
      <c r="AH155" s="9">
        <v>11.4</v>
      </c>
      <c r="AI155" s="29">
        <v>0.4</v>
      </c>
      <c r="AJ155" s="32">
        <v>1</v>
      </c>
      <c r="AK155" s="29">
        <v>18</v>
      </c>
      <c r="AL155" s="32">
        <v>0.98</v>
      </c>
      <c r="AM155" s="29">
        <v>1.2</v>
      </c>
      <c r="AN155" s="32">
        <v>1</v>
      </c>
      <c r="AO155" s="29">
        <v>1</v>
      </c>
      <c r="AP155" s="32">
        <v>0</v>
      </c>
      <c r="AQ155" s="32">
        <v>1</v>
      </c>
      <c r="AR155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793.8</v>
      </c>
      <c r="AS155" s="9">
        <f>IF(OR(AR155="",AR155="-"),"-",AR155*$M155*SQRT(3)/1000)</f>
        <v>15.426399666360519</v>
      </c>
      <c r="AT155" s="9">
        <f>IF(RIGHT(TMK[[#This Row],[Device type]],7)="Winding","-",TMK[[#This Row],[Cont Winter MVA]])</f>
        <v>15.74122414934747</v>
      </c>
      <c r="AU155" s="9">
        <f>IF(RIGHT(TMK[[#This Row],[Device type]],7)="Winding","-",TMK[[#This Row],[Cont Shoulder MVA]])</f>
        <v>15.74122414934747</v>
      </c>
      <c r="AV155" s="9">
        <f>IF(RIGHT(TMK[[#This Row],[Device type]],7)="Winding","-",TMK[[#This Row],[Cont Summer MVA]])</f>
        <v>15.74122414934747</v>
      </c>
      <c r="AW155" s="9" t="str">
        <f>IF(RIGHT(TMK[[#This Row],[Device type]],7)="Winding","-",TMK[[#This Row],[24 Hr Winter MVA]])</f>
        <v>-</v>
      </c>
      <c r="AX155" s="9" t="str">
        <f>IF(RIGHT(TMK[[#This Row],[Device type]],7)="Winding","-",TMK[[#This Row],[24 Hr Summer MVA]])</f>
        <v>-</v>
      </c>
      <c r="AY155" s="9" t="str">
        <f>TMK[[#This Row],[Forwards MVA]]</f>
        <v>-</v>
      </c>
      <c r="AZ155" s="9" t="str">
        <f>TMK[[#This Row],[Relay MVA]]</f>
        <v>-</v>
      </c>
      <c r="BA155" s="9" t="str">
        <f>TMK[[#This Row],[CT MVA]]</f>
        <v>-</v>
      </c>
      <c r="BB155" s="9">
        <f>TMK[[#This Row],[Derating MVA]]</f>
        <v>15.426399666360519</v>
      </c>
      <c r="BC155" s="9" t="str">
        <f>TMK[[#This Row],[Station/Feeder]]&amp;TMK[[#This Row],[Lowest MVA]]</f>
        <v>RGA_T115.4263996663605</v>
      </c>
      <c r="BD155" s="9" t="str">
        <f>CONCATENATE(TMK[[#This Row],[Supply Level]],TMK[[#This Row],[Station/Feeder]],TMK[[#This Row],[Voltage]],TMK[[#This Row],[Lowest A-No PTX]])</f>
        <v>ZoneSubstationRGA_T111.22793.8</v>
      </c>
      <c r="BE155" s="9" t="str">
        <f>CONCATENATE(TMK[[#This Row],[Supply Level]],TMK[[#This Row],[Station/Feeder]],TMK[[#This Row],[Voltage]],TMK[[#This Row],[Lowest A-PTX]])</f>
        <v>ZoneSubstationRGA_T111.22793.8</v>
      </c>
      <c r="BF155" s="9">
        <f>IFERROR(IF(MIN(TMK[[#This Row],[Summ Cont Winter A]:[Cable Derating]])=0,"",MIN(TMK[[#This Row],[Summ Cont Winter A]:[Cable Derating]])),"")</f>
        <v>15.426399666360519</v>
      </c>
      <c r="BG155" s="9">
        <f>IFERROR(TMK[[#This Row],[Lowest MVA]]*1000/(TMK[[#This Row],[Voltage]]*SQRT(3)),"")</f>
        <v>793.8</v>
      </c>
      <c r="BH155" s="9">
        <f t="shared" si="115"/>
        <v>793.8</v>
      </c>
      <c r="BI155" s="9" t="str">
        <f>TMK[[#This Row],[From]]</f>
        <v>ABS1524</v>
      </c>
      <c r="BJ155" s="9" t="str">
        <f>TMK[[#This Row],[To]]</f>
        <v>CB35</v>
      </c>
      <c r="BK15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630 mm² Cu XLPE</v>
      </c>
      <c r="BL155" s="9">
        <f>TMK[[#This Row],[Voltage]]</f>
        <v>11.22</v>
      </c>
    </row>
    <row r="156" spans="1:64" s="1" customFormat="1" x14ac:dyDescent="0.25">
      <c r="A156" s="6" t="str">
        <f>CONCATENATE(TMK[[#This Row],[Supply Level]],TMK[[#This Row],[Station/Feeder]],TMK[[#This Row],[Voltage]])</f>
        <v>ZoneSubstationRGA_T111.22</v>
      </c>
      <c r="B156" s="6" t="str">
        <f>CONCATENATE(TMK[[#This Row],[Supply Level]],TMK[[#This Row],[Station/Feeder]],TMK[[#This Row],[Equipment ID]],TMK[[#This Row],[Voltage]],TMK[[#This Row],[Device type]])</f>
        <v>ZoneSubstationRGA_T1RGA_T1-CB3511.22Protection</v>
      </c>
      <c r="C156" s="6" t="s">
        <v>1246</v>
      </c>
      <c r="D156" s="11" t="s">
        <v>86</v>
      </c>
      <c r="E156" s="7" t="s">
        <v>586</v>
      </c>
      <c r="F156" s="46" t="s">
        <v>587</v>
      </c>
      <c r="G156" s="56">
        <v>7</v>
      </c>
      <c r="H156" s="46" t="s">
        <v>343</v>
      </c>
      <c r="I156" s="123" t="s">
        <v>2575</v>
      </c>
      <c r="J156" s="123" t="s">
        <v>15</v>
      </c>
      <c r="K156" s="46" t="s">
        <v>1126</v>
      </c>
      <c r="L156" s="46" t="s">
        <v>1423</v>
      </c>
      <c r="M156" s="43">
        <f t="shared" si="122"/>
        <v>11.22</v>
      </c>
      <c r="N156" s="9">
        <v>1250</v>
      </c>
      <c r="O156" s="9">
        <f t="shared" si="110"/>
        <v>24.292012576153503</v>
      </c>
      <c r="P156" s="9">
        <v>1250</v>
      </c>
      <c r="Q156" s="9">
        <f t="shared" si="111"/>
        <v>24.292012576153503</v>
      </c>
      <c r="R156" s="9">
        <v>1250</v>
      </c>
      <c r="S156" s="9">
        <f t="shared" si="112"/>
        <v>24.292012576153503</v>
      </c>
      <c r="T156" s="9" t="s">
        <v>0</v>
      </c>
      <c r="U156" s="9" t="str">
        <f t="shared" si="113"/>
        <v>-</v>
      </c>
      <c r="V156" s="9" t="s">
        <v>0</v>
      </c>
      <c r="W156" s="9" t="str">
        <f t="shared" si="114"/>
        <v>-</v>
      </c>
      <c r="X156" s="9">
        <f>VLOOKUP(TMK[[#This Row],[Equipment ID]],AEL_Protection_Data[#All],12,0)</f>
        <v>1048</v>
      </c>
      <c r="Y156" s="9">
        <f t="shared" si="116"/>
        <v>20.366423343847099</v>
      </c>
      <c r="Z156" s="9">
        <v>1048</v>
      </c>
      <c r="AA156" s="9">
        <f t="shared" si="117"/>
        <v>20.366423343847099</v>
      </c>
      <c r="AB156" s="9" t="s">
        <v>0</v>
      </c>
      <c r="AC156" s="9" t="str">
        <f t="shared" si="118"/>
        <v>-</v>
      </c>
      <c r="AD156" s="9">
        <v>800</v>
      </c>
      <c r="AE156" s="12">
        <f t="shared" si="119"/>
        <v>15.546888048738241</v>
      </c>
      <c r="AF156" s="29" t="s">
        <v>0</v>
      </c>
      <c r="AG156" s="29" t="s">
        <v>0</v>
      </c>
      <c r="AH156" s="9" t="s">
        <v>0</v>
      </c>
      <c r="AI156" s="29" t="s">
        <v>0</v>
      </c>
      <c r="AJ156" s="32" t="s">
        <v>0</v>
      </c>
      <c r="AK156" s="29" t="s">
        <v>0</v>
      </c>
      <c r="AL156" s="32" t="s">
        <v>0</v>
      </c>
      <c r="AM156" s="29" t="s">
        <v>0</v>
      </c>
      <c r="AN156" s="32" t="s">
        <v>0</v>
      </c>
      <c r="AO156" s="29" t="s">
        <v>0</v>
      </c>
      <c r="AP156" s="32" t="s">
        <v>0</v>
      </c>
      <c r="AQ156" s="32" t="s">
        <v>0</v>
      </c>
      <c r="AR15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56" s="9" t="str">
        <f t="shared" si="120"/>
        <v>-</v>
      </c>
      <c r="AT156" s="9">
        <f>IF(RIGHT(TMK[[#This Row],[Device type]],7)="Winding","-",TMK[[#This Row],[Cont Winter MVA]])</f>
        <v>24.292012576153503</v>
      </c>
      <c r="AU156" s="9">
        <f>IF(RIGHT(TMK[[#This Row],[Device type]],7)="Winding","-",TMK[[#This Row],[Cont Shoulder MVA]])</f>
        <v>24.292012576153503</v>
      </c>
      <c r="AV156" s="9">
        <f>IF(RIGHT(TMK[[#This Row],[Device type]],7)="Winding","-",TMK[[#This Row],[Cont Summer MVA]])</f>
        <v>24.292012576153503</v>
      </c>
      <c r="AW156" s="9" t="str">
        <f>IF(RIGHT(TMK[[#This Row],[Device type]],7)="Winding","-",TMK[[#This Row],[24 Hr Winter MVA]])</f>
        <v>-</v>
      </c>
      <c r="AX156" s="9" t="str">
        <f>IF(RIGHT(TMK[[#This Row],[Device type]],7)="Winding","-",TMK[[#This Row],[24 Hr Summer MVA]])</f>
        <v>-</v>
      </c>
      <c r="AY156" s="9">
        <f>TMK[[#This Row],[Forwards MVA]]</f>
        <v>20.366423343847099</v>
      </c>
      <c r="AZ156" s="9" t="str">
        <f>TMK[[#This Row],[Relay MVA]]</f>
        <v>-</v>
      </c>
      <c r="BA156" s="9">
        <f>TMK[[#This Row],[CT MVA]]</f>
        <v>15.546888048738241</v>
      </c>
      <c r="BB156" s="9" t="str">
        <f>TMK[[#This Row],[Derating MVA]]</f>
        <v>-</v>
      </c>
      <c r="BC156" s="9" t="str">
        <f>TMK[[#This Row],[Station/Feeder]]&amp;TMK[[#This Row],[Lowest MVA]]</f>
        <v>RGA_T115.5468880487382</v>
      </c>
      <c r="BD156" s="9" t="str">
        <f>CONCATENATE(TMK[[#This Row],[Supply Level]],TMK[[#This Row],[Station/Feeder]],TMK[[#This Row],[Voltage]],TMK[[#This Row],[Lowest A-No PTX]])</f>
        <v>ZoneSubstationRGA_T111.22800</v>
      </c>
      <c r="BE156" s="9" t="str">
        <f>CONCATENATE(TMK[[#This Row],[Supply Level]],TMK[[#This Row],[Station/Feeder]],TMK[[#This Row],[Voltage]],TMK[[#This Row],[Lowest A-PTX]])</f>
        <v>ZoneSubstationRGA_T111.22800</v>
      </c>
      <c r="BF156" s="9">
        <f>IFERROR(IF(MIN(TMK[[#This Row],[Summ Cont Winter A]:[Cable Derating]])=0,"",MIN(TMK[[#This Row],[Summ Cont Winter A]:[Cable Derating]])),"")</f>
        <v>15.546888048738241</v>
      </c>
      <c r="BG156" s="9">
        <f>IFERROR(TMK[[#This Row],[Lowest MVA]]*1000/(TMK[[#This Row],[Voltage]]*SQRT(3)),"")</f>
        <v>800</v>
      </c>
      <c r="BH156" s="9">
        <f t="shared" si="115"/>
        <v>800</v>
      </c>
      <c r="BI156" s="9" t="str">
        <f>TMK[[#This Row],[From]]</f>
        <v>ABS1524</v>
      </c>
      <c r="BJ156" s="9" t="str">
        <f>TMK[[#This Row],[To]]</f>
        <v>CB35</v>
      </c>
      <c r="BK15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Breaker-RGA_T1-CB35-Protection</v>
      </c>
      <c r="BL156" s="9">
        <f>TMK[[#This Row],[Voltage]]</f>
        <v>11.22</v>
      </c>
    </row>
    <row r="157" spans="1:64" s="1" customFormat="1" x14ac:dyDescent="0.25">
      <c r="A157" s="6" t="str">
        <f>CONCATENATE(TMK[[#This Row],[Supply Level]],TMK[[#This Row],[Station/Feeder]],TMK[[#This Row],[Voltage]])</f>
        <v>DistributionFeederCB2_Arundel11.22</v>
      </c>
      <c r="B157" s="6" t="str">
        <f>CONCATENATE(TMK[[#This Row],[Supply Level]],TMK[[#This Row],[Station/Feeder]],TMK[[#This Row],[Equipment ID]],TMK[[#This Row],[Voltage]],TMK[[#This Row],[Device type]])</f>
        <v>DistributionFeederCB2_ArundelRGA_T1-CB211.22Protection</v>
      </c>
      <c r="C157" s="6" t="s">
        <v>1276</v>
      </c>
      <c r="D157" s="11" t="s">
        <v>98</v>
      </c>
      <c r="E157" s="46" t="s">
        <v>507</v>
      </c>
      <c r="F157" s="123" t="s">
        <v>594</v>
      </c>
      <c r="G157" s="57">
        <v>1</v>
      </c>
      <c r="H157" s="46" t="s">
        <v>343</v>
      </c>
      <c r="I157" s="123" t="s">
        <v>2576</v>
      </c>
      <c r="J157" s="123" t="s">
        <v>15</v>
      </c>
      <c r="K157" s="46" t="s">
        <v>1127</v>
      </c>
      <c r="L157" s="46" t="s">
        <v>1423</v>
      </c>
      <c r="M157" s="43">
        <f t="shared" si="122"/>
        <v>11.22</v>
      </c>
      <c r="N157" s="9">
        <v>630</v>
      </c>
      <c r="O157" s="9">
        <f t="shared" si="110"/>
        <v>12.243174338381367</v>
      </c>
      <c r="P157" s="9">
        <v>630</v>
      </c>
      <c r="Q157" s="9">
        <f t="shared" si="111"/>
        <v>12.243174338381367</v>
      </c>
      <c r="R157" s="9">
        <v>630</v>
      </c>
      <c r="S157" s="9">
        <f t="shared" si="112"/>
        <v>12.243174338381367</v>
      </c>
      <c r="T157" s="9" t="s">
        <v>0</v>
      </c>
      <c r="U157" s="9" t="str">
        <f t="shared" si="113"/>
        <v>-</v>
      </c>
      <c r="V157" s="9" t="s">
        <v>0</v>
      </c>
      <c r="W157" s="9" t="str">
        <f t="shared" si="114"/>
        <v>-</v>
      </c>
      <c r="X157" s="9">
        <f>VLOOKUP(TMK[[#This Row],[Equipment ID]],AEL_Protection_Data[#All],12,0)</f>
        <v>300</v>
      </c>
      <c r="Y157" s="9">
        <f t="shared" si="116"/>
        <v>5.8300830182768406</v>
      </c>
      <c r="Z157" s="9">
        <v>300</v>
      </c>
      <c r="AA157" s="9">
        <f t="shared" si="117"/>
        <v>5.8300830182768406</v>
      </c>
      <c r="AB157" s="9" t="s">
        <v>0</v>
      </c>
      <c r="AC157" s="9" t="str">
        <f t="shared" si="118"/>
        <v>-</v>
      </c>
      <c r="AD157" s="9">
        <v>400</v>
      </c>
      <c r="AE157" s="12">
        <f t="shared" si="119"/>
        <v>7.7734440243691205</v>
      </c>
      <c r="AF157" s="29" t="s">
        <v>0</v>
      </c>
      <c r="AG157" s="29" t="s">
        <v>0</v>
      </c>
      <c r="AH157" s="9" t="s">
        <v>0</v>
      </c>
      <c r="AI157" s="29" t="s">
        <v>0</v>
      </c>
      <c r="AJ157" s="32" t="s">
        <v>0</v>
      </c>
      <c r="AK157" s="29" t="s">
        <v>0</v>
      </c>
      <c r="AL157" s="32" t="s">
        <v>0</v>
      </c>
      <c r="AM157" s="29" t="s">
        <v>0</v>
      </c>
      <c r="AN157" s="32" t="s">
        <v>0</v>
      </c>
      <c r="AO157" s="29" t="s">
        <v>0</v>
      </c>
      <c r="AP157" s="32" t="s">
        <v>0</v>
      </c>
      <c r="AQ157" s="32" t="s">
        <v>0</v>
      </c>
      <c r="AR157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57" s="9" t="str">
        <f t="shared" si="120"/>
        <v>-</v>
      </c>
      <c r="AT157" s="9">
        <f>IF(RIGHT(TMK[[#This Row],[Device type]],7)="Winding","-",TMK[[#This Row],[Cont Winter MVA]])</f>
        <v>12.243174338381367</v>
      </c>
      <c r="AU157" s="9">
        <f>IF(RIGHT(TMK[[#This Row],[Device type]],7)="Winding","-",TMK[[#This Row],[Cont Shoulder MVA]])</f>
        <v>12.243174338381367</v>
      </c>
      <c r="AV157" s="9">
        <f>IF(RIGHT(TMK[[#This Row],[Device type]],7)="Winding","-",TMK[[#This Row],[Cont Summer MVA]])</f>
        <v>12.243174338381367</v>
      </c>
      <c r="AW157" s="9" t="str">
        <f>IF(RIGHT(TMK[[#This Row],[Device type]],7)="Winding","-",TMK[[#This Row],[24 Hr Winter MVA]])</f>
        <v>-</v>
      </c>
      <c r="AX157" s="9" t="str">
        <f>IF(RIGHT(TMK[[#This Row],[Device type]],7)="Winding","-",TMK[[#This Row],[24 Hr Summer MVA]])</f>
        <v>-</v>
      </c>
      <c r="AY157" s="9">
        <f>TMK[[#This Row],[Forwards MVA]]</f>
        <v>5.8300830182768406</v>
      </c>
      <c r="AZ157" s="9" t="str">
        <f>TMK[[#This Row],[Relay MVA]]</f>
        <v>-</v>
      </c>
      <c r="BA157" s="9">
        <f>TMK[[#This Row],[CT MVA]]</f>
        <v>7.7734440243691205</v>
      </c>
      <c r="BB157" s="9" t="str">
        <f>TMK[[#This Row],[Derating MVA]]</f>
        <v>-</v>
      </c>
      <c r="BC157" s="9" t="str">
        <f>TMK[[#This Row],[Station/Feeder]]&amp;TMK[[#This Row],[Lowest MVA]]</f>
        <v>CB2_Arundel5.83008301827684</v>
      </c>
      <c r="BD157" s="9" t="str">
        <f>CONCATENATE(TMK[[#This Row],[Supply Level]],TMK[[#This Row],[Station/Feeder]],TMK[[#This Row],[Voltage]],TMK[[#This Row],[Lowest A-No PTX]])</f>
        <v>DistributionFeederCB2_Arundel11.22300</v>
      </c>
      <c r="BE157" s="9" t="str">
        <f>CONCATENATE(TMK[[#This Row],[Supply Level]],TMK[[#This Row],[Station/Feeder]],TMK[[#This Row],[Voltage]],TMK[[#This Row],[Lowest A-PTX]])</f>
        <v>DistributionFeederCB2_Arundel11.22300</v>
      </c>
      <c r="BF157" s="9">
        <f>IFERROR(IF(MIN(TMK[[#This Row],[Summ Cont Winter A]:[Cable Derating]])=0,"",MIN(TMK[[#This Row],[Summ Cont Winter A]:[Cable Derating]])),"")</f>
        <v>5.8300830182768406</v>
      </c>
      <c r="BG157" s="9">
        <f>IFERROR(TMK[[#This Row],[Lowest MVA]]*1000/(TMK[[#This Row],[Voltage]]*SQRT(3)),"")</f>
        <v>300</v>
      </c>
      <c r="BH157" s="9">
        <f t="shared" si="115"/>
        <v>300</v>
      </c>
      <c r="BI157" s="9" t="str">
        <f>TMK[[#This Row],[From]]</f>
        <v>CB2</v>
      </c>
      <c r="BJ157" s="9" t="str">
        <f>TMK[[#This Row],[To]]</f>
        <v>T595</v>
      </c>
      <c r="BK15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Breaker-RGA_T1-CB2-Protection</v>
      </c>
      <c r="BL157" s="9">
        <f>TMK[[#This Row],[Voltage]]</f>
        <v>11.22</v>
      </c>
    </row>
    <row r="158" spans="1:64" s="1" customFormat="1" x14ac:dyDescent="0.25">
      <c r="A158" s="6" t="str">
        <f>CONCATENATE(TMK[[#This Row],[Supply Level]],TMK[[#This Row],[Station/Feeder]],TMK[[#This Row],[Voltage]])</f>
        <v>DistributionFeederCB2_Arundel11.22</v>
      </c>
      <c r="B158" s="6" t="str">
        <f>CONCATENATE(TMK[[#This Row],[Supply Level]],TMK[[#This Row],[Station/Feeder]],TMK[[#This Row],[Equipment ID]],TMK[[#This Row],[Voltage]],TMK[[#This Row],[Device type]])</f>
        <v>DistributionFeederCB2_Arundel1-3c 185 mm² XLPE11.22-</v>
      </c>
      <c r="C158" s="6" t="s">
        <v>1276</v>
      </c>
      <c r="D158" s="11" t="s">
        <v>98</v>
      </c>
      <c r="E158" s="46" t="s">
        <v>507</v>
      </c>
      <c r="F158" s="123" t="s">
        <v>594</v>
      </c>
      <c r="G158" s="57">
        <v>2</v>
      </c>
      <c r="H158" s="7" t="s">
        <v>590</v>
      </c>
      <c r="I158" s="123" t="s">
        <v>593</v>
      </c>
      <c r="J158" s="123" t="s">
        <v>250</v>
      </c>
      <c r="K158" s="46" t="s">
        <v>0</v>
      </c>
      <c r="L158" s="46" t="s">
        <v>0</v>
      </c>
      <c r="M158" s="43">
        <f t="shared" si="122"/>
        <v>11.22</v>
      </c>
      <c r="N158" s="9">
        <v>367</v>
      </c>
      <c r="O158" s="9">
        <f t="shared" si="110"/>
        <v>7.1321348923586685</v>
      </c>
      <c r="P158" s="9">
        <v>367</v>
      </c>
      <c r="Q158" s="9">
        <f t="shared" si="111"/>
        <v>7.1321348923586685</v>
      </c>
      <c r="R158" s="9">
        <v>367</v>
      </c>
      <c r="S158" s="9">
        <f t="shared" si="112"/>
        <v>7.1321348923586685</v>
      </c>
      <c r="T158" s="9" t="s">
        <v>0</v>
      </c>
      <c r="U158" s="9" t="str">
        <f t="shared" si="113"/>
        <v>-</v>
      </c>
      <c r="V158" s="9" t="s">
        <v>0</v>
      </c>
      <c r="W158" s="9" t="str">
        <f t="shared" si="114"/>
        <v>-</v>
      </c>
      <c r="X158" s="9" t="s">
        <v>0</v>
      </c>
      <c r="Y158" s="9" t="str">
        <f t="shared" si="116"/>
        <v>-</v>
      </c>
      <c r="Z158" s="9" t="s">
        <v>0</v>
      </c>
      <c r="AA158" s="9" t="str">
        <f t="shared" si="117"/>
        <v>-</v>
      </c>
      <c r="AB158" s="9" t="s">
        <v>0</v>
      </c>
      <c r="AC158" s="9" t="str">
        <f t="shared" si="118"/>
        <v>-</v>
      </c>
      <c r="AD158" s="9" t="s">
        <v>0</v>
      </c>
      <c r="AE158" s="12" t="str">
        <f t="shared" si="119"/>
        <v>-</v>
      </c>
      <c r="AF158" s="29">
        <v>3</v>
      </c>
      <c r="AG158" s="29" t="s">
        <v>265</v>
      </c>
      <c r="AH158" s="9">
        <v>137.9</v>
      </c>
      <c r="AI158" s="29">
        <v>0.9</v>
      </c>
      <c r="AJ158" s="32">
        <v>0.99</v>
      </c>
      <c r="AK158" s="29">
        <v>18</v>
      </c>
      <c r="AL158" s="32">
        <v>0.98</v>
      </c>
      <c r="AM158" s="29">
        <v>1.5</v>
      </c>
      <c r="AN158" s="32">
        <v>0.95</v>
      </c>
      <c r="AO158" s="29">
        <v>4</v>
      </c>
      <c r="AP158" s="32">
        <v>0.45</v>
      </c>
      <c r="AQ158" s="32">
        <v>0.8</v>
      </c>
      <c r="AR158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270.60818399999999</v>
      </c>
      <c r="AS158" s="9">
        <f t="shared" si="120"/>
        <v>5.2588939271504485</v>
      </c>
      <c r="AT158" s="9">
        <f>IF(RIGHT(TMK[[#This Row],[Device type]],7)="Winding","-",TMK[[#This Row],[Cont Winter MVA]])</f>
        <v>7.1321348923586685</v>
      </c>
      <c r="AU158" s="9">
        <f>IF(RIGHT(TMK[[#This Row],[Device type]],7)="Winding","-",TMK[[#This Row],[Cont Shoulder MVA]])</f>
        <v>7.1321348923586685</v>
      </c>
      <c r="AV158" s="9">
        <f>IF(RIGHT(TMK[[#This Row],[Device type]],7)="Winding","-",TMK[[#This Row],[Cont Summer MVA]])</f>
        <v>7.1321348923586685</v>
      </c>
      <c r="AW158" s="9" t="str">
        <f>IF(RIGHT(TMK[[#This Row],[Device type]],7)="Winding","-",TMK[[#This Row],[24 Hr Winter MVA]])</f>
        <v>-</v>
      </c>
      <c r="AX158" s="9" t="str">
        <f>IF(RIGHT(TMK[[#This Row],[Device type]],7)="Winding","-",TMK[[#This Row],[24 Hr Summer MVA]])</f>
        <v>-</v>
      </c>
      <c r="AY158" s="9" t="str">
        <f>TMK[[#This Row],[Forwards MVA]]</f>
        <v>-</v>
      </c>
      <c r="AZ158" s="9" t="str">
        <f>TMK[[#This Row],[Relay MVA]]</f>
        <v>-</v>
      </c>
      <c r="BA158" s="9" t="str">
        <f>TMK[[#This Row],[CT MVA]]</f>
        <v>-</v>
      </c>
      <c r="BB158" s="9">
        <f>TMK[[#This Row],[Derating MVA]]</f>
        <v>5.2588939271504485</v>
      </c>
      <c r="BC158" s="9" t="str">
        <f>TMK[[#This Row],[Station/Feeder]]&amp;TMK[[#This Row],[Lowest MVA]]</f>
        <v>CB2_Arundel5.25889392715045</v>
      </c>
      <c r="BD158" s="9" t="str">
        <f>CONCATENATE(TMK[[#This Row],[Supply Level]],TMK[[#This Row],[Station/Feeder]],TMK[[#This Row],[Voltage]],TMK[[#This Row],[Lowest A-No PTX]])</f>
        <v>DistributionFeederCB2_Arundel11.22270.608184</v>
      </c>
      <c r="BE158" s="9" t="str">
        <f>CONCATENATE(TMK[[#This Row],[Supply Level]],TMK[[#This Row],[Station/Feeder]],TMK[[#This Row],[Voltage]],TMK[[#This Row],[Lowest A-PTX]])</f>
        <v>DistributionFeederCB2_Arundel11.22270.608184</v>
      </c>
      <c r="BF158" s="9">
        <f>IFERROR(IF(MIN(TMK[[#This Row],[Summ Cont Winter A]:[Cable Derating]])=0,"",MIN(TMK[[#This Row],[Summ Cont Winter A]:[Cable Derating]])),"")</f>
        <v>5.2588939271504485</v>
      </c>
      <c r="BG158" s="9">
        <f>IFERROR(TMK[[#This Row],[Lowest MVA]]*1000/(TMK[[#This Row],[Voltage]]*SQRT(3)),"")</f>
        <v>270.60818399999999</v>
      </c>
      <c r="BH158" s="9">
        <f t="shared" si="115"/>
        <v>270.60818399999999</v>
      </c>
      <c r="BI158" s="9" t="str">
        <f>TMK[[#This Row],[From]]</f>
        <v>CB2</v>
      </c>
      <c r="BJ158" s="9" t="str">
        <f>TMK[[#This Row],[To]]</f>
        <v>T595</v>
      </c>
      <c r="BK15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185 mm² XLPE</v>
      </c>
      <c r="BL158" s="9">
        <f>TMK[[#This Row],[Voltage]]</f>
        <v>11.22</v>
      </c>
    </row>
    <row r="159" spans="1:64" s="1" customFormat="1" x14ac:dyDescent="0.25">
      <c r="A159" s="6" t="str">
        <f>CONCATENATE(TMK[[#This Row],[Supply Level]],TMK[[#This Row],[Station/Feeder]],TMK[[#This Row],[Voltage]])</f>
        <v>DistributionFeederCB2_Arundel11.22</v>
      </c>
      <c r="B159" s="6" t="str">
        <f>CONCATENATE(TMK[[#This Row],[Supply Level]],TMK[[#This Row],[Station/Feeder]],TMK[[#This Row],[Equipment ID]],TMK[[#This Row],[Voltage]],TMK[[#This Row],[Device type]])</f>
        <v>DistributionFeederCB2_ArundelT59511.22-</v>
      </c>
      <c r="C159" s="6" t="s">
        <v>1276</v>
      </c>
      <c r="D159" s="11" t="s">
        <v>98</v>
      </c>
      <c r="E159" s="46" t="s">
        <v>507</v>
      </c>
      <c r="F159" s="123" t="s">
        <v>594</v>
      </c>
      <c r="G159" s="57">
        <v>3</v>
      </c>
      <c r="H159" s="46" t="s">
        <v>273</v>
      </c>
      <c r="I159" s="123" t="s">
        <v>594</v>
      </c>
      <c r="J159" s="123" t="s">
        <v>249</v>
      </c>
      <c r="K159" s="46" t="s">
        <v>0</v>
      </c>
      <c r="L159" s="46" t="s">
        <v>0</v>
      </c>
      <c r="M159" s="43">
        <f t="shared" si="122"/>
        <v>11.22</v>
      </c>
      <c r="N159" s="9">
        <v>300</v>
      </c>
      <c r="O159" s="9">
        <f t="shared" si="110"/>
        <v>5.8300830182768406</v>
      </c>
      <c r="P159" s="9">
        <v>300</v>
      </c>
      <c r="Q159" s="9">
        <f t="shared" si="111"/>
        <v>5.8300830182768406</v>
      </c>
      <c r="R159" s="9">
        <v>300</v>
      </c>
      <c r="S159" s="9">
        <f t="shared" si="112"/>
        <v>5.8300830182768406</v>
      </c>
      <c r="T159" s="9" t="s">
        <v>0</v>
      </c>
      <c r="U159" s="9" t="str">
        <f t="shared" si="113"/>
        <v>-</v>
      </c>
      <c r="V159" s="9" t="s">
        <v>0</v>
      </c>
      <c r="W159" s="9" t="str">
        <f t="shared" si="114"/>
        <v>-</v>
      </c>
      <c r="X159" s="9" t="s">
        <v>0</v>
      </c>
      <c r="Y159" s="9" t="str">
        <f t="shared" si="116"/>
        <v>-</v>
      </c>
      <c r="Z159" s="9" t="s">
        <v>0</v>
      </c>
      <c r="AA159" s="9" t="str">
        <f t="shared" si="117"/>
        <v>-</v>
      </c>
      <c r="AB159" s="9" t="s">
        <v>0</v>
      </c>
      <c r="AC159" s="9" t="str">
        <f t="shared" si="118"/>
        <v>-</v>
      </c>
      <c r="AD159" s="9" t="s">
        <v>0</v>
      </c>
      <c r="AE159" s="12" t="str">
        <f t="shared" si="119"/>
        <v>-</v>
      </c>
      <c r="AF159" s="29" t="s">
        <v>0</v>
      </c>
      <c r="AG159" s="29" t="s">
        <v>0</v>
      </c>
      <c r="AH159" s="9" t="s">
        <v>0</v>
      </c>
      <c r="AI159" s="29" t="s">
        <v>0</v>
      </c>
      <c r="AJ159" s="32" t="s">
        <v>0</v>
      </c>
      <c r="AK159" s="29" t="s">
        <v>0</v>
      </c>
      <c r="AL159" s="32" t="s">
        <v>0</v>
      </c>
      <c r="AM159" s="29" t="s">
        <v>0</v>
      </c>
      <c r="AN159" s="32" t="s">
        <v>0</v>
      </c>
      <c r="AO159" s="29" t="s">
        <v>0</v>
      </c>
      <c r="AP159" s="32" t="s">
        <v>0</v>
      </c>
      <c r="AQ159" s="32" t="s">
        <v>0</v>
      </c>
      <c r="AR15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59" s="9" t="str">
        <f t="shared" si="120"/>
        <v>-</v>
      </c>
      <c r="AT159" s="9">
        <f>IF(RIGHT(TMK[[#This Row],[Device type]],7)="Winding","-",TMK[[#This Row],[Cont Winter MVA]])</f>
        <v>5.8300830182768406</v>
      </c>
      <c r="AU159" s="9">
        <f>IF(RIGHT(TMK[[#This Row],[Device type]],7)="Winding","-",TMK[[#This Row],[Cont Shoulder MVA]])</f>
        <v>5.8300830182768406</v>
      </c>
      <c r="AV159" s="9">
        <f>IF(RIGHT(TMK[[#This Row],[Device type]],7)="Winding","-",TMK[[#This Row],[Cont Summer MVA]])</f>
        <v>5.8300830182768406</v>
      </c>
      <c r="AW159" s="9" t="str">
        <f>IF(RIGHT(TMK[[#This Row],[Device type]],7)="Winding","-",TMK[[#This Row],[24 Hr Winter MVA]])</f>
        <v>-</v>
      </c>
      <c r="AX159" s="9" t="str">
        <f>IF(RIGHT(TMK[[#This Row],[Device type]],7)="Winding","-",TMK[[#This Row],[24 Hr Summer MVA]])</f>
        <v>-</v>
      </c>
      <c r="AY159" s="9" t="str">
        <f>TMK[[#This Row],[Forwards MVA]]</f>
        <v>-</v>
      </c>
      <c r="AZ159" s="9" t="str">
        <f>TMK[[#This Row],[Relay MVA]]</f>
        <v>-</v>
      </c>
      <c r="BA159" s="9" t="str">
        <f>TMK[[#This Row],[CT MVA]]</f>
        <v>-</v>
      </c>
      <c r="BB159" s="9" t="str">
        <f>TMK[[#This Row],[Derating MVA]]</f>
        <v>-</v>
      </c>
      <c r="BC159" s="9" t="str">
        <f>TMK[[#This Row],[Station/Feeder]]&amp;TMK[[#This Row],[Lowest MVA]]</f>
        <v>CB2_Arundel5.83008301827684</v>
      </c>
      <c r="BD159" s="9" t="str">
        <f>CONCATENATE(TMK[[#This Row],[Supply Level]],TMK[[#This Row],[Station/Feeder]],TMK[[#This Row],[Voltage]],TMK[[#This Row],[Lowest A-No PTX]])</f>
        <v>DistributionFeederCB2_Arundel11.22300</v>
      </c>
      <c r="BE159" s="9" t="str">
        <f>CONCATENATE(TMK[[#This Row],[Supply Level]],TMK[[#This Row],[Station/Feeder]],TMK[[#This Row],[Voltage]],TMK[[#This Row],[Lowest A-PTX]])</f>
        <v>DistributionFeederCB2_Arundel11.22300</v>
      </c>
      <c r="BF159" s="9">
        <f>IFERROR(IF(MIN(TMK[[#This Row],[Summ Cont Winter A]:[Cable Derating]])=0,"",MIN(TMK[[#This Row],[Summ Cont Winter A]:[Cable Derating]])),"")</f>
        <v>5.8300830182768406</v>
      </c>
      <c r="BG159" s="9">
        <f>IFERROR(TMK[[#This Row],[Lowest MVA]]*1000/(TMK[[#This Row],[Voltage]]*SQRT(3)),"")</f>
        <v>300</v>
      </c>
      <c r="BH159" s="9">
        <f t="shared" si="115"/>
        <v>300</v>
      </c>
      <c r="BI159" s="9" t="str">
        <f>TMK[[#This Row],[From]]</f>
        <v>CB2</v>
      </c>
      <c r="BJ159" s="9" t="str">
        <f>TMK[[#This Row],[To]]</f>
        <v>T595</v>
      </c>
      <c r="BK15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Link-T595</v>
      </c>
      <c r="BL159" s="9">
        <f>TMK[[#This Row],[Voltage]]</f>
        <v>11.22</v>
      </c>
    </row>
    <row r="160" spans="1:64" s="1" customFormat="1" x14ac:dyDescent="0.25">
      <c r="A160" s="6" t="str">
        <f>CONCATENATE(TMK[[#This Row],[Supply Level]],TMK[[#This Row],[Station/Feeder]],TMK[[#This Row],[Voltage]])</f>
        <v>DistributionFeederCB2_Arundel11.22</v>
      </c>
      <c r="B160" s="6" t="str">
        <f>CONCATENATE(TMK[[#This Row],[Supply Level]],TMK[[#This Row],[Station/Feeder]],TMK[[#This Row],[Equipment ID]],TMK[[#This Row],[Voltage]],TMK[[#This Row],[Device type]])</f>
        <v>DistributionFeederCB2_ArundelDOG11.22-</v>
      </c>
      <c r="C160" s="6" t="s">
        <v>1276</v>
      </c>
      <c r="D160" s="11" t="s">
        <v>98</v>
      </c>
      <c r="E160" s="123" t="s">
        <v>594</v>
      </c>
      <c r="F160" s="46" t="s">
        <v>591</v>
      </c>
      <c r="G160" s="57">
        <v>4</v>
      </c>
      <c r="H160" s="7" t="s">
        <v>1289</v>
      </c>
      <c r="I160" s="123" t="s">
        <v>318</v>
      </c>
      <c r="J160" s="123" t="s">
        <v>69</v>
      </c>
      <c r="K160" s="46" t="s">
        <v>0</v>
      </c>
      <c r="L160" s="46" t="s">
        <v>0</v>
      </c>
      <c r="M160" s="43">
        <f t="shared" si="122"/>
        <v>11.22</v>
      </c>
      <c r="N160" s="9">
        <v>343.69342642524197</v>
      </c>
      <c r="O160" s="9">
        <f t="shared" si="110"/>
        <v>6.679204029650613</v>
      </c>
      <c r="P160" s="9" t="s">
        <v>0</v>
      </c>
      <c r="Q160" s="9" t="str">
        <f t="shared" si="111"/>
        <v>-</v>
      </c>
      <c r="R160" s="9">
        <v>256.85852310343915</v>
      </c>
      <c r="S160" s="9">
        <f t="shared" si="112"/>
        <v>4.9916883788167672</v>
      </c>
      <c r="T160" s="9" t="s">
        <v>0</v>
      </c>
      <c r="U160" s="9" t="str">
        <f t="shared" si="113"/>
        <v>-</v>
      </c>
      <c r="V160" s="9" t="s">
        <v>0</v>
      </c>
      <c r="W160" s="9" t="str">
        <f t="shared" si="114"/>
        <v>-</v>
      </c>
      <c r="X160" s="9" t="s">
        <v>0</v>
      </c>
      <c r="Y160" s="9" t="str">
        <f t="shared" si="116"/>
        <v>-</v>
      </c>
      <c r="Z160" s="9" t="s">
        <v>0</v>
      </c>
      <c r="AA160" s="9" t="str">
        <f t="shared" si="117"/>
        <v>-</v>
      </c>
      <c r="AB160" s="9" t="s">
        <v>0</v>
      </c>
      <c r="AC160" s="9" t="str">
        <f t="shared" si="118"/>
        <v>-</v>
      </c>
      <c r="AD160" s="9" t="s">
        <v>0</v>
      </c>
      <c r="AE160" s="12" t="str">
        <f t="shared" si="119"/>
        <v>-</v>
      </c>
      <c r="AF160" s="9" t="s">
        <v>0</v>
      </c>
      <c r="AG160" s="9" t="s">
        <v>0</v>
      </c>
      <c r="AH160" s="9">
        <v>1137.3</v>
      </c>
      <c r="AI160" s="9" t="s">
        <v>0</v>
      </c>
      <c r="AJ160" s="43" t="s">
        <v>0</v>
      </c>
      <c r="AK160" s="9" t="s">
        <v>0</v>
      </c>
      <c r="AL160" s="43" t="s">
        <v>0</v>
      </c>
      <c r="AM160" s="9" t="s">
        <v>0</v>
      </c>
      <c r="AN160" s="43" t="s">
        <v>0</v>
      </c>
      <c r="AO160" s="9" t="s">
        <v>0</v>
      </c>
      <c r="AP160" s="9" t="s">
        <v>0</v>
      </c>
      <c r="AQ160" s="43" t="s">
        <v>0</v>
      </c>
      <c r="AR160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60" s="9" t="str">
        <f t="shared" si="120"/>
        <v>-</v>
      </c>
      <c r="AT160" s="9">
        <f>IF(RIGHT(TMK[[#This Row],[Device type]],7)="Winding","-",TMK[[#This Row],[Cont Winter MVA]])</f>
        <v>6.679204029650613</v>
      </c>
      <c r="AU160" s="9" t="str">
        <f>IF(RIGHT(TMK[[#This Row],[Device type]],7)="Winding","-",TMK[[#This Row],[Cont Shoulder MVA]])</f>
        <v>-</v>
      </c>
      <c r="AV160" s="9">
        <f>IF(RIGHT(TMK[[#This Row],[Device type]],7)="Winding","-",TMK[[#This Row],[Cont Summer MVA]])</f>
        <v>4.9916883788167672</v>
      </c>
      <c r="AW160" s="9" t="str">
        <f>IF(RIGHT(TMK[[#This Row],[Device type]],7)="Winding","-",TMK[[#This Row],[24 Hr Winter MVA]])</f>
        <v>-</v>
      </c>
      <c r="AX160" s="9" t="str">
        <f>IF(RIGHT(TMK[[#This Row],[Device type]],7)="Winding","-",TMK[[#This Row],[24 Hr Summer MVA]])</f>
        <v>-</v>
      </c>
      <c r="AY160" s="9" t="str">
        <f>TMK[[#This Row],[Forwards MVA]]</f>
        <v>-</v>
      </c>
      <c r="AZ160" s="9" t="str">
        <f>TMK[[#This Row],[Relay MVA]]</f>
        <v>-</v>
      </c>
      <c r="BA160" s="9" t="str">
        <f>TMK[[#This Row],[CT MVA]]</f>
        <v>-</v>
      </c>
      <c r="BB160" s="9" t="str">
        <f>TMK[[#This Row],[Derating MVA]]</f>
        <v>-</v>
      </c>
      <c r="BC160" s="9" t="str">
        <f>TMK[[#This Row],[Station/Feeder]]&amp;TMK[[#This Row],[Lowest MVA]]</f>
        <v>CB2_Arundel4.99168837881677</v>
      </c>
      <c r="BD160" s="9" t="str">
        <f>CONCATENATE(TMK[[#This Row],[Supply Level]],TMK[[#This Row],[Station/Feeder]],TMK[[#This Row],[Voltage]],TMK[[#This Row],[Lowest A-No PTX]])</f>
        <v>DistributionFeederCB2_Arundel11.22256.858523103439</v>
      </c>
      <c r="BE160" s="9" t="str">
        <f>CONCATENATE(TMK[[#This Row],[Supply Level]],TMK[[#This Row],[Station/Feeder]],TMK[[#This Row],[Voltage]],TMK[[#This Row],[Lowest A-PTX]])</f>
        <v>DistributionFeederCB2_Arundel11.22256.858523103439</v>
      </c>
      <c r="BF160" s="9">
        <f>IFERROR(IF(MIN(TMK[[#This Row],[Summ Cont Winter A]:[Cable Derating]])=0,"",MIN(TMK[[#This Row],[Summ Cont Winter A]:[Cable Derating]])),"")</f>
        <v>4.9916883788167672</v>
      </c>
      <c r="BG160" s="9">
        <f>IFERROR(TMK[[#This Row],[Lowest MVA]]*1000/(TMK[[#This Row],[Voltage]]*SQRT(3)),"")</f>
        <v>256.85852310343915</v>
      </c>
      <c r="BH160" s="9">
        <f t="shared" si="115"/>
        <v>256.85852310343915</v>
      </c>
      <c r="BI160" s="9" t="str">
        <f>TMK[[#This Row],[From]]</f>
        <v>T595</v>
      </c>
      <c r="BJ160" s="9" t="str">
        <f>TMK[[#This Row],[To]]</f>
        <v>Pole 05969</v>
      </c>
      <c r="BK16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160" s="9">
        <f>TMK[[#This Row],[Voltage]]</f>
        <v>11.22</v>
      </c>
    </row>
    <row r="161" spans="1:64" s="1" customFormat="1" x14ac:dyDescent="0.25">
      <c r="A161" s="6" t="str">
        <f>CONCATENATE(TMK[[#This Row],[Supply Level]],TMK[[#This Row],[Station/Feeder]],TMK[[#This Row],[Voltage]])</f>
        <v>DistributionFeederCB3_Mahan Road11.22</v>
      </c>
      <c r="B161" s="6" t="str">
        <f>CONCATENATE(TMK[[#This Row],[Supply Level]],TMK[[#This Row],[Station/Feeder]],TMK[[#This Row],[Equipment ID]],TMK[[#This Row],[Voltage]],TMK[[#This Row],[Device type]])</f>
        <v>DistributionFeederCB3_Mahan RoadRGA_T1-CB311.22Protection</v>
      </c>
      <c r="C161" s="6" t="s">
        <v>1276</v>
      </c>
      <c r="D161" s="11" t="s">
        <v>110</v>
      </c>
      <c r="E161" s="46" t="s">
        <v>511</v>
      </c>
      <c r="F161" s="123" t="s">
        <v>596</v>
      </c>
      <c r="G161" s="57">
        <v>1</v>
      </c>
      <c r="H161" s="46" t="s">
        <v>343</v>
      </c>
      <c r="I161" s="123" t="s">
        <v>2577</v>
      </c>
      <c r="J161" s="123" t="s">
        <v>15</v>
      </c>
      <c r="K161" s="46" t="s">
        <v>1127</v>
      </c>
      <c r="L161" s="46" t="s">
        <v>1423</v>
      </c>
      <c r="M161" s="43">
        <f t="shared" si="122"/>
        <v>11.22</v>
      </c>
      <c r="N161" s="9">
        <v>630</v>
      </c>
      <c r="O161" s="9">
        <f t="shared" si="110"/>
        <v>12.243174338381367</v>
      </c>
      <c r="P161" s="9">
        <v>630</v>
      </c>
      <c r="Q161" s="9">
        <f t="shared" si="111"/>
        <v>12.243174338381367</v>
      </c>
      <c r="R161" s="9">
        <v>630</v>
      </c>
      <c r="S161" s="9">
        <f t="shared" si="112"/>
        <v>12.243174338381367</v>
      </c>
      <c r="T161" s="9" t="s">
        <v>0</v>
      </c>
      <c r="U161" s="9" t="str">
        <f t="shared" si="113"/>
        <v>-</v>
      </c>
      <c r="V161" s="9" t="s">
        <v>0</v>
      </c>
      <c r="W161" s="9" t="str">
        <f t="shared" si="114"/>
        <v>-</v>
      </c>
      <c r="X161" s="9">
        <f>VLOOKUP(TMK[[#This Row],[Equipment ID]],AEL_Protection_Data[#All],12,0)</f>
        <v>300</v>
      </c>
      <c r="Y161" s="9">
        <f t="shared" si="116"/>
        <v>5.8300830182768406</v>
      </c>
      <c r="Z161" s="9">
        <v>300</v>
      </c>
      <c r="AA161" s="9">
        <f t="shared" si="117"/>
        <v>5.8300830182768406</v>
      </c>
      <c r="AB161" s="9" t="s">
        <v>0</v>
      </c>
      <c r="AC161" s="9" t="str">
        <f t="shared" si="118"/>
        <v>-</v>
      </c>
      <c r="AD161" s="9">
        <v>400</v>
      </c>
      <c r="AE161" s="12">
        <f t="shared" si="119"/>
        <v>7.7734440243691205</v>
      </c>
      <c r="AF161" s="29" t="s">
        <v>0</v>
      </c>
      <c r="AG161" s="29" t="s">
        <v>0</v>
      </c>
      <c r="AH161" s="9" t="s">
        <v>0</v>
      </c>
      <c r="AI161" s="29" t="s">
        <v>0</v>
      </c>
      <c r="AJ161" s="32" t="s">
        <v>0</v>
      </c>
      <c r="AK161" s="29" t="s">
        <v>0</v>
      </c>
      <c r="AL161" s="32" t="s">
        <v>0</v>
      </c>
      <c r="AM161" s="29" t="s">
        <v>0</v>
      </c>
      <c r="AN161" s="32" t="s">
        <v>0</v>
      </c>
      <c r="AO161" s="29" t="s">
        <v>0</v>
      </c>
      <c r="AP161" s="32" t="s">
        <v>0</v>
      </c>
      <c r="AQ161" s="32" t="s">
        <v>0</v>
      </c>
      <c r="AR161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61" s="9" t="str">
        <f t="shared" si="120"/>
        <v>-</v>
      </c>
      <c r="AT161" s="9">
        <f>IF(RIGHT(TMK[[#This Row],[Device type]],7)="Winding","-",TMK[[#This Row],[Cont Winter MVA]])</f>
        <v>12.243174338381367</v>
      </c>
      <c r="AU161" s="9">
        <f>IF(RIGHT(TMK[[#This Row],[Device type]],7)="Winding","-",TMK[[#This Row],[Cont Shoulder MVA]])</f>
        <v>12.243174338381367</v>
      </c>
      <c r="AV161" s="9">
        <f>IF(RIGHT(TMK[[#This Row],[Device type]],7)="Winding","-",TMK[[#This Row],[Cont Summer MVA]])</f>
        <v>12.243174338381367</v>
      </c>
      <c r="AW161" s="9" t="str">
        <f>IF(RIGHT(TMK[[#This Row],[Device type]],7)="Winding","-",TMK[[#This Row],[24 Hr Winter MVA]])</f>
        <v>-</v>
      </c>
      <c r="AX161" s="9" t="str">
        <f>IF(RIGHT(TMK[[#This Row],[Device type]],7)="Winding","-",TMK[[#This Row],[24 Hr Summer MVA]])</f>
        <v>-</v>
      </c>
      <c r="AY161" s="9">
        <f>TMK[[#This Row],[Forwards MVA]]</f>
        <v>5.8300830182768406</v>
      </c>
      <c r="AZ161" s="9" t="str">
        <f>TMK[[#This Row],[Relay MVA]]</f>
        <v>-</v>
      </c>
      <c r="BA161" s="9">
        <f>TMK[[#This Row],[CT MVA]]</f>
        <v>7.7734440243691205</v>
      </c>
      <c r="BB161" s="9" t="str">
        <f>TMK[[#This Row],[Derating MVA]]</f>
        <v>-</v>
      </c>
      <c r="BC161" s="9" t="str">
        <f>TMK[[#This Row],[Station/Feeder]]&amp;TMK[[#This Row],[Lowest MVA]]</f>
        <v>CB3_Mahan Road5.83008301827684</v>
      </c>
      <c r="BD161" s="9" t="str">
        <f>CONCATENATE(TMK[[#This Row],[Supply Level]],TMK[[#This Row],[Station/Feeder]],TMK[[#This Row],[Voltage]],TMK[[#This Row],[Lowest A-No PTX]])</f>
        <v>DistributionFeederCB3_Mahan Road11.22300</v>
      </c>
      <c r="BE161" s="9" t="str">
        <f>CONCATENATE(TMK[[#This Row],[Supply Level]],TMK[[#This Row],[Station/Feeder]],TMK[[#This Row],[Voltage]],TMK[[#This Row],[Lowest A-PTX]])</f>
        <v>DistributionFeederCB3_Mahan Road11.22300</v>
      </c>
      <c r="BF161" s="9">
        <f>IFERROR(IF(MIN(TMK[[#This Row],[Summ Cont Winter A]:[Cable Derating]])=0,"",MIN(TMK[[#This Row],[Summ Cont Winter A]:[Cable Derating]])),"")</f>
        <v>5.8300830182768406</v>
      </c>
      <c r="BG161" s="9">
        <f>IFERROR(TMK[[#This Row],[Lowest MVA]]*1000/(TMK[[#This Row],[Voltage]]*SQRT(3)),"")</f>
        <v>300</v>
      </c>
      <c r="BH161" s="9">
        <f t="shared" si="115"/>
        <v>300</v>
      </c>
      <c r="BI161" s="9" t="str">
        <f>TMK[[#This Row],[From]]</f>
        <v>CB3</v>
      </c>
      <c r="BJ161" s="9" t="str">
        <f>TMK[[#This Row],[To]]</f>
        <v>TX43</v>
      </c>
      <c r="BK16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Breaker-RGA_T1-CB3-Protection</v>
      </c>
      <c r="BL161" s="9">
        <f>TMK[[#This Row],[Voltage]]</f>
        <v>11.22</v>
      </c>
    </row>
    <row r="162" spans="1:64" s="1" customFormat="1" x14ac:dyDescent="0.25">
      <c r="A162" s="6" t="str">
        <f>CONCATENATE(TMK[[#This Row],[Supply Level]],TMK[[#This Row],[Station/Feeder]],TMK[[#This Row],[Voltage]])</f>
        <v>DistributionFeederCB3_Mahan Road11.22</v>
      </c>
      <c r="B162" s="6" t="str">
        <f>CONCATENATE(TMK[[#This Row],[Supply Level]],TMK[[#This Row],[Station/Feeder]],TMK[[#This Row],[Equipment ID]],TMK[[#This Row],[Voltage]],TMK[[#This Row],[Device type]])</f>
        <v>DistributionFeederCB3_Mahan Road1-3c 185 mm² XLPE11.22-</v>
      </c>
      <c r="C162" s="6" t="s">
        <v>1276</v>
      </c>
      <c r="D162" s="11" t="s">
        <v>110</v>
      </c>
      <c r="E162" s="46" t="s">
        <v>511</v>
      </c>
      <c r="F162" s="123" t="s">
        <v>596</v>
      </c>
      <c r="G162" s="57">
        <v>2</v>
      </c>
      <c r="H162" s="7" t="s">
        <v>590</v>
      </c>
      <c r="I162" s="123" t="s">
        <v>593</v>
      </c>
      <c r="J162" s="123" t="s">
        <v>250</v>
      </c>
      <c r="K162" s="46" t="s">
        <v>0</v>
      </c>
      <c r="L162" s="46" t="s">
        <v>0</v>
      </c>
      <c r="M162" s="43">
        <f t="shared" si="122"/>
        <v>11.22</v>
      </c>
      <c r="N162" s="9">
        <v>367</v>
      </c>
      <c r="O162" s="9">
        <f t="shared" si="110"/>
        <v>7.1321348923586685</v>
      </c>
      <c r="P162" s="9">
        <v>367</v>
      </c>
      <c r="Q162" s="9">
        <f t="shared" si="111"/>
        <v>7.1321348923586685</v>
      </c>
      <c r="R162" s="9">
        <v>367</v>
      </c>
      <c r="S162" s="9">
        <f t="shared" si="112"/>
        <v>7.1321348923586685</v>
      </c>
      <c r="T162" s="9" t="s">
        <v>0</v>
      </c>
      <c r="U162" s="9" t="str">
        <f t="shared" si="113"/>
        <v>-</v>
      </c>
      <c r="V162" s="9" t="s">
        <v>0</v>
      </c>
      <c r="W162" s="9" t="str">
        <f t="shared" si="114"/>
        <v>-</v>
      </c>
      <c r="X162" s="9" t="s">
        <v>0</v>
      </c>
      <c r="Y162" s="9" t="str">
        <f t="shared" si="116"/>
        <v>-</v>
      </c>
      <c r="Z162" s="9" t="s">
        <v>0</v>
      </c>
      <c r="AA162" s="9" t="str">
        <f t="shared" si="117"/>
        <v>-</v>
      </c>
      <c r="AB162" s="9" t="s">
        <v>0</v>
      </c>
      <c r="AC162" s="9" t="str">
        <f t="shared" si="118"/>
        <v>-</v>
      </c>
      <c r="AD162" s="9" t="s">
        <v>0</v>
      </c>
      <c r="AE162" s="12" t="str">
        <f t="shared" si="119"/>
        <v>-</v>
      </c>
      <c r="AF162" s="29">
        <v>3</v>
      </c>
      <c r="AG162" s="29" t="s">
        <v>265</v>
      </c>
      <c r="AH162" s="9">
        <v>42.9</v>
      </c>
      <c r="AI162" s="29">
        <v>0.9</v>
      </c>
      <c r="AJ162" s="32">
        <v>0.99</v>
      </c>
      <c r="AK162" s="29">
        <v>18</v>
      </c>
      <c r="AL162" s="32">
        <v>0.98</v>
      </c>
      <c r="AM162" s="29">
        <v>1.5</v>
      </c>
      <c r="AN162" s="32">
        <v>0.95</v>
      </c>
      <c r="AO162" s="29">
        <v>4</v>
      </c>
      <c r="AP162" s="32">
        <v>0.45</v>
      </c>
      <c r="AQ162" s="32">
        <v>0.8</v>
      </c>
      <c r="AR162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270.60818399999999</v>
      </c>
      <c r="AS162" s="9">
        <f t="shared" si="120"/>
        <v>5.2588939271504485</v>
      </c>
      <c r="AT162" s="9">
        <f>IF(RIGHT(TMK[[#This Row],[Device type]],7)="Winding","-",TMK[[#This Row],[Cont Winter MVA]])</f>
        <v>7.1321348923586685</v>
      </c>
      <c r="AU162" s="9">
        <f>IF(RIGHT(TMK[[#This Row],[Device type]],7)="Winding","-",TMK[[#This Row],[Cont Shoulder MVA]])</f>
        <v>7.1321348923586685</v>
      </c>
      <c r="AV162" s="9">
        <f>IF(RIGHT(TMK[[#This Row],[Device type]],7)="Winding","-",TMK[[#This Row],[Cont Summer MVA]])</f>
        <v>7.1321348923586685</v>
      </c>
      <c r="AW162" s="9" t="str">
        <f>IF(RIGHT(TMK[[#This Row],[Device type]],7)="Winding","-",TMK[[#This Row],[24 Hr Winter MVA]])</f>
        <v>-</v>
      </c>
      <c r="AX162" s="9" t="str">
        <f>IF(RIGHT(TMK[[#This Row],[Device type]],7)="Winding","-",TMK[[#This Row],[24 Hr Summer MVA]])</f>
        <v>-</v>
      </c>
      <c r="AY162" s="9" t="str">
        <f>TMK[[#This Row],[Forwards MVA]]</f>
        <v>-</v>
      </c>
      <c r="AZ162" s="9" t="str">
        <f>TMK[[#This Row],[Relay MVA]]</f>
        <v>-</v>
      </c>
      <c r="BA162" s="9" t="str">
        <f>TMK[[#This Row],[CT MVA]]</f>
        <v>-</v>
      </c>
      <c r="BB162" s="9">
        <f>TMK[[#This Row],[Derating MVA]]</f>
        <v>5.2588939271504485</v>
      </c>
      <c r="BC162" s="9" t="str">
        <f>TMK[[#This Row],[Station/Feeder]]&amp;TMK[[#This Row],[Lowest MVA]]</f>
        <v>CB3_Mahan Road5.25889392715045</v>
      </c>
      <c r="BD162" s="9" t="str">
        <f>CONCATENATE(TMK[[#This Row],[Supply Level]],TMK[[#This Row],[Station/Feeder]],TMK[[#This Row],[Voltage]],TMK[[#This Row],[Lowest A-No PTX]])</f>
        <v>DistributionFeederCB3_Mahan Road11.22270.608184</v>
      </c>
      <c r="BE162" s="9" t="str">
        <f>CONCATENATE(TMK[[#This Row],[Supply Level]],TMK[[#This Row],[Station/Feeder]],TMK[[#This Row],[Voltage]],TMK[[#This Row],[Lowest A-PTX]])</f>
        <v>DistributionFeederCB3_Mahan Road11.22270.608184</v>
      </c>
      <c r="BF162" s="9">
        <f>IFERROR(IF(MIN(TMK[[#This Row],[Summ Cont Winter A]:[Cable Derating]])=0,"",MIN(TMK[[#This Row],[Summ Cont Winter A]:[Cable Derating]])),"")</f>
        <v>5.2588939271504485</v>
      </c>
      <c r="BG162" s="9">
        <f>IFERROR(TMK[[#This Row],[Lowest MVA]]*1000/(TMK[[#This Row],[Voltage]]*SQRT(3)),"")</f>
        <v>270.60818399999999</v>
      </c>
      <c r="BH162" s="9">
        <f t="shared" si="115"/>
        <v>270.60818399999999</v>
      </c>
      <c r="BI162" s="9" t="str">
        <f>TMK[[#This Row],[From]]</f>
        <v>CB3</v>
      </c>
      <c r="BJ162" s="9" t="str">
        <f>TMK[[#This Row],[To]]</f>
        <v>TX43</v>
      </c>
      <c r="BK16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185 mm² XLPE</v>
      </c>
      <c r="BL162" s="9">
        <f>TMK[[#This Row],[Voltage]]</f>
        <v>11.22</v>
      </c>
    </row>
    <row r="163" spans="1:64" s="1" customFormat="1" x14ac:dyDescent="0.25">
      <c r="A163" s="6" t="str">
        <f>CONCATENATE(TMK[[#This Row],[Supply Level]],TMK[[#This Row],[Station/Feeder]],TMK[[#This Row],[Voltage]])</f>
        <v>DistributionFeederCB3_Mahan Road11.22</v>
      </c>
      <c r="B163" s="6" t="str">
        <f>CONCATENATE(TMK[[#This Row],[Supply Level]],TMK[[#This Row],[Station/Feeder]],TMK[[#This Row],[Equipment ID]],TMK[[#This Row],[Voltage]],TMK[[#This Row],[Device type]])</f>
        <v>DistributionFeederCB3_Mahan Road1-3c 95 mm² XLPE11.22-</v>
      </c>
      <c r="C163" s="6" t="s">
        <v>1276</v>
      </c>
      <c r="D163" s="11" t="s">
        <v>110</v>
      </c>
      <c r="E163" s="46" t="s">
        <v>511</v>
      </c>
      <c r="F163" s="123" t="s">
        <v>596</v>
      </c>
      <c r="G163" s="57">
        <v>3</v>
      </c>
      <c r="H163" s="7" t="s">
        <v>590</v>
      </c>
      <c r="I163" s="123" t="s">
        <v>595</v>
      </c>
      <c r="J163" s="123" t="s">
        <v>250</v>
      </c>
      <c r="K163" s="46" t="s">
        <v>0</v>
      </c>
      <c r="L163" s="46" t="s">
        <v>0</v>
      </c>
      <c r="M163" s="43">
        <f t="shared" si="122"/>
        <v>11.22</v>
      </c>
      <c r="N163" s="9">
        <v>219</v>
      </c>
      <c r="O163" s="9">
        <f t="shared" si="110"/>
        <v>4.2559606033420945</v>
      </c>
      <c r="P163" s="9">
        <v>219</v>
      </c>
      <c r="Q163" s="9">
        <f t="shared" si="111"/>
        <v>4.2559606033420945</v>
      </c>
      <c r="R163" s="9">
        <v>219</v>
      </c>
      <c r="S163" s="9">
        <f t="shared" si="112"/>
        <v>4.2559606033420945</v>
      </c>
      <c r="T163" s="9" t="s">
        <v>0</v>
      </c>
      <c r="U163" s="9" t="str">
        <f t="shared" si="113"/>
        <v>-</v>
      </c>
      <c r="V163" s="9" t="s">
        <v>0</v>
      </c>
      <c r="W163" s="9" t="str">
        <f t="shared" si="114"/>
        <v>-</v>
      </c>
      <c r="X163" s="9" t="s">
        <v>0</v>
      </c>
      <c r="Y163" s="9" t="str">
        <f t="shared" si="116"/>
        <v>-</v>
      </c>
      <c r="Z163" s="9" t="s">
        <v>0</v>
      </c>
      <c r="AA163" s="9" t="str">
        <f t="shared" si="117"/>
        <v>-</v>
      </c>
      <c r="AB163" s="9" t="s">
        <v>0</v>
      </c>
      <c r="AC163" s="9" t="str">
        <f t="shared" si="118"/>
        <v>-</v>
      </c>
      <c r="AD163" s="9" t="s">
        <v>0</v>
      </c>
      <c r="AE163" s="12" t="str">
        <f t="shared" si="119"/>
        <v>-</v>
      </c>
      <c r="AF163" s="29">
        <v>3</v>
      </c>
      <c r="AG163" s="29" t="s">
        <v>344</v>
      </c>
      <c r="AH163" s="9">
        <v>42.9</v>
      </c>
      <c r="AI163" s="29">
        <v>1.2</v>
      </c>
      <c r="AJ163" s="32">
        <v>0.97</v>
      </c>
      <c r="AK163" s="29">
        <v>18</v>
      </c>
      <c r="AL163" s="32">
        <v>0.98</v>
      </c>
      <c r="AM163" s="29">
        <v>1.2</v>
      </c>
      <c r="AN163" s="32">
        <v>1</v>
      </c>
      <c r="AO163" s="29">
        <v>1</v>
      </c>
      <c r="AP163" s="32">
        <v>0</v>
      </c>
      <c r="AQ163" s="32">
        <v>1</v>
      </c>
      <c r="AR163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208.1814</v>
      </c>
      <c r="AS163" s="9">
        <f t="shared" si="120"/>
        <v>4.0457161495369949</v>
      </c>
      <c r="AT163" s="9">
        <f>IF(RIGHT(TMK[[#This Row],[Device type]],7)="Winding","-",TMK[[#This Row],[Cont Winter MVA]])</f>
        <v>4.2559606033420945</v>
      </c>
      <c r="AU163" s="9">
        <f>IF(RIGHT(TMK[[#This Row],[Device type]],7)="Winding","-",TMK[[#This Row],[Cont Shoulder MVA]])</f>
        <v>4.2559606033420945</v>
      </c>
      <c r="AV163" s="9">
        <f>IF(RIGHT(TMK[[#This Row],[Device type]],7)="Winding","-",TMK[[#This Row],[Cont Summer MVA]])</f>
        <v>4.2559606033420945</v>
      </c>
      <c r="AW163" s="9" t="str">
        <f>IF(RIGHT(TMK[[#This Row],[Device type]],7)="Winding","-",TMK[[#This Row],[24 Hr Winter MVA]])</f>
        <v>-</v>
      </c>
      <c r="AX163" s="9" t="str">
        <f>IF(RIGHT(TMK[[#This Row],[Device type]],7)="Winding","-",TMK[[#This Row],[24 Hr Summer MVA]])</f>
        <v>-</v>
      </c>
      <c r="AY163" s="9" t="str">
        <f>TMK[[#This Row],[Forwards MVA]]</f>
        <v>-</v>
      </c>
      <c r="AZ163" s="9" t="str">
        <f>TMK[[#This Row],[Relay MVA]]</f>
        <v>-</v>
      </c>
      <c r="BA163" s="9" t="str">
        <f>TMK[[#This Row],[CT MVA]]</f>
        <v>-</v>
      </c>
      <c r="BB163" s="9">
        <f>TMK[[#This Row],[Derating MVA]]</f>
        <v>4.0457161495369949</v>
      </c>
      <c r="BC163" s="9" t="str">
        <f>TMK[[#This Row],[Station/Feeder]]&amp;TMK[[#This Row],[Lowest MVA]]</f>
        <v>CB3_Mahan Road4.04571614953699</v>
      </c>
      <c r="BD163" s="9" t="str">
        <f>CONCATENATE(TMK[[#This Row],[Supply Level]],TMK[[#This Row],[Station/Feeder]],TMK[[#This Row],[Voltage]],TMK[[#This Row],[Lowest A-No PTX]])</f>
        <v>DistributionFeederCB3_Mahan Road11.22208.1814</v>
      </c>
      <c r="BE163" s="9" t="str">
        <f>CONCATENATE(TMK[[#This Row],[Supply Level]],TMK[[#This Row],[Station/Feeder]],TMK[[#This Row],[Voltage]],TMK[[#This Row],[Lowest A-PTX]])</f>
        <v>DistributionFeederCB3_Mahan Road11.22208.1814</v>
      </c>
      <c r="BF163" s="9">
        <f>IFERROR(IF(MIN(TMK[[#This Row],[Summ Cont Winter A]:[Cable Derating]])=0,"",MIN(TMK[[#This Row],[Summ Cont Winter A]:[Cable Derating]])),"")</f>
        <v>4.0457161495369949</v>
      </c>
      <c r="BG163" s="9">
        <f>IFERROR(TMK[[#This Row],[Lowest MVA]]*1000/(TMK[[#This Row],[Voltage]]*SQRT(3)),"")</f>
        <v>208.18140000000002</v>
      </c>
      <c r="BH163" s="9">
        <f t="shared" si="115"/>
        <v>208.1814</v>
      </c>
      <c r="BI163" s="9" t="str">
        <f>TMK[[#This Row],[From]]</f>
        <v>CB3</v>
      </c>
      <c r="BJ163" s="9" t="str">
        <f>TMK[[#This Row],[To]]</f>
        <v>TX43</v>
      </c>
      <c r="BK16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95 mm² XLPE</v>
      </c>
      <c r="BL163" s="9">
        <f>TMK[[#This Row],[Voltage]]</f>
        <v>11.22</v>
      </c>
    </row>
    <row r="164" spans="1:64" s="1" customFormat="1" x14ac:dyDescent="0.25">
      <c r="A164" s="6" t="str">
        <f>CONCATENATE(TMK[[#This Row],[Supply Level]],TMK[[#This Row],[Station/Feeder]],TMK[[#This Row],[Voltage]])</f>
        <v>DistributionFeederCB3_Mahan Road11.22</v>
      </c>
      <c r="B164" s="6" t="str">
        <f>CONCATENATE(TMK[[#This Row],[Supply Level]],TMK[[#This Row],[Station/Feeder]],TMK[[#This Row],[Equipment ID]],TMK[[#This Row],[Voltage]],TMK[[#This Row],[Device type]])</f>
        <v>DistributionFeederCB3_Mahan RoadTX4311.22-</v>
      </c>
      <c r="C164" s="6" t="s">
        <v>1276</v>
      </c>
      <c r="D164" s="11" t="s">
        <v>110</v>
      </c>
      <c r="E164" s="46" t="s">
        <v>511</v>
      </c>
      <c r="F164" s="123" t="s">
        <v>596</v>
      </c>
      <c r="G164" s="57">
        <v>4</v>
      </c>
      <c r="H164" s="46" t="s">
        <v>273</v>
      </c>
      <c r="I164" s="123" t="s">
        <v>596</v>
      </c>
      <c r="J164" s="123" t="s">
        <v>240</v>
      </c>
      <c r="K164" s="46" t="s">
        <v>0</v>
      </c>
      <c r="L164" s="46" t="s">
        <v>0</v>
      </c>
      <c r="M164" s="43">
        <f t="shared" si="122"/>
        <v>11.22</v>
      </c>
      <c r="N164" s="9" t="s">
        <v>0</v>
      </c>
      <c r="O164" s="9" t="str">
        <f t="shared" si="110"/>
        <v>-</v>
      </c>
      <c r="P164" s="9" t="s">
        <v>0</v>
      </c>
      <c r="Q164" s="9" t="str">
        <f t="shared" si="111"/>
        <v>-</v>
      </c>
      <c r="R164" s="9" t="s">
        <v>0</v>
      </c>
      <c r="S164" s="9" t="str">
        <f t="shared" si="112"/>
        <v>-</v>
      </c>
      <c r="T164" s="9" t="s">
        <v>0</v>
      </c>
      <c r="U164" s="9" t="str">
        <f t="shared" si="113"/>
        <v>-</v>
      </c>
      <c r="V164" s="9" t="s">
        <v>0</v>
      </c>
      <c r="W164" s="9" t="str">
        <f t="shared" si="114"/>
        <v>-</v>
      </c>
      <c r="X164" s="9" t="s">
        <v>0</v>
      </c>
      <c r="Y164" s="9" t="str">
        <f t="shared" si="6"/>
        <v>-</v>
      </c>
      <c r="Z164" s="9" t="s">
        <v>0</v>
      </c>
      <c r="AA164" s="9" t="str">
        <f t="shared" si="7"/>
        <v>-</v>
      </c>
      <c r="AB164" s="9" t="s">
        <v>0</v>
      </c>
      <c r="AC164" s="9" t="str">
        <f t="shared" si="8"/>
        <v>-</v>
      </c>
      <c r="AD164" s="9" t="s">
        <v>0</v>
      </c>
      <c r="AE164" s="12" t="str">
        <f t="shared" si="9"/>
        <v>-</v>
      </c>
      <c r="AF164" s="29" t="s">
        <v>0</v>
      </c>
      <c r="AG164" s="29" t="s">
        <v>0</v>
      </c>
      <c r="AH164" s="9" t="s">
        <v>0</v>
      </c>
      <c r="AI164" s="29" t="s">
        <v>0</v>
      </c>
      <c r="AJ164" s="32" t="s">
        <v>0</v>
      </c>
      <c r="AK164" s="29" t="s">
        <v>0</v>
      </c>
      <c r="AL164" s="32" t="s">
        <v>0</v>
      </c>
      <c r="AM164" s="29" t="s">
        <v>0</v>
      </c>
      <c r="AN164" s="32" t="s">
        <v>0</v>
      </c>
      <c r="AO164" s="29" t="s">
        <v>0</v>
      </c>
      <c r="AP164" s="32" t="s">
        <v>0</v>
      </c>
      <c r="AQ164" s="32" t="s">
        <v>0</v>
      </c>
      <c r="AR164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64" s="9" t="str">
        <f t="shared" si="120"/>
        <v>-</v>
      </c>
      <c r="AT164" s="9" t="str">
        <f>IF(RIGHT(TMK[[#This Row],[Device type]],7)="Winding","-",TMK[[#This Row],[Cont Winter MVA]])</f>
        <v>-</v>
      </c>
      <c r="AU164" s="9" t="str">
        <f>IF(RIGHT(TMK[[#This Row],[Device type]],7)="Winding","-",TMK[[#This Row],[Cont Shoulder MVA]])</f>
        <v>-</v>
      </c>
      <c r="AV164" s="9" t="str">
        <f>IF(RIGHT(TMK[[#This Row],[Device type]],7)="Winding","-",TMK[[#This Row],[Cont Summer MVA]])</f>
        <v>-</v>
      </c>
      <c r="AW164" s="9" t="str">
        <f>IF(RIGHT(TMK[[#This Row],[Device type]],7)="Winding","-",TMK[[#This Row],[24 Hr Winter MVA]])</f>
        <v>-</v>
      </c>
      <c r="AX164" s="9" t="str">
        <f>IF(RIGHT(TMK[[#This Row],[Device type]],7)="Winding","-",TMK[[#This Row],[24 Hr Summer MVA]])</f>
        <v>-</v>
      </c>
      <c r="AY164" s="9" t="str">
        <f>TMK[[#This Row],[Forwards MVA]]</f>
        <v>-</v>
      </c>
      <c r="AZ164" s="9" t="str">
        <f>TMK[[#This Row],[Relay MVA]]</f>
        <v>-</v>
      </c>
      <c r="BA164" s="9" t="str">
        <f>TMK[[#This Row],[CT MVA]]</f>
        <v>-</v>
      </c>
      <c r="BB164" s="9" t="str">
        <f>TMK[[#This Row],[Derating MVA]]</f>
        <v>-</v>
      </c>
      <c r="BC164" s="9" t="str">
        <f>TMK[[#This Row],[Station/Feeder]]&amp;TMK[[#This Row],[Lowest MVA]]</f>
        <v>CB3_Mahan Road</v>
      </c>
      <c r="BD164" s="9" t="str">
        <f>CONCATENATE(TMK[[#This Row],[Supply Level]],TMK[[#This Row],[Station/Feeder]],TMK[[#This Row],[Voltage]],TMK[[#This Row],[Lowest A-No PTX]])</f>
        <v>DistributionFeederCB3_Mahan Road11.22</v>
      </c>
      <c r="BE164" s="9" t="str">
        <f>CONCATENATE(TMK[[#This Row],[Supply Level]],TMK[[#This Row],[Station/Feeder]],TMK[[#This Row],[Voltage]],TMK[[#This Row],[Lowest A-PTX]])</f>
        <v>DistributionFeederCB3_Mahan Road11.22</v>
      </c>
      <c r="BF164" s="9" t="str">
        <f>IFERROR(IF(MIN(TMK[[#This Row],[Summ Cont Winter A]:[Cable Derating]])=0,"",MIN(TMK[[#This Row],[Summ Cont Winter A]:[Cable Derating]])),"")</f>
        <v/>
      </c>
      <c r="BG164" s="9" t="str">
        <f>IFERROR(TMK[[#This Row],[Lowest MVA]]*1000/(TMK[[#This Row],[Voltage]]*SQRT(3)),"")</f>
        <v/>
      </c>
      <c r="BH164" s="9" t="str">
        <f t="shared" si="115"/>
        <v/>
      </c>
      <c r="BI164" s="9" t="str">
        <f>TMK[[#This Row],[From]]</f>
        <v>CB3</v>
      </c>
      <c r="BJ164" s="9" t="str">
        <f>TMK[[#This Row],[To]]</f>
        <v>TX43</v>
      </c>
      <c r="BK16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ABS-TX43</v>
      </c>
      <c r="BL164" s="9">
        <f>TMK[[#This Row],[Voltage]]</f>
        <v>11.22</v>
      </c>
    </row>
    <row r="165" spans="1:64" s="1" customFormat="1" x14ac:dyDescent="0.25">
      <c r="A165" s="6" t="str">
        <f>CONCATENATE(TMK[[#This Row],[Supply Level]],TMK[[#This Row],[Station/Feeder]],TMK[[#This Row],[Voltage]])</f>
        <v>DistributionFeederCB3_Mahan Road11.22</v>
      </c>
      <c r="B165" s="6" t="str">
        <f>CONCATENATE(TMK[[#This Row],[Supply Level]],TMK[[#This Row],[Station/Feeder]],TMK[[#This Row],[Equipment ID]],TMK[[#This Row],[Voltage]],TMK[[#This Row],[Device type]])</f>
        <v>DistributionFeederCB3_Mahan RoadDOG11.22-</v>
      </c>
      <c r="C165" s="6" t="s">
        <v>1276</v>
      </c>
      <c r="D165" s="11" t="s">
        <v>110</v>
      </c>
      <c r="E165" s="123" t="s">
        <v>596</v>
      </c>
      <c r="F165" s="46" t="s">
        <v>597</v>
      </c>
      <c r="G165" s="57">
        <v>5</v>
      </c>
      <c r="H165" s="7" t="s">
        <v>1289</v>
      </c>
      <c r="I165" s="123" t="s">
        <v>318</v>
      </c>
      <c r="J165" s="123" t="s">
        <v>69</v>
      </c>
      <c r="K165" s="46" t="s">
        <v>0</v>
      </c>
      <c r="L165" s="46" t="s">
        <v>0</v>
      </c>
      <c r="M165" s="43">
        <f t="shared" si="122"/>
        <v>11.22</v>
      </c>
      <c r="N165" s="9">
        <v>343.69342642524197</v>
      </c>
      <c r="O165" s="9">
        <f t="shared" si="110"/>
        <v>6.679204029650613</v>
      </c>
      <c r="P165" s="9" t="s">
        <v>0</v>
      </c>
      <c r="Q165" s="9" t="str">
        <f t="shared" si="111"/>
        <v>-</v>
      </c>
      <c r="R165" s="9">
        <v>256.85852310343915</v>
      </c>
      <c r="S165" s="9">
        <f t="shared" si="112"/>
        <v>4.9916883788167672</v>
      </c>
      <c r="T165" s="9" t="s">
        <v>0</v>
      </c>
      <c r="U165" s="9" t="str">
        <f t="shared" si="113"/>
        <v>-</v>
      </c>
      <c r="V165" s="9" t="s">
        <v>0</v>
      </c>
      <c r="W165" s="9" t="str">
        <f t="shared" si="114"/>
        <v>-</v>
      </c>
      <c r="X165" s="9" t="s">
        <v>0</v>
      </c>
      <c r="Y165" s="9" t="str">
        <f t="shared" si="116"/>
        <v>-</v>
      </c>
      <c r="Z165" s="9" t="s">
        <v>0</v>
      </c>
      <c r="AA165" s="9" t="str">
        <f t="shared" si="117"/>
        <v>-</v>
      </c>
      <c r="AB165" s="9" t="s">
        <v>0</v>
      </c>
      <c r="AC165" s="9" t="str">
        <f t="shared" si="118"/>
        <v>-</v>
      </c>
      <c r="AD165" s="9" t="s">
        <v>0</v>
      </c>
      <c r="AE165" s="12" t="str">
        <f t="shared" si="119"/>
        <v>-</v>
      </c>
      <c r="AF165" s="9" t="s">
        <v>0</v>
      </c>
      <c r="AG165" s="9" t="s">
        <v>0</v>
      </c>
      <c r="AH165" s="9">
        <v>267.89999999999998</v>
      </c>
      <c r="AI165" s="9" t="s">
        <v>0</v>
      </c>
      <c r="AJ165" s="43" t="s">
        <v>0</v>
      </c>
      <c r="AK165" s="9" t="s">
        <v>0</v>
      </c>
      <c r="AL165" s="43" t="s">
        <v>0</v>
      </c>
      <c r="AM165" s="9" t="s">
        <v>0</v>
      </c>
      <c r="AN165" s="43" t="s">
        <v>0</v>
      </c>
      <c r="AO165" s="9" t="s">
        <v>0</v>
      </c>
      <c r="AP165" s="9" t="s">
        <v>0</v>
      </c>
      <c r="AQ165" s="43" t="s">
        <v>0</v>
      </c>
      <c r="AR165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65" s="9" t="str">
        <f t="shared" si="120"/>
        <v>-</v>
      </c>
      <c r="AT165" s="9">
        <f>IF(RIGHT(TMK[[#This Row],[Device type]],7)="Winding","-",TMK[[#This Row],[Cont Winter MVA]])</f>
        <v>6.679204029650613</v>
      </c>
      <c r="AU165" s="9" t="str">
        <f>IF(RIGHT(TMK[[#This Row],[Device type]],7)="Winding","-",TMK[[#This Row],[Cont Shoulder MVA]])</f>
        <v>-</v>
      </c>
      <c r="AV165" s="9">
        <f>IF(RIGHT(TMK[[#This Row],[Device type]],7)="Winding","-",TMK[[#This Row],[Cont Summer MVA]])</f>
        <v>4.9916883788167672</v>
      </c>
      <c r="AW165" s="9" t="str">
        <f>IF(RIGHT(TMK[[#This Row],[Device type]],7)="Winding","-",TMK[[#This Row],[24 Hr Winter MVA]])</f>
        <v>-</v>
      </c>
      <c r="AX165" s="9" t="str">
        <f>IF(RIGHT(TMK[[#This Row],[Device type]],7)="Winding","-",TMK[[#This Row],[24 Hr Summer MVA]])</f>
        <v>-</v>
      </c>
      <c r="AY165" s="9" t="str">
        <f>TMK[[#This Row],[Forwards MVA]]</f>
        <v>-</v>
      </c>
      <c r="AZ165" s="9" t="str">
        <f>TMK[[#This Row],[Relay MVA]]</f>
        <v>-</v>
      </c>
      <c r="BA165" s="9" t="str">
        <f>TMK[[#This Row],[CT MVA]]</f>
        <v>-</v>
      </c>
      <c r="BB165" s="9" t="str">
        <f>TMK[[#This Row],[Derating MVA]]</f>
        <v>-</v>
      </c>
      <c r="BC165" s="9" t="str">
        <f>TMK[[#This Row],[Station/Feeder]]&amp;TMK[[#This Row],[Lowest MVA]]</f>
        <v>CB3_Mahan Road4.99168837881677</v>
      </c>
      <c r="BD165" s="9" t="str">
        <f>CONCATENATE(TMK[[#This Row],[Supply Level]],TMK[[#This Row],[Station/Feeder]],TMK[[#This Row],[Voltage]],TMK[[#This Row],[Lowest A-No PTX]])</f>
        <v>DistributionFeederCB3_Mahan Road11.22256.858523103439</v>
      </c>
      <c r="BE165" s="9" t="str">
        <f>CONCATENATE(TMK[[#This Row],[Supply Level]],TMK[[#This Row],[Station/Feeder]],TMK[[#This Row],[Voltage]],TMK[[#This Row],[Lowest A-PTX]])</f>
        <v>DistributionFeederCB3_Mahan Road11.22256.858523103439</v>
      </c>
      <c r="BF165" s="9">
        <f>IFERROR(IF(MIN(TMK[[#This Row],[Summ Cont Winter A]:[Cable Derating]])=0,"",MIN(TMK[[#This Row],[Summ Cont Winter A]:[Cable Derating]])),"")</f>
        <v>4.9916883788167672</v>
      </c>
      <c r="BG165" s="9">
        <f>IFERROR(TMK[[#This Row],[Lowest MVA]]*1000/(TMK[[#This Row],[Voltage]]*SQRT(3)),"")</f>
        <v>256.85852310343915</v>
      </c>
      <c r="BH165" s="9">
        <f t="shared" si="115"/>
        <v>256.85852310343915</v>
      </c>
      <c r="BI165" s="9" t="str">
        <f>TMK[[#This Row],[From]]</f>
        <v>TX43</v>
      </c>
      <c r="BJ165" s="9" t="str">
        <f>TMK[[#This Row],[To]]</f>
        <v>Pole 48705</v>
      </c>
      <c r="BK16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165" s="9">
        <f>TMK[[#This Row],[Voltage]]</f>
        <v>11.22</v>
      </c>
    </row>
    <row r="166" spans="1:64" s="1" customFormat="1" x14ac:dyDescent="0.25">
      <c r="A166" s="6" t="str">
        <f>CONCATENATE(TMK[[#This Row],[Supply Level]],TMK[[#This Row],[Station/Feeder]],TMK[[#This Row],[Voltage]])</f>
        <v>DistributionFeederCB4_Main South Road11.22</v>
      </c>
      <c r="B166" s="6" t="str">
        <f>CONCATENATE(TMK[[#This Row],[Supply Level]],TMK[[#This Row],[Station/Feeder]],TMK[[#This Row],[Equipment ID]],TMK[[#This Row],[Voltage]],TMK[[#This Row],[Device type]])</f>
        <v>DistributionFeederCB4_Main South RoadRGA_T1-CB411.22Protection</v>
      </c>
      <c r="C166" s="6" t="s">
        <v>1276</v>
      </c>
      <c r="D166" s="11" t="s">
        <v>121</v>
      </c>
      <c r="E166" s="46" t="s">
        <v>498</v>
      </c>
      <c r="F166" s="123" t="s">
        <v>598</v>
      </c>
      <c r="G166" s="57">
        <v>1</v>
      </c>
      <c r="H166" s="46" t="s">
        <v>343</v>
      </c>
      <c r="I166" s="123" t="s">
        <v>2578</v>
      </c>
      <c r="J166" s="123" t="s">
        <v>15</v>
      </c>
      <c r="K166" s="46" t="s">
        <v>1127</v>
      </c>
      <c r="L166" s="46" t="s">
        <v>1423</v>
      </c>
      <c r="M166" s="43">
        <f t="shared" si="122"/>
        <v>11.22</v>
      </c>
      <c r="N166" s="9">
        <v>630</v>
      </c>
      <c r="O166" s="9">
        <f t="shared" si="110"/>
        <v>12.243174338381367</v>
      </c>
      <c r="P166" s="9">
        <v>630</v>
      </c>
      <c r="Q166" s="9">
        <f t="shared" si="111"/>
        <v>12.243174338381367</v>
      </c>
      <c r="R166" s="9">
        <v>630</v>
      </c>
      <c r="S166" s="9">
        <f t="shared" si="112"/>
        <v>12.243174338381367</v>
      </c>
      <c r="T166" s="9" t="s">
        <v>0</v>
      </c>
      <c r="U166" s="9" t="str">
        <f t="shared" si="113"/>
        <v>-</v>
      </c>
      <c r="V166" s="9" t="s">
        <v>0</v>
      </c>
      <c r="W166" s="9" t="str">
        <f t="shared" si="114"/>
        <v>-</v>
      </c>
      <c r="X166" s="9" t="e">
        <f>VLOOKUP(TMK[[#This Row],[Equipment ID]],AEL_Protection_Data[#All],12,0)</f>
        <v>#N/A</v>
      </c>
      <c r="Y166" s="9" t="e">
        <f t="shared" si="116"/>
        <v>#N/A</v>
      </c>
      <c r="Z166" s="9">
        <v>300</v>
      </c>
      <c r="AA166" s="9">
        <f t="shared" si="117"/>
        <v>5.8300830182768406</v>
      </c>
      <c r="AB166" s="9" t="s">
        <v>0</v>
      </c>
      <c r="AC166" s="9" t="str">
        <f t="shared" si="118"/>
        <v>-</v>
      </c>
      <c r="AD166" s="9">
        <v>400</v>
      </c>
      <c r="AE166" s="12">
        <f t="shared" si="119"/>
        <v>7.7734440243691205</v>
      </c>
      <c r="AF166" s="29" t="s">
        <v>0</v>
      </c>
      <c r="AG166" s="29" t="s">
        <v>0</v>
      </c>
      <c r="AH166" s="9" t="s">
        <v>0</v>
      </c>
      <c r="AI166" s="29" t="s">
        <v>0</v>
      </c>
      <c r="AJ166" s="32" t="s">
        <v>0</v>
      </c>
      <c r="AK166" s="29" t="s">
        <v>0</v>
      </c>
      <c r="AL166" s="32" t="s">
        <v>0</v>
      </c>
      <c r="AM166" s="29" t="s">
        <v>0</v>
      </c>
      <c r="AN166" s="32" t="s">
        <v>0</v>
      </c>
      <c r="AO166" s="29" t="s">
        <v>0</v>
      </c>
      <c r="AP166" s="32" t="s">
        <v>0</v>
      </c>
      <c r="AQ166" s="32" t="s">
        <v>0</v>
      </c>
      <c r="AR16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66" s="9" t="str">
        <f t="shared" si="120"/>
        <v>-</v>
      </c>
      <c r="AT166" s="9">
        <f>IF(RIGHT(TMK[[#This Row],[Device type]],7)="Winding","-",TMK[[#This Row],[Cont Winter MVA]])</f>
        <v>12.243174338381367</v>
      </c>
      <c r="AU166" s="9">
        <f>IF(RIGHT(TMK[[#This Row],[Device type]],7)="Winding","-",TMK[[#This Row],[Cont Shoulder MVA]])</f>
        <v>12.243174338381367</v>
      </c>
      <c r="AV166" s="9">
        <f>IF(RIGHT(TMK[[#This Row],[Device type]],7)="Winding","-",TMK[[#This Row],[Cont Summer MVA]])</f>
        <v>12.243174338381367</v>
      </c>
      <c r="AW166" s="9" t="str">
        <f>IF(RIGHT(TMK[[#This Row],[Device type]],7)="Winding","-",TMK[[#This Row],[24 Hr Winter MVA]])</f>
        <v>-</v>
      </c>
      <c r="AX166" s="9" t="str">
        <f>IF(RIGHT(TMK[[#This Row],[Device type]],7)="Winding","-",TMK[[#This Row],[24 Hr Summer MVA]])</f>
        <v>-</v>
      </c>
      <c r="AY166" s="9" t="e">
        <f>TMK[[#This Row],[Forwards MVA]]</f>
        <v>#N/A</v>
      </c>
      <c r="AZ166" s="9" t="str">
        <f>TMK[[#This Row],[Relay MVA]]</f>
        <v>-</v>
      </c>
      <c r="BA166" s="9">
        <f>TMK[[#This Row],[CT MVA]]</f>
        <v>7.7734440243691205</v>
      </c>
      <c r="BB166" s="9" t="str">
        <f>TMK[[#This Row],[Derating MVA]]</f>
        <v>-</v>
      </c>
      <c r="BC166" s="9" t="str">
        <f>TMK[[#This Row],[Station/Feeder]]&amp;TMK[[#This Row],[Lowest MVA]]</f>
        <v>CB4_Main South Road</v>
      </c>
      <c r="BD166" s="9" t="str">
        <f>CONCATENATE(TMK[[#This Row],[Supply Level]],TMK[[#This Row],[Station/Feeder]],TMK[[#This Row],[Voltage]],TMK[[#This Row],[Lowest A-No PTX]])</f>
        <v>DistributionFeederCB4_Main South Road11.22</v>
      </c>
      <c r="BE166" s="9" t="e">
        <f>CONCATENATE(TMK[[#This Row],[Supply Level]],TMK[[#This Row],[Station/Feeder]],TMK[[#This Row],[Voltage]],TMK[[#This Row],[Lowest A-PTX]])</f>
        <v>#N/A</v>
      </c>
      <c r="BF166" s="9" t="str">
        <f>IFERROR(IF(MIN(TMK[[#This Row],[Summ Cont Winter A]:[Cable Derating]])=0,"",MIN(TMK[[#This Row],[Summ Cont Winter A]:[Cable Derating]])),"")</f>
        <v/>
      </c>
      <c r="BG166" s="9" t="str">
        <f>IFERROR(TMK[[#This Row],[Lowest MVA]]*1000/(TMK[[#This Row],[Voltage]]*SQRT(3)),"")</f>
        <v/>
      </c>
      <c r="BH166" s="9" t="e">
        <f t="shared" si="115"/>
        <v>#N/A</v>
      </c>
      <c r="BI166" s="9" t="str">
        <f>TMK[[#This Row],[From]]</f>
        <v>CB4</v>
      </c>
      <c r="BJ166" s="9" t="str">
        <f>TMK[[#This Row],[To]]</f>
        <v>T703</v>
      </c>
      <c r="BK16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Breaker-RGA_T1-CB4-Protection</v>
      </c>
      <c r="BL166" s="9">
        <f>TMK[[#This Row],[Voltage]]</f>
        <v>11.22</v>
      </c>
    </row>
    <row r="167" spans="1:64" s="1" customFormat="1" x14ac:dyDescent="0.25">
      <c r="A167" s="6" t="str">
        <f>CONCATENATE(TMK[[#This Row],[Supply Level]],TMK[[#This Row],[Station/Feeder]],TMK[[#This Row],[Voltage]])</f>
        <v>DistributionFeederCB4_Main South Road11.22</v>
      </c>
      <c r="B167" s="6" t="str">
        <f>CONCATENATE(TMK[[#This Row],[Supply Level]],TMK[[#This Row],[Station/Feeder]],TMK[[#This Row],[Equipment ID]],TMK[[#This Row],[Voltage]],TMK[[#This Row],[Device type]])</f>
        <v>DistributionFeederCB4_Main South Road1-3c 185 mm² XLPE11.22-</v>
      </c>
      <c r="C167" s="6" t="s">
        <v>1276</v>
      </c>
      <c r="D167" s="11" t="s">
        <v>121</v>
      </c>
      <c r="E167" s="46" t="s">
        <v>498</v>
      </c>
      <c r="F167" s="123" t="s">
        <v>598</v>
      </c>
      <c r="G167" s="57">
        <v>2</v>
      </c>
      <c r="H167" s="7" t="s">
        <v>590</v>
      </c>
      <c r="I167" s="123" t="s">
        <v>593</v>
      </c>
      <c r="J167" s="123" t="s">
        <v>250</v>
      </c>
      <c r="K167" s="46" t="s">
        <v>0</v>
      </c>
      <c r="L167" s="46" t="s">
        <v>0</v>
      </c>
      <c r="M167" s="43">
        <f t="shared" si="122"/>
        <v>11.22</v>
      </c>
      <c r="N167" s="9">
        <v>367</v>
      </c>
      <c r="O167" s="9">
        <f t="shared" si="110"/>
        <v>7.1321348923586685</v>
      </c>
      <c r="P167" s="9">
        <v>367</v>
      </c>
      <c r="Q167" s="9">
        <f t="shared" si="111"/>
        <v>7.1321348923586685</v>
      </c>
      <c r="R167" s="9">
        <v>367</v>
      </c>
      <c r="S167" s="9">
        <f t="shared" si="112"/>
        <v>7.1321348923586685</v>
      </c>
      <c r="T167" s="9" t="s">
        <v>0</v>
      </c>
      <c r="U167" s="9" t="str">
        <f t="shared" si="113"/>
        <v>-</v>
      </c>
      <c r="V167" s="9" t="s">
        <v>0</v>
      </c>
      <c r="W167" s="9" t="str">
        <f t="shared" si="114"/>
        <v>-</v>
      </c>
      <c r="X167" s="9" t="s">
        <v>0</v>
      </c>
      <c r="Y167" s="9" t="str">
        <f t="shared" si="116"/>
        <v>-</v>
      </c>
      <c r="Z167" s="9" t="s">
        <v>0</v>
      </c>
      <c r="AA167" s="9" t="str">
        <f t="shared" si="117"/>
        <v>-</v>
      </c>
      <c r="AB167" s="9" t="s">
        <v>0</v>
      </c>
      <c r="AC167" s="9" t="str">
        <f t="shared" si="118"/>
        <v>-</v>
      </c>
      <c r="AD167" s="9" t="s">
        <v>0</v>
      </c>
      <c r="AE167" s="12" t="str">
        <f t="shared" si="119"/>
        <v>-</v>
      </c>
      <c r="AF167" s="29">
        <v>3</v>
      </c>
      <c r="AG167" s="29" t="s">
        <v>265</v>
      </c>
      <c r="AH167" s="9">
        <v>44.6</v>
      </c>
      <c r="AI167" s="29">
        <v>0.9</v>
      </c>
      <c r="AJ167" s="32">
        <v>0.99</v>
      </c>
      <c r="AK167" s="29">
        <v>18</v>
      </c>
      <c r="AL167" s="32">
        <v>0.98</v>
      </c>
      <c r="AM167" s="29">
        <v>1.5</v>
      </c>
      <c r="AN167" s="32">
        <v>0.95</v>
      </c>
      <c r="AO167" s="29">
        <v>4</v>
      </c>
      <c r="AP167" s="32">
        <v>0.45</v>
      </c>
      <c r="AQ167" s="32">
        <v>0.8</v>
      </c>
      <c r="AR167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270.60818399999999</v>
      </c>
      <c r="AS167" s="9">
        <f t="shared" si="120"/>
        <v>5.2588939271504485</v>
      </c>
      <c r="AT167" s="9">
        <f>IF(RIGHT(TMK[[#This Row],[Device type]],7)="Winding","-",TMK[[#This Row],[Cont Winter MVA]])</f>
        <v>7.1321348923586685</v>
      </c>
      <c r="AU167" s="9">
        <f>IF(RIGHT(TMK[[#This Row],[Device type]],7)="Winding","-",TMK[[#This Row],[Cont Shoulder MVA]])</f>
        <v>7.1321348923586685</v>
      </c>
      <c r="AV167" s="9">
        <f>IF(RIGHT(TMK[[#This Row],[Device type]],7)="Winding","-",TMK[[#This Row],[Cont Summer MVA]])</f>
        <v>7.1321348923586685</v>
      </c>
      <c r="AW167" s="9" t="str">
        <f>IF(RIGHT(TMK[[#This Row],[Device type]],7)="Winding","-",TMK[[#This Row],[24 Hr Winter MVA]])</f>
        <v>-</v>
      </c>
      <c r="AX167" s="9" t="str">
        <f>IF(RIGHT(TMK[[#This Row],[Device type]],7)="Winding","-",TMK[[#This Row],[24 Hr Summer MVA]])</f>
        <v>-</v>
      </c>
      <c r="AY167" s="9" t="str">
        <f>TMK[[#This Row],[Forwards MVA]]</f>
        <v>-</v>
      </c>
      <c r="AZ167" s="9" t="str">
        <f>TMK[[#This Row],[Relay MVA]]</f>
        <v>-</v>
      </c>
      <c r="BA167" s="9" t="str">
        <f>TMK[[#This Row],[CT MVA]]</f>
        <v>-</v>
      </c>
      <c r="BB167" s="9">
        <f>TMK[[#This Row],[Derating MVA]]</f>
        <v>5.2588939271504485</v>
      </c>
      <c r="BC167" s="9" t="str">
        <f>TMK[[#This Row],[Station/Feeder]]&amp;TMK[[#This Row],[Lowest MVA]]</f>
        <v>CB4_Main South Road5.25889392715045</v>
      </c>
      <c r="BD167" s="9" t="str">
        <f>CONCATENATE(TMK[[#This Row],[Supply Level]],TMK[[#This Row],[Station/Feeder]],TMK[[#This Row],[Voltage]],TMK[[#This Row],[Lowest A-No PTX]])</f>
        <v>DistributionFeederCB4_Main South Road11.22270.608184</v>
      </c>
      <c r="BE167" s="9" t="str">
        <f>CONCATENATE(TMK[[#This Row],[Supply Level]],TMK[[#This Row],[Station/Feeder]],TMK[[#This Row],[Voltage]],TMK[[#This Row],[Lowest A-PTX]])</f>
        <v>DistributionFeederCB4_Main South Road11.22270.608184</v>
      </c>
      <c r="BF167" s="9">
        <f>IFERROR(IF(MIN(TMK[[#This Row],[Summ Cont Winter A]:[Cable Derating]])=0,"",MIN(TMK[[#This Row],[Summ Cont Winter A]:[Cable Derating]])),"")</f>
        <v>5.2588939271504485</v>
      </c>
      <c r="BG167" s="9">
        <f>IFERROR(TMK[[#This Row],[Lowest MVA]]*1000/(TMK[[#This Row],[Voltage]]*SQRT(3)),"")</f>
        <v>270.60818399999999</v>
      </c>
      <c r="BH167" s="9">
        <f t="shared" si="115"/>
        <v>270.60818399999999</v>
      </c>
      <c r="BI167" s="9" t="str">
        <f>TMK[[#This Row],[From]]</f>
        <v>CB4</v>
      </c>
      <c r="BJ167" s="9" t="str">
        <f>TMK[[#This Row],[To]]</f>
        <v>T703</v>
      </c>
      <c r="BK16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185 mm² XLPE</v>
      </c>
      <c r="BL167" s="9">
        <f>TMK[[#This Row],[Voltage]]</f>
        <v>11.22</v>
      </c>
    </row>
    <row r="168" spans="1:64" s="1" customFormat="1" x14ac:dyDescent="0.25">
      <c r="A168" s="6" t="str">
        <f>CONCATENATE(TMK[[#This Row],[Supply Level]],TMK[[#This Row],[Station/Feeder]],TMK[[#This Row],[Voltage]])</f>
        <v>DistributionFeederCB4_Main South Road11.22</v>
      </c>
      <c r="B168" s="6" t="str">
        <f>CONCATENATE(TMK[[#This Row],[Supply Level]],TMK[[#This Row],[Station/Feeder]],TMK[[#This Row],[Equipment ID]],TMK[[#This Row],[Voltage]],TMK[[#This Row],[Device type]])</f>
        <v>DistributionFeederCB4_Main South RoadDOG11.22-</v>
      </c>
      <c r="C168" s="6" t="s">
        <v>1276</v>
      </c>
      <c r="D168" s="11" t="s">
        <v>121</v>
      </c>
      <c r="E168" s="46" t="s">
        <v>498</v>
      </c>
      <c r="F168" s="123" t="s">
        <v>598</v>
      </c>
      <c r="G168" s="57">
        <v>3</v>
      </c>
      <c r="H168" s="7" t="s">
        <v>1289</v>
      </c>
      <c r="I168" s="123" t="s">
        <v>318</v>
      </c>
      <c r="J168" s="123" t="s">
        <v>69</v>
      </c>
      <c r="K168" s="46" t="s">
        <v>0</v>
      </c>
      <c r="L168" s="46" t="s">
        <v>0</v>
      </c>
      <c r="M168" s="43">
        <f t="shared" si="122"/>
        <v>11.22</v>
      </c>
      <c r="N168" s="9">
        <v>343.69342642524197</v>
      </c>
      <c r="O168" s="9">
        <f t="shared" si="110"/>
        <v>6.679204029650613</v>
      </c>
      <c r="P168" s="9" t="s">
        <v>0</v>
      </c>
      <c r="Q168" s="9" t="str">
        <f t="shared" si="111"/>
        <v>-</v>
      </c>
      <c r="R168" s="9">
        <v>256.85852310343915</v>
      </c>
      <c r="S168" s="9">
        <f t="shared" si="112"/>
        <v>4.9916883788167672</v>
      </c>
      <c r="T168" s="9" t="s">
        <v>0</v>
      </c>
      <c r="U168" s="9" t="str">
        <f t="shared" si="113"/>
        <v>-</v>
      </c>
      <c r="V168" s="9" t="s">
        <v>0</v>
      </c>
      <c r="W168" s="9" t="str">
        <f t="shared" si="114"/>
        <v>-</v>
      </c>
      <c r="X168" s="9" t="s">
        <v>0</v>
      </c>
      <c r="Y168" s="9" t="str">
        <f t="shared" si="116"/>
        <v>-</v>
      </c>
      <c r="Z168" s="9" t="s">
        <v>0</v>
      </c>
      <c r="AA168" s="9" t="str">
        <f t="shared" si="117"/>
        <v>-</v>
      </c>
      <c r="AB168" s="9" t="s">
        <v>0</v>
      </c>
      <c r="AC168" s="9" t="str">
        <f t="shared" si="118"/>
        <v>-</v>
      </c>
      <c r="AD168" s="9" t="s">
        <v>0</v>
      </c>
      <c r="AE168" s="12" t="str">
        <f t="shared" si="119"/>
        <v>-</v>
      </c>
      <c r="AF168" s="9" t="s">
        <v>0</v>
      </c>
      <c r="AG168" s="9" t="s">
        <v>0</v>
      </c>
      <c r="AH168" s="9">
        <v>157.1</v>
      </c>
      <c r="AI168" s="9" t="s">
        <v>0</v>
      </c>
      <c r="AJ168" s="43" t="s">
        <v>0</v>
      </c>
      <c r="AK168" s="9" t="s">
        <v>0</v>
      </c>
      <c r="AL168" s="43" t="s">
        <v>0</v>
      </c>
      <c r="AM168" s="9" t="s">
        <v>0</v>
      </c>
      <c r="AN168" s="43" t="s">
        <v>0</v>
      </c>
      <c r="AO168" s="9" t="s">
        <v>0</v>
      </c>
      <c r="AP168" s="9" t="s">
        <v>0</v>
      </c>
      <c r="AQ168" s="43" t="s">
        <v>0</v>
      </c>
      <c r="AR168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68" s="9" t="str">
        <f t="shared" si="120"/>
        <v>-</v>
      </c>
      <c r="AT168" s="9">
        <f>IF(RIGHT(TMK[[#This Row],[Device type]],7)="Winding","-",TMK[[#This Row],[Cont Winter MVA]])</f>
        <v>6.679204029650613</v>
      </c>
      <c r="AU168" s="9" t="str">
        <f>IF(RIGHT(TMK[[#This Row],[Device type]],7)="Winding","-",TMK[[#This Row],[Cont Shoulder MVA]])</f>
        <v>-</v>
      </c>
      <c r="AV168" s="9">
        <f>IF(RIGHT(TMK[[#This Row],[Device type]],7)="Winding","-",TMK[[#This Row],[Cont Summer MVA]])</f>
        <v>4.9916883788167672</v>
      </c>
      <c r="AW168" s="9" t="str">
        <f>IF(RIGHT(TMK[[#This Row],[Device type]],7)="Winding","-",TMK[[#This Row],[24 Hr Winter MVA]])</f>
        <v>-</v>
      </c>
      <c r="AX168" s="9" t="str">
        <f>IF(RIGHT(TMK[[#This Row],[Device type]],7)="Winding","-",TMK[[#This Row],[24 Hr Summer MVA]])</f>
        <v>-</v>
      </c>
      <c r="AY168" s="9" t="str">
        <f>TMK[[#This Row],[Forwards MVA]]</f>
        <v>-</v>
      </c>
      <c r="AZ168" s="9" t="str">
        <f>TMK[[#This Row],[Relay MVA]]</f>
        <v>-</v>
      </c>
      <c r="BA168" s="9" t="str">
        <f>TMK[[#This Row],[CT MVA]]</f>
        <v>-</v>
      </c>
      <c r="BB168" s="9" t="str">
        <f>TMK[[#This Row],[Derating MVA]]</f>
        <v>-</v>
      </c>
      <c r="BC168" s="9" t="str">
        <f>TMK[[#This Row],[Station/Feeder]]&amp;TMK[[#This Row],[Lowest MVA]]</f>
        <v>CB4_Main South Road4.99168837881677</v>
      </c>
      <c r="BD168" s="9" t="str">
        <f>CONCATENATE(TMK[[#This Row],[Supply Level]],TMK[[#This Row],[Station/Feeder]],TMK[[#This Row],[Voltage]],TMK[[#This Row],[Lowest A-No PTX]])</f>
        <v>DistributionFeederCB4_Main South Road11.22256.858523103439</v>
      </c>
      <c r="BE168" s="9" t="str">
        <f>CONCATENATE(TMK[[#This Row],[Supply Level]],TMK[[#This Row],[Station/Feeder]],TMK[[#This Row],[Voltage]],TMK[[#This Row],[Lowest A-PTX]])</f>
        <v>DistributionFeederCB4_Main South Road11.22256.858523103439</v>
      </c>
      <c r="BF168" s="9">
        <f>IFERROR(IF(MIN(TMK[[#This Row],[Summ Cont Winter A]:[Cable Derating]])=0,"",MIN(TMK[[#This Row],[Summ Cont Winter A]:[Cable Derating]])),"")</f>
        <v>4.9916883788167672</v>
      </c>
      <c r="BG168" s="9">
        <f>IFERROR(TMK[[#This Row],[Lowest MVA]]*1000/(TMK[[#This Row],[Voltage]]*SQRT(3)),"")</f>
        <v>256.85852310343915</v>
      </c>
      <c r="BH168" s="9">
        <f t="shared" si="115"/>
        <v>256.85852310343915</v>
      </c>
      <c r="BI168" s="9" t="str">
        <f>TMK[[#This Row],[From]]</f>
        <v>CB4</v>
      </c>
      <c r="BJ168" s="9" t="str">
        <f>TMK[[#This Row],[To]]</f>
        <v>T703</v>
      </c>
      <c r="BK16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168" s="9">
        <f>TMK[[#This Row],[Voltage]]</f>
        <v>11.22</v>
      </c>
    </row>
    <row r="169" spans="1:64" s="1" customFormat="1" x14ac:dyDescent="0.25">
      <c r="A169" s="6" t="str">
        <f>CONCATENATE(TMK[[#This Row],[Supply Level]],TMK[[#This Row],[Station/Feeder]],TMK[[#This Row],[Voltage]])</f>
        <v>DistributionFeederCB4_Main South Road11.22</v>
      </c>
      <c r="B169" s="6" t="str">
        <f>CONCATENATE(TMK[[#This Row],[Supply Level]],TMK[[#This Row],[Station/Feeder]],TMK[[#This Row],[Equipment ID]],TMK[[#This Row],[Voltage]],TMK[[#This Row],[Device type]])</f>
        <v>DistributionFeederCB4_Main South RoadT70311.22-</v>
      </c>
      <c r="C169" s="6" t="s">
        <v>1276</v>
      </c>
      <c r="D169" s="11" t="s">
        <v>121</v>
      </c>
      <c r="E169" s="46" t="s">
        <v>498</v>
      </c>
      <c r="F169" s="123" t="s">
        <v>598</v>
      </c>
      <c r="G169" s="57">
        <v>4</v>
      </c>
      <c r="H169" s="46" t="s">
        <v>273</v>
      </c>
      <c r="I169" s="123" t="s">
        <v>598</v>
      </c>
      <c r="J169" s="123" t="s">
        <v>240</v>
      </c>
      <c r="K169" s="46" t="s">
        <v>0</v>
      </c>
      <c r="L169" s="46" t="s">
        <v>0</v>
      </c>
      <c r="M169" s="43">
        <f t="shared" si="122"/>
        <v>11.22</v>
      </c>
      <c r="N169" s="9">
        <v>600</v>
      </c>
      <c r="O169" s="9">
        <f t="shared" si="110"/>
        <v>11.660166036553681</v>
      </c>
      <c r="P169" s="9">
        <v>600</v>
      </c>
      <c r="Q169" s="9">
        <f t="shared" si="111"/>
        <v>11.660166036553681</v>
      </c>
      <c r="R169" s="9">
        <v>600</v>
      </c>
      <c r="S169" s="9">
        <f t="shared" si="112"/>
        <v>11.660166036553681</v>
      </c>
      <c r="T169" s="9" t="s">
        <v>0</v>
      </c>
      <c r="U169" s="9" t="str">
        <f t="shared" si="113"/>
        <v>-</v>
      </c>
      <c r="V169" s="9" t="s">
        <v>0</v>
      </c>
      <c r="W169" s="9" t="str">
        <f t="shared" si="114"/>
        <v>-</v>
      </c>
      <c r="X169" s="9" t="s">
        <v>0</v>
      </c>
      <c r="Y169" s="9" t="str">
        <f t="shared" si="6"/>
        <v>-</v>
      </c>
      <c r="Z169" s="9" t="s">
        <v>0</v>
      </c>
      <c r="AA169" s="9" t="str">
        <f t="shared" si="7"/>
        <v>-</v>
      </c>
      <c r="AB169" s="9" t="s">
        <v>0</v>
      </c>
      <c r="AC169" s="9" t="str">
        <f t="shared" si="8"/>
        <v>-</v>
      </c>
      <c r="AD169" s="9" t="s">
        <v>0</v>
      </c>
      <c r="AE169" s="12" t="str">
        <f t="shared" si="9"/>
        <v>-</v>
      </c>
      <c r="AF169" s="29" t="s">
        <v>0</v>
      </c>
      <c r="AG169" s="29" t="s">
        <v>0</v>
      </c>
      <c r="AH169" s="29" t="s">
        <v>0</v>
      </c>
      <c r="AI169" s="29" t="s">
        <v>0</v>
      </c>
      <c r="AJ169" s="32" t="s">
        <v>0</v>
      </c>
      <c r="AK169" s="29" t="s">
        <v>0</v>
      </c>
      <c r="AL169" s="32" t="s">
        <v>0</v>
      </c>
      <c r="AM169" s="29" t="s">
        <v>0</v>
      </c>
      <c r="AN169" s="32" t="s">
        <v>0</v>
      </c>
      <c r="AO169" s="29" t="s">
        <v>0</v>
      </c>
      <c r="AP169" s="29" t="s">
        <v>0</v>
      </c>
      <c r="AQ169" s="32" t="s">
        <v>0</v>
      </c>
      <c r="AR16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69" s="9" t="str">
        <f t="shared" si="120"/>
        <v>-</v>
      </c>
      <c r="AT169" s="9">
        <f>IF(RIGHT(TMK[[#This Row],[Device type]],7)="Winding","-",TMK[[#This Row],[Cont Winter MVA]])</f>
        <v>11.660166036553681</v>
      </c>
      <c r="AU169" s="9">
        <f>IF(RIGHT(TMK[[#This Row],[Device type]],7)="Winding","-",TMK[[#This Row],[Cont Shoulder MVA]])</f>
        <v>11.660166036553681</v>
      </c>
      <c r="AV169" s="9">
        <f>IF(RIGHT(TMK[[#This Row],[Device type]],7)="Winding","-",TMK[[#This Row],[Cont Summer MVA]])</f>
        <v>11.660166036553681</v>
      </c>
      <c r="AW169" s="9" t="str">
        <f>IF(RIGHT(TMK[[#This Row],[Device type]],7)="Winding","-",TMK[[#This Row],[24 Hr Winter MVA]])</f>
        <v>-</v>
      </c>
      <c r="AX169" s="9" t="str">
        <f>IF(RIGHT(TMK[[#This Row],[Device type]],7)="Winding","-",TMK[[#This Row],[24 Hr Summer MVA]])</f>
        <v>-</v>
      </c>
      <c r="AY169" s="9" t="str">
        <f>TMK[[#This Row],[Forwards MVA]]</f>
        <v>-</v>
      </c>
      <c r="AZ169" s="9" t="str">
        <f>TMK[[#This Row],[Relay MVA]]</f>
        <v>-</v>
      </c>
      <c r="BA169" s="9" t="str">
        <f>TMK[[#This Row],[CT MVA]]</f>
        <v>-</v>
      </c>
      <c r="BB169" s="9" t="str">
        <f>TMK[[#This Row],[Derating MVA]]</f>
        <v>-</v>
      </c>
      <c r="BC169" s="9" t="str">
        <f>TMK[[#This Row],[Station/Feeder]]&amp;TMK[[#This Row],[Lowest MVA]]</f>
        <v>CB4_Main South Road11.6601660365537</v>
      </c>
      <c r="BD169" s="9" t="str">
        <f>CONCATENATE(TMK[[#This Row],[Supply Level]],TMK[[#This Row],[Station/Feeder]],TMK[[#This Row],[Voltage]],TMK[[#This Row],[Lowest A-No PTX]])</f>
        <v>DistributionFeederCB4_Main South Road11.22600</v>
      </c>
      <c r="BE169" s="9" t="str">
        <f>CONCATENATE(TMK[[#This Row],[Supply Level]],TMK[[#This Row],[Station/Feeder]],TMK[[#This Row],[Voltage]],TMK[[#This Row],[Lowest A-PTX]])</f>
        <v>DistributionFeederCB4_Main South Road11.22600</v>
      </c>
      <c r="BF169" s="9">
        <f>IFERROR(IF(MIN(TMK[[#This Row],[Summ Cont Winter A]:[Cable Derating]])=0,"",MIN(TMK[[#This Row],[Summ Cont Winter A]:[Cable Derating]])),"")</f>
        <v>11.660166036553681</v>
      </c>
      <c r="BG169" s="9">
        <f>IFERROR(TMK[[#This Row],[Lowest MVA]]*1000/(TMK[[#This Row],[Voltage]]*SQRT(3)),"")</f>
        <v>600</v>
      </c>
      <c r="BH169" s="9">
        <f t="shared" si="115"/>
        <v>600</v>
      </c>
      <c r="BI169" s="9" t="str">
        <f>TMK[[#This Row],[From]]</f>
        <v>CB4</v>
      </c>
      <c r="BJ169" s="9" t="str">
        <f>TMK[[#This Row],[To]]</f>
        <v>T703</v>
      </c>
      <c r="BK16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ABS-T703</v>
      </c>
      <c r="BL169" s="9">
        <f>TMK[[#This Row],[Voltage]]</f>
        <v>11.22</v>
      </c>
    </row>
    <row r="170" spans="1:64" s="1" customFormat="1" ht="15.75" thickBot="1" x14ac:dyDescent="0.3">
      <c r="A170" s="191" t="str">
        <f>CONCATENATE(TMK[[#This Row],[Supply Level]],TMK[[#This Row],[Station/Feeder]],TMK[[#This Row],[Voltage]])</f>
        <v>DistributionFeederCB4_Main South Road11.22</v>
      </c>
      <c r="B170" s="191" t="str">
        <f>CONCATENATE(TMK[[#This Row],[Supply Level]],TMK[[#This Row],[Station/Feeder]],TMK[[#This Row],[Equipment ID]],TMK[[#This Row],[Voltage]],TMK[[#This Row],[Device type]])</f>
        <v>DistributionFeederCB4_Main South RoadDOG11.22-</v>
      </c>
      <c r="C170" s="191" t="s">
        <v>1276</v>
      </c>
      <c r="D170" s="192" t="s">
        <v>121</v>
      </c>
      <c r="E170" s="205" t="s">
        <v>598</v>
      </c>
      <c r="F170" s="196" t="s">
        <v>599</v>
      </c>
      <c r="G170" s="197">
        <v>5</v>
      </c>
      <c r="H170" s="193" t="s">
        <v>1289</v>
      </c>
      <c r="I170" s="205" t="s">
        <v>318</v>
      </c>
      <c r="J170" s="205" t="s">
        <v>69</v>
      </c>
      <c r="K170" s="196" t="s">
        <v>0</v>
      </c>
      <c r="L170" s="196" t="s">
        <v>0</v>
      </c>
      <c r="M170" s="175">
        <f t="shared" si="122"/>
        <v>11.22</v>
      </c>
      <c r="N170" s="155">
        <v>343.69342642524197</v>
      </c>
      <c r="O170" s="155">
        <f t="shared" si="110"/>
        <v>6.679204029650613</v>
      </c>
      <c r="P170" s="155" t="s">
        <v>0</v>
      </c>
      <c r="Q170" s="155" t="str">
        <f t="shared" si="111"/>
        <v>-</v>
      </c>
      <c r="R170" s="155">
        <v>256.85852310343915</v>
      </c>
      <c r="S170" s="155">
        <f t="shared" si="112"/>
        <v>4.9916883788167672</v>
      </c>
      <c r="T170" s="155" t="s">
        <v>0</v>
      </c>
      <c r="U170" s="155" t="str">
        <f t="shared" si="113"/>
        <v>-</v>
      </c>
      <c r="V170" s="155" t="s">
        <v>0</v>
      </c>
      <c r="W170" s="155" t="str">
        <f t="shared" si="114"/>
        <v>-</v>
      </c>
      <c r="X170" s="155" t="s">
        <v>0</v>
      </c>
      <c r="Y170" s="155" t="str">
        <f t="shared" si="116"/>
        <v>-</v>
      </c>
      <c r="Z170" s="155" t="s">
        <v>0</v>
      </c>
      <c r="AA170" s="155" t="str">
        <f t="shared" si="117"/>
        <v>-</v>
      </c>
      <c r="AB170" s="155" t="s">
        <v>0</v>
      </c>
      <c r="AC170" s="155" t="str">
        <f t="shared" si="118"/>
        <v>-</v>
      </c>
      <c r="AD170" s="155" t="s">
        <v>0</v>
      </c>
      <c r="AE170" s="195" t="str">
        <f t="shared" si="119"/>
        <v>-</v>
      </c>
      <c r="AF170" s="155" t="s">
        <v>0</v>
      </c>
      <c r="AG170" s="155" t="s">
        <v>0</v>
      </c>
      <c r="AH170" s="155">
        <v>70.22</v>
      </c>
      <c r="AI170" s="155" t="s">
        <v>0</v>
      </c>
      <c r="AJ170" s="175" t="s">
        <v>0</v>
      </c>
      <c r="AK170" s="155" t="s">
        <v>0</v>
      </c>
      <c r="AL170" s="175" t="s">
        <v>0</v>
      </c>
      <c r="AM170" s="155" t="s">
        <v>0</v>
      </c>
      <c r="AN170" s="175" t="s">
        <v>0</v>
      </c>
      <c r="AO170" s="155" t="s">
        <v>0</v>
      </c>
      <c r="AP170" s="155" t="s">
        <v>0</v>
      </c>
      <c r="AQ170" s="175" t="s">
        <v>0</v>
      </c>
      <c r="AR170" s="155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70" s="155" t="str">
        <f t="shared" si="120"/>
        <v>-</v>
      </c>
      <c r="AT170" s="155">
        <f>IF(RIGHT(TMK[[#This Row],[Device type]],7)="Winding","-",TMK[[#This Row],[Cont Winter MVA]])</f>
        <v>6.679204029650613</v>
      </c>
      <c r="AU170" s="155" t="str">
        <f>IF(RIGHT(TMK[[#This Row],[Device type]],7)="Winding","-",TMK[[#This Row],[Cont Shoulder MVA]])</f>
        <v>-</v>
      </c>
      <c r="AV170" s="155">
        <f>IF(RIGHT(TMK[[#This Row],[Device type]],7)="Winding","-",TMK[[#This Row],[Cont Summer MVA]])</f>
        <v>4.9916883788167672</v>
      </c>
      <c r="AW170" s="155" t="str">
        <f>IF(RIGHT(TMK[[#This Row],[Device type]],7)="Winding","-",TMK[[#This Row],[24 Hr Winter MVA]])</f>
        <v>-</v>
      </c>
      <c r="AX170" s="155" t="str">
        <f>IF(RIGHT(TMK[[#This Row],[Device type]],7)="Winding","-",TMK[[#This Row],[24 Hr Summer MVA]])</f>
        <v>-</v>
      </c>
      <c r="AY170" s="155" t="str">
        <f>TMK[[#This Row],[Forwards MVA]]</f>
        <v>-</v>
      </c>
      <c r="AZ170" s="155" t="str">
        <f>TMK[[#This Row],[Relay MVA]]</f>
        <v>-</v>
      </c>
      <c r="BA170" s="155" t="str">
        <f>TMK[[#This Row],[CT MVA]]</f>
        <v>-</v>
      </c>
      <c r="BB170" s="155" t="str">
        <f>TMK[[#This Row],[Derating MVA]]</f>
        <v>-</v>
      </c>
      <c r="BC170" s="155" t="str">
        <f>TMK[[#This Row],[Station/Feeder]]&amp;TMK[[#This Row],[Lowest MVA]]</f>
        <v>CB4_Main South Road4.99168837881677</v>
      </c>
      <c r="BD170" s="155" t="str">
        <f>CONCATENATE(TMK[[#This Row],[Supply Level]],TMK[[#This Row],[Station/Feeder]],TMK[[#This Row],[Voltage]],TMK[[#This Row],[Lowest A-No PTX]])</f>
        <v>DistributionFeederCB4_Main South Road11.22256.858523103439</v>
      </c>
      <c r="BE170" s="155" t="str">
        <f>CONCATENATE(TMK[[#This Row],[Supply Level]],TMK[[#This Row],[Station/Feeder]],TMK[[#This Row],[Voltage]],TMK[[#This Row],[Lowest A-PTX]])</f>
        <v>DistributionFeederCB4_Main South Road11.22256.858523103439</v>
      </c>
      <c r="BF170" s="155">
        <f>IFERROR(IF(MIN(TMK[[#This Row],[Summ Cont Winter A]:[Cable Derating]])=0,"",MIN(TMK[[#This Row],[Summ Cont Winter A]:[Cable Derating]])),"")</f>
        <v>4.9916883788167672</v>
      </c>
      <c r="BG170" s="155">
        <f>IFERROR(TMK[[#This Row],[Lowest MVA]]*1000/(TMK[[#This Row],[Voltage]]*SQRT(3)),"")</f>
        <v>256.85852310343915</v>
      </c>
      <c r="BH170" s="155">
        <f t="shared" si="115"/>
        <v>256.85852310343915</v>
      </c>
      <c r="BI170" s="155" t="str">
        <f>TMK[[#This Row],[From]]</f>
        <v>T703</v>
      </c>
      <c r="BJ170" s="155" t="str">
        <f>TMK[[#This Row],[To]]</f>
        <v>Pole 00335</v>
      </c>
      <c r="BK170" s="19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170" s="155">
        <f>TMK[[#This Row],[Voltage]]</f>
        <v>11.22</v>
      </c>
    </row>
    <row r="171" spans="1:64" s="1" customFormat="1" ht="15" customHeight="1" x14ac:dyDescent="0.25">
      <c r="A171" s="168" t="str">
        <f>CONCATENATE(TMK[[#This Row],[Supply Level]],TMK[[#This Row],[Station/Feeder]],TMK[[#This Row],[Voltage]])</f>
        <v>SubTransmissionCB1202_Rangitata33.594</v>
      </c>
      <c r="B171" s="168" t="str">
        <f>CONCATENATE(TMK[[#This Row],[Supply Level]],TMK[[#This Row],[Station/Feeder]],TMK[[#This Row],[Equipment ID]],TMK[[#This Row],[Voltage]],TMK[[#This Row],[Device type]])</f>
        <v>SubTransmissionCB1202_RangitataTMK-CB120233.594Protection</v>
      </c>
      <c r="C171" s="168" t="s">
        <v>1245</v>
      </c>
      <c r="D171" s="118" t="s">
        <v>232</v>
      </c>
      <c r="E171" s="49" t="s">
        <v>63</v>
      </c>
      <c r="F171" s="49" t="s">
        <v>600</v>
      </c>
      <c r="G171" s="190">
        <v>1</v>
      </c>
      <c r="H171" s="49" t="s">
        <v>2382</v>
      </c>
      <c r="I171" s="124" t="s">
        <v>2310</v>
      </c>
      <c r="J171" s="124" t="s">
        <v>15</v>
      </c>
      <c r="K171" s="45" t="s">
        <v>470</v>
      </c>
      <c r="L171" s="45" t="s">
        <v>1423</v>
      </c>
      <c r="M171" s="32">
        <f t="shared" ref="M171:M183" si="123">33*1.018</f>
        <v>33.594000000000001</v>
      </c>
      <c r="N171" s="29">
        <v>630</v>
      </c>
      <c r="O171" s="29">
        <f t="shared" si="110"/>
        <v>36.657504342565389</v>
      </c>
      <c r="P171" s="29">
        <v>630</v>
      </c>
      <c r="Q171" s="29">
        <f t="shared" si="111"/>
        <v>36.657504342565389</v>
      </c>
      <c r="R171" s="29">
        <v>630</v>
      </c>
      <c r="S171" s="29">
        <f t="shared" si="112"/>
        <v>36.657504342565389</v>
      </c>
      <c r="T171" s="29">
        <v>630</v>
      </c>
      <c r="U171" s="29">
        <f t="shared" si="113"/>
        <v>36.657504342565389</v>
      </c>
      <c r="V171" s="29">
        <v>630</v>
      </c>
      <c r="W171" s="29">
        <f t="shared" si="114"/>
        <v>36.657504342565389</v>
      </c>
      <c r="X171" s="29">
        <f>VLOOKUP(TMK[[#This Row],[Equipment ID]],AEL_Protection_Data[#All],12,0)</f>
        <v>462</v>
      </c>
      <c r="Y171" s="29">
        <f>IF(OR(X171="",X171="-"),"-",X171*$M171*SQRT(3)/1000)</f>
        <v>26.882169851214613</v>
      </c>
      <c r="Z171" s="29">
        <f>TMK[[#This Row],[Forward A]]</f>
        <v>462</v>
      </c>
      <c r="AA171" s="29">
        <f>IF(OR(Z171="",Z171="-"),"-",Z171*$M171*SQRT(3)/1000)</f>
        <v>26.882169851214613</v>
      </c>
      <c r="AB171" s="29">
        <v>1800</v>
      </c>
      <c r="AC171" s="29">
        <f>IF(OR(AB171="",AB171="-"),"-",AB171*$M171*SQRT(3)/1000)</f>
        <v>104.73572669304396</v>
      </c>
      <c r="AD171" s="29">
        <v>1250</v>
      </c>
      <c r="AE171" s="169">
        <f>IF(OR(AD171="",AD171="-"),"-",AD171*$M171*SQRT(3)/1000)</f>
        <v>72.733143536836067</v>
      </c>
      <c r="AF171" s="29" t="s">
        <v>0</v>
      </c>
      <c r="AG171" s="29" t="s">
        <v>0</v>
      </c>
      <c r="AH171" s="29" t="s">
        <v>0</v>
      </c>
      <c r="AI171" s="29" t="s">
        <v>0</v>
      </c>
      <c r="AJ171" s="32" t="s">
        <v>0</v>
      </c>
      <c r="AK171" s="29" t="s">
        <v>0</v>
      </c>
      <c r="AL171" s="32" t="s">
        <v>0</v>
      </c>
      <c r="AM171" s="29" t="s">
        <v>0</v>
      </c>
      <c r="AN171" s="32" t="s">
        <v>0</v>
      </c>
      <c r="AO171" s="29" t="s">
        <v>0</v>
      </c>
      <c r="AP171" s="32" t="s">
        <v>0</v>
      </c>
      <c r="AQ171" s="32" t="s">
        <v>0</v>
      </c>
      <c r="AR171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71" s="29" t="str">
        <f>IF(OR(AR171="",AR171="-"),"-",AR171*$M171*SQRT(3)/1000)</f>
        <v>-</v>
      </c>
      <c r="AT171" s="29">
        <f>IF(RIGHT(TMK[[#This Row],[Device type]],7)="Winding","-",TMK[[#This Row],[Cont Winter MVA]])</f>
        <v>36.657504342565389</v>
      </c>
      <c r="AU171" s="29">
        <f>IF(RIGHT(TMK[[#This Row],[Device type]],7)="Winding","-",TMK[[#This Row],[Cont Shoulder MVA]])</f>
        <v>36.657504342565389</v>
      </c>
      <c r="AV171" s="29">
        <f>IF(RIGHT(TMK[[#This Row],[Device type]],7)="Winding","-",TMK[[#This Row],[Cont Summer MVA]])</f>
        <v>36.657504342565389</v>
      </c>
      <c r="AW171" s="29">
        <f>IF(RIGHT(TMK[[#This Row],[Device type]],7)="Winding","-",TMK[[#This Row],[24 Hr Winter MVA]])</f>
        <v>36.657504342565389</v>
      </c>
      <c r="AX171" s="29">
        <f>IF(RIGHT(TMK[[#This Row],[Device type]],7)="Winding","-",TMK[[#This Row],[24 Hr Summer MVA]])</f>
        <v>36.657504342565389</v>
      </c>
      <c r="AY171" s="29">
        <f>TMK[[#This Row],[Forwards MVA]]</f>
        <v>26.882169851214613</v>
      </c>
      <c r="AZ171" s="29">
        <f>TMK[[#This Row],[Relay MVA]]</f>
        <v>104.73572669304396</v>
      </c>
      <c r="BA171" s="29">
        <f>TMK[[#This Row],[CT MVA]]</f>
        <v>72.733143536836067</v>
      </c>
      <c r="BB171" s="29" t="str">
        <f>TMK[[#This Row],[Derating MVA]]</f>
        <v>-</v>
      </c>
      <c r="BC171" s="29" t="str">
        <f>TMK[[#This Row],[Station/Feeder]]&amp;TMK[[#This Row],[Lowest MVA]]</f>
        <v>CB1202_Rangitata26.8821698512146</v>
      </c>
      <c r="BD171" s="29" t="str">
        <f>CONCATENATE(TMK[[#This Row],[Supply Level]],TMK[[#This Row],[Station/Feeder]],TMK[[#This Row],[Voltage]],TMK[[#This Row],[Lowest A-No PTX]])</f>
        <v>SubTransmissionCB1202_Rangitata33.594462</v>
      </c>
      <c r="BE171" s="29" t="str">
        <f>CONCATENATE(TMK[[#This Row],[Supply Level]],TMK[[#This Row],[Station/Feeder]],TMK[[#This Row],[Voltage]],TMK[[#This Row],[Lowest A-PTX]])</f>
        <v>SubTransmissionCB1202_Rangitata33.594462</v>
      </c>
      <c r="BF171" s="29">
        <f>IFERROR(IF(MIN(TMK[[#This Row],[Summ Cont Winter A]:[Cable Derating]])=0,"",MIN(TMK[[#This Row],[Summ Cont Winter A]:[Cable Derating]])),"")</f>
        <v>26.882169851214613</v>
      </c>
      <c r="BG171" s="29">
        <f>IFERROR(TMK[[#This Row],[Lowest MVA]]*1000/(TMK[[#This Row],[Voltage]]*SQRT(3)),"")</f>
        <v>462</v>
      </c>
      <c r="BH171" s="29">
        <f t="shared" si="115"/>
        <v>462</v>
      </c>
      <c r="BI171" s="29" t="str">
        <f>TMK[[#This Row],[From]]</f>
        <v>33 kV Bus</v>
      </c>
      <c r="BJ171" s="29" t="str">
        <f>TMK[[#This Row],[To]]</f>
        <v>T557</v>
      </c>
      <c r="BK171" s="45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Breaker-TMK-CB1202-Protection</v>
      </c>
      <c r="BL171" s="29">
        <f>TMK[[#This Row],[Voltage]]</f>
        <v>33.594000000000001</v>
      </c>
    </row>
    <row r="172" spans="1:64" s="1" customFormat="1" ht="15" customHeight="1" x14ac:dyDescent="0.25">
      <c r="A172" s="6" t="str">
        <f>CONCATENATE(TMK[[#This Row],[Supply Level]],TMK[[#This Row],[Station/Feeder]],TMK[[#This Row],[Voltage]])</f>
        <v>SubTransmissionCB1202_Rangitata33.594</v>
      </c>
      <c r="B172" s="6" t="str">
        <f>CONCATENATE(TMK[[#This Row],[Supply Level]],TMK[[#This Row],[Station/Feeder]],TMK[[#This Row],[Equipment ID]],TMK[[#This Row],[Voltage]],TMK[[#This Row],[Device type]])</f>
        <v>SubTransmissionCB1202_Rangitata3-1c 400 mm² Al XLPE33.594-</v>
      </c>
      <c r="C172" s="6" t="s">
        <v>1245</v>
      </c>
      <c r="D172" s="11" t="s">
        <v>232</v>
      </c>
      <c r="E172" s="7" t="s">
        <v>63</v>
      </c>
      <c r="F172" s="7" t="s">
        <v>600</v>
      </c>
      <c r="G172" s="57">
        <v>2</v>
      </c>
      <c r="H172" s="260" t="s">
        <v>1293</v>
      </c>
      <c r="I172" s="123" t="s">
        <v>559</v>
      </c>
      <c r="J172" s="123" t="s">
        <v>250</v>
      </c>
      <c r="K172" s="46" t="s">
        <v>0</v>
      </c>
      <c r="L172" s="46" t="s">
        <v>0</v>
      </c>
      <c r="M172" s="43">
        <f t="shared" si="123"/>
        <v>33.594000000000001</v>
      </c>
      <c r="N172" s="9">
        <v>521</v>
      </c>
      <c r="O172" s="9">
        <f t="shared" si="110"/>
        <v>30.315174226153278</v>
      </c>
      <c r="P172" s="9">
        <v>521</v>
      </c>
      <c r="Q172" s="9">
        <f t="shared" si="111"/>
        <v>30.315174226153278</v>
      </c>
      <c r="R172" s="9">
        <v>521</v>
      </c>
      <c r="S172" s="9">
        <f t="shared" si="112"/>
        <v>30.315174226153278</v>
      </c>
      <c r="T172" s="9" t="s">
        <v>0</v>
      </c>
      <c r="U172" s="9" t="str">
        <f t="shared" si="113"/>
        <v>-</v>
      </c>
      <c r="V172" s="9" t="s">
        <v>0</v>
      </c>
      <c r="W172" s="9" t="str">
        <f t="shared" si="114"/>
        <v>-</v>
      </c>
      <c r="X172" s="9" t="s">
        <v>0</v>
      </c>
      <c r="Y172" s="9" t="str">
        <f t="shared" ref="Y172:Y183" si="124">IF(OR(X172="",X172="-"),"-",X172*$M172*SQRT(3)/1000)</f>
        <v>-</v>
      </c>
      <c r="Z172" s="9" t="s">
        <v>0</v>
      </c>
      <c r="AA172" s="9" t="str">
        <f t="shared" ref="AA172:AA183" si="125">IF(OR(Z172="",Z172="-"),"-",Z172*$M172*SQRT(3)/1000)</f>
        <v>-</v>
      </c>
      <c r="AB172" s="9" t="s">
        <v>0</v>
      </c>
      <c r="AC172" s="9" t="str">
        <f t="shared" ref="AC172:AC183" si="126">IF(OR(AB172="",AB172="-"),"-",AB172*$M172*SQRT(3)/1000)</f>
        <v>-</v>
      </c>
      <c r="AD172" s="9" t="s">
        <v>0</v>
      </c>
      <c r="AE172" s="12" t="str">
        <f t="shared" ref="AE172:AE181" si="127">IF(OR(AD172="",AD172="-"),"-",AD172*$M172*SQRT(3)/1000)</f>
        <v>-</v>
      </c>
      <c r="AF172" s="29">
        <v>1</v>
      </c>
      <c r="AG172" s="29" t="s">
        <v>265</v>
      </c>
      <c r="AH172" s="29">
        <v>50.2</v>
      </c>
      <c r="AI172" s="29">
        <v>1.2</v>
      </c>
      <c r="AJ172" s="32">
        <v>0.95</v>
      </c>
      <c r="AK172" s="29">
        <v>18</v>
      </c>
      <c r="AL172" s="32">
        <v>0.98</v>
      </c>
      <c r="AM172" s="29">
        <v>1.2</v>
      </c>
      <c r="AN172" s="32">
        <v>1</v>
      </c>
      <c r="AO172" s="29">
        <v>4</v>
      </c>
      <c r="AP172" s="29">
        <v>0.3</v>
      </c>
      <c r="AQ172" s="32">
        <v>0.72</v>
      </c>
      <c r="AR172" s="2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349.23671999999993</v>
      </c>
      <c r="AS172" s="9">
        <f t="shared" ref="AS172:AS181" si="128">IF(OR(AR172="",AR172="-"),"-",AR172*$M172*SQRT(3)/1000)</f>
        <v>20.32086758727506</v>
      </c>
      <c r="AT172" s="9">
        <f>IF(RIGHT(TMK[[#This Row],[Device type]],7)="Winding","-",TMK[[#This Row],[Cont Winter MVA]])</f>
        <v>30.315174226153278</v>
      </c>
      <c r="AU172" s="9">
        <f>IF(RIGHT(TMK[[#This Row],[Device type]],7)="Winding","-",TMK[[#This Row],[Cont Shoulder MVA]])</f>
        <v>30.315174226153278</v>
      </c>
      <c r="AV172" s="9">
        <f>IF(RIGHT(TMK[[#This Row],[Device type]],7)="Winding","-",TMK[[#This Row],[Cont Summer MVA]])</f>
        <v>30.315174226153278</v>
      </c>
      <c r="AW172" s="9" t="str">
        <f>IF(RIGHT(TMK[[#This Row],[Device type]],7)="Winding","-",TMK[[#This Row],[24 Hr Winter MVA]])</f>
        <v>-</v>
      </c>
      <c r="AX172" s="9" t="str">
        <f>IF(RIGHT(TMK[[#This Row],[Device type]],7)="Winding","-",TMK[[#This Row],[24 Hr Summer MVA]])</f>
        <v>-</v>
      </c>
      <c r="AY172" s="9" t="str">
        <f>TMK[[#This Row],[Forwards MVA]]</f>
        <v>-</v>
      </c>
      <c r="AZ172" s="9" t="str">
        <f>TMK[[#This Row],[Relay MVA]]</f>
        <v>-</v>
      </c>
      <c r="BA172" s="9" t="str">
        <f>TMK[[#This Row],[CT MVA]]</f>
        <v>-</v>
      </c>
      <c r="BB172" s="9">
        <f>TMK[[#This Row],[Derating MVA]]</f>
        <v>20.32086758727506</v>
      </c>
      <c r="BC172" s="9" t="str">
        <f>TMK[[#This Row],[Station/Feeder]]&amp;TMK[[#This Row],[Lowest MVA]]</f>
        <v>CB1202_Rangitata20.3208675872751</v>
      </c>
      <c r="BD172" s="9" t="str">
        <f>CONCATENATE(TMK[[#This Row],[Supply Level]],TMK[[#This Row],[Station/Feeder]],TMK[[#This Row],[Voltage]],TMK[[#This Row],[Lowest A-No PTX]])</f>
        <v>SubTransmissionCB1202_Rangitata33.594349.23672</v>
      </c>
      <c r="BE172" s="9" t="str">
        <f>CONCATENATE(TMK[[#This Row],[Supply Level]],TMK[[#This Row],[Station/Feeder]],TMK[[#This Row],[Voltage]],TMK[[#This Row],[Lowest A-PTX]])</f>
        <v>SubTransmissionCB1202_Rangitata33.594349.23672</v>
      </c>
      <c r="BF172" s="9">
        <f>IFERROR(IF(MIN(TMK[[#This Row],[Summ Cont Winter A]:[Cable Derating]])=0,"",MIN(TMK[[#This Row],[Summ Cont Winter A]:[Cable Derating]])),"")</f>
        <v>20.32086758727506</v>
      </c>
      <c r="BG172" s="9">
        <f>IFERROR(TMK[[#This Row],[Lowest MVA]]*1000/(TMK[[#This Row],[Voltage]]*SQRT(3)),"")</f>
        <v>349.23671999999993</v>
      </c>
      <c r="BH172" s="9">
        <f t="shared" si="115"/>
        <v>349.23671999999993</v>
      </c>
      <c r="BI172" s="9" t="str">
        <f>TMK[[#This Row],[From]]</f>
        <v>33 kV Bus</v>
      </c>
      <c r="BJ172" s="9" t="str">
        <f>TMK[[#This Row],[To]]</f>
        <v>T557</v>
      </c>
      <c r="BK17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Al XLPE</v>
      </c>
      <c r="BL172" s="9">
        <f>TMK[[#This Row],[Voltage]]</f>
        <v>33.594000000000001</v>
      </c>
    </row>
    <row r="173" spans="1:64" s="1" customFormat="1" ht="15" customHeight="1" x14ac:dyDescent="0.25">
      <c r="A173" s="6" t="str">
        <f>CONCATENATE(TMK[[#This Row],[Supply Level]],TMK[[#This Row],[Station/Feeder]],TMK[[#This Row],[Voltage]])</f>
        <v>SubTransmissionCB1202_Rangitata33.594</v>
      </c>
      <c r="B173" s="6" t="str">
        <f>CONCATENATE(TMK[[#This Row],[Supply Level]],TMK[[#This Row],[Station/Feeder]],TMK[[#This Row],[Equipment ID]],TMK[[#This Row],[Voltage]],TMK[[#This Row],[Device type]])</f>
        <v>SubTransmissionCB1202_RangitataT55733.594-</v>
      </c>
      <c r="C173" s="6" t="s">
        <v>1245</v>
      </c>
      <c r="D173" s="11" t="s">
        <v>232</v>
      </c>
      <c r="E173" s="7" t="s">
        <v>63</v>
      </c>
      <c r="F173" s="7" t="s">
        <v>600</v>
      </c>
      <c r="G173" s="57">
        <v>3</v>
      </c>
      <c r="H173" s="46" t="s">
        <v>273</v>
      </c>
      <c r="I173" s="123" t="s">
        <v>600</v>
      </c>
      <c r="J173" s="123" t="s">
        <v>240</v>
      </c>
      <c r="K173" s="46" t="s">
        <v>0</v>
      </c>
      <c r="L173" s="46" t="s">
        <v>0</v>
      </c>
      <c r="M173" s="43">
        <f t="shared" si="123"/>
        <v>33.594000000000001</v>
      </c>
      <c r="N173" s="9">
        <v>800</v>
      </c>
      <c r="O173" s="9">
        <f t="shared" si="110"/>
        <v>46.549211863575088</v>
      </c>
      <c r="P173" s="9">
        <v>800</v>
      </c>
      <c r="Q173" s="9">
        <f t="shared" si="111"/>
        <v>46.549211863575088</v>
      </c>
      <c r="R173" s="9">
        <v>800</v>
      </c>
      <c r="S173" s="9">
        <f t="shared" si="112"/>
        <v>46.549211863575088</v>
      </c>
      <c r="T173" s="9" t="s">
        <v>0</v>
      </c>
      <c r="U173" s="9" t="str">
        <f t="shared" si="113"/>
        <v>-</v>
      </c>
      <c r="V173" s="9" t="s">
        <v>0</v>
      </c>
      <c r="W173" s="9" t="str">
        <f t="shared" si="114"/>
        <v>-</v>
      </c>
      <c r="X173" s="9" t="s">
        <v>0</v>
      </c>
      <c r="Y173" s="9" t="str">
        <f t="shared" si="124"/>
        <v>-</v>
      </c>
      <c r="Z173" s="9" t="s">
        <v>0</v>
      </c>
      <c r="AA173" s="9" t="str">
        <f t="shared" si="125"/>
        <v>-</v>
      </c>
      <c r="AB173" s="9" t="s">
        <v>0</v>
      </c>
      <c r="AC173" s="9" t="str">
        <f t="shared" si="126"/>
        <v>-</v>
      </c>
      <c r="AD173" s="9" t="s">
        <v>0</v>
      </c>
      <c r="AE173" s="12" t="str">
        <f t="shared" si="127"/>
        <v>-</v>
      </c>
      <c r="AF173" s="29" t="s">
        <v>0</v>
      </c>
      <c r="AG173" s="29" t="s">
        <v>0</v>
      </c>
      <c r="AH173" s="9" t="s">
        <v>0</v>
      </c>
      <c r="AI173" s="29" t="s">
        <v>0</v>
      </c>
      <c r="AJ173" s="32" t="s">
        <v>0</v>
      </c>
      <c r="AK173" s="29" t="s">
        <v>0</v>
      </c>
      <c r="AL173" s="32" t="s">
        <v>0</v>
      </c>
      <c r="AM173" s="29" t="s">
        <v>0</v>
      </c>
      <c r="AN173" s="32" t="s">
        <v>0</v>
      </c>
      <c r="AO173" s="29" t="s">
        <v>0</v>
      </c>
      <c r="AP173" s="32" t="s">
        <v>0</v>
      </c>
      <c r="AQ173" s="32" t="s">
        <v>0</v>
      </c>
      <c r="AR17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73" s="9" t="str">
        <f t="shared" si="128"/>
        <v>-</v>
      </c>
      <c r="AT173" s="9">
        <f>IF(RIGHT(TMK[[#This Row],[Device type]],7)="Winding","-",TMK[[#This Row],[Cont Winter MVA]])</f>
        <v>46.549211863575088</v>
      </c>
      <c r="AU173" s="9">
        <f>IF(RIGHT(TMK[[#This Row],[Device type]],7)="Winding","-",TMK[[#This Row],[Cont Shoulder MVA]])</f>
        <v>46.549211863575088</v>
      </c>
      <c r="AV173" s="9">
        <f>IF(RIGHT(TMK[[#This Row],[Device type]],7)="Winding","-",TMK[[#This Row],[Cont Summer MVA]])</f>
        <v>46.549211863575088</v>
      </c>
      <c r="AW173" s="9" t="str">
        <f>IF(RIGHT(TMK[[#This Row],[Device type]],7)="Winding","-",TMK[[#This Row],[24 Hr Winter MVA]])</f>
        <v>-</v>
      </c>
      <c r="AX173" s="9" t="str">
        <f>IF(RIGHT(TMK[[#This Row],[Device type]],7)="Winding","-",TMK[[#This Row],[24 Hr Summer MVA]])</f>
        <v>-</v>
      </c>
      <c r="AY173" s="9" t="str">
        <f>TMK[[#This Row],[Forwards MVA]]</f>
        <v>-</v>
      </c>
      <c r="AZ173" s="9" t="str">
        <f>TMK[[#This Row],[Relay MVA]]</f>
        <v>-</v>
      </c>
      <c r="BA173" s="9" t="str">
        <f>TMK[[#This Row],[CT MVA]]</f>
        <v>-</v>
      </c>
      <c r="BB173" s="9" t="str">
        <f>TMK[[#This Row],[Derating MVA]]</f>
        <v>-</v>
      </c>
      <c r="BC173" s="9" t="str">
        <f>TMK[[#This Row],[Station/Feeder]]&amp;TMK[[#This Row],[Lowest MVA]]</f>
        <v>CB1202_Rangitata46.5492118635751</v>
      </c>
      <c r="BD173" s="9" t="str">
        <f>CONCATENATE(TMK[[#This Row],[Supply Level]],TMK[[#This Row],[Station/Feeder]],TMK[[#This Row],[Voltage]],TMK[[#This Row],[Lowest A-No PTX]])</f>
        <v>SubTransmissionCB1202_Rangitata33.594800</v>
      </c>
      <c r="BE173" s="9" t="str">
        <f>CONCATENATE(TMK[[#This Row],[Supply Level]],TMK[[#This Row],[Station/Feeder]],TMK[[#This Row],[Voltage]],TMK[[#This Row],[Lowest A-PTX]])</f>
        <v>SubTransmissionCB1202_Rangitata33.594800</v>
      </c>
      <c r="BF173" s="9">
        <f>IFERROR(IF(MIN(TMK[[#This Row],[Summ Cont Winter A]:[Cable Derating]])=0,"",MIN(TMK[[#This Row],[Summ Cont Winter A]:[Cable Derating]])),"")</f>
        <v>46.549211863575088</v>
      </c>
      <c r="BG173" s="9">
        <f>IFERROR(TMK[[#This Row],[Lowest MVA]]*1000/(TMK[[#This Row],[Voltage]]*SQRT(3)),"")</f>
        <v>800</v>
      </c>
      <c r="BH173" s="9">
        <f t="shared" si="115"/>
        <v>800</v>
      </c>
      <c r="BI173" s="9" t="str">
        <f>TMK[[#This Row],[From]]</f>
        <v>33 kV Bus</v>
      </c>
      <c r="BJ173" s="9" t="str">
        <f>TMK[[#This Row],[To]]</f>
        <v>T557</v>
      </c>
      <c r="BK17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ABS-T557</v>
      </c>
      <c r="BL173" s="9">
        <f>TMK[[#This Row],[Voltage]]</f>
        <v>33.594000000000001</v>
      </c>
    </row>
    <row r="174" spans="1:64" s="1" customFormat="1" ht="15" customHeight="1" x14ac:dyDescent="0.25">
      <c r="A174" s="6" t="str">
        <f>CONCATENATE(TMK[[#This Row],[Supply Level]],TMK[[#This Row],[Station/Feeder]],TMK[[#This Row],[Voltage]])</f>
        <v>SubTransmissionCB1202_Rangitata33.594</v>
      </c>
      <c r="B174" s="6" t="str">
        <f>CONCATENATE(TMK[[#This Row],[Supply Level]],TMK[[#This Row],[Station/Feeder]],TMK[[#This Row],[Equipment ID]],TMK[[#This Row],[Voltage]],TMK[[#This Row],[Device type]])</f>
        <v>SubTransmissionCB1202_RangitataDOG33.594-</v>
      </c>
      <c r="C174" s="6" t="s">
        <v>1245</v>
      </c>
      <c r="D174" s="11" t="s">
        <v>232</v>
      </c>
      <c r="E174" s="7" t="s">
        <v>600</v>
      </c>
      <c r="F174" s="46" t="s">
        <v>601</v>
      </c>
      <c r="G174" s="57">
        <v>4</v>
      </c>
      <c r="H174" s="46" t="s">
        <v>1289</v>
      </c>
      <c r="I174" s="123" t="s">
        <v>318</v>
      </c>
      <c r="J174" s="123" t="s">
        <v>69</v>
      </c>
      <c r="K174" s="46" t="s">
        <v>0</v>
      </c>
      <c r="L174" s="46" t="s">
        <v>0</v>
      </c>
      <c r="M174" s="43">
        <f t="shared" si="123"/>
        <v>33.594000000000001</v>
      </c>
      <c r="N174" s="9">
        <v>343.69342642524197</v>
      </c>
      <c r="O174" s="9">
        <f t="shared" si="110"/>
        <v>19.99832265348331</v>
      </c>
      <c r="P174" s="9" t="s">
        <v>0</v>
      </c>
      <c r="Q174" s="9" t="str">
        <f t="shared" si="111"/>
        <v>-</v>
      </c>
      <c r="R174" s="9">
        <v>256.85852310343915</v>
      </c>
      <c r="S174" s="9">
        <f t="shared" si="112"/>
        <v>14.945702263633732</v>
      </c>
      <c r="T174" s="9" t="s">
        <v>0</v>
      </c>
      <c r="U174" s="9" t="str">
        <f t="shared" si="113"/>
        <v>-</v>
      </c>
      <c r="V174" s="9" t="s">
        <v>0</v>
      </c>
      <c r="W174" s="9" t="str">
        <f t="shared" si="114"/>
        <v>-</v>
      </c>
      <c r="X174" s="9" t="s">
        <v>0</v>
      </c>
      <c r="Y174" s="9" t="str">
        <f t="shared" si="124"/>
        <v>-</v>
      </c>
      <c r="Z174" s="9" t="s">
        <v>0</v>
      </c>
      <c r="AA174" s="9" t="str">
        <f t="shared" si="125"/>
        <v>-</v>
      </c>
      <c r="AB174" s="9" t="s">
        <v>0</v>
      </c>
      <c r="AC174" s="9" t="str">
        <f t="shared" si="126"/>
        <v>-</v>
      </c>
      <c r="AD174" s="9" t="s">
        <v>0</v>
      </c>
      <c r="AE174" s="12" t="str">
        <f t="shared" si="127"/>
        <v>-</v>
      </c>
      <c r="AF174" s="9" t="s">
        <v>0</v>
      </c>
      <c r="AG174" s="9" t="s">
        <v>0</v>
      </c>
      <c r="AH174" s="9">
        <v>2493.6</v>
      </c>
      <c r="AI174" s="9" t="s">
        <v>0</v>
      </c>
      <c r="AJ174" s="43" t="s">
        <v>0</v>
      </c>
      <c r="AK174" s="9" t="s">
        <v>0</v>
      </c>
      <c r="AL174" s="43" t="s">
        <v>0</v>
      </c>
      <c r="AM174" s="9" t="s">
        <v>0</v>
      </c>
      <c r="AN174" s="43" t="s">
        <v>0</v>
      </c>
      <c r="AO174" s="9" t="s">
        <v>0</v>
      </c>
      <c r="AP174" s="9" t="s">
        <v>0</v>
      </c>
      <c r="AQ174" s="43" t="s">
        <v>0</v>
      </c>
      <c r="AR174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74" s="9" t="str">
        <f t="shared" si="128"/>
        <v>-</v>
      </c>
      <c r="AT174" s="9">
        <f>IF(RIGHT(TMK[[#This Row],[Device type]],7)="Winding","-",TMK[[#This Row],[Cont Winter MVA]])</f>
        <v>19.99832265348331</v>
      </c>
      <c r="AU174" s="9" t="str">
        <f>IF(RIGHT(TMK[[#This Row],[Device type]],7)="Winding","-",TMK[[#This Row],[Cont Shoulder MVA]])</f>
        <v>-</v>
      </c>
      <c r="AV174" s="9">
        <f>IF(RIGHT(TMK[[#This Row],[Device type]],7)="Winding","-",TMK[[#This Row],[Cont Summer MVA]])</f>
        <v>14.945702263633732</v>
      </c>
      <c r="AW174" s="9" t="str">
        <f>IF(RIGHT(TMK[[#This Row],[Device type]],7)="Winding","-",TMK[[#This Row],[24 Hr Winter MVA]])</f>
        <v>-</v>
      </c>
      <c r="AX174" s="9" t="str">
        <f>IF(RIGHT(TMK[[#This Row],[Device type]],7)="Winding","-",TMK[[#This Row],[24 Hr Summer MVA]])</f>
        <v>-</v>
      </c>
      <c r="AY174" s="9" t="str">
        <f>TMK[[#This Row],[Forwards MVA]]</f>
        <v>-</v>
      </c>
      <c r="AZ174" s="9" t="str">
        <f>TMK[[#This Row],[Relay MVA]]</f>
        <v>-</v>
      </c>
      <c r="BA174" s="9" t="str">
        <f>TMK[[#This Row],[CT MVA]]</f>
        <v>-</v>
      </c>
      <c r="BB174" s="9" t="str">
        <f>TMK[[#This Row],[Derating MVA]]</f>
        <v>-</v>
      </c>
      <c r="BC174" s="9" t="str">
        <f>TMK[[#This Row],[Station/Feeder]]&amp;TMK[[#This Row],[Lowest MVA]]</f>
        <v>CB1202_Rangitata14.9457022636337</v>
      </c>
      <c r="BD174" s="9" t="str">
        <f>CONCATENATE(TMK[[#This Row],[Supply Level]],TMK[[#This Row],[Station/Feeder]],TMK[[#This Row],[Voltage]],TMK[[#This Row],[Lowest A-No PTX]])</f>
        <v>SubTransmissionCB1202_Rangitata33.594256.858523103439</v>
      </c>
      <c r="BE174" s="9" t="str">
        <f>CONCATENATE(TMK[[#This Row],[Supply Level]],TMK[[#This Row],[Station/Feeder]],TMK[[#This Row],[Voltage]],TMK[[#This Row],[Lowest A-PTX]])</f>
        <v>SubTransmissionCB1202_Rangitata33.594256.858523103439</v>
      </c>
      <c r="BF174" s="9">
        <f>IFERROR(IF(MIN(TMK[[#This Row],[Summ Cont Winter A]:[Cable Derating]])=0,"",MIN(TMK[[#This Row],[Summ Cont Winter A]:[Cable Derating]])),"")</f>
        <v>14.945702263633732</v>
      </c>
      <c r="BG174" s="9">
        <f>IFERROR(TMK[[#This Row],[Lowest MVA]]*1000/(TMK[[#This Row],[Voltage]]*SQRT(3)),"")</f>
        <v>256.85852310343915</v>
      </c>
      <c r="BH174" s="9">
        <f t="shared" si="115"/>
        <v>256.85852310343915</v>
      </c>
      <c r="BI174" s="9" t="str">
        <f>TMK[[#This Row],[From]]</f>
        <v>T557</v>
      </c>
      <c r="BJ174" s="9" t="str">
        <f>TMK[[#This Row],[To]]</f>
        <v>G127</v>
      </c>
      <c r="BK17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174" s="9">
        <f>TMK[[#This Row],[Voltage]]</f>
        <v>33.594000000000001</v>
      </c>
    </row>
    <row r="175" spans="1:64" s="1" customFormat="1" ht="15" customHeight="1" x14ac:dyDescent="0.25">
      <c r="A175" s="6" t="str">
        <f>CONCATENATE(TMK[[#This Row],[Supply Level]],TMK[[#This Row],[Station/Feeder]],TMK[[#This Row],[Voltage]])</f>
        <v>SubTransmissionCB1202_Rangitata33.594</v>
      </c>
      <c r="B175" s="6" t="str">
        <f>CONCATENATE(TMK[[#This Row],[Supply Level]],TMK[[#This Row],[Station/Feeder]],TMK[[#This Row],[Equipment ID]],TMK[[#This Row],[Voltage]],TMK[[#This Row],[Device type]])</f>
        <v>SubTransmissionCB1202_RangitataIODINE33.594-</v>
      </c>
      <c r="C175" s="6" t="s">
        <v>1245</v>
      </c>
      <c r="D175" s="11" t="s">
        <v>232</v>
      </c>
      <c r="E175" s="7" t="s">
        <v>600</v>
      </c>
      <c r="F175" s="46" t="s">
        <v>601</v>
      </c>
      <c r="G175" s="57">
        <v>5</v>
      </c>
      <c r="H175" s="46" t="s">
        <v>1289</v>
      </c>
      <c r="I175" s="123" t="s">
        <v>329</v>
      </c>
      <c r="J175" s="123" t="s">
        <v>69</v>
      </c>
      <c r="K175" s="46" t="s">
        <v>0</v>
      </c>
      <c r="L175" s="46" t="s">
        <v>0</v>
      </c>
      <c r="M175" s="43">
        <f t="shared" si="123"/>
        <v>33.594000000000001</v>
      </c>
      <c r="N175" s="9">
        <v>368.60397632070425</v>
      </c>
      <c r="O175" s="9">
        <f t="shared" si="110"/>
        <v>21.447780734385848</v>
      </c>
      <c r="P175" s="9" t="s">
        <v>0</v>
      </c>
      <c r="Q175" s="9" t="str">
        <f t="shared" si="111"/>
        <v>-</v>
      </c>
      <c r="R175" s="9">
        <v>275.38648791159613</v>
      </c>
      <c r="S175" s="9">
        <f t="shared" si="112"/>
        <v>16.023779962703436</v>
      </c>
      <c r="T175" s="9" t="s">
        <v>0</v>
      </c>
      <c r="U175" s="9" t="str">
        <f t="shared" si="113"/>
        <v>-</v>
      </c>
      <c r="V175" s="9" t="s">
        <v>0</v>
      </c>
      <c r="W175" s="9" t="str">
        <f t="shared" si="114"/>
        <v>-</v>
      </c>
      <c r="X175" s="9" t="s">
        <v>0</v>
      </c>
      <c r="Y175" s="9" t="str">
        <f t="shared" si="124"/>
        <v>-</v>
      </c>
      <c r="Z175" s="9" t="s">
        <v>0</v>
      </c>
      <c r="AA175" s="9" t="str">
        <f t="shared" si="125"/>
        <v>-</v>
      </c>
      <c r="AB175" s="9" t="s">
        <v>0</v>
      </c>
      <c r="AC175" s="9" t="str">
        <f t="shared" si="126"/>
        <v>-</v>
      </c>
      <c r="AD175" s="9" t="s">
        <v>0</v>
      </c>
      <c r="AE175" s="12" t="str">
        <f t="shared" si="127"/>
        <v>-</v>
      </c>
      <c r="AF175" s="29" t="s">
        <v>0</v>
      </c>
      <c r="AG175" s="29" t="s">
        <v>0</v>
      </c>
      <c r="AH175" s="9">
        <v>1247.7</v>
      </c>
      <c r="AI175" s="29" t="s">
        <v>0</v>
      </c>
      <c r="AJ175" s="32" t="s">
        <v>0</v>
      </c>
      <c r="AK175" s="29" t="s">
        <v>0</v>
      </c>
      <c r="AL175" s="32" t="s">
        <v>0</v>
      </c>
      <c r="AM175" s="29" t="s">
        <v>0</v>
      </c>
      <c r="AN175" s="32" t="s">
        <v>0</v>
      </c>
      <c r="AO175" s="29" t="s">
        <v>0</v>
      </c>
      <c r="AP175" s="32" t="s">
        <v>0</v>
      </c>
      <c r="AQ175" s="32" t="s">
        <v>0</v>
      </c>
      <c r="AR175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75" s="9" t="str">
        <f t="shared" si="128"/>
        <v>-</v>
      </c>
      <c r="AT175" s="9">
        <f>IF(RIGHT(TMK[[#This Row],[Device type]],7)="Winding","-",TMK[[#This Row],[Cont Winter MVA]])</f>
        <v>21.447780734385848</v>
      </c>
      <c r="AU175" s="9" t="str">
        <f>IF(RIGHT(TMK[[#This Row],[Device type]],7)="Winding","-",TMK[[#This Row],[Cont Shoulder MVA]])</f>
        <v>-</v>
      </c>
      <c r="AV175" s="9">
        <f>IF(RIGHT(TMK[[#This Row],[Device type]],7)="Winding","-",TMK[[#This Row],[Cont Summer MVA]])</f>
        <v>16.023779962703436</v>
      </c>
      <c r="AW175" s="9" t="str">
        <f>IF(RIGHT(TMK[[#This Row],[Device type]],7)="Winding","-",TMK[[#This Row],[24 Hr Winter MVA]])</f>
        <v>-</v>
      </c>
      <c r="AX175" s="9" t="str">
        <f>IF(RIGHT(TMK[[#This Row],[Device type]],7)="Winding","-",TMK[[#This Row],[24 Hr Summer MVA]])</f>
        <v>-</v>
      </c>
      <c r="AY175" s="9" t="str">
        <f>TMK[[#This Row],[Forwards MVA]]</f>
        <v>-</v>
      </c>
      <c r="AZ175" s="9" t="str">
        <f>TMK[[#This Row],[Relay MVA]]</f>
        <v>-</v>
      </c>
      <c r="BA175" s="9" t="str">
        <f>TMK[[#This Row],[CT MVA]]</f>
        <v>-</v>
      </c>
      <c r="BB175" s="9" t="str">
        <f>TMK[[#This Row],[Derating MVA]]</f>
        <v>-</v>
      </c>
      <c r="BC175" s="9" t="str">
        <f>TMK[[#This Row],[Station/Feeder]]&amp;TMK[[#This Row],[Lowest MVA]]</f>
        <v>CB1202_Rangitata16.0237799627034</v>
      </c>
      <c r="BD175" s="9" t="str">
        <f>CONCATENATE(TMK[[#This Row],[Supply Level]],TMK[[#This Row],[Station/Feeder]],TMK[[#This Row],[Voltage]],TMK[[#This Row],[Lowest A-No PTX]])</f>
        <v>SubTransmissionCB1202_Rangitata33.594275.386487911596</v>
      </c>
      <c r="BE175" s="9" t="str">
        <f>CONCATENATE(TMK[[#This Row],[Supply Level]],TMK[[#This Row],[Station/Feeder]],TMK[[#This Row],[Voltage]],TMK[[#This Row],[Lowest A-PTX]])</f>
        <v>SubTransmissionCB1202_Rangitata33.594275.386487911596</v>
      </c>
      <c r="BF175" s="9">
        <f>IFERROR(IF(MIN(TMK[[#This Row],[Summ Cont Winter A]:[Cable Derating]])=0,"",MIN(TMK[[#This Row],[Summ Cont Winter A]:[Cable Derating]])),"")</f>
        <v>16.023779962703436</v>
      </c>
      <c r="BG175" s="9">
        <f>IFERROR(TMK[[#This Row],[Lowest MVA]]*1000/(TMK[[#This Row],[Voltage]]*SQRT(3)),"")</f>
        <v>275.38648791159613</v>
      </c>
      <c r="BH175" s="9">
        <f t="shared" si="115"/>
        <v>275.38648791159613</v>
      </c>
      <c r="BI175" s="9" t="str">
        <f>TMK[[#This Row],[From]]</f>
        <v>T557</v>
      </c>
      <c r="BJ175" s="9" t="str">
        <f>TMK[[#This Row],[To]]</f>
        <v>G127</v>
      </c>
      <c r="BK17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Line-IODINE</v>
      </c>
      <c r="BL175" s="9">
        <f>TMK[[#This Row],[Voltage]]</f>
        <v>33.594000000000001</v>
      </c>
    </row>
    <row r="176" spans="1:64" s="1" customFormat="1" ht="15" customHeight="1" x14ac:dyDescent="0.25">
      <c r="A176" s="6" t="str">
        <f>CONCATENATE(TMK[[#This Row],[Supply Level]],TMK[[#This Row],[Station/Feeder]],TMK[[#This Row],[Voltage]])</f>
        <v>SubTransmissionCB1202_Rangitata33.594</v>
      </c>
      <c r="B176" s="6" t="str">
        <f>CONCATENATE(TMK[[#This Row],[Supply Level]],TMK[[#This Row],[Station/Feeder]],TMK[[#This Row],[Equipment ID]],TMK[[#This Row],[Voltage]],TMK[[#This Row],[Device type]])</f>
        <v>SubTransmissionCB1202_RangitataDOG33.594-</v>
      </c>
      <c r="C176" s="6" t="s">
        <v>1245</v>
      </c>
      <c r="D176" s="11" t="s">
        <v>232</v>
      </c>
      <c r="E176" s="7" t="s">
        <v>600</v>
      </c>
      <c r="F176" s="46" t="s">
        <v>601</v>
      </c>
      <c r="G176" s="57">
        <v>6</v>
      </c>
      <c r="H176" s="46" t="s">
        <v>1289</v>
      </c>
      <c r="I176" s="123" t="s">
        <v>318</v>
      </c>
      <c r="J176" s="123" t="s">
        <v>69</v>
      </c>
      <c r="K176" s="46" t="s">
        <v>0</v>
      </c>
      <c r="L176" s="46" t="s">
        <v>0</v>
      </c>
      <c r="M176" s="43">
        <f t="shared" si="123"/>
        <v>33.594000000000001</v>
      </c>
      <c r="N176" s="9">
        <v>343.69342642524197</v>
      </c>
      <c r="O176" s="9">
        <f t="shared" si="110"/>
        <v>19.99832265348331</v>
      </c>
      <c r="P176" s="9" t="s">
        <v>0</v>
      </c>
      <c r="Q176" s="9" t="str">
        <f t="shared" si="111"/>
        <v>-</v>
      </c>
      <c r="R176" s="9">
        <v>256.85852310343915</v>
      </c>
      <c r="S176" s="9">
        <f t="shared" si="112"/>
        <v>14.945702263633732</v>
      </c>
      <c r="T176" s="9" t="s">
        <v>0</v>
      </c>
      <c r="U176" s="9" t="str">
        <f t="shared" si="113"/>
        <v>-</v>
      </c>
      <c r="V176" s="9" t="s">
        <v>0</v>
      </c>
      <c r="W176" s="9" t="str">
        <f t="shared" si="114"/>
        <v>-</v>
      </c>
      <c r="X176" s="9" t="s">
        <v>0</v>
      </c>
      <c r="Y176" s="9" t="str">
        <f t="shared" si="124"/>
        <v>-</v>
      </c>
      <c r="Z176" s="9" t="s">
        <v>0</v>
      </c>
      <c r="AA176" s="9" t="str">
        <f t="shared" si="125"/>
        <v>-</v>
      </c>
      <c r="AB176" s="9" t="s">
        <v>0</v>
      </c>
      <c r="AC176" s="9" t="str">
        <f t="shared" si="126"/>
        <v>-</v>
      </c>
      <c r="AD176" s="9" t="s">
        <v>0</v>
      </c>
      <c r="AE176" s="12" t="str">
        <f t="shared" si="127"/>
        <v>-</v>
      </c>
      <c r="AF176" s="9" t="s">
        <v>0</v>
      </c>
      <c r="AG176" s="9" t="s">
        <v>0</v>
      </c>
      <c r="AH176" s="9">
        <v>904.8</v>
      </c>
      <c r="AI176" s="9" t="s">
        <v>0</v>
      </c>
      <c r="AJ176" s="43" t="s">
        <v>0</v>
      </c>
      <c r="AK176" s="9" t="s">
        <v>0</v>
      </c>
      <c r="AL176" s="43" t="s">
        <v>0</v>
      </c>
      <c r="AM176" s="9" t="s">
        <v>0</v>
      </c>
      <c r="AN176" s="43" t="s">
        <v>0</v>
      </c>
      <c r="AO176" s="9" t="s">
        <v>0</v>
      </c>
      <c r="AP176" s="9" t="s">
        <v>0</v>
      </c>
      <c r="AQ176" s="43" t="s">
        <v>0</v>
      </c>
      <c r="AR176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76" s="9" t="str">
        <f t="shared" si="128"/>
        <v>-</v>
      </c>
      <c r="AT176" s="9">
        <f>IF(RIGHT(TMK[[#This Row],[Device type]],7)="Winding","-",TMK[[#This Row],[Cont Winter MVA]])</f>
        <v>19.99832265348331</v>
      </c>
      <c r="AU176" s="9" t="str">
        <f>IF(RIGHT(TMK[[#This Row],[Device type]],7)="Winding","-",TMK[[#This Row],[Cont Shoulder MVA]])</f>
        <v>-</v>
      </c>
      <c r="AV176" s="9">
        <f>IF(RIGHT(TMK[[#This Row],[Device type]],7)="Winding","-",TMK[[#This Row],[Cont Summer MVA]])</f>
        <v>14.945702263633732</v>
      </c>
      <c r="AW176" s="9" t="str">
        <f>IF(RIGHT(TMK[[#This Row],[Device type]],7)="Winding","-",TMK[[#This Row],[24 Hr Winter MVA]])</f>
        <v>-</v>
      </c>
      <c r="AX176" s="9" t="str">
        <f>IF(RIGHT(TMK[[#This Row],[Device type]],7)="Winding","-",TMK[[#This Row],[24 Hr Summer MVA]])</f>
        <v>-</v>
      </c>
      <c r="AY176" s="9" t="str">
        <f>TMK[[#This Row],[Forwards MVA]]</f>
        <v>-</v>
      </c>
      <c r="AZ176" s="9" t="str">
        <f>TMK[[#This Row],[Relay MVA]]</f>
        <v>-</v>
      </c>
      <c r="BA176" s="9" t="str">
        <f>TMK[[#This Row],[CT MVA]]</f>
        <v>-</v>
      </c>
      <c r="BB176" s="9" t="str">
        <f>TMK[[#This Row],[Derating MVA]]</f>
        <v>-</v>
      </c>
      <c r="BC176" s="9" t="str">
        <f>TMK[[#This Row],[Station/Feeder]]&amp;TMK[[#This Row],[Lowest MVA]]</f>
        <v>CB1202_Rangitata14.9457022636337</v>
      </c>
      <c r="BD176" s="9" t="str">
        <f>CONCATENATE(TMK[[#This Row],[Supply Level]],TMK[[#This Row],[Station/Feeder]],TMK[[#This Row],[Voltage]],TMK[[#This Row],[Lowest A-No PTX]])</f>
        <v>SubTransmissionCB1202_Rangitata33.594256.858523103439</v>
      </c>
      <c r="BE176" s="9" t="str">
        <f>CONCATENATE(TMK[[#This Row],[Supply Level]],TMK[[#This Row],[Station/Feeder]],TMK[[#This Row],[Voltage]],TMK[[#This Row],[Lowest A-PTX]])</f>
        <v>SubTransmissionCB1202_Rangitata33.594256.858523103439</v>
      </c>
      <c r="BF176" s="9">
        <f>IFERROR(IF(MIN(TMK[[#This Row],[Summ Cont Winter A]:[Cable Derating]])=0,"",MIN(TMK[[#This Row],[Summ Cont Winter A]:[Cable Derating]])),"")</f>
        <v>14.945702263633732</v>
      </c>
      <c r="BG176" s="9">
        <f>IFERROR(TMK[[#This Row],[Lowest MVA]]*1000/(TMK[[#This Row],[Voltage]]*SQRT(3)),"")</f>
        <v>256.85852310343915</v>
      </c>
      <c r="BH176" s="9">
        <f t="shared" si="115"/>
        <v>256.85852310343915</v>
      </c>
      <c r="BI176" s="9" t="str">
        <f>TMK[[#This Row],[From]]</f>
        <v>T557</v>
      </c>
      <c r="BJ176" s="9" t="str">
        <f>TMK[[#This Row],[To]]</f>
        <v>G127</v>
      </c>
      <c r="BK17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176" s="9">
        <f>TMK[[#This Row],[Voltage]]</f>
        <v>33.594000000000001</v>
      </c>
    </row>
    <row r="177" spans="1:64" s="1" customFormat="1" ht="15" customHeight="1" x14ac:dyDescent="0.25">
      <c r="A177" s="6" t="str">
        <f>CONCATENATE(TMK[[#This Row],[Supply Level]],TMK[[#This Row],[Station/Feeder]],TMK[[#This Row],[Voltage]])</f>
        <v>SubTransmissionCB1202_Rangitata33.594</v>
      </c>
      <c r="B177" s="6" t="str">
        <f>CONCATENATE(TMK[[#This Row],[Supply Level]],TMK[[#This Row],[Station/Feeder]],TMK[[#This Row],[Equipment ID]],TMK[[#This Row],[Voltage]],TMK[[#This Row],[Device type]])</f>
        <v>SubTransmissionCB1202_Rangitata1-3c 95 mm² Al XLPE33.594-</v>
      </c>
      <c r="C177" s="6" t="s">
        <v>1245</v>
      </c>
      <c r="D177" s="11" t="s">
        <v>232</v>
      </c>
      <c r="E177" s="7" t="s">
        <v>600</v>
      </c>
      <c r="F177" s="46" t="s">
        <v>601</v>
      </c>
      <c r="G177" s="57">
        <v>7</v>
      </c>
      <c r="H177" s="46" t="s">
        <v>276</v>
      </c>
      <c r="I177" s="123" t="s">
        <v>571</v>
      </c>
      <c r="J177" s="123" t="s">
        <v>250</v>
      </c>
      <c r="K177" s="46" t="s">
        <v>0</v>
      </c>
      <c r="L177" s="46" t="s">
        <v>0</v>
      </c>
      <c r="M177" s="43">
        <f t="shared" si="123"/>
        <v>33.594000000000001</v>
      </c>
      <c r="N177" s="9">
        <v>218</v>
      </c>
      <c r="O177" s="9">
        <f t="shared" si="110"/>
        <v>12.684660232824212</v>
      </c>
      <c r="P177" s="9">
        <v>218</v>
      </c>
      <c r="Q177" s="9">
        <f t="shared" si="111"/>
        <v>12.684660232824212</v>
      </c>
      <c r="R177" s="9">
        <v>218</v>
      </c>
      <c r="S177" s="9">
        <f t="shared" si="112"/>
        <v>12.684660232824212</v>
      </c>
      <c r="T177" s="9" t="s">
        <v>0</v>
      </c>
      <c r="U177" s="9" t="str">
        <f t="shared" si="113"/>
        <v>-</v>
      </c>
      <c r="V177" s="9" t="s">
        <v>0</v>
      </c>
      <c r="W177" s="9" t="str">
        <f t="shared" si="114"/>
        <v>-</v>
      </c>
      <c r="X177" s="9" t="s">
        <v>0</v>
      </c>
      <c r="Y177" s="9" t="str">
        <f t="shared" si="124"/>
        <v>-</v>
      </c>
      <c r="Z177" s="9" t="s">
        <v>0</v>
      </c>
      <c r="AA177" s="9" t="str">
        <f t="shared" si="125"/>
        <v>-</v>
      </c>
      <c r="AB177" s="9" t="s">
        <v>0</v>
      </c>
      <c r="AC177" s="9" t="str">
        <f t="shared" si="126"/>
        <v>-</v>
      </c>
      <c r="AD177" s="9" t="s">
        <v>0</v>
      </c>
      <c r="AE177" s="12" t="str">
        <f t="shared" si="127"/>
        <v>-</v>
      </c>
      <c r="AF177" s="29">
        <v>3</v>
      </c>
      <c r="AG177" s="29" t="s">
        <v>344</v>
      </c>
      <c r="AH177" s="9">
        <v>1202.5</v>
      </c>
      <c r="AI177" s="29">
        <v>1.25</v>
      </c>
      <c r="AJ177" s="32">
        <v>0.97</v>
      </c>
      <c r="AK177" s="29">
        <v>18</v>
      </c>
      <c r="AL177" s="32">
        <v>0.98</v>
      </c>
      <c r="AM177" s="29">
        <v>1.2</v>
      </c>
      <c r="AN177" s="32">
        <v>1</v>
      </c>
      <c r="AO177" s="29">
        <v>1</v>
      </c>
      <c r="AP177" s="32">
        <v>0</v>
      </c>
      <c r="AQ177" s="32">
        <v>1</v>
      </c>
      <c r="AR177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207.23079999999999</v>
      </c>
      <c r="AS177" s="9">
        <f t="shared" si="128"/>
        <v>12.058038017322694</v>
      </c>
      <c r="AT177" s="9">
        <f>IF(RIGHT(TMK[[#This Row],[Device type]],7)="Winding","-",TMK[[#This Row],[Cont Winter MVA]])</f>
        <v>12.684660232824212</v>
      </c>
      <c r="AU177" s="9">
        <f>IF(RIGHT(TMK[[#This Row],[Device type]],7)="Winding","-",TMK[[#This Row],[Cont Shoulder MVA]])</f>
        <v>12.684660232824212</v>
      </c>
      <c r="AV177" s="9">
        <f>IF(RIGHT(TMK[[#This Row],[Device type]],7)="Winding","-",TMK[[#This Row],[Cont Summer MVA]])</f>
        <v>12.684660232824212</v>
      </c>
      <c r="AW177" s="9" t="str">
        <f>IF(RIGHT(TMK[[#This Row],[Device type]],7)="Winding","-",TMK[[#This Row],[24 Hr Winter MVA]])</f>
        <v>-</v>
      </c>
      <c r="AX177" s="9" t="str">
        <f>IF(RIGHT(TMK[[#This Row],[Device type]],7)="Winding","-",TMK[[#This Row],[24 Hr Summer MVA]])</f>
        <v>-</v>
      </c>
      <c r="AY177" s="9" t="str">
        <f>TMK[[#This Row],[Forwards MVA]]</f>
        <v>-</v>
      </c>
      <c r="AZ177" s="9" t="str">
        <f>TMK[[#This Row],[Relay MVA]]</f>
        <v>-</v>
      </c>
      <c r="BA177" s="9" t="str">
        <f>TMK[[#This Row],[CT MVA]]</f>
        <v>-</v>
      </c>
      <c r="BB177" s="9">
        <f>TMK[[#This Row],[Derating MVA]]</f>
        <v>12.058038017322694</v>
      </c>
      <c r="BC177" s="9" t="str">
        <f>TMK[[#This Row],[Station/Feeder]]&amp;TMK[[#This Row],[Lowest MVA]]</f>
        <v>CB1202_Rangitata12.0580380173227</v>
      </c>
      <c r="BD177" s="9" t="str">
        <f>CONCATENATE(TMK[[#This Row],[Supply Level]],TMK[[#This Row],[Station/Feeder]],TMK[[#This Row],[Voltage]],TMK[[#This Row],[Lowest A-No PTX]])</f>
        <v>SubTransmissionCB1202_Rangitata33.594207.2308</v>
      </c>
      <c r="BE177" s="9" t="str">
        <f>CONCATENATE(TMK[[#This Row],[Supply Level]],TMK[[#This Row],[Station/Feeder]],TMK[[#This Row],[Voltage]],TMK[[#This Row],[Lowest A-PTX]])</f>
        <v>SubTransmissionCB1202_Rangitata33.594207.2308</v>
      </c>
      <c r="BF177" s="9">
        <f>IFERROR(IF(MIN(TMK[[#This Row],[Summ Cont Winter A]:[Cable Derating]])=0,"",MIN(TMK[[#This Row],[Summ Cont Winter A]:[Cable Derating]])),"")</f>
        <v>12.058038017322694</v>
      </c>
      <c r="BG177" s="9">
        <f>IFERROR(TMK[[#This Row],[Lowest MVA]]*1000/(TMK[[#This Row],[Voltage]]*SQRT(3)),"")</f>
        <v>207.23079999999999</v>
      </c>
      <c r="BH177" s="9">
        <f t="shared" si="115"/>
        <v>207.23079999999999</v>
      </c>
      <c r="BI177" s="9" t="str">
        <f>TMK[[#This Row],[From]]</f>
        <v>T557</v>
      </c>
      <c r="BJ177" s="9" t="str">
        <f>TMK[[#This Row],[To]]</f>
        <v>G127</v>
      </c>
      <c r="BK17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95 mm² Al XLPE</v>
      </c>
      <c r="BL177" s="9">
        <f>TMK[[#This Row],[Voltage]]</f>
        <v>33.594000000000001</v>
      </c>
    </row>
    <row r="178" spans="1:64" s="1" customFormat="1" ht="15" customHeight="1" x14ac:dyDescent="0.25">
      <c r="A178" s="6" t="str">
        <f>CONCATENATE(TMK[[#This Row],[Supply Level]],TMK[[#This Row],[Station/Feeder]],TMK[[#This Row],[Voltage]])</f>
        <v>SubTransmissionCB1202_Rangitata33.594</v>
      </c>
      <c r="B178" s="6" t="str">
        <f>CONCATENATE(TMK[[#This Row],[Supply Level]],TMK[[#This Row],[Station/Feeder]],TMK[[#This Row],[Equipment ID]],TMK[[#This Row],[Voltage]],TMK[[#This Row],[Device type]])</f>
        <v>SubTransmissionCB1202_RangitataG12733.594-</v>
      </c>
      <c r="C178" s="6" t="s">
        <v>1245</v>
      </c>
      <c r="D178" s="11" t="s">
        <v>232</v>
      </c>
      <c r="E178" s="7" t="s">
        <v>600</v>
      </c>
      <c r="F178" s="46" t="s">
        <v>601</v>
      </c>
      <c r="G178" s="57">
        <v>8</v>
      </c>
      <c r="H178" s="46" t="s">
        <v>273</v>
      </c>
      <c r="I178" s="123" t="s">
        <v>601</v>
      </c>
      <c r="J178" s="123" t="s">
        <v>249</v>
      </c>
      <c r="K178" s="46" t="s">
        <v>0</v>
      </c>
      <c r="L178" s="46" t="s">
        <v>0</v>
      </c>
      <c r="M178" s="43">
        <f t="shared" si="123"/>
        <v>33.594000000000001</v>
      </c>
      <c r="N178" s="9" t="s">
        <v>0</v>
      </c>
      <c r="O178" s="9" t="str">
        <f t="shared" si="110"/>
        <v>-</v>
      </c>
      <c r="P178" s="9" t="s">
        <v>0</v>
      </c>
      <c r="Q178" s="9" t="str">
        <f t="shared" si="111"/>
        <v>-</v>
      </c>
      <c r="R178" s="9" t="s">
        <v>0</v>
      </c>
      <c r="S178" s="9" t="str">
        <f t="shared" si="112"/>
        <v>-</v>
      </c>
      <c r="T178" s="9" t="s">
        <v>0</v>
      </c>
      <c r="U178" s="9" t="str">
        <f t="shared" si="113"/>
        <v>-</v>
      </c>
      <c r="V178" s="9" t="s">
        <v>0</v>
      </c>
      <c r="W178" s="9" t="str">
        <f t="shared" si="114"/>
        <v>-</v>
      </c>
      <c r="X178" s="9" t="s">
        <v>0</v>
      </c>
      <c r="Y178" s="9" t="str">
        <f t="shared" si="124"/>
        <v>-</v>
      </c>
      <c r="Z178" s="9" t="s">
        <v>0</v>
      </c>
      <c r="AA178" s="9" t="str">
        <f t="shared" si="125"/>
        <v>-</v>
      </c>
      <c r="AB178" s="9" t="s">
        <v>0</v>
      </c>
      <c r="AC178" s="9" t="str">
        <f t="shared" si="126"/>
        <v>-</v>
      </c>
      <c r="AD178" s="9" t="s">
        <v>0</v>
      </c>
      <c r="AE178" s="12" t="str">
        <f t="shared" si="127"/>
        <v>-</v>
      </c>
      <c r="AF178" s="29" t="s">
        <v>0</v>
      </c>
      <c r="AG178" s="29" t="s">
        <v>0</v>
      </c>
      <c r="AH178" s="29" t="s">
        <v>0</v>
      </c>
      <c r="AI178" s="29" t="s">
        <v>0</v>
      </c>
      <c r="AJ178" s="32" t="s">
        <v>0</v>
      </c>
      <c r="AK178" s="29" t="s">
        <v>0</v>
      </c>
      <c r="AL178" s="32" t="s">
        <v>0</v>
      </c>
      <c r="AM178" s="29" t="s">
        <v>0</v>
      </c>
      <c r="AN178" s="32" t="s">
        <v>0</v>
      </c>
      <c r="AO178" s="29" t="s">
        <v>0</v>
      </c>
      <c r="AP178" s="29" t="s">
        <v>0</v>
      </c>
      <c r="AQ178" s="32" t="s">
        <v>0</v>
      </c>
      <c r="AR178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78" s="9" t="str">
        <f t="shared" si="128"/>
        <v>-</v>
      </c>
      <c r="AT178" s="9" t="str">
        <f>IF(RIGHT(TMK[[#This Row],[Device type]],7)="Winding","-",TMK[[#This Row],[Cont Winter MVA]])</f>
        <v>-</v>
      </c>
      <c r="AU178" s="9" t="str">
        <f>IF(RIGHT(TMK[[#This Row],[Device type]],7)="Winding","-",TMK[[#This Row],[Cont Shoulder MVA]])</f>
        <v>-</v>
      </c>
      <c r="AV178" s="9" t="str">
        <f>IF(RIGHT(TMK[[#This Row],[Device type]],7)="Winding","-",TMK[[#This Row],[Cont Summer MVA]])</f>
        <v>-</v>
      </c>
      <c r="AW178" s="9" t="str">
        <f>IF(RIGHT(TMK[[#This Row],[Device type]],7)="Winding","-",TMK[[#This Row],[24 Hr Winter MVA]])</f>
        <v>-</v>
      </c>
      <c r="AX178" s="9" t="str">
        <f>IF(RIGHT(TMK[[#This Row],[Device type]],7)="Winding","-",TMK[[#This Row],[24 Hr Summer MVA]])</f>
        <v>-</v>
      </c>
      <c r="AY178" s="9" t="str">
        <f>TMK[[#This Row],[Forwards MVA]]</f>
        <v>-</v>
      </c>
      <c r="AZ178" s="9" t="str">
        <f>TMK[[#This Row],[Relay MVA]]</f>
        <v>-</v>
      </c>
      <c r="BA178" s="9" t="str">
        <f>TMK[[#This Row],[CT MVA]]</f>
        <v>-</v>
      </c>
      <c r="BB178" s="9" t="str">
        <f>TMK[[#This Row],[Derating MVA]]</f>
        <v>-</v>
      </c>
      <c r="BC178" s="9" t="str">
        <f>TMK[[#This Row],[Station/Feeder]]&amp;TMK[[#This Row],[Lowest MVA]]</f>
        <v>CB1202_Rangitata</v>
      </c>
      <c r="BD178" s="9" t="str">
        <f>CONCATENATE(TMK[[#This Row],[Supply Level]],TMK[[#This Row],[Station/Feeder]],TMK[[#This Row],[Voltage]],TMK[[#This Row],[Lowest A-No PTX]])</f>
        <v>SubTransmissionCB1202_Rangitata33.594</v>
      </c>
      <c r="BE178" s="9" t="str">
        <f>CONCATENATE(TMK[[#This Row],[Supply Level]],TMK[[#This Row],[Station/Feeder]],TMK[[#This Row],[Voltage]],TMK[[#This Row],[Lowest A-PTX]])</f>
        <v>SubTransmissionCB1202_Rangitata33.594</v>
      </c>
      <c r="BF178" s="9" t="str">
        <f>IFERROR(IF(MIN(TMK[[#This Row],[Summ Cont Winter A]:[Cable Derating]])=0,"",MIN(TMK[[#This Row],[Summ Cont Winter A]:[Cable Derating]])),"")</f>
        <v/>
      </c>
      <c r="BG178" s="9" t="str">
        <f>IFERROR(TMK[[#This Row],[Lowest MVA]]*1000/(TMK[[#This Row],[Voltage]]*SQRT(3)),"")</f>
        <v/>
      </c>
      <c r="BH178" s="9" t="str">
        <f t="shared" si="115"/>
        <v/>
      </c>
      <c r="BI178" s="9" t="str">
        <f>TMK[[#This Row],[From]]</f>
        <v>T557</v>
      </c>
      <c r="BJ178" s="9" t="str">
        <f>TMK[[#This Row],[To]]</f>
        <v>G127</v>
      </c>
      <c r="BK17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Link-G127</v>
      </c>
      <c r="BL178" s="9">
        <f>TMK[[#This Row],[Voltage]]</f>
        <v>33.594000000000001</v>
      </c>
    </row>
    <row r="179" spans="1:64" s="1" customFormat="1" ht="15" customHeight="1" x14ac:dyDescent="0.25">
      <c r="A179" s="6" t="str">
        <f>CONCATENATE(TMK[[#This Row],[Supply Level]],TMK[[#This Row],[Station/Feeder]],TMK[[#This Row],[Voltage]])</f>
        <v>SubTransmissionCB1202_Rangitata33.594</v>
      </c>
      <c r="B179" s="6" t="str">
        <f>CONCATENATE(TMK[[#This Row],[Supply Level]],TMK[[#This Row],[Station/Feeder]],TMK[[#This Row],[Equipment ID]],TMK[[#This Row],[Voltage]],TMK[[#This Row],[Device type]])</f>
        <v>SubTransmissionCB1202_RangitataDOG33.594-</v>
      </c>
      <c r="C179" s="6" t="s">
        <v>1245</v>
      </c>
      <c r="D179" s="11" t="s">
        <v>232</v>
      </c>
      <c r="E179" s="46" t="s">
        <v>601</v>
      </c>
      <c r="F179" s="46" t="s">
        <v>602</v>
      </c>
      <c r="G179" s="57">
        <v>9</v>
      </c>
      <c r="H179" s="46" t="s">
        <v>1289</v>
      </c>
      <c r="I179" s="123" t="s">
        <v>318</v>
      </c>
      <c r="J179" s="123" t="s">
        <v>69</v>
      </c>
      <c r="K179" s="46" t="s">
        <v>0</v>
      </c>
      <c r="L179" s="46" t="s">
        <v>0</v>
      </c>
      <c r="M179" s="43">
        <f t="shared" si="123"/>
        <v>33.594000000000001</v>
      </c>
      <c r="N179" s="9">
        <v>343.69342642524197</v>
      </c>
      <c r="O179" s="9">
        <f t="shared" si="110"/>
        <v>19.99832265348331</v>
      </c>
      <c r="P179" s="9" t="s">
        <v>0</v>
      </c>
      <c r="Q179" s="9" t="str">
        <f t="shared" si="111"/>
        <v>-</v>
      </c>
      <c r="R179" s="9">
        <v>256.85852310343915</v>
      </c>
      <c r="S179" s="9">
        <f t="shared" si="112"/>
        <v>14.945702263633732</v>
      </c>
      <c r="T179" s="9" t="s">
        <v>0</v>
      </c>
      <c r="U179" s="9" t="str">
        <f t="shared" si="113"/>
        <v>-</v>
      </c>
      <c r="V179" s="9" t="s">
        <v>0</v>
      </c>
      <c r="W179" s="9" t="str">
        <f t="shared" si="114"/>
        <v>-</v>
      </c>
      <c r="X179" s="9" t="s">
        <v>0</v>
      </c>
      <c r="Y179" s="9" t="str">
        <f t="shared" si="124"/>
        <v>-</v>
      </c>
      <c r="Z179" s="9" t="s">
        <v>0</v>
      </c>
      <c r="AA179" s="9" t="str">
        <f t="shared" si="125"/>
        <v>-</v>
      </c>
      <c r="AB179" s="9" t="s">
        <v>0</v>
      </c>
      <c r="AC179" s="9" t="str">
        <f t="shared" si="126"/>
        <v>-</v>
      </c>
      <c r="AD179" s="9" t="s">
        <v>0</v>
      </c>
      <c r="AE179" s="12" t="str">
        <f t="shared" si="127"/>
        <v>-</v>
      </c>
      <c r="AF179" s="9" t="s">
        <v>0</v>
      </c>
      <c r="AG179" s="9" t="s">
        <v>0</v>
      </c>
      <c r="AH179" s="9">
        <v>6230.2</v>
      </c>
      <c r="AI179" s="9" t="s">
        <v>0</v>
      </c>
      <c r="AJ179" s="43" t="s">
        <v>0</v>
      </c>
      <c r="AK179" s="9" t="s">
        <v>0</v>
      </c>
      <c r="AL179" s="43" t="s">
        <v>0</v>
      </c>
      <c r="AM179" s="9" t="s">
        <v>0</v>
      </c>
      <c r="AN179" s="43" t="s">
        <v>0</v>
      </c>
      <c r="AO179" s="9" t="s">
        <v>0</v>
      </c>
      <c r="AP179" s="9" t="s">
        <v>0</v>
      </c>
      <c r="AQ179" s="43" t="s">
        <v>0</v>
      </c>
      <c r="AR179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79" s="9" t="str">
        <f t="shared" si="128"/>
        <v>-</v>
      </c>
      <c r="AT179" s="9">
        <f>IF(RIGHT(TMK[[#This Row],[Device type]],7)="Winding","-",TMK[[#This Row],[Cont Winter MVA]])</f>
        <v>19.99832265348331</v>
      </c>
      <c r="AU179" s="9" t="str">
        <f>IF(RIGHT(TMK[[#This Row],[Device type]],7)="Winding","-",TMK[[#This Row],[Cont Shoulder MVA]])</f>
        <v>-</v>
      </c>
      <c r="AV179" s="9">
        <f>IF(RIGHT(TMK[[#This Row],[Device type]],7)="Winding","-",TMK[[#This Row],[Cont Summer MVA]])</f>
        <v>14.945702263633732</v>
      </c>
      <c r="AW179" s="9" t="str">
        <f>IF(RIGHT(TMK[[#This Row],[Device type]],7)="Winding","-",TMK[[#This Row],[24 Hr Winter MVA]])</f>
        <v>-</v>
      </c>
      <c r="AX179" s="9" t="str">
        <f>IF(RIGHT(TMK[[#This Row],[Device type]],7)="Winding","-",TMK[[#This Row],[24 Hr Summer MVA]])</f>
        <v>-</v>
      </c>
      <c r="AY179" s="9" t="str">
        <f>TMK[[#This Row],[Forwards MVA]]</f>
        <v>-</v>
      </c>
      <c r="AZ179" s="9" t="str">
        <f>TMK[[#This Row],[Relay MVA]]</f>
        <v>-</v>
      </c>
      <c r="BA179" s="9" t="str">
        <f>TMK[[#This Row],[CT MVA]]</f>
        <v>-</v>
      </c>
      <c r="BB179" s="9" t="str">
        <f>TMK[[#This Row],[Derating MVA]]</f>
        <v>-</v>
      </c>
      <c r="BC179" s="9" t="str">
        <f>TMK[[#This Row],[Station/Feeder]]&amp;TMK[[#This Row],[Lowest MVA]]</f>
        <v>CB1202_Rangitata14.9457022636337</v>
      </c>
      <c r="BD179" s="9" t="str">
        <f>CONCATENATE(TMK[[#This Row],[Supply Level]],TMK[[#This Row],[Station/Feeder]],TMK[[#This Row],[Voltage]],TMK[[#This Row],[Lowest A-No PTX]])</f>
        <v>SubTransmissionCB1202_Rangitata33.594256.858523103439</v>
      </c>
      <c r="BE179" s="9" t="str">
        <f>CONCATENATE(TMK[[#This Row],[Supply Level]],TMK[[#This Row],[Station/Feeder]],TMK[[#This Row],[Voltage]],TMK[[#This Row],[Lowest A-PTX]])</f>
        <v>SubTransmissionCB1202_Rangitata33.594256.858523103439</v>
      </c>
      <c r="BF179" s="9">
        <f>IFERROR(IF(MIN(TMK[[#This Row],[Summ Cont Winter A]:[Cable Derating]])=0,"",MIN(TMK[[#This Row],[Summ Cont Winter A]:[Cable Derating]])),"")</f>
        <v>14.945702263633732</v>
      </c>
      <c r="BG179" s="9">
        <f>IFERROR(TMK[[#This Row],[Lowest MVA]]*1000/(TMK[[#This Row],[Voltage]]*SQRT(3)),"")</f>
        <v>256.85852310343915</v>
      </c>
      <c r="BH179" s="9">
        <f t="shared" si="115"/>
        <v>256.85852310343915</v>
      </c>
      <c r="BI179" s="9" t="str">
        <f>TMK[[#This Row],[From]]</f>
        <v>G127</v>
      </c>
      <c r="BJ179" s="9" t="str">
        <f>TMK[[#This Row],[To]]</f>
        <v>ABS1556</v>
      </c>
      <c r="BK17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179" s="9">
        <f>TMK[[#This Row],[Voltage]]</f>
        <v>33.594000000000001</v>
      </c>
    </row>
    <row r="180" spans="1:64" s="1" customFormat="1" ht="15" customHeight="1" x14ac:dyDescent="0.25">
      <c r="A180" s="6" t="str">
        <f>CONCATENATE(TMK[[#This Row],[Supply Level]],TMK[[#This Row],[Station/Feeder]],TMK[[#This Row],[Voltage]])</f>
        <v>SubTransmissionCB1202_Rangitata33.594</v>
      </c>
      <c r="B180" s="6" t="str">
        <f>CONCATENATE(TMK[[#This Row],[Supply Level]],TMK[[#This Row],[Station/Feeder]],TMK[[#This Row],[Equipment ID]],TMK[[#This Row],[Voltage]],TMK[[#This Row],[Device type]])</f>
        <v>SubTransmissionCB1202_RangitataWOLF33.594-</v>
      </c>
      <c r="C180" s="6" t="s">
        <v>1245</v>
      </c>
      <c r="D180" s="11" t="s">
        <v>232</v>
      </c>
      <c r="E180" s="46" t="s">
        <v>601</v>
      </c>
      <c r="F180" s="46" t="s">
        <v>602</v>
      </c>
      <c r="G180" s="57">
        <v>10</v>
      </c>
      <c r="H180" s="7" t="s">
        <v>1289</v>
      </c>
      <c r="I180" s="123" t="s">
        <v>472</v>
      </c>
      <c r="J180" s="123" t="s">
        <v>69</v>
      </c>
      <c r="K180" s="46" t="s">
        <v>0</v>
      </c>
      <c r="L180" s="46" t="s">
        <v>0</v>
      </c>
      <c r="M180" s="43">
        <f t="shared" si="123"/>
        <v>33.594000000000001</v>
      </c>
      <c r="N180" s="9">
        <v>445.82252474850947</v>
      </c>
      <c r="O180" s="9">
        <f t="shared" si="110"/>
        <v>25.940858947590396</v>
      </c>
      <c r="P180" s="9" t="s">
        <v>0</v>
      </c>
      <c r="Q180" s="9" t="str">
        <f t="shared" si="111"/>
        <v>-</v>
      </c>
      <c r="R180" s="9">
        <v>330.48646011726572</v>
      </c>
      <c r="S180" s="9">
        <f t="shared" si="112"/>
        <v>19.229855312551951</v>
      </c>
      <c r="T180" s="9" t="s">
        <v>0</v>
      </c>
      <c r="U180" s="9" t="str">
        <f t="shared" si="113"/>
        <v>-</v>
      </c>
      <c r="V180" s="9" t="s">
        <v>0</v>
      </c>
      <c r="W180" s="9" t="str">
        <f t="shared" si="114"/>
        <v>-</v>
      </c>
      <c r="X180" s="9" t="s">
        <v>0</v>
      </c>
      <c r="Y180" s="9" t="str">
        <f t="shared" si="124"/>
        <v>-</v>
      </c>
      <c r="Z180" s="9" t="s">
        <v>0</v>
      </c>
      <c r="AA180" s="9" t="str">
        <f t="shared" si="125"/>
        <v>-</v>
      </c>
      <c r="AB180" s="9" t="s">
        <v>0</v>
      </c>
      <c r="AC180" s="9" t="str">
        <f t="shared" si="126"/>
        <v>-</v>
      </c>
      <c r="AD180" s="9" t="s">
        <v>0</v>
      </c>
      <c r="AE180" s="12" t="str">
        <f t="shared" si="127"/>
        <v>-</v>
      </c>
      <c r="AF180" s="29" t="s">
        <v>0</v>
      </c>
      <c r="AG180" s="29" t="s">
        <v>0</v>
      </c>
      <c r="AH180" s="9">
        <v>234.9</v>
      </c>
      <c r="AI180" s="29" t="s">
        <v>0</v>
      </c>
      <c r="AJ180" s="32" t="s">
        <v>0</v>
      </c>
      <c r="AK180" s="29" t="s">
        <v>0</v>
      </c>
      <c r="AL180" s="32" t="s">
        <v>0</v>
      </c>
      <c r="AM180" s="29" t="s">
        <v>0</v>
      </c>
      <c r="AN180" s="32" t="s">
        <v>0</v>
      </c>
      <c r="AO180" s="29" t="s">
        <v>0</v>
      </c>
      <c r="AP180" s="32" t="s">
        <v>0</v>
      </c>
      <c r="AQ180" s="32" t="s">
        <v>0</v>
      </c>
      <c r="AR180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80" s="9" t="str">
        <f t="shared" si="128"/>
        <v>-</v>
      </c>
      <c r="AT180" s="9">
        <f>IF(RIGHT(TMK[[#This Row],[Device type]],7)="Winding","-",TMK[[#This Row],[Cont Winter MVA]])</f>
        <v>25.940858947590396</v>
      </c>
      <c r="AU180" s="9" t="str">
        <f>IF(RIGHT(TMK[[#This Row],[Device type]],7)="Winding","-",TMK[[#This Row],[Cont Shoulder MVA]])</f>
        <v>-</v>
      </c>
      <c r="AV180" s="9">
        <f>IF(RIGHT(TMK[[#This Row],[Device type]],7)="Winding","-",TMK[[#This Row],[Cont Summer MVA]])</f>
        <v>19.229855312551951</v>
      </c>
      <c r="AW180" s="9" t="str">
        <f>IF(RIGHT(TMK[[#This Row],[Device type]],7)="Winding","-",TMK[[#This Row],[24 Hr Winter MVA]])</f>
        <v>-</v>
      </c>
      <c r="AX180" s="9" t="str">
        <f>IF(RIGHT(TMK[[#This Row],[Device type]],7)="Winding","-",TMK[[#This Row],[24 Hr Summer MVA]])</f>
        <v>-</v>
      </c>
      <c r="AY180" s="9" t="str">
        <f>TMK[[#This Row],[Forwards MVA]]</f>
        <v>-</v>
      </c>
      <c r="AZ180" s="9" t="str">
        <f>TMK[[#This Row],[Relay MVA]]</f>
        <v>-</v>
      </c>
      <c r="BA180" s="9" t="str">
        <f>TMK[[#This Row],[CT MVA]]</f>
        <v>-</v>
      </c>
      <c r="BB180" s="9" t="str">
        <f>TMK[[#This Row],[Derating MVA]]</f>
        <v>-</v>
      </c>
      <c r="BC180" s="9" t="str">
        <f>TMK[[#This Row],[Station/Feeder]]&amp;TMK[[#This Row],[Lowest MVA]]</f>
        <v>CB1202_Rangitata19.229855312552</v>
      </c>
      <c r="BD180" s="9" t="str">
        <f>CONCATENATE(TMK[[#This Row],[Supply Level]],TMK[[#This Row],[Station/Feeder]],TMK[[#This Row],[Voltage]],TMK[[#This Row],[Lowest A-No PTX]])</f>
        <v>SubTransmissionCB1202_Rangitata33.594330.486460117266</v>
      </c>
      <c r="BE180" s="9" t="str">
        <f>CONCATENATE(TMK[[#This Row],[Supply Level]],TMK[[#This Row],[Station/Feeder]],TMK[[#This Row],[Voltage]],TMK[[#This Row],[Lowest A-PTX]])</f>
        <v>SubTransmissionCB1202_Rangitata33.594330.486460117266</v>
      </c>
      <c r="BF180" s="9">
        <f>IFERROR(IF(MIN(TMK[[#This Row],[Summ Cont Winter A]:[Cable Derating]])=0,"",MIN(TMK[[#This Row],[Summ Cont Winter A]:[Cable Derating]])),"")</f>
        <v>19.229855312551951</v>
      </c>
      <c r="BG180" s="9">
        <f>IFERROR(TMK[[#This Row],[Lowest MVA]]*1000/(TMK[[#This Row],[Voltage]]*SQRT(3)),"")</f>
        <v>330.48646011726572</v>
      </c>
      <c r="BH180" s="9">
        <f t="shared" si="115"/>
        <v>330.48646011726572</v>
      </c>
      <c r="BI180" s="9" t="str">
        <f>TMK[[#This Row],[From]]</f>
        <v>G127</v>
      </c>
      <c r="BJ180" s="9" t="str">
        <f>TMK[[#This Row],[To]]</f>
        <v>ABS1556</v>
      </c>
      <c r="BK18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Line-WOLF</v>
      </c>
      <c r="BL180" s="9">
        <f>TMK[[#This Row],[Voltage]]</f>
        <v>33.594000000000001</v>
      </c>
    </row>
    <row r="181" spans="1:64" s="1" customFormat="1" ht="15" customHeight="1" x14ac:dyDescent="0.25">
      <c r="A181" s="6" t="str">
        <f>CONCATENATE(TMK[[#This Row],[Supply Level]],TMK[[#This Row],[Station/Feeder]],TMK[[#This Row],[Voltage]])</f>
        <v>SubTransmissionCB1202_Rangitata33.594</v>
      </c>
      <c r="B181" s="6" t="str">
        <f>CONCATENATE(TMK[[#This Row],[Supply Level]],TMK[[#This Row],[Station/Feeder]],TMK[[#This Row],[Equipment ID]],TMK[[#This Row],[Voltage]],TMK[[#This Row],[Device type]])</f>
        <v>SubTransmissionCB1202_RangitataDOG33.594-</v>
      </c>
      <c r="C181" s="6" t="s">
        <v>1245</v>
      </c>
      <c r="D181" s="11" t="s">
        <v>232</v>
      </c>
      <c r="E181" s="46" t="s">
        <v>601</v>
      </c>
      <c r="F181" s="46" t="s">
        <v>602</v>
      </c>
      <c r="G181" s="57">
        <v>11</v>
      </c>
      <c r="H181" s="130" t="s">
        <v>1289</v>
      </c>
      <c r="I181" s="131" t="s">
        <v>318</v>
      </c>
      <c r="J181" s="131" t="s">
        <v>69</v>
      </c>
      <c r="K181" s="130" t="s">
        <v>0</v>
      </c>
      <c r="L181" s="130" t="s">
        <v>0</v>
      </c>
      <c r="M181" s="43">
        <f t="shared" si="123"/>
        <v>33.594000000000001</v>
      </c>
      <c r="N181" s="132">
        <v>343.69342642524197</v>
      </c>
      <c r="O181" s="132">
        <f t="shared" si="110"/>
        <v>19.99832265348331</v>
      </c>
      <c r="P181" s="132" t="s">
        <v>0</v>
      </c>
      <c r="Q181" s="132" t="str">
        <f t="shared" si="111"/>
        <v>-</v>
      </c>
      <c r="R181" s="132">
        <v>256.85852310343915</v>
      </c>
      <c r="S181" s="132">
        <f t="shared" si="112"/>
        <v>14.945702263633732</v>
      </c>
      <c r="T181" s="132" t="s">
        <v>0</v>
      </c>
      <c r="U181" s="132" t="str">
        <f t="shared" si="113"/>
        <v>-</v>
      </c>
      <c r="V181" s="132" t="s">
        <v>0</v>
      </c>
      <c r="W181" s="132" t="str">
        <f t="shared" si="114"/>
        <v>-</v>
      </c>
      <c r="X181" s="132" t="s">
        <v>0</v>
      </c>
      <c r="Y181" s="132" t="str">
        <f t="shared" si="124"/>
        <v>-</v>
      </c>
      <c r="Z181" s="132" t="s">
        <v>0</v>
      </c>
      <c r="AA181" s="132" t="str">
        <f t="shared" si="125"/>
        <v>-</v>
      </c>
      <c r="AB181" s="132" t="s">
        <v>0</v>
      </c>
      <c r="AC181" s="132" t="str">
        <f t="shared" si="126"/>
        <v>-</v>
      </c>
      <c r="AD181" s="132" t="s">
        <v>0</v>
      </c>
      <c r="AE181" s="133" t="str">
        <f t="shared" si="127"/>
        <v>-</v>
      </c>
      <c r="AF181" s="132" t="s">
        <v>0</v>
      </c>
      <c r="AG181" s="132" t="s">
        <v>0</v>
      </c>
      <c r="AH181" s="132">
        <v>7132.3</v>
      </c>
      <c r="AI181" s="132" t="s">
        <v>0</v>
      </c>
      <c r="AJ181" s="134" t="s">
        <v>0</v>
      </c>
      <c r="AK181" s="132" t="s">
        <v>0</v>
      </c>
      <c r="AL181" s="134" t="s">
        <v>0</v>
      </c>
      <c r="AM181" s="132" t="s">
        <v>0</v>
      </c>
      <c r="AN181" s="134" t="s">
        <v>0</v>
      </c>
      <c r="AO181" s="132" t="s">
        <v>0</v>
      </c>
      <c r="AP181" s="132" t="s">
        <v>0</v>
      </c>
      <c r="AQ181" s="134" t="s">
        <v>0</v>
      </c>
      <c r="AR181" s="135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81" s="132" t="str">
        <f t="shared" si="128"/>
        <v>-</v>
      </c>
      <c r="AT181" s="132">
        <f>IF(RIGHT(TMK[[#This Row],[Device type]],7)="Winding","-",TMK[[#This Row],[Cont Winter MVA]])</f>
        <v>19.99832265348331</v>
      </c>
      <c r="AU181" s="132" t="str">
        <f>IF(RIGHT(TMK[[#This Row],[Device type]],7)="Winding","-",TMK[[#This Row],[Cont Shoulder MVA]])</f>
        <v>-</v>
      </c>
      <c r="AV181" s="132">
        <f>IF(RIGHT(TMK[[#This Row],[Device type]],7)="Winding","-",TMK[[#This Row],[Cont Summer MVA]])</f>
        <v>14.945702263633732</v>
      </c>
      <c r="AW181" s="132" t="str">
        <f>IF(RIGHT(TMK[[#This Row],[Device type]],7)="Winding","-",TMK[[#This Row],[24 Hr Winter MVA]])</f>
        <v>-</v>
      </c>
      <c r="AX181" s="132" t="str">
        <f>IF(RIGHT(TMK[[#This Row],[Device type]],7)="Winding","-",TMK[[#This Row],[24 Hr Summer MVA]])</f>
        <v>-</v>
      </c>
      <c r="AY181" s="132" t="str">
        <f>TMK[[#This Row],[Forwards MVA]]</f>
        <v>-</v>
      </c>
      <c r="AZ181" s="132" t="str">
        <f>TMK[[#This Row],[Relay MVA]]</f>
        <v>-</v>
      </c>
      <c r="BA181" s="132" t="str">
        <f>TMK[[#This Row],[CT MVA]]</f>
        <v>-</v>
      </c>
      <c r="BB181" s="132" t="str">
        <f>TMK[[#This Row],[Derating MVA]]</f>
        <v>-</v>
      </c>
      <c r="BC181" s="132" t="str">
        <f>TMK[[#This Row],[Station/Feeder]]&amp;TMK[[#This Row],[Lowest MVA]]</f>
        <v>CB1202_Rangitata14.9457022636337</v>
      </c>
      <c r="BD181" s="132" t="str">
        <f>CONCATENATE(TMK[[#This Row],[Supply Level]],TMK[[#This Row],[Station/Feeder]],TMK[[#This Row],[Voltage]],TMK[[#This Row],[Lowest A-No PTX]])</f>
        <v>SubTransmissionCB1202_Rangitata33.594256.858523103439</v>
      </c>
      <c r="BE181" s="132" t="str">
        <f>CONCATENATE(TMK[[#This Row],[Supply Level]],TMK[[#This Row],[Station/Feeder]],TMK[[#This Row],[Voltage]],TMK[[#This Row],[Lowest A-PTX]])</f>
        <v>SubTransmissionCB1202_Rangitata33.594256.858523103439</v>
      </c>
      <c r="BF181" s="132">
        <f>IFERROR(IF(MIN(TMK[[#This Row],[Summ Cont Winter A]:[Cable Derating]])=0,"",MIN(TMK[[#This Row],[Summ Cont Winter A]:[Cable Derating]])),"")</f>
        <v>14.945702263633732</v>
      </c>
      <c r="BG181" s="132">
        <f>IFERROR(TMK[[#This Row],[Lowest MVA]]*1000/(TMK[[#This Row],[Voltage]]*SQRT(3)),"")</f>
        <v>256.85852310343915</v>
      </c>
      <c r="BH181" s="132">
        <f t="shared" si="115"/>
        <v>256.85852310343915</v>
      </c>
      <c r="BI181" s="132" t="str">
        <f>TMK[[#This Row],[From]]</f>
        <v>G127</v>
      </c>
      <c r="BJ181" s="132" t="str">
        <f>TMK[[#This Row],[To]]</f>
        <v>ABS1556</v>
      </c>
      <c r="BK181" s="130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181" s="132">
        <f>TMK[[#This Row],[Voltage]]</f>
        <v>33.594000000000001</v>
      </c>
    </row>
    <row r="182" spans="1:64" s="1" customFormat="1" ht="15" customHeight="1" x14ac:dyDescent="0.25">
      <c r="A182" s="6" t="str">
        <f>CONCATENATE(TMK[[#This Row],[Supply Level]],TMK[[#This Row],[Station/Feeder]],TMK[[#This Row],[Voltage]])</f>
        <v>SubTransmissionCB1202_Rangitata33.594</v>
      </c>
      <c r="B182" s="6" t="str">
        <f>CONCATENATE(TMK[[#This Row],[Supply Level]],TMK[[#This Row],[Station/Feeder]],TMK[[#This Row],[Equipment ID]],TMK[[#This Row],[Voltage]],TMK[[#This Row],[Device type]])</f>
        <v>SubTransmissionCB1202_Rangitata155633.594-</v>
      </c>
      <c r="C182" s="6" t="s">
        <v>1245</v>
      </c>
      <c r="D182" s="11" t="s">
        <v>232</v>
      </c>
      <c r="E182" s="46" t="s">
        <v>601</v>
      </c>
      <c r="F182" s="46" t="s">
        <v>602</v>
      </c>
      <c r="G182" s="57">
        <v>12</v>
      </c>
      <c r="H182" s="46" t="s">
        <v>273</v>
      </c>
      <c r="I182" s="123">
        <v>1556</v>
      </c>
      <c r="J182" s="123" t="s">
        <v>240</v>
      </c>
      <c r="K182" s="46" t="s">
        <v>0</v>
      </c>
      <c r="L182" s="46" t="s">
        <v>0</v>
      </c>
      <c r="M182" s="43">
        <f t="shared" si="123"/>
        <v>33.594000000000001</v>
      </c>
      <c r="N182" s="9">
        <v>800</v>
      </c>
      <c r="O182" s="9">
        <f t="shared" si="110"/>
        <v>46.549211863575088</v>
      </c>
      <c r="P182" s="9">
        <v>800</v>
      </c>
      <c r="Q182" s="9">
        <f t="shared" si="111"/>
        <v>46.549211863575088</v>
      </c>
      <c r="R182" s="9">
        <v>800</v>
      </c>
      <c r="S182" s="9">
        <f t="shared" si="112"/>
        <v>46.549211863575088</v>
      </c>
      <c r="T182" s="9" t="s">
        <v>0</v>
      </c>
      <c r="U182" s="9" t="str">
        <f t="shared" si="113"/>
        <v>-</v>
      </c>
      <c r="V182" s="9" t="s">
        <v>0</v>
      </c>
      <c r="W182" s="9" t="str">
        <f t="shared" si="114"/>
        <v>-</v>
      </c>
      <c r="X182" s="9" t="s">
        <v>0</v>
      </c>
      <c r="Y182" s="9" t="str">
        <f t="shared" si="124"/>
        <v>-</v>
      </c>
      <c r="Z182" s="9" t="s">
        <v>0</v>
      </c>
      <c r="AA182" s="9" t="str">
        <f t="shared" si="125"/>
        <v>-</v>
      </c>
      <c r="AB182" s="9" t="s">
        <v>0</v>
      </c>
      <c r="AC182" s="9" t="str">
        <f t="shared" si="126"/>
        <v>-</v>
      </c>
      <c r="AD182" s="9" t="s">
        <v>0</v>
      </c>
      <c r="AE182" s="12" t="str">
        <f>IF(OR(AD182="",AD182="-"),"-",AD182*$M182*SQRT(3)/1000)</f>
        <v>-</v>
      </c>
      <c r="AF182" s="29" t="s">
        <v>0</v>
      </c>
      <c r="AG182" s="29" t="s">
        <v>0</v>
      </c>
      <c r="AH182" s="29" t="s">
        <v>0</v>
      </c>
      <c r="AI182" s="29" t="s">
        <v>0</v>
      </c>
      <c r="AJ182" s="32" t="s">
        <v>0</v>
      </c>
      <c r="AK182" s="29" t="s">
        <v>0</v>
      </c>
      <c r="AL182" s="32" t="s">
        <v>0</v>
      </c>
      <c r="AM182" s="29" t="s">
        <v>0</v>
      </c>
      <c r="AN182" s="32" t="s">
        <v>0</v>
      </c>
      <c r="AO182" s="29" t="s">
        <v>0</v>
      </c>
      <c r="AP182" s="29" t="s">
        <v>0</v>
      </c>
      <c r="AQ182" s="32" t="s">
        <v>0</v>
      </c>
      <c r="AR182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82" s="9" t="str">
        <f>IF(OR(AR182="",AR182="-"),"-",AR182*$M182*SQRT(3)/1000)</f>
        <v>-</v>
      </c>
      <c r="AT182" s="9">
        <f>IF(RIGHT(TMK[[#This Row],[Device type]],7)="Winding","-",TMK[[#This Row],[Cont Winter MVA]])</f>
        <v>46.549211863575088</v>
      </c>
      <c r="AU182" s="9">
        <f>IF(RIGHT(TMK[[#This Row],[Device type]],7)="Winding","-",TMK[[#This Row],[Cont Shoulder MVA]])</f>
        <v>46.549211863575088</v>
      </c>
      <c r="AV182" s="9">
        <f>IF(RIGHT(TMK[[#This Row],[Device type]],7)="Winding","-",TMK[[#This Row],[Cont Summer MVA]])</f>
        <v>46.549211863575088</v>
      </c>
      <c r="AW182" s="9" t="str">
        <f>IF(RIGHT(TMK[[#This Row],[Device type]],7)="Winding","-",TMK[[#This Row],[24 Hr Winter MVA]])</f>
        <v>-</v>
      </c>
      <c r="AX182" s="9" t="str">
        <f>IF(RIGHT(TMK[[#This Row],[Device type]],7)="Winding","-",TMK[[#This Row],[24 Hr Summer MVA]])</f>
        <v>-</v>
      </c>
      <c r="AY182" s="9" t="str">
        <f>TMK[[#This Row],[Forwards MVA]]</f>
        <v>-</v>
      </c>
      <c r="AZ182" s="9" t="str">
        <f>TMK[[#This Row],[Relay MVA]]</f>
        <v>-</v>
      </c>
      <c r="BA182" s="9" t="str">
        <f>TMK[[#This Row],[CT MVA]]</f>
        <v>-</v>
      </c>
      <c r="BB182" s="9" t="str">
        <f>TMK[[#This Row],[Derating MVA]]</f>
        <v>-</v>
      </c>
      <c r="BC182" s="9" t="str">
        <f>TMK[[#This Row],[Station/Feeder]]&amp;TMK[[#This Row],[Lowest MVA]]</f>
        <v>CB1202_Rangitata46.5492118635751</v>
      </c>
      <c r="BD182" s="9" t="str">
        <f>CONCATENATE(TMK[[#This Row],[Supply Level]],TMK[[#This Row],[Station/Feeder]],TMK[[#This Row],[Voltage]],TMK[[#This Row],[Lowest A-No PTX]])</f>
        <v>SubTransmissionCB1202_Rangitata33.594800</v>
      </c>
      <c r="BE182" s="9" t="str">
        <f>CONCATENATE(TMK[[#This Row],[Supply Level]],TMK[[#This Row],[Station/Feeder]],TMK[[#This Row],[Voltage]],TMK[[#This Row],[Lowest A-PTX]])</f>
        <v>SubTransmissionCB1202_Rangitata33.594800</v>
      </c>
      <c r="BF182" s="9">
        <f>IFERROR(IF(MIN(TMK[[#This Row],[Summ Cont Winter A]:[Cable Derating]])=0,"",MIN(TMK[[#This Row],[Summ Cont Winter A]:[Cable Derating]])),"")</f>
        <v>46.549211863575088</v>
      </c>
      <c r="BG182" s="9">
        <f>IFERROR(TMK[[#This Row],[Lowest MVA]]*1000/(TMK[[#This Row],[Voltage]]*SQRT(3)),"")</f>
        <v>800</v>
      </c>
      <c r="BH182" s="9">
        <f t="shared" si="115"/>
        <v>800</v>
      </c>
      <c r="BI182" s="9" t="str">
        <f>TMK[[#This Row],[From]]</f>
        <v>G127</v>
      </c>
      <c r="BJ182" s="9" t="str">
        <f>TMK[[#This Row],[To]]</f>
        <v>ABS1556</v>
      </c>
      <c r="BK18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ABS-1556</v>
      </c>
      <c r="BL182" s="9">
        <f>TMK[[#This Row],[Voltage]]</f>
        <v>33.594000000000001</v>
      </c>
    </row>
    <row r="183" spans="1:64" s="1" customFormat="1" ht="15" customHeight="1" x14ac:dyDescent="0.25">
      <c r="A183" s="6" t="str">
        <f>CONCATENATE(TMK[[#This Row],[Supply Level]],TMK[[#This Row],[Station/Feeder]],TMK[[#This Row],[Voltage]])</f>
        <v>SubTransmissionCB1202_Rangitata33.594</v>
      </c>
      <c r="B183" s="6" t="str">
        <f>CONCATENATE(TMK[[#This Row],[Supply Level]],TMK[[#This Row],[Station/Feeder]],TMK[[#This Row],[Equipment ID]],TMK[[#This Row],[Voltage]],TMK[[#This Row],[Device type]])</f>
        <v>SubTransmissionCB1202_RangitataDOG33.594-</v>
      </c>
      <c r="C183" s="6" t="s">
        <v>1245</v>
      </c>
      <c r="D183" s="11" t="s">
        <v>232</v>
      </c>
      <c r="E183" s="46" t="s">
        <v>602</v>
      </c>
      <c r="F183" s="46" t="s">
        <v>604</v>
      </c>
      <c r="G183" s="57">
        <v>13</v>
      </c>
      <c r="H183" s="130" t="s">
        <v>1289</v>
      </c>
      <c r="I183" s="131" t="s">
        <v>318</v>
      </c>
      <c r="J183" s="131" t="s">
        <v>69</v>
      </c>
      <c r="K183" s="130" t="s">
        <v>0</v>
      </c>
      <c r="L183" s="130" t="s">
        <v>0</v>
      </c>
      <c r="M183" s="43">
        <f t="shared" si="123"/>
        <v>33.594000000000001</v>
      </c>
      <c r="N183" s="132">
        <v>343.69342642524197</v>
      </c>
      <c r="O183" s="132">
        <f t="shared" si="110"/>
        <v>19.99832265348331</v>
      </c>
      <c r="P183" s="132" t="s">
        <v>0</v>
      </c>
      <c r="Q183" s="132" t="str">
        <f t="shared" si="111"/>
        <v>-</v>
      </c>
      <c r="R183" s="132">
        <v>256.85852310343915</v>
      </c>
      <c r="S183" s="132">
        <f t="shared" si="112"/>
        <v>14.945702263633732</v>
      </c>
      <c r="T183" s="132" t="s">
        <v>0</v>
      </c>
      <c r="U183" s="132" t="str">
        <f t="shared" si="113"/>
        <v>-</v>
      </c>
      <c r="V183" s="132" t="s">
        <v>0</v>
      </c>
      <c r="W183" s="132" t="str">
        <f t="shared" si="114"/>
        <v>-</v>
      </c>
      <c r="X183" s="132" t="s">
        <v>0</v>
      </c>
      <c r="Y183" s="132" t="str">
        <f t="shared" si="124"/>
        <v>-</v>
      </c>
      <c r="Z183" s="132" t="s">
        <v>0</v>
      </c>
      <c r="AA183" s="132" t="str">
        <f t="shared" si="125"/>
        <v>-</v>
      </c>
      <c r="AB183" s="132" t="s">
        <v>0</v>
      </c>
      <c r="AC183" s="132" t="str">
        <f t="shared" si="126"/>
        <v>-</v>
      </c>
      <c r="AD183" s="132" t="s">
        <v>0</v>
      </c>
      <c r="AE183" s="133" t="str">
        <f t="shared" ref="AE183" si="129">IF(OR(AD183="",AD183="-"),"-",AD183*$M183*SQRT(3)/1000)</f>
        <v>-</v>
      </c>
      <c r="AF183" s="132" t="s">
        <v>0</v>
      </c>
      <c r="AG183" s="132" t="s">
        <v>0</v>
      </c>
      <c r="AH183" s="132">
        <v>63.9</v>
      </c>
      <c r="AI183" s="132" t="s">
        <v>0</v>
      </c>
      <c r="AJ183" s="134" t="s">
        <v>0</v>
      </c>
      <c r="AK183" s="132" t="s">
        <v>0</v>
      </c>
      <c r="AL183" s="134" t="s">
        <v>0</v>
      </c>
      <c r="AM183" s="132" t="s">
        <v>0</v>
      </c>
      <c r="AN183" s="134" t="s">
        <v>0</v>
      </c>
      <c r="AO183" s="132" t="s">
        <v>0</v>
      </c>
      <c r="AP183" s="132" t="s">
        <v>0</v>
      </c>
      <c r="AQ183" s="134" t="s">
        <v>0</v>
      </c>
      <c r="AR183" s="135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83" s="132" t="str">
        <f t="shared" ref="AS183" si="130">IF(OR(AR183="",AR183="-"),"-",AR183*$M183*SQRT(3)/1000)</f>
        <v>-</v>
      </c>
      <c r="AT183" s="132">
        <f>IF(RIGHT(TMK[[#This Row],[Device type]],7)="Winding","-",TMK[[#This Row],[Cont Winter MVA]])</f>
        <v>19.99832265348331</v>
      </c>
      <c r="AU183" s="132" t="str">
        <f>IF(RIGHT(TMK[[#This Row],[Device type]],7)="Winding","-",TMK[[#This Row],[Cont Shoulder MVA]])</f>
        <v>-</v>
      </c>
      <c r="AV183" s="132">
        <f>IF(RIGHT(TMK[[#This Row],[Device type]],7)="Winding","-",TMK[[#This Row],[Cont Summer MVA]])</f>
        <v>14.945702263633732</v>
      </c>
      <c r="AW183" s="132" t="str">
        <f>IF(RIGHT(TMK[[#This Row],[Device type]],7)="Winding","-",TMK[[#This Row],[24 Hr Winter MVA]])</f>
        <v>-</v>
      </c>
      <c r="AX183" s="132" t="str">
        <f>IF(RIGHT(TMK[[#This Row],[Device type]],7)="Winding","-",TMK[[#This Row],[24 Hr Summer MVA]])</f>
        <v>-</v>
      </c>
      <c r="AY183" s="132" t="str">
        <f>TMK[[#This Row],[Forwards MVA]]</f>
        <v>-</v>
      </c>
      <c r="AZ183" s="132" t="str">
        <f>TMK[[#This Row],[Relay MVA]]</f>
        <v>-</v>
      </c>
      <c r="BA183" s="132" t="str">
        <f>TMK[[#This Row],[CT MVA]]</f>
        <v>-</v>
      </c>
      <c r="BB183" s="132" t="str">
        <f>TMK[[#This Row],[Derating MVA]]</f>
        <v>-</v>
      </c>
      <c r="BC183" s="132" t="str">
        <f>TMK[[#This Row],[Station/Feeder]]&amp;TMK[[#This Row],[Lowest MVA]]</f>
        <v>CB1202_Rangitata14.9457022636337</v>
      </c>
      <c r="BD183" s="132" t="str">
        <f>CONCATENATE(TMK[[#This Row],[Supply Level]],TMK[[#This Row],[Station/Feeder]],TMK[[#This Row],[Voltage]],TMK[[#This Row],[Lowest A-No PTX]])</f>
        <v>SubTransmissionCB1202_Rangitata33.594256.858523103439</v>
      </c>
      <c r="BE183" s="132" t="str">
        <f>CONCATENATE(TMK[[#This Row],[Supply Level]],TMK[[#This Row],[Station/Feeder]],TMK[[#This Row],[Voltage]],TMK[[#This Row],[Lowest A-PTX]])</f>
        <v>SubTransmissionCB1202_Rangitata33.594256.858523103439</v>
      </c>
      <c r="BF183" s="132">
        <f>IFERROR(IF(MIN(TMK[[#This Row],[Summ Cont Winter A]:[Cable Derating]])=0,"",MIN(TMK[[#This Row],[Summ Cont Winter A]:[Cable Derating]])),"")</f>
        <v>14.945702263633732</v>
      </c>
      <c r="BG183" s="132">
        <f>IFERROR(TMK[[#This Row],[Lowest MVA]]*1000/(TMK[[#This Row],[Voltage]]*SQRT(3)),"")</f>
        <v>256.85852310343915</v>
      </c>
      <c r="BH183" s="132">
        <f t="shared" si="115"/>
        <v>256.85852310343915</v>
      </c>
      <c r="BI183" s="132" t="str">
        <f>TMK[[#This Row],[From]]</f>
        <v>ABS1556</v>
      </c>
      <c r="BJ183" s="132" t="str">
        <f>TMK[[#This Row],[To]]</f>
        <v>ABS1564</v>
      </c>
      <c r="BK183" s="130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183" s="132">
        <f>TMK[[#This Row],[Voltage]]</f>
        <v>33.594000000000001</v>
      </c>
    </row>
    <row r="184" spans="1:64" s="1" customFormat="1" ht="15" customHeight="1" x14ac:dyDescent="0.25">
      <c r="A184" s="168" t="str">
        <f>CONCATENATE(TMK[[#This Row],[Supply Level]],TMK[[#This Row],[Station/Feeder]],TMK[[#This Row],[Voltage]])</f>
        <v>SubTransmissionRGA_T233.594</v>
      </c>
      <c r="B184" s="168" t="str">
        <f>CONCATENATE(TMK[[#This Row],[Supply Level]],TMK[[#This Row],[Station/Feeder]],TMK[[#This Row],[Equipment ID]],TMK[[#This Row],[Voltage]],TMK[[#This Row],[Device type]])</f>
        <v>SubTransmissionRGA_T2TMK-CB120233.594Protection</v>
      </c>
      <c r="C184" s="168" t="s">
        <v>1245</v>
      </c>
      <c r="D184" s="118" t="s">
        <v>87</v>
      </c>
      <c r="E184" s="49" t="s">
        <v>63</v>
      </c>
      <c r="F184" s="49" t="s">
        <v>600</v>
      </c>
      <c r="G184" s="190">
        <v>1</v>
      </c>
      <c r="H184" s="49" t="s">
        <v>2382</v>
      </c>
      <c r="I184" s="124" t="s">
        <v>2310</v>
      </c>
      <c r="J184" s="124" t="s">
        <v>15</v>
      </c>
      <c r="K184" s="45" t="s">
        <v>470</v>
      </c>
      <c r="L184" s="45" t="s">
        <v>1423</v>
      </c>
      <c r="M184" s="32">
        <f t="shared" ref="M184:M200" si="131">33*1.018</f>
        <v>33.594000000000001</v>
      </c>
      <c r="N184" s="29">
        <v>630</v>
      </c>
      <c r="O184" s="29">
        <f t="shared" si="110"/>
        <v>36.657504342565389</v>
      </c>
      <c r="P184" s="29">
        <v>630</v>
      </c>
      <c r="Q184" s="29">
        <f t="shared" si="111"/>
        <v>36.657504342565389</v>
      </c>
      <c r="R184" s="29">
        <v>630</v>
      </c>
      <c r="S184" s="29">
        <f t="shared" si="112"/>
        <v>36.657504342565389</v>
      </c>
      <c r="T184" s="29">
        <v>630</v>
      </c>
      <c r="U184" s="29">
        <f t="shared" si="113"/>
        <v>36.657504342565389</v>
      </c>
      <c r="V184" s="29">
        <v>630</v>
      </c>
      <c r="W184" s="29">
        <f t="shared" si="114"/>
        <v>36.657504342565389</v>
      </c>
      <c r="X184" s="29">
        <f>VLOOKUP(TMK[[#This Row],[Equipment ID]],AEL_Protection_Data[#All],12,0)</f>
        <v>462</v>
      </c>
      <c r="Y184" s="29">
        <f>IF(OR(X184="",X184="-"),"-",X184*$M184*SQRT(3)/1000)</f>
        <v>26.882169851214613</v>
      </c>
      <c r="Z184" s="29">
        <f>TMK[[#This Row],[Forward A]]</f>
        <v>462</v>
      </c>
      <c r="AA184" s="29">
        <f>IF(OR(Z184="",Z184="-"),"-",Z184*$M184*SQRT(3)/1000)</f>
        <v>26.882169851214613</v>
      </c>
      <c r="AB184" s="29">
        <v>1800</v>
      </c>
      <c r="AC184" s="29">
        <f>IF(OR(AB184="",AB184="-"),"-",AB184*$M184*SQRT(3)/1000)</f>
        <v>104.73572669304396</v>
      </c>
      <c r="AD184" s="29">
        <v>1250</v>
      </c>
      <c r="AE184" s="169">
        <f>IF(OR(AD184="",AD184="-"),"-",AD184*$M184*SQRT(3)/1000)</f>
        <v>72.733143536836067</v>
      </c>
      <c r="AF184" s="29" t="s">
        <v>0</v>
      </c>
      <c r="AG184" s="29" t="s">
        <v>0</v>
      </c>
      <c r="AH184" s="29" t="s">
        <v>0</v>
      </c>
      <c r="AI184" s="29" t="s">
        <v>0</v>
      </c>
      <c r="AJ184" s="32" t="s">
        <v>0</v>
      </c>
      <c r="AK184" s="29" t="s">
        <v>0</v>
      </c>
      <c r="AL184" s="32" t="s">
        <v>0</v>
      </c>
      <c r="AM184" s="29" t="s">
        <v>0</v>
      </c>
      <c r="AN184" s="32" t="s">
        <v>0</v>
      </c>
      <c r="AO184" s="29" t="s">
        <v>0</v>
      </c>
      <c r="AP184" s="32" t="s">
        <v>0</v>
      </c>
      <c r="AQ184" s="32" t="s">
        <v>0</v>
      </c>
      <c r="AR184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84" s="29" t="str">
        <f>IF(OR(AR184="",AR184="-"),"-",AR184*$M184*SQRT(3)/1000)</f>
        <v>-</v>
      </c>
      <c r="AT184" s="29">
        <f>IF(RIGHT(TMK[[#This Row],[Device type]],7)="Winding","-",TMK[[#This Row],[Cont Winter MVA]])</f>
        <v>36.657504342565389</v>
      </c>
      <c r="AU184" s="29">
        <f>IF(RIGHT(TMK[[#This Row],[Device type]],7)="Winding","-",TMK[[#This Row],[Cont Shoulder MVA]])</f>
        <v>36.657504342565389</v>
      </c>
      <c r="AV184" s="29">
        <f>IF(RIGHT(TMK[[#This Row],[Device type]],7)="Winding","-",TMK[[#This Row],[Cont Summer MVA]])</f>
        <v>36.657504342565389</v>
      </c>
      <c r="AW184" s="29">
        <f>IF(RIGHT(TMK[[#This Row],[Device type]],7)="Winding","-",TMK[[#This Row],[24 Hr Winter MVA]])</f>
        <v>36.657504342565389</v>
      </c>
      <c r="AX184" s="29">
        <f>IF(RIGHT(TMK[[#This Row],[Device type]],7)="Winding","-",TMK[[#This Row],[24 Hr Summer MVA]])</f>
        <v>36.657504342565389</v>
      </c>
      <c r="AY184" s="29">
        <f>TMK[[#This Row],[Forwards MVA]]</f>
        <v>26.882169851214613</v>
      </c>
      <c r="AZ184" s="29">
        <f>TMK[[#This Row],[Relay MVA]]</f>
        <v>104.73572669304396</v>
      </c>
      <c r="BA184" s="29">
        <f>TMK[[#This Row],[CT MVA]]</f>
        <v>72.733143536836067</v>
      </c>
      <c r="BB184" s="29" t="str">
        <f>TMK[[#This Row],[Derating MVA]]</f>
        <v>-</v>
      </c>
      <c r="BC184" s="29" t="str">
        <f>TMK[[#This Row],[Station/Feeder]]&amp;TMK[[#This Row],[Lowest MVA]]</f>
        <v>RGA_T226.8821698512146</v>
      </c>
      <c r="BD184" s="29" t="str">
        <f>CONCATENATE(TMK[[#This Row],[Supply Level]],TMK[[#This Row],[Station/Feeder]],TMK[[#This Row],[Voltage]],TMK[[#This Row],[Lowest A-No PTX]])</f>
        <v>SubTransmissionRGA_T233.594462</v>
      </c>
      <c r="BE184" s="29" t="str">
        <f>CONCATENATE(TMK[[#This Row],[Supply Level]],TMK[[#This Row],[Station/Feeder]],TMK[[#This Row],[Voltage]],TMK[[#This Row],[Lowest A-PTX]])</f>
        <v>SubTransmissionRGA_T233.594462</v>
      </c>
      <c r="BF184" s="29">
        <f>IFERROR(IF(MIN(TMK[[#This Row],[Summ Cont Winter A]:[Cable Derating]])=0,"",MIN(TMK[[#This Row],[Summ Cont Winter A]:[Cable Derating]])),"")</f>
        <v>26.882169851214613</v>
      </c>
      <c r="BG184" s="29">
        <f>IFERROR(TMK[[#This Row],[Lowest MVA]]*1000/(TMK[[#This Row],[Voltage]]*SQRT(3)),"")</f>
        <v>462</v>
      </c>
      <c r="BH184" s="29">
        <f t="shared" si="115"/>
        <v>462</v>
      </c>
      <c r="BI184" s="29" t="str">
        <f>TMK[[#This Row],[From]]</f>
        <v>33 kV Bus</v>
      </c>
      <c r="BJ184" s="29" t="str">
        <f>TMK[[#This Row],[To]]</f>
        <v>T557</v>
      </c>
      <c r="BK184" s="45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Breaker-TMK-CB1202-Protection</v>
      </c>
      <c r="BL184" s="29">
        <f>TMK[[#This Row],[Voltage]]</f>
        <v>33.594000000000001</v>
      </c>
    </row>
    <row r="185" spans="1:64" s="1" customFormat="1" ht="15" customHeight="1" x14ac:dyDescent="0.25">
      <c r="A185" s="6" t="str">
        <f>CONCATENATE(TMK[[#This Row],[Supply Level]],TMK[[#This Row],[Station/Feeder]],TMK[[#This Row],[Voltage]])</f>
        <v>SubTransmissionRGA_T233.594</v>
      </c>
      <c r="B185" s="6" t="str">
        <f>CONCATENATE(TMK[[#This Row],[Supply Level]],TMK[[#This Row],[Station/Feeder]],TMK[[#This Row],[Equipment ID]],TMK[[#This Row],[Voltage]],TMK[[#This Row],[Device type]])</f>
        <v>SubTransmissionRGA_T23-1c 400 mm² Al XLPE33.594-</v>
      </c>
      <c r="C185" s="6" t="s">
        <v>1245</v>
      </c>
      <c r="D185" s="11" t="s">
        <v>87</v>
      </c>
      <c r="E185" s="7" t="s">
        <v>63</v>
      </c>
      <c r="F185" s="7" t="s">
        <v>600</v>
      </c>
      <c r="G185" s="57">
        <v>2</v>
      </c>
      <c r="H185" s="260" t="s">
        <v>1293</v>
      </c>
      <c r="I185" s="123" t="s">
        <v>559</v>
      </c>
      <c r="J185" s="123" t="s">
        <v>250</v>
      </c>
      <c r="K185" s="46" t="s">
        <v>0</v>
      </c>
      <c r="L185" s="46" t="s">
        <v>0</v>
      </c>
      <c r="M185" s="43">
        <f t="shared" si="131"/>
        <v>33.594000000000001</v>
      </c>
      <c r="N185" s="9">
        <v>521</v>
      </c>
      <c r="O185" s="9">
        <f t="shared" si="110"/>
        <v>30.315174226153278</v>
      </c>
      <c r="P185" s="9">
        <v>521</v>
      </c>
      <c r="Q185" s="9">
        <f t="shared" si="111"/>
        <v>30.315174226153278</v>
      </c>
      <c r="R185" s="9">
        <v>521</v>
      </c>
      <c r="S185" s="9">
        <f t="shared" si="112"/>
        <v>30.315174226153278</v>
      </c>
      <c r="T185" s="9" t="s">
        <v>0</v>
      </c>
      <c r="U185" s="9" t="str">
        <f t="shared" si="113"/>
        <v>-</v>
      </c>
      <c r="V185" s="9" t="s">
        <v>0</v>
      </c>
      <c r="W185" s="9" t="str">
        <f t="shared" si="114"/>
        <v>-</v>
      </c>
      <c r="X185" s="9" t="s">
        <v>0</v>
      </c>
      <c r="Y185" s="9" t="str">
        <f t="shared" ref="Y185" si="132">IF(OR(X185="",X185="-"),"-",X185*$M185*SQRT(3)/1000)</f>
        <v>-</v>
      </c>
      <c r="Z185" s="9" t="s">
        <v>0</v>
      </c>
      <c r="AA185" s="9" t="str">
        <f t="shared" ref="AA185" si="133">IF(OR(Z185="",Z185="-"),"-",Z185*$M185*SQRT(3)/1000)</f>
        <v>-</v>
      </c>
      <c r="AB185" s="9" t="s">
        <v>0</v>
      </c>
      <c r="AC185" s="9" t="str">
        <f t="shared" ref="AC185" si="134">IF(OR(AB185="",AB185="-"),"-",AB185*$M185*SQRT(3)/1000)</f>
        <v>-</v>
      </c>
      <c r="AD185" s="9" t="s">
        <v>0</v>
      </c>
      <c r="AE185" s="12" t="str">
        <f t="shared" ref="AE185" si="135">IF(OR(AD185="",AD185="-"),"-",AD185*$M185*SQRT(3)/1000)</f>
        <v>-</v>
      </c>
      <c r="AF185" s="29">
        <v>1</v>
      </c>
      <c r="AG185" s="29" t="s">
        <v>265</v>
      </c>
      <c r="AH185" s="29">
        <v>50.2</v>
      </c>
      <c r="AI185" s="29">
        <v>1.2</v>
      </c>
      <c r="AJ185" s="32">
        <v>0.95</v>
      </c>
      <c r="AK185" s="29">
        <v>18</v>
      </c>
      <c r="AL185" s="32">
        <v>0.98</v>
      </c>
      <c r="AM185" s="29">
        <v>1.2</v>
      </c>
      <c r="AN185" s="32">
        <v>1</v>
      </c>
      <c r="AO185" s="29">
        <v>4</v>
      </c>
      <c r="AP185" s="29">
        <v>0.3</v>
      </c>
      <c r="AQ185" s="32">
        <v>0.72</v>
      </c>
      <c r="AR185" s="2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349.23671999999993</v>
      </c>
      <c r="AS185" s="9">
        <f t="shared" ref="AS185" si="136">IF(OR(AR185="",AR185="-"),"-",AR185*$M185*SQRT(3)/1000)</f>
        <v>20.32086758727506</v>
      </c>
      <c r="AT185" s="9">
        <f>IF(RIGHT(TMK[[#This Row],[Device type]],7)="Winding","-",TMK[[#This Row],[Cont Winter MVA]])</f>
        <v>30.315174226153278</v>
      </c>
      <c r="AU185" s="9">
        <f>IF(RIGHT(TMK[[#This Row],[Device type]],7)="Winding","-",TMK[[#This Row],[Cont Shoulder MVA]])</f>
        <v>30.315174226153278</v>
      </c>
      <c r="AV185" s="9">
        <f>IF(RIGHT(TMK[[#This Row],[Device type]],7)="Winding","-",TMK[[#This Row],[Cont Summer MVA]])</f>
        <v>30.315174226153278</v>
      </c>
      <c r="AW185" s="9" t="str">
        <f>IF(RIGHT(TMK[[#This Row],[Device type]],7)="Winding","-",TMK[[#This Row],[24 Hr Winter MVA]])</f>
        <v>-</v>
      </c>
      <c r="AX185" s="9" t="str">
        <f>IF(RIGHT(TMK[[#This Row],[Device type]],7)="Winding","-",TMK[[#This Row],[24 Hr Summer MVA]])</f>
        <v>-</v>
      </c>
      <c r="AY185" s="9" t="str">
        <f>TMK[[#This Row],[Forwards MVA]]</f>
        <v>-</v>
      </c>
      <c r="AZ185" s="9" t="str">
        <f>TMK[[#This Row],[Relay MVA]]</f>
        <v>-</v>
      </c>
      <c r="BA185" s="9" t="str">
        <f>TMK[[#This Row],[CT MVA]]</f>
        <v>-</v>
      </c>
      <c r="BB185" s="9">
        <f>TMK[[#This Row],[Derating MVA]]</f>
        <v>20.32086758727506</v>
      </c>
      <c r="BC185" s="9" t="str">
        <f>TMK[[#This Row],[Station/Feeder]]&amp;TMK[[#This Row],[Lowest MVA]]</f>
        <v>RGA_T220.3208675872751</v>
      </c>
      <c r="BD185" s="9" t="str">
        <f>CONCATENATE(TMK[[#This Row],[Supply Level]],TMK[[#This Row],[Station/Feeder]],TMK[[#This Row],[Voltage]],TMK[[#This Row],[Lowest A-No PTX]])</f>
        <v>SubTransmissionRGA_T233.594349.23672</v>
      </c>
      <c r="BE185" s="9" t="str">
        <f>CONCATENATE(TMK[[#This Row],[Supply Level]],TMK[[#This Row],[Station/Feeder]],TMK[[#This Row],[Voltage]],TMK[[#This Row],[Lowest A-PTX]])</f>
        <v>SubTransmissionRGA_T233.594349.23672</v>
      </c>
      <c r="BF185" s="9">
        <f>IFERROR(IF(MIN(TMK[[#This Row],[Summ Cont Winter A]:[Cable Derating]])=0,"",MIN(TMK[[#This Row],[Summ Cont Winter A]:[Cable Derating]])),"")</f>
        <v>20.32086758727506</v>
      </c>
      <c r="BG185" s="9">
        <f>IFERROR(TMK[[#This Row],[Lowest MVA]]*1000/(TMK[[#This Row],[Voltage]]*SQRT(3)),"")</f>
        <v>349.23671999999993</v>
      </c>
      <c r="BH185" s="9">
        <f t="shared" si="115"/>
        <v>349.23671999999993</v>
      </c>
      <c r="BI185" s="9" t="str">
        <f>TMK[[#This Row],[From]]</f>
        <v>33 kV Bus</v>
      </c>
      <c r="BJ185" s="9" t="str">
        <f>TMK[[#This Row],[To]]</f>
        <v>T557</v>
      </c>
      <c r="BK18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Al XLPE</v>
      </c>
      <c r="BL185" s="9">
        <f>TMK[[#This Row],[Voltage]]</f>
        <v>33.594000000000001</v>
      </c>
    </row>
    <row r="186" spans="1:64" s="1" customFormat="1" ht="15" customHeight="1" x14ac:dyDescent="0.25">
      <c r="A186" s="6" t="str">
        <f>CONCATENATE(TMK[[#This Row],[Supply Level]],TMK[[#This Row],[Station/Feeder]],TMK[[#This Row],[Voltage]])</f>
        <v>SubTransmissionRGA_T233.594</v>
      </c>
      <c r="B186" s="6" t="str">
        <f>CONCATENATE(TMK[[#This Row],[Supply Level]],TMK[[#This Row],[Station/Feeder]],TMK[[#This Row],[Equipment ID]],TMK[[#This Row],[Voltage]],TMK[[#This Row],[Device type]])</f>
        <v>SubTransmissionRGA_T2T55733.594-</v>
      </c>
      <c r="C186" s="6" t="s">
        <v>1245</v>
      </c>
      <c r="D186" s="11" t="s">
        <v>87</v>
      </c>
      <c r="E186" s="7" t="s">
        <v>63</v>
      </c>
      <c r="F186" s="7" t="s">
        <v>600</v>
      </c>
      <c r="G186" s="57">
        <v>3</v>
      </c>
      <c r="H186" s="46" t="s">
        <v>273</v>
      </c>
      <c r="I186" s="123" t="s">
        <v>600</v>
      </c>
      <c r="J186" s="123" t="s">
        <v>240</v>
      </c>
      <c r="K186" s="46" t="s">
        <v>0</v>
      </c>
      <c r="L186" s="46" t="s">
        <v>0</v>
      </c>
      <c r="M186" s="43">
        <f t="shared" si="131"/>
        <v>33.594000000000001</v>
      </c>
      <c r="N186" s="9">
        <v>800</v>
      </c>
      <c r="O186" s="9">
        <f t="shared" si="110"/>
        <v>46.549211863575088</v>
      </c>
      <c r="P186" s="9">
        <v>800</v>
      </c>
      <c r="Q186" s="9">
        <f t="shared" si="111"/>
        <v>46.549211863575088</v>
      </c>
      <c r="R186" s="9">
        <v>800</v>
      </c>
      <c r="S186" s="9">
        <f t="shared" si="112"/>
        <v>46.549211863575088</v>
      </c>
      <c r="T186" s="9" t="s">
        <v>0</v>
      </c>
      <c r="U186" s="9" t="str">
        <f t="shared" si="113"/>
        <v>-</v>
      </c>
      <c r="V186" s="9" t="s">
        <v>0</v>
      </c>
      <c r="W186" s="9" t="str">
        <f t="shared" si="114"/>
        <v>-</v>
      </c>
      <c r="X186" s="9" t="s">
        <v>0</v>
      </c>
      <c r="Y186" s="9" t="str">
        <f t="shared" si="6"/>
        <v>-</v>
      </c>
      <c r="Z186" s="9" t="s">
        <v>0</v>
      </c>
      <c r="AA186" s="9" t="str">
        <f t="shared" si="7"/>
        <v>-</v>
      </c>
      <c r="AB186" s="9" t="s">
        <v>0</v>
      </c>
      <c r="AC186" s="9" t="str">
        <f t="shared" si="8"/>
        <v>-</v>
      </c>
      <c r="AD186" s="9" t="s">
        <v>0</v>
      </c>
      <c r="AE186" s="12" t="str">
        <f t="shared" si="9"/>
        <v>-</v>
      </c>
      <c r="AF186" s="29" t="s">
        <v>0</v>
      </c>
      <c r="AG186" s="29" t="s">
        <v>0</v>
      </c>
      <c r="AH186" s="9" t="s">
        <v>0</v>
      </c>
      <c r="AI186" s="29" t="s">
        <v>0</v>
      </c>
      <c r="AJ186" s="32" t="s">
        <v>0</v>
      </c>
      <c r="AK186" s="29" t="s">
        <v>0</v>
      </c>
      <c r="AL186" s="32" t="s">
        <v>0</v>
      </c>
      <c r="AM186" s="29" t="s">
        <v>0</v>
      </c>
      <c r="AN186" s="32" t="s">
        <v>0</v>
      </c>
      <c r="AO186" s="29" t="s">
        <v>0</v>
      </c>
      <c r="AP186" s="32" t="s">
        <v>0</v>
      </c>
      <c r="AQ186" s="32" t="s">
        <v>0</v>
      </c>
      <c r="AR18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86" s="9" t="str">
        <f t="shared" si="120"/>
        <v>-</v>
      </c>
      <c r="AT186" s="9">
        <f>IF(RIGHT(TMK[[#This Row],[Device type]],7)="Winding","-",TMK[[#This Row],[Cont Winter MVA]])</f>
        <v>46.549211863575088</v>
      </c>
      <c r="AU186" s="9">
        <f>IF(RIGHT(TMK[[#This Row],[Device type]],7)="Winding","-",TMK[[#This Row],[Cont Shoulder MVA]])</f>
        <v>46.549211863575088</v>
      </c>
      <c r="AV186" s="9">
        <f>IF(RIGHT(TMK[[#This Row],[Device type]],7)="Winding","-",TMK[[#This Row],[Cont Summer MVA]])</f>
        <v>46.549211863575088</v>
      </c>
      <c r="AW186" s="9" t="str">
        <f>IF(RIGHT(TMK[[#This Row],[Device type]],7)="Winding","-",TMK[[#This Row],[24 Hr Winter MVA]])</f>
        <v>-</v>
      </c>
      <c r="AX186" s="9" t="str">
        <f>IF(RIGHT(TMK[[#This Row],[Device type]],7)="Winding","-",TMK[[#This Row],[24 Hr Summer MVA]])</f>
        <v>-</v>
      </c>
      <c r="AY186" s="9" t="str">
        <f>TMK[[#This Row],[Forwards MVA]]</f>
        <v>-</v>
      </c>
      <c r="AZ186" s="9" t="str">
        <f>TMK[[#This Row],[Relay MVA]]</f>
        <v>-</v>
      </c>
      <c r="BA186" s="9" t="str">
        <f>TMK[[#This Row],[CT MVA]]</f>
        <v>-</v>
      </c>
      <c r="BB186" s="9" t="str">
        <f>TMK[[#This Row],[Derating MVA]]</f>
        <v>-</v>
      </c>
      <c r="BC186" s="9" t="str">
        <f>TMK[[#This Row],[Station/Feeder]]&amp;TMK[[#This Row],[Lowest MVA]]</f>
        <v>RGA_T246.5492118635751</v>
      </c>
      <c r="BD186" s="9" t="str">
        <f>CONCATENATE(TMK[[#This Row],[Supply Level]],TMK[[#This Row],[Station/Feeder]],TMK[[#This Row],[Voltage]],TMK[[#This Row],[Lowest A-No PTX]])</f>
        <v>SubTransmissionRGA_T233.594800</v>
      </c>
      <c r="BE186" s="9" t="str">
        <f>CONCATENATE(TMK[[#This Row],[Supply Level]],TMK[[#This Row],[Station/Feeder]],TMK[[#This Row],[Voltage]],TMK[[#This Row],[Lowest A-PTX]])</f>
        <v>SubTransmissionRGA_T233.594800</v>
      </c>
      <c r="BF186" s="9">
        <f>IFERROR(IF(MIN(TMK[[#This Row],[Summ Cont Winter A]:[Cable Derating]])=0,"",MIN(TMK[[#This Row],[Summ Cont Winter A]:[Cable Derating]])),"")</f>
        <v>46.549211863575088</v>
      </c>
      <c r="BG186" s="9">
        <f>IFERROR(TMK[[#This Row],[Lowest MVA]]*1000/(TMK[[#This Row],[Voltage]]*SQRT(3)),"")</f>
        <v>800</v>
      </c>
      <c r="BH186" s="9">
        <f t="shared" si="115"/>
        <v>800</v>
      </c>
      <c r="BI186" s="9" t="str">
        <f>TMK[[#This Row],[From]]</f>
        <v>33 kV Bus</v>
      </c>
      <c r="BJ186" s="9" t="str">
        <f>TMK[[#This Row],[To]]</f>
        <v>T557</v>
      </c>
      <c r="BK18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ABS-T557</v>
      </c>
      <c r="BL186" s="9">
        <f>TMK[[#This Row],[Voltage]]</f>
        <v>33.594000000000001</v>
      </c>
    </row>
    <row r="187" spans="1:64" s="1" customFormat="1" ht="15" customHeight="1" x14ac:dyDescent="0.25">
      <c r="A187" s="6" t="str">
        <f>CONCATENATE(TMK[[#This Row],[Supply Level]],TMK[[#This Row],[Station/Feeder]],TMK[[#This Row],[Voltage]])</f>
        <v>SubTransmissionRGA_T233.594</v>
      </c>
      <c r="B187" s="6" t="str">
        <f>CONCATENATE(TMK[[#This Row],[Supply Level]],TMK[[#This Row],[Station/Feeder]],TMK[[#This Row],[Equipment ID]],TMK[[#This Row],[Voltage]],TMK[[#This Row],[Device type]])</f>
        <v>SubTransmissionRGA_T2DOG33.594-</v>
      </c>
      <c r="C187" s="6" t="s">
        <v>1245</v>
      </c>
      <c r="D187" s="11" t="s">
        <v>87</v>
      </c>
      <c r="E187" s="7" t="s">
        <v>600</v>
      </c>
      <c r="F187" s="46" t="s">
        <v>601</v>
      </c>
      <c r="G187" s="57">
        <v>4</v>
      </c>
      <c r="H187" s="46" t="s">
        <v>1289</v>
      </c>
      <c r="I187" s="123" t="s">
        <v>318</v>
      </c>
      <c r="J187" s="123" t="s">
        <v>69</v>
      </c>
      <c r="K187" s="46" t="s">
        <v>0</v>
      </c>
      <c r="L187" s="46" t="s">
        <v>0</v>
      </c>
      <c r="M187" s="43">
        <f t="shared" si="131"/>
        <v>33.594000000000001</v>
      </c>
      <c r="N187" s="9">
        <v>343.69342642524197</v>
      </c>
      <c r="O187" s="9">
        <f t="shared" si="110"/>
        <v>19.99832265348331</v>
      </c>
      <c r="P187" s="9" t="s">
        <v>0</v>
      </c>
      <c r="Q187" s="9" t="str">
        <f t="shared" si="111"/>
        <v>-</v>
      </c>
      <c r="R187" s="9">
        <v>256.85852310343915</v>
      </c>
      <c r="S187" s="9">
        <f t="shared" si="112"/>
        <v>14.945702263633732</v>
      </c>
      <c r="T187" s="9" t="s">
        <v>0</v>
      </c>
      <c r="U187" s="9" t="str">
        <f t="shared" si="113"/>
        <v>-</v>
      </c>
      <c r="V187" s="9" t="s">
        <v>0</v>
      </c>
      <c r="W187" s="9" t="str">
        <f t="shared" si="114"/>
        <v>-</v>
      </c>
      <c r="X187" s="9" t="s">
        <v>0</v>
      </c>
      <c r="Y187" s="9" t="str">
        <f t="shared" ref="Y187" si="137">IF(OR(X187="",X187="-"),"-",X187*$M187*SQRT(3)/1000)</f>
        <v>-</v>
      </c>
      <c r="Z187" s="9" t="s">
        <v>0</v>
      </c>
      <c r="AA187" s="9" t="str">
        <f t="shared" ref="AA187" si="138">IF(OR(Z187="",Z187="-"),"-",Z187*$M187*SQRT(3)/1000)</f>
        <v>-</v>
      </c>
      <c r="AB187" s="9" t="s">
        <v>0</v>
      </c>
      <c r="AC187" s="9" t="str">
        <f t="shared" ref="AC187" si="139">IF(OR(AB187="",AB187="-"),"-",AB187*$M187*SQRT(3)/1000)</f>
        <v>-</v>
      </c>
      <c r="AD187" s="9" t="s">
        <v>0</v>
      </c>
      <c r="AE187" s="12" t="str">
        <f t="shared" ref="AE187" si="140">IF(OR(AD187="",AD187="-"),"-",AD187*$M187*SQRT(3)/1000)</f>
        <v>-</v>
      </c>
      <c r="AF187" s="9" t="s">
        <v>0</v>
      </c>
      <c r="AG187" s="9" t="s">
        <v>0</v>
      </c>
      <c r="AH187" s="9">
        <v>2493.6</v>
      </c>
      <c r="AI187" s="9" t="s">
        <v>0</v>
      </c>
      <c r="AJ187" s="43" t="s">
        <v>0</v>
      </c>
      <c r="AK187" s="9" t="s">
        <v>0</v>
      </c>
      <c r="AL187" s="43" t="s">
        <v>0</v>
      </c>
      <c r="AM187" s="9" t="s">
        <v>0</v>
      </c>
      <c r="AN187" s="43" t="s">
        <v>0</v>
      </c>
      <c r="AO187" s="9" t="s">
        <v>0</v>
      </c>
      <c r="AP187" s="9" t="s">
        <v>0</v>
      </c>
      <c r="AQ187" s="43" t="s">
        <v>0</v>
      </c>
      <c r="AR187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87" s="9" t="str">
        <f t="shared" si="120"/>
        <v>-</v>
      </c>
      <c r="AT187" s="9">
        <f>IF(RIGHT(TMK[[#This Row],[Device type]],7)="Winding","-",TMK[[#This Row],[Cont Winter MVA]])</f>
        <v>19.99832265348331</v>
      </c>
      <c r="AU187" s="9" t="str">
        <f>IF(RIGHT(TMK[[#This Row],[Device type]],7)="Winding","-",TMK[[#This Row],[Cont Shoulder MVA]])</f>
        <v>-</v>
      </c>
      <c r="AV187" s="9">
        <f>IF(RIGHT(TMK[[#This Row],[Device type]],7)="Winding","-",TMK[[#This Row],[Cont Summer MVA]])</f>
        <v>14.945702263633732</v>
      </c>
      <c r="AW187" s="9" t="str">
        <f>IF(RIGHT(TMK[[#This Row],[Device type]],7)="Winding","-",TMK[[#This Row],[24 Hr Winter MVA]])</f>
        <v>-</v>
      </c>
      <c r="AX187" s="9" t="str">
        <f>IF(RIGHT(TMK[[#This Row],[Device type]],7)="Winding","-",TMK[[#This Row],[24 Hr Summer MVA]])</f>
        <v>-</v>
      </c>
      <c r="AY187" s="9" t="str">
        <f>TMK[[#This Row],[Forwards MVA]]</f>
        <v>-</v>
      </c>
      <c r="AZ187" s="9" t="str">
        <f>TMK[[#This Row],[Relay MVA]]</f>
        <v>-</v>
      </c>
      <c r="BA187" s="9" t="str">
        <f>TMK[[#This Row],[CT MVA]]</f>
        <v>-</v>
      </c>
      <c r="BB187" s="9" t="str">
        <f>TMK[[#This Row],[Derating MVA]]</f>
        <v>-</v>
      </c>
      <c r="BC187" s="9" t="str">
        <f>TMK[[#This Row],[Station/Feeder]]&amp;TMK[[#This Row],[Lowest MVA]]</f>
        <v>RGA_T214.9457022636337</v>
      </c>
      <c r="BD187" s="9" t="str">
        <f>CONCATENATE(TMK[[#This Row],[Supply Level]],TMK[[#This Row],[Station/Feeder]],TMK[[#This Row],[Voltage]],TMK[[#This Row],[Lowest A-No PTX]])</f>
        <v>SubTransmissionRGA_T233.594256.858523103439</v>
      </c>
      <c r="BE187" s="9" t="str">
        <f>CONCATENATE(TMK[[#This Row],[Supply Level]],TMK[[#This Row],[Station/Feeder]],TMK[[#This Row],[Voltage]],TMK[[#This Row],[Lowest A-PTX]])</f>
        <v>SubTransmissionRGA_T233.594256.858523103439</v>
      </c>
      <c r="BF187" s="9">
        <f>IFERROR(IF(MIN(TMK[[#This Row],[Summ Cont Winter A]:[Cable Derating]])=0,"",MIN(TMK[[#This Row],[Summ Cont Winter A]:[Cable Derating]])),"")</f>
        <v>14.945702263633732</v>
      </c>
      <c r="BG187" s="9">
        <f>IFERROR(TMK[[#This Row],[Lowest MVA]]*1000/(TMK[[#This Row],[Voltage]]*SQRT(3)),"")</f>
        <v>256.85852310343915</v>
      </c>
      <c r="BH187" s="9">
        <f t="shared" si="115"/>
        <v>256.85852310343915</v>
      </c>
      <c r="BI187" s="9" t="str">
        <f>TMK[[#This Row],[From]]</f>
        <v>T557</v>
      </c>
      <c r="BJ187" s="9" t="str">
        <f>TMK[[#This Row],[To]]</f>
        <v>G127</v>
      </c>
      <c r="BK18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187" s="9">
        <f>TMK[[#This Row],[Voltage]]</f>
        <v>33.594000000000001</v>
      </c>
    </row>
    <row r="188" spans="1:64" s="1" customFormat="1" ht="15" customHeight="1" x14ac:dyDescent="0.25">
      <c r="A188" s="6" t="str">
        <f>CONCATENATE(TMK[[#This Row],[Supply Level]],TMK[[#This Row],[Station/Feeder]],TMK[[#This Row],[Voltage]])</f>
        <v>SubTransmissionRGA_T233.594</v>
      </c>
      <c r="B188" s="6" t="str">
        <f>CONCATENATE(TMK[[#This Row],[Supply Level]],TMK[[#This Row],[Station/Feeder]],TMK[[#This Row],[Equipment ID]],TMK[[#This Row],[Voltage]],TMK[[#This Row],[Device type]])</f>
        <v>SubTransmissionRGA_T2IODINE33.594-</v>
      </c>
      <c r="C188" s="6" t="s">
        <v>1245</v>
      </c>
      <c r="D188" s="11" t="s">
        <v>87</v>
      </c>
      <c r="E188" s="7" t="s">
        <v>600</v>
      </c>
      <c r="F188" s="46" t="s">
        <v>601</v>
      </c>
      <c r="G188" s="57">
        <v>5</v>
      </c>
      <c r="H188" s="46" t="s">
        <v>1289</v>
      </c>
      <c r="I188" s="123" t="s">
        <v>329</v>
      </c>
      <c r="J188" s="123" t="s">
        <v>69</v>
      </c>
      <c r="K188" s="46" t="s">
        <v>0</v>
      </c>
      <c r="L188" s="46" t="s">
        <v>0</v>
      </c>
      <c r="M188" s="43">
        <f t="shared" si="131"/>
        <v>33.594000000000001</v>
      </c>
      <c r="N188" s="9">
        <v>368.60397632070425</v>
      </c>
      <c r="O188" s="9">
        <f t="shared" si="110"/>
        <v>21.447780734385848</v>
      </c>
      <c r="P188" s="9" t="s">
        <v>0</v>
      </c>
      <c r="Q188" s="9" t="str">
        <f t="shared" si="111"/>
        <v>-</v>
      </c>
      <c r="R188" s="9">
        <v>275.38648791159613</v>
      </c>
      <c r="S188" s="9">
        <f t="shared" si="112"/>
        <v>16.023779962703436</v>
      </c>
      <c r="T188" s="9" t="s">
        <v>0</v>
      </c>
      <c r="U188" s="9" t="str">
        <f t="shared" si="113"/>
        <v>-</v>
      </c>
      <c r="V188" s="9" t="s">
        <v>0</v>
      </c>
      <c r="W188" s="9" t="str">
        <f t="shared" si="114"/>
        <v>-</v>
      </c>
      <c r="X188" s="9" t="s">
        <v>0</v>
      </c>
      <c r="Y188" s="9" t="str">
        <f t="shared" si="6"/>
        <v>-</v>
      </c>
      <c r="Z188" s="9" t="s">
        <v>0</v>
      </c>
      <c r="AA188" s="9" t="str">
        <f t="shared" si="7"/>
        <v>-</v>
      </c>
      <c r="AB188" s="9" t="s">
        <v>0</v>
      </c>
      <c r="AC188" s="9" t="str">
        <f t="shared" si="8"/>
        <v>-</v>
      </c>
      <c r="AD188" s="9" t="s">
        <v>0</v>
      </c>
      <c r="AE188" s="12" t="str">
        <f t="shared" si="9"/>
        <v>-</v>
      </c>
      <c r="AF188" s="29" t="s">
        <v>0</v>
      </c>
      <c r="AG188" s="29" t="s">
        <v>0</v>
      </c>
      <c r="AH188" s="9">
        <v>1247.7</v>
      </c>
      <c r="AI188" s="29" t="s">
        <v>0</v>
      </c>
      <c r="AJ188" s="32" t="s">
        <v>0</v>
      </c>
      <c r="AK188" s="29" t="s">
        <v>0</v>
      </c>
      <c r="AL188" s="32" t="s">
        <v>0</v>
      </c>
      <c r="AM188" s="29" t="s">
        <v>0</v>
      </c>
      <c r="AN188" s="32" t="s">
        <v>0</v>
      </c>
      <c r="AO188" s="29" t="s">
        <v>0</v>
      </c>
      <c r="AP188" s="32" t="s">
        <v>0</v>
      </c>
      <c r="AQ188" s="32" t="s">
        <v>0</v>
      </c>
      <c r="AR188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88" s="9" t="str">
        <f t="shared" si="120"/>
        <v>-</v>
      </c>
      <c r="AT188" s="9">
        <f>IF(RIGHT(TMK[[#This Row],[Device type]],7)="Winding","-",TMK[[#This Row],[Cont Winter MVA]])</f>
        <v>21.447780734385848</v>
      </c>
      <c r="AU188" s="9" t="str">
        <f>IF(RIGHT(TMK[[#This Row],[Device type]],7)="Winding","-",TMK[[#This Row],[Cont Shoulder MVA]])</f>
        <v>-</v>
      </c>
      <c r="AV188" s="9">
        <f>IF(RIGHT(TMK[[#This Row],[Device type]],7)="Winding","-",TMK[[#This Row],[Cont Summer MVA]])</f>
        <v>16.023779962703436</v>
      </c>
      <c r="AW188" s="9" t="str">
        <f>IF(RIGHT(TMK[[#This Row],[Device type]],7)="Winding","-",TMK[[#This Row],[24 Hr Winter MVA]])</f>
        <v>-</v>
      </c>
      <c r="AX188" s="9" t="str">
        <f>IF(RIGHT(TMK[[#This Row],[Device type]],7)="Winding","-",TMK[[#This Row],[24 Hr Summer MVA]])</f>
        <v>-</v>
      </c>
      <c r="AY188" s="9" t="str">
        <f>TMK[[#This Row],[Forwards MVA]]</f>
        <v>-</v>
      </c>
      <c r="AZ188" s="9" t="str">
        <f>TMK[[#This Row],[Relay MVA]]</f>
        <v>-</v>
      </c>
      <c r="BA188" s="9" t="str">
        <f>TMK[[#This Row],[CT MVA]]</f>
        <v>-</v>
      </c>
      <c r="BB188" s="9" t="str">
        <f>TMK[[#This Row],[Derating MVA]]</f>
        <v>-</v>
      </c>
      <c r="BC188" s="9" t="str">
        <f>TMK[[#This Row],[Station/Feeder]]&amp;TMK[[#This Row],[Lowest MVA]]</f>
        <v>RGA_T216.0237799627034</v>
      </c>
      <c r="BD188" s="9" t="str">
        <f>CONCATENATE(TMK[[#This Row],[Supply Level]],TMK[[#This Row],[Station/Feeder]],TMK[[#This Row],[Voltage]],TMK[[#This Row],[Lowest A-No PTX]])</f>
        <v>SubTransmissionRGA_T233.594275.386487911596</v>
      </c>
      <c r="BE188" s="9" t="str">
        <f>CONCATENATE(TMK[[#This Row],[Supply Level]],TMK[[#This Row],[Station/Feeder]],TMK[[#This Row],[Voltage]],TMK[[#This Row],[Lowest A-PTX]])</f>
        <v>SubTransmissionRGA_T233.594275.386487911596</v>
      </c>
      <c r="BF188" s="9">
        <f>IFERROR(IF(MIN(TMK[[#This Row],[Summ Cont Winter A]:[Cable Derating]])=0,"",MIN(TMK[[#This Row],[Summ Cont Winter A]:[Cable Derating]])),"")</f>
        <v>16.023779962703436</v>
      </c>
      <c r="BG188" s="9">
        <f>IFERROR(TMK[[#This Row],[Lowest MVA]]*1000/(TMK[[#This Row],[Voltage]]*SQRT(3)),"")</f>
        <v>275.38648791159613</v>
      </c>
      <c r="BH188" s="9">
        <f t="shared" si="115"/>
        <v>275.38648791159613</v>
      </c>
      <c r="BI188" s="9" t="str">
        <f>TMK[[#This Row],[From]]</f>
        <v>T557</v>
      </c>
      <c r="BJ188" s="9" t="str">
        <f>TMK[[#This Row],[To]]</f>
        <v>G127</v>
      </c>
      <c r="BK18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Line-IODINE</v>
      </c>
      <c r="BL188" s="9">
        <f>TMK[[#This Row],[Voltage]]</f>
        <v>33.594000000000001</v>
      </c>
    </row>
    <row r="189" spans="1:64" s="1" customFormat="1" ht="15" customHeight="1" x14ac:dyDescent="0.25">
      <c r="A189" s="6" t="str">
        <f>CONCATENATE(TMK[[#This Row],[Supply Level]],TMK[[#This Row],[Station/Feeder]],TMK[[#This Row],[Voltage]])</f>
        <v>SubTransmissionRGA_T233.594</v>
      </c>
      <c r="B189" s="6" t="str">
        <f>CONCATENATE(TMK[[#This Row],[Supply Level]],TMK[[#This Row],[Station/Feeder]],TMK[[#This Row],[Equipment ID]],TMK[[#This Row],[Voltage]],TMK[[#This Row],[Device type]])</f>
        <v>SubTransmissionRGA_T2DOG33.594-</v>
      </c>
      <c r="C189" s="6" t="s">
        <v>1245</v>
      </c>
      <c r="D189" s="11" t="s">
        <v>87</v>
      </c>
      <c r="E189" s="7" t="s">
        <v>600</v>
      </c>
      <c r="F189" s="46" t="s">
        <v>601</v>
      </c>
      <c r="G189" s="57">
        <v>6</v>
      </c>
      <c r="H189" s="46" t="s">
        <v>1289</v>
      </c>
      <c r="I189" s="123" t="s">
        <v>318</v>
      </c>
      <c r="J189" s="123" t="s">
        <v>69</v>
      </c>
      <c r="K189" s="46" t="s">
        <v>0</v>
      </c>
      <c r="L189" s="46" t="s">
        <v>0</v>
      </c>
      <c r="M189" s="43">
        <f t="shared" si="131"/>
        <v>33.594000000000001</v>
      </c>
      <c r="N189" s="9">
        <v>343.69342642524197</v>
      </c>
      <c r="O189" s="9">
        <f t="shared" si="110"/>
        <v>19.99832265348331</v>
      </c>
      <c r="P189" s="9" t="s">
        <v>0</v>
      </c>
      <c r="Q189" s="9" t="str">
        <f t="shared" si="111"/>
        <v>-</v>
      </c>
      <c r="R189" s="9">
        <v>256.85852310343915</v>
      </c>
      <c r="S189" s="9">
        <f t="shared" si="112"/>
        <v>14.945702263633732</v>
      </c>
      <c r="T189" s="9" t="s">
        <v>0</v>
      </c>
      <c r="U189" s="9" t="str">
        <f t="shared" si="113"/>
        <v>-</v>
      </c>
      <c r="V189" s="9" t="s">
        <v>0</v>
      </c>
      <c r="W189" s="9" t="str">
        <f t="shared" si="114"/>
        <v>-</v>
      </c>
      <c r="X189" s="9" t="s">
        <v>0</v>
      </c>
      <c r="Y189" s="9" t="str">
        <f t="shared" si="6"/>
        <v>-</v>
      </c>
      <c r="Z189" s="9" t="s">
        <v>0</v>
      </c>
      <c r="AA189" s="9" t="str">
        <f t="shared" si="7"/>
        <v>-</v>
      </c>
      <c r="AB189" s="9" t="s">
        <v>0</v>
      </c>
      <c r="AC189" s="9" t="str">
        <f t="shared" si="8"/>
        <v>-</v>
      </c>
      <c r="AD189" s="9" t="s">
        <v>0</v>
      </c>
      <c r="AE189" s="12" t="str">
        <f t="shared" si="9"/>
        <v>-</v>
      </c>
      <c r="AF189" s="9" t="s">
        <v>0</v>
      </c>
      <c r="AG189" s="9" t="s">
        <v>0</v>
      </c>
      <c r="AH189" s="9">
        <v>904.8</v>
      </c>
      <c r="AI189" s="9" t="s">
        <v>0</v>
      </c>
      <c r="AJ189" s="43" t="s">
        <v>0</v>
      </c>
      <c r="AK189" s="9" t="s">
        <v>0</v>
      </c>
      <c r="AL189" s="43" t="s">
        <v>0</v>
      </c>
      <c r="AM189" s="9" t="s">
        <v>0</v>
      </c>
      <c r="AN189" s="43" t="s">
        <v>0</v>
      </c>
      <c r="AO189" s="9" t="s">
        <v>0</v>
      </c>
      <c r="AP189" s="9" t="s">
        <v>0</v>
      </c>
      <c r="AQ189" s="43" t="s">
        <v>0</v>
      </c>
      <c r="AR189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89" s="9" t="str">
        <f t="shared" si="120"/>
        <v>-</v>
      </c>
      <c r="AT189" s="9">
        <f>IF(RIGHT(TMK[[#This Row],[Device type]],7)="Winding","-",TMK[[#This Row],[Cont Winter MVA]])</f>
        <v>19.99832265348331</v>
      </c>
      <c r="AU189" s="9" t="str">
        <f>IF(RIGHT(TMK[[#This Row],[Device type]],7)="Winding","-",TMK[[#This Row],[Cont Shoulder MVA]])</f>
        <v>-</v>
      </c>
      <c r="AV189" s="9">
        <f>IF(RIGHT(TMK[[#This Row],[Device type]],7)="Winding","-",TMK[[#This Row],[Cont Summer MVA]])</f>
        <v>14.945702263633732</v>
      </c>
      <c r="AW189" s="9" t="str">
        <f>IF(RIGHT(TMK[[#This Row],[Device type]],7)="Winding","-",TMK[[#This Row],[24 Hr Winter MVA]])</f>
        <v>-</v>
      </c>
      <c r="AX189" s="9" t="str">
        <f>IF(RIGHT(TMK[[#This Row],[Device type]],7)="Winding","-",TMK[[#This Row],[24 Hr Summer MVA]])</f>
        <v>-</v>
      </c>
      <c r="AY189" s="9" t="str">
        <f>TMK[[#This Row],[Forwards MVA]]</f>
        <v>-</v>
      </c>
      <c r="AZ189" s="9" t="str">
        <f>TMK[[#This Row],[Relay MVA]]</f>
        <v>-</v>
      </c>
      <c r="BA189" s="9" t="str">
        <f>TMK[[#This Row],[CT MVA]]</f>
        <v>-</v>
      </c>
      <c r="BB189" s="9" t="str">
        <f>TMK[[#This Row],[Derating MVA]]</f>
        <v>-</v>
      </c>
      <c r="BC189" s="9" t="str">
        <f>TMK[[#This Row],[Station/Feeder]]&amp;TMK[[#This Row],[Lowest MVA]]</f>
        <v>RGA_T214.9457022636337</v>
      </c>
      <c r="BD189" s="9" t="str">
        <f>CONCATENATE(TMK[[#This Row],[Supply Level]],TMK[[#This Row],[Station/Feeder]],TMK[[#This Row],[Voltage]],TMK[[#This Row],[Lowest A-No PTX]])</f>
        <v>SubTransmissionRGA_T233.594256.858523103439</v>
      </c>
      <c r="BE189" s="9" t="str">
        <f>CONCATENATE(TMK[[#This Row],[Supply Level]],TMK[[#This Row],[Station/Feeder]],TMK[[#This Row],[Voltage]],TMK[[#This Row],[Lowest A-PTX]])</f>
        <v>SubTransmissionRGA_T233.594256.858523103439</v>
      </c>
      <c r="BF189" s="9">
        <f>IFERROR(IF(MIN(TMK[[#This Row],[Summ Cont Winter A]:[Cable Derating]])=0,"",MIN(TMK[[#This Row],[Summ Cont Winter A]:[Cable Derating]])),"")</f>
        <v>14.945702263633732</v>
      </c>
      <c r="BG189" s="9">
        <f>IFERROR(TMK[[#This Row],[Lowest MVA]]*1000/(TMK[[#This Row],[Voltage]]*SQRT(3)),"")</f>
        <v>256.85852310343915</v>
      </c>
      <c r="BH189" s="9">
        <f t="shared" si="115"/>
        <v>256.85852310343915</v>
      </c>
      <c r="BI189" s="9" t="str">
        <f>TMK[[#This Row],[From]]</f>
        <v>T557</v>
      </c>
      <c r="BJ189" s="9" t="str">
        <f>TMK[[#This Row],[To]]</f>
        <v>G127</v>
      </c>
      <c r="BK18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189" s="9">
        <f>TMK[[#This Row],[Voltage]]</f>
        <v>33.594000000000001</v>
      </c>
    </row>
    <row r="190" spans="1:64" s="1" customFormat="1" ht="15" customHeight="1" x14ac:dyDescent="0.25">
      <c r="A190" s="6" t="str">
        <f>CONCATENATE(TMK[[#This Row],[Supply Level]],TMK[[#This Row],[Station/Feeder]],TMK[[#This Row],[Voltage]])</f>
        <v>SubTransmissionRGA_T233.594</v>
      </c>
      <c r="B190" s="6" t="str">
        <f>CONCATENATE(TMK[[#This Row],[Supply Level]],TMK[[#This Row],[Station/Feeder]],TMK[[#This Row],[Equipment ID]],TMK[[#This Row],[Voltage]],TMK[[#This Row],[Device type]])</f>
        <v>SubTransmissionRGA_T21-3c 95 mm² Al XLPE33.594-</v>
      </c>
      <c r="C190" s="6" t="s">
        <v>1245</v>
      </c>
      <c r="D190" s="11" t="s">
        <v>87</v>
      </c>
      <c r="E190" s="7" t="s">
        <v>600</v>
      </c>
      <c r="F190" s="46" t="s">
        <v>601</v>
      </c>
      <c r="G190" s="57">
        <v>7</v>
      </c>
      <c r="H190" s="46" t="s">
        <v>276</v>
      </c>
      <c r="I190" s="123" t="s">
        <v>571</v>
      </c>
      <c r="J190" s="123" t="s">
        <v>250</v>
      </c>
      <c r="K190" s="46" t="s">
        <v>0</v>
      </c>
      <c r="L190" s="46" t="s">
        <v>0</v>
      </c>
      <c r="M190" s="43">
        <f t="shared" si="131"/>
        <v>33.594000000000001</v>
      </c>
      <c r="N190" s="9">
        <v>218</v>
      </c>
      <c r="O190" s="9">
        <f t="shared" si="110"/>
        <v>12.684660232824212</v>
      </c>
      <c r="P190" s="9">
        <v>218</v>
      </c>
      <c r="Q190" s="9">
        <f t="shared" si="111"/>
        <v>12.684660232824212</v>
      </c>
      <c r="R190" s="9">
        <v>218</v>
      </c>
      <c r="S190" s="9">
        <f t="shared" si="112"/>
        <v>12.684660232824212</v>
      </c>
      <c r="T190" s="9" t="s">
        <v>0</v>
      </c>
      <c r="U190" s="9" t="str">
        <f t="shared" si="113"/>
        <v>-</v>
      </c>
      <c r="V190" s="9" t="s">
        <v>0</v>
      </c>
      <c r="W190" s="9" t="str">
        <f t="shared" si="114"/>
        <v>-</v>
      </c>
      <c r="X190" s="9" t="s">
        <v>0</v>
      </c>
      <c r="Y190" s="9" t="str">
        <f t="shared" si="6"/>
        <v>-</v>
      </c>
      <c r="Z190" s="9" t="s">
        <v>0</v>
      </c>
      <c r="AA190" s="9" t="str">
        <f t="shared" si="7"/>
        <v>-</v>
      </c>
      <c r="AB190" s="9" t="s">
        <v>0</v>
      </c>
      <c r="AC190" s="9" t="str">
        <f t="shared" si="8"/>
        <v>-</v>
      </c>
      <c r="AD190" s="9" t="s">
        <v>0</v>
      </c>
      <c r="AE190" s="12" t="str">
        <f t="shared" si="9"/>
        <v>-</v>
      </c>
      <c r="AF190" s="29">
        <v>3</v>
      </c>
      <c r="AG190" s="29" t="s">
        <v>344</v>
      </c>
      <c r="AH190" s="9">
        <v>1202.5</v>
      </c>
      <c r="AI190" s="29">
        <v>1.25</v>
      </c>
      <c r="AJ190" s="32">
        <v>0.97</v>
      </c>
      <c r="AK190" s="29">
        <v>18</v>
      </c>
      <c r="AL190" s="32">
        <v>0.98</v>
      </c>
      <c r="AM190" s="29">
        <v>1.2</v>
      </c>
      <c r="AN190" s="32">
        <v>1</v>
      </c>
      <c r="AO190" s="29">
        <v>1</v>
      </c>
      <c r="AP190" s="32">
        <v>0</v>
      </c>
      <c r="AQ190" s="32">
        <v>1</v>
      </c>
      <c r="AR190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207.23079999999999</v>
      </c>
      <c r="AS190" s="9">
        <f t="shared" si="120"/>
        <v>12.058038017322694</v>
      </c>
      <c r="AT190" s="9">
        <f>IF(RIGHT(TMK[[#This Row],[Device type]],7)="Winding","-",TMK[[#This Row],[Cont Winter MVA]])</f>
        <v>12.684660232824212</v>
      </c>
      <c r="AU190" s="9">
        <f>IF(RIGHT(TMK[[#This Row],[Device type]],7)="Winding","-",TMK[[#This Row],[Cont Shoulder MVA]])</f>
        <v>12.684660232824212</v>
      </c>
      <c r="AV190" s="9">
        <f>IF(RIGHT(TMK[[#This Row],[Device type]],7)="Winding","-",TMK[[#This Row],[Cont Summer MVA]])</f>
        <v>12.684660232824212</v>
      </c>
      <c r="AW190" s="9" t="str">
        <f>IF(RIGHT(TMK[[#This Row],[Device type]],7)="Winding","-",TMK[[#This Row],[24 Hr Winter MVA]])</f>
        <v>-</v>
      </c>
      <c r="AX190" s="9" t="str">
        <f>IF(RIGHT(TMK[[#This Row],[Device type]],7)="Winding","-",TMK[[#This Row],[24 Hr Summer MVA]])</f>
        <v>-</v>
      </c>
      <c r="AY190" s="9" t="str">
        <f>TMK[[#This Row],[Forwards MVA]]</f>
        <v>-</v>
      </c>
      <c r="AZ190" s="9" t="str">
        <f>TMK[[#This Row],[Relay MVA]]</f>
        <v>-</v>
      </c>
      <c r="BA190" s="9" t="str">
        <f>TMK[[#This Row],[CT MVA]]</f>
        <v>-</v>
      </c>
      <c r="BB190" s="9">
        <f>TMK[[#This Row],[Derating MVA]]</f>
        <v>12.058038017322694</v>
      </c>
      <c r="BC190" s="9" t="str">
        <f>TMK[[#This Row],[Station/Feeder]]&amp;TMK[[#This Row],[Lowest MVA]]</f>
        <v>RGA_T212.0580380173227</v>
      </c>
      <c r="BD190" s="9" t="str">
        <f>CONCATENATE(TMK[[#This Row],[Supply Level]],TMK[[#This Row],[Station/Feeder]],TMK[[#This Row],[Voltage]],TMK[[#This Row],[Lowest A-No PTX]])</f>
        <v>SubTransmissionRGA_T233.594207.2308</v>
      </c>
      <c r="BE190" s="9" t="str">
        <f>CONCATENATE(TMK[[#This Row],[Supply Level]],TMK[[#This Row],[Station/Feeder]],TMK[[#This Row],[Voltage]],TMK[[#This Row],[Lowest A-PTX]])</f>
        <v>SubTransmissionRGA_T233.594207.2308</v>
      </c>
      <c r="BF190" s="9">
        <f>IFERROR(IF(MIN(TMK[[#This Row],[Summ Cont Winter A]:[Cable Derating]])=0,"",MIN(TMK[[#This Row],[Summ Cont Winter A]:[Cable Derating]])),"")</f>
        <v>12.058038017322694</v>
      </c>
      <c r="BG190" s="9">
        <f>IFERROR(TMK[[#This Row],[Lowest MVA]]*1000/(TMK[[#This Row],[Voltage]]*SQRT(3)),"")</f>
        <v>207.23079999999999</v>
      </c>
      <c r="BH190" s="9">
        <f t="shared" si="115"/>
        <v>207.23079999999999</v>
      </c>
      <c r="BI190" s="9" t="str">
        <f>TMK[[#This Row],[From]]</f>
        <v>T557</v>
      </c>
      <c r="BJ190" s="9" t="str">
        <f>TMK[[#This Row],[To]]</f>
        <v>G127</v>
      </c>
      <c r="BK19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95 mm² Al XLPE</v>
      </c>
      <c r="BL190" s="9">
        <f>TMK[[#This Row],[Voltage]]</f>
        <v>33.594000000000001</v>
      </c>
    </row>
    <row r="191" spans="1:64" s="1" customFormat="1" ht="15" customHeight="1" x14ac:dyDescent="0.25">
      <c r="A191" s="6" t="str">
        <f>CONCATENATE(TMK[[#This Row],[Supply Level]],TMK[[#This Row],[Station/Feeder]],TMK[[#This Row],[Voltage]])</f>
        <v>SubTransmissionRGA_T233.594</v>
      </c>
      <c r="B191" s="6" t="str">
        <f>CONCATENATE(TMK[[#This Row],[Supply Level]],TMK[[#This Row],[Station/Feeder]],TMK[[#This Row],[Equipment ID]],TMK[[#This Row],[Voltage]],TMK[[#This Row],[Device type]])</f>
        <v>SubTransmissionRGA_T2G12733.594-</v>
      </c>
      <c r="C191" s="6" t="s">
        <v>1245</v>
      </c>
      <c r="D191" s="11" t="s">
        <v>87</v>
      </c>
      <c r="E191" s="7" t="s">
        <v>600</v>
      </c>
      <c r="F191" s="46" t="s">
        <v>601</v>
      </c>
      <c r="G191" s="57">
        <v>8</v>
      </c>
      <c r="H191" s="46" t="s">
        <v>273</v>
      </c>
      <c r="I191" s="123" t="s">
        <v>601</v>
      </c>
      <c r="J191" s="123" t="s">
        <v>249</v>
      </c>
      <c r="K191" s="46" t="s">
        <v>0</v>
      </c>
      <c r="L191" s="46" t="s">
        <v>0</v>
      </c>
      <c r="M191" s="43">
        <f t="shared" si="131"/>
        <v>33.594000000000001</v>
      </c>
      <c r="N191" s="9" t="s">
        <v>0</v>
      </c>
      <c r="O191" s="9" t="str">
        <f t="shared" si="110"/>
        <v>-</v>
      </c>
      <c r="P191" s="9" t="s">
        <v>0</v>
      </c>
      <c r="Q191" s="9" t="str">
        <f t="shared" si="111"/>
        <v>-</v>
      </c>
      <c r="R191" s="9" t="s">
        <v>0</v>
      </c>
      <c r="S191" s="9" t="str">
        <f t="shared" si="112"/>
        <v>-</v>
      </c>
      <c r="T191" s="9" t="s">
        <v>0</v>
      </c>
      <c r="U191" s="9" t="str">
        <f t="shared" si="113"/>
        <v>-</v>
      </c>
      <c r="V191" s="9" t="s">
        <v>0</v>
      </c>
      <c r="W191" s="9" t="str">
        <f t="shared" si="114"/>
        <v>-</v>
      </c>
      <c r="X191" s="9" t="s">
        <v>0</v>
      </c>
      <c r="Y191" s="9" t="str">
        <f t="shared" si="6"/>
        <v>-</v>
      </c>
      <c r="Z191" s="9" t="s">
        <v>0</v>
      </c>
      <c r="AA191" s="9" t="str">
        <f t="shared" si="7"/>
        <v>-</v>
      </c>
      <c r="AB191" s="9" t="s">
        <v>0</v>
      </c>
      <c r="AC191" s="9" t="str">
        <f t="shared" si="8"/>
        <v>-</v>
      </c>
      <c r="AD191" s="9" t="s">
        <v>0</v>
      </c>
      <c r="AE191" s="12" t="str">
        <f t="shared" si="9"/>
        <v>-</v>
      </c>
      <c r="AF191" s="29" t="s">
        <v>0</v>
      </c>
      <c r="AG191" s="29" t="s">
        <v>0</v>
      </c>
      <c r="AH191" s="29" t="s">
        <v>0</v>
      </c>
      <c r="AI191" s="29" t="s">
        <v>0</v>
      </c>
      <c r="AJ191" s="32" t="s">
        <v>0</v>
      </c>
      <c r="AK191" s="29" t="s">
        <v>0</v>
      </c>
      <c r="AL191" s="32" t="s">
        <v>0</v>
      </c>
      <c r="AM191" s="29" t="s">
        <v>0</v>
      </c>
      <c r="AN191" s="32" t="s">
        <v>0</v>
      </c>
      <c r="AO191" s="29" t="s">
        <v>0</v>
      </c>
      <c r="AP191" s="29" t="s">
        <v>0</v>
      </c>
      <c r="AQ191" s="32" t="s">
        <v>0</v>
      </c>
      <c r="AR191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91" s="9" t="str">
        <f t="shared" si="120"/>
        <v>-</v>
      </c>
      <c r="AT191" s="9" t="str">
        <f>IF(RIGHT(TMK[[#This Row],[Device type]],7)="Winding","-",TMK[[#This Row],[Cont Winter MVA]])</f>
        <v>-</v>
      </c>
      <c r="AU191" s="9" t="str">
        <f>IF(RIGHT(TMK[[#This Row],[Device type]],7)="Winding","-",TMK[[#This Row],[Cont Shoulder MVA]])</f>
        <v>-</v>
      </c>
      <c r="AV191" s="9" t="str">
        <f>IF(RIGHT(TMK[[#This Row],[Device type]],7)="Winding","-",TMK[[#This Row],[Cont Summer MVA]])</f>
        <v>-</v>
      </c>
      <c r="AW191" s="9" t="str">
        <f>IF(RIGHT(TMK[[#This Row],[Device type]],7)="Winding","-",TMK[[#This Row],[24 Hr Winter MVA]])</f>
        <v>-</v>
      </c>
      <c r="AX191" s="9" t="str">
        <f>IF(RIGHT(TMK[[#This Row],[Device type]],7)="Winding","-",TMK[[#This Row],[24 Hr Summer MVA]])</f>
        <v>-</v>
      </c>
      <c r="AY191" s="9" t="str">
        <f>TMK[[#This Row],[Forwards MVA]]</f>
        <v>-</v>
      </c>
      <c r="AZ191" s="9" t="str">
        <f>TMK[[#This Row],[Relay MVA]]</f>
        <v>-</v>
      </c>
      <c r="BA191" s="9" t="str">
        <f>TMK[[#This Row],[CT MVA]]</f>
        <v>-</v>
      </c>
      <c r="BB191" s="9" t="str">
        <f>TMK[[#This Row],[Derating MVA]]</f>
        <v>-</v>
      </c>
      <c r="BC191" s="9" t="str">
        <f>TMK[[#This Row],[Station/Feeder]]&amp;TMK[[#This Row],[Lowest MVA]]</f>
        <v>RGA_T2</v>
      </c>
      <c r="BD191" s="9" t="str">
        <f>CONCATENATE(TMK[[#This Row],[Supply Level]],TMK[[#This Row],[Station/Feeder]],TMK[[#This Row],[Voltage]],TMK[[#This Row],[Lowest A-No PTX]])</f>
        <v>SubTransmissionRGA_T233.594</v>
      </c>
      <c r="BE191" s="9" t="str">
        <f>CONCATENATE(TMK[[#This Row],[Supply Level]],TMK[[#This Row],[Station/Feeder]],TMK[[#This Row],[Voltage]],TMK[[#This Row],[Lowest A-PTX]])</f>
        <v>SubTransmissionRGA_T233.594</v>
      </c>
      <c r="BF191" s="9" t="str">
        <f>IFERROR(IF(MIN(TMK[[#This Row],[Summ Cont Winter A]:[Cable Derating]])=0,"",MIN(TMK[[#This Row],[Summ Cont Winter A]:[Cable Derating]])),"")</f>
        <v/>
      </c>
      <c r="BG191" s="9" t="str">
        <f>IFERROR(TMK[[#This Row],[Lowest MVA]]*1000/(TMK[[#This Row],[Voltage]]*SQRT(3)),"")</f>
        <v/>
      </c>
      <c r="BH191" s="9" t="str">
        <f t="shared" si="115"/>
        <v/>
      </c>
      <c r="BI191" s="9" t="str">
        <f>TMK[[#This Row],[From]]</f>
        <v>T557</v>
      </c>
      <c r="BJ191" s="9" t="str">
        <f>TMK[[#This Row],[To]]</f>
        <v>G127</v>
      </c>
      <c r="BK19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Link-G127</v>
      </c>
      <c r="BL191" s="9">
        <f>TMK[[#This Row],[Voltage]]</f>
        <v>33.594000000000001</v>
      </c>
    </row>
    <row r="192" spans="1:64" s="1" customFormat="1" ht="15" customHeight="1" x14ac:dyDescent="0.25">
      <c r="A192" s="6" t="str">
        <f>CONCATENATE(TMK[[#This Row],[Supply Level]],TMK[[#This Row],[Station/Feeder]],TMK[[#This Row],[Voltage]])</f>
        <v>SubTransmissionRGA_T233.594</v>
      </c>
      <c r="B192" s="6" t="str">
        <f>CONCATENATE(TMK[[#This Row],[Supply Level]],TMK[[#This Row],[Station/Feeder]],TMK[[#This Row],[Equipment ID]],TMK[[#This Row],[Voltage]],TMK[[#This Row],[Device type]])</f>
        <v>SubTransmissionRGA_T2DOG33.594-</v>
      </c>
      <c r="C192" s="6" t="s">
        <v>1245</v>
      </c>
      <c r="D192" s="11" t="s">
        <v>87</v>
      </c>
      <c r="E192" s="46" t="s">
        <v>601</v>
      </c>
      <c r="F192" s="46" t="s">
        <v>602</v>
      </c>
      <c r="G192" s="57">
        <v>9</v>
      </c>
      <c r="H192" s="46" t="s">
        <v>1289</v>
      </c>
      <c r="I192" s="123" t="s">
        <v>318</v>
      </c>
      <c r="J192" s="123" t="s">
        <v>69</v>
      </c>
      <c r="K192" s="46" t="s">
        <v>0</v>
      </c>
      <c r="L192" s="46" t="s">
        <v>0</v>
      </c>
      <c r="M192" s="43">
        <f t="shared" si="131"/>
        <v>33.594000000000001</v>
      </c>
      <c r="N192" s="9">
        <v>343.69342642524197</v>
      </c>
      <c r="O192" s="9">
        <f t="shared" si="110"/>
        <v>19.99832265348331</v>
      </c>
      <c r="P192" s="9" t="s">
        <v>0</v>
      </c>
      <c r="Q192" s="9" t="str">
        <f t="shared" si="111"/>
        <v>-</v>
      </c>
      <c r="R192" s="9">
        <v>256.85852310343915</v>
      </c>
      <c r="S192" s="9">
        <f t="shared" si="112"/>
        <v>14.945702263633732</v>
      </c>
      <c r="T192" s="9" t="s">
        <v>0</v>
      </c>
      <c r="U192" s="9" t="str">
        <f t="shared" si="113"/>
        <v>-</v>
      </c>
      <c r="V192" s="9" t="s">
        <v>0</v>
      </c>
      <c r="W192" s="9" t="str">
        <f t="shared" si="114"/>
        <v>-</v>
      </c>
      <c r="X192" s="9" t="s">
        <v>0</v>
      </c>
      <c r="Y192" s="9" t="str">
        <f t="shared" ref="Y192:Y193" si="141">IF(OR(X192="",X192="-"),"-",X192*$M192*SQRT(3)/1000)</f>
        <v>-</v>
      </c>
      <c r="Z192" s="9" t="s">
        <v>0</v>
      </c>
      <c r="AA192" s="9" t="str">
        <f t="shared" ref="AA192:AA193" si="142">IF(OR(Z192="",Z192="-"),"-",Z192*$M192*SQRT(3)/1000)</f>
        <v>-</v>
      </c>
      <c r="AB192" s="9" t="s">
        <v>0</v>
      </c>
      <c r="AC192" s="9" t="str">
        <f t="shared" ref="AC192:AC193" si="143">IF(OR(AB192="",AB192="-"),"-",AB192*$M192*SQRT(3)/1000)</f>
        <v>-</v>
      </c>
      <c r="AD192" s="9" t="s">
        <v>0</v>
      </c>
      <c r="AE192" s="12" t="str">
        <f t="shared" ref="AE192:AE193" si="144">IF(OR(AD192="",AD192="-"),"-",AD192*$M192*SQRT(3)/1000)</f>
        <v>-</v>
      </c>
      <c r="AF192" s="9" t="s">
        <v>0</v>
      </c>
      <c r="AG192" s="9" t="s">
        <v>0</v>
      </c>
      <c r="AH192" s="9">
        <v>6230.2</v>
      </c>
      <c r="AI192" s="9" t="s">
        <v>0</v>
      </c>
      <c r="AJ192" s="43" t="s">
        <v>0</v>
      </c>
      <c r="AK192" s="9" t="s">
        <v>0</v>
      </c>
      <c r="AL192" s="43" t="s">
        <v>0</v>
      </c>
      <c r="AM192" s="9" t="s">
        <v>0</v>
      </c>
      <c r="AN192" s="43" t="s">
        <v>0</v>
      </c>
      <c r="AO192" s="9" t="s">
        <v>0</v>
      </c>
      <c r="AP192" s="9" t="s">
        <v>0</v>
      </c>
      <c r="AQ192" s="43" t="s">
        <v>0</v>
      </c>
      <c r="AR192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92" s="9" t="str">
        <f t="shared" si="120"/>
        <v>-</v>
      </c>
      <c r="AT192" s="9">
        <f>IF(RIGHT(TMK[[#This Row],[Device type]],7)="Winding","-",TMK[[#This Row],[Cont Winter MVA]])</f>
        <v>19.99832265348331</v>
      </c>
      <c r="AU192" s="9" t="str">
        <f>IF(RIGHT(TMK[[#This Row],[Device type]],7)="Winding","-",TMK[[#This Row],[Cont Shoulder MVA]])</f>
        <v>-</v>
      </c>
      <c r="AV192" s="9">
        <f>IF(RIGHT(TMK[[#This Row],[Device type]],7)="Winding","-",TMK[[#This Row],[Cont Summer MVA]])</f>
        <v>14.945702263633732</v>
      </c>
      <c r="AW192" s="9" t="str">
        <f>IF(RIGHT(TMK[[#This Row],[Device type]],7)="Winding","-",TMK[[#This Row],[24 Hr Winter MVA]])</f>
        <v>-</v>
      </c>
      <c r="AX192" s="9" t="str">
        <f>IF(RIGHT(TMK[[#This Row],[Device type]],7)="Winding","-",TMK[[#This Row],[24 Hr Summer MVA]])</f>
        <v>-</v>
      </c>
      <c r="AY192" s="9" t="str">
        <f>TMK[[#This Row],[Forwards MVA]]</f>
        <v>-</v>
      </c>
      <c r="AZ192" s="9" t="str">
        <f>TMK[[#This Row],[Relay MVA]]</f>
        <v>-</v>
      </c>
      <c r="BA192" s="9" t="str">
        <f>TMK[[#This Row],[CT MVA]]</f>
        <v>-</v>
      </c>
      <c r="BB192" s="9" t="str">
        <f>TMK[[#This Row],[Derating MVA]]</f>
        <v>-</v>
      </c>
      <c r="BC192" s="9" t="str">
        <f>TMK[[#This Row],[Station/Feeder]]&amp;TMK[[#This Row],[Lowest MVA]]</f>
        <v>RGA_T214.9457022636337</v>
      </c>
      <c r="BD192" s="9" t="str">
        <f>CONCATENATE(TMK[[#This Row],[Supply Level]],TMK[[#This Row],[Station/Feeder]],TMK[[#This Row],[Voltage]],TMK[[#This Row],[Lowest A-No PTX]])</f>
        <v>SubTransmissionRGA_T233.594256.858523103439</v>
      </c>
      <c r="BE192" s="9" t="str">
        <f>CONCATENATE(TMK[[#This Row],[Supply Level]],TMK[[#This Row],[Station/Feeder]],TMK[[#This Row],[Voltage]],TMK[[#This Row],[Lowest A-PTX]])</f>
        <v>SubTransmissionRGA_T233.594256.858523103439</v>
      </c>
      <c r="BF192" s="9">
        <f>IFERROR(IF(MIN(TMK[[#This Row],[Summ Cont Winter A]:[Cable Derating]])=0,"",MIN(TMK[[#This Row],[Summ Cont Winter A]:[Cable Derating]])),"")</f>
        <v>14.945702263633732</v>
      </c>
      <c r="BG192" s="9">
        <f>IFERROR(TMK[[#This Row],[Lowest MVA]]*1000/(TMK[[#This Row],[Voltage]]*SQRT(3)),"")</f>
        <v>256.85852310343915</v>
      </c>
      <c r="BH192" s="9">
        <f t="shared" si="115"/>
        <v>256.85852310343915</v>
      </c>
      <c r="BI192" s="9" t="str">
        <f>TMK[[#This Row],[From]]</f>
        <v>G127</v>
      </c>
      <c r="BJ192" s="9" t="str">
        <f>TMK[[#This Row],[To]]</f>
        <v>ABS1556</v>
      </c>
      <c r="BK19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192" s="9">
        <f>TMK[[#This Row],[Voltage]]</f>
        <v>33.594000000000001</v>
      </c>
    </row>
    <row r="193" spans="1:64" s="1" customFormat="1" ht="15" customHeight="1" x14ac:dyDescent="0.25">
      <c r="A193" s="6" t="str">
        <f>CONCATENATE(TMK[[#This Row],[Supply Level]],TMK[[#This Row],[Station/Feeder]],TMK[[#This Row],[Voltage]])</f>
        <v>SubTransmissionRGA_T233.594</v>
      </c>
      <c r="B193" s="6" t="str">
        <f>CONCATENATE(TMK[[#This Row],[Supply Level]],TMK[[#This Row],[Station/Feeder]],TMK[[#This Row],[Equipment ID]],TMK[[#This Row],[Voltage]],TMK[[#This Row],[Device type]])</f>
        <v>SubTransmissionRGA_T2WOLF33.594-</v>
      </c>
      <c r="C193" s="6" t="s">
        <v>1245</v>
      </c>
      <c r="D193" s="11" t="s">
        <v>87</v>
      </c>
      <c r="E193" s="46" t="s">
        <v>601</v>
      </c>
      <c r="F193" s="46" t="s">
        <v>602</v>
      </c>
      <c r="G193" s="57">
        <v>10</v>
      </c>
      <c r="H193" s="7" t="s">
        <v>1289</v>
      </c>
      <c r="I193" s="123" t="s">
        <v>472</v>
      </c>
      <c r="J193" s="123" t="s">
        <v>69</v>
      </c>
      <c r="K193" s="46" t="s">
        <v>0</v>
      </c>
      <c r="L193" s="46" t="s">
        <v>0</v>
      </c>
      <c r="M193" s="43">
        <f t="shared" si="131"/>
        <v>33.594000000000001</v>
      </c>
      <c r="N193" s="9">
        <v>445.82252474850947</v>
      </c>
      <c r="O193" s="9">
        <f t="shared" si="110"/>
        <v>25.940858947590396</v>
      </c>
      <c r="P193" s="9" t="s">
        <v>0</v>
      </c>
      <c r="Q193" s="9" t="str">
        <f t="shared" si="111"/>
        <v>-</v>
      </c>
      <c r="R193" s="9">
        <v>330.48646011726572</v>
      </c>
      <c r="S193" s="9">
        <f t="shared" si="112"/>
        <v>19.229855312551951</v>
      </c>
      <c r="T193" s="9" t="s">
        <v>0</v>
      </c>
      <c r="U193" s="9" t="str">
        <f t="shared" si="113"/>
        <v>-</v>
      </c>
      <c r="V193" s="9" t="s">
        <v>0</v>
      </c>
      <c r="W193" s="9" t="str">
        <f t="shared" si="114"/>
        <v>-</v>
      </c>
      <c r="X193" s="9" t="s">
        <v>0</v>
      </c>
      <c r="Y193" s="9" t="str">
        <f t="shared" si="141"/>
        <v>-</v>
      </c>
      <c r="Z193" s="9" t="s">
        <v>0</v>
      </c>
      <c r="AA193" s="9" t="str">
        <f t="shared" si="142"/>
        <v>-</v>
      </c>
      <c r="AB193" s="9" t="s">
        <v>0</v>
      </c>
      <c r="AC193" s="9" t="str">
        <f t="shared" si="143"/>
        <v>-</v>
      </c>
      <c r="AD193" s="9" t="s">
        <v>0</v>
      </c>
      <c r="AE193" s="12" t="str">
        <f t="shared" si="144"/>
        <v>-</v>
      </c>
      <c r="AF193" s="29" t="s">
        <v>0</v>
      </c>
      <c r="AG193" s="29" t="s">
        <v>0</v>
      </c>
      <c r="AH193" s="9">
        <v>234.9</v>
      </c>
      <c r="AI193" s="29" t="s">
        <v>0</v>
      </c>
      <c r="AJ193" s="32" t="s">
        <v>0</v>
      </c>
      <c r="AK193" s="29" t="s">
        <v>0</v>
      </c>
      <c r="AL193" s="32" t="s">
        <v>0</v>
      </c>
      <c r="AM193" s="29" t="s">
        <v>0</v>
      </c>
      <c r="AN193" s="32" t="s">
        <v>0</v>
      </c>
      <c r="AO193" s="29" t="s">
        <v>0</v>
      </c>
      <c r="AP193" s="32" t="s">
        <v>0</v>
      </c>
      <c r="AQ193" s="32" t="s">
        <v>0</v>
      </c>
      <c r="AR19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93" s="9" t="str">
        <f t="shared" si="120"/>
        <v>-</v>
      </c>
      <c r="AT193" s="9">
        <f>IF(RIGHT(TMK[[#This Row],[Device type]],7)="Winding","-",TMK[[#This Row],[Cont Winter MVA]])</f>
        <v>25.940858947590396</v>
      </c>
      <c r="AU193" s="9" t="str">
        <f>IF(RIGHT(TMK[[#This Row],[Device type]],7)="Winding","-",TMK[[#This Row],[Cont Shoulder MVA]])</f>
        <v>-</v>
      </c>
      <c r="AV193" s="9">
        <f>IF(RIGHT(TMK[[#This Row],[Device type]],7)="Winding","-",TMK[[#This Row],[Cont Summer MVA]])</f>
        <v>19.229855312551951</v>
      </c>
      <c r="AW193" s="9" t="str">
        <f>IF(RIGHT(TMK[[#This Row],[Device type]],7)="Winding","-",TMK[[#This Row],[24 Hr Winter MVA]])</f>
        <v>-</v>
      </c>
      <c r="AX193" s="9" t="str">
        <f>IF(RIGHT(TMK[[#This Row],[Device type]],7)="Winding","-",TMK[[#This Row],[24 Hr Summer MVA]])</f>
        <v>-</v>
      </c>
      <c r="AY193" s="9" t="str">
        <f>TMK[[#This Row],[Forwards MVA]]</f>
        <v>-</v>
      </c>
      <c r="AZ193" s="9" t="str">
        <f>TMK[[#This Row],[Relay MVA]]</f>
        <v>-</v>
      </c>
      <c r="BA193" s="9" t="str">
        <f>TMK[[#This Row],[CT MVA]]</f>
        <v>-</v>
      </c>
      <c r="BB193" s="9" t="str">
        <f>TMK[[#This Row],[Derating MVA]]</f>
        <v>-</v>
      </c>
      <c r="BC193" s="9" t="str">
        <f>TMK[[#This Row],[Station/Feeder]]&amp;TMK[[#This Row],[Lowest MVA]]</f>
        <v>RGA_T219.229855312552</v>
      </c>
      <c r="BD193" s="9" t="str">
        <f>CONCATENATE(TMK[[#This Row],[Supply Level]],TMK[[#This Row],[Station/Feeder]],TMK[[#This Row],[Voltage]],TMK[[#This Row],[Lowest A-No PTX]])</f>
        <v>SubTransmissionRGA_T233.594330.486460117266</v>
      </c>
      <c r="BE193" s="9" t="str">
        <f>CONCATENATE(TMK[[#This Row],[Supply Level]],TMK[[#This Row],[Station/Feeder]],TMK[[#This Row],[Voltage]],TMK[[#This Row],[Lowest A-PTX]])</f>
        <v>SubTransmissionRGA_T233.594330.486460117266</v>
      </c>
      <c r="BF193" s="9">
        <f>IFERROR(IF(MIN(TMK[[#This Row],[Summ Cont Winter A]:[Cable Derating]])=0,"",MIN(TMK[[#This Row],[Summ Cont Winter A]:[Cable Derating]])),"")</f>
        <v>19.229855312551951</v>
      </c>
      <c r="BG193" s="9">
        <f>IFERROR(TMK[[#This Row],[Lowest MVA]]*1000/(TMK[[#This Row],[Voltage]]*SQRT(3)),"")</f>
        <v>330.48646011726572</v>
      </c>
      <c r="BH193" s="9">
        <f t="shared" si="115"/>
        <v>330.48646011726572</v>
      </c>
      <c r="BI193" s="9" t="str">
        <f>TMK[[#This Row],[From]]</f>
        <v>G127</v>
      </c>
      <c r="BJ193" s="9" t="str">
        <f>TMK[[#This Row],[To]]</f>
        <v>ABS1556</v>
      </c>
      <c r="BK19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Line-WOLF</v>
      </c>
      <c r="BL193" s="9">
        <f>TMK[[#This Row],[Voltage]]</f>
        <v>33.594000000000001</v>
      </c>
    </row>
    <row r="194" spans="1:64" s="1" customFormat="1" ht="15" customHeight="1" x14ac:dyDescent="0.25">
      <c r="A194" s="6" t="str">
        <f>CONCATENATE(TMK[[#This Row],[Supply Level]],TMK[[#This Row],[Station/Feeder]],TMK[[#This Row],[Voltage]])</f>
        <v>SubTransmissionRGA_T233.594</v>
      </c>
      <c r="B194" s="6" t="str">
        <f>CONCATENATE(TMK[[#This Row],[Supply Level]],TMK[[#This Row],[Station/Feeder]],TMK[[#This Row],[Equipment ID]],TMK[[#This Row],[Voltage]],TMK[[#This Row],[Device type]])</f>
        <v>SubTransmissionRGA_T2DOG33.594-</v>
      </c>
      <c r="C194" s="6" t="s">
        <v>1245</v>
      </c>
      <c r="D194" s="11" t="s">
        <v>87</v>
      </c>
      <c r="E194" s="46" t="s">
        <v>601</v>
      </c>
      <c r="F194" s="46" t="s">
        <v>602</v>
      </c>
      <c r="G194" s="57">
        <v>11</v>
      </c>
      <c r="H194" s="130" t="s">
        <v>1289</v>
      </c>
      <c r="I194" s="131" t="s">
        <v>318</v>
      </c>
      <c r="J194" s="131" t="s">
        <v>69</v>
      </c>
      <c r="K194" s="130" t="s">
        <v>0</v>
      </c>
      <c r="L194" s="130" t="s">
        <v>0</v>
      </c>
      <c r="M194" s="43">
        <f t="shared" si="131"/>
        <v>33.594000000000001</v>
      </c>
      <c r="N194" s="132">
        <v>343.69342642524197</v>
      </c>
      <c r="O194" s="132">
        <f t="shared" si="110"/>
        <v>19.99832265348331</v>
      </c>
      <c r="P194" s="132" t="s">
        <v>0</v>
      </c>
      <c r="Q194" s="132" t="str">
        <f t="shared" si="111"/>
        <v>-</v>
      </c>
      <c r="R194" s="132">
        <v>256.85852310343915</v>
      </c>
      <c r="S194" s="132">
        <f t="shared" si="112"/>
        <v>14.945702263633732</v>
      </c>
      <c r="T194" s="132" t="s">
        <v>0</v>
      </c>
      <c r="U194" s="132" t="str">
        <f t="shared" si="113"/>
        <v>-</v>
      </c>
      <c r="V194" s="132" t="s">
        <v>0</v>
      </c>
      <c r="W194" s="132" t="str">
        <f t="shared" si="114"/>
        <v>-</v>
      </c>
      <c r="X194" s="132" t="s">
        <v>0</v>
      </c>
      <c r="Y194" s="132" t="str">
        <f t="shared" ref="Y194" si="145">IF(OR(X194="",X194="-"),"-",X194*$M194*SQRT(3)/1000)</f>
        <v>-</v>
      </c>
      <c r="Z194" s="132" t="s">
        <v>0</v>
      </c>
      <c r="AA194" s="132" t="str">
        <f t="shared" ref="AA194" si="146">IF(OR(Z194="",Z194="-"),"-",Z194*$M194*SQRT(3)/1000)</f>
        <v>-</v>
      </c>
      <c r="AB194" s="132" t="s">
        <v>0</v>
      </c>
      <c r="AC194" s="132" t="str">
        <f t="shared" ref="AC194" si="147">IF(OR(AB194="",AB194="-"),"-",AB194*$M194*SQRT(3)/1000)</f>
        <v>-</v>
      </c>
      <c r="AD194" s="132" t="s">
        <v>0</v>
      </c>
      <c r="AE194" s="133" t="str">
        <f t="shared" ref="AE194" si="148">IF(OR(AD194="",AD194="-"),"-",AD194*$M194*SQRT(3)/1000)</f>
        <v>-</v>
      </c>
      <c r="AF194" s="132" t="s">
        <v>0</v>
      </c>
      <c r="AG194" s="132" t="s">
        <v>0</v>
      </c>
      <c r="AH194" s="132">
        <v>7132.3</v>
      </c>
      <c r="AI194" s="132" t="s">
        <v>0</v>
      </c>
      <c r="AJ194" s="134" t="s">
        <v>0</v>
      </c>
      <c r="AK194" s="132" t="s">
        <v>0</v>
      </c>
      <c r="AL194" s="134" t="s">
        <v>0</v>
      </c>
      <c r="AM194" s="132" t="s">
        <v>0</v>
      </c>
      <c r="AN194" s="134" t="s">
        <v>0</v>
      </c>
      <c r="AO194" s="132" t="s">
        <v>0</v>
      </c>
      <c r="AP194" s="132" t="s">
        <v>0</v>
      </c>
      <c r="AQ194" s="134" t="s">
        <v>0</v>
      </c>
      <c r="AR194" s="135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94" s="132" t="str">
        <f t="shared" si="120"/>
        <v>-</v>
      </c>
      <c r="AT194" s="132">
        <f>IF(RIGHT(TMK[[#This Row],[Device type]],7)="Winding","-",TMK[[#This Row],[Cont Winter MVA]])</f>
        <v>19.99832265348331</v>
      </c>
      <c r="AU194" s="132" t="str">
        <f>IF(RIGHT(TMK[[#This Row],[Device type]],7)="Winding","-",TMK[[#This Row],[Cont Shoulder MVA]])</f>
        <v>-</v>
      </c>
      <c r="AV194" s="132">
        <f>IF(RIGHT(TMK[[#This Row],[Device type]],7)="Winding","-",TMK[[#This Row],[Cont Summer MVA]])</f>
        <v>14.945702263633732</v>
      </c>
      <c r="AW194" s="132" t="str">
        <f>IF(RIGHT(TMK[[#This Row],[Device type]],7)="Winding","-",TMK[[#This Row],[24 Hr Winter MVA]])</f>
        <v>-</v>
      </c>
      <c r="AX194" s="132" t="str">
        <f>IF(RIGHT(TMK[[#This Row],[Device type]],7)="Winding","-",TMK[[#This Row],[24 Hr Summer MVA]])</f>
        <v>-</v>
      </c>
      <c r="AY194" s="132" t="str">
        <f>TMK[[#This Row],[Forwards MVA]]</f>
        <v>-</v>
      </c>
      <c r="AZ194" s="132" t="str">
        <f>TMK[[#This Row],[Relay MVA]]</f>
        <v>-</v>
      </c>
      <c r="BA194" s="132" t="str">
        <f>TMK[[#This Row],[CT MVA]]</f>
        <v>-</v>
      </c>
      <c r="BB194" s="132" t="str">
        <f>TMK[[#This Row],[Derating MVA]]</f>
        <v>-</v>
      </c>
      <c r="BC194" s="132" t="str">
        <f>TMK[[#This Row],[Station/Feeder]]&amp;TMK[[#This Row],[Lowest MVA]]</f>
        <v>RGA_T214.9457022636337</v>
      </c>
      <c r="BD194" s="132" t="str">
        <f>CONCATENATE(TMK[[#This Row],[Supply Level]],TMK[[#This Row],[Station/Feeder]],TMK[[#This Row],[Voltage]],TMK[[#This Row],[Lowest A-No PTX]])</f>
        <v>SubTransmissionRGA_T233.594256.858523103439</v>
      </c>
      <c r="BE194" s="132" t="str">
        <f>CONCATENATE(TMK[[#This Row],[Supply Level]],TMK[[#This Row],[Station/Feeder]],TMK[[#This Row],[Voltage]],TMK[[#This Row],[Lowest A-PTX]])</f>
        <v>SubTransmissionRGA_T233.594256.858523103439</v>
      </c>
      <c r="BF194" s="132">
        <f>IFERROR(IF(MIN(TMK[[#This Row],[Summ Cont Winter A]:[Cable Derating]])=0,"",MIN(TMK[[#This Row],[Summ Cont Winter A]:[Cable Derating]])),"")</f>
        <v>14.945702263633732</v>
      </c>
      <c r="BG194" s="132">
        <f>IFERROR(TMK[[#This Row],[Lowest MVA]]*1000/(TMK[[#This Row],[Voltage]]*SQRT(3)),"")</f>
        <v>256.85852310343915</v>
      </c>
      <c r="BH194" s="132">
        <f t="shared" si="115"/>
        <v>256.85852310343915</v>
      </c>
      <c r="BI194" s="132" t="str">
        <f>TMK[[#This Row],[From]]</f>
        <v>G127</v>
      </c>
      <c r="BJ194" s="132" t="str">
        <f>TMK[[#This Row],[To]]</f>
        <v>ABS1556</v>
      </c>
      <c r="BK194" s="130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194" s="132">
        <f>TMK[[#This Row],[Voltage]]</f>
        <v>33.594000000000001</v>
      </c>
    </row>
    <row r="195" spans="1:64" s="1" customFormat="1" ht="15" customHeight="1" x14ac:dyDescent="0.25">
      <c r="A195" s="6" t="str">
        <f>CONCATENATE(TMK[[#This Row],[Supply Level]],TMK[[#This Row],[Station/Feeder]],TMK[[#This Row],[Voltage]])</f>
        <v>SubTransmissionRGA_T233.594</v>
      </c>
      <c r="B195" s="6" t="str">
        <f>CONCATENATE(TMK[[#This Row],[Supply Level]],TMK[[#This Row],[Station/Feeder]],TMK[[#This Row],[Equipment ID]],TMK[[#This Row],[Voltage]],TMK[[#This Row],[Device type]])</f>
        <v>SubTransmissionRGA_T2155633.594-</v>
      </c>
      <c r="C195" s="6" t="s">
        <v>1245</v>
      </c>
      <c r="D195" s="11" t="s">
        <v>87</v>
      </c>
      <c r="E195" s="46" t="s">
        <v>601</v>
      </c>
      <c r="F195" s="46" t="s">
        <v>602</v>
      </c>
      <c r="G195" s="57">
        <v>12</v>
      </c>
      <c r="H195" s="46" t="s">
        <v>273</v>
      </c>
      <c r="I195" s="123">
        <v>1556</v>
      </c>
      <c r="J195" s="123" t="s">
        <v>240</v>
      </c>
      <c r="K195" s="46" t="s">
        <v>0</v>
      </c>
      <c r="L195" s="46" t="s">
        <v>0</v>
      </c>
      <c r="M195" s="43">
        <f t="shared" si="131"/>
        <v>33.594000000000001</v>
      </c>
      <c r="N195" s="9">
        <v>800</v>
      </c>
      <c r="O195" s="9">
        <f t="shared" si="110"/>
        <v>46.549211863575088</v>
      </c>
      <c r="P195" s="9">
        <v>800</v>
      </c>
      <c r="Q195" s="9">
        <f t="shared" si="111"/>
        <v>46.549211863575088</v>
      </c>
      <c r="R195" s="9">
        <v>800</v>
      </c>
      <c r="S195" s="9">
        <f t="shared" si="112"/>
        <v>46.549211863575088</v>
      </c>
      <c r="T195" s="9" t="s">
        <v>0</v>
      </c>
      <c r="U195" s="9" t="str">
        <f t="shared" si="113"/>
        <v>-</v>
      </c>
      <c r="V195" s="9" t="s">
        <v>0</v>
      </c>
      <c r="W195" s="9" t="str">
        <f t="shared" si="114"/>
        <v>-</v>
      </c>
      <c r="X195" s="9" t="s">
        <v>0</v>
      </c>
      <c r="Y195" s="9" t="str">
        <f t="shared" si="6"/>
        <v>-</v>
      </c>
      <c r="Z195" s="9" t="s">
        <v>0</v>
      </c>
      <c r="AA195" s="9" t="str">
        <f t="shared" si="7"/>
        <v>-</v>
      </c>
      <c r="AB195" s="9" t="s">
        <v>0</v>
      </c>
      <c r="AC195" s="9" t="str">
        <f t="shared" si="8"/>
        <v>-</v>
      </c>
      <c r="AD195" s="9" t="s">
        <v>0</v>
      </c>
      <c r="AE195" s="12" t="str">
        <f>IF(OR(AD195="",AD195="-"),"-",AD195*$M195*SQRT(3)/1000)</f>
        <v>-</v>
      </c>
      <c r="AF195" s="29" t="s">
        <v>0</v>
      </c>
      <c r="AG195" s="29" t="s">
        <v>0</v>
      </c>
      <c r="AH195" s="29" t="s">
        <v>0</v>
      </c>
      <c r="AI195" s="29" t="s">
        <v>0</v>
      </c>
      <c r="AJ195" s="32" t="s">
        <v>0</v>
      </c>
      <c r="AK195" s="29" t="s">
        <v>0</v>
      </c>
      <c r="AL195" s="32" t="s">
        <v>0</v>
      </c>
      <c r="AM195" s="29" t="s">
        <v>0</v>
      </c>
      <c r="AN195" s="32" t="s">
        <v>0</v>
      </c>
      <c r="AO195" s="29" t="s">
        <v>0</v>
      </c>
      <c r="AP195" s="29" t="s">
        <v>0</v>
      </c>
      <c r="AQ195" s="32" t="s">
        <v>0</v>
      </c>
      <c r="AR195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95" s="9" t="str">
        <f>IF(OR(AR195="",AR195="-"),"-",AR195*$M195*SQRT(3)/1000)</f>
        <v>-</v>
      </c>
      <c r="AT195" s="9">
        <f>IF(RIGHT(TMK[[#This Row],[Device type]],7)="Winding","-",TMK[[#This Row],[Cont Winter MVA]])</f>
        <v>46.549211863575088</v>
      </c>
      <c r="AU195" s="9">
        <f>IF(RIGHT(TMK[[#This Row],[Device type]],7)="Winding","-",TMK[[#This Row],[Cont Shoulder MVA]])</f>
        <v>46.549211863575088</v>
      </c>
      <c r="AV195" s="9">
        <f>IF(RIGHT(TMK[[#This Row],[Device type]],7)="Winding","-",TMK[[#This Row],[Cont Summer MVA]])</f>
        <v>46.549211863575088</v>
      </c>
      <c r="AW195" s="9" t="str">
        <f>IF(RIGHT(TMK[[#This Row],[Device type]],7)="Winding","-",TMK[[#This Row],[24 Hr Winter MVA]])</f>
        <v>-</v>
      </c>
      <c r="AX195" s="9" t="str">
        <f>IF(RIGHT(TMK[[#This Row],[Device type]],7)="Winding","-",TMK[[#This Row],[24 Hr Summer MVA]])</f>
        <v>-</v>
      </c>
      <c r="AY195" s="9" t="str">
        <f>TMK[[#This Row],[Forwards MVA]]</f>
        <v>-</v>
      </c>
      <c r="AZ195" s="9" t="str">
        <f>TMK[[#This Row],[Relay MVA]]</f>
        <v>-</v>
      </c>
      <c r="BA195" s="9" t="str">
        <f>TMK[[#This Row],[CT MVA]]</f>
        <v>-</v>
      </c>
      <c r="BB195" s="9" t="str">
        <f>TMK[[#This Row],[Derating MVA]]</f>
        <v>-</v>
      </c>
      <c r="BC195" s="9" t="str">
        <f>TMK[[#This Row],[Station/Feeder]]&amp;TMK[[#This Row],[Lowest MVA]]</f>
        <v>RGA_T246.5492118635751</v>
      </c>
      <c r="BD195" s="9" t="str">
        <f>CONCATENATE(TMK[[#This Row],[Supply Level]],TMK[[#This Row],[Station/Feeder]],TMK[[#This Row],[Voltage]],TMK[[#This Row],[Lowest A-No PTX]])</f>
        <v>SubTransmissionRGA_T233.594800</v>
      </c>
      <c r="BE195" s="9" t="str">
        <f>CONCATENATE(TMK[[#This Row],[Supply Level]],TMK[[#This Row],[Station/Feeder]],TMK[[#This Row],[Voltage]],TMK[[#This Row],[Lowest A-PTX]])</f>
        <v>SubTransmissionRGA_T233.594800</v>
      </c>
      <c r="BF195" s="9">
        <f>IFERROR(IF(MIN(TMK[[#This Row],[Summ Cont Winter A]:[Cable Derating]])=0,"",MIN(TMK[[#This Row],[Summ Cont Winter A]:[Cable Derating]])),"")</f>
        <v>46.549211863575088</v>
      </c>
      <c r="BG195" s="9">
        <f>IFERROR(TMK[[#This Row],[Lowest MVA]]*1000/(TMK[[#This Row],[Voltage]]*SQRT(3)),"")</f>
        <v>800</v>
      </c>
      <c r="BH195" s="9">
        <f t="shared" si="115"/>
        <v>800</v>
      </c>
      <c r="BI195" s="9" t="str">
        <f>TMK[[#This Row],[From]]</f>
        <v>G127</v>
      </c>
      <c r="BJ195" s="9" t="str">
        <f>TMK[[#This Row],[To]]</f>
        <v>ABS1556</v>
      </c>
      <c r="BK19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ABS-1556</v>
      </c>
      <c r="BL195" s="9">
        <f>TMK[[#This Row],[Voltage]]</f>
        <v>33.594000000000001</v>
      </c>
    </row>
    <row r="196" spans="1:64" s="1" customFormat="1" ht="15" customHeight="1" x14ac:dyDescent="0.25">
      <c r="A196" s="6" t="str">
        <f>CONCATENATE(TMK[[#This Row],[Supply Level]],TMK[[#This Row],[Station/Feeder]],TMK[[#This Row],[Voltage]])</f>
        <v>SubTransmissionRGA_T233.594</v>
      </c>
      <c r="B196" s="6" t="str">
        <f>CONCATENATE(TMK[[#This Row],[Supply Level]],TMK[[#This Row],[Station/Feeder]],TMK[[#This Row],[Equipment ID]],TMK[[#This Row],[Voltage]],TMK[[#This Row],[Device type]])</f>
        <v>SubTransmissionRGA_T2DOG33.594-</v>
      </c>
      <c r="C196" s="6" t="s">
        <v>1245</v>
      </c>
      <c r="D196" s="11" t="s">
        <v>87</v>
      </c>
      <c r="E196" s="46" t="s">
        <v>602</v>
      </c>
      <c r="F196" s="46" t="s">
        <v>604</v>
      </c>
      <c r="G196" s="57">
        <v>13</v>
      </c>
      <c r="H196" s="130" t="s">
        <v>1289</v>
      </c>
      <c r="I196" s="131" t="s">
        <v>318</v>
      </c>
      <c r="J196" s="131" t="s">
        <v>69</v>
      </c>
      <c r="K196" s="130" t="s">
        <v>0</v>
      </c>
      <c r="L196" s="130" t="s">
        <v>0</v>
      </c>
      <c r="M196" s="43">
        <f t="shared" si="131"/>
        <v>33.594000000000001</v>
      </c>
      <c r="N196" s="132">
        <v>343.69342642524197</v>
      </c>
      <c r="O196" s="132">
        <f t="shared" si="110"/>
        <v>19.99832265348331</v>
      </c>
      <c r="P196" s="132" t="s">
        <v>0</v>
      </c>
      <c r="Q196" s="132" t="str">
        <f t="shared" si="111"/>
        <v>-</v>
      </c>
      <c r="R196" s="132">
        <v>256.85852310343915</v>
      </c>
      <c r="S196" s="132">
        <f t="shared" si="112"/>
        <v>14.945702263633732</v>
      </c>
      <c r="T196" s="132" t="s">
        <v>0</v>
      </c>
      <c r="U196" s="132" t="str">
        <f t="shared" si="113"/>
        <v>-</v>
      </c>
      <c r="V196" s="132" t="s">
        <v>0</v>
      </c>
      <c r="W196" s="132" t="str">
        <f t="shared" si="114"/>
        <v>-</v>
      </c>
      <c r="X196" s="132" t="s">
        <v>0</v>
      </c>
      <c r="Y196" s="132" t="str">
        <f t="shared" ref="Y196:Y205" si="149">IF(OR(X196="",X196="-"),"-",X196*$M196*SQRT(3)/1000)</f>
        <v>-</v>
      </c>
      <c r="Z196" s="132" t="s">
        <v>0</v>
      </c>
      <c r="AA196" s="132" t="str">
        <f t="shared" ref="AA196:AA205" si="150">IF(OR(Z196="",Z196="-"),"-",Z196*$M196*SQRT(3)/1000)</f>
        <v>-</v>
      </c>
      <c r="AB196" s="132" t="s">
        <v>0</v>
      </c>
      <c r="AC196" s="132" t="str">
        <f t="shared" ref="AC196:AC205" si="151">IF(OR(AB196="",AB196="-"),"-",AB196*$M196*SQRT(3)/1000)</f>
        <v>-</v>
      </c>
      <c r="AD196" s="132" t="s">
        <v>0</v>
      </c>
      <c r="AE196" s="133" t="str">
        <f t="shared" ref="AE196:AE205" si="152">IF(OR(AD196="",AD196="-"),"-",AD196*$M196*SQRT(3)/1000)</f>
        <v>-</v>
      </c>
      <c r="AF196" s="132" t="s">
        <v>0</v>
      </c>
      <c r="AG196" s="132" t="s">
        <v>0</v>
      </c>
      <c r="AH196" s="132">
        <v>63.9</v>
      </c>
      <c r="AI196" s="132" t="s">
        <v>0</v>
      </c>
      <c r="AJ196" s="134" t="s">
        <v>0</v>
      </c>
      <c r="AK196" s="132" t="s">
        <v>0</v>
      </c>
      <c r="AL196" s="134" t="s">
        <v>0</v>
      </c>
      <c r="AM196" s="132" t="s">
        <v>0</v>
      </c>
      <c r="AN196" s="134" t="s">
        <v>0</v>
      </c>
      <c r="AO196" s="132" t="s">
        <v>0</v>
      </c>
      <c r="AP196" s="132" t="s">
        <v>0</v>
      </c>
      <c r="AQ196" s="134" t="s">
        <v>0</v>
      </c>
      <c r="AR196" s="135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96" s="132" t="str">
        <f t="shared" si="120"/>
        <v>-</v>
      </c>
      <c r="AT196" s="132">
        <f>IF(RIGHT(TMK[[#This Row],[Device type]],7)="Winding","-",TMK[[#This Row],[Cont Winter MVA]])</f>
        <v>19.99832265348331</v>
      </c>
      <c r="AU196" s="132" t="str">
        <f>IF(RIGHT(TMK[[#This Row],[Device type]],7)="Winding","-",TMK[[#This Row],[Cont Shoulder MVA]])</f>
        <v>-</v>
      </c>
      <c r="AV196" s="132">
        <f>IF(RIGHT(TMK[[#This Row],[Device type]],7)="Winding","-",TMK[[#This Row],[Cont Summer MVA]])</f>
        <v>14.945702263633732</v>
      </c>
      <c r="AW196" s="132" t="str">
        <f>IF(RIGHT(TMK[[#This Row],[Device type]],7)="Winding","-",TMK[[#This Row],[24 Hr Winter MVA]])</f>
        <v>-</v>
      </c>
      <c r="AX196" s="132" t="str">
        <f>IF(RIGHT(TMK[[#This Row],[Device type]],7)="Winding","-",TMK[[#This Row],[24 Hr Summer MVA]])</f>
        <v>-</v>
      </c>
      <c r="AY196" s="132" t="str">
        <f>TMK[[#This Row],[Forwards MVA]]</f>
        <v>-</v>
      </c>
      <c r="AZ196" s="132" t="str">
        <f>TMK[[#This Row],[Relay MVA]]</f>
        <v>-</v>
      </c>
      <c r="BA196" s="132" t="str">
        <f>TMK[[#This Row],[CT MVA]]</f>
        <v>-</v>
      </c>
      <c r="BB196" s="132" t="str">
        <f>TMK[[#This Row],[Derating MVA]]</f>
        <v>-</v>
      </c>
      <c r="BC196" s="132" t="str">
        <f>TMK[[#This Row],[Station/Feeder]]&amp;TMK[[#This Row],[Lowest MVA]]</f>
        <v>RGA_T214.9457022636337</v>
      </c>
      <c r="BD196" s="132" t="str">
        <f>CONCATENATE(TMK[[#This Row],[Supply Level]],TMK[[#This Row],[Station/Feeder]],TMK[[#This Row],[Voltage]],TMK[[#This Row],[Lowest A-No PTX]])</f>
        <v>SubTransmissionRGA_T233.594256.858523103439</v>
      </c>
      <c r="BE196" s="132" t="str">
        <f>CONCATENATE(TMK[[#This Row],[Supply Level]],TMK[[#This Row],[Station/Feeder]],TMK[[#This Row],[Voltage]],TMK[[#This Row],[Lowest A-PTX]])</f>
        <v>SubTransmissionRGA_T233.594256.858523103439</v>
      </c>
      <c r="BF196" s="132">
        <f>IFERROR(IF(MIN(TMK[[#This Row],[Summ Cont Winter A]:[Cable Derating]])=0,"",MIN(TMK[[#This Row],[Summ Cont Winter A]:[Cable Derating]])),"")</f>
        <v>14.945702263633732</v>
      </c>
      <c r="BG196" s="132">
        <f>IFERROR(TMK[[#This Row],[Lowest MVA]]*1000/(TMK[[#This Row],[Voltage]]*SQRT(3)),"")</f>
        <v>256.85852310343915</v>
      </c>
      <c r="BH196" s="132">
        <f t="shared" si="115"/>
        <v>256.85852310343915</v>
      </c>
      <c r="BI196" s="132" t="str">
        <f>TMK[[#This Row],[From]]</f>
        <v>ABS1556</v>
      </c>
      <c r="BJ196" s="132" t="str">
        <f>TMK[[#This Row],[To]]</f>
        <v>ABS1564</v>
      </c>
      <c r="BK196" s="130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196" s="132">
        <f>TMK[[#This Row],[Voltage]]</f>
        <v>33.594000000000001</v>
      </c>
    </row>
    <row r="197" spans="1:64" s="1" customFormat="1" ht="15" customHeight="1" x14ac:dyDescent="0.25">
      <c r="A197" s="6" t="str">
        <f>CONCATENATE(TMK[[#This Row],[Supply Level]],TMK[[#This Row],[Station/Feeder]],TMK[[#This Row],[Voltage]])</f>
        <v>ZoneSubstationRGA_T233.594</v>
      </c>
      <c r="B197" s="6" t="str">
        <f>CONCATENATE(TMK[[#This Row],[Supply Level]],TMK[[#This Row],[Station/Feeder]],TMK[[#This Row],[Equipment ID]],TMK[[#This Row],[Voltage]],TMK[[#This Row],[Device type]])</f>
        <v>ZoneSubstationRGA_T2156433.594-</v>
      </c>
      <c r="C197" s="6" t="s">
        <v>1246</v>
      </c>
      <c r="D197" s="11" t="s">
        <v>87</v>
      </c>
      <c r="E197" s="46" t="s">
        <v>604</v>
      </c>
      <c r="F197" s="46" t="s">
        <v>588</v>
      </c>
      <c r="G197" s="57">
        <v>1</v>
      </c>
      <c r="H197" s="46" t="s">
        <v>273</v>
      </c>
      <c r="I197" s="123">
        <v>1564</v>
      </c>
      <c r="J197" s="123" t="s">
        <v>240</v>
      </c>
      <c r="K197" s="46" t="s">
        <v>0</v>
      </c>
      <c r="L197" s="46" t="s">
        <v>0</v>
      </c>
      <c r="M197" s="43">
        <f t="shared" si="131"/>
        <v>33.594000000000001</v>
      </c>
      <c r="N197" s="9">
        <v>800</v>
      </c>
      <c r="O197" s="9">
        <f t="shared" si="110"/>
        <v>46.549211863575088</v>
      </c>
      <c r="P197" s="9">
        <v>800</v>
      </c>
      <c r="Q197" s="9">
        <f t="shared" si="111"/>
        <v>46.549211863575088</v>
      </c>
      <c r="R197" s="9">
        <v>800</v>
      </c>
      <c r="S197" s="9">
        <f t="shared" si="112"/>
        <v>46.549211863575088</v>
      </c>
      <c r="T197" s="9" t="s">
        <v>0</v>
      </c>
      <c r="U197" s="9" t="str">
        <f t="shared" si="113"/>
        <v>-</v>
      </c>
      <c r="V197" s="9" t="s">
        <v>0</v>
      </c>
      <c r="W197" s="9" t="str">
        <f t="shared" si="114"/>
        <v>-</v>
      </c>
      <c r="X197" s="9" t="s">
        <v>0</v>
      </c>
      <c r="Y197" s="9" t="str">
        <f t="shared" si="149"/>
        <v>-</v>
      </c>
      <c r="Z197" s="9" t="s">
        <v>0</v>
      </c>
      <c r="AA197" s="9" t="str">
        <f t="shared" si="150"/>
        <v>-</v>
      </c>
      <c r="AB197" s="9" t="s">
        <v>0</v>
      </c>
      <c r="AC197" s="9" t="str">
        <f t="shared" si="151"/>
        <v>-</v>
      </c>
      <c r="AD197" s="9" t="s">
        <v>0</v>
      </c>
      <c r="AE197" s="12" t="str">
        <f t="shared" si="152"/>
        <v>-</v>
      </c>
      <c r="AF197" s="29" t="s">
        <v>0</v>
      </c>
      <c r="AG197" s="29" t="s">
        <v>0</v>
      </c>
      <c r="AH197" s="9" t="s">
        <v>0</v>
      </c>
      <c r="AI197" s="29" t="s">
        <v>0</v>
      </c>
      <c r="AJ197" s="32" t="s">
        <v>0</v>
      </c>
      <c r="AK197" s="29" t="s">
        <v>0</v>
      </c>
      <c r="AL197" s="32" t="s">
        <v>0</v>
      </c>
      <c r="AM197" s="29" t="s">
        <v>0</v>
      </c>
      <c r="AN197" s="32" t="s">
        <v>0</v>
      </c>
      <c r="AO197" s="29" t="s">
        <v>0</v>
      </c>
      <c r="AP197" s="32" t="s">
        <v>0</v>
      </c>
      <c r="AQ197" s="32" t="s">
        <v>0</v>
      </c>
      <c r="AR197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97" s="9" t="str">
        <f t="shared" si="120"/>
        <v>-</v>
      </c>
      <c r="AT197" s="9">
        <f>IF(RIGHT(TMK[[#This Row],[Device type]],7)="Winding","-",TMK[[#This Row],[Cont Winter MVA]])</f>
        <v>46.549211863575088</v>
      </c>
      <c r="AU197" s="9">
        <f>IF(RIGHT(TMK[[#This Row],[Device type]],7)="Winding","-",TMK[[#This Row],[Cont Shoulder MVA]])</f>
        <v>46.549211863575088</v>
      </c>
      <c r="AV197" s="9">
        <f>IF(RIGHT(TMK[[#This Row],[Device type]],7)="Winding","-",TMK[[#This Row],[Cont Summer MVA]])</f>
        <v>46.549211863575088</v>
      </c>
      <c r="AW197" s="9" t="str">
        <f>IF(RIGHT(TMK[[#This Row],[Device type]],7)="Winding","-",TMK[[#This Row],[24 Hr Winter MVA]])</f>
        <v>-</v>
      </c>
      <c r="AX197" s="9" t="str">
        <f>IF(RIGHT(TMK[[#This Row],[Device type]],7)="Winding","-",TMK[[#This Row],[24 Hr Summer MVA]])</f>
        <v>-</v>
      </c>
      <c r="AY197" s="9" t="str">
        <f>TMK[[#This Row],[Forwards MVA]]</f>
        <v>-</v>
      </c>
      <c r="AZ197" s="9" t="str">
        <f>TMK[[#This Row],[Relay MVA]]</f>
        <v>-</v>
      </c>
      <c r="BA197" s="9" t="str">
        <f>TMK[[#This Row],[CT MVA]]</f>
        <v>-</v>
      </c>
      <c r="BB197" s="9" t="str">
        <f>TMK[[#This Row],[Derating MVA]]</f>
        <v>-</v>
      </c>
      <c r="BC197" s="9" t="str">
        <f>TMK[[#This Row],[Station/Feeder]]&amp;TMK[[#This Row],[Lowest MVA]]</f>
        <v>RGA_T246.5492118635751</v>
      </c>
      <c r="BD197" s="9" t="str">
        <f>CONCATENATE(TMK[[#This Row],[Supply Level]],TMK[[#This Row],[Station/Feeder]],TMK[[#This Row],[Voltage]],TMK[[#This Row],[Lowest A-No PTX]])</f>
        <v>ZoneSubstationRGA_T233.594800</v>
      </c>
      <c r="BE197" s="9" t="str">
        <f>CONCATENATE(TMK[[#This Row],[Supply Level]],TMK[[#This Row],[Station/Feeder]],TMK[[#This Row],[Voltage]],TMK[[#This Row],[Lowest A-PTX]])</f>
        <v>ZoneSubstationRGA_T233.594800</v>
      </c>
      <c r="BF197" s="9">
        <f>IFERROR(IF(MIN(TMK[[#This Row],[Summ Cont Winter A]:[Cable Derating]])=0,"",MIN(TMK[[#This Row],[Summ Cont Winter A]:[Cable Derating]])),"")</f>
        <v>46.549211863575088</v>
      </c>
      <c r="BG197" s="9">
        <f>IFERROR(TMK[[#This Row],[Lowest MVA]]*1000/(TMK[[#This Row],[Voltage]]*SQRT(3)),"")</f>
        <v>800</v>
      </c>
      <c r="BH197" s="9">
        <f t="shared" si="115"/>
        <v>800</v>
      </c>
      <c r="BI197" s="9" t="str">
        <f>TMK[[#This Row],[From]]</f>
        <v>ABS1564</v>
      </c>
      <c r="BJ197" s="9" t="str">
        <f>TMK[[#This Row],[To]]</f>
        <v>CB36</v>
      </c>
      <c r="BK19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ABS-1564</v>
      </c>
      <c r="BL197" s="9">
        <f>TMK[[#This Row],[Voltage]]</f>
        <v>33.594000000000001</v>
      </c>
    </row>
    <row r="198" spans="1:64" s="1" customFormat="1" ht="15" customHeight="1" x14ac:dyDescent="0.25">
      <c r="A198" s="6" t="str">
        <f>CONCATENATE(TMK[[#This Row],[Supply Level]],TMK[[#This Row],[Station/Feeder]],TMK[[#This Row],[Voltage]])</f>
        <v>ZoneSubstationRGA_T233.594</v>
      </c>
      <c r="B198" s="6" t="str">
        <f>CONCATENATE(TMK[[#This Row],[Supply Level]],TMK[[#This Row],[Station/Feeder]],TMK[[#This Row],[Equipment ID]],TMK[[#This Row],[Voltage]],TMK[[#This Row],[Device type]])</f>
        <v>ZoneSubstationRGA_T2RGA_T2-CB156233.594Protection</v>
      </c>
      <c r="C198" s="6" t="s">
        <v>1246</v>
      </c>
      <c r="D198" s="11" t="s">
        <v>87</v>
      </c>
      <c r="E198" s="46" t="s">
        <v>604</v>
      </c>
      <c r="F198" s="46" t="s">
        <v>588</v>
      </c>
      <c r="G198" s="56">
        <v>2</v>
      </c>
      <c r="H198" s="46" t="s">
        <v>343</v>
      </c>
      <c r="I198" s="123" t="s">
        <v>2579</v>
      </c>
      <c r="J198" s="123" t="s">
        <v>15</v>
      </c>
      <c r="K198" s="46" t="s">
        <v>1125</v>
      </c>
      <c r="L198" s="46" t="s">
        <v>1423</v>
      </c>
      <c r="M198" s="43">
        <f t="shared" si="131"/>
        <v>33.594000000000001</v>
      </c>
      <c r="N198" s="9" t="s">
        <v>0</v>
      </c>
      <c r="O198" s="9" t="str">
        <f t="shared" si="110"/>
        <v>-</v>
      </c>
      <c r="P198" s="9" t="s">
        <v>0</v>
      </c>
      <c r="Q198" s="9" t="str">
        <f t="shared" si="111"/>
        <v>-</v>
      </c>
      <c r="R198" s="9" t="s">
        <v>0</v>
      </c>
      <c r="S198" s="9" t="str">
        <f t="shared" si="112"/>
        <v>-</v>
      </c>
      <c r="T198" s="9" t="s">
        <v>0</v>
      </c>
      <c r="U198" s="9" t="str">
        <f t="shared" si="113"/>
        <v>-</v>
      </c>
      <c r="V198" s="9" t="s">
        <v>0</v>
      </c>
      <c r="W198" s="9" t="str">
        <f t="shared" si="114"/>
        <v>-</v>
      </c>
      <c r="X198" s="9">
        <f>VLOOKUP(TMK[[#This Row],[Equipment ID]],AEL_Protection_Data[#All],12,0)</f>
        <v>402</v>
      </c>
      <c r="Y198" s="9">
        <f t="shared" si="149"/>
        <v>23.390978961446482</v>
      </c>
      <c r="Z198" s="9">
        <v>402</v>
      </c>
      <c r="AA198" s="9">
        <f t="shared" si="150"/>
        <v>23.390978961446482</v>
      </c>
      <c r="AB198" s="9" t="s">
        <v>0</v>
      </c>
      <c r="AC198" s="9" t="str">
        <f t="shared" si="151"/>
        <v>-</v>
      </c>
      <c r="AD198" s="9">
        <v>300</v>
      </c>
      <c r="AE198" s="12">
        <f t="shared" si="152"/>
        <v>17.455954448840661</v>
      </c>
      <c r="AF198" s="29" t="s">
        <v>0</v>
      </c>
      <c r="AG198" s="29" t="s">
        <v>0</v>
      </c>
      <c r="AH198" s="9" t="s">
        <v>0</v>
      </c>
      <c r="AI198" s="29" t="s">
        <v>0</v>
      </c>
      <c r="AJ198" s="32" t="s">
        <v>0</v>
      </c>
      <c r="AK198" s="29" t="s">
        <v>0</v>
      </c>
      <c r="AL198" s="32" t="s">
        <v>0</v>
      </c>
      <c r="AM198" s="29" t="s">
        <v>0</v>
      </c>
      <c r="AN198" s="32" t="s">
        <v>0</v>
      </c>
      <c r="AO198" s="29" t="s">
        <v>0</v>
      </c>
      <c r="AP198" s="32" t="s">
        <v>0</v>
      </c>
      <c r="AQ198" s="32" t="s">
        <v>0</v>
      </c>
      <c r="AR198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98" s="9" t="str">
        <f t="shared" si="120"/>
        <v>-</v>
      </c>
      <c r="AT198" s="9" t="str">
        <f>IF(RIGHT(TMK[[#This Row],[Device type]],7)="Winding","-",TMK[[#This Row],[Cont Winter MVA]])</f>
        <v>-</v>
      </c>
      <c r="AU198" s="9" t="str">
        <f>IF(RIGHT(TMK[[#This Row],[Device type]],7)="Winding","-",TMK[[#This Row],[Cont Shoulder MVA]])</f>
        <v>-</v>
      </c>
      <c r="AV198" s="9" t="str">
        <f>IF(RIGHT(TMK[[#This Row],[Device type]],7)="Winding","-",TMK[[#This Row],[Cont Summer MVA]])</f>
        <v>-</v>
      </c>
      <c r="AW198" s="9" t="str">
        <f>IF(RIGHT(TMK[[#This Row],[Device type]],7)="Winding","-",TMK[[#This Row],[24 Hr Winter MVA]])</f>
        <v>-</v>
      </c>
      <c r="AX198" s="9" t="str">
        <f>IF(RIGHT(TMK[[#This Row],[Device type]],7)="Winding","-",TMK[[#This Row],[24 Hr Summer MVA]])</f>
        <v>-</v>
      </c>
      <c r="AY198" s="9">
        <f>TMK[[#This Row],[Forwards MVA]]</f>
        <v>23.390978961446482</v>
      </c>
      <c r="AZ198" s="9" t="str">
        <f>TMK[[#This Row],[Relay MVA]]</f>
        <v>-</v>
      </c>
      <c r="BA198" s="9">
        <f>TMK[[#This Row],[CT MVA]]</f>
        <v>17.455954448840661</v>
      </c>
      <c r="BB198" s="9" t="str">
        <f>TMK[[#This Row],[Derating MVA]]</f>
        <v>-</v>
      </c>
      <c r="BC198" s="9" t="str">
        <f>TMK[[#This Row],[Station/Feeder]]&amp;TMK[[#This Row],[Lowest MVA]]</f>
        <v>RGA_T217.4559544488407</v>
      </c>
      <c r="BD198" s="9" t="str">
        <f>CONCATENATE(TMK[[#This Row],[Supply Level]],TMK[[#This Row],[Station/Feeder]],TMK[[#This Row],[Voltage]],TMK[[#This Row],[Lowest A-No PTX]])</f>
        <v>ZoneSubstationRGA_T233.594300</v>
      </c>
      <c r="BE198" s="9" t="str">
        <f>CONCATENATE(TMK[[#This Row],[Supply Level]],TMK[[#This Row],[Station/Feeder]],TMK[[#This Row],[Voltage]],TMK[[#This Row],[Lowest A-PTX]])</f>
        <v>ZoneSubstationRGA_T233.594300</v>
      </c>
      <c r="BF198" s="9">
        <f>IFERROR(IF(MIN(TMK[[#This Row],[Summ Cont Winter A]:[Cable Derating]])=0,"",MIN(TMK[[#This Row],[Summ Cont Winter A]:[Cable Derating]])),"")</f>
        <v>17.455954448840661</v>
      </c>
      <c r="BG198" s="9">
        <f>IFERROR(TMK[[#This Row],[Lowest MVA]]*1000/(TMK[[#This Row],[Voltage]]*SQRT(3)),"")</f>
        <v>300.00000000000006</v>
      </c>
      <c r="BH198" s="9">
        <f t="shared" si="115"/>
        <v>300</v>
      </c>
      <c r="BI198" s="9" t="str">
        <f>TMK[[#This Row],[From]]</f>
        <v>ABS1564</v>
      </c>
      <c r="BJ198" s="9" t="str">
        <f>TMK[[#This Row],[To]]</f>
        <v>CB36</v>
      </c>
      <c r="BK19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Breaker-RGA_T2-CB1562-Protection</v>
      </c>
      <c r="BL198" s="9">
        <f>TMK[[#This Row],[Voltage]]</f>
        <v>33.594000000000001</v>
      </c>
    </row>
    <row r="199" spans="1:64" s="1" customFormat="1" ht="15" customHeight="1" x14ac:dyDescent="0.25">
      <c r="A199" s="6" t="str">
        <f>CONCATENATE(TMK[[#This Row],[Supply Level]],TMK[[#This Row],[Station/Feeder]],TMK[[#This Row],[Voltage]])</f>
        <v>ZoneSubstationRGA_T233.594</v>
      </c>
      <c r="B199" s="6" t="str">
        <f>CONCATENATE(TMK[[#This Row],[Supply Level]],TMK[[#This Row],[Station/Feeder]],TMK[[#This Row],[Equipment ID]],TMK[[#This Row],[Voltage]],TMK[[#This Row],[Device type]])</f>
        <v>ZoneSubstationRGA_T2156633.594-</v>
      </c>
      <c r="C199" s="6" t="s">
        <v>1246</v>
      </c>
      <c r="D199" s="11" t="s">
        <v>87</v>
      </c>
      <c r="E199" s="46" t="s">
        <v>604</v>
      </c>
      <c r="F199" s="46" t="s">
        <v>588</v>
      </c>
      <c r="G199" s="57">
        <v>3</v>
      </c>
      <c r="H199" s="46" t="s">
        <v>273</v>
      </c>
      <c r="I199" s="123">
        <v>1566</v>
      </c>
      <c r="J199" s="123" t="s">
        <v>240</v>
      </c>
      <c r="K199" s="46" t="s">
        <v>0</v>
      </c>
      <c r="L199" s="46" t="s">
        <v>0</v>
      </c>
      <c r="M199" s="43">
        <f t="shared" si="131"/>
        <v>33.594000000000001</v>
      </c>
      <c r="N199" s="9">
        <v>800</v>
      </c>
      <c r="O199" s="9">
        <f t="shared" si="110"/>
        <v>46.549211863575088</v>
      </c>
      <c r="P199" s="9">
        <v>800</v>
      </c>
      <c r="Q199" s="9">
        <f t="shared" si="111"/>
        <v>46.549211863575088</v>
      </c>
      <c r="R199" s="9">
        <v>800</v>
      </c>
      <c r="S199" s="9">
        <f t="shared" si="112"/>
        <v>46.549211863575088</v>
      </c>
      <c r="T199" s="9" t="s">
        <v>0</v>
      </c>
      <c r="U199" s="9" t="str">
        <f t="shared" si="113"/>
        <v>-</v>
      </c>
      <c r="V199" s="9" t="s">
        <v>0</v>
      </c>
      <c r="W199" s="9" t="str">
        <f t="shared" si="114"/>
        <v>-</v>
      </c>
      <c r="X199" s="9" t="s">
        <v>0</v>
      </c>
      <c r="Y199" s="9" t="str">
        <f t="shared" si="149"/>
        <v>-</v>
      </c>
      <c r="Z199" s="9" t="s">
        <v>0</v>
      </c>
      <c r="AA199" s="9" t="str">
        <f t="shared" si="150"/>
        <v>-</v>
      </c>
      <c r="AB199" s="9" t="s">
        <v>0</v>
      </c>
      <c r="AC199" s="9" t="str">
        <f t="shared" si="151"/>
        <v>-</v>
      </c>
      <c r="AD199" s="9" t="s">
        <v>0</v>
      </c>
      <c r="AE199" s="12" t="str">
        <f t="shared" si="152"/>
        <v>-</v>
      </c>
      <c r="AF199" s="29" t="s">
        <v>0</v>
      </c>
      <c r="AG199" s="29" t="s">
        <v>0</v>
      </c>
      <c r="AH199" s="9" t="s">
        <v>0</v>
      </c>
      <c r="AI199" s="29" t="s">
        <v>0</v>
      </c>
      <c r="AJ199" s="32" t="s">
        <v>0</v>
      </c>
      <c r="AK199" s="29" t="s">
        <v>0</v>
      </c>
      <c r="AL199" s="32" t="s">
        <v>0</v>
      </c>
      <c r="AM199" s="29" t="s">
        <v>0</v>
      </c>
      <c r="AN199" s="32" t="s">
        <v>0</v>
      </c>
      <c r="AO199" s="29" t="s">
        <v>0</v>
      </c>
      <c r="AP199" s="32" t="s">
        <v>0</v>
      </c>
      <c r="AQ199" s="32" t="s">
        <v>0</v>
      </c>
      <c r="AR19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199" s="9" t="str">
        <f t="shared" si="120"/>
        <v>-</v>
      </c>
      <c r="AT199" s="9">
        <f>IF(RIGHT(TMK[[#This Row],[Device type]],7)="Winding","-",TMK[[#This Row],[Cont Winter MVA]])</f>
        <v>46.549211863575088</v>
      </c>
      <c r="AU199" s="9">
        <f>IF(RIGHT(TMK[[#This Row],[Device type]],7)="Winding","-",TMK[[#This Row],[Cont Shoulder MVA]])</f>
        <v>46.549211863575088</v>
      </c>
      <c r="AV199" s="9">
        <f>IF(RIGHT(TMK[[#This Row],[Device type]],7)="Winding","-",TMK[[#This Row],[Cont Summer MVA]])</f>
        <v>46.549211863575088</v>
      </c>
      <c r="AW199" s="9" t="str">
        <f>IF(RIGHT(TMK[[#This Row],[Device type]],7)="Winding","-",TMK[[#This Row],[24 Hr Winter MVA]])</f>
        <v>-</v>
      </c>
      <c r="AX199" s="9" t="str">
        <f>IF(RIGHT(TMK[[#This Row],[Device type]],7)="Winding","-",TMK[[#This Row],[24 Hr Summer MVA]])</f>
        <v>-</v>
      </c>
      <c r="AY199" s="9" t="str">
        <f>TMK[[#This Row],[Forwards MVA]]</f>
        <v>-</v>
      </c>
      <c r="AZ199" s="9" t="str">
        <f>TMK[[#This Row],[Relay MVA]]</f>
        <v>-</v>
      </c>
      <c r="BA199" s="9" t="str">
        <f>TMK[[#This Row],[CT MVA]]</f>
        <v>-</v>
      </c>
      <c r="BB199" s="9" t="str">
        <f>TMK[[#This Row],[Derating MVA]]</f>
        <v>-</v>
      </c>
      <c r="BC199" s="9" t="str">
        <f>TMK[[#This Row],[Station/Feeder]]&amp;TMK[[#This Row],[Lowest MVA]]</f>
        <v>RGA_T246.5492118635751</v>
      </c>
      <c r="BD199" s="9" t="str">
        <f>CONCATENATE(TMK[[#This Row],[Supply Level]],TMK[[#This Row],[Station/Feeder]],TMK[[#This Row],[Voltage]],TMK[[#This Row],[Lowest A-No PTX]])</f>
        <v>ZoneSubstationRGA_T233.594800</v>
      </c>
      <c r="BE199" s="9" t="str">
        <f>CONCATENATE(TMK[[#This Row],[Supply Level]],TMK[[#This Row],[Station/Feeder]],TMK[[#This Row],[Voltage]],TMK[[#This Row],[Lowest A-PTX]])</f>
        <v>ZoneSubstationRGA_T233.594800</v>
      </c>
      <c r="BF199" s="9">
        <f>IFERROR(IF(MIN(TMK[[#This Row],[Summ Cont Winter A]:[Cable Derating]])=0,"",MIN(TMK[[#This Row],[Summ Cont Winter A]:[Cable Derating]])),"")</f>
        <v>46.549211863575088</v>
      </c>
      <c r="BG199" s="9">
        <f>IFERROR(TMK[[#This Row],[Lowest MVA]]*1000/(TMK[[#This Row],[Voltage]]*SQRT(3)),"")</f>
        <v>800</v>
      </c>
      <c r="BH199" s="9">
        <f t="shared" si="115"/>
        <v>800</v>
      </c>
      <c r="BI199" s="9" t="str">
        <f>TMK[[#This Row],[From]]</f>
        <v>ABS1564</v>
      </c>
      <c r="BJ199" s="9" t="str">
        <f>TMK[[#This Row],[To]]</f>
        <v>CB36</v>
      </c>
      <c r="BK19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ABS-1566</v>
      </c>
      <c r="BL199" s="9">
        <f>TMK[[#This Row],[Voltage]]</f>
        <v>33.594000000000001</v>
      </c>
    </row>
    <row r="200" spans="1:64" s="1" customFormat="1" ht="15" customHeight="1" x14ac:dyDescent="0.25">
      <c r="A200" s="6" t="str">
        <f>CONCATENATE(TMK[[#This Row],[Supply Level]],TMK[[#This Row],[Station/Feeder]],TMK[[#This Row],[Voltage]])</f>
        <v>ZoneSubstationRGA_T233.594</v>
      </c>
      <c r="B200" s="6" t="str">
        <f>CONCATENATE(TMK[[#This Row],[Supply Level]],TMK[[#This Row],[Station/Feeder]],TMK[[#This Row],[Equipment ID]],TMK[[#This Row],[Voltage]],TMK[[#This Row],[Device type]])</f>
        <v>ZoneSubstationRGA_T2D1479-T233.594HV Winding</v>
      </c>
      <c r="C200" s="6" t="s">
        <v>1246</v>
      </c>
      <c r="D200" s="11" t="s">
        <v>87</v>
      </c>
      <c r="E200" s="46" t="s">
        <v>604</v>
      </c>
      <c r="F200" s="46" t="s">
        <v>588</v>
      </c>
      <c r="G200" s="56">
        <v>4</v>
      </c>
      <c r="H200" s="46" t="s">
        <v>275</v>
      </c>
      <c r="I200" s="123" t="s">
        <v>605</v>
      </c>
      <c r="J200" s="123" t="s">
        <v>19</v>
      </c>
      <c r="K200" s="46" t="s">
        <v>0</v>
      </c>
      <c r="L200" s="46" t="s">
        <v>36</v>
      </c>
      <c r="M200" s="43">
        <f t="shared" si="131"/>
        <v>33.594000000000001</v>
      </c>
      <c r="N200" s="9">
        <f>15*1000/(TMK[[#This Row],[Voltage]]*SQRT(3))</f>
        <v>257.79169011860409</v>
      </c>
      <c r="O200" s="9">
        <f t="shared" si="110"/>
        <v>14.999999999999998</v>
      </c>
      <c r="P200" s="9" t="s">
        <v>0</v>
      </c>
      <c r="Q200" s="9" t="str">
        <f t="shared" si="111"/>
        <v>-</v>
      </c>
      <c r="R200" s="9" t="s">
        <v>0</v>
      </c>
      <c r="S200" s="9" t="str">
        <f t="shared" si="112"/>
        <v>-</v>
      </c>
      <c r="T200" s="9" t="s">
        <v>0</v>
      </c>
      <c r="U200" s="9" t="str">
        <f t="shared" si="113"/>
        <v>-</v>
      </c>
      <c r="V200" s="9" t="s">
        <v>0</v>
      </c>
      <c r="W200" s="9" t="str">
        <f t="shared" si="114"/>
        <v>-</v>
      </c>
      <c r="X200" s="9" t="s">
        <v>0</v>
      </c>
      <c r="Y200" s="9" t="str">
        <f t="shared" si="149"/>
        <v>-</v>
      </c>
      <c r="Z200" s="9" t="s">
        <v>0</v>
      </c>
      <c r="AA200" s="9" t="str">
        <f t="shared" si="150"/>
        <v>-</v>
      </c>
      <c r="AB200" s="9" t="s">
        <v>0</v>
      </c>
      <c r="AC200" s="9" t="str">
        <f t="shared" si="151"/>
        <v>-</v>
      </c>
      <c r="AD200" s="9" t="s">
        <v>0</v>
      </c>
      <c r="AE200" s="12" t="str">
        <f t="shared" si="152"/>
        <v>-</v>
      </c>
      <c r="AF200" s="29" t="s">
        <v>0</v>
      </c>
      <c r="AG200" s="29" t="s">
        <v>0</v>
      </c>
      <c r="AH200" s="9" t="s">
        <v>0</v>
      </c>
      <c r="AI200" s="29" t="s">
        <v>0</v>
      </c>
      <c r="AJ200" s="32" t="s">
        <v>0</v>
      </c>
      <c r="AK200" s="29" t="s">
        <v>0</v>
      </c>
      <c r="AL200" s="32" t="s">
        <v>0</v>
      </c>
      <c r="AM200" s="29" t="s">
        <v>0</v>
      </c>
      <c r="AN200" s="32" t="s">
        <v>0</v>
      </c>
      <c r="AO200" s="29" t="s">
        <v>0</v>
      </c>
      <c r="AP200" s="32" t="s">
        <v>0</v>
      </c>
      <c r="AQ200" s="32" t="s">
        <v>0</v>
      </c>
      <c r="AR200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00" s="9" t="str">
        <f t="shared" si="120"/>
        <v>-</v>
      </c>
      <c r="AT200" s="9" t="str">
        <f>IF(RIGHT(TMK[[#This Row],[Device type]],7)="Winding","-",TMK[[#This Row],[Cont Winter MVA]])</f>
        <v>-</v>
      </c>
      <c r="AU200" s="9" t="str">
        <f>IF(RIGHT(TMK[[#This Row],[Device type]],7)="Winding","-",TMK[[#This Row],[Cont Shoulder MVA]])</f>
        <v>-</v>
      </c>
      <c r="AV200" s="9" t="str">
        <f>IF(RIGHT(TMK[[#This Row],[Device type]],7)="Winding","-",TMK[[#This Row],[Cont Summer MVA]])</f>
        <v>-</v>
      </c>
      <c r="AW200" s="9" t="str">
        <f>IF(RIGHT(TMK[[#This Row],[Device type]],7)="Winding","-",TMK[[#This Row],[24 Hr Winter MVA]])</f>
        <v>-</v>
      </c>
      <c r="AX200" s="9" t="str">
        <f>IF(RIGHT(TMK[[#This Row],[Device type]],7)="Winding","-",TMK[[#This Row],[24 Hr Summer MVA]])</f>
        <v>-</v>
      </c>
      <c r="AY200" s="9" t="str">
        <f>TMK[[#This Row],[Forwards MVA]]</f>
        <v>-</v>
      </c>
      <c r="AZ200" s="9" t="str">
        <f>TMK[[#This Row],[Relay MVA]]</f>
        <v>-</v>
      </c>
      <c r="BA200" s="9" t="str">
        <f>TMK[[#This Row],[CT MVA]]</f>
        <v>-</v>
      </c>
      <c r="BB200" s="9" t="str">
        <f>TMK[[#This Row],[Derating MVA]]</f>
        <v>-</v>
      </c>
      <c r="BC200" s="9" t="str">
        <f>TMK[[#This Row],[Station/Feeder]]&amp;TMK[[#This Row],[Lowest MVA]]</f>
        <v>RGA_T2</v>
      </c>
      <c r="BD200" s="9" t="str">
        <f>CONCATENATE(TMK[[#This Row],[Supply Level]],TMK[[#This Row],[Station/Feeder]],TMK[[#This Row],[Voltage]],TMK[[#This Row],[Lowest A-No PTX]])</f>
        <v>ZoneSubstationRGA_T233.594</v>
      </c>
      <c r="BE200" s="9" t="str">
        <f>CONCATENATE(TMK[[#This Row],[Supply Level]],TMK[[#This Row],[Station/Feeder]],TMK[[#This Row],[Voltage]],TMK[[#This Row],[Lowest A-PTX]])</f>
        <v>ZoneSubstationRGA_T233.594257.791690118604</v>
      </c>
      <c r="BF200" s="9" t="str">
        <f>IFERROR(IF(MIN(TMK[[#This Row],[Summ Cont Winter A]:[Cable Derating]])=0,"",MIN(TMK[[#This Row],[Summ Cont Winter A]:[Cable Derating]])),"")</f>
        <v/>
      </c>
      <c r="BG200" s="9" t="str">
        <f>IFERROR(TMK[[#This Row],[Lowest MVA]]*1000/(TMK[[#This Row],[Voltage]]*SQRT(3)),"")</f>
        <v/>
      </c>
      <c r="BH200" s="9">
        <f t="shared" si="115"/>
        <v>257.79169011860409</v>
      </c>
      <c r="BI200" s="9" t="str">
        <f>TMK[[#This Row],[From]]</f>
        <v>ABS1564</v>
      </c>
      <c r="BJ200" s="9" t="str">
        <f>TMK[[#This Row],[To]]</f>
        <v>CB36</v>
      </c>
      <c r="BK20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Transformer-D1479-T2-HV Winding</v>
      </c>
      <c r="BL200" s="9">
        <f>TMK[[#This Row],[Voltage]]</f>
        <v>33.594000000000001</v>
      </c>
    </row>
    <row r="201" spans="1:64" s="1" customFormat="1" x14ac:dyDescent="0.25">
      <c r="A201" s="6" t="str">
        <f>CONCATENATE(TMK[[#This Row],[Supply Level]],TMK[[#This Row],[Station/Feeder]],TMK[[#This Row],[Voltage]])</f>
        <v>ZoneSubstationRGA_T211.22</v>
      </c>
      <c r="B201" s="6" t="str">
        <f>CONCATENATE(TMK[[#This Row],[Supply Level]],TMK[[#This Row],[Station/Feeder]],TMK[[#This Row],[Equipment ID]],TMK[[#This Row],[Voltage]],TMK[[#This Row],[Device type]])</f>
        <v>ZoneSubstationRGA_T2D1479-T211.22LV Winding</v>
      </c>
      <c r="C201" s="6" t="s">
        <v>1246</v>
      </c>
      <c r="D201" s="11" t="s">
        <v>87</v>
      </c>
      <c r="E201" s="46" t="s">
        <v>604</v>
      </c>
      <c r="F201" s="46" t="s">
        <v>588</v>
      </c>
      <c r="G201" s="57">
        <v>5</v>
      </c>
      <c r="H201" s="46" t="s">
        <v>275</v>
      </c>
      <c r="I201" s="123" t="s">
        <v>605</v>
      </c>
      <c r="J201" s="123" t="s">
        <v>19</v>
      </c>
      <c r="K201" s="46" t="s">
        <v>0</v>
      </c>
      <c r="L201" s="46" t="s">
        <v>37</v>
      </c>
      <c r="M201" s="43">
        <f t="shared" ref="M201:M218" si="153">1.02*11</f>
        <v>11.22</v>
      </c>
      <c r="N201" s="9">
        <f>15*1000/(TMK[[#This Row],[Voltage]]*SQRT(3))</f>
        <v>771.85864864923235</v>
      </c>
      <c r="O201" s="9">
        <f t="shared" ref="O201:O264" si="154">IF(OR(N201="",N201="-"),"-",N201*$M201*SQRT(3)/1000)</f>
        <v>15.000000000000002</v>
      </c>
      <c r="P201" s="9" t="s">
        <v>0</v>
      </c>
      <c r="Q201" s="9" t="str">
        <f t="shared" ref="Q201:Q264" si="155">IF(OR(P201="",P201="-"),"-",P201*$M201*SQRT(3)/1000)</f>
        <v>-</v>
      </c>
      <c r="R201" s="9" t="s">
        <v>0</v>
      </c>
      <c r="S201" s="9" t="str">
        <f t="shared" ref="S201:S264" si="156">IF(OR(R201="",R201="-"),"-",R201*$M201*SQRT(3)/1000)</f>
        <v>-</v>
      </c>
      <c r="T201" s="9" t="s">
        <v>0</v>
      </c>
      <c r="U201" s="9" t="str">
        <f t="shared" ref="U201:U264" si="157">IF(OR(T201="",T201="-"),"-",T201*$M201*SQRT(3)/1000)</f>
        <v>-</v>
      </c>
      <c r="V201" s="9" t="s">
        <v>0</v>
      </c>
      <c r="W201" s="9" t="str">
        <f t="shared" ref="W201:W264" si="158">IF(OR(V201="",V201="-"),"-",V201*$M201*SQRT(3)/1000)</f>
        <v>-</v>
      </c>
      <c r="X201" s="9" t="s">
        <v>0</v>
      </c>
      <c r="Y201" s="9" t="str">
        <f t="shared" si="149"/>
        <v>-</v>
      </c>
      <c r="Z201" s="9" t="s">
        <v>0</v>
      </c>
      <c r="AA201" s="9" t="str">
        <f t="shared" si="150"/>
        <v>-</v>
      </c>
      <c r="AB201" s="9" t="s">
        <v>0</v>
      </c>
      <c r="AC201" s="9" t="str">
        <f t="shared" si="151"/>
        <v>-</v>
      </c>
      <c r="AD201" s="9" t="s">
        <v>0</v>
      </c>
      <c r="AE201" s="12" t="str">
        <f t="shared" si="152"/>
        <v>-</v>
      </c>
      <c r="AF201" s="29" t="s">
        <v>0</v>
      </c>
      <c r="AG201" s="29" t="s">
        <v>0</v>
      </c>
      <c r="AH201" s="9" t="s">
        <v>0</v>
      </c>
      <c r="AI201" s="29" t="s">
        <v>0</v>
      </c>
      <c r="AJ201" s="32" t="s">
        <v>0</v>
      </c>
      <c r="AK201" s="29" t="s">
        <v>0</v>
      </c>
      <c r="AL201" s="32" t="s">
        <v>0</v>
      </c>
      <c r="AM201" s="29" t="s">
        <v>0</v>
      </c>
      <c r="AN201" s="32" t="s">
        <v>0</v>
      </c>
      <c r="AO201" s="29" t="s">
        <v>0</v>
      </c>
      <c r="AP201" s="32" t="s">
        <v>0</v>
      </c>
      <c r="AQ201" s="32" t="s">
        <v>0</v>
      </c>
      <c r="AR201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01" s="9" t="str">
        <f t="shared" si="120"/>
        <v>-</v>
      </c>
      <c r="AT201" s="9" t="str">
        <f>IF(RIGHT(TMK[[#This Row],[Device type]],7)="Winding","-",TMK[[#This Row],[Cont Winter MVA]])</f>
        <v>-</v>
      </c>
      <c r="AU201" s="9" t="str">
        <f>IF(RIGHT(TMK[[#This Row],[Device type]],7)="Winding","-",TMK[[#This Row],[Cont Shoulder MVA]])</f>
        <v>-</v>
      </c>
      <c r="AV201" s="9" t="str">
        <f>IF(RIGHT(TMK[[#This Row],[Device type]],7)="Winding","-",TMK[[#This Row],[Cont Summer MVA]])</f>
        <v>-</v>
      </c>
      <c r="AW201" s="9" t="str">
        <f>IF(RIGHT(TMK[[#This Row],[Device type]],7)="Winding","-",TMK[[#This Row],[24 Hr Winter MVA]])</f>
        <v>-</v>
      </c>
      <c r="AX201" s="9" t="str">
        <f>IF(RIGHT(TMK[[#This Row],[Device type]],7)="Winding","-",TMK[[#This Row],[24 Hr Summer MVA]])</f>
        <v>-</v>
      </c>
      <c r="AY201" s="9" t="str">
        <f>TMK[[#This Row],[Forwards MVA]]</f>
        <v>-</v>
      </c>
      <c r="AZ201" s="9" t="str">
        <f>TMK[[#This Row],[Relay MVA]]</f>
        <v>-</v>
      </c>
      <c r="BA201" s="9" t="str">
        <f>TMK[[#This Row],[CT MVA]]</f>
        <v>-</v>
      </c>
      <c r="BB201" s="9" t="str">
        <f>TMK[[#This Row],[Derating MVA]]</f>
        <v>-</v>
      </c>
      <c r="BC201" s="9" t="str">
        <f>TMK[[#This Row],[Station/Feeder]]&amp;TMK[[#This Row],[Lowest MVA]]</f>
        <v>RGA_T2</v>
      </c>
      <c r="BD201" s="9" t="str">
        <f>CONCATENATE(TMK[[#This Row],[Supply Level]],TMK[[#This Row],[Station/Feeder]],TMK[[#This Row],[Voltage]],TMK[[#This Row],[Lowest A-No PTX]])</f>
        <v>ZoneSubstationRGA_T211.22</v>
      </c>
      <c r="BE201" s="9" t="str">
        <f>CONCATENATE(TMK[[#This Row],[Supply Level]],TMK[[#This Row],[Station/Feeder]],TMK[[#This Row],[Voltage]],TMK[[#This Row],[Lowest A-PTX]])</f>
        <v>ZoneSubstationRGA_T211.22771.858648649232</v>
      </c>
      <c r="BF201" s="9" t="str">
        <f>IFERROR(IF(MIN(TMK[[#This Row],[Summ Cont Winter A]:[Cable Derating]])=0,"",MIN(TMK[[#This Row],[Summ Cont Winter A]:[Cable Derating]])),"")</f>
        <v/>
      </c>
      <c r="BG201" s="9" t="str">
        <f>IFERROR(TMK[[#This Row],[Lowest MVA]]*1000/(TMK[[#This Row],[Voltage]]*SQRT(3)),"")</f>
        <v/>
      </c>
      <c r="BH201" s="9">
        <f t="shared" ref="BH201:BH264" si="159">IF(MIN(N201,P201,R201,T201,V201,X201,Z201,AB201,AD201,AR201)=0,"",MIN(N201,P201,R201,T201,V201,X201,Z201,AB201,AD201,AR201))</f>
        <v>771.85864864923235</v>
      </c>
      <c r="BI201" s="9" t="str">
        <f>TMK[[#This Row],[From]]</f>
        <v>ABS1564</v>
      </c>
      <c r="BJ201" s="9" t="str">
        <f>TMK[[#This Row],[To]]</f>
        <v>CB36</v>
      </c>
      <c r="BK20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Transformer-D1479-T2-LV Winding</v>
      </c>
      <c r="BL201" s="9">
        <f>TMK[[#This Row],[Voltage]]</f>
        <v>11.22</v>
      </c>
    </row>
    <row r="202" spans="1:64" s="1" customFormat="1" x14ac:dyDescent="0.25">
      <c r="A202" s="6" t="str">
        <f>CONCATENATE(TMK[[#This Row],[Supply Level]],TMK[[#This Row],[Station/Feeder]],TMK[[#This Row],[Voltage]])</f>
        <v>ZoneSubstationRGA_T211.22</v>
      </c>
      <c r="B202" s="6" t="str">
        <f>CONCATENATE(TMK[[#This Row],[Supply Level]],TMK[[#This Row],[Station/Feeder]],TMK[[#This Row],[Equipment ID]],TMK[[#This Row],[Voltage]],TMK[[#This Row],[Device type]])</f>
        <v>ZoneSubstationRGA_T26-1c 400 mm² Al XLPE11.22-</v>
      </c>
      <c r="C202" s="6" t="s">
        <v>1246</v>
      </c>
      <c r="D202" s="11" t="s">
        <v>87</v>
      </c>
      <c r="E202" s="46" t="s">
        <v>604</v>
      </c>
      <c r="F202" s="46" t="s">
        <v>588</v>
      </c>
      <c r="G202" s="56">
        <v>6</v>
      </c>
      <c r="H202" s="7" t="s">
        <v>590</v>
      </c>
      <c r="I202" s="123" t="s">
        <v>606</v>
      </c>
      <c r="J202" s="123" t="s">
        <v>250</v>
      </c>
      <c r="K202" s="46" t="s">
        <v>0</v>
      </c>
      <c r="L202" s="46" t="s">
        <v>0</v>
      </c>
      <c r="M202" s="43">
        <f t="shared" si="153"/>
        <v>11.22</v>
      </c>
      <c r="N202" s="9">
        <f>464*2</f>
        <v>928</v>
      </c>
      <c r="O202" s="9">
        <f t="shared" si="154"/>
        <v>18.034390136536359</v>
      </c>
      <c r="P202" s="9">
        <f>464*2</f>
        <v>928</v>
      </c>
      <c r="Q202" s="9">
        <f t="shared" si="155"/>
        <v>18.034390136536359</v>
      </c>
      <c r="R202" s="9">
        <f>464*2</f>
        <v>928</v>
      </c>
      <c r="S202" s="9">
        <f t="shared" si="156"/>
        <v>18.034390136536359</v>
      </c>
      <c r="T202" s="9" t="s">
        <v>0</v>
      </c>
      <c r="U202" s="9" t="str">
        <f t="shared" si="157"/>
        <v>-</v>
      </c>
      <c r="V202" s="9" t="s">
        <v>0</v>
      </c>
      <c r="W202" s="9" t="str">
        <f t="shared" si="158"/>
        <v>-</v>
      </c>
      <c r="X202" s="9" t="s">
        <v>0</v>
      </c>
      <c r="Y202" s="9" t="str">
        <f>IF(OR(X202="",X202="-"),"-",X202*$M202*SQRT(3)/1000)</f>
        <v>-</v>
      </c>
      <c r="Z202" s="9" t="s">
        <v>0</v>
      </c>
      <c r="AA202" s="9" t="str">
        <f>IF(OR(Z202="",Z202="-"),"-",Z202*$M202*SQRT(3)/1000)</f>
        <v>-</v>
      </c>
      <c r="AB202" s="9" t="s">
        <v>0</v>
      </c>
      <c r="AC202" s="9" t="str">
        <f>IF(OR(AB202="",AB202="-"),"-",AB202*$M202*SQRT(3)/1000)</f>
        <v>-</v>
      </c>
      <c r="AD202" s="9" t="s">
        <v>0</v>
      </c>
      <c r="AE202" s="12" t="str">
        <f>IF(OR(AD202="",AD202="-"),"-",AD202*$M202*SQRT(3)/1000)</f>
        <v>-</v>
      </c>
      <c r="AF202" s="29">
        <v>1</v>
      </c>
      <c r="AG202" s="29" t="s">
        <v>265</v>
      </c>
      <c r="AH202" s="9">
        <v>14.9</v>
      </c>
      <c r="AI202" s="29">
        <v>1</v>
      </c>
      <c r="AJ202" s="32">
        <v>0.98</v>
      </c>
      <c r="AK202" s="29">
        <v>18</v>
      </c>
      <c r="AL202" s="32">
        <v>0.98</v>
      </c>
      <c r="AM202" s="29">
        <v>1.2</v>
      </c>
      <c r="AN202" s="32">
        <v>1</v>
      </c>
      <c r="AO202" s="29">
        <v>1</v>
      </c>
      <c r="AP202" s="32">
        <v>0</v>
      </c>
      <c r="AQ202" s="32">
        <v>0.98</v>
      </c>
      <c r="AR202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873.42617599999994</v>
      </c>
      <c r="AS202" s="9">
        <f>IF(OR(AR202="",AR202="-"),"-",AR202*$M202*SQRT(3)/1000)</f>
        <v>16.973823721386928</v>
      </c>
      <c r="AT202" s="9">
        <f>IF(RIGHT(TMK[[#This Row],[Device type]],7)="Winding","-",TMK[[#This Row],[Cont Winter MVA]])</f>
        <v>18.034390136536359</v>
      </c>
      <c r="AU202" s="9">
        <f>IF(RIGHT(TMK[[#This Row],[Device type]],7)="Winding","-",TMK[[#This Row],[Cont Shoulder MVA]])</f>
        <v>18.034390136536359</v>
      </c>
      <c r="AV202" s="9">
        <f>IF(RIGHT(TMK[[#This Row],[Device type]],7)="Winding","-",TMK[[#This Row],[Cont Summer MVA]])</f>
        <v>18.034390136536359</v>
      </c>
      <c r="AW202" s="9" t="str">
        <f>IF(RIGHT(TMK[[#This Row],[Device type]],7)="Winding","-",TMK[[#This Row],[24 Hr Winter MVA]])</f>
        <v>-</v>
      </c>
      <c r="AX202" s="9" t="str">
        <f>IF(RIGHT(TMK[[#This Row],[Device type]],7)="Winding","-",TMK[[#This Row],[24 Hr Summer MVA]])</f>
        <v>-</v>
      </c>
      <c r="AY202" s="9" t="str">
        <f>TMK[[#This Row],[Forwards MVA]]</f>
        <v>-</v>
      </c>
      <c r="AZ202" s="9" t="str">
        <f>TMK[[#This Row],[Relay MVA]]</f>
        <v>-</v>
      </c>
      <c r="BA202" s="9" t="str">
        <f>TMK[[#This Row],[CT MVA]]</f>
        <v>-</v>
      </c>
      <c r="BB202" s="9">
        <f>TMK[[#This Row],[Derating MVA]]</f>
        <v>16.973823721386928</v>
      </c>
      <c r="BC202" s="9" t="str">
        <f>TMK[[#This Row],[Station/Feeder]]&amp;TMK[[#This Row],[Lowest MVA]]</f>
        <v>RGA_T216.9738237213869</v>
      </c>
      <c r="BD202" s="9" t="str">
        <f>CONCATENATE(TMK[[#This Row],[Supply Level]],TMK[[#This Row],[Station/Feeder]],TMK[[#This Row],[Voltage]],TMK[[#This Row],[Lowest A-No PTX]])</f>
        <v>ZoneSubstationRGA_T211.22873.426176</v>
      </c>
      <c r="BE202" s="9" t="str">
        <f>CONCATENATE(TMK[[#This Row],[Supply Level]],TMK[[#This Row],[Station/Feeder]],TMK[[#This Row],[Voltage]],TMK[[#This Row],[Lowest A-PTX]])</f>
        <v>ZoneSubstationRGA_T211.22873.426176</v>
      </c>
      <c r="BF202" s="9">
        <f>IFERROR(IF(MIN(TMK[[#This Row],[Summ Cont Winter A]:[Cable Derating]])=0,"",MIN(TMK[[#This Row],[Summ Cont Winter A]:[Cable Derating]])),"")</f>
        <v>16.973823721386928</v>
      </c>
      <c r="BG202" s="9">
        <f>IFERROR(TMK[[#This Row],[Lowest MVA]]*1000/(TMK[[#This Row],[Voltage]]*SQRT(3)),"")</f>
        <v>873.42617599999994</v>
      </c>
      <c r="BH202" s="9">
        <f t="shared" si="159"/>
        <v>873.42617599999994</v>
      </c>
      <c r="BI202" s="9" t="str">
        <f>TMK[[#This Row],[From]]</f>
        <v>ABS1564</v>
      </c>
      <c r="BJ202" s="9" t="str">
        <f>TMK[[#This Row],[To]]</f>
        <v>CB36</v>
      </c>
      <c r="BK20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Cable-6-1c 400 mm² Al XLPE</v>
      </c>
      <c r="BL202" s="9">
        <f>TMK[[#This Row],[Voltage]]</f>
        <v>11.22</v>
      </c>
    </row>
    <row r="203" spans="1:64" s="1" customFormat="1" x14ac:dyDescent="0.25">
      <c r="A203" s="6" t="str">
        <f>CONCATENATE(TMK[[#This Row],[Supply Level]],TMK[[#This Row],[Station/Feeder]],TMK[[#This Row],[Voltage]])</f>
        <v>ZoneSubstationRGA_T211.22</v>
      </c>
      <c r="B203" s="6" t="str">
        <f>CONCATENATE(TMK[[#This Row],[Supply Level]],TMK[[#This Row],[Station/Feeder]],TMK[[#This Row],[Equipment ID]],TMK[[#This Row],[Voltage]],TMK[[#This Row],[Device type]])</f>
        <v>ZoneSubstationRGA_T2RGA_T2-CB3611.22Protection</v>
      </c>
      <c r="C203" s="6" t="s">
        <v>1246</v>
      </c>
      <c r="D203" s="11" t="s">
        <v>87</v>
      </c>
      <c r="E203" s="46" t="s">
        <v>604</v>
      </c>
      <c r="F203" s="46" t="s">
        <v>588</v>
      </c>
      <c r="G203" s="57">
        <v>7</v>
      </c>
      <c r="H203" s="46" t="s">
        <v>343</v>
      </c>
      <c r="I203" s="123" t="s">
        <v>2580</v>
      </c>
      <c r="J203" s="123" t="s">
        <v>15</v>
      </c>
      <c r="K203" s="46" t="s">
        <v>1126</v>
      </c>
      <c r="L203" s="46" t="s">
        <v>1423</v>
      </c>
      <c r="M203" s="43">
        <f t="shared" si="153"/>
        <v>11.22</v>
      </c>
      <c r="N203" s="9">
        <v>1250</v>
      </c>
      <c r="O203" s="9">
        <f t="shared" si="154"/>
        <v>24.292012576153503</v>
      </c>
      <c r="P203" s="9">
        <v>1250</v>
      </c>
      <c r="Q203" s="9">
        <f t="shared" si="155"/>
        <v>24.292012576153503</v>
      </c>
      <c r="R203" s="9">
        <v>1250</v>
      </c>
      <c r="S203" s="9">
        <f t="shared" si="156"/>
        <v>24.292012576153503</v>
      </c>
      <c r="T203" s="9" t="s">
        <v>0</v>
      </c>
      <c r="U203" s="9" t="str">
        <f t="shared" si="157"/>
        <v>-</v>
      </c>
      <c r="V203" s="9" t="s">
        <v>0</v>
      </c>
      <c r="W203" s="9" t="str">
        <f t="shared" si="158"/>
        <v>-</v>
      </c>
      <c r="X203" s="9">
        <f>VLOOKUP(TMK[[#This Row],[Equipment ID]],AEL_Protection_Data[#All],12,0)</f>
        <v>1048</v>
      </c>
      <c r="Y203" s="9">
        <f t="shared" si="149"/>
        <v>20.366423343847099</v>
      </c>
      <c r="Z203" s="9">
        <v>1048</v>
      </c>
      <c r="AA203" s="9">
        <f t="shared" si="150"/>
        <v>20.366423343847099</v>
      </c>
      <c r="AB203" s="9" t="s">
        <v>0</v>
      </c>
      <c r="AC203" s="9" t="str">
        <f t="shared" si="151"/>
        <v>-</v>
      </c>
      <c r="AD203" s="9">
        <v>800</v>
      </c>
      <c r="AE203" s="12">
        <f t="shared" si="152"/>
        <v>15.546888048738241</v>
      </c>
      <c r="AF203" s="29" t="s">
        <v>0</v>
      </c>
      <c r="AG203" s="29" t="s">
        <v>0</v>
      </c>
      <c r="AH203" s="9" t="s">
        <v>0</v>
      </c>
      <c r="AI203" s="29" t="s">
        <v>0</v>
      </c>
      <c r="AJ203" s="32" t="s">
        <v>0</v>
      </c>
      <c r="AK203" s="29" t="s">
        <v>0</v>
      </c>
      <c r="AL203" s="32" t="s">
        <v>0</v>
      </c>
      <c r="AM203" s="29" t="s">
        <v>0</v>
      </c>
      <c r="AN203" s="32" t="s">
        <v>0</v>
      </c>
      <c r="AO203" s="29" t="s">
        <v>0</v>
      </c>
      <c r="AP203" s="32" t="s">
        <v>0</v>
      </c>
      <c r="AQ203" s="32" t="s">
        <v>0</v>
      </c>
      <c r="AR20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03" s="9" t="str">
        <f t="shared" si="120"/>
        <v>-</v>
      </c>
      <c r="AT203" s="9">
        <f>IF(RIGHT(TMK[[#This Row],[Device type]],7)="Winding","-",TMK[[#This Row],[Cont Winter MVA]])</f>
        <v>24.292012576153503</v>
      </c>
      <c r="AU203" s="9">
        <f>IF(RIGHT(TMK[[#This Row],[Device type]],7)="Winding","-",TMK[[#This Row],[Cont Shoulder MVA]])</f>
        <v>24.292012576153503</v>
      </c>
      <c r="AV203" s="9">
        <f>IF(RIGHT(TMK[[#This Row],[Device type]],7)="Winding","-",TMK[[#This Row],[Cont Summer MVA]])</f>
        <v>24.292012576153503</v>
      </c>
      <c r="AW203" s="9" t="str">
        <f>IF(RIGHT(TMK[[#This Row],[Device type]],7)="Winding","-",TMK[[#This Row],[24 Hr Winter MVA]])</f>
        <v>-</v>
      </c>
      <c r="AX203" s="9" t="str">
        <f>IF(RIGHT(TMK[[#This Row],[Device type]],7)="Winding","-",TMK[[#This Row],[24 Hr Summer MVA]])</f>
        <v>-</v>
      </c>
      <c r="AY203" s="9">
        <f>TMK[[#This Row],[Forwards MVA]]</f>
        <v>20.366423343847099</v>
      </c>
      <c r="AZ203" s="9" t="str">
        <f>TMK[[#This Row],[Relay MVA]]</f>
        <v>-</v>
      </c>
      <c r="BA203" s="9">
        <f>TMK[[#This Row],[CT MVA]]</f>
        <v>15.546888048738241</v>
      </c>
      <c r="BB203" s="9" t="str">
        <f>TMK[[#This Row],[Derating MVA]]</f>
        <v>-</v>
      </c>
      <c r="BC203" s="9" t="str">
        <f>TMK[[#This Row],[Station/Feeder]]&amp;TMK[[#This Row],[Lowest MVA]]</f>
        <v>RGA_T215.5468880487382</v>
      </c>
      <c r="BD203" s="9" t="str">
        <f>CONCATENATE(TMK[[#This Row],[Supply Level]],TMK[[#This Row],[Station/Feeder]],TMK[[#This Row],[Voltage]],TMK[[#This Row],[Lowest A-No PTX]])</f>
        <v>ZoneSubstationRGA_T211.22800</v>
      </c>
      <c r="BE203" s="9" t="str">
        <f>CONCATENATE(TMK[[#This Row],[Supply Level]],TMK[[#This Row],[Station/Feeder]],TMK[[#This Row],[Voltage]],TMK[[#This Row],[Lowest A-PTX]])</f>
        <v>ZoneSubstationRGA_T211.22800</v>
      </c>
      <c r="BF203" s="9">
        <f>IFERROR(IF(MIN(TMK[[#This Row],[Summ Cont Winter A]:[Cable Derating]])=0,"",MIN(TMK[[#This Row],[Summ Cont Winter A]:[Cable Derating]])),"")</f>
        <v>15.546888048738241</v>
      </c>
      <c r="BG203" s="9">
        <f>IFERROR(TMK[[#This Row],[Lowest MVA]]*1000/(TMK[[#This Row],[Voltage]]*SQRT(3)),"")</f>
        <v>800</v>
      </c>
      <c r="BH203" s="9">
        <f t="shared" si="159"/>
        <v>800</v>
      </c>
      <c r="BI203" s="9" t="str">
        <f>TMK[[#This Row],[From]]</f>
        <v>ABS1564</v>
      </c>
      <c r="BJ203" s="9" t="str">
        <f>TMK[[#This Row],[To]]</f>
        <v>CB36</v>
      </c>
      <c r="BK20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Breaker-RGA_T2-CB36-Protection</v>
      </c>
      <c r="BL203" s="9">
        <f>TMK[[#This Row],[Voltage]]</f>
        <v>11.22</v>
      </c>
    </row>
    <row r="204" spans="1:64" s="1" customFormat="1" x14ac:dyDescent="0.25">
      <c r="A204" s="6" t="str">
        <f>CONCATENATE(TMK[[#This Row],[Supply Level]],TMK[[#This Row],[Station/Feeder]],TMK[[#This Row],[Voltage]])</f>
        <v>DistributionFeederCB11_Belfield11.22</v>
      </c>
      <c r="B204" s="6" t="str">
        <f>CONCATENATE(TMK[[#This Row],[Supply Level]],TMK[[#This Row],[Station/Feeder]],TMK[[#This Row],[Equipment ID]],TMK[[#This Row],[Voltage]],TMK[[#This Row],[Device type]])</f>
        <v>DistributionFeederCB11_BelfieldRGA_T2-CB1111.22Protection</v>
      </c>
      <c r="C204" s="6" t="s">
        <v>1276</v>
      </c>
      <c r="D204" s="11" t="s">
        <v>99</v>
      </c>
      <c r="E204" s="46" t="s">
        <v>607</v>
      </c>
      <c r="F204" s="46" t="s">
        <v>609</v>
      </c>
      <c r="G204" s="56">
        <v>1</v>
      </c>
      <c r="H204" s="46" t="s">
        <v>343</v>
      </c>
      <c r="I204" s="123" t="s">
        <v>2581</v>
      </c>
      <c r="J204" s="123" t="s">
        <v>15</v>
      </c>
      <c r="K204" s="46" t="s">
        <v>1127</v>
      </c>
      <c r="L204" s="46" t="s">
        <v>1423</v>
      </c>
      <c r="M204" s="43">
        <f t="shared" si="153"/>
        <v>11.22</v>
      </c>
      <c r="N204" s="9">
        <v>800</v>
      </c>
      <c r="O204" s="9">
        <f t="shared" si="154"/>
        <v>15.546888048738241</v>
      </c>
      <c r="P204" s="9">
        <v>800</v>
      </c>
      <c r="Q204" s="9">
        <f t="shared" si="155"/>
        <v>15.546888048738241</v>
      </c>
      <c r="R204" s="9">
        <v>800</v>
      </c>
      <c r="S204" s="9">
        <f t="shared" si="156"/>
        <v>15.546888048738241</v>
      </c>
      <c r="T204" s="9" t="s">
        <v>0</v>
      </c>
      <c r="U204" s="9" t="str">
        <f t="shared" si="157"/>
        <v>-</v>
      </c>
      <c r="V204" s="9" t="s">
        <v>0</v>
      </c>
      <c r="W204" s="9" t="str">
        <f t="shared" si="158"/>
        <v>-</v>
      </c>
      <c r="X204" s="9">
        <f>VLOOKUP(TMK[[#This Row],[Equipment ID]],AEL_Protection_Data[#All],12,0)</f>
        <v>300</v>
      </c>
      <c r="Y204" s="9">
        <f t="shared" si="149"/>
        <v>5.8300830182768406</v>
      </c>
      <c r="Z204" s="9">
        <v>300</v>
      </c>
      <c r="AA204" s="9">
        <f t="shared" si="150"/>
        <v>5.8300830182768406</v>
      </c>
      <c r="AB204" s="9" t="s">
        <v>0</v>
      </c>
      <c r="AC204" s="9" t="str">
        <f t="shared" si="151"/>
        <v>-</v>
      </c>
      <c r="AD204" s="9">
        <v>400</v>
      </c>
      <c r="AE204" s="12">
        <f t="shared" si="152"/>
        <v>7.7734440243691205</v>
      </c>
      <c r="AF204" s="29" t="s">
        <v>0</v>
      </c>
      <c r="AG204" s="29" t="s">
        <v>0</v>
      </c>
      <c r="AH204" s="9" t="s">
        <v>0</v>
      </c>
      <c r="AI204" s="29" t="s">
        <v>0</v>
      </c>
      <c r="AJ204" s="32" t="s">
        <v>0</v>
      </c>
      <c r="AK204" s="29" t="s">
        <v>0</v>
      </c>
      <c r="AL204" s="32" t="s">
        <v>0</v>
      </c>
      <c r="AM204" s="29" t="s">
        <v>0</v>
      </c>
      <c r="AN204" s="32" t="s">
        <v>0</v>
      </c>
      <c r="AO204" s="29" t="s">
        <v>0</v>
      </c>
      <c r="AP204" s="32" t="s">
        <v>0</v>
      </c>
      <c r="AQ204" s="32" t="s">
        <v>0</v>
      </c>
      <c r="AR204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04" s="9" t="str">
        <f t="shared" si="120"/>
        <v>-</v>
      </c>
      <c r="AT204" s="9">
        <f>IF(RIGHT(TMK[[#This Row],[Device type]],7)="Winding","-",TMK[[#This Row],[Cont Winter MVA]])</f>
        <v>15.546888048738241</v>
      </c>
      <c r="AU204" s="9">
        <f>IF(RIGHT(TMK[[#This Row],[Device type]],7)="Winding","-",TMK[[#This Row],[Cont Shoulder MVA]])</f>
        <v>15.546888048738241</v>
      </c>
      <c r="AV204" s="9">
        <f>IF(RIGHT(TMK[[#This Row],[Device type]],7)="Winding","-",TMK[[#This Row],[Cont Summer MVA]])</f>
        <v>15.546888048738241</v>
      </c>
      <c r="AW204" s="9" t="str">
        <f>IF(RIGHT(TMK[[#This Row],[Device type]],7)="Winding","-",TMK[[#This Row],[24 Hr Winter MVA]])</f>
        <v>-</v>
      </c>
      <c r="AX204" s="9" t="str">
        <f>IF(RIGHT(TMK[[#This Row],[Device type]],7)="Winding","-",TMK[[#This Row],[24 Hr Summer MVA]])</f>
        <v>-</v>
      </c>
      <c r="AY204" s="9">
        <f>TMK[[#This Row],[Forwards MVA]]</f>
        <v>5.8300830182768406</v>
      </c>
      <c r="AZ204" s="9" t="str">
        <f>TMK[[#This Row],[Relay MVA]]</f>
        <v>-</v>
      </c>
      <c r="BA204" s="9">
        <f>TMK[[#This Row],[CT MVA]]</f>
        <v>7.7734440243691205</v>
      </c>
      <c r="BB204" s="9" t="str">
        <f>TMK[[#This Row],[Derating MVA]]</f>
        <v>-</v>
      </c>
      <c r="BC204" s="9" t="str">
        <f>TMK[[#This Row],[Station/Feeder]]&amp;TMK[[#This Row],[Lowest MVA]]</f>
        <v>CB11_Belfield5.83008301827684</v>
      </c>
      <c r="BD204" s="9" t="str">
        <f>CONCATENATE(TMK[[#This Row],[Supply Level]],TMK[[#This Row],[Station/Feeder]],TMK[[#This Row],[Voltage]],TMK[[#This Row],[Lowest A-No PTX]])</f>
        <v>DistributionFeederCB11_Belfield11.22300</v>
      </c>
      <c r="BE204" s="9" t="str">
        <f>CONCATENATE(TMK[[#This Row],[Supply Level]],TMK[[#This Row],[Station/Feeder]],TMK[[#This Row],[Voltage]],TMK[[#This Row],[Lowest A-PTX]])</f>
        <v>DistributionFeederCB11_Belfield11.22300</v>
      </c>
      <c r="BF204" s="9">
        <f>IFERROR(IF(MIN(TMK[[#This Row],[Summ Cont Winter A]:[Cable Derating]])=0,"",MIN(TMK[[#This Row],[Summ Cont Winter A]:[Cable Derating]])),"")</f>
        <v>5.8300830182768406</v>
      </c>
      <c r="BG204" s="9">
        <f>IFERROR(TMK[[#This Row],[Lowest MVA]]*1000/(TMK[[#This Row],[Voltage]]*SQRT(3)),"")</f>
        <v>300</v>
      </c>
      <c r="BH204" s="9">
        <f t="shared" si="159"/>
        <v>300</v>
      </c>
      <c r="BI204" s="9" t="str">
        <f>TMK[[#This Row],[From]]</f>
        <v>CB11</v>
      </c>
      <c r="BJ204" s="9" t="str">
        <f>TMK[[#This Row],[To]]</f>
        <v>T587</v>
      </c>
      <c r="BK20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Breaker-RGA_T2-CB11-Protection</v>
      </c>
      <c r="BL204" s="9">
        <f>TMK[[#This Row],[Voltage]]</f>
        <v>11.22</v>
      </c>
    </row>
    <row r="205" spans="1:64" s="1" customFormat="1" x14ac:dyDescent="0.25">
      <c r="A205" s="6" t="str">
        <f>CONCATENATE(TMK[[#This Row],[Supply Level]],TMK[[#This Row],[Station/Feeder]],TMK[[#This Row],[Voltage]])</f>
        <v>DistributionFeederCB11_Belfield11.22</v>
      </c>
      <c r="B205" s="6" t="str">
        <f>CONCATENATE(TMK[[#This Row],[Supply Level]],TMK[[#This Row],[Station/Feeder]],TMK[[#This Row],[Equipment ID]],TMK[[#This Row],[Voltage]],TMK[[#This Row],[Device type]])</f>
        <v>DistributionFeederCB11_Belfield3-1c 400 mm² Al XLPE11.22-</v>
      </c>
      <c r="C205" s="6" t="s">
        <v>1276</v>
      </c>
      <c r="D205" s="11" t="s">
        <v>99</v>
      </c>
      <c r="E205" s="46" t="s">
        <v>607</v>
      </c>
      <c r="F205" s="46" t="s">
        <v>609</v>
      </c>
      <c r="G205" s="56">
        <v>2</v>
      </c>
      <c r="H205" s="7" t="s">
        <v>612</v>
      </c>
      <c r="I205" s="123" t="s">
        <v>559</v>
      </c>
      <c r="J205" s="123" t="s">
        <v>250</v>
      </c>
      <c r="K205" s="46" t="s">
        <v>0</v>
      </c>
      <c r="L205" s="46" t="s">
        <v>0</v>
      </c>
      <c r="M205" s="43">
        <f t="shared" si="153"/>
        <v>11.22</v>
      </c>
      <c r="N205" s="9">
        <v>537</v>
      </c>
      <c r="O205" s="9">
        <f t="shared" si="154"/>
        <v>10.435848602715545</v>
      </c>
      <c r="P205" s="9">
        <v>537</v>
      </c>
      <c r="Q205" s="9">
        <f t="shared" si="155"/>
        <v>10.435848602715545</v>
      </c>
      <c r="R205" s="9">
        <v>537</v>
      </c>
      <c r="S205" s="9">
        <f t="shared" si="156"/>
        <v>10.435848602715545</v>
      </c>
      <c r="T205" s="9" t="s">
        <v>0</v>
      </c>
      <c r="U205" s="9" t="str">
        <f t="shared" si="157"/>
        <v>-</v>
      </c>
      <c r="V205" s="9" t="s">
        <v>0</v>
      </c>
      <c r="W205" s="9" t="str">
        <f t="shared" si="158"/>
        <v>-</v>
      </c>
      <c r="X205" s="9" t="s">
        <v>0</v>
      </c>
      <c r="Y205" s="9" t="str">
        <f t="shared" si="149"/>
        <v>-</v>
      </c>
      <c r="Z205" s="9" t="s">
        <v>0</v>
      </c>
      <c r="AA205" s="9" t="str">
        <f t="shared" si="150"/>
        <v>-</v>
      </c>
      <c r="AB205" s="9" t="s">
        <v>0</v>
      </c>
      <c r="AC205" s="9" t="str">
        <f t="shared" si="151"/>
        <v>-</v>
      </c>
      <c r="AD205" s="9" t="s">
        <v>0</v>
      </c>
      <c r="AE205" s="12" t="str">
        <f t="shared" si="152"/>
        <v>-</v>
      </c>
      <c r="AF205" s="29">
        <v>1</v>
      </c>
      <c r="AG205" s="29" t="s">
        <v>265</v>
      </c>
      <c r="AH205" s="29">
        <v>40.6</v>
      </c>
      <c r="AI205" s="29">
        <v>1</v>
      </c>
      <c r="AJ205" s="32">
        <v>0.98</v>
      </c>
      <c r="AK205" s="29">
        <v>18</v>
      </c>
      <c r="AL205" s="32">
        <v>0.98</v>
      </c>
      <c r="AM205" s="29">
        <v>1.2</v>
      </c>
      <c r="AN205" s="32">
        <v>1</v>
      </c>
      <c r="AO205" s="29">
        <v>2</v>
      </c>
      <c r="AP205" s="29">
        <v>0.55000000000000004</v>
      </c>
      <c r="AQ205" s="32">
        <v>0.89</v>
      </c>
      <c r="AR205" s="2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459.00397199999998</v>
      </c>
      <c r="AS205" s="9">
        <f t="shared" si="120"/>
        <v>8.9201042082627282</v>
      </c>
      <c r="AT205" s="9">
        <f>IF(RIGHT(TMK[[#This Row],[Device type]],7)="Winding","-",TMK[[#This Row],[Cont Winter MVA]])</f>
        <v>10.435848602715545</v>
      </c>
      <c r="AU205" s="9">
        <f>IF(RIGHT(TMK[[#This Row],[Device type]],7)="Winding","-",TMK[[#This Row],[Cont Shoulder MVA]])</f>
        <v>10.435848602715545</v>
      </c>
      <c r="AV205" s="9">
        <f>IF(RIGHT(TMK[[#This Row],[Device type]],7)="Winding","-",TMK[[#This Row],[Cont Summer MVA]])</f>
        <v>10.435848602715545</v>
      </c>
      <c r="AW205" s="9" t="str">
        <f>IF(RIGHT(TMK[[#This Row],[Device type]],7)="Winding","-",TMK[[#This Row],[24 Hr Winter MVA]])</f>
        <v>-</v>
      </c>
      <c r="AX205" s="9" t="str">
        <f>IF(RIGHT(TMK[[#This Row],[Device type]],7)="Winding","-",TMK[[#This Row],[24 Hr Summer MVA]])</f>
        <v>-</v>
      </c>
      <c r="AY205" s="9" t="str">
        <f>TMK[[#This Row],[Forwards MVA]]</f>
        <v>-</v>
      </c>
      <c r="AZ205" s="9" t="str">
        <f>TMK[[#This Row],[Relay MVA]]</f>
        <v>-</v>
      </c>
      <c r="BA205" s="9" t="str">
        <f>TMK[[#This Row],[CT MVA]]</f>
        <v>-</v>
      </c>
      <c r="BB205" s="9">
        <f>TMK[[#This Row],[Derating MVA]]</f>
        <v>8.9201042082627282</v>
      </c>
      <c r="BC205" s="9" t="str">
        <f>TMK[[#This Row],[Station/Feeder]]&amp;TMK[[#This Row],[Lowest MVA]]</f>
        <v>CB11_Belfield8.92010420826273</v>
      </c>
      <c r="BD205" s="9" t="str">
        <f>CONCATENATE(TMK[[#This Row],[Supply Level]],TMK[[#This Row],[Station/Feeder]],TMK[[#This Row],[Voltage]],TMK[[#This Row],[Lowest A-No PTX]])</f>
        <v>DistributionFeederCB11_Belfield11.22459.003972</v>
      </c>
      <c r="BE205" s="9" t="str">
        <f>CONCATENATE(TMK[[#This Row],[Supply Level]],TMK[[#This Row],[Station/Feeder]],TMK[[#This Row],[Voltage]],TMK[[#This Row],[Lowest A-PTX]])</f>
        <v>DistributionFeederCB11_Belfield11.22459.003972</v>
      </c>
      <c r="BF205" s="9">
        <f>IFERROR(IF(MIN(TMK[[#This Row],[Summ Cont Winter A]:[Cable Derating]])=0,"",MIN(TMK[[#This Row],[Summ Cont Winter A]:[Cable Derating]])),"")</f>
        <v>8.9201042082627282</v>
      </c>
      <c r="BG205" s="9">
        <f>IFERROR(TMK[[#This Row],[Lowest MVA]]*1000/(TMK[[#This Row],[Voltage]]*SQRT(3)),"")</f>
        <v>459.00397199999998</v>
      </c>
      <c r="BH205" s="9">
        <f t="shared" si="159"/>
        <v>459.00397199999998</v>
      </c>
      <c r="BI205" s="9" t="str">
        <f>TMK[[#This Row],[From]]</f>
        <v>CB11</v>
      </c>
      <c r="BJ205" s="9" t="str">
        <f>TMK[[#This Row],[To]]</f>
        <v>T587</v>
      </c>
      <c r="BK20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Al XLPE</v>
      </c>
      <c r="BL205" s="9">
        <f>TMK[[#This Row],[Voltage]]</f>
        <v>11.22</v>
      </c>
    </row>
    <row r="206" spans="1:64" s="1" customFormat="1" x14ac:dyDescent="0.25">
      <c r="A206" s="6" t="str">
        <f>CONCATENATE(TMK[[#This Row],[Supply Level]],TMK[[#This Row],[Station/Feeder]],TMK[[#This Row],[Voltage]])</f>
        <v>DistributionFeederCB11_Belfield11.22</v>
      </c>
      <c r="B206" s="6" t="str">
        <f>CONCATENATE(TMK[[#This Row],[Supply Level]],TMK[[#This Row],[Station/Feeder]],TMK[[#This Row],[Equipment ID]],TMK[[#This Row],[Voltage]],TMK[[#This Row],[Device type]])</f>
        <v>DistributionFeederCB11_BelfieldT58711.22-</v>
      </c>
      <c r="C206" s="6" t="s">
        <v>1276</v>
      </c>
      <c r="D206" s="11" t="s">
        <v>99</v>
      </c>
      <c r="E206" s="46" t="s">
        <v>607</v>
      </c>
      <c r="F206" s="46" t="s">
        <v>609</v>
      </c>
      <c r="G206" s="56">
        <v>3</v>
      </c>
      <c r="H206" s="7" t="s">
        <v>273</v>
      </c>
      <c r="I206" s="123" t="s">
        <v>609</v>
      </c>
      <c r="J206" s="123" t="s">
        <v>240</v>
      </c>
      <c r="K206" s="46" t="s">
        <v>0</v>
      </c>
      <c r="L206" s="46" t="s">
        <v>0</v>
      </c>
      <c r="M206" s="43">
        <f t="shared" si="153"/>
        <v>11.22</v>
      </c>
      <c r="N206" s="9">
        <v>600</v>
      </c>
      <c r="O206" s="9">
        <f t="shared" si="154"/>
        <v>11.660166036553681</v>
      </c>
      <c r="P206" s="9">
        <v>600</v>
      </c>
      <c r="Q206" s="9">
        <f t="shared" si="155"/>
        <v>11.660166036553681</v>
      </c>
      <c r="R206" s="9">
        <v>600</v>
      </c>
      <c r="S206" s="9">
        <f t="shared" si="156"/>
        <v>11.660166036553681</v>
      </c>
      <c r="T206" s="9" t="s">
        <v>0</v>
      </c>
      <c r="U206" s="9" t="str">
        <f t="shared" si="157"/>
        <v>-</v>
      </c>
      <c r="V206" s="9" t="s">
        <v>0</v>
      </c>
      <c r="W206" s="9" t="str">
        <f t="shared" si="158"/>
        <v>-</v>
      </c>
      <c r="X206" s="9" t="s">
        <v>0</v>
      </c>
      <c r="Y206" s="9" t="str">
        <f t="shared" ref="Y206:Y245" si="160">IF(OR(X206="",X206="-"),"-",X206*$M206*SQRT(3)/1000)</f>
        <v>-</v>
      </c>
      <c r="Z206" s="9" t="s">
        <v>0</v>
      </c>
      <c r="AA206" s="9" t="str">
        <f t="shared" ref="AA206:AA245" si="161">IF(OR(Z206="",Z206="-"),"-",Z206*$M206*SQRT(3)/1000)</f>
        <v>-</v>
      </c>
      <c r="AB206" s="9" t="s">
        <v>0</v>
      </c>
      <c r="AC206" s="9" t="str">
        <f t="shared" ref="AC206:AC245" si="162">IF(OR(AB206="",AB206="-"),"-",AB206*$M206*SQRT(3)/1000)</f>
        <v>-</v>
      </c>
      <c r="AD206" s="9" t="s">
        <v>0</v>
      </c>
      <c r="AE206" s="12" t="str">
        <f t="shared" ref="AE206:AE245" si="163">IF(OR(AD206="",AD206="-"),"-",AD206*$M206*SQRT(3)/1000)</f>
        <v>-</v>
      </c>
      <c r="AF206" s="9" t="s">
        <v>0</v>
      </c>
      <c r="AG206" s="9" t="s">
        <v>0</v>
      </c>
      <c r="AH206" s="9" t="s">
        <v>0</v>
      </c>
      <c r="AI206" s="9" t="s">
        <v>0</v>
      </c>
      <c r="AJ206" s="43" t="s">
        <v>0</v>
      </c>
      <c r="AK206" s="29" t="s">
        <v>0</v>
      </c>
      <c r="AL206" s="32" t="s">
        <v>0</v>
      </c>
      <c r="AM206" s="29" t="s">
        <v>0</v>
      </c>
      <c r="AN206" s="32" t="s">
        <v>0</v>
      </c>
      <c r="AO206" s="29" t="s">
        <v>0</v>
      </c>
      <c r="AP206" s="32" t="s">
        <v>0</v>
      </c>
      <c r="AQ206" s="32" t="s">
        <v>0</v>
      </c>
      <c r="AR20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06" s="9" t="str">
        <f t="shared" ref="AS206:AS245" si="164">IF(OR(AR206="",AR206="-"),"-",AR206*$M206*SQRT(3)/1000)</f>
        <v>-</v>
      </c>
      <c r="AT206" s="9">
        <f>IF(RIGHT(TMK[[#This Row],[Device type]],7)="Winding","-",TMK[[#This Row],[Cont Winter MVA]])</f>
        <v>11.660166036553681</v>
      </c>
      <c r="AU206" s="9">
        <f>IF(RIGHT(TMK[[#This Row],[Device type]],7)="Winding","-",TMK[[#This Row],[Cont Shoulder MVA]])</f>
        <v>11.660166036553681</v>
      </c>
      <c r="AV206" s="9">
        <f>IF(RIGHT(TMK[[#This Row],[Device type]],7)="Winding","-",TMK[[#This Row],[Cont Summer MVA]])</f>
        <v>11.660166036553681</v>
      </c>
      <c r="AW206" s="9" t="str">
        <f>IF(RIGHT(TMK[[#This Row],[Device type]],7)="Winding","-",TMK[[#This Row],[24 Hr Winter MVA]])</f>
        <v>-</v>
      </c>
      <c r="AX206" s="9" t="str">
        <f>IF(RIGHT(TMK[[#This Row],[Device type]],7)="Winding","-",TMK[[#This Row],[24 Hr Summer MVA]])</f>
        <v>-</v>
      </c>
      <c r="AY206" s="9" t="str">
        <f>TMK[[#This Row],[Forwards MVA]]</f>
        <v>-</v>
      </c>
      <c r="AZ206" s="9" t="str">
        <f>TMK[[#This Row],[Relay MVA]]</f>
        <v>-</v>
      </c>
      <c r="BA206" s="9" t="str">
        <f>TMK[[#This Row],[CT MVA]]</f>
        <v>-</v>
      </c>
      <c r="BB206" s="9" t="str">
        <f>TMK[[#This Row],[Derating MVA]]</f>
        <v>-</v>
      </c>
      <c r="BC206" s="9" t="str">
        <f>TMK[[#This Row],[Station/Feeder]]&amp;TMK[[#This Row],[Lowest MVA]]</f>
        <v>CB11_Belfield11.6601660365537</v>
      </c>
      <c r="BD206" s="9" t="str">
        <f>CONCATENATE(TMK[[#This Row],[Supply Level]],TMK[[#This Row],[Station/Feeder]],TMK[[#This Row],[Voltage]],TMK[[#This Row],[Lowest A-No PTX]])</f>
        <v>DistributionFeederCB11_Belfield11.22600</v>
      </c>
      <c r="BE206" s="9" t="str">
        <f>CONCATENATE(TMK[[#This Row],[Supply Level]],TMK[[#This Row],[Station/Feeder]],TMK[[#This Row],[Voltage]],TMK[[#This Row],[Lowest A-PTX]])</f>
        <v>DistributionFeederCB11_Belfield11.22600</v>
      </c>
      <c r="BF206" s="9">
        <f>IFERROR(IF(MIN(TMK[[#This Row],[Summ Cont Winter A]:[Cable Derating]])=0,"",MIN(TMK[[#This Row],[Summ Cont Winter A]:[Cable Derating]])),"")</f>
        <v>11.660166036553681</v>
      </c>
      <c r="BG206" s="9">
        <f>IFERROR(TMK[[#This Row],[Lowest MVA]]*1000/(TMK[[#This Row],[Voltage]]*SQRT(3)),"")</f>
        <v>600</v>
      </c>
      <c r="BH206" s="9">
        <f t="shared" si="159"/>
        <v>600</v>
      </c>
      <c r="BI206" s="9" t="str">
        <f>TMK[[#This Row],[From]]</f>
        <v>CB11</v>
      </c>
      <c r="BJ206" s="9" t="str">
        <f>TMK[[#This Row],[To]]</f>
        <v>T587</v>
      </c>
      <c r="BK20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ABS-T587</v>
      </c>
      <c r="BL206" s="9">
        <f>TMK[[#This Row],[Voltage]]</f>
        <v>11.22</v>
      </c>
    </row>
    <row r="207" spans="1:64" s="1" customFormat="1" x14ac:dyDescent="0.25">
      <c r="A207" s="6" t="str">
        <f>CONCATENATE(TMK[[#This Row],[Supply Level]],TMK[[#This Row],[Station/Feeder]],TMK[[#This Row],[Voltage]])</f>
        <v>DistributionFeederCB11_Belfield11.22</v>
      </c>
      <c r="B207" s="6" t="str">
        <f>CONCATENATE(TMK[[#This Row],[Supply Level]],TMK[[#This Row],[Station/Feeder]],TMK[[#This Row],[Equipment ID]],TMK[[#This Row],[Voltage]],TMK[[#This Row],[Device type]])</f>
        <v>DistributionFeederCB11_BelfieldIODINE11.22-</v>
      </c>
      <c r="C207" s="6" t="s">
        <v>1276</v>
      </c>
      <c r="D207" s="11" t="s">
        <v>99</v>
      </c>
      <c r="E207" s="46" t="s">
        <v>609</v>
      </c>
      <c r="F207" s="7" t="s">
        <v>613</v>
      </c>
      <c r="G207" s="56">
        <v>4</v>
      </c>
      <c r="H207" s="46" t="s">
        <v>1289</v>
      </c>
      <c r="I207" s="123" t="s">
        <v>329</v>
      </c>
      <c r="J207" s="123" t="s">
        <v>69</v>
      </c>
      <c r="K207" s="46" t="s">
        <v>0</v>
      </c>
      <c r="L207" s="46" t="s">
        <v>0</v>
      </c>
      <c r="M207" s="43">
        <f t="shared" si="153"/>
        <v>11.22</v>
      </c>
      <c r="N207" s="9">
        <v>368.60397632070425</v>
      </c>
      <c r="O207" s="9">
        <f t="shared" si="154"/>
        <v>7.1633059427221886</v>
      </c>
      <c r="P207" s="9" t="s">
        <v>0</v>
      </c>
      <c r="Q207" s="9" t="str">
        <f t="shared" si="155"/>
        <v>-</v>
      </c>
      <c r="R207" s="9">
        <v>275.38648791159613</v>
      </c>
      <c r="S207" s="9">
        <f t="shared" si="156"/>
        <v>5.3517536221209898</v>
      </c>
      <c r="T207" s="9" t="s">
        <v>0</v>
      </c>
      <c r="U207" s="9" t="str">
        <f t="shared" si="157"/>
        <v>-</v>
      </c>
      <c r="V207" s="9" t="s">
        <v>0</v>
      </c>
      <c r="W207" s="9" t="str">
        <f t="shared" si="158"/>
        <v>-</v>
      </c>
      <c r="X207" s="9" t="s">
        <v>0</v>
      </c>
      <c r="Y207" s="9" t="str">
        <f t="shared" si="160"/>
        <v>-</v>
      </c>
      <c r="Z207" s="9" t="s">
        <v>0</v>
      </c>
      <c r="AA207" s="9" t="str">
        <f t="shared" si="161"/>
        <v>-</v>
      </c>
      <c r="AB207" s="9" t="s">
        <v>0</v>
      </c>
      <c r="AC207" s="9" t="str">
        <f t="shared" si="162"/>
        <v>-</v>
      </c>
      <c r="AD207" s="9" t="s">
        <v>0</v>
      </c>
      <c r="AE207" s="12" t="str">
        <f t="shared" si="163"/>
        <v>-</v>
      </c>
      <c r="AF207" s="29" t="s">
        <v>0</v>
      </c>
      <c r="AG207" s="29" t="s">
        <v>0</v>
      </c>
      <c r="AH207" s="9">
        <v>1155.9000000000001</v>
      </c>
      <c r="AI207" s="29" t="s">
        <v>0</v>
      </c>
      <c r="AJ207" s="32" t="s">
        <v>0</v>
      </c>
      <c r="AK207" s="29" t="s">
        <v>0</v>
      </c>
      <c r="AL207" s="32" t="s">
        <v>0</v>
      </c>
      <c r="AM207" s="29" t="s">
        <v>0</v>
      </c>
      <c r="AN207" s="32" t="s">
        <v>0</v>
      </c>
      <c r="AO207" s="29" t="s">
        <v>0</v>
      </c>
      <c r="AP207" s="32" t="s">
        <v>0</v>
      </c>
      <c r="AQ207" s="32" t="s">
        <v>0</v>
      </c>
      <c r="AR207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07" s="9" t="str">
        <f t="shared" si="120"/>
        <v>-</v>
      </c>
      <c r="AT207" s="9">
        <f>IF(RIGHT(TMK[[#This Row],[Device type]],7)="Winding","-",TMK[[#This Row],[Cont Winter MVA]])</f>
        <v>7.1633059427221886</v>
      </c>
      <c r="AU207" s="9" t="str">
        <f>IF(RIGHT(TMK[[#This Row],[Device type]],7)="Winding","-",TMK[[#This Row],[Cont Shoulder MVA]])</f>
        <v>-</v>
      </c>
      <c r="AV207" s="9">
        <f>IF(RIGHT(TMK[[#This Row],[Device type]],7)="Winding","-",TMK[[#This Row],[Cont Summer MVA]])</f>
        <v>5.3517536221209898</v>
      </c>
      <c r="AW207" s="9" t="str">
        <f>IF(RIGHT(TMK[[#This Row],[Device type]],7)="Winding","-",TMK[[#This Row],[24 Hr Winter MVA]])</f>
        <v>-</v>
      </c>
      <c r="AX207" s="9" t="str">
        <f>IF(RIGHT(TMK[[#This Row],[Device type]],7)="Winding","-",TMK[[#This Row],[24 Hr Summer MVA]])</f>
        <v>-</v>
      </c>
      <c r="AY207" s="9" t="str">
        <f>TMK[[#This Row],[Forwards MVA]]</f>
        <v>-</v>
      </c>
      <c r="AZ207" s="9" t="str">
        <f>TMK[[#This Row],[Relay MVA]]</f>
        <v>-</v>
      </c>
      <c r="BA207" s="9" t="str">
        <f>TMK[[#This Row],[CT MVA]]</f>
        <v>-</v>
      </c>
      <c r="BB207" s="9" t="str">
        <f>TMK[[#This Row],[Derating MVA]]</f>
        <v>-</v>
      </c>
      <c r="BC207" s="9" t="str">
        <f>TMK[[#This Row],[Station/Feeder]]&amp;TMK[[#This Row],[Lowest MVA]]</f>
        <v>CB11_Belfield5.35175362212099</v>
      </c>
      <c r="BD207" s="9" t="str">
        <f>CONCATENATE(TMK[[#This Row],[Supply Level]],TMK[[#This Row],[Station/Feeder]],TMK[[#This Row],[Voltage]],TMK[[#This Row],[Lowest A-No PTX]])</f>
        <v>DistributionFeederCB11_Belfield11.22275.386487911596</v>
      </c>
      <c r="BE207" s="9" t="str">
        <f>CONCATENATE(TMK[[#This Row],[Supply Level]],TMK[[#This Row],[Station/Feeder]],TMK[[#This Row],[Voltage]],TMK[[#This Row],[Lowest A-PTX]])</f>
        <v>DistributionFeederCB11_Belfield11.22275.386487911596</v>
      </c>
      <c r="BF207" s="9">
        <f>IFERROR(IF(MIN(TMK[[#This Row],[Summ Cont Winter A]:[Cable Derating]])=0,"",MIN(TMK[[#This Row],[Summ Cont Winter A]:[Cable Derating]])),"")</f>
        <v>5.3517536221209898</v>
      </c>
      <c r="BG207" s="9">
        <f>IFERROR(TMK[[#This Row],[Lowest MVA]]*1000/(TMK[[#This Row],[Voltage]]*SQRT(3)),"")</f>
        <v>275.38648791159613</v>
      </c>
      <c r="BH207" s="9">
        <f t="shared" si="159"/>
        <v>275.38648791159613</v>
      </c>
      <c r="BI207" s="9" t="str">
        <f>TMK[[#This Row],[From]]</f>
        <v>T587</v>
      </c>
      <c r="BJ207" s="9" t="str">
        <f>TMK[[#This Row],[To]]</f>
        <v>Pole 808827</v>
      </c>
      <c r="BK20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Line-IODINE</v>
      </c>
      <c r="BL207" s="9">
        <f>TMK[[#This Row],[Voltage]]</f>
        <v>11.22</v>
      </c>
    </row>
    <row r="208" spans="1:64" s="1" customFormat="1" x14ac:dyDescent="0.25">
      <c r="A208" s="6" t="str">
        <f>CONCATENATE(TMK[[#This Row],[Supply Level]],TMK[[#This Row],[Station/Feeder]],TMK[[#This Row],[Voltage]])</f>
        <v>DistributionFeederCB12_Orton11.22</v>
      </c>
      <c r="B208" s="6" t="str">
        <f>CONCATENATE(TMK[[#This Row],[Supply Level]],TMK[[#This Row],[Station/Feeder]],TMK[[#This Row],[Equipment ID]],TMK[[#This Row],[Voltage]],TMK[[#This Row],[Device type]])</f>
        <v>DistributionFeederCB12_OrtonRGA_T2-CB1211.22Protection</v>
      </c>
      <c r="C208" s="6" t="s">
        <v>1276</v>
      </c>
      <c r="D208" s="11" t="s">
        <v>111</v>
      </c>
      <c r="E208" s="7" t="s">
        <v>610</v>
      </c>
      <c r="F208" s="7" t="s">
        <v>614</v>
      </c>
      <c r="G208" s="56">
        <v>1</v>
      </c>
      <c r="H208" s="46" t="s">
        <v>343</v>
      </c>
      <c r="I208" s="123" t="s">
        <v>2582</v>
      </c>
      <c r="J208" s="123" t="s">
        <v>15</v>
      </c>
      <c r="K208" s="46" t="s">
        <v>1127</v>
      </c>
      <c r="L208" s="46" t="s">
        <v>1423</v>
      </c>
      <c r="M208" s="43">
        <f t="shared" si="153"/>
        <v>11.22</v>
      </c>
      <c r="N208" s="9">
        <v>800</v>
      </c>
      <c r="O208" s="9">
        <f t="shared" si="154"/>
        <v>15.546888048738241</v>
      </c>
      <c r="P208" s="9">
        <v>800</v>
      </c>
      <c r="Q208" s="9">
        <f t="shared" si="155"/>
        <v>15.546888048738241</v>
      </c>
      <c r="R208" s="9">
        <v>800</v>
      </c>
      <c r="S208" s="9">
        <f t="shared" si="156"/>
        <v>15.546888048738241</v>
      </c>
      <c r="T208" s="9" t="s">
        <v>0</v>
      </c>
      <c r="U208" s="9" t="str">
        <f t="shared" si="157"/>
        <v>-</v>
      </c>
      <c r="V208" s="9" t="s">
        <v>0</v>
      </c>
      <c r="W208" s="9" t="str">
        <f t="shared" si="158"/>
        <v>-</v>
      </c>
      <c r="X208" s="9">
        <f>VLOOKUP(TMK[[#This Row],[Equipment ID]],AEL_Protection_Data[#All],12,0)</f>
        <v>300</v>
      </c>
      <c r="Y208" s="9">
        <f t="shared" si="160"/>
        <v>5.8300830182768406</v>
      </c>
      <c r="Z208" s="9">
        <v>300</v>
      </c>
      <c r="AA208" s="9">
        <f t="shared" si="161"/>
        <v>5.8300830182768406</v>
      </c>
      <c r="AB208" s="9" t="s">
        <v>0</v>
      </c>
      <c r="AC208" s="9" t="str">
        <f t="shared" si="162"/>
        <v>-</v>
      </c>
      <c r="AD208" s="9">
        <v>400</v>
      </c>
      <c r="AE208" s="12">
        <f t="shared" si="163"/>
        <v>7.7734440243691205</v>
      </c>
      <c r="AF208" s="29" t="s">
        <v>0</v>
      </c>
      <c r="AG208" s="29" t="s">
        <v>0</v>
      </c>
      <c r="AH208" s="9" t="s">
        <v>0</v>
      </c>
      <c r="AI208" s="29" t="s">
        <v>0</v>
      </c>
      <c r="AJ208" s="32" t="s">
        <v>0</v>
      </c>
      <c r="AK208" s="29" t="s">
        <v>0</v>
      </c>
      <c r="AL208" s="32" t="s">
        <v>0</v>
      </c>
      <c r="AM208" s="29" t="s">
        <v>0</v>
      </c>
      <c r="AN208" s="32" t="s">
        <v>0</v>
      </c>
      <c r="AO208" s="29" t="s">
        <v>0</v>
      </c>
      <c r="AP208" s="32" t="s">
        <v>0</v>
      </c>
      <c r="AQ208" s="32" t="s">
        <v>0</v>
      </c>
      <c r="AR208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08" s="9" t="str">
        <f t="shared" si="120"/>
        <v>-</v>
      </c>
      <c r="AT208" s="9">
        <f>IF(RIGHT(TMK[[#This Row],[Device type]],7)="Winding","-",TMK[[#This Row],[Cont Winter MVA]])</f>
        <v>15.546888048738241</v>
      </c>
      <c r="AU208" s="9">
        <f>IF(RIGHT(TMK[[#This Row],[Device type]],7)="Winding","-",TMK[[#This Row],[Cont Shoulder MVA]])</f>
        <v>15.546888048738241</v>
      </c>
      <c r="AV208" s="9">
        <f>IF(RIGHT(TMK[[#This Row],[Device type]],7)="Winding","-",TMK[[#This Row],[Cont Summer MVA]])</f>
        <v>15.546888048738241</v>
      </c>
      <c r="AW208" s="9" t="str">
        <f>IF(RIGHT(TMK[[#This Row],[Device type]],7)="Winding","-",TMK[[#This Row],[24 Hr Winter MVA]])</f>
        <v>-</v>
      </c>
      <c r="AX208" s="9" t="str">
        <f>IF(RIGHT(TMK[[#This Row],[Device type]],7)="Winding","-",TMK[[#This Row],[24 Hr Summer MVA]])</f>
        <v>-</v>
      </c>
      <c r="AY208" s="9">
        <f>TMK[[#This Row],[Forwards MVA]]</f>
        <v>5.8300830182768406</v>
      </c>
      <c r="AZ208" s="9" t="str">
        <f>TMK[[#This Row],[Relay MVA]]</f>
        <v>-</v>
      </c>
      <c r="BA208" s="9">
        <f>TMK[[#This Row],[CT MVA]]</f>
        <v>7.7734440243691205</v>
      </c>
      <c r="BB208" s="9" t="str">
        <f>TMK[[#This Row],[Derating MVA]]</f>
        <v>-</v>
      </c>
      <c r="BC208" s="9" t="str">
        <f>TMK[[#This Row],[Station/Feeder]]&amp;TMK[[#This Row],[Lowest MVA]]</f>
        <v>CB12_Orton5.83008301827684</v>
      </c>
      <c r="BD208" s="9" t="str">
        <f>CONCATENATE(TMK[[#This Row],[Supply Level]],TMK[[#This Row],[Station/Feeder]],TMK[[#This Row],[Voltage]],TMK[[#This Row],[Lowest A-No PTX]])</f>
        <v>DistributionFeederCB12_Orton11.22300</v>
      </c>
      <c r="BE208" s="9" t="str">
        <f>CONCATENATE(TMK[[#This Row],[Supply Level]],TMK[[#This Row],[Station/Feeder]],TMK[[#This Row],[Voltage]],TMK[[#This Row],[Lowest A-PTX]])</f>
        <v>DistributionFeederCB12_Orton11.22300</v>
      </c>
      <c r="BF208" s="9">
        <f>IFERROR(IF(MIN(TMK[[#This Row],[Summ Cont Winter A]:[Cable Derating]])=0,"",MIN(TMK[[#This Row],[Summ Cont Winter A]:[Cable Derating]])),"")</f>
        <v>5.8300830182768406</v>
      </c>
      <c r="BG208" s="9">
        <f>IFERROR(TMK[[#This Row],[Lowest MVA]]*1000/(TMK[[#This Row],[Voltage]]*SQRT(3)),"")</f>
        <v>300</v>
      </c>
      <c r="BH208" s="9">
        <f t="shared" si="159"/>
        <v>300</v>
      </c>
      <c r="BI208" s="9" t="str">
        <f>TMK[[#This Row],[From]]</f>
        <v>CB12</v>
      </c>
      <c r="BJ208" s="9" t="str">
        <f>TMK[[#This Row],[To]]</f>
        <v>T590</v>
      </c>
      <c r="BK20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Breaker-RGA_T2-CB12-Protection</v>
      </c>
      <c r="BL208" s="9">
        <f>TMK[[#This Row],[Voltage]]</f>
        <v>11.22</v>
      </c>
    </row>
    <row r="209" spans="1:64" s="1" customFormat="1" x14ac:dyDescent="0.25">
      <c r="A209" s="6" t="str">
        <f>CONCATENATE(TMK[[#This Row],[Supply Level]],TMK[[#This Row],[Station/Feeder]],TMK[[#This Row],[Voltage]])</f>
        <v>DistributionFeederCB12_Orton11.22</v>
      </c>
      <c r="B209" s="6" t="str">
        <f>CONCATENATE(TMK[[#This Row],[Supply Level]],TMK[[#This Row],[Station/Feeder]],TMK[[#This Row],[Equipment ID]],TMK[[#This Row],[Voltage]],TMK[[#This Row],[Device type]])</f>
        <v>DistributionFeederCB12_Orton3-1c 400 mm² Al XLPE11.22-</v>
      </c>
      <c r="C209" s="6" t="s">
        <v>1276</v>
      </c>
      <c r="D209" s="11" t="s">
        <v>111</v>
      </c>
      <c r="E209" s="7" t="s">
        <v>610</v>
      </c>
      <c r="F209" s="7" t="s">
        <v>614</v>
      </c>
      <c r="G209" s="56">
        <v>2</v>
      </c>
      <c r="H209" s="7" t="s">
        <v>612</v>
      </c>
      <c r="I209" s="123" t="s">
        <v>559</v>
      </c>
      <c r="J209" s="123" t="s">
        <v>250</v>
      </c>
      <c r="K209" s="46" t="s">
        <v>0</v>
      </c>
      <c r="L209" s="46" t="s">
        <v>0</v>
      </c>
      <c r="M209" s="43">
        <f t="shared" si="153"/>
        <v>11.22</v>
      </c>
      <c r="N209" s="9">
        <v>537</v>
      </c>
      <c r="O209" s="9">
        <f t="shared" si="154"/>
        <v>10.435848602715545</v>
      </c>
      <c r="P209" s="9">
        <v>537</v>
      </c>
      <c r="Q209" s="9">
        <f t="shared" si="155"/>
        <v>10.435848602715545</v>
      </c>
      <c r="R209" s="9">
        <v>537</v>
      </c>
      <c r="S209" s="9">
        <f t="shared" si="156"/>
        <v>10.435848602715545</v>
      </c>
      <c r="T209" s="9" t="s">
        <v>0</v>
      </c>
      <c r="U209" s="9" t="str">
        <f t="shared" si="157"/>
        <v>-</v>
      </c>
      <c r="V209" s="9" t="s">
        <v>0</v>
      </c>
      <c r="W209" s="9" t="str">
        <f t="shared" si="158"/>
        <v>-</v>
      </c>
      <c r="X209" s="9" t="s">
        <v>0</v>
      </c>
      <c r="Y209" s="9" t="str">
        <f t="shared" si="160"/>
        <v>-</v>
      </c>
      <c r="Z209" s="9" t="s">
        <v>0</v>
      </c>
      <c r="AA209" s="9" t="str">
        <f t="shared" si="161"/>
        <v>-</v>
      </c>
      <c r="AB209" s="9" t="s">
        <v>0</v>
      </c>
      <c r="AC209" s="9" t="str">
        <f t="shared" si="162"/>
        <v>-</v>
      </c>
      <c r="AD209" s="9" t="s">
        <v>0</v>
      </c>
      <c r="AE209" s="12" t="str">
        <f t="shared" si="163"/>
        <v>-</v>
      </c>
      <c r="AF209" s="29">
        <v>1</v>
      </c>
      <c r="AG209" s="29" t="s">
        <v>265</v>
      </c>
      <c r="AH209" s="29">
        <v>10.4</v>
      </c>
      <c r="AI209" s="29">
        <v>1</v>
      </c>
      <c r="AJ209" s="32">
        <v>0.98</v>
      </c>
      <c r="AK209" s="29">
        <v>18</v>
      </c>
      <c r="AL209" s="32">
        <v>0.98</v>
      </c>
      <c r="AM209" s="29">
        <v>1.2</v>
      </c>
      <c r="AN209" s="32">
        <v>1</v>
      </c>
      <c r="AO209" s="29">
        <v>2</v>
      </c>
      <c r="AP209" s="29">
        <v>0.55000000000000004</v>
      </c>
      <c r="AQ209" s="32">
        <v>0.89</v>
      </c>
      <c r="AR209" s="2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459.00397199999998</v>
      </c>
      <c r="AS209" s="9">
        <f t="shared" si="120"/>
        <v>8.9201042082627282</v>
      </c>
      <c r="AT209" s="9">
        <f>IF(RIGHT(TMK[[#This Row],[Device type]],7)="Winding","-",TMK[[#This Row],[Cont Winter MVA]])</f>
        <v>10.435848602715545</v>
      </c>
      <c r="AU209" s="9">
        <f>IF(RIGHT(TMK[[#This Row],[Device type]],7)="Winding","-",TMK[[#This Row],[Cont Shoulder MVA]])</f>
        <v>10.435848602715545</v>
      </c>
      <c r="AV209" s="9">
        <f>IF(RIGHT(TMK[[#This Row],[Device type]],7)="Winding","-",TMK[[#This Row],[Cont Summer MVA]])</f>
        <v>10.435848602715545</v>
      </c>
      <c r="AW209" s="9" t="str">
        <f>IF(RIGHT(TMK[[#This Row],[Device type]],7)="Winding","-",TMK[[#This Row],[24 Hr Winter MVA]])</f>
        <v>-</v>
      </c>
      <c r="AX209" s="9" t="str">
        <f>IF(RIGHT(TMK[[#This Row],[Device type]],7)="Winding","-",TMK[[#This Row],[24 Hr Summer MVA]])</f>
        <v>-</v>
      </c>
      <c r="AY209" s="9" t="str">
        <f>TMK[[#This Row],[Forwards MVA]]</f>
        <v>-</v>
      </c>
      <c r="AZ209" s="9" t="str">
        <f>TMK[[#This Row],[Relay MVA]]</f>
        <v>-</v>
      </c>
      <c r="BA209" s="9" t="str">
        <f>TMK[[#This Row],[CT MVA]]</f>
        <v>-</v>
      </c>
      <c r="BB209" s="9">
        <f>TMK[[#This Row],[Derating MVA]]</f>
        <v>8.9201042082627282</v>
      </c>
      <c r="BC209" s="9" t="str">
        <f>TMK[[#This Row],[Station/Feeder]]&amp;TMK[[#This Row],[Lowest MVA]]</f>
        <v>CB12_Orton8.92010420826273</v>
      </c>
      <c r="BD209" s="9" t="str">
        <f>CONCATENATE(TMK[[#This Row],[Supply Level]],TMK[[#This Row],[Station/Feeder]],TMK[[#This Row],[Voltage]],TMK[[#This Row],[Lowest A-No PTX]])</f>
        <v>DistributionFeederCB12_Orton11.22459.003972</v>
      </c>
      <c r="BE209" s="9" t="str">
        <f>CONCATENATE(TMK[[#This Row],[Supply Level]],TMK[[#This Row],[Station/Feeder]],TMK[[#This Row],[Voltage]],TMK[[#This Row],[Lowest A-PTX]])</f>
        <v>DistributionFeederCB12_Orton11.22459.003972</v>
      </c>
      <c r="BF209" s="9">
        <f>IFERROR(IF(MIN(TMK[[#This Row],[Summ Cont Winter A]:[Cable Derating]])=0,"",MIN(TMK[[#This Row],[Summ Cont Winter A]:[Cable Derating]])),"")</f>
        <v>8.9201042082627282</v>
      </c>
      <c r="BG209" s="9">
        <f>IFERROR(TMK[[#This Row],[Lowest MVA]]*1000/(TMK[[#This Row],[Voltage]]*SQRT(3)),"")</f>
        <v>459.00397199999998</v>
      </c>
      <c r="BH209" s="9">
        <f t="shared" si="159"/>
        <v>459.00397199999998</v>
      </c>
      <c r="BI209" s="9" t="str">
        <f>TMK[[#This Row],[From]]</f>
        <v>CB12</v>
      </c>
      <c r="BJ209" s="9" t="str">
        <f>TMK[[#This Row],[To]]</f>
        <v>T590</v>
      </c>
      <c r="BK20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Al XLPE</v>
      </c>
      <c r="BL209" s="9">
        <f>TMK[[#This Row],[Voltage]]</f>
        <v>11.22</v>
      </c>
    </row>
    <row r="210" spans="1:64" s="1" customFormat="1" x14ac:dyDescent="0.25">
      <c r="A210" s="6" t="str">
        <f>CONCATENATE(TMK[[#This Row],[Supply Level]],TMK[[#This Row],[Station/Feeder]],TMK[[#This Row],[Voltage]])</f>
        <v>DistributionFeederCB12_Orton11.22</v>
      </c>
      <c r="B210" s="6" t="str">
        <f>CONCATENATE(TMK[[#This Row],[Supply Level]],TMK[[#This Row],[Station/Feeder]],TMK[[#This Row],[Equipment ID]],TMK[[#This Row],[Voltage]],TMK[[#This Row],[Device type]])</f>
        <v>DistributionFeederCB12_Orton1-3c 300 mm² Al XLPE11.22-</v>
      </c>
      <c r="C210" s="6" t="s">
        <v>1276</v>
      </c>
      <c r="D210" s="11" t="s">
        <v>111</v>
      </c>
      <c r="E210" s="7" t="s">
        <v>610</v>
      </c>
      <c r="F210" s="7" t="s">
        <v>614</v>
      </c>
      <c r="G210" s="56">
        <v>3</v>
      </c>
      <c r="H210" s="7" t="s">
        <v>612</v>
      </c>
      <c r="I210" s="123" t="s">
        <v>569</v>
      </c>
      <c r="J210" s="123" t="s">
        <v>250</v>
      </c>
      <c r="K210" s="46" t="s">
        <v>0</v>
      </c>
      <c r="L210" s="46" t="s">
        <v>0</v>
      </c>
      <c r="M210" s="43">
        <f t="shared" si="153"/>
        <v>11.22</v>
      </c>
      <c r="N210" s="9">
        <v>476</v>
      </c>
      <c r="O210" s="9">
        <f t="shared" si="154"/>
        <v>9.2503983889992547</v>
      </c>
      <c r="P210" s="9">
        <v>476</v>
      </c>
      <c r="Q210" s="9">
        <f t="shared" si="155"/>
        <v>9.2503983889992547</v>
      </c>
      <c r="R210" s="9">
        <v>476</v>
      </c>
      <c r="S210" s="9">
        <f t="shared" si="156"/>
        <v>9.2503983889992547</v>
      </c>
      <c r="T210" s="9" t="s">
        <v>0</v>
      </c>
      <c r="U210" s="9" t="str">
        <f t="shared" si="157"/>
        <v>-</v>
      </c>
      <c r="V210" s="9" t="s">
        <v>0</v>
      </c>
      <c r="W210" s="9" t="str">
        <f t="shared" si="158"/>
        <v>-</v>
      </c>
      <c r="X210" s="9" t="s">
        <v>0</v>
      </c>
      <c r="Y210" s="9" t="str">
        <f t="shared" si="160"/>
        <v>-</v>
      </c>
      <c r="Z210" s="9" t="s">
        <v>0</v>
      </c>
      <c r="AA210" s="9" t="str">
        <f t="shared" si="161"/>
        <v>-</v>
      </c>
      <c r="AB210" s="9" t="s">
        <v>0</v>
      </c>
      <c r="AC210" s="9" t="str">
        <f t="shared" si="162"/>
        <v>-</v>
      </c>
      <c r="AD210" s="9" t="s">
        <v>0</v>
      </c>
      <c r="AE210" s="12" t="str">
        <f t="shared" si="163"/>
        <v>-</v>
      </c>
      <c r="AF210" s="29">
        <v>3</v>
      </c>
      <c r="AG210" s="29" t="s">
        <v>265</v>
      </c>
      <c r="AH210" s="29">
        <v>112.1</v>
      </c>
      <c r="AI210" s="29">
        <v>1</v>
      </c>
      <c r="AJ210" s="32">
        <v>0.98</v>
      </c>
      <c r="AK210" s="29">
        <v>18</v>
      </c>
      <c r="AL210" s="32">
        <v>0.98</v>
      </c>
      <c r="AM210" s="29">
        <v>1.2</v>
      </c>
      <c r="AN210" s="32">
        <v>1</v>
      </c>
      <c r="AO210" s="29">
        <v>2</v>
      </c>
      <c r="AP210" s="29">
        <v>0.55000000000000004</v>
      </c>
      <c r="AQ210" s="32">
        <v>0.89</v>
      </c>
      <c r="AR210" s="2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406.863856</v>
      </c>
      <c r="AS210" s="9">
        <f t="shared" si="120"/>
        <v>7.9068335253874471</v>
      </c>
      <c r="AT210" s="9">
        <f>IF(RIGHT(TMK[[#This Row],[Device type]],7)="Winding","-",TMK[[#This Row],[Cont Winter MVA]])</f>
        <v>9.2503983889992547</v>
      </c>
      <c r="AU210" s="9">
        <f>IF(RIGHT(TMK[[#This Row],[Device type]],7)="Winding","-",TMK[[#This Row],[Cont Shoulder MVA]])</f>
        <v>9.2503983889992547</v>
      </c>
      <c r="AV210" s="9">
        <f>IF(RIGHT(TMK[[#This Row],[Device type]],7)="Winding","-",TMK[[#This Row],[Cont Summer MVA]])</f>
        <v>9.2503983889992547</v>
      </c>
      <c r="AW210" s="9" t="str">
        <f>IF(RIGHT(TMK[[#This Row],[Device type]],7)="Winding","-",TMK[[#This Row],[24 Hr Winter MVA]])</f>
        <v>-</v>
      </c>
      <c r="AX210" s="9" t="str">
        <f>IF(RIGHT(TMK[[#This Row],[Device type]],7)="Winding","-",TMK[[#This Row],[24 Hr Summer MVA]])</f>
        <v>-</v>
      </c>
      <c r="AY210" s="9" t="str">
        <f>TMK[[#This Row],[Forwards MVA]]</f>
        <v>-</v>
      </c>
      <c r="AZ210" s="9" t="str">
        <f>TMK[[#This Row],[Relay MVA]]</f>
        <v>-</v>
      </c>
      <c r="BA210" s="9" t="str">
        <f>TMK[[#This Row],[CT MVA]]</f>
        <v>-</v>
      </c>
      <c r="BB210" s="9">
        <f>TMK[[#This Row],[Derating MVA]]</f>
        <v>7.9068335253874471</v>
      </c>
      <c r="BC210" s="9" t="str">
        <f>TMK[[#This Row],[Station/Feeder]]&amp;TMK[[#This Row],[Lowest MVA]]</f>
        <v>CB12_Orton7.90683352538745</v>
      </c>
      <c r="BD210" s="9" t="str">
        <f>CONCATENATE(TMK[[#This Row],[Supply Level]],TMK[[#This Row],[Station/Feeder]],TMK[[#This Row],[Voltage]],TMK[[#This Row],[Lowest A-No PTX]])</f>
        <v>DistributionFeederCB12_Orton11.22406.863856</v>
      </c>
      <c r="BE210" s="9" t="str">
        <f>CONCATENATE(TMK[[#This Row],[Supply Level]],TMK[[#This Row],[Station/Feeder]],TMK[[#This Row],[Voltage]],TMK[[#This Row],[Lowest A-PTX]])</f>
        <v>DistributionFeederCB12_Orton11.22406.863856</v>
      </c>
      <c r="BF210" s="9">
        <f>IFERROR(IF(MIN(TMK[[#This Row],[Summ Cont Winter A]:[Cable Derating]])=0,"",MIN(TMK[[#This Row],[Summ Cont Winter A]:[Cable Derating]])),"")</f>
        <v>7.9068335253874471</v>
      </c>
      <c r="BG210" s="9">
        <f>IFERROR(TMK[[#This Row],[Lowest MVA]]*1000/(TMK[[#This Row],[Voltage]]*SQRT(3)),"")</f>
        <v>406.86385600000006</v>
      </c>
      <c r="BH210" s="9">
        <f t="shared" si="159"/>
        <v>406.863856</v>
      </c>
      <c r="BI210" s="9" t="str">
        <f>TMK[[#This Row],[From]]</f>
        <v>CB12</v>
      </c>
      <c r="BJ210" s="9" t="str">
        <f>TMK[[#This Row],[To]]</f>
        <v>T590</v>
      </c>
      <c r="BK21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XLPE</v>
      </c>
      <c r="BL210" s="9">
        <f>TMK[[#This Row],[Voltage]]</f>
        <v>11.22</v>
      </c>
    </row>
    <row r="211" spans="1:64" s="1" customFormat="1" x14ac:dyDescent="0.25">
      <c r="A211" s="6" t="str">
        <f>CONCATENATE(TMK[[#This Row],[Supply Level]],TMK[[#This Row],[Station/Feeder]],TMK[[#This Row],[Voltage]])</f>
        <v>DistributionFeederCB12_Orton11.22</v>
      </c>
      <c r="B211" s="6" t="str">
        <f>CONCATENATE(TMK[[#This Row],[Supply Level]],TMK[[#This Row],[Station/Feeder]],TMK[[#This Row],[Equipment ID]],TMK[[#This Row],[Voltage]],TMK[[#This Row],[Device type]])</f>
        <v>DistributionFeederCB12_OrtonT59011.22-</v>
      </c>
      <c r="C211" s="6" t="s">
        <v>1276</v>
      </c>
      <c r="D211" s="11" t="s">
        <v>111</v>
      </c>
      <c r="E211" s="7" t="s">
        <v>610</v>
      </c>
      <c r="F211" s="7" t="s">
        <v>614</v>
      </c>
      <c r="G211" s="56">
        <v>4</v>
      </c>
      <c r="H211" s="7" t="s">
        <v>273</v>
      </c>
      <c r="I211" s="123" t="s">
        <v>614</v>
      </c>
      <c r="J211" s="123" t="s">
        <v>240</v>
      </c>
      <c r="K211" s="46" t="s">
        <v>0</v>
      </c>
      <c r="L211" s="46" t="s">
        <v>0</v>
      </c>
      <c r="M211" s="43">
        <f t="shared" si="153"/>
        <v>11.22</v>
      </c>
      <c r="N211" s="9" t="s">
        <v>0</v>
      </c>
      <c r="O211" s="9" t="str">
        <f t="shared" si="154"/>
        <v>-</v>
      </c>
      <c r="P211" s="9" t="s">
        <v>0</v>
      </c>
      <c r="Q211" s="9" t="str">
        <f t="shared" si="155"/>
        <v>-</v>
      </c>
      <c r="R211" s="9" t="s">
        <v>0</v>
      </c>
      <c r="S211" s="9" t="str">
        <f t="shared" si="156"/>
        <v>-</v>
      </c>
      <c r="T211" s="9" t="s">
        <v>0</v>
      </c>
      <c r="U211" s="9" t="str">
        <f t="shared" si="157"/>
        <v>-</v>
      </c>
      <c r="V211" s="9" t="s">
        <v>0</v>
      </c>
      <c r="W211" s="9" t="str">
        <f t="shared" si="158"/>
        <v>-</v>
      </c>
      <c r="X211" s="9" t="s">
        <v>0</v>
      </c>
      <c r="Y211" s="9" t="str">
        <f t="shared" si="160"/>
        <v>-</v>
      </c>
      <c r="Z211" s="9" t="s">
        <v>0</v>
      </c>
      <c r="AA211" s="9" t="str">
        <f t="shared" si="161"/>
        <v>-</v>
      </c>
      <c r="AB211" s="9" t="s">
        <v>0</v>
      </c>
      <c r="AC211" s="9" t="str">
        <f t="shared" si="162"/>
        <v>-</v>
      </c>
      <c r="AD211" s="9" t="s">
        <v>0</v>
      </c>
      <c r="AE211" s="12" t="str">
        <f t="shared" si="163"/>
        <v>-</v>
      </c>
      <c r="AF211" s="9" t="s">
        <v>0</v>
      </c>
      <c r="AG211" s="9" t="s">
        <v>0</v>
      </c>
      <c r="AH211" s="9" t="s">
        <v>0</v>
      </c>
      <c r="AI211" s="9" t="s">
        <v>0</v>
      </c>
      <c r="AJ211" s="43" t="s">
        <v>0</v>
      </c>
      <c r="AK211" s="29" t="s">
        <v>0</v>
      </c>
      <c r="AL211" s="32" t="s">
        <v>0</v>
      </c>
      <c r="AM211" s="29" t="s">
        <v>0</v>
      </c>
      <c r="AN211" s="32" t="s">
        <v>0</v>
      </c>
      <c r="AO211" s="29" t="s">
        <v>0</v>
      </c>
      <c r="AP211" s="32" t="s">
        <v>0</v>
      </c>
      <c r="AQ211" s="32" t="s">
        <v>0</v>
      </c>
      <c r="AR211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11" s="9" t="str">
        <f t="shared" si="164"/>
        <v>-</v>
      </c>
      <c r="AT211" s="9" t="str">
        <f>IF(RIGHT(TMK[[#This Row],[Device type]],7)="Winding","-",TMK[[#This Row],[Cont Winter MVA]])</f>
        <v>-</v>
      </c>
      <c r="AU211" s="9" t="str">
        <f>IF(RIGHT(TMK[[#This Row],[Device type]],7)="Winding","-",TMK[[#This Row],[Cont Shoulder MVA]])</f>
        <v>-</v>
      </c>
      <c r="AV211" s="9" t="str">
        <f>IF(RIGHT(TMK[[#This Row],[Device type]],7)="Winding","-",TMK[[#This Row],[Cont Summer MVA]])</f>
        <v>-</v>
      </c>
      <c r="AW211" s="9" t="str">
        <f>IF(RIGHT(TMK[[#This Row],[Device type]],7)="Winding","-",TMK[[#This Row],[24 Hr Winter MVA]])</f>
        <v>-</v>
      </c>
      <c r="AX211" s="9" t="str">
        <f>IF(RIGHT(TMK[[#This Row],[Device type]],7)="Winding","-",TMK[[#This Row],[24 Hr Summer MVA]])</f>
        <v>-</v>
      </c>
      <c r="AY211" s="9" t="str">
        <f>TMK[[#This Row],[Forwards MVA]]</f>
        <v>-</v>
      </c>
      <c r="AZ211" s="9" t="str">
        <f>TMK[[#This Row],[Relay MVA]]</f>
        <v>-</v>
      </c>
      <c r="BA211" s="9" t="str">
        <f>TMK[[#This Row],[CT MVA]]</f>
        <v>-</v>
      </c>
      <c r="BB211" s="9" t="str">
        <f>TMK[[#This Row],[Derating MVA]]</f>
        <v>-</v>
      </c>
      <c r="BC211" s="9" t="str">
        <f>TMK[[#This Row],[Station/Feeder]]&amp;TMK[[#This Row],[Lowest MVA]]</f>
        <v>CB12_Orton</v>
      </c>
      <c r="BD211" s="9" t="str">
        <f>CONCATENATE(TMK[[#This Row],[Supply Level]],TMK[[#This Row],[Station/Feeder]],TMK[[#This Row],[Voltage]],TMK[[#This Row],[Lowest A-No PTX]])</f>
        <v>DistributionFeederCB12_Orton11.22</v>
      </c>
      <c r="BE211" s="9" t="str">
        <f>CONCATENATE(TMK[[#This Row],[Supply Level]],TMK[[#This Row],[Station/Feeder]],TMK[[#This Row],[Voltage]],TMK[[#This Row],[Lowest A-PTX]])</f>
        <v>DistributionFeederCB12_Orton11.22</v>
      </c>
      <c r="BF211" s="9" t="str">
        <f>IFERROR(IF(MIN(TMK[[#This Row],[Summ Cont Winter A]:[Cable Derating]])=0,"",MIN(TMK[[#This Row],[Summ Cont Winter A]:[Cable Derating]])),"")</f>
        <v/>
      </c>
      <c r="BG211" s="9" t="str">
        <f>IFERROR(TMK[[#This Row],[Lowest MVA]]*1000/(TMK[[#This Row],[Voltage]]*SQRT(3)),"")</f>
        <v/>
      </c>
      <c r="BH211" s="9" t="str">
        <f t="shared" si="159"/>
        <v/>
      </c>
      <c r="BI211" s="9" t="str">
        <f>TMK[[#This Row],[From]]</f>
        <v>CB12</v>
      </c>
      <c r="BJ211" s="9" t="str">
        <f>TMK[[#This Row],[To]]</f>
        <v>T590</v>
      </c>
      <c r="BK21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ABS-T590</v>
      </c>
      <c r="BL211" s="9">
        <f>TMK[[#This Row],[Voltage]]</f>
        <v>11.22</v>
      </c>
    </row>
    <row r="212" spans="1:64" s="1" customFormat="1" x14ac:dyDescent="0.25">
      <c r="A212" s="6" t="str">
        <f>CONCATENATE(TMK[[#This Row],[Supply Level]],TMK[[#This Row],[Station/Feeder]],TMK[[#This Row],[Voltage]])</f>
        <v>DistributionFeederCB12_Orton11.22</v>
      </c>
      <c r="B212" s="6" t="str">
        <f>CONCATENATE(TMK[[#This Row],[Supply Level]],TMK[[#This Row],[Station/Feeder]],TMK[[#This Row],[Equipment ID]],TMK[[#This Row],[Voltage]],TMK[[#This Row],[Device type]])</f>
        <v>DistributionFeederCB12_OrtonIODINE11.22-</v>
      </c>
      <c r="C212" s="6" t="s">
        <v>1276</v>
      </c>
      <c r="D212" s="11" t="s">
        <v>111</v>
      </c>
      <c r="E212" s="7" t="s">
        <v>614</v>
      </c>
      <c r="F212" s="7" t="s">
        <v>615</v>
      </c>
      <c r="G212" s="56">
        <v>5</v>
      </c>
      <c r="H212" s="46" t="s">
        <v>1289</v>
      </c>
      <c r="I212" s="123" t="s">
        <v>329</v>
      </c>
      <c r="J212" s="123" t="s">
        <v>69</v>
      </c>
      <c r="K212" s="46" t="s">
        <v>0</v>
      </c>
      <c r="L212" s="46" t="s">
        <v>0</v>
      </c>
      <c r="M212" s="43">
        <f t="shared" si="153"/>
        <v>11.22</v>
      </c>
      <c r="N212" s="9">
        <v>368.60397632070425</v>
      </c>
      <c r="O212" s="9">
        <f t="shared" si="154"/>
        <v>7.1633059427221886</v>
      </c>
      <c r="P212" s="9" t="s">
        <v>0</v>
      </c>
      <c r="Q212" s="9" t="str">
        <f t="shared" si="155"/>
        <v>-</v>
      </c>
      <c r="R212" s="9">
        <v>275.38648791159613</v>
      </c>
      <c r="S212" s="9">
        <f t="shared" si="156"/>
        <v>5.3517536221209898</v>
      </c>
      <c r="T212" s="9" t="s">
        <v>0</v>
      </c>
      <c r="U212" s="9" t="str">
        <f t="shared" si="157"/>
        <v>-</v>
      </c>
      <c r="V212" s="9" t="s">
        <v>0</v>
      </c>
      <c r="W212" s="9" t="str">
        <f t="shared" si="158"/>
        <v>-</v>
      </c>
      <c r="X212" s="9" t="s">
        <v>0</v>
      </c>
      <c r="Y212" s="9" t="str">
        <f t="shared" si="160"/>
        <v>-</v>
      </c>
      <c r="Z212" s="9" t="s">
        <v>0</v>
      </c>
      <c r="AA212" s="9" t="str">
        <f t="shared" si="161"/>
        <v>-</v>
      </c>
      <c r="AB212" s="9" t="s">
        <v>0</v>
      </c>
      <c r="AC212" s="9" t="str">
        <f t="shared" si="162"/>
        <v>-</v>
      </c>
      <c r="AD212" s="9" t="s">
        <v>0</v>
      </c>
      <c r="AE212" s="12" t="str">
        <f t="shared" si="163"/>
        <v>-</v>
      </c>
      <c r="AF212" s="29" t="s">
        <v>0</v>
      </c>
      <c r="AG212" s="29" t="s">
        <v>0</v>
      </c>
      <c r="AH212" s="9">
        <v>2096</v>
      </c>
      <c r="AI212" s="29" t="s">
        <v>0</v>
      </c>
      <c r="AJ212" s="32" t="s">
        <v>0</v>
      </c>
      <c r="AK212" s="29" t="s">
        <v>0</v>
      </c>
      <c r="AL212" s="32" t="s">
        <v>0</v>
      </c>
      <c r="AM212" s="29" t="s">
        <v>0</v>
      </c>
      <c r="AN212" s="32" t="s">
        <v>0</v>
      </c>
      <c r="AO212" s="29" t="s">
        <v>0</v>
      </c>
      <c r="AP212" s="32" t="s">
        <v>0</v>
      </c>
      <c r="AQ212" s="32" t="s">
        <v>0</v>
      </c>
      <c r="AR212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12" s="9" t="str">
        <f t="shared" si="120"/>
        <v>-</v>
      </c>
      <c r="AT212" s="9">
        <f>IF(RIGHT(TMK[[#This Row],[Device type]],7)="Winding","-",TMK[[#This Row],[Cont Winter MVA]])</f>
        <v>7.1633059427221886</v>
      </c>
      <c r="AU212" s="9" t="str">
        <f>IF(RIGHT(TMK[[#This Row],[Device type]],7)="Winding","-",TMK[[#This Row],[Cont Shoulder MVA]])</f>
        <v>-</v>
      </c>
      <c r="AV212" s="9">
        <f>IF(RIGHT(TMK[[#This Row],[Device type]],7)="Winding","-",TMK[[#This Row],[Cont Summer MVA]])</f>
        <v>5.3517536221209898</v>
      </c>
      <c r="AW212" s="9" t="str">
        <f>IF(RIGHT(TMK[[#This Row],[Device type]],7)="Winding","-",TMK[[#This Row],[24 Hr Winter MVA]])</f>
        <v>-</v>
      </c>
      <c r="AX212" s="9" t="str">
        <f>IF(RIGHT(TMK[[#This Row],[Device type]],7)="Winding","-",TMK[[#This Row],[24 Hr Summer MVA]])</f>
        <v>-</v>
      </c>
      <c r="AY212" s="9" t="str">
        <f>TMK[[#This Row],[Forwards MVA]]</f>
        <v>-</v>
      </c>
      <c r="AZ212" s="9" t="str">
        <f>TMK[[#This Row],[Relay MVA]]</f>
        <v>-</v>
      </c>
      <c r="BA212" s="9" t="str">
        <f>TMK[[#This Row],[CT MVA]]</f>
        <v>-</v>
      </c>
      <c r="BB212" s="9" t="str">
        <f>TMK[[#This Row],[Derating MVA]]</f>
        <v>-</v>
      </c>
      <c r="BC212" s="9" t="str">
        <f>TMK[[#This Row],[Station/Feeder]]&amp;TMK[[#This Row],[Lowest MVA]]</f>
        <v>CB12_Orton5.35175362212099</v>
      </c>
      <c r="BD212" s="9" t="str">
        <f>CONCATENATE(TMK[[#This Row],[Supply Level]],TMK[[#This Row],[Station/Feeder]],TMK[[#This Row],[Voltage]],TMK[[#This Row],[Lowest A-No PTX]])</f>
        <v>DistributionFeederCB12_Orton11.22275.386487911596</v>
      </c>
      <c r="BE212" s="9" t="str">
        <f>CONCATENATE(TMK[[#This Row],[Supply Level]],TMK[[#This Row],[Station/Feeder]],TMK[[#This Row],[Voltage]],TMK[[#This Row],[Lowest A-PTX]])</f>
        <v>DistributionFeederCB12_Orton11.22275.386487911596</v>
      </c>
      <c r="BF212" s="9">
        <f>IFERROR(IF(MIN(TMK[[#This Row],[Summ Cont Winter A]:[Cable Derating]])=0,"",MIN(TMK[[#This Row],[Summ Cont Winter A]:[Cable Derating]])),"")</f>
        <v>5.3517536221209898</v>
      </c>
      <c r="BG212" s="9">
        <f>IFERROR(TMK[[#This Row],[Lowest MVA]]*1000/(TMK[[#This Row],[Voltage]]*SQRT(3)),"")</f>
        <v>275.38648791159613</v>
      </c>
      <c r="BH212" s="9">
        <f t="shared" si="159"/>
        <v>275.38648791159613</v>
      </c>
      <c r="BI212" s="9" t="str">
        <f>TMK[[#This Row],[From]]</f>
        <v>T590</v>
      </c>
      <c r="BJ212" s="9" t="str">
        <f>TMK[[#This Row],[To]]</f>
        <v>Pole 46673</v>
      </c>
      <c r="BK21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Line-IODINE</v>
      </c>
      <c r="BL212" s="9">
        <f>TMK[[#This Row],[Voltage]]</f>
        <v>11.22</v>
      </c>
    </row>
    <row r="213" spans="1:64" s="1" customFormat="1" x14ac:dyDescent="0.25">
      <c r="A213" s="6" t="str">
        <f>CONCATENATE(TMK[[#This Row],[Supply Level]],TMK[[#This Row],[Station/Feeder]],TMK[[#This Row],[Voltage]])</f>
        <v>DistributionFeederCB13_Rangitata Island11.22</v>
      </c>
      <c r="B213" s="6" t="str">
        <f>CONCATENATE(TMK[[#This Row],[Supply Level]],TMK[[#This Row],[Station/Feeder]],TMK[[#This Row],[Equipment ID]],TMK[[#This Row],[Voltage]],TMK[[#This Row],[Device type]])</f>
        <v>DistributionFeederCB13_Rangitata IslandRGA_T2-CB1311.22Protection</v>
      </c>
      <c r="C213" s="6" t="s">
        <v>1276</v>
      </c>
      <c r="D213" s="11" t="s">
        <v>122</v>
      </c>
      <c r="E213" s="7" t="s">
        <v>611</v>
      </c>
      <c r="F213" s="7" t="s">
        <v>616</v>
      </c>
      <c r="G213" s="56">
        <v>1</v>
      </c>
      <c r="H213" s="46" t="s">
        <v>343</v>
      </c>
      <c r="I213" s="123" t="s">
        <v>2583</v>
      </c>
      <c r="J213" s="123" t="s">
        <v>15</v>
      </c>
      <c r="K213" s="46" t="s">
        <v>1127</v>
      </c>
      <c r="L213" s="46" t="s">
        <v>1423</v>
      </c>
      <c r="M213" s="43">
        <f t="shared" si="153"/>
        <v>11.22</v>
      </c>
      <c r="N213" s="9">
        <v>800</v>
      </c>
      <c r="O213" s="9">
        <f t="shared" si="154"/>
        <v>15.546888048738241</v>
      </c>
      <c r="P213" s="9">
        <v>800</v>
      </c>
      <c r="Q213" s="9">
        <f t="shared" si="155"/>
        <v>15.546888048738241</v>
      </c>
      <c r="R213" s="9">
        <v>800</v>
      </c>
      <c r="S213" s="9">
        <f t="shared" si="156"/>
        <v>15.546888048738241</v>
      </c>
      <c r="T213" s="9" t="s">
        <v>0</v>
      </c>
      <c r="U213" s="9" t="str">
        <f t="shared" si="157"/>
        <v>-</v>
      </c>
      <c r="V213" s="9" t="s">
        <v>0</v>
      </c>
      <c r="W213" s="9" t="str">
        <f t="shared" si="158"/>
        <v>-</v>
      </c>
      <c r="X213" s="9">
        <f>VLOOKUP(TMK[[#This Row],[Equipment ID]],AEL_Protection_Data[#All],12,0)</f>
        <v>300</v>
      </c>
      <c r="Y213" s="9">
        <f t="shared" si="160"/>
        <v>5.8300830182768406</v>
      </c>
      <c r="Z213" s="9">
        <v>300</v>
      </c>
      <c r="AA213" s="9">
        <f t="shared" si="161"/>
        <v>5.8300830182768406</v>
      </c>
      <c r="AB213" s="9" t="s">
        <v>0</v>
      </c>
      <c r="AC213" s="9" t="str">
        <f t="shared" si="162"/>
        <v>-</v>
      </c>
      <c r="AD213" s="9">
        <v>400</v>
      </c>
      <c r="AE213" s="12">
        <f t="shared" si="163"/>
        <v>7.7734440243691205</v>
      </c>
      <c r="AF213" s="29" t="s">
        <v>0</v>
      </c>
      <c r="AG213" s="29" t="s">
        <v>0</v>
      </c>
      <c r="AH213" s="9" t="s">
        <v>0</v>
      </c>
      <c r="AI213" s="29" t="s">
        <v>0</v>
      </c>
      <c r="AJ213" s="32" t="s">
        <v>0</v>
      </c>
      <c r="AK213" s="29" t="s">
        <v>0</v>
      </c>
      <c r="AL213" s="32" t="s">
        <v>0</v>
      </c>
      <c r="AM213" s="29" t="s">
        <v>0</v>
      </c>
      <c r="AN213" s="32" t="s">
        <v>0</v>
      </c>
      <c r="AO213" s="29" t="s">
        <v>0</v>
      </c>
      <c r="AP213" s="32" t="s">
        <v>0</v>
      </c>
      <c r="AQ213" s="32" t="s">
        <v>0</v>
      </c>
      <c r="AR21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13" s="9" t="str">
        <f t="shared" si="120"/>
        <v>-</v>
      </c>
      <c r="AT213" s="9">
        <f>IF(RIGHT(TMK[[#This Row],[Device type]],7)="Winding","-",TMK[[#This Row],[Cont Winter MVA]])</f>
        <v>15.546888048738241</v>
      </c>
      <c r="AU213" s="9">
        <f>IF(RIGHT(TMK[[#This Row],[Device type]],7)="Winding","-",TMK[[#This Row],[Cont Shoulder MVA]])</f>
        <v>15.546888048738241</v>
      </c>
      <c r="AV213" s="9">
        <f>IF(RIGHT(TMK[[#This Row],[Device type]],7)="Winding","-",TMK[[#This Row],[Cont Summer MVA]])</f>
        <v>15.546888048738241</v>
      </c>
      <c r="AW213" s="9" t="str">
        <f>IF(RIGHT(TMK[[#This Row],[Device type]],7)="Winding","-",TMK[[#This Row],[24 Hr Winter MVA]])</f>
        <v>-</v>
      </c>
      <c r="AX213" s="9" t="str">
        <f>IF(RIGHT(TMK[[#This Row],[Device type]],7)="Winding","-",TMK[[#This Row],[24 Hr Summer MVA]])</f>
        <v>-</v>
      </c>
      <c r="AY213" s="9">
        <f>TMK[[#This Row],[Forwards MVA]]</f>
        <v>5.8300830182768406</v>
      </c>
      <c r="AZ213" s="9" t="str">
        <f>TMK[[#This Row],[Relay MVA]]</f>
        <v>-</v>
      </c>
      <c r="BA213" s="9">
        <f>TMK[[#This Row],[CT MVA]]</f>
        <v>7.7734440243691205</v>
      </c>
      <c r="BB213" s="9" t="str">
        <f>TMK[[#This Row],[Derating MVA]]</f>
        <v>-</v>
      </c>
      <c r="BC213" s="9" t="str">
        <f>TMK[[#This Row],[Station/Feeder]]&amp;TMK[[#This Row],[Lowest MVA]]</f>
        <v>CB13_Rangitata Island5.83008301827684</v>
      </c>
      <c r="BD213" s="9" t="str">
        <f>CONCATENATE(TMK[[#This Row],[Supply Level]],TMK[[#This Row],[Station/Feeder]],TMK[[#This Row],[Voltage]],TMK[[#This Row],[Lowest A-No PTX]])</f>
        <v>DistributionFeederCB13_Rangitata Island11.22300</v>
      </c>
      <c r="BE213" s="9" t="str">
        <f>CONCATENATE(TMK[[#This Row],[Supply Level]],TMK[[#This Row],[Station/Feeder]],TMK[[#This Row],[Voltage]],TMK[[#This Row],[Lowest A-PTX]])</f>
        <v>DistributionFeederCB13_Rangitata Island11.22300</v>
      </c>
      <c r="BF213" s="9">
        <f>IFERROR(IF(MIN(TMK[[#This Row],[Summ Cont Winter A]:[Cable Derating]])=0,"",MIN(TMK[[#This Row],[Summ Cont Winter A]:[Cable Derating]])),"")</f>
        <v>5.8300830182768406</v>
      </c>
      <c r="BG213" s="9">
        <f>IFERROR(TMK[[#This Row],[Lowest MVA]]*1000/(TMK[[#This Row],[Voltage]]*SQRT(3)),"")</f>
        <v>300</v>
      </c>
      <c r="BH213" s="9">
        <f t="shared" si="159"/>
        <v>300</v>
      </c>
      <c r="BI213" s="9" t="str">
        <f>TMK[[#This Row],[From]]</f>
        <v>CB13</v>
      </c>
      <c r="BJ213" s="9" t="str">
        <f>TMK[[#This Row],[To]]</f>
        <v>T435</v>
      </c>
      <c r="BK21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Breaker-RGA_T2-CB13-Protection</v>
      </c>
      <c r="BL213" s="9">
        <f>TMK[[#This Row],[Voltage]]</f>
        <v>11.22</v>
      </c>
    </row>
    <row r="214" spans="1:64" s="1" customFormat="1" x14ac:dyDescent="0.25">
      <c r="A214" s="6" t="str">
        <f>CONCATENATE(TMK[[#This Row],[Supply Level]],TMK[[#This Row],[Station/Feeder]],TMK[[#This Row],[Voltage]])</f>
        <v>DistributionFeederCB13_Rangitata Island11.22</v>
      </c>
      <c r="B214" s="6" t="str">
        <f>CONCATENATE(TMK[[#This Row],[Supply Level]],TMK[[#This Row],[Station/Feeder]],TMK[[#This Row],[Equipment ID]],TMK[[#This Row],[Voltage]],TMK[[#This Row],[Device type]])</f>
        <v>DistributionFeederCB13_Rangitata Island3-1c 400 mm² Al XLPE11.22-</v>
      </c>
      <c r="C214" s="6" t="s">
        <v>1276</v>
      </c>
      <c r="D214" s="11" t="s">
        <v>122</v>
      </c>
      <c r="E214" s="7" t="s">
        <v>611</v>
      </c>
      <c r="F214" s="7" t="s">
        <v>616</v>
      </c>
      <c r="G214" s="56">
        <v>2</v>
      </c>
      <c r="H214" s="7" t="s">
        <v>612</v>
      </c>
      <c r="I214" s="123" t="s">
        <v>559</v>
      </c>
      <c r="J214" s="123" t="s">
        <v>250</v>
      </c>
      <c r="K214" s="46" t="s">
        <v>0</v>
      </c>
      <c r="L214" s="46" t="s">
        <v>0</v>
      </c>
      <c r="M214" s="43">
        <f t="shared" si="153"/>
        <v>11.22</v>
      </c>
      <c r="N214" s="9">
        <v>537</v>
      </c>
      <c r="O214" s="9">
        <f t="shared" si="154"/>
        <v>10.435848602715545</v>
      </c>
      <c r="P214" s="9">
        <v>537</v>
      </c>
      <c r="Q214" s="9">
        <f t="shared" si="155"/>
        <v>10.435848602715545</v>
      </c>
      <c r="R214" s="9">
        <v>537</v>
      </c>
      <c r="S214" s="9">
        <f t="shared" si="156"/>
        <v>10.435848602715545</v>
      </c>
      <c r="T214" s="9" t="s">
        <v>0</v>
      </c>
      <c r="U214" s="9" t="str">
        <f t="shared" si="157"/>
        <v>-</v>
      </c>
      <c r="V214" s="9" t="s">
        <v>0</v>
      </c>
      <c r="W214" s="9" t="str">
        <f t="shared" si="158"/>
        <v>-</v>
      </c>
      <c r="X214" s="9" t="s">
        <v>0</v>
      </c>
      <c r="Y214" s="9" t="str">
        <f t="shared" si="160"/>
        <v>-</v>
      </c>
      <c r="Z214" s="9" t="s">
        <v>0</v>
      </c>
      <c r="AA214" s="9" t="str">
        <f t="shared" si="161"/>
        <v>-</v>
      </c>
      <c r="AB214" s="9" t="s">
        <v>0</v>
      </c>
      <c r="AC214" s="9" t="str">
        <f t="shared" si="162"/>
        <v>-</v>
      </c>
      <c r="AD214" s="9" t="s">
        <v>0</v>
      </c>
      <c r="AE214" s="12" t="str">
        <f t="shared" si="163"/>
        <v>-</v>
      </c>
      <c r="AF214" s="29">
        <v>1</v>
      </c>
      <c r="AG214" s="29" t="s">
        <v>265</v>
      </c>
      <c r="AH214" s="29">
        <v>23.5</v>
      </c>
      <c r="AI214" s="29">
        <v>1</v>
      </c>
      <c r="AJ214" s="32">
        <v>0.98</v>
      </c>
      <c r="AK214" s="29">
        <v>18</v>
      </c>
      <c r="AL214" s="32">
        <v>0.98</v>
      </c>
      <c r="AM214" s="29">
        <v>1.2</v>
      </c>
      <c r="AN214" s="32">
        <v>1</v>
      </c>
      <c r="AO214" s="29">
        <v>3</v>
      </c>
      <c r="AP214" s="29">
        <v>0.55000000000000004</v>
      </c>
      <c r="AQ214" s="32">
        <v>0.83</v>
      </c>
      <c r="AR214" s="2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428.0598839999999</v>
      </c>
      <c r="AS214" s="9">
        <f t="shared" si="120"/>
        <v>8.3187488683798456</v>
      </c>
      <c r="AT214" s="9">
        <f>IF(RIGHT(TMK[[#This Row],[Device type]],7)="Winding","-",TMK[[#This Row],[Cont Winter MVA]])</f>
        <v>10.435848602715545</v>
      </c>
      <c r="AU214" s="9">
        <f>IF(RIGHT(TMK[[#This Row],[Device type]],7)="Winding","-",TMK[[#This Row],[Cont Shoulder MVA]])</f>
        <v>10.435848602715545</v>
      </c>
      <c r="AV214" s="9">
        <f>IF(RIGHT(TMK[[#This Row],[Device type]],7)="Winding","-",TMK[[#This Row],[Cont Summer MVA]])</f>
        <v>10.435848602715545</v>
      </c>
      <c r="AW214" s="9" t="str">
        <f>IF(RIGHT(TMK[[#This Row],[Device type]],7)="Winding","-",TMK[[#This Row],[24 Hr Winter MVA]])</f>
        <v>-</v>
      </c>
      <c r="AX214" s="9" t="str">
        <f>IF(RIGHT(TMK[[#This Row],[Device type]],7)="Winding","-",TMK[[#This Row],[24 Hr Summer MVA]])</f>
        <v>-</v>
      </c>
      <c r="AY214" s="9" t="str">
        <f>TMK[[#This Row],[Forwards MVA]]</f>
        <v>-</v>
      </c>
      <c r="AZ214" s="9" t="str">
        <f>TMK[[#This Row],[Relay MVA]]</f>
        <v>-</v>
      </c>
      <c r="BA214" s="9" t="str">
        <f>TMK[[#This Row],[CT MVA]]</f>
        <v>-</v>
      </c>
      <c r="BB214" s="9">
        <f>TMK[[#This Row],[Derating MVA]]</f>
        <v>8.3187488683798456</v>
      </c>
      <c r="BC214" s="9" t="str">
        <f>TMK[[#This Row],[Station/Feeder]]&amp;TMK[[#This Row],[Lowest MVA]]</f>
        <v>CB13_Rangitata Island8.31874886837985</v>
      </c>
      <c r="BD214" s="9" t="str">
        <f>CONCATENATE(TMK[[#This Row],[Supply Level]],TMK[[#This Row],[Station/Feeder]],TMK[[#This Row],[Voltage]],TMK[[#This Row],[Lowest A-No PTX]])</f>
        <v>DistributionFeederCB13_Rangitata Island11.22428.059884</v>
      </c>
      <c r="BE214" s="9" t="str">
        <f>CONCATENATE(TMK[[#This Row],[Supply Level]],TMK[[#This Row],[Station/Feeder]],TMK[[#This Row],[Voltage]],TMK[[#This Row],[Lowest A-PTX]])</f>
        <v>DistributionFeederCB13_Rangitata Island11.22428.059884</v>
      </c>
      <c r="BF214" s="9">
        <f>IFERROR(IF(MIN(TMK[[#This Row],[Summ Cont Winter A]:[Cable Derating]])=0,"",MIN(TMK[[#This Row],[Summ Cont Winter A]:[Cable Derating]])),"")</f>
        <v>8.3187488683798456</v>
      </c>
      <c r="BG214" s="9">
        <f>IFERROR(TMK[[#This Row],[Lowest MVA]]*1000/(TMK[[#This Row],[Voltage]]*SQRT(3)),"")</f>
        <v>428.0598839999999</v>
      </c>
      <c r="BH214" s="9">
        <f t="shared" si="159"/>
        <v>428.0598839999999</v>
      </c>
      <c r="BI214" s="9" t="str">
        <f>TMK[[#This Row],[From]]</f>
        <v>CB13</v>
      </c>
      <c r="BJ214" s="9" t="str">
        <f>TMK[[#This Row],[To]]</f>
        <v>T435</v>
      </c>
      <c r="BK21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Al XLPE</v>
      </c>
      <c r="BL214" s="9">
        <f>TMK[[#This Row],[Voltage]]</f>
        <v>11.22</v>
      </c>
    </row>
    <row r="215" spans="1:64" s="1" customFormat="1" x14ac:dyDescent="0.25">
      <c r="A215" s="6" t="str">
        <f>CONCATENATE(TMK[[#This Row],[Supply Level]],TMK[[#This Row],[Station/Feeder]],TMK[[#This Row],[Voltage]])</f>
        <v>DistributionFeederCB13_Rangitata Island11.22</v>
      </c>
      <c r="B215" s="6" t="str">
        <f>CONCATENATE(TMK[[#This Row],[Supply Level]],TMK[[#This Row],[Station/Feeder]],TMK[[#This Row],[Equipment ID]],TMK[[#This Row],[Voltage]],TMK[[#This Row],[Device type]])</f>
        <v>DistributionFeederCB13_Rangitata Island1-3c 185 mm² XLPE11.22-</v>
      </c>
      <c r="C215" s="6" t="s">
        <v>1276</v>
      </c>
      <c r="D215" s="11" t="s">
        <v>122</v>
      </c>
      <c r="E215" s="7" t="s">
        <v>611</v>
      </c>
      <c r="F215" s="7" t="s">
        <v>616</v>
      </c>
      <c r="G215" s="56">
        <v>3</v>
      </c>
      <c r="H215" s="7" t="s">
        <v>590</v>
      </c>
      <c r="I215" s="123" t="s">
        <v>593</v>
      </c>
      <c r="J215" s="123" t="s">
        <v>250</v>
      </c>
      <c r="K215" s="46" t="s">
        <v>0</v>
      </c>
      <c r="L215" s="46" t="s">
        <v>0</v>
      </c>
      <c r="M215" s="43">
        <f t="shared" si="153"/>
        <v>11.22</v>
      </c>
      <c r="N215" s="9">
        <v>367</v>
      </c>
      <c r="O215" s="9">
        <f t="shared" si="154"/>
        <v>7.1321348923586685</v>
      </c>
      <c r="P215" s="9">
        <v>367</v>
      </c>
      <c r="Q215" s="9">
        <f t="shared" si="155"/>
        <v>7.1321348923586685</v>
      </c>
      <c r="R215" s="9">
        <v>367</v>
      </c>
      <c r="S215" s="9">
        <f t="shared" si="156"/>
        <v>7.1321348923586685</v>
      </c>
      <c r="T215" s="9" t="s">
        <v>0</v>
      </c>
      <c r="U215" s="9" t="str">
        <f t="shared" si="157"/>
        <v>-</v>
      </c>
      <c r="V215" s="9" t="s">
        <v>0</v>
      </c>
      <c r="W215" s="9" t="str">
        <f t="shared" si="158"/>
        <v>-</v>
      </c>
      <c r="X215" s="9" t="s">
        <v>0</v>
      </c>
      <c r="Y215" s="9" t="str">
        <f t="shared" si="160"/>
        <v>-</v>
      </c>
      <c r="Z215" s="9" t="s">
        <v>0</v>
      </c>
      <c r="AA215" s="9" t="str">
        <f t="shared" si="161"/>
        <v>-</v>
      </c>
      <c r="AB215" s="9" t="s">
        <v>0</v>
      </c>
      <c r="AC215" s="9" t="str">
        <f t="shared" si="162"/>
        <v>-</v>
      </c>
      <c r="AD215" s="9" t="s">
        <v>0</v>
      </c>
      <c r="AE215" s="12" t="str">
        <f t="shared" si="163"/>
        <v>-</v>
      </c>
      <c r="AF215" s="29">
        <v>3</v>
      </c>
      <c r="AG215" s="29" t="s">
        <v>265</v>
      </c>
      <c r="AH215" s="9">
        <v>44.6</v>
      </c>
      <c r="AI215" s="29">
        <v>0.9</v>
      </c>
      <c r="AJ215" s="32">
        <v>0.99</v>
      </c>
      <c r="AK215" s="29">
        <v>18</v>
      </c>
      <c r="AL215" s="32">
        <v>0.98</v>
      </c>
      <c r="AM215" s="29">
        <v>1.5</v>
      </c>
      <c r="AN215" s="32">
        <v>0.95</v>
      </c>
      <c r="AO215" s="29">
        <v>4</v>
      </c>
      <c r="AP215" s="32">
        <v>0.45</v>
      </c>
      <c r="AQ215" s="32">
        <v>0.8</v>
      </c>
      <c r="AR215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270.60818399999999</v>
      </c>
      <c r="AS215" s="9">
        <f t="shared" si="120"/>
        <v>5.2588939271504485</v>
      </c>
      <c r="AT215" s="9">
        <f>IF(RIGHT(TMK[[#This Row],[Device type]],7)="Winding","-",TMK[[#This Row],[Cont Winter MVA]])</f>
        <v>7.1321348923586685</v>
      </c>
      <c r="AU215" s="9">
        <f>IF(RIGHT(TMK[[#This Row],[Device type]],7)="Winding","-",TMK[[#This Row],[Cont Shoulder MVA]])</f>
        <v>7.1321348923586685</v>
      </c>
      <c r="AV215" s="9">
        <f>IF(RIGHT(TMK[[#This Row],[Device type]],7)="Winding","-",TMK[[#This Row],[Cont Summer MVA]])</f>
        <v>7.1321348923586685</v>
      </c>
      <c r="AW215" s="9" t="str">
        <f>IF(RIGHT(TMK[[#This Row],[Device type]],7)="Winding","-",TMK[[#This Row],[24 Hr Winter MVA]])</f>
        <v>-</v>
      </c>
      <c r="AX215" s="9" t="str">
        <f>IF(RIGHT(TMK[[#This Row],[Device type]],7)="Winding","-",TMK[[#This Row],[24 Hr Summer MVA]])</f>
        <v>-</v>
      </c>
      <c r="AY215" s="9" t="str">
        <f>TMK[[#This Row],[Forwards MVA]]</f>
        <v>-</v>
      </c>
      <c r="AZ215" s="9" t="str">
        <f>TMK[[#This Row],[Relay MVA]]</f>
        <v>-</v>
      </c>
      <c r="BA215" s="9" t="str">
        <f>TMK[[#This Row],[CT MVA]]</f>
        <v>-</v>
      </c>
      <c r="BB215" s="9">
        <f>TMK[[#This Row],[Derating MVA]]</f>
        <v>5.2588939271504485</v>
      </c>
      <c r="BC215" s="9" t="str">
        <f>TMK[[#This Row],[Station/Feeder]]&amp;TMK[[#This Row],[Lowest MVA]]</f>
        <v>CB13_Rangitata Island5.25889392715045</v>
      </c>
      <c r="BD215" s="9" t="str">
        <f>CONCATENATE(TMK[[#This Row],[Supply Level]],TMK[[#This Row],[Station/Feeder]],TMK[[#This Row],[Voltage]],TMK[[#This Row],[Lowest A-No PTX]])</f>
        <v>DistributionFeederCB13_Rangitata Island11.22270.608184</v>
      </c>
      <c r="BE215" s="9" t="str">
        <f>CONCATENATE(TMK[[#This Row],[Supply Level]],TMK[[#This Row],[Station/Feeder]],TMK[[#This Row],[Voltage]],TMK[[#This Row],[Lowest A-PTX]])</f>
        <v>DistributionFeederCB13_Rangitata Island11.22270.608184</v>
      </c>
      <c r="BF215" s="9">
        <f>IFERROR(IF(MIN(TMK[[#This Row],[Summ Cont Winter A]:[Cable Derating]])=0,"",MIN(TMK[[#This Row],[Summ Cont Winter A]:[Cable Derating]])),"")</f>
        <v>5.2588939271504485</v>
      </c>
      <c r="BG215" s="9">
        <f>IFERROR(TMK[[#This Row],[Lowest MVA]]*1000/(TMK[[#This Row],[Voltage]]*SQRT(3)),"")</f>
        <v>270.60818399999999</v>
      </c>
      <c r="BH215" s="9">
        <f t="shared" si="159"/>
        <v>270.60818399999999</v>
      </c>
      <c r="BI215" s="9" t="str">
        <f>TMK[[#This Row],[From]]</f>
        <v>CB13</v>
      </c>
      <c r="BJ215" s="9" t="str">
        <f>TMK[[#This Row],[To]]</f>
        <v>T435</v>
      </c>
      <c r="BK21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185 mm² XLPE</v>
      </c>
      <c r="BL215" s="9">
        <f>TMK[[#This Row],[Voltage]]</f>
        <v>11.22</v>
      </c>
    </row>
    <row r="216" spans="1:64" s="1" customFormat="1" x14ac:dyDescent="0.25">
      <c r="A216" s="6" t="str">
        <f>CONCATENATE(TMK[[#This Row],[Supply Level]],TMK[[#This Row],[Station/Feeder]],TMK[[#This Row],[Voltage]])</f>
        <v>DistributionFeederCB13_Rangitata Island11.22</v>
      </c>
      <c r="B216" s="6" t="str">
        <f>CONCATENATE(TMK[[#This Row],[Supply Level]],TMK[[#This Row],[Station/Feeder]],TMK[[#This Row],[Equipment ID]],TMK[[#This Row],[Voltage]],TMK[[#This Row],[Device type]])</f>
        <v>DistributionFeederCB13_Rangitata IslandDOG11.22-</v>
      </c>
      <c r="C216" s="6" t="s">
        <v>1276</v>
      </c>
      <c r="D216" s="11" t="s">
        <v>122</v>
      </c>
      <c r="E216" s="7" t="s">
        <v>616</v>
      </c>
      <c r="F216" s="7" t="s">
        <v>617</v>
      </c>
      <c r="G216" s="56">
        <v>4</v>
      </c>
      <c r="H216" s="7" t="s">
        <v>1289</v>
      </c>
      <c r="I216" s="123" t="s">
        <v>318</v>
      </c>
      <c r="J216" s="123" t="s">
        <v>69</v>
      </c>
      <c r="K216" s="46" t="s">
        <v>0</v>
      </c>
      <c r="L216" s="46" t="s">
        <v>0</v>
      </c>
      <c r="M216" s="43">
        <f t="shared" si="153"/>
        <v>11.22</v>
      </c>
      <c r="N216" s="9">
        <v>343.69342642524197</v>
      </c>
      <c r="O216" s="9">
        <f t="shared" si="154"/>
        <v>6.679204029650613</v>
      </c>
      <c r="P216" s="9" t="s">
        <v>0</v>
      </c>
      <c r="Q216" s="9" t="str">
        <f t="shared" si="155"/>
        <v>-</v>
      </c>
      <c r="R216" s="9">
        <v>256.85852310343915</v>
      </c>
      <c r="S216" s="9">
        <f t="shared" si="156"/>
        <v>4.9916883788167672</v>
      </c>
      <c r="T216" s="9" t="s">
        <v>0</v>
      </c>
      <c r="U216" s="9" t="str">
        <f t="shared" si="157"/>
        <v>-</v>
      </c>
      <c r="V216" s="9" t="s">
        <v>0</v>
      </c>
      <c r="W216" s="9" t="str">
        <f t="shared" si="158"/>
        <v>-</v>
      </c>
      <c r="X216" s="9" t="s">
        <v>0</v>
      </c>
      <c r="Y216" s="9" t="str">
        <f t="shared" si="160"/>
        <v>-</v>
      </c>
      <c r="Z216" s="9" t="s">
        <v>0</v>
      </c>
      <c r="AA216" s="9" t="str">
        <f t="shared" si="161"/>
        <v>-</v>
      </c>
      <c r="AB216" s="9" t="s">
        <v>0</v>
      </c>
      <c r="AC216" s="9" t="str">
        <f t="shared" si="162"/>
        <v>-</v>
      </c>
      <c r="AD216" s="9" t="s">
        <v>0</v>
      </c>
      <c r="AE216" s="12" t="str">
        <f t="shared" si="163"/>
        <v>-</v>
      </c>
      <c r="AF216" s="9" t="s">
        <v>0</v>
      </c>
      <c r="AG216" s="9" t="s">
        <v>0</v>
      </c>
      <c r="AH216" s="9">
        <v>172</v>
      </c>
      <c r="AI216" s="9" t="s">
        <v>0</v>
      </c>
      <c r="AJ216" s="43" t="s">
        <v>0</v>
      </c>
      <c r="AK216" s="9" t="s">
        <v>0</v>
      </c>
      <c r="AL216" s="43" t="s">
        <v>0</v>
      </c>
      <c r="AM216" s="9" t="s">
        <v>0</v>
      </c>
      <c r="AN216" s="43" t="s">
        <v>0</v>
      </c>
      <c r="AO216" s="9" t="s">
        <v>0</v>
      </c>
      <c r="AP216" s="9" t="s">
        <v>0</v>
      </c>
      <c r="AQ216" s="43" t="s">
        <v>0</v>
      </c>
      <c r="AR216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16" s="9" t="str">
        <f t="shared" si="120"/>
        <v>-</v>
      </c>
      <c r="AT216" s="9">
        <f>IF(RIGHT(TMK[[#This Row],[Device type]],7)="Winding","-",TMK[[#This Row],[Cont Winter MVA]])</f>
        <v>6.679204029650613</v>
      </c>
      <c r="AU216" s="9" t="str">
        <f>IF(RIGHT(TMK[[#This Row],[Device type]],7)="Winding","-",TMK[[#This Row],[Cont Shoulder MVA]])</f>
        <v>-</v>
      </c>
      <c r="AV216" s="9">
        <f>IF(RIGHT(TMK[[#This Row],[Device type]],7)="Winding","-",TMK[[#This Row],[Cont Summer MVA]])</f>
        <v>4.9916883788167672</v>
      </c>
      <c r="AW216" s="9" t="str">
        <f>IF(RIGHT(TMK[[#This Row],[Device type]],7)="Winding","-",TMK[[#This Row],[24 Hr Winter MVA]])</f>
        <v>-</v>
      </c>
      <c r="AX216" s="9" t="str">
        <f>IF(RIGHT(TMK[[#This Row],[Device type]],7)="Winding","-",TMK[[#This Row],[24 Hr Summer MVA]])</f>
        <v>-</v>
      </c>
      <c r="AY216" s="9" t="str">
        <f>TMK[[#This Row],[Forwards MVA]]</f>
        <v>-</v>
      </c>
      <c r="AZ216" s="9" t="str">
        <f>TMK[[#This Row],[Relay MVA]]</f>
        <v>-</v>
      </c>
      <c r="BA216" s="9" t="str">
        <f>TMK[[#This Row],[CT MVA]]</f>
        <v>-</v>
      </c>
      <c r="BB216" s="9" t="str">
        <f>TMK[[#This Row],[Derating MVA]]</f>
        <v>-</v>
      </c>
      <c r="BC216" s="9" t="str">
        <f>TMK[[#This Row],[Station/Feeder]]&amp;TMK[[#This Row],[Lowest MVA]]</f>
        <v>CB13_Rangitata Island4.99168837881677</v>
      </c>
      <c r="BD216" s="9" t="str">
        <f>CONCATENATE(TMK[[#This Row],[Supply Level]],TMK[[#This Row],[Station/Feeder]],TMK[[#This Row],[Voltage]],TMK[[#This Row],[Lowest A-No PTX]])</f>
        <v>DistributionFeederCB13_Rangitata Island11.22256.858523103439</v>
      </c>
      <c r="BE216" s="9" t="str">
        <f>CONCATENATE(TMK[[#This Row],[Supply Level]],TMK[[#This Row],[Station/Feeder]],TMK[[#This Row],[Voltage]],TMK[[#This Row],[Lowest A-PTX]])</f>
        <v>DistributionFeederCB13_Rangitata Island11.22256.858523103439</v>
      </c>
      <c r="BF216" s="9">
        <f>IFERROR(IF(MIN(TMK[[#This Row],[Summ Cont Winter A]:[Cable Derating]])=0,"",MIN(TMK[[#This Row],[Summ Cont Winter A]:[Cable Derating]])),"")</f>
        <v>4.9916883788167672</v>
      </c>
      <c r="BG216" s="9">
        <f>IFERROR(TMK[[#This Row],[Lowest MVA]]*1000/(TMK[[#This Row],[Voltage]]*SQRT(3)),"")</f>
        <v>256.85852310343915</v>
      </c>
      <c r="BH216" s="9">
        <f t="shared" si="159"/>
        <v>256.85852310343915</v>
      </c>
      <c r="BI216" s="9" t="str">
        <f>TMK[[#This Row],[From]]</f>
        <v>T435</v>
      </c>
      <c r="BJ216" s="9" t="str">
        <f>TMK[[#This Row],[To]]</f>
        <v>T596</v>
      </c>
      <c r="BK21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216" s="9">
        <f>TMK[[#This Row],[Voltage]]</f>
        <v>11.22</v>
      </c>
    </row>
    <row r="217" spans="1:64" s="1" customFormat="1" x14ac:dyDescent="0.25">
      <c r="A217" s="6" t="str">
        <f>CONCATENATE(TMK[[#This Row],[Supply Level]],TMK[[#This Row],[Station/Feeder]],TMK[[#This Row],[Voltage]])</f>
        <v>DistributionFeederCB13_Rangitata Island11.22</v>
      </c>
      <c r="B217" s="6" t="str">
        <f>CONCATENATE(TMK[[#This Row],[Supply Level]],TMK[[#This Row],[Station/Feeder]],TMK[[#This Row],[Equipment ID]],TMK[[#This Row],[Voltage]],TMK[[#This Row],[Device type]])</f>
        <v>DistributionFeederCB13_Rangitata IslandT59611.22-</v>
      </c>
      <c r="C217" s="6" t="s">
        <v>1276</v>
      </c>
      <c r="D217" s="11" t="s">
        <v>122</v>
      </c>
      <c r="E217" s="7" t="s">
        <v>616</v>
      </c>
      <c r="F217" s="7" t="s">
        <v>617</v>
      </c>
      <c r="G217" s="56">
        <v>5</v>
      </c>
      <c r="H217" s="7" t="s">
        <v>273</v>
      </c>
      <c r="I217" s="123" t="s">
        <v>617</v>
      </c>
      <c r="J217" s="123" t="s">
        <v>249</v>
      </c>
      <c r="K217" s="46" t="s">
        <v>0</v>
      </c>
      <c r="L217" s="46" t="s">
        <v>0</v>
      </c>
      <c r="M217" s="43">
        <f t="shared" si="153"/>
        <v>11.22</v>
      </c>
      <c r="N217" s="9">
        <v>300</v>
      </c>
      <c r="O217" s="9">
        <f t="shared" si="154"/>
        <v>5.8300830182768406</v>
      </c>
      <c r="P217" s="9">
        <v>300</v>
      </c>
      <c r="Q217" s="9">
        <f t="shared" si="155"/>
        <v>5.8300830182768406</v>
      </c>
      <c r="R217" s="9">
        <v>300</v>
      </c>
      <c r="S217" s="9">
        <f t="shared" si="156"/>
        <v>5.8300830182768406</v>
      </c>
      <c r="T217" s="9" t="s">
        <v>0</v>
      </c>
      <c r="U217" s="9" t="str">
        <f t="shared" si="157"/>
        <v>-</v>
      </c>
      <c r="V217" s="9" t="s">
        <v>0</v>
      </c>
      <c r="W217" s="9" t="str">
        <f t="shared" si="158"/>
        <v>-</v>
      </c>
      <c r="X217" s="9" t="s">
        <v>0</v>
      </c>
      <c r="Y217" s="9" t="str">
        <f t="shared" si="160"/>
        <v>-</v>
      </c>
      <c r="Z217" s="9" t="s">
        <v>0</v>
      </c>
      <c r="AA217" s="9" t="str">
        <f t="shared" si="161"/>
        <v>-</v>
      </c>
      <c r="AB217" s="9" t="s">
        <v>0</v>
      </c>
      <c r="AC217" s="9" t="str">
        <f t="shared" si="162"/>
        <v>-</v>
      </c>
      <c r="AD217" s="9" t="s">
        <v>0</v>
      </c>
      <c r="AE217" s="12" t="str">
        <f t="shared" si="163"/>
        <v>-</v>
      </c>
      <c r="AF217" s="9" t="s">
        <v>0</v>
      </c>
      <c r="AG217" s="9" t="s">
        <v>0</v>
      </c>
      <c r="AH217" s="9" t="s">
        <v>0</v>
      </c>
      <c r="AI217" s="9" t="s">
        <v>0</v>
      </c>
      <c r="AJ217" s="43" t="s">
        <v>0</v>
      </c>
      <c r="AK217" s="29" t="s">
        <v>0</v>
      </c>
      <c r="AL217" s="32" t="s">
        <v>0</v>
      </c>
      <c r="AM217" s="29" t="s">
        <v>0</v>
      </c>
      <c r="AN217" s="32" t="s">
        <v>0</v>
      </c>
      <c r="AO217" s="29" t="s">
        <v>0</v>
      </c>
      <c r="AP217" s="32" t="s">
        <v>0</v>
      </c>
      <c r="AQ217" s="32" t="s">
        <v>0</v>
      </c>
      <c r="AR217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17" s="9" t="str">
        <f t="shared" si="164"/>
        <v>-</v>
      </c>
      <c r="AT217" s="9">
        <f>IF(RIGHT(TMK[[#This Row],[Device type]],7)="Winding","-",TMK[[#This Row],[Cont Winter MVA]])</f>
        <v>5.8300830182768406</v>
      </c>
      <c r="AU217" s="9">
        <f>IF(RIGHT(TMK[[#This Row],[Device type]],7)="Winding","-",TMK[[#This Row],[Cont Shoulder MVA]])</f>
        <v>5.8300830182768406</v>
      </c>
      <c r="AV217" s="9">
        <f>IF(RIGHT(TMK[[#This Row],[Device type]],7)="Winding","-",TMK[[#This Row],[Cont Summer MVA]])</f>
        <v>5.8300830182768406</v>
      </c>
      <c r="AW217" s="9" t="str">
        <f>IF(RIGHT(TMK[[#This Row],[Device type]],7)="Winding","-",TMK[[#This Row],[24 Hr Winter MVA]])</f>
        <v>-</v>
      </c>
      <c r="AX217" s="9" t="str">
        <f>IF(RIGHT(TMK[[#This Row],[Device type]],7)="Winding","-",TMK[[#This Row],[24 Hr Summer MVA]])</f>
        <v>-</v>
      </c>
      <c r="AY217" s="9" t="str">
        <f>TMK[[#This Row],[Forwards MVA]]</f>
        <v>-</v>
      </c>
      <c r="AZ217" s="9" t="str">
        <f>TMK[[#This Row],[Relay MVA]]</f>
        <v>-</v>
      </c>
      <c r="BA217" s="9" t="str">
        <f>TMK[[#This Row],[CT MVA]]</f>
        <v>-</v>
      </c>
      <c r="BB217" s="9" t="str">
        <f>TMK[[#This Row],[Derating MVA]]</f>
        <v>-</v>
      </c>
      <c r="BC217" s="9" t="str">
        <f>TMK[[#This Row],[Station/Feeder]]&amp;TMK[[#This Row],[Lowest MVA]]</f>
        <v>CB13_Rangitata Island5.83008301827684</v>
      </c>
      <c r="BD217" s="9" t="str">
        <f>CONCATENATE(TMK[[#This Row],[Supply Level]],TMK[[#This Row],[Station/Feeder]],TMK[[#This Row],[Voltage]],TMK[[#This Row],[Lowest A-No PTX]])</f>
        <v>DistributionFeederCB13_Rangitata Island11.22300</v>
      </c>
      <c r="BE217" s="9" t="str">
        <f>CONCATENATE(TMK[[#This Row],[Supply Level]],TMK[[#This Row],[Station/Feeder]],TMK[[#This Row],[Voltage]],TMK[[#This Row],[Lowest A-PTX]])</f>
        <v>DistributionFeederCB13_Rangitata Island11.22300</v>
      </c>
      <c r="BF217" s="9">
        <f>IFERROR(IF(MIN(TMK[[#This Row],[Summ Cont Winter A]:[Cable Derating]])=0,"",MIN(TMK[[#This Row],[Summ Cont Winter A]:[Cable Derating]])),"")</f>
        <v>5.8300830182768406</v>
      </c>
      <c r="BG217" s="9">
        <f>IFERROR(TMK[[#This Row],[Lowest MVA]]*1000/(TMK[[#This Row],[Voltage]]*SQRT(3)),"")</f>
        <v>300</v>
      </c>
      <c r="BH217" s="9">
        <f t="shared" si="159"/>
        <v>300</v>
      </c>
      <c r="BI217" s="9" t="str">
        <f>TMK[[#This Row],[From]]</f>
        <v>T435</v>
      </c>
      <c r="BJ217" s="9" t="str">
        <f>TMK[[#This Row],[To]]</f>
        <v>T596</v>
      </c>
      <c r="BK21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Link-T596</v>
      </c>
      <c r="BL217" s="9">
        <f>TMK[[#This Row],[Voltage]]</f>
        <v>11.22</v>
      </c>
    </row>
    <row r="218" spans="1:64" s="1" customFormat="1" ht="15.75" thickBot="1" x14ac:dyDescent="0.3">
      <c r="A218" s="191" t="str">
        <f>CONCATENATE(TMK[[#This Row],[Supply Level]],TMK[[#This Row],[Station/Feeder]],TMK[[#This Row],[Voltage]])</f>
        <v>DistributionFeederCB13_Rangitata Island11.22</v>
      </c>
      <c r="B218" s="191" t="str">
        <f>CONCATENATE(TMK[[#This Row],[Supply Level]],TMK[[#This Row],[Station/Feeder]],TMK[[#This Row],[Equipment ID]],TMK[[#This Row],[Voltage]],TMK[[#This Row],[Device type]])</f>
        <v>DistributionFeederCB13_Rangitata IslandDOG11.22-</v>
      </c>
      <c r="C218" s="191" t="s">
        <v>1276</v>
      </c>
      <c r="D218" s="192" t="s">
        <v>122</v>
      </c>
      <c r="E218" s="193" t="s">
        <v>616</v>
      </c>
      <c r="F218" s="193" t="s">
        <v>617</v>
      </c>
      <c r="G218" s="194">
        <v>6</v>
      </c>
      <c r="H218" s="193" t="s">
        <v>1289</v>
      </c>
      <c r="I218" s="205" t="s">
        <v>318</v>
      </c>
      <c r="J218" s="205" t="s">
        <v>69</v>
      </c>
      <c r="K218" s="196" t="s">
        <v>0</v>
      </c>
      <c r="L218" s="196" t="s">
        <v>0</v>
      </c>
      <c r="M218" s="175">
        <f t="shared" si="153"/>
        <v>11.22</v>
      </c>
      <c r="N218" s="155">
        <v>343.69342642524197</v>
      </c>
      <c r="O218" s="155">
        <f t="shared" si="154"/>
        <v>6.679204029650613</v>
      </c>
      <c r="P218" s="155" t="s">
        <v>0</v>
      </c>
      <c r="Q218" s="155" t="str">
        <f t="shared" si="155"/>
        <v>-</v>
      </c>
      <c r="R218" s="155">
        <v>256.85852310343915</v>
      </c>
      <c r="S218" s="155">
        <f t="shared" si="156"/>
        <v>4.9916883788167672</v>
      </c>
      <c r="T218" s="155" t="s">
        <v>0</v>
      </c>
      <c r="U218" s="155" t="str">
        <f t="shared" si="157"/>
        <v>-</v>
      </c>
      <c r="V218" s="155" t="s">
        <v>0</v>
      </c>
      <c r="W218" s="155" t="str">
        <f t="shared" si="158"/>
        <v>-</v>
      </c>
      <c r="X218" s="155" t="s">
        <v>0</v>
      </c>
      <c r="Y218" s="155" t="str">
        <f t="shared" si="160"/>
        <v>-</v>
      </c>
      <c r="Z218" s="155" t="s">
        <v>0</v>
      </c>
      <c r="AA218" s="155" t="str">
        <f t="shared" si="161"/>
        <v>-</v>
      </c>
      <c r="AB218" s="155" t="s">
        <v>0</v>
      </c>
      <c r="AC218" s="155" t="str">
        <f t="shared" si="162"/>
        <v>-</v>
      </c>
      <c r="AD218" s="155" t="s">
        <v>0</v>
      </c>
      <c r="AE218" s="195" t="str">
        <f t="shared" si="163"/>
        <v>-</v>
      </c>
      <c r="AF218" s="155" t="s">
        <v>0</v>
      </c>
      <c r="AG218" s="155" t="s">
        <v>0</v>
      </c>
      <c r="AH218" s="155">
        <v>1536.36</v>
      </c>
      <c r="AI218" s="155" t="s">
        <v>0</v>
      </c>
      <c r="AJ218" s="175" t="s">
        <v>0</v>
      </c>
      <c r="AK218" s="155" t="s">
        <v>0</v>
      </c>
      <c r="AL218" s="175" t="s">
        <v>0</v>
      </c>
      <c r="AM218" s="155" t="s">
        <v>0</v>
      </c>
      <c r="AN218" s="175" t="s">
        <v>0</v>
      </c>
      <c r="AO218" s="155" t="s">
        <v>0</v>
      </c>
      <c r="AP218" s="155" t="s">
        <v>0</v>
      </c>
      <c r="AQ218" s="175" t="s">
        <v>0</v>
      </c>
      <c r="AR218" s="155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18" s="155" t="str">
        <f t="shared" si="120"/>
        <v>-</v>
      </c>
      <c r="AT218" s="155">
        <f>IF(RIGHT(TMK[[#This Row],[Device type]],7)="Winding","-",TMK[[#This Row],[Cont Winter MVA]])</f>
        <v>6.679204029650613</v>
      </c>
      <c r="AU218" s="155" t="str">
        <f>IF(RIGHT(TMK[[#This Row],[Device type]],7)="Winding","-",TMK[[#This Row],[Cont Shoulder MVA]])</f>
        <v>-</v>
      </c>
      <c r="AV218" s="155">
        <f>IF(RIGHT(TMK[[#This Row],[Device type]],7)="Winding","-",TMK[[#This Row],[Cont Summer MVA]])</f>
        <v>4.9916883788167672</v>
      </c>
      <c r="AW218" s="155" t="str">
        <f>IF(RIGHT(TMK[[#This Row],[Device type]],7)="Winding","-",TMK[[#This Row],[24 Hr Winter MVA]])</f>
        <v>-</v>
      </c>
      <c r="AX218" s="155" t="str">
        <f>IF(RIGHT(TMK[[#This Row],[Device type]],7)="Winding","-",TMK[[#This Row],[24 Hr Summer MVA]])</f>
        <v>-</v>
      </c>
      <c r="AY218" s="155" t="str">
        <f>TMK[[#This Row],[Forwards MVA]]</f>
        <v>-</v>
      </c>
      <c r="AZ218" s="155" t="str">
        <f>TMK[[#This Row],[Relay MVA]]</f>
        <v>-</v>
      </c>
      <c r="BA218" s="155" t="str">
        <f>TMK[[#This Row],[CT MVA]]</f>
        <v>-</v>
      </c>
      <c r="BB218" s="155" t="str">
        <f>TMK[[#This Row],[Derating MVA]]</f>
        <v>-</v>
      </c>
      <c r="BC218" s="155" t="str">
        <f>TMK[[#This Row],[Station/Feeder]]&amp;TMK[[#This Row],[Lowest MVA]]</f>
        <v>CB13_Rangitata Island4.99168837881677</v>
      </c>
      <c r="BD218" s="155" t="str">
        <f>CONCATENATE(TMK[[#This Row],[Supply Level]],TMK[[#This Row],[Station/Feeder]],TMK[[#This Row],[Voltage]],TMK[[#This Row],[Lowest A-No PTX]])</f>
        <v>DistributionFeederCB13_Rangitata Island11.22256.858523103439</v>
      </c>
      <c r="BE218" s="155" t="str">
        <f>CONCATENATE(TMK[[#This Row],[Supply Level]],TMK[[#This Row],[Station/Feeder]],TMK[[#This Row],[Voltage]],TMK[[#This Row],[Lowest A-PTX]])</f>
        <v>DistributionFeederCB13_Rangitata Island11.22256.858523103439</v>
      </c>
      <c r="BF218" s="155">
        <f>IFERROR(IF(MIN(TMK[[#This Row],[Summ Cont Winter A]:[Cable Derating]])=0,"",MIN(TMK[[#This Row],[Summ Cont Winter A]:[Cable Derating]])),"")</f>
        <v>4.9916883788167672</v>
      </c>
      <c r="BG218" s="155">
        <f>IFERROR(TMK[[#This Row],[Lowest MVA]]*1000/(TMK[[#This Row],[Voltage]]*SQRT(3)),"")</f>
        <v>256.85852310343915</v>
      </c>
      <c r="BH218" s="155">
        <f t="shared" si="159"/>
        <v>256.85852310343915</v>
      </c>
      <c r="BI218" s="155" t="str">
        <f>TMK[[#This Row],[From]]</f>
        <v>T435</v>
      </c>
      <c r="BJ218" s="155" t="str">
        <f>TMK[[#This Row],[To]]</f>
        <v>T596</v>
      </c>
      <c r="BK218" s="19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Line-DOG</v>
      </c>
      <c r="BL218" s="155">
        <f>TMK[[#This Row],[Voltage]]</f>
        <v>11.22</v>
      </c>
    </row>
    <row r="219" spans="1:64" s="1" customFormat="1" ht="15" customHeight="1" x14ac:dyDescent="0.25">
      <c r="A219" s="6" t="str">
        <f>CONCATENATE(TMK[[#This Row],[Supply Level]],TMK[[#This Row],[Station/Feeder]],TMK[[#This Row],[Voltage]])</f>
        <v>SwitchingStationCNL-RGA33.594</v>
      </c>
      <c r="B219" s="6" t="s">
        <v>2654</v>
      </c>
      <c r="C219" s="6" t="s">
        <v>1274</v>
      </c>
      <c r="D219" s="11" t="s">
        <v>2708</v>
      </c>
      <c r="E219" s="7" t="s">
        <v>558</v>
      </c>
      <c r="F219" s="7" t="s">
        <v>582</v>
      </c>
      <c r="G219" s="56">
        <v>5</v>
      </c>
      <c r="H219" s="7" t="s">
        <v>626</v>
      </c>
      <c r="I219" s="123" t="s">
        <v>2665</v>
      </c>
      <c r="J219" s="123" t="s">
        <v>2664</v>
      </c>
      <c r="K219" s="46" t="s">
        <v>0</v>
      </c>
      <c r="L219" s="46" t="s">
        <v>0</v>
      </c>
      <c r="M219" s="43">
        <v>33.594000000000001</v>
      </c>
      <c r="N219" s="9">
        <v>171.86112674573607</v>
      </c>
      <c r="O219" s="9">
        <f t="shared" si="154"/>
        <v>10</v>
      </c>
      <c r="P219" s="9">
        <v>171.86112674573607</v>
      </c>
      <c r="Q219" s="9">
        <f t="shared" si="155"/>
        <v>10</v>
      </c>
      <c r="R219" s="9">
        <v>171.86112674573607</v>
      </c>
      <c r="S219" s="9">
        <f t="shared" si="156"/>
        <v>10</v>
      </c>
      <c r="T219" s="9" t="s">
        <v>0</v>
      </c>
      <c r="U219" s="9" t="str">
        <f t="shared" si="157"/>
        <v>-</v>
      </c>
      <c r="V219" s="9" t="s">
        <v>0</v>
      </c>
      <c r="W219" s="9" t="str">
        <f t="shared" si="158"/>
        <v>-</v>
      </c>
      <c r="X219" s="9" t="s">
        <v>0</v>
      </c>
      <c r="Y219" s="9" t="s">
        <v>0</v>
      </c>
      <c r="Z219" s="9" t="s">
        <v>0</v>
      </c>
      <c r="AA219" s="9" t="s">
        <v>0</v>
      </c>
      <c r="AB219" s="9" t="s">
        <v>0</v>
      </c>
      <c r="AC219" s="9" t="s">
        <v>0</v>
      </c>
      <c r="AD219" s="9" t="s">
        <v>0</v>
      </c>
      <c r="AE219" s="12" t="s">
        <v>0</v>
      </c>
      <c r="AF219" s="9" t="s">
        <v>0</v>
      </c>
      <c r="AG219" s="9" t="s">
        <v>0</v>
      </c>
      <c r="AH219" s="9" t="s">
        <v>0</v>
      </c>
      <c r="AI219" s="9" t="s">
        <v>0</v>
      </c>
      <c r="AJ219" s="43" t="s">
        <v>0</v>
      </c>
      <c r="AK219" s="29" t="s">
        <v>0</v>
      </c>
      <c r="AL219" s="32" t="s">
        <v>0</v>
      </c>
      <c r="AM219" s="29" t="s">
        <v>0</v>
      </c>
      <c r="AN219" s="32" t="s">
        <v>0</v>
      </c>
      <c r="AO219" s="29" t="s">
        <v>0</v>
      </c>
      <c r="AP219" s="32" t="s">
        <v>0</v>
      </c>
      <c r="AQ219" s="32" t="s">
        <v>0</v>
      </c>
      <c r="AR219" s="9" t="s">
        <v>0</v>
      </c>
      <c r="AS219" s="9" t="s">
        <v>0</v>
      </c>
      <c r="AT219" s="9">
        <v>10</v>
      </c>
      <c r="AU219" s="9">
        <v>10</v>
      </c>
      <c r="AV219" s="9">
        <v>10</v>
      </c>
      <c r="AW219" s="9" t="s">
        <v>0</v>
      </c>
      <c r="AX219" s="9" t="s">
        <v>0</v>
      </c>
      <c r="AY219" s="9" t="s">
        <v>0</v>
      </c>
      <c r="AZ219" s="9" t="s">
        <v>0</v>
      </c>
      <c r="BA219" s="9" t="s">
        <v>0</v>
      </c>
      <c r="BB219" s="9" t="s">
        <v>0</v>
      </c>
      <c r="BC219" s="9" t="s">
        <v>2655</v>
      </c>
      <c r="BD219" s="9" t="str">
        <f>CONCATENATE(TMK[[#This Row],[Supply Level]],TMK[[#This Row],[Station/Feeder]],TMK[[#This Row],[Voltage]],TMK[[#This Row],[Lowest A-No PTX]])</f>
        <v>SwitchingStationCNL-RGA33.594171.861126745736</v>
      </c>
      <c r="BE219" s="9" t="str">
        <f>CONCATENATE(TMK[[#This Row],[Supply Level]],TMK[[#This Row],[Station/Feeder]],TMK[[#This Row],[Voltage]],TMK[[#This Row],[Lowest A-PTX]])</f>
        <v>SwitchingStationCNL-RGA33.594171.861126745736</v>
      </c>
      <c r="BF219" s="9">
        <f>IFERROR(IF(MIN(TMK[[#This Row],[Summ Cont Winter A]:[Cable Derating]])=0,"",MIN(TMK[[#This Row],[Summ Cont Winter A]:[Cable Derating]])),"")</f>
        <v>10</v>
      </c>
      <c r="BG219" s="9">
        <f>IFERROR(TMK[[#This Row],[Lowest MVA]]*1000/(TMK[[#This Row],[Voltage]]*SQRT(3)),"")</f>
        <v>171.86112674573607</v>
      </c>
      <c r="BH219" s="9">
        <f t="shared" si="159"/>
        <v>171.86112674573607</v>
      </c>
      <c r="BI219" s="9" t="s">
        <v>558</v>
      </c>
      <c r="BJ219" s="9" t="s">
        <v>582</v>
      </c>
      <c r="BK21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AEL-Fonterra Contractual-10 MW Limit</v>
      </c>
      <c r="BL219" s="9">
        <v>33.594000000000001</v>
      </c>
    </row>
    <row r="220" spans="1:64" s="1" customFormat="1" ht="15" customHeight="1" x14ac:dyDescent="0.25">
      <c r="A220" s="6" t="str">
        <f>CONCATENATE(TMK[[#This Row],[Supply Level]],TMK[[#This Row],[Station/Feeder]],TMK[[#This Row],[Voltage]])</f>
        <v>SwitchingStationCNL-RGA33.594</v>
      </c>
      <c r="B220" s="6" t="s">
        <v>2656</v>
      </c>
      <c r="C220" s="6" t="s">
        <v>1274</v>
      </c>
      <c r="D220" s="11" t="s">
        <v>2708</v>
      </c>
      <c r="E220" s="7" t="s">
        <v>558</v>
      </c>
      <c r="F220" s="7" t="s">
        <v>582</v>
      </c>
      <c r="G220" s="56">
        <v>7</v>
      </c>
      <c r="H220" s="46" t="s">
        <v>273</v>
      </c>
      <c r="I220" s="123">
        <v>1414</v>
      </c>
      <c r="J220" s="123" t="s">
        <v>240</v>
      </c>
      <c r="K220" s="46" t="s">
        <v>0</v>
      </c>
      <c r="L220" s="46" t="s">
        <v>0</v>
      </c>
      <c r="M220" s="43">
        <v>33.594000000000001</v>
      </c>
      <c r="N220" s="9" t="s">
        <v>0</v>
      </c>
      <c r="O220" s="9" t="str">
        <f t="shared" si="154"/>
        <v>-</v>
      </c>
      <c r="P220" s="9" t="s">
        <v>0</v>
      </c>
      <c r="Q220" s="9" t="str">
        <f t="shared" si="155"/>
        <v>-</v>
      </c>
      <c r="R220" s="9" t="s">
        <v>0</v>
      </c>
      <c r="S220" s="9" t="str">
        <f t="shared" si="156"/>
        <v>-</v>
      </c>
      <c r="T220" s="9" t="s">
        <v>0</v>
      </c>
      <c r="U220" s="9" t="str">
        <f t="shared" si="157"/>
        <v>-</v>
      </c>
      <c r="V220" s="9" t="s">
        <v>0</v>
      </c>
      <c r="W220" s="9" t="str">
        <f t="shared" si="158"/>
        <v>-</v>
      </c>
      <c r="X220" s="9" t="s">
        <v>0</v>
      </c>
      <c r="Y220" s="9" t="s">
        <v>0</v>
      </c>
      <c r="Z220" s="9" t="s">
        <v>0</v>
      </c>
      <c r="AA220" s="9" t="s">
        <v>0</v>
      </c>
      <c r="AB220" s="9" t="s">
        <v>0</v>
      </c>
      <c r="AC220" s="9" t="s">
        <v>0</v>
      </c>
      <c r="AD220" s="9" t="s">
        <v>0</v>
      </c>
      <c r="AE220" s="12" t="s">
        <v>0</v>
      </c>
      <c r="AF220" s="29" t="s">
        <v>0</v>
      </c>
      <c r="AG220" s="29" t="s">
        <v>0</v>
      </c>
      <c r="AH220" s="9" t="s">
        <v>0</v>
      </c>
      <c r="AI220" s="29" t="s">
        <v>0</v>
      </c>
      <c r="AJ220" s="32" t="s">
        <v>0</v>
      </c>
      <c r="AK220" s="29" t="s">
        <v>0</v>
      </c>
      <c r="AL220" s="32" t="s">
        <v>0</v>
      </c>
      <c r="AM220" s="29" t="s">
        <v>0</v>
      </c>
      <c r="AN220" s="32" t="s">
        <v>0</v>
      </c>
      <c r="AO220" s="29" t="s">
        <v>0</v>
      </c>
      <c r="AP220" s="32" t="s">
        <v>0</v>
      </c>
      <c r="AQ220" s="32" t="s">
        <v>0</v>
      </c>
      <c r="AR220" s="9" t="s">
        <v>0</v>
      </c>
      <c r="AS220" s="9" t="s">
        <v>0</v>
      </c>
      <c r="AT220" s="9" t="s">
        <v>0</v>
      </c>
      <c r="AU220" s="9" t="s">
        <v>0</v>
      </c>
      <c r="AV220" s="9" t="s">
        <v>0</v>
      </c>
      <c r="AW220" s="9" t="s">
        <v>0</v>
      </c>
      <c r="AX220" s="9" t="s">
        <v>0</v>
      </c>
      <c r="AY220" s="9" t="s">
        <v>0</v>
      </c>
      <c r="AZ220" s="9" t="s">
        <v>0</v>
      </c>
      <c r="BA220" s="9" t="s">
        <v>0</v>
      </c>
      <c r="BB220" s="9" t="s">
        <v>0</v>
      </c>
      <c r="BC220" s="9" t="s">
        <v>86</v>
      </c>
      <c r="BD220" s="9" t="str">
        <f>CONCATENATE(TMK[[#This Row],[Supply Level]],TMK[[#This Row],[Station/Feeder]],TMK[[#This Row],[Voltage]],TMK[[#This Row],[Lowest A-No PTX]])</f>
        <v>SwitchingStationCNL-RGA33.594</v>
      </c>
      <c r="BE220" s="9" t="str">
        <f>CONCATENATE(TMK[[#This Row],[Supply Level]],TMK[[#This Row],[Station/Feeder]],TMK[[#This Row],[Voltage]],TMK[[#This Row],[Lowest A-PTX]])</f>
        <v>SwitchingStationCNL-RGA33.594</v>
      </c>
      <c r="BF220" s="9" t="str">
        <f>IFERROR(IF(MIN(TMK[[#This Row],[Summ Cont Winter A]:[Cable Derating]])=0,"",MIN(TMK[[#This Row],[Summ Cont Winter A]:[Cable Derating]])),"")</f>
        <v/>
      </c>
      <c r="BG220" s="9" t="str">
        <f>IFERROR(TMK[[#This Row],[Lowest MVA]]*1000/(TMK[[#This Row],[Voltage]]*SQRT(3)),"")</f>
        <v/>
      </c>
      <c r="BH220" s="9" t="str">
        <f t="shared" si="159"/>
        <v/>
      </c>
      <c r="BI220" s="9" t="s">
        <v>558</v>
      </c>
      <c r="BJ220" s="9" t="s">
        <v>582</v>
      </c>
      <c r="BK220" s="46" t="s">
        <v>2657</v>
      </c>
      <c r="BL220" s="9">
        <v>33.594000000000001</v>
      </c>
    </row>
    <row r="221" spans="1:64" s="1" customFormat="1" ht="15" customHeight="1" x14ac:dyDescent="0.25">
      <c r="A221" s="6" t="str">
        <f>CONCATENATE(TMK[[#This Row],[Supply Level]],TMK[[#This Row],[Station/Feeder]],TMK[[#This Row],[Voltage]])</f>
        <v>SwitchingStationCNL-RGA33.594</v>
      </c>
      <c r="B221" s="6" t="s">
        <v>2658</v>
      </c>
      <c r="C221" s="6" t="s">
        <v>1274</v>
      </c>
      <c r="D221" s="11" t="s">
        <v>2708</v>
      </c>
      <c r="E221" s="7" t="s">
        <v>558</v>
      </c>
      <c r="F221" s="7" t="s">
        <v>582</v>
      </c>
      <c r="G221" s="56">
        <v>8</v>
      </c>
      <c r="H221" s="46" t="s">
        <v>343</v>
      </c>
      <c r="I221" s="123" t="s">
        <v>2709</v>
      </c>
      <c r="J221" s="123" t="s">
        <v>15</v>
      </c>
      <c r="K221" s="46" t="s">
        <v>791</v>
      </c>
      <c r="L221" s="46" t="s">
        <v>1423</v>
      </c>
      <c r="M221" s="43">
        <v>33.594000000000001</v>
      </c>
      <c r="N221" s="9">
        <v>2000</v>
      </c>
      <c r="O221" s="9">
        <f t="shared" si="154"/>
        <v>116.37302965893772</v>
      </c>
      <c r="P221" s="9">
        <v>2000</v>
      </c>
      <c r="Q221" s="9">
        <f t="shared" si="155"/>
        <v>116.37302965893772</v>
      </c>
      <c r="R221" s="9">
        <v>2000</v>
      </c>
      <c r="S221" s="9">
        <f t="shared" si="156"/>
        <v>116.37302965893772</v>
      </c>
      <c r="T221" s="9" t="s">
        <v>0</v>
      </c>
      <c r="U221" s="9" t="str">
        <f t="shared" si="157"/>
        <v>-</v>
      </c>
      <c r="V221" s="9" t="s">
        <v>0</v>
      </c>
      <c r="W221" s="9" t="str">
        <f t="shared" si="158"/>
        <v>-</v>
      </c>
      <c r="X221" s="9">
        <f>VLOOKUP(TMK[[#This Row],[Equipment ID]],AEL_Protection_Data[#All],12,0)</f>
        <v>423</v>
      </c>
      <c r="Y221" s="9">
        <f t="shared" ref="Y221" si="165">IF(OR(X221="",X221="-"),"-",X221*$M221*SQRT(3)/1000)</f>
        <v>24.612895772865329</v>
      </c>
      <c r="Z221" s="9" t="s">
        <v>0</v>
      </c>
      <c r="AA221" s="9" t="str">
        <f t="shared" ref="AA221" si="166">IF(OR(Z221="",Z221="-"),"-",Z221*$M221*SQRT(3)/1000)</f>
        <v>-</v>
      </c>
      <c r="AB221" s="9" t="s">
        <v>0</v>
      </c>
      <c r="AC221" s="9" t="str">
        <f t="shared" ref="AC221" si="167">IF(OR(AB221="",AB221="-"),"-",AB221*$M221*SQRT(3)/1000)</f>
        <v>-</v>
      </c>
      <c r="AD221" s="9">
        <v>300</v>
      </c>
      <c r="AE221" s="12">
        <f t="shared" ref="AE221" si="168">IF(OR(AD221="",AD221="-"),"-",AD221*$M221*SQRT(3)/1000)</f>
        <v>17.455954448840661</v>
      </c>
      <c r="AF221" s="29" t="s">
        <v>0</v>
      </c>
      <c r="AG221" s="29" t="s">
        <v>0</v>
      </c>
      <c r="AH221" s="9" t="s">
        <v>0</v>
      </c>
      <c r="AI221" s="29" t="s">
        <v>0</v>
      </c>
      <c r="AJ221" s="32" t="s">
        <v>0</v>
      </c>
      <c r="AK221" s="29" t="s">
        <v>0</v>
      </c>
      <c r="AL221" s="32" t="s">
        <v>0</v>
      </c>
      <c r="AM221" s="29" t="s">
        <v>0</v>
      </c>
      <c r="AN221" s="32" t="s">
        <v>0</v>
      </c>
      <c r="AO221" s="29" t="s">
        <v>0</v>
      </c>
      <c r="AP221" s="32" t="s">
        <v>0</v>
      </c>
      <c r="AQ221" s="32" t="s">
        <v>0</v>
      </c>
      <c r="AR221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21" s="9" t="str">
        <f t="shared" ref="AS221" si="169">IF(OR(AR221="",AR221="-"),"-",AR221*$M221*SQRT(3)/1000)</f>
        <v>-</v>
      </c>
      <c r="AT221" s="9">
        <f>IF(RIGHT(TMK[[#This Row],[Device type]],7)="Winding","-",TMK[[#This Row],[Cont Winter MVA]])</f>
        <v>116.37302965893772</v>
      </c>
      <c r="AU221" s="9">
        <f>IF(RIGHT(TMK[[#This Row],[Device type]],7)="Winding","-",TMK[[#This Row],[Cont Shoulder MVA]])</f>
        <v>116.37302965893772</v>
      </c>
      <c r="AV221" s="9">
        <f>IF(RIGHT(TMK[[#This Row],[Device type]],7)="Winding","-",TMK[[#This Row],[Cont Summer MVA]])</f>
        <v>116.37302965893772</v>
      </c>
      <c r="AW221" s="9" t="str">
        <f>IF(RIGHT(TMK[[#This Row],[Device type]],7)="Winding","-",TMK[[#This Row],[24 Hr Winter MVA]])</f>
        <v>-</v>
      </c>
      <c r="AX221" s="9" t="str">
        <f>IF(RIGHT(TMK[[#This Row],[Device type]],7)="Winding","-",TMK[[#This Row],[24 Hr Summer MVA]])</f>
        <v>-</v>
      </c>
      <c r="AY221" s="9">
        <f>TMK[[#This Row],[Forwards MVA]]</f>
        <v>24.612895772865329</v>
      </c>
      <c r="AZ221" s="9" t="str">
        <f>TMK[[#This Row],[Relay MVA]]</f>
        <v>-</v>
      </c>
      <c r="BA221" s="9">
        <f>TMK[[#This Row],[CT MVA]]</f>
        <v>17.455954448840661</v>
      </c>
      <c r="BB221" s="9" t="str">
        <f>TMK[[#This Row],[Derating MVA]]</f>
        <v>-</v>
      </c>
      <c r="BC221" s="9" t="str">
        <f>TMK[[#This Row],[Station/Feeder]]&amp;TMK[[#This Row],[Lowest MVA]]</f>
        <v>CNL-RGA17.4559544488407</v>
      </c>
      <c r="BD221" s="9" t="str">
        <f>CONCATENATE(TMK[[#This Row],[Supply Level]],TMK[[#This Row],[Station/Feeder]],TMK[[#This Row],[Voltage]],TMK[[#This Row],[Lowest A-No PTX]])</f>
        <v>SwitchingStationCNL-RGA33.594300</v>
      </c>
      <c r="BE221" s="9" t="str">
        <f>CONCATENATE(TMK[[#This Row],[Supply Level]],TMK[[#This Row],[Station/Feeder]],TMK[[#This Row],[Voltage]],TMK[[#This Row],[Lowest A-PTX]])</f>
        <v>SwitchingStationCNL-RGA33.594300</v>
      </c>
      <c r="BF221" s="9">
        <f>IFERROR(IF(MIN(TMK[[#This Row],[Summ Cont Winter A]:[Cable Derating]])=0,"",MIN(TMK[[#This Row],[Summ Cont Winter A]:[Cable Derating]])),"")</f>
        <v>17.455954448840661</v>
      </c>
      <c r="BG221" s="9">
        <f>IFERROR(TMK[[#This Row],[Lowest MVA]]*1000/(TMK[[#This Row],[Voltage]]*SQRT(3)),"")</f>
        <v>300.00000000000006</v>
      </c>
      <c r="BH221" s="9">
        <f t="shared" si="159"/>
        <v>300</v>
      </c>
      <c r="BI221" s="9" t="str">
        <f>TMK[[#This Row],[From]]</f>
        <v>Pole 02052</v>
      </c>
      <c r="BJ221" s="9" t="str">
        <f>TMK[[#This Row],[To]]</f>
        <v>CB1416</v>
      </c>
      <c r="BK22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Breaker-CNL-RGA-CB1412-Protection</v>
      </c>
      <c r="BL221" s="9">
        <f>TMK[[#This Row],[Voltage]]</f>
        <v>33.594000000000001</v>
      </c>
    </row>
    <row r="222" spans="1:64" s="1" customFormat="1" ht="15" customHeight="1" x14ac:dyDescent="0.25">
      <c r="A222" s="6" t="str">
        <f>CONCATENATE(TMK[[#This Row],[Supply Level]],TMK[[#This Row],[Station/Feeder]],TMK[[#This Row],[Voltage]])</f>
        <v>SwitchingStationCNL-RGA33.594</v>
      </c>
      <c r="B222" s="6" t="s">
        <v>2659</v>
      </c>
      <c r="C222" s="6" t="s">
        <v>1274</v>
      </c>
      <c r="D222" s="11" t="s">
        <v>2708</v>
      </c>
      <c r="E222" s="7" t="s">
        <v>558</v>
      </c>
      <c r="F222" s="7" t="s">
        <v>582</v>
      </c>
      <c r="G222" s="56">
        <v>9</v>
      </c>
      <c r="H222" s="46" t="s">
        <v>273</v>
      </c>
      <c r="I222" s="123">
        <v>1416</v>
      </c>
      <c r="J222" s="123" t="s">
        <v>240</v>
      </c>
      <c r="K222" s="46" t="s">
        <v>0</v>
      </c>
      <c r="L222" s="46" t="s">
        <v>0</v>
      </c>
      <c r="M222" s="43">
        <v>33.594000000000001</v>
      </c>
      <c r="N222" s="9" t="s">
        <v>0</v>
      </c>
      <c r="O222" s="9" t="str">
        <f t="shared" si="154"/>
        <v>-</v>
      </c>
      <c r="P222" s="9" t="s">
        <v>0</v>
      </c>
      <c r="Q222" s="9" t="str">
        <f t="shared" si="155"/>
        <v>-</v>
      </c>
      <c r="R222" s="9" t="s">
        <v>0</v>
      </c>
      <c r="S222" s="9" t="str">
        <f t="shared" si="156"/>
        <v>-</v>
      </c>
      <c r="T222" s="9" t="s">
        <v>0</v>
      </c>
      <c r="U222" s="9" t="str">
        <f t="shared" si="157"/>
        <v>-</v>
      </c>
      <c r="V222" s="9" t="s">
        <v>0</v>
      </c>
      <c r="W222" s="9" t="str">
        <f t="shared" si="158"/>
        <v>-</v>
      </c>
      <c r="X222" s="9" t="s">
        <v>0</v>
      </c>
      <c r="Y222" s="9" t="s">
        <v>0</v>
      </c>
      <c r="Z222" s="9" t="s">
        <v>0</v>
      </c>
      <c r="AA222" s="9" t="s">
        <v>0</v>
      </c>
      <c r="AB222" s="9" t="s">
        <v>0</v>
      </c>
      <c r="AC222" s="9" t="s">
        <v>0</v>
      </c>
      <c r="AD222" s="9" t="s">
        <v>0</v>
      </c>
      <c r="AE222" s="12" t="s">
        <v>0</v>
      </c>
      <c r="AF222" s="29" t="s">
        <v>0</v>
      </c>
      <c r="AG222" s="29" t="s">
        <v>0</v>
      </c>
      <c r="AH222" s="9" t="s">
        <v>0</v>
      </c>
      <c r="AI222" s="29" t="s">
        <v>0</v>
      </c>
      <c r="AJ222" s="32" t="s">
        <v>0</v>
      </c>
      <c r="AK222" s="29" t="s">
        <v>0</v>
      </c>
      <c r="AL222" s="32" t="s">
        <v>0</v>
      </c>
      <c r="AM222" s="29" t="s">
        <v>0</v>
      </c>
      <c r="AN222" s="32" t="s">
        <v>0</v>
      </c>
      <c r="AO222" s="29" t="s">
        <v>0</v>
      </c>
      <c r="AP222" s="32" t="s">
        <v>0</v>
      </c>
      <c r="AQ222" s="32" t="s">
        <v>0</v>
      </c>
      <c r="AR222" s="9" t="s">
        <v>0</v>
      </c>
      <c r="AS222" s="9" t="s">
        <v>0</v>
      </c>
      <c r="AT222" s="9" t="s">
        <v>0</v>
      </c>
      <c r="AU222" s="9" t="s">
        <v>0</v>
      </c>
      <c r="AV222" s="9" t="s">
        <v>0</v>
      </c>
      <c r="AW222" s="9" t="s">
        <v>0</v>
      </c>
      <c r="AX222" s="9" t="s">
        <v>0</v>
      </c>
      <c r="AY222" s="9" t="s">
        <v>0</v>
      </c>
      <c r="AZ222" s="9" t="s">
        <v>0</v>
      </c>
      <c r="BA222" s="9" t="s">
        <v>0</v>
      </c>
      <c r="BB222" s="9" t="s">
        <v>0</v>
      </c>
      <c r="BC222" s="9" t="s">
        <v>86</v>
      </c>
      <c r="BD222" s="9" t="str">
        <f>CONCATENATE(TMK[[#This Row],[Supply Level]],TMK[[#This Row],[Station/Feeder]],TMK[[#This Row],[Voltage]],TMK[[#This Row],[Lowest A-No PTX]])</f>
        <v>SwitchingStationCNL-RGA33.594</v>
      </c>
      <c r="BE222" s="9" t="str">
        <f>CONCATENATE(TMK[[#This Row],[Supply Level]],TMK[[#This Row],[Station/Feeder]],TMK[[#This Row],[Voltage]],TMK[[#This Row],[Lowest A-PTX]])</f>
        <v>SwitchingStationCNL-RGA33.594</v>
      </c>
      <c r="BF222" s="9" t="str">
        <f>IFERROR(IF(MIN(TMK[[#This Row],[Summ Cont Winter A]:[Cable Derating]])=0,"",MIN(TMK[[#This Row],[Summ Cont Winter A]:[Cable Derating]])),"")</f>
        <v/>
      </c>
      <c r="BG222" s="9" t="str">
        <f>IFERROR(TMK[[#This Row],[Lowest MVA]]*1000/(TMK[[#This Row],[Voltage]]*SQRT(3)),"")</f>
        <v/>
      </c>
      <c r="BH222" s="9" t="str">
        <f t="shared" si="159"/>
        <v/>
      </c>
      <c r="BI222" s="9" t="s">
        <v>558</v>
      </c>
      <c r="BJ222" s="9" t="s">
        <v>582</v>
      </c>
      <c r="BK222" s="46" t="s">
        <v>2660</v>
      </c>
      <c r="BL222" s="9">
        <v>33.594000000000001</v>
      </c>
    </row>
    <row r="223" spans="1:64" s="1" customFormat="1" ht="15" customHeight="1" x14ac:dyDescent="0.25">
      <c r="A223" s="168" t="str">
        <f>CONCATENATE(TMK[[#This Row],[Supply Level]],TMK[[#This Row],[Station/Feeder]],TMK[[#This Row],[Voltage]])</f>
        <v>SubTransmissionCB1192_Clandeboye No.133.594</v>
      </c>
      <c r="B223" s="168" t="str">
        <f>CONCATENATE(TMK[[#This Row],[Supply Level]],TMK[[#This Row],[Station/Feeder]],TMK[[#This Row],[Equipment ID]],TMK[[#This Row],[Voltage]],TMK[[#This Row],[Device type]])</f>
        <v>SubTransmissionCB1192_Clandeboye No.1TMK-CB119233.594Protection</v>
      </c>
      <c r="C223" s="168" t="s">
        <v>1245</v>
      </c>
      <c r="D223" s="118" t="s">
        <v>233</v>
      </c>
      <c r="E223" s="49" t="s">
        <v>63</v>
      </c>
      <c r="F223" s="49" t="s">
        <v>618</v>
      </c>
      <c r="G223" s="190">
        <v>1</v>
      </c>
      <c r="H223" s="49" t="s">
        <v>2381</v>
      </c>
      <c r="I223" s="124" t="s">
        <v>2309</v>
      </c>
      <c r="J223" s="124" t="s">
        <v>15</v>
      </c>
      <c r="K223" s="45" t="s">
        <v>470</v>
      </c>
      <c r="L223" s="45" t="s">
        <v>1423</v>
      </c>
      <c r="M223" s="32">
        <f t="shared" ref="M223:M225" si="170">33*1.018</f>
        <v>33.594000000000001</v>
      </c>
      <c r="N223" s="29">
        <v>630</v>
      </c>
      <c r="O223" s="29">
        <f t="shared" si="154"/>
        <v>36.657504342565389</v>
      </c>
      <c r="P223" s="29">
        <v>630</v>
      </c>
      <c r="Q223" s="29">
        <f t="shared" si="155"/>
        <v>36.657504342565389</v>
      </c>
      <c r="R223" s="29">
        <v>630</v>
      </c>
      <c r="S223" s="29">
        <f t="shared" si="156"/>
        <v>36.657504342565389</v>
      </c>
      <c r="T223" s="29">
        <v>630</v>
      </c>
      <c r="U223" s="29">
        <f t="shared" si="157"/>
        <v>36.657504342565389</v>
      </c>
      <c r="V223" s="29">
        <v>630</v>
      </c>
      <c r="W223" s="29">
        <f t="shared" si="158"/>
        <v>36.657504342565389</v>
      </c>
      <c r="X223" s="29">
        <f>VLOOKUP(TMK[[#This Row],[Equipment ID]],AEL_Protection_Data[#All],12,0)</f>
        <v>510</v>
      </c>
      <c r="Y223" s="29">
        <f>IF(OR(X223="",X223="-"),"-",X223*$M223*SQRT(3)/1000)</f>
        <v>29.675122563029124</v>
      </c>
      <c r="Z223" s="29">
        <f>TMK[[#This Row],[Forward A]]</f>
        <v>510</v>
      </c>
      <c r="AA223" s="29">
        <f>IF(OR(Z223="",Z223="-"),"-",Z223*$M223*SQRT(3)/1000)</f>
        <v>29.675122563029124</v>
      </c>
      <c r="AB223" s="29">
        <v>1800</v>
      </c>
      <c r="AC223" s="29">
        <f>IF(OR(AB223="",AB223="-"),"-",AB223*$M223*SQRT(3)/1000)</f>
        <v>104.73572669304396</v>
      </c>
      <c r="AD223" s="29">
        <v>600</v>
      </c>
      <c r="AE223" s="169">
        <f>IF(OR(AD223="",AD223="-"),"-",AD223*$M223*SQRT(3)/1000)</f>
        <v>34.911908897681322</v>
      </c>
      <c r="AF223" s="29" t="s">
        <v>0</v>
      </c>
      <c r="AG223" s="29" t="s">
        <v>0</v>
      </c>
      <c r="AH223" s="29" t="s">
        <v>0</v>
      </c>
      <c r="AI223" s="29" t="s">
        <v>0</v>
      </c>
      <c r="AJ223" s="32" t="s">
        <v>0</v>
      </c>
      <c r="AK223" s="29" t="s">
        <v>0</v>
      </c>
      <c r="AL223" s="32" t="s">
        <v>0</v>
      </c>
      <c r="AM223" s="29" t="s">
        <v>0</v>
      </c>
      <c r="AN223" s="32" t="s">
        <v>0</v>
      </c>
      <c r="AO223" s="29" t="s">
        <v>0</v>
      </c>
      <c r="AP223" s="32" t="s">
        <v>0</v>
      </c>
      <c r="AQ223" s="32" t="s">
        <v>0</v>
      </c>
      <c r="AR223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23" s="29" t="str">
        <f>IF(OR(AR223="",AR223="-"),"-",AR223*$M223*SQRT(3)/1000)</f>
        <v>-</v>
      </c>
      <c r="AT223" s="29">
        <f>IF(RIGHT(TMK[[#This Row],[Device type]],7)="Winding","-",TMK[[#This Row],[Cont Winter MVA]])</f>
        <v>36.657504342565389</v>
      </c>
      <c r="AU223" s="29">
        <f>IF(RIGHT(TMK[[#This Row],[Device type]],7)="Winding","-",TMK[[#This Row],[Cont Shoulder MVA]])</f>
        <v>36.657504342565389</v>
      </c>
      <c r="AV223" s="29">
        <f>IF(RIGHT(TMK[[#This Row],[Device type]],7)="Winding","-",TMK[[#This Row],[Cont Summer MVA]])</f>
        <v>36.657504342565389</v>
      </c>
      <c r="AW223" s="29">
        <f>IF(RIGHT(TMK[[#This Row],[Device type]],7)="Winding","-",TMK[[#This Row],[24 Hr Winter MVA]])</f>
        <v>36.657504342565389</v>
      </c>
      <c r="AX223" s="29">
        <f>IF(RIGHT(TMK[[#This Row],[Device type]],7)="Winding","-",TMK[[#This Row],[24 Hr Summer MVA]])</f>
        <v>36.657504342565389</v>
      </c>
      <c r="AY223" s="29">
        <f>TMK[[#This Row],[Forwards MVA]]</f>
        <v>29.675122563029124</v>
      </c>
      <c r="AZ223" s="29">
        <f>TMK[[#This Row],[Relay MVA]]</f>
        <v>104.73572669304396</v>
      </c>
      <c r="BA223" s="29">
        <f>TMK[[#This Row],[CT MVA]]</f>
        <v>34.911908897681322</v>
      </c>
      <c r="BB223" s="29" t="str">
        <f>TMK[[#This Row],[Derating MVA]]</f>
        <v>-</v>
      </c>
      <c r="BC223" s="29" t="str">
        <f>TMK[[#This Row],[Station/Feeder]]&amp;TMK[[#This Row],[Lowest MVA]]</f>
        <v>CB1192_Clandeboye No.129.6751225630291</v>
      </c>
      <c r="BD223" s="29" t="str">
        <f>CONCATENATE(TMK[[#This Row],[Supply Level]],TMK[[#This Row],[Station/Feeder]],TMK[[#This Row],[Voltage]],TMK[[#This Row],[Lowest A-No PTX]])</f>
        <v>SubTransmissionCB1192_Clandeboye No.133.594510</v>
      </c>
      <c r="BE223" s="29" t="str">
        <f>CONCATENATE(TMK[[#This Row],[Supply Level]],TMK[[#This Row],[Station/Feeder]],TMK[[#This Row],[Voltage]],TMK[[#This Row],[Lowest A-PTX]])</f>
        <v>SubTransmissionCB1192_Clandeboye No.133.594510</v>
      </c>
      <c r="BF223" s="29">
        <f>IFERROR(IF(MIN(TMK[[#This Row],[Summ Cont Winter A]:[Cable Derating]])=0,"",MIN(TMK[[#This Row],[Summ Cont Winter A]:[Cable Derating]])),"")</f>
        <v>29.675122563029124</v>
      </c>
      <c r="BG223" s="29">
        <f>IFERROR(TMK[[#This Row],[Lowest MVA]]*1000/(TMK[[#This Row],[Voltage]]*SQRT(3)),"")</f>
        <v>510.00000000000006</v>
      </c>
      <c r="BH223" s="29">
        <f t="shared" si="159"/>
        <v>510</v>
      </c>
      <c r="BI223" s="29" t="str">
        <f>TMK[[#This Row],[From]]</f>
        <v>33 kV Bus</v>
      </c>
      <c r="BJ223" s="29" t="str">
        <f>TMK[[#This Row],[To]]</f>
        <v>Pole 02081</v>
      </c>
      <c r="BK223" s="45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Breaker-TMK-CB1192-Protection</v>
      </c>
      <c r="BL223" s="29">
        <f>TMK[[#This Row],[Voltage]]</f>
        <v>33.594000000000001</v>
      </c>
    </row>
    <row r="224" spans="1:64" s="1" customFormat="1" ht="15.75" customHeight="1" x14ac:dyDescent="0.25">
      <c r="A224" s="6" t="str">
        <f>CONCATENATE(TMK[[#This Row],[Supply Level]],TMK[[#This Row],[Station/Feeder]],TMK[[#This Row],[Voltage]])</f>
        <v>SubTransmissionCB1192_Clandeboye No.133.594</v>
      </c>
      <c r="B224" s="6" t="str">
        <f>CONCATENATE(TMK[[#This Row],[Supply Level]],TMK[[#This Row],[Station/Feeder]],TMK[[#This Row],[Equipment ID]],TMK[[#This Row],[Voltage]],TMK[[#This Row],[Device type]])</f>
        <v>SubTransmissionCB1192_Clandeboye No.13-1c 400 mm² Al XLPE33.594-</v>
      </c>
      <c r="C224" s="6" t="s">
        <v>1245</v>
      </c>
      <c r="D224" s="118" t="s">
        <v>233</v>
      </c>
      <c r="E224" s="7" t="s">
        <v>63</v>
      </c>
      <c r="F224" s="7" t="s">
        <v>618</v>
      </c>
      <c r="G224" s="56">
        <v>2</v>
      </c>
      <c r="H224" s="283" t="s">
        <v>1294</v>
      </c>
      <c r="I224" s="123" t="s">
        <v>559</v>
      </c>
      <c r="J224" s="123" t="s">
        <v>250</v>
      </c>
      <c r="K224" s="46" t="s">
        <v>0</v>
      </c>
      <c r="L224" s="46" t="s">
        <v>0</v>
      </c>
      <c r="M224" s="43">
        <f t="shared" si="170"/>
        <v>33.594000000000001</v>
      </c>
      <c r="N224" s="9">
        <v>458</v>
      </c>
      <c r="O224" s="9">
        <f t="shared" si="154"/>
        <v>26.649423791896737</v>
      </c>
      <c r="P224" s="9">
        <v>458</v>
      </c>
      <c r="Q224" s="9">
        <f t="shared" si="155"/>
        <v>26.649423791896737</v>
      </c>
      <c r="R224" s="9">
        <v>458</v>
      </c>
      <c r="S224" s="9">
        <f t="shared" si="156"/>
        <v>26.649423791896737</v>
      </c>
      <c r="T224" s="9" t="s">
        <v>0</v>
      </c>
      <c r="U224" s="9" t="str">
        <f t="shared" si="157"/>
        <v>-</v>
      </c>
      <c r="V224" s="9" t="s">
        <v>0</v>
      </c>
      <c r="W224" s="9" t="str">
        <f t="shared" si="158"/>
        <v>-</v>
      </c>
      <c r="X224" s="9" t="s">
        <v>0</v>
      </c>
      <c r="Y224" s="9" t="str">
        <f t="shared" ref="Y224:Y225" si="171">IF(OR(X224="",X224="-"),"-",X224*$M224*SQRT(3)/1000)</f>
        <v>-</v>
      </c>
      <c r="Z224" s="9" t="s">
        <v>0</v>
      </c>
      <c r="AA224" s="9" t="str">
        <f t="shared" ref="AA224:AA225" si="172">IF(OR(Z224="",Z224="-"),"-",Z224*$M224*SQRT(3)/1000)</f>
        <v>-</v>
      </c>
      <c r="AB224" s="9" t="s">
        <v>0</v>
      </c>
      <c r="AC224" s="9" t="str">
        <f t="shared" ref="AC224:AC225" si="173">IF(OR(AB224="",AB224="-"),"-",AB224*$M224*SQRT(3)/1000)</f>
        <v>-</v>
      </c>
      <c r="AD224" s="9" t="s">
        <v>0</v>
      </c>
      <c r="AE224" s="12" t="str">
        <f t="shared" ref="AE224:AE225" si="174">IF(OR(AD224="",AD224="-"),"-",AD224*$M224*SQRT(3)/1000)</f>
        <v>-</v>
      </c>
      <c r="AF224" s="9">
        <v>1</v>
      </c>
      <c r="AG224" s="9" t="s">
        <v>344</v>
      </c>
      <c r="AH224" s="9">
        <v>10840</v>
      </c>
      <c r="AI224" s="9">
        <v>0.8</v>
      </c>
      <c r="AJ224" s="43">
        <v>1</v>
      </c>
      <c r="AK224" s="29">
        <v>19</v>
      </c>
      <c r="AL224" s="32">
        <v>0.97699999999999998</v>
      </c>
      <c r="AM224" s="29">
        <v>1.2</v>
      </c>
      <c r="AN224" s="32">
        <v>1</v>
      </c>
      <c r="AO224" s="29">
        <v>2</v>
      </c>
      <c r="AP224" s="32">
        <v>0.7</v>
      </c>
      <c r="AQ224" s="32">
        <v>0.91</v>
      </c>
      <c r="AR224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407.19406000000004</v>
      </c>
      <c r="AS224" s="9">
        <f t="shared" ref="AS224:AS225" si="175">IF(OR(AR224="",AR224="-"),"-",AR224*$M224*SQRT(3)/1000)</f>
        <v>23.693203210661636</v>
      </c>
      <c r="AT224" s="9">
        <f>IF(RIGHT(TMK[[#This Row],[Device type]],7)="Winding","-",TMK[[#This Row],[Cont Winter MVA]])</f>
        <v>26.649423791896737</v>
      </c>
      <c r="AU224" s="9">
        <f>IF(RIGHT(TMK[[#This Row],[Device type]],7)="Winding","-",TMK[[#This Row],[Cont Shoulder MVA]])</f>
        <v>26.649423791896737</v>
      </c>
      <c r="AV224" s="9">
        <f>IF(RIGHT(TMK[[#This Row],[Device type]],7)="Winding","-",TMK[[#This Row],[Cont Summer MVA]])</f>
        <v>26.649423791896737</v>
      </c>
      <c r="AW224" s="9" t="str">
        <f>IF(RIGHT(TMK[[#This Row],[Device type]],7)="Winding","-",TMK[[#This Row],[24 Hr Winter MVA]])</f>
        <v>-</v>
      </c>
      <c r="AX224" s="9" t="str">
        <f>IF(RIGHT(TMK[[#This Row],[Device type]],7)="Winding","-",TMK[[#This Row],[24 Hr Summer MVA]])</f>
        <v>-</v>
      </c>
      <c r="AY224" s="9" t="str">
        <f>TMK[[#This Row],[Forwards MVA]]</f>
        <v>-</v>
      </c>
      <c r="AZ224" s="9" t="str">
        <f>TMK[[#This Row],[Relay MVA]]</f>
        <v>-</v>
      </c>
      <c r="BA224" s="9" t="str">
        <f>TMK[[#This Row],[CT MVA]]</f>
        <v>-</v>
      </c>
      <c r="BB224" s="9">
        <f>TMK[[#This Row],[Derating MVA]]</f>
        <v>23.693203210661636</v>
      </c>
      <c r="BC224" s="9" t="str">
        <f>TMK[[#This Row],[Station/Feeder]]&amp;TMK[[#This Row],[Lowest MVA]]</f>
        <v>CB1192_Clandeboye No.123.6932032106616</v>
      </c>
      <c r="BD224" s="9" t="str">
        <f>CONCATENATE(TMK[[#This Row],[Supply Level]],TMK[[#This Row],[Station/Feeder]],TMK[[#This Row],[Voltage]],TMK[[#This Row],[Lowest A-No PTX]])</f>
        <v>SubTransmissionCB1192_Clandeboye No.133.594407.19406</v>
      </c>
      <c r="BE224" s="9" t="str">
        <f>CONCATENATE(TMK[[#This Row],[Supply Level]],TMK[[#This Row],[Station/Feeder]],TMK[[#This Row],[Voltage]],TMK[[#This Row],[Lowest A-PTX]])</f>
        <v>SubTransmissionCB1192_Clandeboye No.133.594407.19406</v>
      </c>
      <c r="BF224" s="9">
        <f>IFERROR(IF(MIN(TMK[[#This Row],[Summ Cont Winter A]:[Cable Derating]])=0,"",MIN(TMK[[#This Row],[Summ Cont Winter A]:[Cable Derating]])),"")</f>
        <v>23.693203210661636</v>
      </c>
      <c r="BG224" s="9">
        <f>IFERROR(TMK[[#This Row],[Lowest MVA]]*1000/(TMK[[#This Row],[Voltage]]*SQRT(3)),"")</f>
        <v>407.19406000000004</v>
      </c>
      <c r="BH224" s="9">
        <f t="shared" si="159"/>
        <v>407.19406000000004</v>
      </c>
      <c r="BI224" s="9" t="str">
        <f>TMK[[#This Row],[From]]</f>
        <v>33 kV Bus</v>
      </c>
      <c r="BJ224" s="9" t="str">
        <f>TMK[[#This Row],[To]]</f>
        <v>Pole 02081</v>
      </c>
      <c r="BK22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Al XLPE</v>
      </c>
      <c r="BL224" s="9">
        <f>TMK[[#This Row],[Voltage]]</f>
        <v>33.594000000000001</v>
      </c>
    </row>
    <row r="225" spans="1:64" s="1" customFormat="1" ht="15" customHeight="1" x14ac:dyDescent="0.25">
      <c r="A225" s="6" t="str">
        <f>CONCATENATE(TMK[[#This Row],[Supply Level]],TMK[[#This Row],[Station/Feeder]],TMK[[#This Row],[Voltage]])</f>
        <v>SubTransmissionCB1192_Clandeboye No.133.594</v>
      </c>
      <c r="B225" s="6" t="str">
        <f>CONCATENATE(TMK[[#This Row],[Supply Level]],TMK[[#This Row],[Station/Feeder]],TMK[[#This Row],[Equipment ID]],TMK[[#This Row],[Voltage]],TMK[[#This Row],[Device type]])</f>
        <v>SubTransmissionCB1192_Clandeboye No.1JAGUAR33.594-</v>
      </c>
      <c r="C225" s="6" t="s">
        <v>1245</v>
      </c>
      <c r="D225" s="118" t="s">
        <v>233</v>
      </c>
      <c r="E225" s="7" t="s">
        <v>618</v>
      </c>
      <c r="F225" s="7" t="s">
        <v>628</v>
      </c>
      <c r="G225" s="56">
        <v>3</v>
      </c>
      <c r="H225" s="7" t="s">
        <v>1289</v>
      </c>
      <c r="I225" s="123" t="s">
        <v>345</v>
      </c>
      <c r="J225" s="123" t="s">
        <v>69</v>
      </c>
      <c r="K225" s="46" t="s">
        <v>0</v>
      </c>
      <c r="L225" s="46" t="s">
        <v>0</v>
      </c>
      <c r="M225" s="43">
        <f t="shared" si="170"/>
        <v>33.594000000000001</v>
      </c>
      <c r="N225" s="9">
        <v>673.28384221311683</v>
      </c>
      <c r="O225" s="9">
        <f t="shared" si="154"/>
        <v>39.176040269375299</v>
      </c>
      <c r="P225" s="9" t="s">
        <v>0</v>
      </c>
      <c r="Q225" s="9" t="str">
        <f t="shared" si="155"/>
        <v>-</v>
      </c>
      <c r="R225" s="9">
        <v>582.79308811233284</v>
      </c>
      <c r="S225" s="9">
        <f t="shared" si="156"/>
        <v>33.910698663960211</v>
      </c>
      <c r="T225" s="9" t="s">
        <v>0</v>
      </c>
      <c r="U225" s="9" t="str">
        <f t="shared" si="157"/>
        <v>-</v>
      </c>
      <c r="V225" s="9" t="s">
        <v>0</v>
      </c>
      <c r="W225" s="9" t="str">
        <f t="shared" si="158"/>
        <v>-</v>
      </c>
      <c r="X225" s="9" t="s">
        <v>0</v>
      </c>
      <c r="Y225" s="9" t="str">
        <f t="shared" si="171"/>
        <v>-</v>
      </c>
      <c r="Z225" s="9" t="s">
        <v>0</v>
      </c>
      <c r="AA225" s="9" t="str">
        <f t="shared" si="172"/>
        <v>-</v>
      </c>
      <c r="AB225" s="9" t="s">
        <v>0</v>
      </c>
      <c r="AC225" s="9" t="str">
        <f t="shared" si="173"/>
        <v>-</v>
      </c>
      <c r="AD225" s="9" t="s">
        <v>0</v>
      </c>
      <c r="AE225" s="12" t="str">
        <f t="shared" si="174"/>
        <v>-</v>
      </c>
      <c r="AF225" s="9" t="s">
        <v>0</v>
      </c>
      <c r="AG225" s="9" t="s">
        <v>0</v>
      </c>
      <c r="AH225" s="9">
        <v>11</v>
      </c>
      <c r="AI225" s="9" t="s">
        <v>0</v>
      </c>
      <c r="AJ225" s="43" t="s">
        <v>0</v>
      </c>
      <c r="AK225" s="29" t="s">
        <v>0</v>
      </c>
      <c r="AL225" s="32" t="s">
        <v>0</v>
      </c>
      <c r="AM225" s="29" t="s">
        <v>0</v>
      </c>
      <c r="AN225" s="32" t="s">
        <v>0</v>
      </c>
      <c r="AO225" s="29" t="s">
        <v>0</v>
      </c>
      <c r="AP225" s="32" t="s">
        <v>0</v>
      </c>
      <c r="AQ225" s="32" t="s">
        <v>0</v>
      </c>
      <c r="AR225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25" s="9" t="str">
        <f t="shared" si="175"/>
        <v>-</v>
      </c>
      <c r="AT225" s="9">
        <f>IF(RIGHT(TMK[[#This Row],[Device type]],7)="Winding","-",TMK[[#This Row],[Cont Winter MVA]])</f>
        <v>39.176040269375299</v>
      </c>
      <c r="AU225" s="9" t="str">
        <f>IF(RIGHT(TMK[[#This Row],[Device type]],7)="Winding","-",TMK[[#This Row],[Cont Shoulder MVA]])</f>
        <v>-</v>
      </c>
      <c r="AV225" s="9">
        <f>IF(RIGHT(TMK[[#This Row],[Device type]],7)="Winding","-",TMK[[#This Row],[Cont Summer MVA]])</f>
        <v>33.910698663960211</v>
      </c>
      <c r="AW225" s="9" t="str">
        <f>IF(RIGHT(TMK[[#This Row],[Device type]],7)="Winding","-",TMK[[#This Row],[24 Hr Winter MVA]])</f>
        <v>-</v>
      </c>
      <c r="AX225" s="9" t="str">
        <f>IF(RIGHT(TMK[[#This Row],[Device type]],7)="Winding","-",TMK[[#This Row],[24 Hr Summer MVA]])</f>
        <v>-</v>
      </c>
      <c r="AY225" s="9" t="str">
        <f>TMK[[#This Row],[Forwards MVA]]</f>
        <v>-</v>
      </c>
      <c r="AZ225" s="9" t="str">
        <f>TMK[[#This Row],[Relay MVA]]</f>
        <v>-</v>
      </c>
      <c r="BA225" s="9" t="str">
        <f>TMK[[#This Row],[CT MVA]]</f>
        <v>-</v>
      </c>
      <c r="BB225" s="9" t="str">
        <f>TMK[[#This Row],[Derating MVA]]</f>
        <v>-</v>
      </c>
      <c r="BC225" s="9" t="str">
        <f>TMK[[#This Row],[Station/Feeder]]&amp;TMK[[#This Row],[Lowest MVA]]</f>
        <v>CB1192_Clandeboye No.133.9106986639602</v>
      </c>
      <c r="BD225" s="9" t="str">
        <f>CONCATENATE(TMK[[#This Row],[Supply Level]],TMK[[#This Row],[Station/Feeder]],TMK[[#This Row],[Voltage]],TMK[[#This Row],[Lowest A-No PTX]])</f>
        <v>SubTransmissionCB1192_Clandeboye No.133.594582.793088112333</v>
      </c>
      <c r="BE225" s="9" t="str">
        <f>CONCATENATE(TMK[[#This Row],[Supply Level]],TMK[[#This Row],[Station/Feeder]],TMK[[#This Row],[Voltage]],TMK[[#This Row],[Lowest A-PTX]])</f>
        <v>SubTransmissionCB1192_Clandeboye No.133.594582.793088112333</v>
      </c>
      <c r="BF225" s="9">
        <f>IFERROR(IF(MIN(TMK[[#This Row],[Summ Cont Winter A]:[Cable Derating]])=0,"",MIN(TMK[[#This Row],[Summ Cont Winter A]:[Cable Derating]])),"")</f>
        <v>33.910698663960211</v>
      </c>
      <c r="BG225" s="9">
        <f>IFERROR(TMK[[#This Row],[Lowest MVA]]*1000/(TMK[[#This Row],[Voltage]]*SQRT(3)),"")</f>
        <v>582.79308811233284</v>
      </c>
      <c r="BH225" s="9">
        <f t="shared" si="159"/>
        <v>582.79308811233284</v>
      </c>
      <c r="BI225" s="9" t="str">
        <f>TMK[[#This Row],[From]]</f>
        <v>Pole 02081</v>
      </c>
      <c r="BJ225" s="9" t="str">
        <f>TMK[[#This Row],[To]]</f>
        <v>REC T615</v>
      </c>
      <c r="BK22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Line-JAGUAR</v>
      </c>
      <c r="BL225" s="9">
        <f>TMK[[#This Row],[Voltage]]</f>
        <v>33.594000000000001</v>
      </c>
    </row>
    <row r="226" spans="1:64" s="1" customFormat="1" ht="15" customHeight="1" x14ac:dyDescent="0.25">
      <c r="A226" s="168" t="str">
        <f>CONCATENATE(TMK[[#This Row],[Supply Level]],TMK[[#This Row],[Station/Feeder]],TMK[[#This Row],[Voltage]],"T1")</f>
        <v>SubTransmissionCD_133.594T1</v>
      </c>
      <c r="B226" s="168" t="str">
        <f>CONCATENATE(TMK[[#This Row],[Supply Level]],TMK[[#This Row],[Station/Feeder]],TMK[[#This Row],[Equipment ID]],TMK[[#This Row],[Voltage]],TMK[[#This Row],[Device type]])</f>
        <v>SubTransmissionCD_1TMK-CB119233.594Protection</v>
      </c>
      <c r="C226" s="168" t="s">
        <v>1245</v>
      </c>
      <c r="D226" s="118" t="s">
        <v>88</v>
      </c>
      <c r="E226" s="49" t="s">
        <v>63</v>
      </c>
      <c r="F226" s="49" t="s">
        <v>618</v>
      </c>
      <c r="G226" s="190">
        <v>1</v>
      </c>
      <c r="H226" s="49" t="s">
        <v>2381</v>
      </c>
      <c r="I226" s="124" t="s">
        <v>2309</v>
      </c>
      <c r="J226" s="124" t="s">
        <v>15</v>
      </c>
      <c r="K226" s="45" t="s">
        <v>470</v>
      </c>
      <c r="L226" s="45" t="s">
        <v>1423</v>
      </c>
      <c r="M226" s="32">
        <f t="shared" ref="M226:M231" si="176">33*1.018</f>
        <v>33.594000000000001</v>
      </c>
      <c r="N226" s="29">
        <v>630</v>
      </c>
      <c r="O226" s="29">
        <f t="shared" si="154"/>
        <v>36.657504342565389</v>
      </c>
      <c r="P226" s="29">
        <v>630</v>
      </c>
      <c r="Q226" s="29">
        <f t="shared" si="155"/>
        <v>36.657504342565389</v>
      </c>
      <c r="R226" s="29">
        <v>630</v>
      </c>
      <c r="S226" s="29">
        <f t="shared" si="156"/>
        <v>36.657504342565389</v>
      </c>
      <c r="T226" s="29">
        <v>630</v>
      </c>
      <c r="U226" s="29">
        <f t="shared" si="157"/>
        <v>36.657504342565389</v>
      </c>
      <c r="V226" s="29">
        <v>630</v>
      </c>
      <c r="W226" s="29">
        <f t="shared" si="158"/>
        <v>36.657504342565389</v>
      </c>
      <c r="X226" s="29">
        <f>VLOOKUP(TMK[[#This Row],[Equipment ID]],AEL_Protection_Data[#All],12,0)</f>
        <v>510</v>
      </c>
      <c r="Y226" s="29">
        <f>IF(OR(X226="",X226="-"),"-",X226*$M226*SQRT(3)/1000)</f>
        <v>29.675122563029124</v>
      </c>
      <c r="Z226" s="29">
        <f>TMK[[#This Row],[Forward A]]</f>
        <v>510</v>
      </c>
      <c r="AA226" s="29">
        <f>IF(OR(Z226="",Z226="-"),"-",Z226*$M226*SQRT(3)/1000)</f>
        <v>29.675122563029124</v>
      </c>
      <c r="AB226" s="29">
        <v>1800</v>
      </c>
      <c r="AC226" s="29">
        <f>IF(OR(AB226="",AB226="-"),"-",AB226*$M226*SQRT(3)/1000)</f>
        <v>104.73572669304396</v>
      </c>
      <c r="AD226" s="29">
        <v>600</v>
      </c>
      <c r="AE226" s="169">
        <f>IF(OR(AD226="",AD226="-"),"-",AD226*$M226*SQRT(3)/1000)</f>
        <v>34.911908897681322</v>
      </c>
      <c r="AF226" s="29" t="s">
        <v>0</v>
      </c>
      <c r="AG226" s="29" t="s">
        <v>0</v>
      </c>
      <c r="AH226" s="29" t="s">
        <v>0</v>
      </c>
      <c r="AI226" s="29" t="s">
        <v>0</v>
      </c>
      <c r="AJ226" s="32" t="s">
        <v>0</v>
      </c>
      <c r="AK226" s="29" t="s">
        <v>0</v>
      </c>
      <c r="AL226" s="32" t="s">
        <v>0</v>
      </c>
      <c r="AM226" s="29" t="s">
        <v>0</v>
      </c>
      <c r="AN226" s="32" t="s">
        <v>0</v>
      </c>
      <c r="AO226" s="29" t="s">
        <v>0</v>
      </c>
      <c r="AP226" s="32" t="s">
        <v>0</v>
      </c>
      <c r="AQ226" s="32" t="s">
        <v>0</v>
      </c>
      <c r="AR226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26" s="29" t="str">
        <f>IF(OR(AR226="",AR226="-"),"-",AR226*$M226*SQRT(3)/1000)</f>
        <v>-</v>
      </c>
      <c r="AT226" s="29">
        <f>IF(RIGHT(TMK[[#This Row],[Device type]],7)="Winding","-",TMK[[#This Row],[Cont Winter MVA]])</f>
        <v>36.657504342565389</v>
      </c>
      <c r="AU226" s="29">
        <f>IF(RIGHT(TMK[[#This Row],[Device type]],7)="Winding","-",TMK[[#This Row],[Cont Shoulder MVA]])</f>
        <v>36.657504342565389</v>
      </c>
      <c r="AV226" s="29">
        <f>IF(RIGHT(TMK[[#This Row],[Device type]],7)="Winding","-",TMK[[#This Row],[Cont Summer MVA]])</f>
        <v>36.657504342565389</v>
      </c>
      <c r="AW226" s="29">
        <f>IF(RIGHT(TMK[[#This Row],[Device type]],7)="Winding","-",TMK[[#This Row],[24 Hr Winter MVA]])</f>
        <v>36.657504342565389</v>
      </c>
      <c r="AX226" s="29">
        <f>IF(RIGHT(TMK[[#This Row],[Device type]],7)="Winding","-",TMK[[#This Row],[24 Hr Summer MVA]])</f>
        <v>36.657504342565389</v>
      </c>
      <c r="AY226" s="29">
        <f>TMK[[#This Row],[Forwards MVA]]</f>
        <v>29.675122563029124</v>
      </c>
      <c r="AZ226" s="29">
        <f>TMK[[#This Row],[Relay MVA]]</f>
        <v>104.73572669304396</v>
      </c>
      <c r="BA226" s="29">
        <f>TMK[[#This Row],[CT MVA]]</f>
        <v>34.911908897681322</v>
      </c>
      <c r="BB226" s="29" t="str">
        <f>TMK[[#This Row],[Derating MVA]]</f>
        <v>-</v>
      </c>
      <c r="BC226" s="29" t="str">
        <f>TMK[[#This Row],[Station/Feeder]]&amp;TMK[[#This Row],[Lowest MVA]]</f>
        <v>CD_129.6751225630291</v>
      </c>
      <c r="BD226" s="29" t="str">
        <f>CONCATENATE(TMK[[#This Row],[Supply Level]],TMK[[#This Row],[Station/Feeder]],TMK[[#This Row],[Voltage]],TMK[[#This Row],[Lowest A-No PTX]])</f>
        <v>SubTransmissionCD_133.594510</v>
      </c>
      <c r="BE226" s="29" t="str">
        <f>CONCATENATE(TMK[[#This Row],[Supply Level]],TMK[[#This Row],[Station/Feeder]],TMK[[#This Row],[Voltage]],TMK[[#This Row],[Lowest A-PTX]])</f>
        <v>SubTransmissionCD_133.594510</v>
      </c>
      <c r="BF226" s="29">
        <f>IFERROR(IF(MIN(TMK[[#This Row],[Summ Cont Winter A]:[Cable Derating]])=0,"",MIN(TMK[[#This Row],[Summ Cont Winter A]:[Cable Derating]])),"")</f>
        <v>29.675122563029124</v>
      </c>
      <c r="BG226" s="29">
        <f>IFERROR(TMK[[#This Row],[Lowest MVA]]*1000/(TMK[[#This Row],[Voltage]]*SQRT(3)),"")</f>
        <v>510.00000000000006</v>
      </c>
      <c r="BH226" s="29">
        <f t="shared" si="159"/>
        <v>510</v>
      </c>
      <c r="BI226" s="29" t="str">
        <f>TMK[[#This Row],[From]]</f>
        <v>33 kV Bus</v>
      </c>
      <c r="BJ226" s="29" t="str">
        <f>TMK[[#This Row],[To]]</f>
        <v>Pole 02081</v>
      </c>
      <c r="BK226" s="45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Breaker-TMK-CB1192-Protection</v>
      </c>
      <c r="BL226" s="29">
        <f>TMK[[#This Row],[Voltage]]</f>
        <v>33.594000000000001</v>
      </c>
    </row>
    <row r="227" spans="1:64" s="1" customFormat="1" ht="15.75" customHeight="1" x14ac:dyDescent="0.25">
      <c r="A227" s="6" t="str">
        <f>CONCATENATE(TMK[[#This Row],[Supply Level]],TMK[[#This Row],[Station/Feeder]],TMK[[#This Row],[Voltage]],"T1")</f>
        <v>SubTransmissionCD_133.594T1</v>
      </c>
      <c r="B227" s="6" t="str">
        <f>CONCATENATE(TMK[[#This Row],[Supply Level]],TMK[[#This Row],[Station/Feeder]],TMK[[#This Row],[Equipment ID]],TMK[[#This Row],[Voltage]],TMK[[#This Row],[Device type]])</f>
        <v>SubTransmissionCD_13-1c 400 mm² Al XLPE33.594-</v>
      </c>
      <c r="C227" s="6" t="s">
        <v>1245</v>
      </c>
      <c r="D227" s="11" t="s">
        <v>88</v>
      </c>
      <c r="E227" s="7" t="s">
        <v>63</v>
      </c>
      <c r="F227" s="7" t="s">
        <v>618</v>
      </c>
      <c r="G227" s="56">
        <v>2</v>
      </c>
      <c r="H227" s="283" t="s">
        <v>1294</v>
      </c>
      <c r="I227" s="123" t="s">
        <v>559</v>
      </c>
      <c r="J227" s="123" t="s">
        <v>250</v>
      </c>
      <c r="K227" s="46" t="s">
        <v>0</v>
      </c>
      <c r="L227" s="46" t="s">
        <v>0</v>
      </c>
      <c r="M227" s="43">
        <f t="shared" si="176"/>
        <v>33.594000000000001</v>
      </c>
      <c r="N227" s="9">
        <v>458</v>
      </c>
      <c r="O227" s="9">
        <f t="shared" si="154"/>
        <v>26.649423791896737</v>
      </c>
      <c r="P227" s="9">
        <v>458</v>
      </c>
      <c r="Q227" s="9">
        <f t="shared" si="155"/>
        <v>26.649423791896737</v>
      </c>
      <c r="R227" s="9">
        <v>458</v>
      </c>
      <c r="S227" s="9">
        <f t="shared" si="156"/>
        <v>26.649423791896737</v>
      </c>
      <c r="T227" s="9" t="s">
        <v>0</v>
      </c>
      <c r="U227" s="9" t="str">
        <f t="shared" si="157"/>
        <v>-</v>
      </c>
      <c r="V227" s="9" t="s">
        <v>0</v>
      </c>
      <c r="W227" s="9" t="str">
        <f t="shared" si="158"/>
        <v>-</v>
      </c>
      <c r="X227" s="9" t="s">
        <v>0</v>
      </c>
      <c r="Y227" s="9" t="str">
        <f t="shared" si="160"/>
        <v>-</v>
      </c>
      <c r="Z227" s="9" t="s">
        <v>0</v>
      </c>
      <c r="AA227" s="9" t="str">
        <f t="shared" si="161"/>
        <v>-</v>
      </c>
      <c r="AB227" s="9" t="s">
        <v>0</v>
      </c>
      <c r="AC227" s="9" t="str">
        <f t="shared" si="162"/>
        <v>-</v>
      </c>
      <c r="AD227" s="9" t="s">
        <v>0</v>
      </c>
      <c r="AE227" s="12" t="str">
        <f t="shared" si="163"/>
        <v>-</v>
      </c>
      <c r="AF227" s="9">
        <v>1</v>
      </c>
      <c r="AG227" s="9" t="s">
        <v>344</v>
      </c>
      <c r="AH227" s="9">
        <v>10840</v>
      </c>
      <c r="AI227" s="9">
        <v>0.8</v>
      </c>
      <c r="AJ227" s="43">
        <v>1</v>
      </c>
      <c r="AK227" s="29">
        <v>19</v>
      </c>
      <c r="AL227" s="32">
        <v>0.97699999999999998</v>
      </c>
      <c r="AM227" s="29">
        <v>1.2</v>
      </c>
      <c r="AN227" s="32">
        <v>1</v>
      </c>
      <c r="AO227" s="29">
        <v>2</v>
      </c>
      <c r="AP227" s="32">
        <v>0.7</v>
      </c>
      <c r="AQ227" s="32">
        <v>0.91</v>
      </c>
      <c r="AR227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407.19406000000004</v>
      </c>
      <c r="AS227" s="9">
        <f t="shared" si="164"/>
        <v>23.693203210661636</v>
      </c>
      <c r="AT227" s="9">
        <f>IF(RIGHT(TMK[[#This Row],[Device type]],7)="Winding","-",TMK[[#This Row],[Cont Winter MVA]])</f>
        <v>26.649423791896737</v>
      </c>
      <c r="AU227" s="9">
        <f>IF(RIGHT(TMK[[#This Row],[Device type]],7)="Winding","-",TMK[[#This Row],[Cont Shoulder MVA]])</f>
        <v>26.649423791896737</v>
      </c>
      <c r="AV227" s="9">
        <f>IF(RIGHT(TMK[[#This Row],[Device type]],7)="Winding","-",TMK[[#This Row],[Cont Summer MVA]])</f>
        <v>26.649423791896737</v>
      </c>
      <c r="AW227" s="9" t="str">
        <f>IF(RIGHT(TMK[[#This Row],[Device type]],7)="Winding","-",TMK[[#This Row],[24 Hr Winter MVA]])</f>
        <v>-</v>
      </c>
      <c r="AX227" s="9" t="str">
        <f>IF(RIGHT(TMK[[#This Row],[Device type]],7)="Winding","-",TMK[[#This Row],[24 Hr Summer MVA]])</f>
        <v>-</v>
      </c>
      <c r="AY227" s="9" t="str">
        <f>TMK[[#This Row],[Forwards MVA]]</f>
        <v>-</v>
      </c>
      <c r="AZ227" s="9" t="str">
        <f>TMK[[#This Row],[Relay MVA]]</f>
        <v>-</v>
      </c>
      <c r="BA227" s="9" t="str">
        <f>TMK[[#This Row],[CT MVA]]</f>
        <v>-</v>
      </c>
      <c r="BB227" s="9">
        <f>TMK[[#This Row],[Derating MVA]]</f>
        <v>23.693203210661636</v>
      </c>
      <c r="BC227" s="9" t="str">
        <f>TMK[[#This Row],[Station/Feeder]]&amp;TMK[[#This Row],[Lowest MVA]]</f>
        <v>CD_123.6932032106616</v>
      </c>
      <c r="BD227" s="9" t="str">
        <f>CONCATENATE(TMK[[#This Row],[Supply Level]],TMK[[#This Row],[Station/Feeder]],TMK[[#This Row],[Voltage]],TMK[[#This Row],[Lowest A-No PTX]])</f>
        <v>SubTransmissionCD_133.594407.19406</v>
      </c>
      <c r="BE227" s="9" t="str">
        <f>CONCATENATE(TMK[[#This Row],[Supply Level]],TMK[[#This Row],[Station/Feeder]],TMK[[#This Row],[Voltage]],TMK[[#This Row],[Lowest A-PTX]])</f>
        <v>SubTransmissionCD_133.594407.19406</v>
      </c>
      <c r="BF227" s="9">
        <f>IFERROR(IF(MIN(TMK[[#This Row],[Summ Cont Winter A]:[Cable Derating]])=0,"",MIN(TMK[[#This Row],[Summ Cont Winter A]:[Cable Derating]])),"")</f>
        <v>23.693203210661636</v>
      </c>
      <c r="BG227" s="9">
        <f>IFERROR(TMK[[#This Row],[Lowest MVA]]*1000/(TMK[[#This Row],[Voltage]]*SQRT(3)),"")</f>
        <v>407.19406000000004</v>
      </c>
      <c r="BH227" s="9">
        <f t="shared" si="159"/>
        <v>407.19406000000004</v>
      </c>
      <c r="BI227" s="9" t="str">
        <f>TMK[[#This Row],[From]]</f>
        <v>33 kV Bus</v>
      </c>
      <c r="BJ227" s="9" t="str">
        <f>TMK[[#This Row],[To]]</f>
        <v>Pole 02081</v>
      </c>
      <c r="BK22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Al XLPE</v>
      </c>
      <c r="BL227" s="9">
        <f>TMK[[#This Row],[Voltage]]</f>
        <v>33.594000000000001</v>
      </c>
    </row>
    <row r="228" spans="1:64" s="1" customFormat="1" ht="15" customHeight="1" x14ac:dyDescent="0.25">
      <c r="A228" s="6" t="str">
        <f>CONCATENATE(TMK[[#This Row],[Supply Level]],TMK[[#This Row],[Station/Feeder]],TMK[[#This Row],[Voltage]],"T1")</f>
        <v>SubTransmissionCD_133.594T1</v>
      </c>
      <c r="B228" s="6" t="str">
        <f>CONCATENATE(TMK[[#This Row],[Supply Level]],TMK[[#This Row],[Station/Feeder]],TMK[[#This Row],[Equipment ID]],TMK[[#This Row],[Voltage]],TMK[[#This Row],[Device type]])</f>
        <v>SubTransmissionCD_1JAGUAR33.594-</v>
      </c>
      <c r="C228" s="6" t="s">
        <v>1245</v>
      </c>
      <c r="D228" s="11" t="s">
        <v>88</v>
      </c>
      <c r="E228" s="7" t="s">
        <v>618</v>
      </c>
      <c r="F228" s="7" t="s">
        <v>628</v>
      </c>
      <c r="G228" s="56">
        <v>3</v>
      </c>
      <c r="H228" s="7" t="s">
        <v>1289</v>
      </c>
      <c r="I228" s="123" t="s">
        <v>345</v>
      </c>
      <c r="J228" s="123" t="s">
        <v>69</v>
      </c>
      <c r="K228" s="46" t="s">
        <v>0</v>
      </c>
      <c r="L228" s="46" t="s">
        <v>0</v>
      </c>
      <c r="M228" s="43">
        <f t="shared" si="176"/>
        <v>33.594000000000001</v>
      </c>
      <c r="N228" s="9">
        <v>673.28384221311683</v>
      </c>
      <c r="O228" s="9">
        <f t="shared" si="154"/>
        <v>39.176040269375299</v>
      </c>
      <c r="P228" s="9" t="s">
        <v>0</v>
      </c>
      <c r="Q228" s="9" t="str">
        <f t="shared" si="155"/>
        <v>-</v>
      </c>
      <c r="R228" s="9">
        <v>582.79308811233284</v>
      </c>
      <c r="S228" s="9">
        <f t="shared" si="156"/>
        <v>33.910698663960211</v>
      </c>
      <c r="T228" s="9" t="s">
        <v>0</v>
      </c>
      <c r="U228" s="9" t="str">
        <f t="shared" si="157"/>
        <v>-</v>
      </c>
      <c r="V228" s="9" t="s">
        <v>0</v>
      </c>
      <c r="W228" s="9" t="str">
        <f t="shared" si="158"/>
        <v>-</v>
      </c>
      <c r="X228" s="9" t="s">
        <v>0</v>
      </c>
      <c r="Y228" s="9" t="str">
        <f t="shared" si="160"/>
        <v>-</v>
      </c>
      <c r="Z228" s="9" t="s">
        <v>0</v>
      </c>
      <c r="AA228" s="9" t="str">
        <f t="shared" si="161"/>
        <v>-</v>
      </c>
      <c r="AB228" s="9" t="s">
        <v>0</v>
      </c>
      <c r="AC228" s="9" t="str">
        <f t="shared" si="162"/>
        <v>-</v>
      </c>
      <c r="AD228" s="9" t="s">
        <v>0</v>
      </c>
      <c r="AE228" s="12" t="str">
        <f t="shared" si="163"/>
        <v>-</v>
      </c>
      <c r="AF228" s="9" t="s">
        <v>0</v>
      </c>
      <c r="AG228" s="9" t="s">
        <v>0</v>
      </c>
      <c r="AH228" s="9">
        <v>11</v>
      </c>
      <c r="AI228" s="9" t="s">
        <v>0</v>
      </c>
      <c r="AJ228" s="43" t="s">
        <v>0</v>
      </c>
      <c r="AK228" s="29" t="s">
        <v>0</v>
      </c>
      <c r="AL228" s="32" t="s">
        <v>0</v>
      </c>
      <c r="AM228" s="29" t="s">
        <v>0</v>
      </c>
      <c r="AN228" s="32" t="s">
        <v>0</v>
      </c>
      <c r="AO228" s="29" t="s">
        <v>0</v>
      </c>
      <c r="AP228" s="32" t="s">
        <v>0</v>
      </c>
      <c r="AQ228" s="32" t="s">
        <v>0</v>
      </c>
      <c r="AR228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28" s="9" t="str">
        <f t="shared" si="164"/>
        <v>-</v>
      </c>
      <c r="AT228" s="9">
        <f>IF(RIGHT(TMK[[#This Row],[Device type]],7)="Winding","-",TMK[[#This Row],[Cont Winter MVA]])</f>
        <v>39.176040269375299</v>
      </c>
      <c r="AU228" s="9" t="str">
        <f>IF(RIGHT(TMK[[#This Row],[Device type]],7)="Winding","-",TMK[[#This Row],[Cont Shoulder MVA]])</f>
        <v>-</v>
      </c>
      <c r="AV228" s="9">
        <f>IF(RIGHT(TMK[[#This Row],[Device type]],7)="Winding","-",TMK[[#This Row],[Cont Summer MVA]])</f>
        <v>33.910698663960211</v>
      </c>
      <c r="AW228" s="9" t="str">
        <f>IF(RIGHT(TMK[[#This Row],[Device type]],7)="Winding","-",TMK[[#This Row],[24 Hr Winter MVA]])</f>
        <v>-</v>
      </c>
      <c r="AX228" s="9" t="str">
        <f>IF(RIGHT(TMK[[#This Row],[Device type]],7)="Winding","-",TMK[[#This Row],[24 Hr Summer MVA]])</f>
        <v>-</v>
      </c>
      <c r="AY228" s="9" t="str">
        <f>TMK[[#This Row],[Forwards MVA]]</f>
        <v>-</v>
      </c>
      <c r="AZ228" s="9" t="str">
        <f>TMK[[#This Row],[Relay MVA]]</f>
        <v>-</v>
      </c>
      <c r="BA228" s="9" t="str">
        <f>TMK[[#This Row],[CT MVA]]</f>
        <v>-</v>
      </c>
      <c r="BB228" s="9" t="str">
        <f>TMK[[#This Row],[Derating MVA]]</f>
        <v>-</v>
      </c>
      <c r="BC228" s="9" t="str">
        <f>TMK[[#This Row],[Station/Feeder]]&amp;TMK[[#This Row],[Lowest MVA]]</f>
        <v>CD_133.9106986639602</v>
      </c>
      <c r="BD228" s="9" t="str">
        <f>CONCATENATE(TMK[[#This Row],[Supply Level]],TMK[[#This Row],[Station/Feeder]],TMK[[#This Row],[Voltage]],TMK[[#This Row],[Lowest A-No PTX]])</f>
        <v>SubTransmissionCD_133.594582.793088112333</v>
      </c>
      <c r="BE228" s="9" t="str">
        <f>CONCATENATE(TMK[[#This Row],[Supply Level]],TMK[[#This Row],[Station/Feeder]],TMK[[#This Row],[Voltage]],TMK[[#This Row],[Lowest A-PTX]])</f>
        <v>SubTransmissionCD_133.594582.793088112333</v>
      </c>
      <c r="BF228" s="9">
        <f>IFERROR(IF(MIN(TMK[[#This Row],[Summ Cont Winter A]:[Cable Derating]])=0,"",MIN(TMK[[#This Row],[Summ Cont Winter A]:[Cable Derating]])),"")</f>
        <v>33.910698663960211</v>
      </c>
      <c r="BG228" s="9">
        <f>IFERROR(TMK[[#This Row],[Lowest MVA]]*1000/(TMK[[#This Row],[Voltage]]*SQRT(3)),"")</f>
        <v>582.79308811233284</v>
      </c>
      <c r="BH228" s="9">
        <f t="shared" si="159"/>
        <v>582.79308811233284</v>
      </c>
      <c r="BI228" s="9" t="str">
        <f>TMK[[#This Row],[From]]</f>
        <v>Pole 02081</v>
      </c>
      <c r="BJ228" s="9" t="str">
        <f>TMK[[#This Row],[To]]</f>
        <v>REC T615</v>
      </c>
      <c r="BK22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Line-JAGUAR</v>
      </c>
      <c r="BL228" s="9">
        <f>TMK[[#This Row],[Voltage]]</f>
        <v>33.594000000000001</v>
      </c>
    </row>
    <row r="229" spans="1:64" s="1" customFormat="1" ht="15" customHeight="1" x14ac:dyDescent="0.25">
      <c r="A229" s="6" t="str">
        <f>CONCATENATE(TMK[[#This Row],[Supply Level]],TMK[[#This Row],[Station/Feeder]],TMK[[#This Row],[Voltage]],"T1")</f>
        <v>ZoneSubstationCD_133.594T1</v>
      </c>
      <c r="B229" s="6" t="str">
        <f>CONCATENATE(TMK[[#This Row],[Supply Level]],TMK[[#This Row],[Station/Feeder]],TMK[[#This Row],[Equipment ID]],TMK[[#This Row],[Voltage]],TMK[[#This Row],[Device type]])</f>
        <v>ZoneSubstationCD_1T61533.594Protection</v>
      </c>
      <c r="C229" s="6" t="s">
        <v>1246</v>
      </c>
      <c r="D229" s="11" t="s">
        <v>88</v>
      </c>
      <c r="E229" s="7" t="s">
        <v>619</v>
      </c>
      <c r="F229" s="7" t="s">
        <v>243</v>
      </c>
      <c r="G229" s="56">
        <v>4</v>
      </c>
      <c r="H229" s="7" t="s">
        <v>343</v>
      </c>
      <c r="I229" s="123" t="s">
        <v>620</v>
      </c>
      <c r="J229" s="123" t="s">
        <v>394</v>
      </c>
      <c r="K229" s="46" t="s">
        <v>1126</v>
      </c>
      <c r="L229" s="46" t="s">
        <v>1423</v>
      </c>
      <c r="M229" s="43">
        <f t="shared" si="176"/>
        <v>33.594000000000001</v>
      </c>
      <c r="N229" s="9">
        <v>560</v>
      </c>
      <c r="O229" s="9">
        <f t="shared" si="154"/>
        <v>32.584448304502558</v>
      </c>
      <c r="P229" s="9">
        <v>560</v>
      </c>
      <c r="Q229" s="9">
        <f t="shared" si="155"/>
        <v>32.584448304502558</v>
      </c>
      <c r="R229" s="9">
        <v>560</v>
      </c>
      <c r="S229" s="9">
        <f t="shared" si="156"/>
        <v>32.584448304502558</v>
      </c>
      <c r="T229" s="9" t="s">
        <v>0</v>
      </c>
      <c r="U229" s="9" t="str">
        <f t="shared" si="157"/>
        <v>-</v>
      </c>
      <c r="V229" s="9" t="s">
        <v>0</v>
      </c>
      <c r="W229" s="9" t="str">
        <f t="shared" si="158"/>
        <v>-</v>
      </c>
      <c r="X229" s="9">
        <v>512</v>
      </c>
      <c r="Y229" s="9">
        <f t="shared" si="160"/>
        <v>29.791495592688058</v>
      </c>
      <c r="Z229" s="9">
        <v>512</v>
      </c>
      <c r="AA229" s="9">
        <f t="shared" si="161"/>
        <v>29.791495592688058</v>
      </c>
      <c r="AB229" s="9" t="s">
        <v>0</v>
      </c>
      <c r="AC229" s="9" t="str">
        <f t="shared" si="162"/>
        <v>-</v>
      </c>
      <c r="AD229" s="9">
        <v>400</v>
      </c>
      <c r="AE229" s="12">
        <f t="shared" si="163"/>
        <v>23.274605931787544</v>
      </c>
      <c r="AF229" s="9" t="s">
        <v>0</v>
      </c>
      <c r="AG229" s="9" t="s">
        <v>0</v>
      </c>
      <c r="AH229" s="9" t="s">
        <v>0</v>
      </c>
      <c r="AI229" s="9" t="s">
        <v>0</v>
      </c>
      <c r="AJ229" s="43" t="s">
        <v>0</v>
      </c>
      <c r="AK229" s="29" t="s">
        <v>0</v>
      </c>
      <c r="AL229" s="32" t="s">
        <v>0</v>
      </c>
      <c r="AM229" s="29" t="s">
        <v>0</v>
      </c>
      <c r="AN229" s="32" t="s">
        <v>0</v>
      </c>
      <c r="AO229" s="29" t="s">
        <v>0</v>
      </c>
      <c r="AP229" s="32" t="s">
        <v>0</v>
      </c>
      <c r="AQ229" s="32" t="s">
        <v>0</v>
      </c>
      <c r="AR22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29" s="9" t="str">
        <f t="shared" si="164"/>
        <v>-</v>
      </c>
      <c r="AT229" s="9">
        <f>IF(RIGHT(TMK[[#This Row],[Device type]],7)="Winding","-",TMK[[#This Row],[Cont Winter MVA]])</f>
        <v>32.584448304502558</v>
      </c>
      <c r="AU229" s="9">
        <f>IF(RIGHT(TMK[[#This Row],[Device type]],7)="Winding","-",TMK[[#This Row],[Cont Shoulder MVA]])</f>
        <v>32.584448304502558</v>
      </c>
      <c r="AV229" s="9">
        <f>IF(RIGHT(TMK[[#This Row],[Device type]],7)="Winding","-",TMK[[#This Row],[Cont Summer MVA]])</f>
        <v>32.584448304502558</v>
      </c>
      <c r="AW229" s="9" t="str">
        <f>IF(RIGHT(TMK[[#This Row],[Device type]],7)="Winding","-",TMK[[#This Row],[24 Hr Winter MVA]])</f>
        <v>-</v>
      </c>
      <c r="AX229" s="9" t="str">
        <f>IF(RIGHT(TMK[[#This Row],[Device type]],7)="Winding","-",TMK[[#This Row],[24 Hr Summer MVA]])</f>
        <v>-</v>
      </c>
      <c r="AY229" s="9">
        <f>TMK[[#This Row],[Forwards MVA]]</f>
        <v>29.791495592688058</v>
      </c>
      <c r="AZ229" s="9" t="str">
        <f>TMK[[#This Row],[Relay MVA]]</f>
        <v>-</v>
      </c>
      <c r="BA229" s="9">
        <f>TMK[[#This Row],[CT MVA]]</f>
        <v>23.274605931787544</v>
      </c>
      <c r="BB229" s="9" t="str">
        <f>TMK[[#This Row],[Derating MVA]]</f>
        <v>-</v>
      </c>
      <c r="BC229" s="9" t="str">
        <f>TMK[[#This Row],[Station/Feeder]]&amp;TMK[[#This Row],[Lowest MVA]]</f>
        <v>CD_123.2746059317875</v>
      </c>
      <c r="BD229" s="9" t="str">
        <f>CONCATENATE(TMK[[#This Row],[Supply Level]],TMK[[#This Row],[Station/Feeder]],TMK[[#This Row],[Voltage]],TMK[[#This Row],[Lowest A-No PTX]])</f>
        <v>ZoneSubstationCD_133.594400</v>
      </c>
      <c r="BE229" s="9" t="str">
        <f>CONCATENATE(TMK[[#This Row],[Supply Level]],TMK[[#This Row],[Station/Feeder]],TMK[[#This Row],[Voltage]],TMK[[#This Row],[Lowest A-PTX]])</f>
        <v>ZoneSubstationCD_133.594400</v>
      </c>
      <c r="BF229" s="9">
        <f>IFERROR(IF(MIN(TMK[[#This Row],[Summ Cont Winter A]:[Cable Derating]])=0,"",MIN(TMK[[#This Row],[Summ Cont Winter A]:[Cable Derating]])),"")</f>
        <v>23.274605931787544</v>
      </c>
      <c r="BG229" s="9">
        <f>IFERROR(TMK[[#This Row],[Lowest MVA]]*1000/(TMK[[#This Row],[Voltage]]*SQRT(3)),"")</f>
        <v>400</v>
      </c>
      <c r="BH229" s="9">
        <f t="shared" si="159"/>
        <v>400</v>
      </c>
      <c r="BI229" s="9" t="str">
        <f>TMK[[#This Row],[From]]</f>
        <v>Recloser T615</v>
      </c>
      <c r="BJ229" s="9" t="str">
        <f>TMK[[#This Row],[To]]</f>
        <v>11 kV Bus</v>
      </c>
      <c r="BK22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Recloser-T615-Protection</v>
      </c>
      <c r="BL229" s="9">
        <f>TMK[[#This Row],[Voltage]]</f>
        <v>33.594000000000001</v>
      </c>
    </row>
    <row r="230" spans="1:64" s="1" customFormat="1" ht="15" customHeight="1" x14ac:dyDescent="0.25">
      <c r="A230" s="6" t="str">
        <f>CONCATENATE(TMK[[#This Row],[Supply Level]],TMK[[#This Row],[Station/Feeder]],TMK[[#This Row],[Voltage]],"T1")</f>
        <v>ZoneSubstationCD_133.594T1</v>
      </c>
      <c r="B230" s="6" t="str">
        <f>CONCATENATE(TMK[[#This Row],[Supply Level]],TMK[[#This Row],[Station/Feeder]],TMK[[#This Row],[Equipment ID]],TMK[[#This Row],[Voltage]],TMK[[#This Row],[Device type]])</f>
        <v>ZoneSubstationCD_13-1c 300 mm² Al XLPE33.594-</v>
      </c>
      <c r="C230" s="6" t="s">
        <v>1246</v>
      </c>
      <c r="D230" s="11" t="s">
        <v>88</v>
      </c>
      <c r="E230" s="7" t="s">
        <v>619</v>
      </c>
      <c r="F230" s="7" t="s">
        <v>243</v>
      </c>
      <c r="G230" s="56">
        <v>5</v>
      </c>
      <c r="H230" s="7" t="s">
        <v>585</v>
      </c>
      <c r="I230" s="123" t="s">
        <v>624</v>
      </c>
      <c r="J230" s="123" t="s">
        <v>250</v>
      </c>
      <c r="K230" s="46" t="s">
        <v>0</v>
      </c>
      <c r="L230" s="46" t="s">
        <v>0</v>
      </c>
      <c r="M230" s="43">
        <f t="shared" si="176"/>
        <v>33.594000000000001</v>
      </c>
      <c r="N230" s="9">
        <v>414</v>
      </c>
      <c r="O230" s="9">
        <f t="shared" si="154"/>
        <v>24.089217139400109</v>
      </c>
      <c r="P230" s="9">
        <v>414</v>
      </c>
      <c r="Q230" s="9">
        <f t="shared" si="155"/>
        <v>24.089217139400109</v>
      </c>
      <c r="R230" s="9">
        <v>414</v>
      </c>
      <c r="S230" s="9">
        <f t="shared" si="156"/>
        <v>24.089217139400109</v>
      </c>
      <c r="T230" s="9" t="s">
        <v>0</v>
      </c>
      <c r="U230" s="9" t="str">
        <f t="shared" si="157"/>
        <v>-</v>
      </c>
      <c r="V230" s="9" t="s">
        <v>0</v>
      </c>
      <c r="W230" s="9" t="str">
        <f t="shared" si="158"/>
        <v>-</v>
      </c>
      <c r="X230" s="9" t="s">
        <v>0</v>
      </c>
      <c r="Y230" s="9" t="str">
        <f t="shared" si="160"/>
        <v>-</v>
      </c>
      <c r="Z230" s="9" t="s">
        <v>0</v>
      </c>
      <c r="AA230" s="9" t="str">
        <f t="shared" si="161"/>
        <v>-</v>
      </c>
      <c r="AB230" s="9" t="s">
        <v>0</v>
      </c>
      <c r="AC230" s="9" t="str">
        <f t="shared" si="162"/>
        <v>-</v>
      </c>
      <c r="AD230" s="9" t="s">
        <v>0</v>
      </c>
      <c r="AE230" s="12" t="str">
        <f t="shared" si="163"/>
        <v>-</v>
      </c>
      <c r="AF230" s="9">
        <v>1</v>
      </c>
      <c r="AG230" s="9" t="s">
        <v>344</v>
      </c>
      <c r="AH230" s="9">
        <v>269</v>
      </c>
      <c r="AI230" s="9">
        <v>1.2</v>
      </c>
      <c r="AJ230" s="43">
        <v>0.96</v>
      </c>
      <c r="AK230" s="29">
        <v>18</v>
      </c>
      <c r="AL230" s="32">
        <v>0.98299999999999998</v>
      </c>
      <c r="AM230" s="29">
        <v>1.2</v>
      </c>
      <c r="AN230" s="32">
        <v>1</v>
      </c>
      <c r="AO230" s="29">
        <v>2</v>
      </c>
      <c r="AP230" s="32">
        <v>0.6</v>
      </c>
      <c r="AQ230" s="32">
        <v>0.89</v>
      </c>
      <c r="AR230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347.70833279999999</v>
      </c>
      <c r="AS230" s="9">
        <f t="shared" si="164"/>
        <v>20.231936062797093</v>
      </c>
      <c r="AT230" s="9">
        <f>IF(RIGHT(TMK[[#This Row],[Device type]],7)="Winding","-",TMK[[#This Row],[Cont Winter MVA]])</f>
        <v>24.089217139400109</v>
      </c>
      <c r="AU230" s="9">
        <f>IF(RIGHT(TMK[[#This Row],[Device type]],7)="Winding","-",TMK[[#This Row],[Cont Shoulder MVA]])</f>
        <v>24.089217139400109</v>
      </c>
      <c r="AV230" s="9">
        <f>IF(RIGHT(TMK[[#This Row],[Device type]],7)="Winding","-",TMK[[#This Row],[Cont Summer MVA]])</f>
        <v>24.089217139400109</v>
      </c>
      <c r="AW230" s="9" t="str">
        <f>IF(RIGHT(TMK[[#This Row],[Device type]],7)="Winding","-",TMK[[#This Row],[24 Hr Winter MVA]])</f>
        <v>-</v>
      </c>
      <c r="AX230" s="9" t="str">
        <f>IF(RIGHT(TMK[[#This Row],[Device type]],7)="Winding","-",TMK[[#This Row],[24 Hr Summer MVA]])</f>
        <v>-</v>
      </c>
      <c r="AY230" s="9" t="str">
        <f>TMK[[#This Row],[Forwards MVA]]</f>
        <v>-</v>
      </c>
      <c r="AZ230" s="9" t="str">
        <f>TMK[[#This Row],[Relay MVA]]</f>
        <v>-</v>
      </c>
      <c r="BA230" s="9" t="str">
        <f>TMK[[#This Row],[CT MVA]]</f>
        <v>-</v>
      </c>
      <c r="BB230" s="9">
        <f>TMK[[#This Row],[Derating MVA]]</f>
        <v>20.231936062797093</v>
      </c>
      <c r="BC230" s="9" t="str">
        <f>TMK[[#This Row],[Station/Feeder]]&amp;TMK[[#This Row],[Lowest MVA]]</f>
        <v>CD_120.2319360627971</v>
      </c>
      <c r="BD230" s="9" t="str">
        <f>CONCATENATE(TMK[[#This Row],[Supply Level]],TMK[[#This Row],[Station/Feeder]],TMK[[#This Row],[Voltage]],TMK[[#This Row],[Lowest A-No PTX]])</f>
        <v>ZoneSubstationCD_133.594347.7083328</v>
      </c>
      <c r="BE230" s="9" t="str">
        <f>CONCATENATE(TMK[[#This Row],[Supply Level]],TMK[[#This Row],[Station/Feeder]],TMK[[#This Row],[Voltage]],TMK[[#This Row],[Lowest A-PTX]])</f>
        <v>ZoneSubstationCD_133.594347.7083328</v>
      </c>
      <c r="BF230" s="9">
        <f>IFERROR(IF(MIN(TMK[[#This Row],[Summ Cont Winter A]:[Cable Derating]])=0,"",MIN(TMK[[#This Row],[Summ Cont Winter A]:[Cable Derating]])),"")</f>
        <v>20.231936062797093</v>
      </c>
      <c r="BG230" s="9">
        <f>IFERROR(TMK[[#This Row],[Lowest MVA]]*1000/(TMK[[#This Row],[Voltage]]*SQRT(3)),"")</f>
        <v>347.70833279999999</v>
      </c>
      <c r="BH230" s="9">
        <f t="shared" si="159"/>
        <v>347.70833279999999</v>
      </c>
      <c r="BI230" s="9" t="str">
        <f>TMK[[#This Row],[From]]</f>
        <v>Recloser T615</v>
      </c>
      <c r="BJ230" s="9" t="str">
        <f>TMK[[#This Row],[To]]</f>
        <v>11 kV Bus</v>
      </c>
      <c r="BK23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300 mm² Al XLPE</v>
      </c>
      <c r="BL230" s="9">
        <f>TMK[[#This Row],[Voltage]]</f>
        <v>33.594000000000001</v>
      </c>
    </row>
    <row r="231" spans="1:64" s="1" customFormat="1" ht="15" customHeight="1" x14ac:dyDescent="0.25">
      <c r="A231" s="6" t="str">
        <f>CONCATENATE(TMK[[#This Row],[Supply Level]],TMK[[#This Row],[Station/Feeder]],TMK[[#This Row],[Voltage]],"T1")</f>
        <v>ZoneSubstationCD_133.594T1</v>
      </c>
      <c r="B231" s="6" t="str">
        <f>CONCATENATE(TMK[[#This Row],[Supply Level]],TMK[[#This Row],[Station/Feeder]],TMK[[#This Row],[Equipment ID]],TMK[[#This Row],[Voltage]],TMK[[#This Row],[Device type]])</f>
        <v>ZoneSubstationCD_1D1246-T133.594HV Winding</v>
      </c>
      <c r="C231" s="6" t="s">
        <v>1246</v>
      </c>
      <c r="D231" s="11" t="s">
        <v>88</v>
      </c>
      <c r="E231" s="7" t="s">
        <v>619</v>
      </c>
      <c r="F231" s="7" t="s">
        <v>243</v>
      </c>
      <c r="G231" s="56">
        <v>6</v>
      </c>
      <c r="H231" s="46" t="s">
        <v>275</v>
      </c>
      <c r="I231" s="123" t="s">
        <v>621</v>
      </c>
      <c r="J231" s="123" t="s">
        <v>19</v>
      </c>
      <c r="K231" s="46" t="s">
        <v>0</v>
      </c>
      <c r="L231" s="46" t="s">
        <v>36</v>
      </c>
      <c r="M231" s="43">
        <f t="shared" si="176"/>
        <v>33.594000000000001</v>
      </c>
      <c r="N231" s="9">
        <f>20*1000/(TMK[[#This Row],[Voltage]]*SQRT(3))</f>
        <v>343.72225349147215</v>
      </c>
      <c r="O231" s="9">
        <f t="shared" si="154"/>
        <v>20</v>
      </c>
      <c r="P231" s="9" t="s">
        <v>0</v>
      </c>
      <c r="Q231" s="9" t="str">
        <f t="shared" si="155"/>
        <v>-</v>
      </c>
      <c r="R231" s="9" t="s">
        <v>0</v>
      </c>
      <c r="S231" s="9" t="str">
        <f t="shared" si="156"/>
        <v>-</v>
      </c>
      <c r="T231" s="9" t="s">
        <v>0</v>
      </c>
      <c r="U231" s="9" t="str">
        <f t="shared" si="157"/>
        <v>-</v>
      </c>
      <c r="V231" s="9" t="s">
        <v>0</v>
      </c>
      <c r="W231" s="9" t="str">
        <f t="shared" si="158"/>
        <v>-</v>
      </c>
      <c r="X231" s="9" t="s">
        <v>0</v>
      </c>
      <c r="Y231" s="9" t="str">
        <f>IF(OR(X231="",X231="-"),"-",X231*$M231*SQRT(3)/1000)</f>
        <v>-</v>
      </c>
      <c r="Z231" s="9" t="s">
        <v>0</v>
      </c>
      <c r="AA231" s="9" t="str">
        <f>IF(OR(Z231="",Z231="-"),"-",Z231*$M231*SQRT(3)/1000)</f>
        <v>-</v>
      </c>
      <c r="AB231" s="9" t="s">
        <v>0</v>
      </c>
      <c r="AC231" s="9" t="str">
        <f>IF(OR(AB231="",AB231="-"),"-",AB231*$M231*SQRT(3)/1000)</f>
        <v>-</v>
      </c>
      <c r="AD231" s="9" t="s">
        <v>0</v>
      </c>
      <c r="AE231" s="12" t="str">
        <f>IF(OR(AD231="",AD231="-"),"-",AD231*$M231*SQRT(3)/1000)</f>
        <v>-</v>
      </c>
      <c r="AF231" s="9" t="s">
        <v>0</v>
      </c>
      <c r="AG231" s="9" t="s">
        <v>0</v>
      </c>
      <c r="AH231" s="9" t="s">
        <v>0</v>
      </c>
      <c r="AI231" s="9" t="s">
        <v>0</v>
      </c>
      <c r="AJ231" s="43" t="s">
        <v>0</v>
      </c>
      <c r="AK231" s="29" t="s">
        <v>0</v>
      </c>
      <c r="AL231" s="32" t="s">
        <v>0</v>
      </c>
      <c r="AM231" s="29" t="s">
        <v>0</v>
      </c>
      <c r="AN231" s="32" t="s">
        <v>0</v>
      </c>
      <c r="AO231" s="29" t="s">
        <v>0</v>
      </c>
      <c r="AP231" s="32" t="s">
        <v>0</v>
      </c>
      <c r="AQ231" s="32" t="s">
        <v>0</v>
      </c>
      <c r="AR231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31" s="9" t="str">
        <f>IF(OR(AR231="",AR231="-"),"-",AR231*$M231*SQRT(3)/1000)</f>
        <v>-</v>
      </c>
      <c r="AT231" s="9" t="str">
        <f>IF(RIGHT(TMK[[#This Row],[Device type]],7)="Winding","-",TMK[[#This Row],[Cont Winter MVA]])</f>
        <v>-</v>
      </c>
      <c r="AU231" s="9" t="str">
        <f>IF(RIGHT(TMK[[#This Row],[Device type]],7)="Winding","-",TMK[[#This Row],[Cont Shoulder MVA]])</f>
        <v>-</v>
      </c>
      <c r="AV231" s="9" t="str">
        <f>IF(RIGHT(TMK[[#This Row],[Device type]],7)="Winding","-",TMK[[#This Row],[Cont Summer MVA]])</f>
        <v>-</v>
      </c>
      <c r="AW231" s="9" t="str">
        <f>IF(RIGHT(TMK[[#This Row],[Device type]],7)="Winding","-",TMK[[#This Row],[24 Hr Winter MVA]])</f>
        <v>-</v>
      </c>
      <c r="AX231" s="9" t="str">
        <f>IF(RIGHT(TMK[[#This Row],[Device type]],7)="Winding","-",TMK[[#This Row],[24 Hr Summer MVA]])</f>
        <v>-</v>
      </c>
      <c r="AY231" s="9" t="str">
        <f>TMK[[#This Row],[Forwards MVA]]</f>
        <v>-</v>
      </c>
      <c r="AZ231" s="9" t="str">
        <f>TMK[[#This Row],[Relay MVA]]</f>
        <v>-</v>
      </c>
      <c r="BA231" s="9" t="str">
        <f>TMK[[#This Row],[CT MVA]]</f>
        <v>-</v>
      </c>
      <c r="BB231" s="9" t="str">
        <f>TMK[[#This Row],[Derating MVA]]</f>
        <v>-</v>
      </c>
      <c r="BC231" s="9" t="str">
        <f>TMK[[#This Row],[Station/Feeder]]&amp;TMK[[#This Row],[Lowest MVA]]</f>
        <v>CD_1</v>
      </c>
      <c r="BD231" s="9" t="str">
        <f>CONCATENATE(TMK[[#This Row],[Supply Level]],TMK[[#This Row],[Station/Feeder]],TMK[[#This Row],[Voltage]],TMK[[#This Row],[Lowest A-No PTX]])</f>
        <v>ZoneSubstationCD_133.594</v>
      </c>
      <c r="BE231" s="9" t="str">
        <f>CONCATENATE(TMK[[#This Row],[Supply Level]],TMK[[#This Row],[Station/Feeder]],TMK[[#This Row],[Voltage]],TMK[[#This Row],[Lowest A-PTX]])</f>
        <v>ZoneSubstationCD_133.594343.722253491472</v>
      </c>
      <c r="BF231" s="9" t="str">
        <f>IFERROR(IF(MIN(TMK[[#This Row],[Summ Cont Winter A]:[Cable Derating]])=0,"",MIN(TMK[[#This Row],[Summ Cont Winter A]:[Cable Derating]])),"")</f>
        <v/>
      </c>
      <c r="BG231" s="9" t="str">
        <f>IFERROR(TMK[[#This Row],[Lowest MVA]]*1000/(TMK[[#This Row],[Voltage]]*SQRT(3)),"")</f>
        <v/>
      </c>
      <c r="BH231" s="9">
        <f t="shared" si="159"/>
        <v>343.72225349147215</v>
      </c>
      <c r="BI231" s="9" t="str">
        <f>TMK[[#This Row],[From]]</f>
        <v>Recloser T615</v>
      </c>
      <c r="BJ231" s="9" t="str">
        <f>TMK[[#This Row],[To]]</f>
        <v>11 kV Bus</v>
      </c>
      <c r="BK23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Transformer-D1246-T1-HV Winding</v>
      </c>
      <c r="BL231" s="9">
        <f>TMK[[#This Row],[Voltage]]</f>
        <v>33.594000000000001</v>
      </c>
    </row>
    <row r="232" spans="1:64" s="1" customFormat="1" x14ac:dyDescent="0.25">
      <c r="A232" s="6" t="str">
        <f>CONCATENATE(TMK[[#This Row],[Supply Level]],TMK[[#This Row],[Station/Feeder]],TMK[[#This Row],[Voltage]],"T1")</f>
        <v>ZoneSubstationCD_111T1</v>
      </c>
      <c r="B232" s="6" t="str">
        <f>CONCATENATE(TMK[[#This Row],[Supply Level]],TMK[[#This Row],[Station/Feeder]],TMK[[#This Row],[Equipment ID]],TMK[[#This Row],[Voltage]],TMK[[#This Row],[Device type]])</f>
        <v>ZoneSubstationCD_1D1246-T111LV Winding</v>
      </c>
      <c r="C232" s="6" t="s">
        <v>1246</v>
      </c>
      <c r="D232" s="11" t="s">
        <v>88</v>
      </c>
      <c r="E232" s="7" t="s">
        <v>619</v>
      </c>
      <c r="F232" s="7" t="s">
        <v>243</v>
      </c>
      <c r="G232" s="56">
        <v>7</v>
      </c>
      <c r="H232" s="46" t="s">
        <v>275</v>
      </c>
      <c r="I232" s="123" t="s">
        <v>621</v>
      </c>
      <c r="J232" s="123" t="s">
        <v>19</v>
      </c>
      <c r="K232" s="46" t="s">
        <v>0</v>
      </c>
      <c r="L232" s="46" t="s">
        <v>37</v>
      </c>
      <c r="M232" s="43">
        <v>11</v>
      </c>
      <c r="N232" s="9">
        <f>20*1000/(TMK[[#This Row],[Voltage]]*SQRT(3))</f>
        <v>1049.727762162956</v>
      </c>
      <c r="O232" s="9">
        <f t="shared" si="154"/>
        <v>20</v>
      </c>
      <c r="P232" s="9" t="s">
        <v>0</v>
      </c>
      <c r="Q232" s="9" t="str">
        <f t="shared" si="155"/>
        <v>-</v>
      </c>
      <c r="R232" s="9" t="s">
        <v>0</v>
      </c>
      <c r="S232" s="9" t="str">
        <f t="shared" si="156"/>
        <v>-</v>
      </c>
      <c r="T232" s="9" t="s">
        <v>0</v>
      </c>
      <c r="U232" s="9" t="str">
        <f t="shared" si="157"/>
        <v>-</v>
      </c>
      <c r="V232" s="9" t="s">
        <v>0</v>
      </c>
      <c r="W232" s="9" t="str">
        <f t="shared" si="158"/>
        <v>-</v>
      </c>
      <c r="X232" s="9" t="s">
        <v>0</v>
      </c>
      <c r="Y232" s="9" t="str">
        <f t="shared" si="160"/>
        <v>-</v>
      </c>
      <c r="Z232" s="9" t="s">
        <v>0</v>
      </c>
      <c r="AA232" s="9" t="str">
        <f t="shared" si="161"/>
        <v>-</v>
      </c>
      <c r="AB232" s="9" t="s">
        <v>0</v>
      </c>
      <c r="AC232" s="9" t="str">
        <f t="shared" si="162"/>
        <v>-</v>
      </c>
      <c r="AD232" s="9" t="s">
        <v>0</v>
      </c>
      <c r="AE232" s="12" t="str">
        <f t="shared" si="163"/>
        <v>-</v>
      </c>
      <c r="AF232" s="9" t="s">
        <v>0</v>
      </c>
      <c r="AG232" s="9" t="s">
        <v>0</v>
      </c>
      <c r="AH232" s="9" t="s">
        <v>0</v>
      </c>
      <c r="AI232" s="9" t="s">
        <v>0</v>
      </c>
      <c r="AJ232" s="43" t="s">
        <v>0</v>
      </c>
      <c r="AK232" s="29" t="s">
        <v>0</v>
      </c>
      <c r="AL232" s="32" t="s">
        <v>0</v>
      </c>
      <c r="AM232" s="29" t="s">
        <v>0</v>
      </c>
      <c r="AN232" s="32" t="s">
        <v>0</v>
      </c>
      <c r="AO232" s="29" t="s">
        <v>0</v>
      </c>
      <c r="AP232" s="32" t="s">
        <v>0</v>
      </c>
      <c r="AQ232" s="32" t="s">
        <v>0</v>
      </c>
      <c r="AR232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32" s="9" t="str">
        <f t="shared" si="164"/>
        <v>-</v>
      </c>
      <c r="AT232" s="9" t="str">
        <f>IF(RIGHT(TMK[[#This Row],[Device type]],7)="Winding","-",TMK[[#This Row],[Cont Winter MVA]])</f>
        <v>-</v>
      </c>
      <c r="AU232" s="9" t="str">
        <f>IF(RIGHT(TMK[[#This Row],[Device type]],7)="Winding","-",TMK[[#This Row],[Cont Shoulder MVA]])</f>
        <v>-</v>
      </c>
      <c r="AV232" s="9" t="str">
        <f>IF(RIGHT(TMK[[#This Row],[Device type]],7)="Winding","-",TMK[[#This Row],[Cont Summer MVA]])</f>
        <v>-</v>
      </c>
      <c r="AW232" s="9" t="str">
        <f>IF(RIGHT(TMK[[#This Row],[Device type]],7)="Winding","-",TMK[[#This Row],[24 Hr Winter MVA]])</f>
        <v>-</v>
      </c>
      <c r="AX232" s="9" t="str">
        <f>IF(RIGHT(TMK[[#This Row],[Device type]],7)="Winding","-",TMK[[#This Row],[24 Hr Summer MVA]])</f>
        <v>-</v>
      </c>
      <c r="AY232" s="9" t="str">
        <f>TMK[[#This Row],[Forwards MVA]]</f>
        <v>-</v>
      </c>
      <c r="AZ232" s="9" t="str">
        <f>TMK[[#This Row],[Relay MVA]]</f>
        <v>-</v>
      </c>
      <c r="BA232" s="9" t="str">
        <f>TMK[[#This Row],[CT MVA]]</f>
        <v>-</v>
      </c>
      <c r="BB232" s="9" t="str">
        <f>TMK[[#This Row],[Derating MVA]]</f>
        <v>-</v>
      </c>
      <c r="BC232" s="9" t="str">
        <f>TMK[[#This Row],[Station/Feeder]]&amp;TMK[[#This Row],[Lowest MVA]]</f>
        <v>CD_1</v>
      </c>
      <c r="BD232" s="9" t="str">
        <f>CONCATENATE(TMK[[#This Row],[Supply Level]],TMK[[#This Row],[Station/Feeder]],TMK[[#This Row],[Voltage]],TMK[[#This Row],[Lowest A-No PTX]])</f>
        <v>ZoneSubstationCD_111</v>
      </c>
      <c r="BE232" s="9" t="str">
        <f>CONCATENATE(TMK[[#This Row],[Supply Level]],TMK[[#This Row],[Station/Feeder]],TMK[[#This Row],[Voltage]],TMK[[#This Row],[Lowest A-PTX]])</f>
        <v>ZoneSubstationCD_1111049.72776216296</v>
      </c>
      <c r="BF232" s="9" t="str">
        <f>IFERROR(IF(MIN(TMK[[#This Row],[Summ Cont Winter A]:[Cable Derating]])=0,"",MIN(TMK[[#This Row],[Summ Cont Winter A]:[Cable Derating]])),"")</f>
        <v/>
      </c>
      <c r="BG232" s="9" t="str">
        <f>IFERROR(TMK[[#This Row],[Lowest MVA]]*1000/(TMK[[#This Row],[Voltage]]*SQRT(3)),"")</f>
        <v/>
      </c>
      <c r="BH232" s="9">
        <f t="shared" si="159"/>
        <v>1049.727762162956</v>
      </c>
      <c r="BI232" s="9" t="str">
        <f>TMK[[#This Row],[From]]</f>
        <v>Recloser T615</v>
      </c>
      <c r="BJ232" s="9" t="str">
        <f>TMK[[#This Row],[To]]</f>
        <v>11 kV Bus</v>
      </c>
      <c r="BK23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Transformer-D1246-T1-LV Winding</v>
      </c>
      <c r="BL232" s="9">
        <f>TMK[[#This Row],[Voltage]]</f>
        <v>11</v>
      </c>
    </row>
    <row r="233" spans="1:64" s="1" customFormat="1" x14ac:dyDescent="0.25">
      <c r="A233" s="6" t="str">
        <f>CONCATENATE(TMK[[#This Row],[Supply Level]],TMK[[#This Row],[Station/Feeder]],TMK[[#This Row],[Voltage]],"T1")</f>
        <v>ZoneSubstationCD_111T1</v>
      </c>
      <c r="B233" s="6" t="str">
        <f>CONCATENATE(TMK[[#This Row],[Supply Level]],TMK[[#This Row],[Station/Feeder]],TMK[[#This Row],[Equipment ID]],TMK[[#This Row],[Voltage]],TMK[[#This Row],[Device type]])</f>
        <v>ZoneSubstationCD_16-1c 500 mm² Al XLPE11-</v>
      </c>
      <c r="C233" s="6" t="s">
        <v>1246</v>
      </c>
      <c r="D233" s="11" t="s">
        <v>88</v>
      </c>
      <c r="E233" s="7" t="s">
        <v>619</v>
      </c>
      <c r="F233" s="7" t="s">
        <v>243</v>
      </c>
      <c r="G233" s="56">
        <v>8</v>
      </c>
      <c r="H233" s="7" t="s">
        <v>585</v>
      </c>
      <c r="I233" s="123" t="s">
        <v>623</v>
      </c>
      <c r="J233" s="123" t="s">
        <v>250</v>
      </c>
      <c r="K233" s="46" t="s">
        <v>0</v>
      </c>
      <c r="L233" s="46" t="s">
        <v>0</v>
      </c>
      <c r="M233" s="43">
        <v>11</v>
      </c>
      <c r="N233" s="9">
        <v>1462</v>
      </c>
      <c r="O233" s="9">
        <f t="shared" si="154"/>
        <v>27.854841087322683</v>
      </c>
      <c r="P233" s="9">
        <v>1462</v>
      </c>
      <c r="Q233" s="9">
        <f t="shared" si="155"/>
        <v>27.854841087322683</v>
      </c>
      <c r="R233" s="9">
        <v>1462</v>
      </c>
      <c r="S233" s="9">
        <f t="shared" si="156"/>
        <v>27.854841087322683</v>
      </c>
      <c r="T233" s="9" t="s">
        <v>0</v>
      </c>
      <c r="U233" s="9" t="str">
        <f t="shared" si="157"/>
        <v>-</v>
      </c>
      <c r="V233" s="9" t="s">
        <v>0</v>
      </c>
      <c r="W233" s="9" t="str">
        <f t="shared" si="158"/>
        <v>-</v>
      </c>
      <c r="X233" s="9" t="s">
        <v>0</v>
      </c>
      <c r="Y233" s="9" t="str">
        <f t="shared" si="160"/>
        <v>-</v>
      </c>
      <c r="Z233" s="9" t="s">
        <v>0</v>
      </c>
      <c r="AA233" s="9" t="str">
        <f t="shared" si="161"/>
        <v>-</v>
      </c>
      <c r="AB233" s="9" t="s">
        <v>0</v>
      </c>
      <c r="AC233" s="9" t="str">
        <f t="shared" si="162"/>
        <v>-</v>
      </c>
      <c r="AD233" s="9" t="s">
        <v>0</v>
      </c>
      <c r="AE233" s="12" t="str">
        <f t="shared" si="163"/>
        <v>-</v>
      </c>
      <c r="AF233" s="9">
        <v>1</v>
      </c>
      <c r="AG233" s="9" t="s">
        <v>265</v>
      </c>
      <c r="AH233" s="9">
        <v>4</v>
      </c>
      <c r="AI233" s="9">
        <v>0.8</v>
      </c>
      <c r="AJ233" s="43">
        <v>1</v>
      </c>
      <c r="AK233" s="29">
        <v>18</v>
      </c>
      <c r="AL233" s="32">
        <v>0.98299999999999998</v>
      </c>
      <c r="AM233" s="29">
        <v>1.2</v>
      </c>
      <c r="AN233" s="32">
        <v>1</v>
      </c>
      <c r="AO233" s="29">
        <v>1</v>
      </c>
      <c r="AP233" s="32">
        <v>0</v>
      </c>
      <c r="AQ233" s="32">
        <v>1</v>
      </c>
      <c r="AR233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1437.146</v>
      </c>
      <c r="AS233" s="9">
        <f t="shared" si="164"/>
        <v>27.381308788838197</v>
      </c>
      <c r="AT233" s="9">
        <f>IF(RIGHT(TMK[[#This Row],[Device type]],7)="Winding","-",TMK[[#This Row],[Cont Winter MVA]])</f>
        <v>27.854841087322683</v>
      </c>
      <c r="AU233" s="9">
        <f>IF(RIGHT(TMK[[#This Row],[Device type]],7)="Winding","-",TMK[[#This Row],[Cont Shoulder MVA]])</f>
        <v>27.854841087322683</v>
      </c>
      <c r="AV233" s="9">
        <f>IF(RIGHT(TMK[[#This Row],[Device type]],7)="Winding","-",TMK[[#This Row],[Cont Summer MVA]])</f>
        <v>27.854841087322683</v>
      </c>
      <c r="AW233" s="9" t="str">
        <f>IF(RIGHT(TMK[[#This Row],[Device type]],7)="Winding","-",TMK[[#This Row],[24 Hr Winter MVA]])</f>
        <v>-</v>
      </c>
      <c r="AX233" s="9" t="str">
        <f>IF(RIGHT(TMK[[#This Row],[Device type]],7)="Winding","-",TMK[[#This Row],[24 Hr Summer MVA]])</f>
        <v>-</v>
      </c>
      <c r="AY233" s="9" t="str">
        <f>TMK[[#This Row],[Forwards MVA]]</f>
        <v>-</v>
      </c>
      <c r="AZ233" s="9" t="str">
        <f>TMK[[#This Row],[Relay MVA]]</f>
        <v>-</v>
      </c>
      <c r="BA233" s="9" t="str">
        <f>TMK[[#This Row],[CT MVA]]</f>
        <v>-</v>
      </c>
      <c r="BB233" s="9">
        <f>TMK[[#This Row],[Derating MVA]]</f>
        <v>27.381308788838197</v>
      </c>
      <c r="BC233" s="9" t="str">
        <f>TMK[[#This Row],[Station/Feeder]]&amp;TMK[[#This Row],[Lowest MVA]]</f>
        <v>CD_127.3813087888382</v>
      </c>
      <c r="BD233" s="9" t="str">
        <f>CONCATENATE(TMK[[#This Row],[Supply Level]],TMK[[#This Row],[Station/Feeder]],TMK[[#This Row],[Voltage]],TMK[[#This Row],[Lowest A-No PTX]])</f>
        <v>ZoneSubstationCD_1111437.146</v>
      </c>
      <c r="BE233" s="9" t="str">
        <f>CONCATENATE(TMK[[#This Row],[Supply Level]],TMK[[#This Row],[Station/Feeder]],TMK[[#This Row],[Voltage]],TMK[[#This Row],[Lowest A-PTX]])</f>
        <v>ZoneSubstationCD_1111437.146</v>
      </c>
      <c r="BF233" s="9">
        <f>IFERROR(IF(MIN(TMK[[#This Row],[Summ Cont Winter A]:[Cable Derating]])=0,"",MIN(TMK[[#This Row],[Summ Cont Winter A]:[Cable Derating]])),"")</f>
        <v>27.381308788838197</v>
      </c>
      <c r="BG233" s="9">
        <f>IFERROR(TMK[[#This Row],[Lowest MVA]]*1000/(TMK[[#This Row],[Voltage]]*SQRT(3)),"")</f>
        <v>1437.146</v>
      </c>
      <c r="BH233" s="9">
        <f t="shared" si="159"/>
        <v>1437.146</v>
      </c>
      <c r="BI233" s="9" t="str">
        <f>TMK[[#This Row],[From]]</f>
        <v>Recloser T615</v>
      </c>
      <c r="BJ233" s="9" t="str">
        <f>TMK[[#This Row],[To]]</f>
        <v>11 kV Bus</v>
      </c>
      <c r="BK23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Cable-6-1c 500 mm² Al XLPE</v>
      </c>
      <c r="BL233" s="9">
        <f>TMK[[#This Row],[Voltage]]</f>
        <v>11</v>
      </c>
    </row>
    <row r="234" spans="1:64" s="1" customFormat="1" x14ac:dyDescent="0.25">
      <c r="A234" s="6" t="str">
        <f>CONCATENATE(TMK[[#This Row],[Supply Level]],TMK[[#This Row],[Station/Feeder]],TMK[[#This Row],[Voltage]],"T1")</f>
        <v>ZoneSubstationCD_111T1</v>
      </c>
      <c r="B234" s="6" t="str">
        <f>CONCATENATE(TMK[[#This Row],[Supply Level]],TMK[[#This Row],[Station/Feeder]],TMK[[#This Row],[Equipment ID]],TMK[[#This Row],[Voltage]],TMK[[#This Row],[Device type]])</f>
        <v>ZoneSubstationCD_1CD1-T60611Protection</v>
      </c>
      <c r="C234" s="6" t="s">
        <v>1246</v>
      </c>
      <c r="D234" s="11" t="s">
        <v>88</v>
      </c>
      <c r="E234" s="7" t="s">
        <v>619</v>
      </c>
      <c r="F234" s="7" t="s">
        <v>243</v>
      </c>
      <c r="G234" s="56">
        <v>9</v>
      </c>
      <c r="H234" s="7" t="s">
        <v>343</v>
      </c>
      <c r="I234" s="123" t="s">
        <v>2438</v>
      </c>
      <c r="J234" s="123" t="s">
        <v>15</v>
      </c>
      <c r="K234" s="46" t="s">
        <v>1126</v>
      </c>
      <c r="L234" s="46" t="s">
        <v>1423</v>
      </c>
      <c r="M234" s="43">
        <v>11</v>
      </c>
      <c r="N234" s="9">
        <v>1250</v>
      </c>
      <c r="O234" s="9">
        <f t="shared" si="154"/>
        <v>23.815698604072061</v>
      </c>
      <c r="P234" s="9">
        <v>1250</v>
      </c>
      <c r="Q234" s="9">
        <f t="shared" si="155"/>
        <v>23.815698604072061</v>
      </c>
      <c r="R234" s="9">
        <v>1250</v>
      </c>
      <c r="S234" s="9">
        <f t="shared" si="156"/>
        <v>23.815698604072061</v>
      </c>
      <c r="T234" s="9" t="s">
        <v>0</v>
      </c>
      <c r="U234" s="9" t="str">
        <f t="shared" si="157"/>
        <v>-</v>
      </c>
      <c r="V234" s="9" t="s">
        <v>0</v>
      </c>
      <c r="W234" s="9" t="str">
        <f t="shared" si="158"/>
        <v>-</v>
      </c>
      <c r="X234" s="9">
        <f>VLOOKUP(TMK[[#This Row],[Equipment ID]],AEL_Protection_Data[#All],12,0)</f>
        <v>1440</v>
      </c>
      <c r="Y234" s="9">
        <f t="shared" si="160"/>
        <v>27.435684791891013</v>
      </c>
      <c r="Z234" s="9">
        <v>1440</v>
      </c>
      <c r="AA234" s="9">
        <f t="shared" si="161"/>
        <v>27.435684791891013</v>
      </c>
      <c r="AB234" s="9" t="s">
        <v>0</v>
      </c>
      <c r="AC234" s="9" t="str">
        <f t="shared" si="162"/>
        <v>-</v>
      </c>
      <c r="AD234" s="9">
        <v>1200</v>
      </c>
      <c r="AE234" s="12">
        <f t="shared" si="163"/>
        <v>22.86307065990918</v>
      </c>
      <c r="AF234" s="9" t="s">
        <v>0</v>
      </c>
      <c r="AG234" s="9" t="s">
        <v>0</v>
      </c>
      <c r="AH234" s="9" t="s">
        <v>0</v>
      </c>
      <c r="AI234" s="9" t="s">
        <v>0</v>
      </c>
      <c r="AJ234" s="43" t="s">
        <v>0</v>
      </c>
      <c r="AK234" s="29" t="s">
        <v>0</v>
      </c>
      <c r="AL234" s="32" t="s">
        <v>0</v>
      </c>
      <c r="AM234" s="29" t="s">
        <v>0</v>
      </c>
      <c r="AN234" s="32" t="s">
        <v>0</v>
      </c>
      <c r="AO234" s="29" t="s">
        <v>0</v>
      </c>
      <c r="AP234" s="32" t="s">
        <v>0</v>
      </c>
      <c r="AQ234" s="32" t="s">
        <v>0</v>
      </c>
      <c r="AR234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34" s="9" t="str">
        <f t="shared" si="164"/>
        <v>-</v>
      </c>
      <c r="AT234" s="9">
        <f>IF(RIGHT(TMK[[#This Row],[Device type]],7)="Winding","-",TMK[[#This Row],[Cont Winter MVA]])</f>
        <v>23.815698604072061</v>
      </c>
      <c r="AU234" s="9">
        <f>IF(RIGHT(TMK[[#This Row],[Device type]],7)="Winding","-",TMK[[#This Row],[Cont Shoulder MVA]])</f>
        <v>23.815698604072061</v>
      </c>
      <c r="AV234" s="9">
        <f>IF(RIGHT(TMK[[#This Row],[Device type]],7)="Winding","-",TMK[[#This Row],[Cont Summer MVA]])</f>
        <v>23.815698604072061</v>
      </c>
      <c r="AW234" s="9" t="str">
        <f>IF(RIGHT(TMK[[#This Row],[Device type]],7)="Winding","-",TMK[[#This Row],[24 Hr Winter MVA]])</f>
        <v>-</v>
      </c>
      <c r="AX234" s="9" t="str">
        <f>IF(RIGHT(TMK[[#This Row],[Device type]],7)="Winding","-",TMK[[#This Row],[24 Hr Summer MVA]])</f>
        <v>-</v>
      </c>
      <c r="AY234" s="9">
        <f>TMK[[#This Row],[Forwards MVA]]</f>
        <v>27.435684791891013</v>
      </c>
      <c r="AZ234" s="9" t="str">
        <f>TMK[[#This Row],[Relay MVA]]</f>
        <v>-</v>
      </c>
      <c r="BA234" s="9">
        <f>TMK[[#This Row],[CT MVA]]</f>
        <v>22.86307065990918</v>
      </c>
      <c r="BB234" s="9" t="str">
        <f>TMK[[#This Row],[Derating MVA]]</f>
        <v>-</v>
      </c>
      <c r="BC234" s="9" t="str">
        <f>TMK[[#This Row],[Station/Feeder]]&amp;TMK[[#This Row],[Lowest MVA]]</f>
        <v>CD_122.8630706599092</v>
      </c>
      <c r="BD234" s="9" t="str">
        <f>CONCATENATE(TMK[[#This Row],[Supply Level]],TMK[[#This Row],[Station/Feeder]],TMK[[#This Row],[Voltage]],TMK[[#This Row],[Lowest A-No PTX]])</f>
        <v>ZoneSubstationCD_1111200</v>
      </c>
      <c r="BE234" s="9" t="str">
        <f>CONCATENATE(TMK[[#This Row],[Supply Level]],TMK[[#This Row],[Station/Feeder]],TMK[[#This Row],[Voltage]],TMK[[#This Row],[Lowest A-PTX]])</f>
        <v>ZoneSubstationCD_1111200</v>
      </c>
      <c r="BF234" s="9">
        <f>IFERROR(IF(MIN(TMK[[#This Row],[Summ Cont Winter A]:[Cable Derating]])=0,"",MIN(TMK[[#This Row],[Summ Cont Winter A]:[Cable Derating]])),"")</f>
        <v>22.86307065990918</v>
      </c>
      <c r="BG234" s="9">
        <f>IFERROR(TMK[[#This Row],[Lowest MVA]]*1000/(TMK[[#This Row],[Voltage]]*SQRT(3)),"")</f>
        <v>1200</v>
      </c>
      <c r="BH234" s="9">
        <f t="shared" si="159"/>
        <v>1200</v>
      </c>
      <c r="BI234" s="9" t="str">
        <f>TMK[[#This Row],[From]]</f>
        <v>Recloser T615</v>
      </c>
      <c r="BJ234" s="9" t="str">
        <f>TMK[[#This Row],[To]]</f>
        <v>11 kV Bus</v>
      </c>
      <c r="BK23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Breaker-CD1-T606-Protection</v>
      </c>
      <c r="BL234" s="9">
        <f>TMK[[#This Row],[Voltage]]</f>
        <v>11</v>
      </c>
    </row>
    <row r="235" spans="1:64" s="1" customFormat="1" ht="15" customHeight="1" x14ac:dyDescent="0.25">
      <c r="A235" s="6" t="str">
        <f>CONCATENATE(TMK[[#This Row],[Supply Level]],TMK[[#This Row],[Station/Feeder]],TMK[[#This Row],[Voltage]])</f>
        <v>SubTransmissionCB1272_Clandeboye No.233.594</v>
      </c>
      <c r="B235" s="6" t="str">
        <f>CONCATENATE(TMK[[#This Row],[Supply Level]],TMK[[#This Row],[Station/Feeder]],TMK[[#This Row],[Equipment ID]],TMK[[#This Row],[Voltage]],TMK[[#This Row],[Device type]])</f>
        <v>SubTransmissionCB1272_Clandeboye No.2TMK-CB127233.594Protection</v>
      </c>
      <c r="C235" s="6" t="s">
        <v>1245</v>
      </c>
      <c r="D235" s="11" t="s">
        <v>228</v>
      </c>
      <c r="E235" s="7" t="s">
        <v>63</v>
      </c>
      <c r="F235" s="7" t="s">
        <v>556</v>
      </c>
      <c r="G235" s="56">
        <v>1</v>
      </c>
      <c r="H235" s="7" t="s">
        <v>2386</v>
      </c>
      <c r="I235" s="123" t="s">
        <v>2314</v>
      </c>
      <c r="J235" s="123" t="s">
        <v>15</v>
      </c>
      <c r="K235" s="46" t="s">
        <v>470</v>
      </c>
      <c r="L235" s="46" t="s">
        <v>1423</v>
      </c>
      <c r="M235" s="43">
        <f t="shared" si="121"/>
        <v>33.594000000000001</v>
      </c>
      <c r="N235" s="9">
        <v>630</v>
      </c>
      <c r="O235" s="9">
        <f t="shared" si="154"/>
        <v>36.657504342565389</v>
      </c>
      <c r="P235" s="9">
        <v>630</v>
      </c>
      <c r="Q235" s="9">
        <f t="shared" si="155"/>
        <v>36.657504342565389</v>
      </c>
      <c r="R235" s="9">
        <v>630</v>
      </c>
      <c r="S235" s="9">
        <f t="shared" si="156"/>
        <v>36.657504342565389</v>
      </c>
      <c r="T235" s="9">
        <v>630</v>
      </c>
      <c r="U235" s="9">
        <f t="shared" si="157"/>
        <v>36.657504342565389</v>
      </c>
      <c r="V235" s="9">
        <v>630</v>
      </c>
      <c r="W235" s="9">
        <f t="shared" si="158"/>
        <v>36.657504342565389</v>
      </c>
      <c r="X235" s="9">
        <f>VLOOKUP(TMK[[#This Row],[Equipment ID]],AEL_Protection_Data[#All],12,0)</f>
        <v>510</v>
      </c>
      <c r="Y235" s="9">
        <f>IF(OR(X235="",X235="-"),"-",X235*$M235*SQRT(3)/1000)</f>
        <v>29.675122563029124</v>
      </c>
      <c r="Z235" s="9">
        <f>TMK[[#This Row],[Forward A]]</f>
        <v>510</v>
      </c>
      <c r="AA235" s="9">
        <f>IF(OR(Z235="",Z235="-"),"-",Z235*$M235*SQRT(3)/1000)</f>
        <v>29.675122563029124</v>
      </c>
      <c r="AB235" s="9">
        <v>1800</v>
      </c>
      <c r="AC235" s="9">
        <f>IF(OR(AB235="",AB235="-"),"-",AB235*$M235*SQRT(3)/1000)</f>
        <v>104.73572669304396</v>
      </c>
      <c r="AD235" s="9">
        <v>1250</v>
      </c>
      <c r="AE235" s="12">
        <f>IF(OR(AD235="",AD235="-"),"-",AD235*$M235*SQRT(3)/1000)</f>
        <v>72.733143536836067</v>
      </c>
      <c r="AF235" s="9" t="s">
        <v>0</v>
      </c>
      <c r="AG235" s="9" t="s">
        <v>0</v>
      </c>
      <c r="AH235" s="9" t="s">
        <v>0</v>
      </c>
      <c r="AI235" s="9" t="s">
        <v>0</v>
      </c>
      <c r="AJ235" s="43" t="s">
        <v>0</v>
      </c>
      <c r="AK235" s="29" t="s">
        <v>0</v>
      </c>
      <c r="AL235" s="32" t="s">
        <v>0</v>
      </c>
      <c r="AM235" s="29" t="s">
        <v>0</v>
      </c>
      <c r="AN235" s="32" t="s">
        <v>0</v>
      </c>
      <c r="AO235" s="29" t="s">
        <v>0</v>
      </c>
      <c r="AP235" s="32" t="s">
        <v>0</v>
      </c>
      <c r="AQ235" s="32" t="s">
        <v>0</v>
      </c>
      <c r="AR235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35" s="9" t="str">
        <f>IF(OR(AR235="",AR235="-"),"-",AR235*$M235*SQRT(3)/1000)</f>
        <v>-</v>
      </c>
      <c r="AT235" s="9">
        <f>IF(RIGHT(TMK[[#This Row],[Device type]],7)="Winding","-",TMK[[#This Row],[Cont Winter MVA]])</f>
        <v>36.657504342565389</v>
      </c>
      <c r="AU235" s="9">
        <f>IF(RIGHT(TMK[[#This Row],[Device type]],7)="Winding","-",TMK[[#This Row],[Cont Shoulder MVA]])</f>
        <v>36.657504342565389</v>
      </c>
      <c r="AV235" s="9">
        <f>IF(RIGHT(TMK[[#This Row],[Device type]],7)="Winding","-",TMK[[#This Row],[Cont Summer MVA]])</f>
        <v>36.657504342565389</v>
      </c>
      <c r="AW235" s="9">
        <f>IF(RIGHT(TMK[[#This Row],[Device type]],7)="Winding","-",TMK[[#This Row],[24 Hr Winter MVA]])</f>
        <v>36.657504342565389</v>
      </c>
      <c r="AX235" s="9">
        <f>IF(RIGHT(TMK[[#This Row],[Device type]],7)="Winding","-",TMK[[#This Row],[24 Hr Summer MVA]])</f>
        <v>36.657504342565389</v>
      </c>
      <c r="AY235" s="9">
        <f>TMK[[#This Row],[Forwards MVA]]</f>
        <v>29.675122563029124</v>
      </c>
      <c r="AZ235" s="9">
        <f>TMK[[#This Row],[Relay MVA]]</f>
        <v>104.73572669304396</v>
      </c>
      <c r="BA235" s="9">
        <f>TMK[[#This Row],[CT MVA]]</f>
        <v>72.733143536836067</v>
      </c>
      <c r="BB235" s="9" t="str">
        <f>TMK[[#This Row],[Derating MVA]]</f>
        <v>-</v>
      </c>
      <c r="BC235" s="9" t="str">
        <f>TMK[[#This Row],[Station/Feeder]]&amp;TMK[[#This Row],[Lowest MVA]]</f>
        <v>CB1272_Clandeboye No.229.6751225630291</v>
      </c>
      <c r="BD235" s="9" t="str">
        <f>CONCATENATE(TMK[[#This Row],[Supply Level]],TMK[[#This Row],[Station/Feeder]],TMK[[#This Row],[Voltage]],TMK[[#This Row],[Lowest A-No PTX]])</f>
        <v>SubTransmissionCB1272_Clandeboye No.233.594510</v>
      </c>
      <c r="BE235" s="9" t="str">
        <f>CONCATENATE(TMK[[#This Row],[Supply Level]],TMK[[#This Row],[Station/Feeder]],TMK[[#This Row],[Voltage]],TMK[[#This Row],[Lowest A-PTX]])</f>
        <v>SubTransmissionCB1272_Clandeboye No.233.594510</v>
      </c>
      <c r="BF235" s="9">
        <f>IFERROR(IF(MIN(TMK[[#This Row],[Summ Cont Winter A]:[Cable Derating]])=0,"",MIN(TMK[[#This Row],[Summ Cont Winter A]:[Cable Derating]])),"")</f>
        <v>29.675122563029124</v>
      </c>
      <c r="BG235" s="9">
        <f>IFERROR(TMK[[#This Row],[Lowest MVA]]*1000/(TMK[[#This Row],[Voltage]]*SQRT(3)),"")</f>
        <v>510.00000000000006</v>
      </c>
      <c r="BH235" s="9">
        <f t="shared" si="159"/>
        <v>510</v>
      </c>
      <c r="BI235" s="9" t="str">
        <f>TMK[[#This Row],[From]]</f>
        <v>33 kV Bus</v>
      </c>
      <c r="BJ235" s="9" t="str">
        <f>TMK[[#This Row],[To]]</f>
        <v>Pole 02001</v>
      </c>
      <c r="BK23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Breaker-TMK-CB1272-Protection</v>
      </c>
      <c r="BL235" s="9">
        <f>TMK[[#This Row],[Voltage]]</f>
        <v>33.594000000000001</v>
      </c>
    </row>
    <row r="236" spans="1:64" s="1" customFormat="1" ht="15" customHeight="1" x14ac:dyDescent="0.25">
      <c r="A236" s="6" t="str">
        <f>CONCATENATE(TMK[[#This Row],[Supply Level]],TMK[[#This Row],[Station/Feeder]],TMK[[#This Row],[Voltage]])</f>
        <v>SubTransmissionCB1272_Clandeboye No.233.594</v>
      </c>
      <c r="B236" s="6" t="str">
        <f>CONCATENATE(TMK[[#This Row],[Supply Level]],TMK[[#This Row],[Station/Feeder]],TMK[[#This Row],[Equipment ID]],TMK[[#This Row],[Voltage]],TMK[[#This Row],[Device type]])</f>
        <v>SubTransmissionCB1272_Clandeboye No.26-1c 300 mm² Al XLPE33.594-</v>
      </c>
      <c r="C236" s="6" t="s">
        <v>1245</v>
      </c>
      <c r="D236" s="11" t="s">
        <v>228</v>
      </c>
      <c r="E236" s="7" t="s">
        <v>63</v>
      </c>
      <c r="F236" s="7" t="s">
        <v>556</v>
      </c>
      <c r="G236" s="56">
        <v>2</v>
      </c>
      <c r="H236" s="7" t="s">
        <v>585</v>
      </c>
      <c r="I236" s="123" t="s">
        <v>625</v>
      </c>
      <c r="J236" s="123" t="s">
        <v>250</v>
      </c>
      <c r="K236" s="46" t="s">
        <v>0</v>
      </c>
      <c r="L236" s="46" t="s">
        <v>0</v>
      </c>
      <c r="M236" s="43">
        <f t="shared" si="121"/>
        <v>33.594000000000001</v>
      </c>
      <c r="N236" s="9">
        <v>828</v>
      </c>
      <c r="O236" s="9">
        <f t="shared" si="154"/>
        <v>48.178434278800218</v>
      </c>
      <c r="P236" s="9">
        <v>828</v>
      </c>
      <c r="Q236" s="9">
        <f t="shared" si="155"/>
        <v>48.178434278800218</v>
      </c>
      <c r="R236" s="9">
        <v>828</v>
      </c>
      <c r="S236" s="9">
        <f t="shared" si="156"/>
        <v>48.178434278800218</v>
      </c>
      <c r="T236" s="9" t="s">
        <v>0</v>
      </c>
      <c r="U236" s="9" t="str">
        <f t="shared" si="157"/>
        <v>-</v>
      </c>
      <c r="V236" s="9" t="s">
        <v>0</v>
      </c>
      <c r="W236" s="9" t="str">
        <f t="shared" si="158"/>
        <v>-</v>
      </c>
      <c r="X236" s="9" t="s">
        <v>0</v>
      </c>
      <c r="Y236" s="9" t="str">
        <f t="shared" ref="Y236:Y238" si="177">IF(OR(X236="",X236="-"),"-",X236*$M236*SQRT(3)/1000)</f>
        <v>-</v>
      </c>
      <c r="Z236" s="9" t="s">
        <v>0</v>
      </c>
      <c r="AA236" s="9" t="str">
        <f t="shared" ref="AA236:AA238" si="178">IF(OR(Z236="",Z236="-"),"-",Z236*$M236*SQRT(3)/1000)</f>
        <v>-</v>
      </c>
      <c r="AB236" s="9" t="s">
        <v>0</v>
      </c>
      <c r="AC236" s="9" t="str">
        <f t="shared" ref="AC236:AC238" si="179">IF(OR(AB236="",AB236="-"),"-",AB236*$M236*SQRT(3)/1000)</f>
        <v>-</v>
      </c>
      <c r="AD236" s="9" t="s">
        <v>0</v>
      </c>
      <c r="AE236" s="12" t="str">
        <f t="shared" ref="AE236:AE238" si="180">IF(OR(AD236="",AD236="-"),"-",AD236*$M236*SQRT(3)/1000)</f>
        <v>-</v>
      </c>
      <c r="AF236" s="9">
        <v>1</v>
      </c>
      <c r="AG236" s="9" t="s">
        <v>344</v>
      </c>
      <c r="AH236" s="9">
        <v>231</v>
      </c>
      <c r="AI236" s="9">
        <v>1.1000000000000001</v>
      </c>
      <c r="AJ236" s="43">
        <v>0.97</v>
      </c>
      <c r="AK236" s="29">
        <v>18.5</v>
      </c>
      <c r="AL236" s="32">
        <v>0.98</v>
      </c>
      <c r="AM236" s="29">
        <v>1.2</v>
      </c>
      <c r="AN236" s="32">
        <v>1</v>
      </c>
      <c r="AO236" s="29">
        <v>4</v>
      </c>
      <c r="AP236" s="32">
        <v>0.4</v>
      </c>
      <c r="AQ236" s="32">
        <v>0.75</v>
      </c>
      <c r="AR236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590.32259999999997</v>
      </c>
      <c r="AS236" s="9">
        <f t="shared" ref="AS236:AS238" si="181">IF(OR(AR236="",AR236="-"),"-",AR236*$M236*SQRT(3)/1000)</f>
        <v>34.348814719070617</v>
      </c>
      <c r="AT236" s="9">
        <f>IF(RIGHT(TMK[[#This Row],[Device type]],7)="Winding","-",TMK[[#This Row],[Cont Winter MVA]])</f>
        <v>48.178434278800218</v>
      </c>
      <c r="AU236" s="9">
        <f>IF(RIGHT(TMK[[#This Row],[Device type]],7)="Winding","-",TMK[[#This Row],[Cont Shoulder MVA]])</f>
        <v>48.178434278800218</v>
      </c>
      <c r="AV236" s="9">
        <f>IF(RIGHT(TMK[[#This Row],[Device type]],7)="Winding","-",TMK[[#This Row],[Cont Summer MVA]])</f>
        <v>48.178434278800218</v>
      </c>
      <c r="AW236" s="9" t="str">
        <f>IF(RIGHT(TMK[[#This Row],[Device type]],7)="Winding","-",TMK[[#This Row],[24 Hr Winter MVA]])</f>
        <v>-</v>
      </c>
      <c r="AX236" s="9" t="str">
        <f>IF(RIGHT(TMK[[#This Row],[Device type]],7)="Winding","-",TMK[[#This Row],[24 Hr Summer MVA]])</f>
        <v>-</v>
      </c>
      <c r="AY236" s="9" t="str">
        <f>TMK[[#This Row],[Forwards MVA]]</f>
        <v>-</v>
      </c>
      <c r="AZ236" s="9" t="str">
        <f>TMK[[#This Row],[Relay MVA]]</f>
        <v>-</v>
      </c>
      <c r="BA236" s="9" t="str">
        <f>TMK[[#This Row],[CT MVA]]</f>
        <v>-</v>
      </c>
      <c r="BB236" s="9">
        <f>TMK[[#This Row],[Derating MVA]]</f>
        <v>34.348814719070617</v>
      </c>
      <c r="BC236" s="9" t="str">
        <f>TMK[[#This Row],[Station/Feeder]]&amp;TMK[[#This Row],[Lowest MVA]]</f>
        <v>CB1272_Clandeboye No.234.3488147190706</v>
      </c>
      <c r="BD236" s="9" t="str">
        <f>CONCATENATE(TMK[[#This Row],[Supply Level]],TMK[[#This Row],[Station/Feeder]],TMK[[#This Row],[Voltage]],TMK[[#This Row],[Lowest A-No PTX]])</f>
        <v>SubTransmissionCB1272_Clandeboye No.233.594590.3226</v>
      </c>
      <c r="BE236" s="9" t="str">
        <f>CONCATENATE(TMK[[#This Row],[Supply Level]],TMK[[#This Row],[Station/Feeder]],TMK[[#This Row],[Voltage]],TMK[[#This Row],[Lowest A-PTX]])</f>
        <v>SubTransmissionCB1272_Clandeboye No.233.594590.3226</v>
      </c>
      <c r="BF236" s="9">
        <f>IFERROR(IF(MIN(TMK[[#This Row],[Summ Cont Winter A]:[Cable Derating]])=0,"",MIN(TMK[[#This Row],[Summ Cont Winter A]:[Cable Derating]])),"")</f>
        <v>34.348814719070617</v>
      </c>
      <c r="BG236" s="9">
        <f>IFERROR(TMK[[#This Row],[Lowest MVA]]*1000/(TMK[[#This Row],[Voltage]]*SQRT(3)),"")</f>
        <v>590.32259999999997</v>
      </c>
      <c r="BH236" s="9">
        <f t="shared" si="159"/>
        <v>590.32259999999997</v>
      </c>
      <c r="BI236" s="9" t="str">
        <f>TMK[[#This Row],[From]]</f>
        <v>33 kV Bus</v>
      </c>
      <c r="BJ236" s="9" t="str">
        <f>TMK[[#This Row],[To]]</f>
        <v>Pole 02001</v>
      </c>
      <c r="BK23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Cable-6-1c 300 mm² Al XLPE</v>
      </c>
      <c r="BL236" s="9">
        <f>TMK[[#This Row],[Voltage]]</f>
        <v>33.594000000000001</v>
      </c>
    </row>
    <row r="237" spans="1:64" s="1" customFormat="1" ht="15" customHeight="1" x14ac:dyDescent="0.25">
      <c r="A237" s="6" t="str">
        <f>CONCATENATE(TMK[[#This Row],[Supply Level]],TMK[[#This Row],[Station/Feeder]],TMK[[#This Row],[Voltage]])</f>
        <v>SubTransmissionCB1272_Clandeboye No.233.594</v>
      </c>
      <c r="B237" s="6" t="str">
        <f>CONCATENATE(TMK[[#This Row],[Supply Level]],TMK[[#This Row],[Station/Feeder]],TMK[[#This Row],[Equipment ID]],TMK[[#This Row],[Voltage]],TMK[[#This Row],[Device type]])</f>
        <v>SubTransmissionCB1272_Clandeboye No.2JAGUAR33.594-</v>
      </c>
      <c r="C237" s="6" t="s">
        <v>1245</v>
      </c>
      <c r="D237" s="11" t="s">
        <v>228</v>
      </c>
      <c r="E237" s="7" t="s">
        <v>556</v>
      </c>
      <c r="F237" s="7" t="s">
        <v>557</v>
      </c>
      <c r="G237" s="56">
        <v>3</v>
      </c>
      <c r="H237" s="7" t="s">
        <v>1289</v>
      </c>
      <c r="I237" s="123" t="s">
        <v>345</v>
      </c>
      <c r="J237" s="123" t="s">
        <v>69</v>
      </c>
      <c r="K237" s="46" t="s">
        <v>0</v>
      </c>
      <c r="L237" s="46" t="s">
        <v>0</v>
      </c>
      <c r="M237" s="43">
        <f t="shared" si="121"/>
        <v>33.594000000000001</v>
      </c>
      <c r="N237" s="9">
        <v>673.28384221311683</v>
      </c>
      <c r="O237" s="9">
        <f t="shared" si="154"/>
        <v>39.176040269375299</v>
      </c>
      <c r="P237" s="9" t="s">
        <v>0</v>
      </c>
      <c r="Q237" s="9" t="str">
        <f t="shared" si="155"/>
        <v>-</v>
      </c>
      <c r="R237" s="9">
        <v>582.79308811233284</v>
      </c>
      <c r="S237" s="9">
        <f t="shared" si="156"/>
        <v>33.910698663960211</v>
      </c>
      <c r="T237" s="9" t="s">
        <v>0</v>
      </c>
      <c r="U237" s="9" t="str">
        <f t="shared" si="157"/>
        <v>-</v>
      </c>
      <c r="V237" s="9" t="s">
        <v>0</v>
      </c>
      <c r="W237" s="9" t="str">
        <f t="shared" si="158"/>
        <v>-</v>
      </c>
      <c r="X237" s="9" t="s">
        <v>0</v>
      </c>
      <c r="Y237" s="9" t="str">
        <f t="shared" si="177"/>
        <v>-</v>
      </c>
      <c r="Z237" s="9" t="s">
        <v>0</v>
      </c>
      <c r="AA237" s="9" t="str">
        <f t="shared" si="178"/>
        <v>-</v>
      </c>
      <c r="AB237" s="9" t="s">
        <v>0</v>
      </c>
      <c r="AC237" s="9" t="str">
        <f t="shared" si="179"/>
        <v>-</v>
      </c>
      <c r="AD237" s="9" t="s">
        <v>0</v>
      </c>
      <c r="AE237" s="12" t="str">
        <f t="shared" si="180"/>
        <v>-</v>
      </c>
      <c r="AF237" s="29" t="s">
        <v>0</v>
      </c>
      <c r="AG237" s="29" t="s">
        <v>0</v>
      </c>
      <c r="AH237" s="9">
        <v>5804</v>
      </c>
      <c r="AI237" s="29" t="s">
        <v>0</v>
      </c>
      <c r="AJ237" s="32" t="s">
        <v>0</v>
      </c>
      <c r="AK237" s="29" t="s">
        <v>0</v>
      </c>
      <c r="AL237" s="32" t="s">
        <v>0</v>
      </c>
      <c r="AM237" s="29" t="s">
        <v>0</v>
      </c>
      <c r="AN237" s="32" t="s">
        <v>0</v>
      </c>
      <c r="AO237" s="29" t="s">
        <v>0</v>
      </c>
      <c r="AP237" s="32" t="s">
        <v>0</v>
      </c>
      <c r="AQ237" s="32" t="s">
        <v>0</v>
      </c>
      <c r="AR237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37" s="9" t="str">
        <f t="shared" si="181"/>
        <v>-</v>
      </c>
      <c r="AT237" s="9">
        <f>IF(RIGHT(TMK[[#This Row],[Device type]],7)="Winding","-",TMK[[#This Row],[Cont Winter MVA]])</f>
        <v>39.176040269375299</v>
      </c>
      <c r="AU237" s="9" t="str">
        <f>IF(RIGHT(TMK[[#This Row],[Device type]],7)="Winding","-",TMK[[#This Row],[Cont Shoulder MVA]])</f>
        <v>-</v>
      </c>
      <c r="AV237" s="9">
        <f>IF(RIGHT(TMK[[#This Row],[Device type]],7)="Winding","-",TMK[[#This Row],[Cont Summer MVA]])</f>
        <v>33.910698663960211</v>
      </c>
      <c r="AW237" s="9" t="str">
        <f>IF(RIGHT(TMK[[#This Row],[Device type]],7)="Winding","-",TMK[[#This Row],[24 Hr Winter MVA]])</f>
        <v>-</v>
      </c>
      <c r="AX237" s="9" t="str">
        <f>IF(RIGHT(TMK[[#This Row],[Device type]],7)="Winding","-",TMK[[#This Row],[24 Hr Summer MVA]])</f>
        <v>-</v>
      </c>
      <c r="AY237" s="9" t="str">
        <f>TMK[[#This Row],[Forwards MVA]]</f>
        <v>-</v>
      </c>
      <c r="AZ237" s="9" t="str">
        <f>TMK[[#This Row],[Relay MVA]]</f>
        <v>-</v>
      </c>
      <c r="BA237" s="9" t="str">
        <f>TMK[[#This Row],[CT MVA]]</f>
        <v>-</v>
      </c>
      <c r="BB237" s="9" t="str">
        <f>TMK[[#This Row],[Derating MVA]]</f>
        <v>-</v>
      </c>
      <c r="BC237" s="9" t="str">
        <f>TMK[[#This Row],[Station/Feeder]]&amp;TMK[[#This Row],[Lowest MVA]]</f>
        <v>CB1272_Clandeboye No.233.9106986639602</v>
      </c>
      <c r="BD237" s="9" t="str">
        <f>CONCATENATE(TMK[[#This Row],[Supply Level]],TMK[[#This Row],[Station/Feeder]],TMK[[#This Row],[Voltage]],TMK[[#This Row],[Lowest A-No PTX]])</f>
        <v>SubTransmissionCB1272_Clandeboye No.233.594582.793088112333</v>
      </c>
      <c r="BE237" s="9" t="str">
        <f>CONCATENATE(TMK[[#This Row],[Supply Level]],TMK[[#This Row],[Station/Feeder]],TMK[[#This Row],[Voltage]],TMK[[#This Row],[Lowest A-PTX]])</f>
        <v>SubTransmissionCB1272_Clandeboye No.233.594582.793088112333</v>
      </c>
      <c r="BF237" s="9">
        <f>IFERROR(IF(MIN(TMK[[#This Row],[Summ Cont Winter A]:[Cable Derating]])=0,"",MIN(TMK[[#This Row],[Summ Cont Winter A]:[Cable Derating]])),"")</f>
        <v>33.910698663960211</v>
      </c>
      <c r="BG237" s="9">
        <f>IFERROR(TMK[[#This Row],[Lowest MVA]]*1000/(TMK[[#This Row],[Voltage]]*SQRT(3)),"")</f>
        <v>582.79308811233284</v>
      </c>
      <c r="BH237" s="9">
        <f t="shared" si="159"/>
        <v>582.79308811233284</v>
      </c>
      <c r="BI237" s="9" t="str">
        <f>TMK[[#This Row],[From]]</f>
        <v>Pole 02001</v>
      </c>
      <c r="BJ237" s="9" t="str">
        <f>TMK[[#This Row],[To]]</f>
        <v>Pole 02049</v>
      </c>
      <c r="BK23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Line-JAGUAR</v>
      </c>
      <c r="BL237" s="9">
        <f>TMK[[#This Row],[Voltage]]</f>
        <v>33.594000000000001</v>
      </c>
    </row>
    <row r="238" spans="1:64" s="1" customFormat="1" ht="15" customHeight="1" x14ac:dyDescent="0.25">
      <c r="A238" s="6" t="str">
        <f>CONCATENATE(TMK[[#This Row],[Supply Level]],TMK[[#This Row],[Station/Feeder]],TMK[[#This Row],[Voltage]])</f>
        <v>SubTransmissionCB1272_Clandeboye No.233.594</v>
      </c>
      <c r="B238" s="6" t="str">
        <f>CONCATENATE(TMK[[#This Row],[Supply Level]],TMK[[#This Row],[Station/Feeder]],TMK[[#This Row],[Equipment ID]],TMK[[#This Row],[Voltage]],TMK[[#This Row],[Device type]])</f>
        <v>SubTransmissionCB1272_Clandeboye No.2WOLF33.594-</v>
      </c>
      <c r="C238" s="6" t="s">
        <v>1245</v>
      </c>
      <c r="D238" s="11" t="s">
        <v>228</v>
      </c>
      <c r="E238" s="7" t="s">
        <v>557</v>
      </c>
      <c r="F238" s="7" t="s">
        <v>558</v>
      </c>
      <c r="G238" s="56">
        <v>5</v>
      </c>
      <c r="H238" s="7" t="s">
        <v>1289</v>
      </c>
      <c r="I238" s="123" t="s">
        <v>472</v>
      </c>
      <c r="J238" s="123" t="s">
        <v>69</v>
      </c>
      <c r="K238" s="46" t="s">
        <v>0</v>
      </c>
      <c r="L238" s="46" t="s">
        <v>0</v>
      </c>
      <c r="M238" s="43">
        <f t="shared" si="121"/>
        <v>33.594000000000001</v>
      </c>
      <c r="N238" s="9">
        <v>572.86734613879435</v>
      </c>
      <c r="O238" s="9">
        <f t="shared" si="154"/>
        <v>33.33315433142343</v>
      </c>
      <c r="P238" s="9" t="s">
        <v>0</v>
      </c>
      <c r="Q238" s="9" t="str">
        <f t="shared" si="155"/>
        <v>-</v>
      </c>
      <c r="R238" s="9">
        <v>496.06019819111373</v>
      </c>
      <c r="S238" s="9">
        <f t="shared" si="156"/>
        <v>28.864014078356504</v>
      </c>
      <c r="T238" s="9" t="s">
        <v>0</v>
      </c>
      <c r="U238" s="9" t="str">
        <f t="shared" si="157"/>
        <v>-</v>
      </c>
      <c r="V238" s="9" t="s">
        <v>0</v>
      </c>
      <c r="W238" s="9" t="str">
        <f t="shared" si="158"/>
        <v>-</v>
      </c>
      <c r="X238" s="9" t="s">
        <v>0</v>
      </c>
      <c r="Y238" s="9" t="str">
        <f t="shared" si="177"/>
        <v>-</v>
      </c>
      <c r="Z238" s="9" t="s">
        <v>0</v>
      </c>
      <c r="AA238" s="9" t="str">
        <f t="shared" si="178"/>
        <v>-</v>
      </c>
      <c r="AB238" s="9" t="s">
        <v>0</v>
      </c>
      <c r="AC238" s="9" t="str">
        <f t="shared" si="179"/>
        <v>-</v>
      </c>
      <c r="AD238" s="9" t="s">
        <v>0</v>
      </c>
      <c r="AE238" s="12" t="str">
        <f t="shared" si="180"/>
        <v>-</v>
      </c>
      <c r="AF238" s="29" t="s">
        <v>0</v>
      </c>
      <c r="AG238" s="29" t="s">
        <v>0</v>
      </c>
      <c r="AH238" s="9">
        <v>404</v>
      </c>
      <c r="AI238" s="29" t="s">
        <v>0</v>
      </c>
      <c r="AJ238" s="32" t="s">
        <v>0</v>
      </c>
      <c r="AK238" s="29" t="s">
        <v>0</v>
      </c>
      <c r="AL238" s="32" t="s">
        <v>0</v>
      </c>
      <c r="AM238" s="29" t="s">
        <v>0</v>
      </c>
      <c r="AN238" s="32" t="s">
        <v>0</v>
      </c>
      <c r="AO238" s="29" t="s">
        <v>0</v>
      </c>
      <c r="AP238" s="32" t="s">
        <v>0</v>
      </c>
      <c r="AQ238" s="32" t="s">
        <v>0</v>
      </c>
      <c r="AR238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38" s="9" t="str">
        <f t="shared" si="181"/>
        <v>-</v>
      </c>
      <c r="AT238" s="9">
        <f>IF(RIGHT(TMK[[#This Row],[Device type]],7)="Winding","-",TMK[[#This Row],[Cont Winter MVA]])</f>
        <v>33.33315433142343</v>
      </c>
      <c r="AU238" s="9" t="str">
        <f>IF(RIGHT(TMK[[#This Row],[Device type]],7)="Winding","-",TMK[[#This Row],[Cont Shoulder MVA]])</f>
        <v>-</v>
      </c>
      <c r="AV238" s="9">
        <f>IF(RIGHT(TMK[[#This Row],[Device type]],7)="Winding","-",TMK[[#This Row],[Cont Summer MVA]])</f>
        <v>28.864014078356504</v>
      </c>
      <c r="AW238" s="9" t="str">
        <f>IF(RIGHT(TMK[[#This Row],[Device type]],7)="Winding","-",TMK[[#This Row],[24 Hr Winter MVA]])</f>
        <v>-</v>
      </c>
      <c r="AX238" s="9" t="str">
        <f>IF(RIGHT(TMK[[#This Row],[Device type]],7)="Winding","-",TMK[[#This Row],[24 Hr Summer MVA]])</f>
        <v>-</v>
      </c>
      <c r="AY238" s="9" t="str">
        <f>TMK[[#This Row],[Forwards MVA]]</f>
        <v>-</v>
      </c>
      <c r="AZ238" s="9" t="str">
        <f>TMK[[#This Row],[Relay MVA]]</f>
        <v>-</v>
      </c>
      <c r="BA238" s="9" t="str">
        <f>TMK[[#This Row],[CT MVA]]</f>
        <v>-</v>
      </c>
      <c r="BB238" s="9" t="str">
        <f>TMK[[#This Row],[Derating MVA]]</f>
        <v>-</v>
      </c>
      <c r="BC238" s="9" t="str">
        <f>TMK[[#This Row],[Station/Feeder]]&amp;TMK[[#This Row],[Lowest MVA]]</f>
        <v>CB1272_Clandeboye No.228.8640140783565</v>
      </c>
      <c r="BD238" s="9" t="str">
        <f>CONCATENATE(TMK[[#This Row],[Supply Level]],TMK[[#This Row],[Station/Feeder]],TMK[[#This Row],[Voltage]],TMK[[#This Row],[Lowest A-No PTX]])</f>
        <v>SubTransmissionCB1272_Clandeboye No.233.594496.060198191114</v>
      </c>
      <c r="BE238" s="9" t="str">
        <f>CONCATENATE(TMK[[#This Row],[Supply Level]],TMK[[#This Row],[Station/Feeder]],TMK[[#This Row],[Voltage]],TMK[[#This Row],[Lowest A-PTX]])</f>
        <v>SubTransmissionCB1272_Clandeboye No.233.594496.060198191114</v>
      </c>
      <c r="BF238" s="9">
        <f>IFERROR(IF(MIN(TMK[[#This Row],[Summ Cont Winter A]:[Cable Derating]])=0,"",MIN(TMK[[#This Row],[Summ Cont Winter A]:[Cable Derating]])),"")</f>
        <v>28.864014078356504</v>
      </c>
      <c r="BG238" s="9">
        <f>IFERROR(TMK[[#This Row],[Lowest MVA]]*1000/(TMK[[#This Row],[Voltage]]*SQRT(3)),"")</f>
        <v>496.06019819111378</v>
      </c>
      <c r="BH238" s="9">
        <f t="shared" si="159"/>
        <v>496.06019819111373</v>
      </c>
      <c r="BI238" s="9" t="str">
        <f>TMK[[#This Row],[From]]</f>
        <v>Pole 02049</v>
      </c>
      <c r="BJ238" s="9" t="str">
        <f>TMK[[#This Row],[To]]</f>
        <v>Pole 02052</v>
      </c>
      <c r="BK23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Line-WOLF</v>
      </c>
      <c r="BL238" s="9">
        <f>TMK[[#This Row],[Voltage]]</f>
        <v>33.594000000000001</v>
      </c>
    </row>
    <row r="239" spans="1:64" s="1" customFormat="1" ht="15" customHeight="1" x14ac:dyDescent="0.25">
      <c r="A239" s="6" t="str">
        <f>CONCATENATE(TMK[[#This Row],[Supply Level]],TMK[[#This Row],[Station/Feeder]],TMK[[#This Row],[Voltage]],"T2")</f>
        <v>SubTransmissionCD_133.594T2</v>
      </c>
      <c r="B239" s="6" t="str">
        <f>CONCATENATE(TMK[[#This Row],[Supply Level]],TMK[[#This Row],[Station/Feeder]],TMK[[#This Row],[Equipment ID]],TMK[[#This Row],[Voltage]],TMK[[#This Row],[Device type]])</f>
        <v>SubTransmissionCD_1TMK-CB127233.594Protection</v>
      </c>
      <c r="C239" s="6" t="s">
        <v>1245</v>
      </c>
      <c r="D239" s="11" t="s">
        <v>88</v>
      </c>
      <c r="E239" s="7" t="s">
        <v>63</v>
      </c>
      <c r="F239" s="7" t="s">
        <v>556</v>
      </c>
      <c r="G239" s="56">
        <v>1</v>
      </c>
      <c r="H239" s="7" t="s">
        <v>2386</v>
      </c>
      <c r="I239" s="123" t="s">
        <v>2314</v>
      </c>
      <c r="J239" s="123" t="s">
        <v>15</v>
      </c>
      <c r="K239" s="46" t="s">
        <v>470</v>
      </c>
      <c r="L239" s="46" t="s">
        <v>1423</v>
      </c>
      <c r="M239" s="43">
        <f t="shared" si="121"/>
        <v>33.594000000000001</v>
      </c>
      <c r="N239" s="9">
        <v>630</v>
      </c>
      <c r="O239" s="9">
        <f t="shared" si="154"/>
        <v>36.657504342565389</v>
      </c>
      <c r="P239" s="9">
        <v>630</v>
      </c>
      <c r="Q239" s="9">
        <f t="shared" si="155"/>
        <v>36.657504342565389</v>
      </c>
      <c r="R239" s="9">
        <v>630</v>
      </c>
      <c r="S239" s="9">
        <f t="shared" si="156"/>
        <v>36.657504342565389</v>
      </c>
      <c r="T239" s="9">
        <v>630</v>
      </c>
      <c r="U239" s="9">
        <f t="shared" si="157"/>
        <v>36.657504342565389</v>
      </c>
      <c r="V239" s="9">
        <v>630</v>
      </c>
      <c r="W239" s="9">
        <f t="shared" si="158"/>
        <v>36.657504342565389</v>
      </c>
      <c r="X239" s="9">
        <f>VLOOKUP(TMK[[#This Row],[Equipment ID]],AEL_Protection_Data[#All],12,0)</f>
        <v>510</v>
      </c>
      <c r="Y239" s="9">
        <f>IF(OR(X239="",X239="-"),"-",X239*$M239*SQRT(3)/1000)</f>
        <v>29.675122563029124</v>
      </c>
      <c r="Z239" s="9">
        <f>TMK[[#This Row],[Forward A]]</f>
        <v>510</v>
      </c>
      <c r="AA239" s="9">
        <f>IF(OR(Z239="",Z239="-"),"-",Z239*$M239*SQRT(3)/1000)</f>
        <v>29.675122563029124</v>
      </c>
      <c r="AB239" s="9">
        <v>1800</v>
      </c>
      <c r="AC239" s="9">
        <f>IF(OR(AB239="",AB239="-"),"-",AB239*$M239*SQRT(3)/1000)</f>
        <v>104.73572669304396</v>
      </c>
      <c r="AD239" s="9">
        <v>1250</v>
      </c>
      <c r="AE239" s="12">
        <f>IF(OR(AD239="",AD239="-"),"-",AD239*$M239*SQRT(3)/1000)</f>
        <v>72.733143536836067</v>
      </c>
      <c r="AF239" s="9" t="s">
        <v>0</v>
      </c>
      <c r="AG239" s="9" t="s">
        <v>0</v>
      </c>
      <c r="AH239" s="9" t="s">
        <v>0</v>
      </c>
      <c r="AI239" s="9" t="s">
        <v>0</v>
      </c>
      <c r="AJ239" s="43" t="s">
        <v>0</v>
      </c>
      <c r="AK239" s="29" t="s">
        <v>0</v>
      </c>
      <c r="AL239" s="32" t="s">
        <v>0</v>
      </c>
      <c r="AM239" s="29" t="s">
        <v>0</v>
      </c>
      <c r="AN239" s="32" t="s">
        <v>0</v>
      </c>
      <c r="AO239" s="29" t="s">
        <v>0</v>
      </c>
      <c r="AP239" s="32" t="s">
        <v>0</v>
      </c>
      <c r="AQ239" s="32" t="s">
        <v>0</v>
      </c>
      <c r="AR23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39" s="9" t="str">
        <f>IF(OR(AR239="",AR239="-"),"-",AR239*$M239*SQRT(3)/1000)</f>
        <v>-</v>
      </c>
      <c r="AT239" s="9">
        <f>IF(RIGHT(TMK[[#This Row],[Device type]],7)="Winding","-",TMK[[#This Row],[Cont Winter MVA]])</f>
        <v>36.657504342565389</v>
      </c>
      <c r="AU239" s="9">
        <f>IF(RIGHT(TMK[[#This Row],[Device type]],7)="Winding","-",TMK[[#This Row],[Cont Shoulder MVA]])</f>
        <v>36.657504342565389</v>
      </c>
      <c r="AV239" s="9">
        <f>IF(RIGHT(TMK[[#This Row],[Device type]],7)="Winding","-",TMK[[#This Row],[Cont Summer MVA]])</f>
        <v>36.657504342565389</v>
      </c>
      <c r="AW239" s="9">
        <f>IF(RIGHT(TMK[[#This Row],[Device type]],7)="Winding","-",TMK[[#This Row],[24 Hr Winter MVA]])</f>
        <v>36.657504342565389</v>
      </c>
      <c r="AX239" s="9">
        <f>IF(RIGHT(TMK[[#This Row],[Device type]],7)="Winding","-",TMK[[#This Row],[24 Hr Summer MVA]])</f>
        <v>36.657504342565389</v>
      </c>
      <c r="AY239" s="9">
        <f>TMK[[#This Row],[Forwards MVA]]</f>
        <v>29.675122563029124</v>
      </c>
      <c r="AZ239" s="9">
        <f>TMK[[#This Row],[Relay MVA]]</f>
        <v>104.73572669304396</v>
      </c>
      <c r="BA239" s="9">
        <f>TMK[[#This Row],[CT MVA]]</f>
        <v>72.733143536836067</v>
      </c>
      <c r="BB239" s="9" t="str">
        <f>TMK[[#This Row],[Derating MVA]]</f>
        <v>-</v>
      </c>
      <c r="BC239" s="9" t="str">
        <f>TMK[[#This Row],[Station/Feeder]]&amp;TMK[[#This Row],[Lowest MVA]]</f>
        <v>CD_129.6751225630291</v>
      </c>
      <c r="BD239" s="9" t="str">
        <f>CONCATENATE(TMK[[#This Row],[Supply Level]],TMK[[#This Row],[Station/Feeder]],TMK[[#This Row],[Voltage]],TMK[[#This Row],[Lowest A-No PTX]])</f>
        <v>SubTransmissionCD_133.594510</v>
      </c>
      <c r="BE239" s="9" t="str">
        <f>CONCATENATE(TMK[[#This Row],[Supply Level]],TMK[[#This Row],[Station/Feeder]],TMK[[#This Row],[Voltage]],TMK[[#This Row],[Lowest A-PTX]])</f>
        <v>SubTransmissionCD_133.594510</v>
      </c>
      <c r="BF239" s="9">
        <f>IFERROR(IF(MIN(TMK[[#This Row],[Summ Cont Winter A]:[Cable Derating]])=0,"",MIN(TMK[[#This Row],[Summ Cont Winter A]:[Cable Derating]])),"")</f>
        <v>29.675122563029124</v>
      </c>
      <c r="BG239" s="9">
        <f>IFERROR(TMK[[#This Row],[Lowest MVA]]*1000/(TMK[[#This Row],[Voltage]]*SQRT(3)),"")</f>
        <v>510.00000000000006</v>
      </c>
      <c r="BH239" s="9">
        <f t="shared" si="159"/>
        <v>510</v>
      </c>
      <c r="BI239" s="9" t="str">
        <f>TMK[[#This Row],[From]]</f>
        <v>33 kV Bus</v>
      </c>
      <c r="BJ239" s="9" t="str">
        <f>TMK[[#This Row],[To]]</f>
        <v>Pole 02001</v>
      </c>
      <c r="BK23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Breaker-TMK-CB1272-Protection</v>
      </c>
      <c r="BL239" s="9">
        <f>TMK[[#This Row],[Voltage]]</f>
        <v>33.594000000000001</v>
      </c>
    </row>
    <row r="240" spans="1:64" s="1" customFormat="1" ht="15" customHeight="1" x14ac:dyDescent="0.25">
      <c r="A240" s="6" t="str">
        <f>CONCATENATE(TMK[[#This Row],[Supply Level]],TMK[[#This Row],[Station/Feeder]],TMK[[#This Row],[Voltage]],"T2")</f>
        <v>SubTransmissionCD_133.594T2</v>
      </c>
      <c r="B240" s="6" t="str">
        <f>CONCATENATE(TMK[[#This Row],[Supply Level]],TMK[[#This Row],[Station/Feeder]],TMK[[#This Row],[Equipment ID]],TMK[[#This Row],[Voltage]],TMK[[#This Row],[Device type]])</f>
        <v>SubTransmissionCD_16-1c 300 mm² Al XLPE33.594-</v>
      </c>
      <c r="C240" s="6" t="s">
        <v>1245</v>
      </c>
      <c r="D240" s="11" t="s">
        <v>88</v>
      </c>
      <c r="E240" s="7" t="s">
        <v>63</v>
      </c>
      <c r="F240" s="7" t="s">
        <v>556</v>
      </c>
      <c r="G240" s="56">
        <v>2</v>
      </c>
      <c r="H240" s="7" t="s">
        <v>585</v>
      </c>
      <c r="I240" s="123" t="s">
        <v>625</v>
      </c>
      <c r="J240" s="123" t="s">
        <v>250</v>
      </c>
      <c r="K240" s="46" t="s">
        <v>0</v>
      </c>
      <c r="L240" s="46" t="s">
        <v>0</v>
      </c>
      <c r="M240" s="43">
        <f t="shared" si="121"/>
        <v>33.594000000000001</v>
      </c>
      <c r="N240" s="9">
        <v>828</v>
      </c>
      <c r="O240" s="9">
        <f t="shared" si="154"/>
        <v>48.178434278800218</v>
      </c>
      <c r="P240" s="9">
        <v>828</v>
      </c>
      <c r="Q240" s="9">
        <f t="shared" si="155"/>
        <v>48.178434278800218</v>
      </c>
      <c r="R240" s="9">
        <v>828</v>
      </c>
      <c r="S240" s="9">
        <f t="shared" si="156"/>
        <v>48.178434278800218</v>
      </c>
      <c r="T240" s="9" t="s">
        <v>0</v>
      </c>
      <c r="U240" s="9" t="str">
        <f t="shared" si="157"/>
        <v>-</v>
      </c>
      <c r="V240" s="9" t="s">
        <v>0</v>
      </c>
      <c r="W240" s="9" t="str">
        <f t="shared" si="158"/>
        <v>-</v>
      </c>
      <c r="X240" s="9" t="s">
        <v>0</v>
      </c>
      <c r="Y240" s="9" t="str">
        <f t="shared" si="160"/>
        <v>-</v>
      </c>
      <c r="Z240" s="9" t="s">
        <v>0</v>
      </c>
      <c r="AA240" s="9" t="str">
        <f t="shared" si="161"/>
        <v>-</v>
      </c>
      <c r="AB240" s="9" t="s">
        <v>0</v>
      </c>
      <c r="AC240" s="9" t="str">
        <f t="shared" si="162"/>
        <v>-</v>
      </c>
      <c r="AD240" s="9" t="s">
        <v>0</v>
      </c>
      <c r="AE240" s="12" t="str">
        <f t="shared" si="163"/>
        <v>-</v>
      </c>
      <c r="AF240" s="9">
        <v>1</v>
      </c>
      <c r="AG240" s="9" t="s">
        <v>344</v>
      </c>
      <c r="AH240" s="9">
        <v>231</v>
      </c>
      <c r="AI240" s="9">
        <v>1.1000000000000001</v>
      </c>
      <c r="AJ240" s="43">
        <v>0.97</v>
      </c>
      <c r="AK240" s="29">
        <v>18.5</v>
      </c>
      <c r="AL240" s="32">
        <v>0.98</v>
      </c>
      <c r="AM240" s="29">
        <v>1.2</v>
      </c>
      <c r="AN240" s="32">
        <v>1</v>
      </c>
      <c r="AO240" s="29">
        <v>4</v>
      </c>
      <c r="AP240" s="32">
        <v>0.4</v>
      </c>
      <c r="AQ240" s="32">
        <v>0.75</v>
      </c>
      <c r="AR240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590.32259999999997</v>
      </c>
      <c r="AS240" s="9">
        <f t="shared" si="164"/>
        <v>34.348814719070617</v>
      </c>
      <c r="AT240" s="9">
        <f>IF(RIGHT(TMK[[#This Row],[Device type]],7)="Winding","-",TMK[[#This Row],[Cont Winter MVA]])</f>
        <v>48.178434278800218</v>
      </c>
      <c r="AU240" s="9">
        <f>IF(RIGHT(TMK[[#This Row],[Device type]],7)="Winding","-",TMK[[#This Row],[Cont Shoulder MVA]])</f>
        <v>48.178434278800218</v>
      </c>
      <c r="AV240" s="9">
        <f>IF(RIGHT(TMK[[#This Row],[Device type]],7)="Winding","-",TMK[[#This Row],[Cont Summer MVA]])</f>
        <v>48.178434278800218</v>
      </c>
      <c r="AW240" s="9" t="str">
        <f>IF(RIGHT(TMK[[#This Row],[Device type]],7)="Winding","-",TMK[[#This Row],[24 Hr Winter MVA]])</f>
        <v>-</v>
      </c>
      <c r="AX240" s="9" t="str">
        <f>IF(RIGHT(TMK[[#This Row],[Device type]],7)="Winding","-",TMK[[#This Row],[24 Hr Summer MVA]])</f>
        <v>-</v>
      </c>
      <c r="AY240" s="9" t="str">
        <f>TMK[[#This Row],[Forwards MVA]]</f>
        <v>-</v>
      </c>
      <c r="AZ240" s="9" t="str">
        <f>TMK[[#This Row],[Relay MVA]]</f>
        <v>-</v>
      </c>
      <c r="BA240" s="9" t="str">
        <f>TMK[[#This Row],[CT MVA]]</f>
        <v>-</v>
      </c>
      <c r="BB240" s="9">
        <f>TMK[[#This Row],[Derating MVA]]</f>
        <v>34.348814719070617</v>
      </c>
      <c r="BC240" s="9" t="str">
        <f>TMK[[#This Row],[Station/Feeder]]&amp;TMK[[#This Row],[Lowest MVA]]</f>
        <v>CD_134.3488147190706</v>
      </c>
      <c r="BD240" s="9" t="str">
        <f>CONCATENATE(TMK[[#This Row],[Supply Level]],TMK[[#This Row],[Station/Feeder]],TMK[[#This Row],[Voltage]],TMK[[#This Row],[Lowest A-No PTX]])</f>
        <v>SubTransmissionCD_133.594590.3226</v>
      </c>
      <c r="BE240" s="9" t="str">
        <f>CONCATENATE(TMK[[#This Row],[Supply Level]],TMK[[#This Row],[Station/Feeder]],TMK[[#This Row],[Voltage]],TMK[[#This Row],[Lowest A-PTX]])</f>
        <v>SubTransmissionCD_133.594590.3226</v>
      </c>
      <c r="BF240" s="9">
        <f>IFERROR(IF(MIN(TMK[[#This Row],[Summ Cont Winter A]:[Cable Derating]])=0,"",MIN(TMK[[#This Row],[Summ Cont Winter A]:[Cable Derating]])),"")</f>
        <v>34.348814719070617</v>
      </c>
      <c r="BG240" s="9">
        <f>IFERROR(TMK[[#This Row],[Lowest MVA]]*1000/(TMK[[#This Row],[Voltage]]*SQRT(3)),"")</f>
        <v>590.32259999999997</v>
      </c>
      <c r="BH240" s="9">
        <f t="shared" si="159"/>
        <v>590.32259999999997</v>
      </c>
      <c r="BI240" s="9" t="str">
        <f>TMK[[#This Row],[From]]</f>
        <v>33 kV Bus</v>
      </c>
      <c r="BJ240" s="9" t="str">
        <f>TMK[[#This Row],[To]]</f>
        <v>Pole 02001</v>
      </c>
      <c r="BK24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Cable-6-1c 300 mm² Al XLPE</v>
      </c>
      <c r="BL240" s="9">
        <f>TMK[[#This Row],[Voltage]]</f>
        <v>33.594000000000001</v>
      </c>
    </row>
    <row r="241" spans="1:64" s="1" customFormat="1" ht="15" customHeight="1" x14ac:dyDescent="0.25">
      <c r="A241" s="6" t="str">
        <f>CONCATENATE(TMK[[#This Row],[Supply Level]],TMK[[#This Row],[Station/Feeder]],TMK[[#This Row],[Voltage]],"T2")</f>
        <v>SubTransmissionCD_133.594T2</v>
      </c>
      <c r="B241" s="6" t="str">
        <f>CONCATENATE(TMK[[#This Row],[Supply Level]],TMK[[#This Row],[Station/Feeder]],TMK[[#This Row],[Equipment ID]],TMK[[#This Row],[Voltage]],TMK[[#This Row],[Device type]])</f>
        <v>SubTransmissionCD_1JAGUAR33.594-</v>
      </c>
      <c r="C241" s="6" t="s">
        <v>1245</v>
      </c>
      <c r="D241" s="11" t="s">
        <v>88</v>
      </c>
      <c r="E241" s="7" t="s">
        <v>556</v>
      </c>
      <c r="F241" s="7" t="s">
        <v>557</v>
      </c>
      <c r="G241" s="56">
        <v>3</v>
      </c>
      <c r="H241" s="7" t="s">
        <v>1289</v>
      </c>
      <c r="I241" s="123" t="s">
        <v>345</v>
      </c>
      <c r="J241" s="123" t="s">
        <v>69</v>
      </c>
      <c r="K241" s="46" t="s">
        <v>0</v>
      </c>
      <c r="L241" s="46" t="s">
        <v>0</v>
      </c>
      <c r="M241" s="43">
        <f t="shared" si="121"/>
        <v>33.594000000000001</v>
      </c>
      <c r="N241" s="9">
        <v>673.28384221311683</v>
      </c>
      <c r="O241" s="9">
        <f t="shared" si="154"/>
        <v>39.176040269375299</v>
      </c>
      <c r="P241" s="9" t="s">
        <v>0</v>
      </c>
      <c r="Q241" s="9" t="str">
        <f t="shared" si="155"/>
        <v>-</v>
      </c>
      <c r="R241" s="9">
        <v>582.79308811233284</v>
      </c>
      <c r="S241" s="9">
        <f t="shared" si="156"/>
        <v>33.910698663960211</v>
      </c>
      <c r="T241" s="9" t="s">
        <v>0</v>
      </c>
      <c r="U241" s="9" t="str">
        <f t="shared" si="157"/>
        <v>-</v>
      </c>
      <c r="V241" s="9" t="s">
        <v>0</v>
      </c>
      <c r="W241" s="9" t="str">
        <f t="shared" si="158"/>
        <v>-</v>
      </c>
      <c r="X241" s="9" t="s">
        <v>0</v>
      </c>
      <c r="Y241" s="9" t="str">
        <f t="shared" si="160"/>
        <v>-</v>
      </c>
      <c r="Z241" s="9" t="s">
        <v>0</v>
      </c>
      <c r="AA241" s="9" t="str">
        <f t="shared" si="161"/>
        <v>-</v>
      </c>
      <c r="AB241" s="9" t="s">
        <v>0</v>
      </c>
      <c r="AC241" s="9" t="str">
        <f t="shared" si="162"/>
        <v>-</v>
      </c>
      <c r="AD241" s="9" t="s">
        <v>0</v>
      </c>
      <c r="AE241" s="12" t="str">
        <f t="shared" si="163"/>
        <v>-</v>
      </c>
      <c r="AF241" s="29" t="s">
        <v>0</v>
      </c>
      <c r="AG241" s="29" t="s">
        <v>0</v>
      </c>
      <c r="AH241" s="9">
        <v>5804</v>
      </c>
      <c r="AI241" s="29" t="s">
        <v>0</v>
      </c>
      <c r="AJ241" s="32" t="s">
        <v>0</v>
      </c>
      <c r="AK241" s="29" t="s">
        <v>0</v>
      </c>
      <c r="AL241" s="32" t="s">
        <v>0</v>
      </c>
      <c r="AM241" s="29" t="s">
        <v>0</v>
      </c>
      <c r="AN241" s="32" t="s">
        <v>0</v>
      </c>
      <c r="AO241" s="29" t="s">
        <v>0</v>
      </c>
      <c r="AP241" s="32" t="s">
        <v>0</v>
      </c>
      <c r="AQ241" s="32" t="s">
        <v>0</v>
      </c>
      <c r="AR241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41" s="9" t="str">
        <f t="shared" si="164"/>
        <v>-</v>
      </c>
      <c r="AT241" s="9">
        <f>IF(RIGHT(TMK[[#This Row],[Device type]],7)="Winding","-",TMK[[#This Row],[Cont Winter MVA]])</f>
        <v>39.176040269375299</v>
      </c>
      <c r="AU241" s="9" t="str">
        <f>IF(RIGHT(TMK[[#This Row],[Device type]],7)="Winding","-",TMK[[#This Row],[Cont Shoulder MVA]])</f>
        <v>-</v>
      </c>
      <c r="AV241" s="9">
        <f>IF(RIGHT(TMK[[#This Row],[Device type]],7)="Winding","-",TMK[[#This Row],[Cont Summer MVA]])</f>
        <v>33.910698663960211</v>
      </c>
      <c r="AW241" s="9" t="str">
        <f>IF(RIGHT(TMK[[#This Row],[Device type]],7)="Winding","-",TMK[[#This Row],[24 Hr Winter MVA]])</f>
        <v>-</v>
      </c>
      <c r="AX241" s="9" t="str">
        <f>IF(RIGHT(TMK[[#This Row],[Device type]],7)="Winding","-",TMK[[#This Row],[24 Hr Summer MVA]])</f>
        <v>-</v>
      </c>
      <c r="AY241" s="9" t="str">
        <f>TMK[[#This Row],[Forwards MVA]]</f>
        <v>-</v>
      </c>
      <c r="AZ241" s="9" t="str">
        <f>TMK[[#This Row],[Relay MVA]]</f>
        <v>-</v>
      </c>
      <c r="BA241" s="9" t="str">
        <f>TMK[[#This Row],[CT MVA]]</f>
        <v>-</v>
      </c>
      <c r="BB241" s="9" t="str">
        <f>TMK[[#This Row],[Derating MVA]]</f>
        <v>-</v>
      </c>
      <c r="BC241" s="9" t="str">
        <f>TMK[[#This Row],[Station/Feeder]]&amp;TMK[[#This Row],[Lowest MVA]]</f>
        <v>CD_133.9106986639602</v>
      </c>
      <c r="BD241" s="9" t="str">
        <f>CONCATENATE(TMK[[#This Row],[Supply Level]],TMK[[#This Row],[Station/Feeder]],TMK[[#This Row],[Voltage]],TMK[[#This Row],[Lowest A-No PTX]])</f>
        <v>SubTransmissionCD_133.594582.793088112333</v>
      </c>
      <c r="BE241" s="9" t="str">
        <f>CONCATENATE(TMK[[#This Row],[Supply Level]],TMK[[#This Row],[Station/Feeder]],TMK[[#This Row],[Voltage]],TMK[[#This Row],[Lowest A-PTX]])</f>
        <v>SubTransmissionCD_133.594582.793088112333</v>
      </c>
      <c r="BF241" s="9">
        <f>IFERROR(IF(MIN(TMK[[#This Row],[Summ Cont Winter A]:[Cable Derating]])=0,"",MIN(TMK[[#This Row],[Summ Cont Winter A]:[Cable Derating]])),"")</f>
        <v>33.910698663960211</v>
      </c>
      <c r="BG241" s="9">
        <f>IFERROR(TMK[[#This Row],[Lowest MVA]]*1000/(TMK[[#This Row],[Voltage]]*SQRT(3)),"")</f>
        <v>582.79308811233284</v>
      </c>
      <c r="BH241" s="9">
        <f t="shared" si="159"/>
        <v>582.79308811233284</v>
      </c>
      <c r="BI241" s="9" t="str">
        <f>TMK[[#This Row],[From]]</f>
        <v>Pole 02001</v>
      </c>
      <c r="BJ241" s="9" t="str">
        <f>TMK[[#This Row],[To]]</f>
        <v>Pole 02049</v>
      </c>
      <c r="BK24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Line-JAGUAR</v>
      </c>
      <c r="BL241" s="9">
        <f>TMK[[#This Row],[Voltage]]</f>
        <v>33.594000000000001</v>
      </c>
    </row>
    <row r="242" spans="1:64" s="1" customFormat="1" ht="15" customHeight="1" x14ac:dyDescent="0.25">
      <c r="A242" s="6" t="str">
        <f>CONCATENATE(TMK[[#This Row],[Supply Level]],TMK[[#This Row],[Station/Feeder]],TMK[[#This Row],[Voltage]],"T2")</f>
        <v>SubTransmissionCD_133.594T2</v>
      </c>
      <c r="B242" s="6" t="str">
        <f>CONCATENATE(TMK[[#This Row],[Supply Level]],TMK[[#This Row],[Station/Feeder]],TMK[[#This Row],[Equipment ID]],TMK[[#This Row],[Voltage]],TMK[[#This Row],[Device type]])</f>
        <v>SubTransmissionCD_1WOLF33.594-</v>
      </c>
      <c r="C242" s="6" t="s">
        <v>1245</v>
      </c>
      <c r="D242" s="11" t="s">
        <v>88</v>
      </c>
      <c r="E242" s="7" t="s">
        <v>557</v>
      </c>
      <c r="F242" s="7" t="s">
        <v>558</v>
      </c>
      <c r="G242" s="56">
        <v>5</v>
      </c>
      <c r="H242" s="7" t="s">
        <v>1289</v>
      </c>
      <c r="I242" s="123" t="s">
        <v>472</v>
      </c>
      <c r="J242" s="123" t="s">
        <v>69</v>
      </c>
      <c r="K242" s="46" t="s">
        <v>0</v>
      </c>
      <c r="L242" s="46" t="s">
        <v>0</v>
      </c>
      <c r="M242" s="43">
        <f t="shared" si="121"/>
        <v>33.594000000000001</v>
      </c>
      <c r="N242" s="9">
        <v>572.86734613879435</v>
      </c>
      <c r="O242" s="9">
        <f t="shared" si="154"/>
        <v>33.33315433142343</v>
      </c>
      <c r="P242" s="9" t="s">
        <v>0</v>
      </c>
      <c r="Q242" s="9" t="str">
        <f t="shared" si="155"/>
        <v>-</v>
      </c>
      <c r="R242" s="9">
        <v>496.06019819111373</v>
      </c>
      <c r="S242" s="9">
        <f t="shared" si="156"/>
        <v>28.864014078356504</v>
      </c>
      <c r="T242" s="9" t="s">
        <v>0</v>
      </c>
      <c r="U242" s="9" t="str">
        <f t="shared" si="157"/>
        <v>-</v>
      </c>
      <c r="V242" s="9" t="s">
        <v>0</v>
      </c>
      <c r="W242" s="9" t="str">
        <f t="shared" si="158"/>
        <v>-</v>
      </c>
      <c r="X242" s="9" t="s">
        <v>0</v>
      </c>
      <c r="Y242" s="9" t="str">
        <f t="shared" si="160"/>
        <v>-</v>
      </c>
      <c r="Z242" s="9" t="s">
        <v>0</v>
      </c>
      <c r="AA242" s="9" t="str">
        <f t="shared" si="161"/>
        <v>-</v>
      </c>
      <c r="AB242" s="9" t="s">
        <v>0</v>
      </c>
      <c r="AC242" s="9" t="str">
        <f t="shared" si="162"/>
        <v>-</v>
      </c>
      <c r="AD242" s="9" t="s">
        <v>0</v>
      </c>
      <c r="AE242" s="12" t="str">
        <f t="shared" si="163"/>
        <v>-</v>
      </c>
      <c r="AF242" s="29" t="s">
        <v>0</v>
      </c>
      <c r="AG242" s="29" t="s">
        <v>0</v>
      </c>
      <c r="AH242" s="9">
        <v>404</v>
      </c>
      <c r="AI242" s="29" t="s">
        <v>0</v>
      </c>
      <c r="AJ242" s="32" t="s">
        <v>0</v>
      </c>
      <c r="AK242" s="29" t="s">
        <v>0</v>
      </c>
      <c r="AL242" s="32" t="s">
        <v>0</v>
      </c>
      <c r="AM242" s="29" t="s">
        <v>0</v>
      </c>
      <c r="AN242" s="32" t="s">
        <v>0</v>
      </c>
      <c r="AO242" s="29" t="s">
        <v>0</v>
      </c>
      <c r="AP242" s="32" t="s">
        <v>0</v>
      </c>
      <c r="AQ242" s="32" t="s">
        <v>0</v>
      </c>
      <c r="AR242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42" s="9" t="str">
        <f t="shared" si="164"/>
        <v>-</v>
      </c>
      <c r="AT242" s="9">
        <f>IF(RIGHT(TMK[[#This Row],[Device type]],7)="Winding","-",TMK[[#This Row],[Cont Winter MVA]])</f>
        <v>33.33315433142343</v>
      </c>
      <c r="AU242" s="9" t="str">
        <f>IF(RIGHT(TMK[[#This Row],[Device type]],7)="Winding","-",TMK[[#This Row],[Cont Shoulder MVA]])</f>
        <v>-</v>
      </c>
      <c r="AV242" s="9">
        <f>IF(RIGHT(TMK[[#This Row],[Device type]],7)="Winding","-",TMK[[#This Row],[Cont Summer MVA]])</f>
        <v>28.864014078356504</v>
      </c>
      <c r="AW242" s="9" t="str">
        <f>IF(RIGHT(TMK[[#This Row],[Device type]],7)="Winding","-",TMK[[#This Row],[24 Hr Winter MVA]])</f>
        <v>-</v>
      </c>
      <c r="AX242" s="9" t="str">
        <f>IF(RIGHT(TMK[[#This Row],[Device type]],7)="Winding","-",TMK[[#This Row],[24 Hr Summer MVA]])</f>
        <v>-</v>
      </c>
      <c r="AY242" s="9" t="str">
        <f>TMK[[#This Row],[Forwards MVA]]</f>
        <v>-</v>
      </c>
      <c r="AZ242" s="9" t="str">
        <f>TMK[[#This Row],[Relay MVA]]</f>
        <v>-</v>
      </c>
      <c r="BA242" s="9" t="str">
        <f>TMK[[#This Row],[CT MVA]]</f>
        <v>-</v>
      </c>
      <c r="BB242" s="9" t="str">
        <f>TMK[[#This Row],[Derating MVA]]</f>
        <v>-</v>
      </c>
      <c r="BC242" s="9" t="str">
        <f>TMK[[#This Row],[Station/Feeder]]&amp;TMK[[#This Row],[Lowest MVA]]</f>
        <v>CD_128.8640140783565</v>
      </c>
      <c r="BD242" s="9" t="str">
        <f>CONCATENATE(TMK[[#This Row],[Supply Level]],TMK[[#This Row],[Station/Feeder]],TMK[[#This Row],[Voltage]],TMK[[#This Row],[Lowest A-No PTX]])</f>
        <v>SubTransmissionCD_133.594496.060198191114</v>
      </c>
      <c r="BE242" s="9" t="str">
        <f>CONCATENATE(TMK[[#This Row],[Supply Level]],TMK[[#This Row],[Station/Feeder]],TMK[[#This Row],[Voltage]],TMK[[#This Row],[Lowest A-PTX]])</f>
        <v>SubTransmissionCD_133.594496.060198191114</v>
      </c>
      <c r="BF242" s="9">
        <f>IFERROR(IF(MIN(TMK[[#This Row],[Summ Cont Winter A]:[Cable Derating]])=0,"",MIN(TMK[[#This Row],[Summ Cont Winter A]:[Cable Derating]])),"")</f>
        <v>28.864014078356504</v>
      </c>
      <c r="BG242" s="9">
        <f>IFERROR(TMK[[#This Row],[Lowest MVA]]*1000/(TMK[[#This Row],[Voltage]]*SQRT(3)),"")</f>
        <v>496.06019819111378</v>
      </c>
      <c r="BH242" s="9">
        <f t="shared" si="159"/>
        <v>496.06019819111373</v>
      </c>
      <c r="BI242" s="9" t="str">
        <f>TMK[[#This Row],[From]]</f>
        <v>Pole 02049</v>
      </c>
      <c r="BJ242" s="9" t="str">
        <f>TMK[[#This Row],[To]]</f>
        <v>Pole 02052</v>
      </c>
      <c r="BK24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Line-WOLF</v>
      </c>
      <c r="BL242" s="9">
        <f>TMK[[#This Row],[Voltage]]</f>
        <v>33.594000000000001</v>
      </c>
    </row>
    <row r="243" spans="1:64" s="1" customFormat="1" ht="15" customHeight="1" x14ac:dyDescent="0.25">
      <c r="A243" s="6" t="str">
        <f>CONCATENATE(TMK[[#This Row],[Supply Level]],TMK[[#This Row],[Station/Feeder]],TMK[[#This Row],[Voltage]],"T2")</f>
        <v>SubTransmissionCD_133.594T2</v>
      </c>
      <c r="B243" s="6" t="str">
        <f>CONCATENATE(TMK[[#This Row],[Supply Level]],TMK[[#This Row],[Station/Feeder]],TMK[[#This Row],[Equipment ID]],TMK[[#This Row],[Voltage]],TMK[[#This Row],[Device type]])</f>
        <v>SubTransmissionCD_1JAGUAR33.594-</v>
      </c>
      <c r="C243" s="6" t="s">
        <v>1245</v>
      </c>
      <c r="D243" s="11" t="s">
        <v>88</v>
      </c>
      <c r="E243" s="7" t="s">
        <v>558</v>
      </c>
      <c r="F243" s="7" t="s">
        <v>629</v>
      </c>
      <c r="G243" s="56">
        <v>6</v>
      </c>
      <c r="H243" s="7" t="s">
        <v>1289</v>
      </c>
      <c r="I243" s="123" t="s">
        <v>345</v>
      </c>
      <c r="J243" s="123" t="s">
        <v>69</v>
      </c>
      <c r="K243" s="46" t="s">
        <v>0</v>
      </c>
      <c r="L243" s="46" t="s">
        <v>0</v>
      </c>
      <c r="M243" s="43">
        <f t="shared" si="121"/>
        <v>33.594000000000001</v>
      </c>
      <c r="N243" s="9">
        <v>673.28384221311683</v>
      </c>
      <c r="O243" s="9">
        <f t="shared" si="154"/>
        <v>39.176040269375299</v>
      </c>
      <c r="P243" s="9" t="s">
        <v>0</v>
      </c>
      <c r="Q243" s="9" t="str">
        <f t="shared" si="155"/>
        <v>-</v>
      </c>
      <c r="R243" s="9">
        <v>582.79308811233284</v>
      </c>
      <c r="S243" s="9">
        <f t="shared" si="156"/>
        <v>33.910698663960211</v>
      </c>
      <c r="T243" s="9" t="s">
        <v>0</v>
      </c>
      <c r="U243" s="9" t="str">
        <f t="shared" si="157"/>
        <v>-</v>
      </c>
      <c r="V243" s="9" t="s">
        <v>0</v>
      </c>
      <c r="W243" s="9" t="str">
        <f t="shared" si="158"/>
        <v>-</v>
      </c>
      <c r="X243" s="9" t="s">
        <v>0</v>
      </c>
      <c r="Y243" s="9" t="str">
        <f t="shared" si="160"/>
        <v>-</v>
      </c>
      <c r="Z243" s="9" t="s">
        <v>0</v>
      </c>
      <c r="AA243" s="9" t="str">
        <f t="shared" si="161"/>
        <v>-</v>
      </c>
      <c r="AB243" s="9" t="s">
        <v>0</v>
      </c>
      <c r="AC243" s="9" t="str">
        <f t="shared" si="162"/>
        <v>-</v>
      </c>
      <c r="AD243" s="9" t="s">
        <v>0</v>
      </c>
      <c r="AE243" s="12" t="str">
        <f t="shared" si="163"/>
        <v>-</v>
      </c>
      <c r="AF243" s="29" t="s">
        <v>0</v>
      </c>
      <c r="AG243" s="29" t="s">
        <v>0</v>
      </c>
      <c r="AH243" s="9">
        <v>3831</v>
      </c>
      <c r="AI243" s="29" t="s">
        <v>0</v>
      </c>
      <c r="AJ243" s="32" t="s">
        <v>0</v>
      </c>
      <c r="AK243" s="29" t="s">
        <v>0</v>
      </c>
      <c r="AL243" s="32" t="s">
        <v>0</v>
      </c>
      <c r="AM243" s="29" t="s">
        <v>0</v>
      </c>
      <c r="AN243" s="32" t="s">
        <v>0</v>
      </c>
      <c r="AO243" s="29" t="s">
        <v>0</v>
      </c>
      <c r="AP243" s="32" t="s">
        <v>0</v>
      </c>
      <c r="AQ243" s="32" t="s">
        <v>0</v>
      </c>
      <c r="AR24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43" s="9" t="str">
        <f t="shared" si="164"/>
        <v>-</v>
      </c>
      <c r="AT243" s="9">
        <f>IF(RIGHT(TMK[[#This Row],[Device type]],7)="Winding","-",TMK[[#This Row],[Cont Winter MVA]])</f>
        <v>39.176040269375299</v>
      </c>
      <c r="AU243" s="9" t="str">
        <f>IF(RIGHT(TMK[[#This Row],[Device type]],7)="Winding","-",TMK[[#This Row],[Cont Shoulder MVA]])</f>
        <v>-</v>
      </c>
      <c r="AV243" s="9">
        <f>IF(RIGHT(TMK[[#This Row],[Device type]],7)="Winding","-",TMK[[#This Row],[Cont Summer MVA]])</f>
        <v>33.910698663960211</v>
      </c>
      <c r="AW243" s="9" t="str">
        <f>IF(RIGHT(TMK[[#This Row],[Device type]],7)="Winding","-",TMK[[#This Row],[24 Hr Winter MVA]])</f>
        <v>-</v>
      </c>
      <c r="AX243" s="9" t="str">
        <f>IF(RIGHT(TMK[[#This Row],[Device type]],7)="Winding","-",TMK[[#This Row],[24 Hr Summer MVA]])</f>
        <v>-</v>
      </c>
      <c r="AY243" s="9" t="str">
        <f>TMK[[#This Row],[Forwards MVA]]</f>
        <v>-</v>
      </c>
      <c r="AZ243" s="9" t="str">
        <f>TMK[[#This Row],[Relay MVA]]</f>
        <v>-</v>
      </c>
      <c r="BA243" s="9" t="str">
        <f>TMK[[#This Row],[CT MVA]]</f>
        <v>-</v>
      </c>
      <c r="BB243" s="9" t="str">
        <f>TMK[[#This Row],[Derating MVA]]</f>
        <v>-</v>
      </c>
      <c r="BC243" s="9" t="str">
        <f>TMK[[#This Row],[Station/Feeder]]&amp;TMK[[#This Row],[Lowest MVA]]</f>
        <v>CD_133.9106986639602</v>
      </c>
      <c r="BD243" s="9" t="str">
        <f>CONCATENATE(TMK[[#This Row],[Supply Level]],TMK[[#This Row],[Station/Feeder]],TMK[[#This Row],[Voltage]],TMK[[#This Row],[Lowest A-No PTX]])</f>
        <v>SubTransmissionCD_133.594582.793088112333</v>
      </c>
      <c r="BE243" s="9" t="str">
        <f>CONCATENATE(TMK[[#This Row],[Supply Level]],TMK[[#This Row],[Station/Feeder]],TMK[[#This Row],[Voltage]],TMK[[#This Row],[Lowest A-PTX]])</f>
        <v>SubTransmissionCD_133.594582.793088112333</v>
      </c>
      <c r="BF243" s="9">
        <f>IFERROR(IF(MIN(TMK[[#This Row],[Summ Cont Winter A]:[Cable Derating]])=0,"",MIN(TMK[[#This Row],[Summ Cont Winter A]:[Cable Derating]])),"")</f>
        <v>33.910698663960211</v>
      </c>
      <c r="BG243" s="9">
        <f>IFERROR(TMK[[#This Row],[Lowest MVA]]*1000/(TMK[[#This Row],[Voltage]]*SQRT(3)),"")</f>
        <v>582.79308811233284</v>
      </c>
      <c r="BH243" s="9">
        <f t="shared" si="159"/>
        <v>582.79308811233284</v>
      </c>
      <c r="BI243" s="9" t="str">
        <f>TMK[[#This Row],[From]]</f>
        <v>Pole 02052</v>
      </c>
      <c r="BJ243" s="9" t="str">
        <f>TMK[[#This Row],[To]]</f>
        <v>REC T616</v>
      </c>
      <c r="BK24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Line-JAGUAR</v>
      </c>
      <c r="BL243" s="9">
        <f>TMK[[#This Row],[Voltage]]</f>
        <v>33.594000000000001</v>
      </c>
    </row>
    <row r="244" spans="1:64" s="1" customFormat="1" ht="15" customHeight="1" x14ac:dyDescent="0.25">
      <c r="A244" s="6" t="str">
        <f>CONCATENATE(TMK[[#This Row],[Supply Level]],TMK[[#This Row],[Station/Feeder]],TMK[[#This Row],[Voltage]],"T2")</f>
        <v>SubTransmissionCD_133.594T2</v>
      </c>
      <c r="B244" s="6" t="str">
        <f>CONCATENATE(TMK[[#This Row],[Supply Level]],TMK[[#This Row],[Station/Feeder]],TMK[[#This Row],[Equipment ID]],TMK[[#This Row],[Voltage]],TMK[[#This Row],[Device type]])</f>
        <v>SubTransmissionCD_1T61633.594Protection</v>
      </c>
      <c r="C244" s="6" t="s">
        <v>1245</v>
      </c>
      <c r="D244" s="11" t="s">
        <v>88</v>
      </c>
      <c r="E244" s="7" t="s">
        <v>629</v>
      </c>
      <c r="F244" s="7" t="s">
        <v>243</v>
      </c>
      <c r="G244" s="56">
        <v>1</v>
      </c>
      <c r="H244" s="7" t="s">
        <v>343</v>
      </c>
      <c r="I244" s="123" t="s">
        <v>627</v>
      </c>
      <c r="J244" s="123" t="s">
        <v>394</v>
      </c>
      <c r="K244" s="46" t="s">
        <v>1126</v>
      </c>
      <c r="L244" s="46" t="s">
        <v>1423</v>
      </c>
      <c r="M244" s="43">
        <f t="shared" si="121"/>
        <v>33.594000000000001</v>
      </c>
      <c r="N244" s="9">
        <v>560</v>
      </c>
      <c r="O244" s="9">
        <f t="shared" si="154"/>
        <v>32.584448304502558</v>
      </c>
      <c r="P244" s="9">
        <v>560</v>
      </c>
      <c r="Q244" s="9">
        <f t="shared" si="155"/>
        <v>32.584448304502558</v>
      </c>
      <c r="R244" s="9">
        <v>560</v>
      </c>
      <c r="S244" s="9">
        <f t="shared" si="156"/>
        <v>32.584448304502558</v>
      </c>
      <c r="T244" s="9" t="s">
        <v>0</v>
      </c>
      <c r="U244" s="9" t="str">
        <f t="shared" si="157"/>
        <v>-</v>
      </c>
      <c r="V244" s="9" t="s">
        <v>0</v>
      </c>
      <c r="W244" s="9" t="str">
        <f t="shared" si="158"/>
        <v>-</v>
      </c>
      <c r="X244" s="9">
        <v>512</v>
      </c>
      <c r="Y244" s="9">
        <f t="shared" si="160"/>
        <v>29.791495592688058</v>
      </c>
      <c r="Z244" s="9">
        <v>512</v>
      </c>
      <c r="AA244" s="9">
        <f t="shared" si="161"/>
        <v>29.791495592688058</v>
      </c>
      <c r="AB244" s="9" t="s">
        <v>0</v>
      </c>
      <c r="AC244" s="9" t="str">
        <f t="shared" si="162"/>
        <v>-</v>
      </c>
      <c r="AD244" s="9">
        <v>400</v>
      </c>
      <c r="AE244" s="12">
        <f t="shared" si="163"/>
        <v>23.274605931787544</v>
      </c>
      <c r="AF244" s="9" t="s">
        <v>0</v>
      </c>
      <c r="AG244" s="9" t="s">
        <v>0</v>
      </c>
      <c r="AH244" s="9" t="s">
        <v>0</v>
      </c>
      <c r="AI244" s="9" t="s">
        <v>0</v>
      </c>
      <c r="AJ244" s="43" t="s">
        <v>0</v>
      </c>
      <c r="AK244" s="29" t="s">
        <v>0</v>
      </c>
      <c r="AL244" s="32" t="s">
        <v>0</v>
      </c>
      <c r="AM244" s="29" t="s">
        <v>0</v>
      </c>
      <c r="AN244" s="32" t="s">
        <v>0</v>
      </c>
      <c r="AO244" s="29" t="s">
        <v>0</v>
      </c>
      <c r="AP244" s="32" t="s">
        <v>0</v>
      </c>
      <c r="AQ244" s="32" t="s">
        <v>0</v>
      </c>
      <c r="AR244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44" s="9" t="str">
        <f t="shared" si="164"/>
        <v>-</v>
      </c>
      <c r="AT244" s="9">
        <f>IF(RIGHT(TMK[[#This Row],[Device type]],7)="Winding","-",TMK[[#This Row],[Cont Winter MVA]])</f>
        <v>32.584448304502558</v>
      </c>
      <c r="AU244" s="9">
        <f>IF(RIGHT(TMK[[#This Row],[Device type]],7)="Winding","-",TMK[[#This Row],[Cont Shoulder MVA]])</f>
        <v>32.584448304502558</v>
      </c>
      <c r="AV244" s="9">
        <f>IF(RIGHT(TMK[[#This Row],[Device type]],7)="Winding","-",TMK[[#This Row],[Cont Summer MVA]])</f>
        <v>32.584448304502558</v>
      </c>
      <c r="AW244" s="9" t="str">
        <f>IF(RIGHT(TMK[[#This Row],[Device type]],7)="Winding","-",TMK[[#This Row],[24 Hr Winter MVA]])</f>
        <v>-</v>
      </c>
      <c r="AX244" s="9" t="str">
        <f>IF(RIGHT(TMK[[#This Row],[Device type]],7)="Winding","-",TMK[[#This Row],[24 Hr Summer MVA]])</f>
        <v>-</v>
      </c>
      <c r="AY244" s="9">
        <f>TMK[[#This Row],[Forwards MVA]]</f>
        <v>29.791495592688058</v>
      </c>
      <c r="AZ244" s="9" t="str">
        <f>TMK[[#This Row],[Relay MVA]]</f>
        <v>-</v>
      </c>
      <c r="BA244" s="9">
        <f>TMK[[#This Row],[CT MVA]]</f>
        <v>23.274605931787544</v>
      </c>
      <c r="BB244" s="9" t="str">
        <f>TMK[[#This Row],[Derating MVA]]</f>
        <v>-</v>
      </c>
      <c r="BC244" s="9" t="str">
        <f>TMK[[#This Row],[Station/Feeder]]&amp;TMK[[#This Row],[Lowest MVA]]</f>
        <v>CD_123.2746059317875</v>
      </c>
      <c r="BD244" s="9" t="str">
        <f>CONCATENATE(TMK[[#This Row],[Supply Level]],TMK[[#This Row],[Station/Feeder]],TMK[[#This Row],[Voltage]],TMK[[#This Row],[Lowest A-No PTX]])</f>
        <v>SubTransmissionCD_133.594400</v>
      </c>
      <c r="BE244" s="9" t="str">
        <f>CONCATENATE(TMK[[#This Row],[Supply Level]],TMK[[#This Row],[Station/Feeder]],TMK[[#This Row],[Voltage]],TMK[[#This Row],[Lowest A-PTX]])</f>
        <v>SubTransmissionCD_133.594400</v>
      </c>
      <c r="BF244" s="9">
        <f>IFERROR(IF(MIN(TMK[[#This Row],[Summ Cont Winter A]:[Cable Derating]])=0,"",MIN(TMK[[#This Row],[Summ Cont Winter A]:[Cable Derating]])),"")</f>
        <v>23.274605931787544</v>
      </c>
      <c r="BG244" s="9">
        <f>IFERROR(TMK[[#This Row],[Lowest MVA]]*1000/(TMK[[#This Row],[Voltage]]*SQRT(3)),"")</f>
        <v>400</v>
      </c>
      <c r="BH244" s="9">
        <f t="shared" si="159"/>
        <v>400</v>
      </c>
      <c r="BI244" s="9" t="str">
        <f>TMK[[#This Row],[From]]</f>
        <v>REC T616</v>
      </c>
      <c r="BJ244" s="9" t="str">
        <f>TMK[[#This Row],[To]]</f>
        <v>11 kV Bus</v>
      </c>
      <c r="BK24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Recloser-T616-Protection</v>
      </c>
      <c r="BL244" s="9">
        <f>TMK[[#This Row],[Voltage]]</f>
        <v>33.594000000000001</v>
      </c>
    </row>
    <row r="245" spans="1:64" s="1" customFormat="1" ht="15" customHeight="1" x14ac:dyDescent="0.25">
      <c r="A245" s="6" t="str">
        <f>CONCATENATE(TMK[[#This Row],[Supply Level]],TMK[[#This Row],[Station/Feeder]],TMK[[#This Row],[Voltage]],"T2")</f>
        <v>SubTransmissionCD_133.594T2</v>
      </c>
      <c r="B245" s="6" t="str">
        <f>CONCATENATE(TMK[[#This Row],[Supply Level]],TMK[[#This Row],[Station/Feeder]],TMK[[#This Row],[Equipment ID]],TMK[[#This Row],[Voltage]],TMK[[#This Row],[Device type]])</f>
        <v>SubTransmissionCD_13-1c 300 mm² Al XLPE33.594-</v>
      </c>
      <c r="C245" s="6" t="s">
        <v>1245</v>
      </c>
      <c r="D245" s="11" t="s">
        <v>88</v>
      </c>
      <c r="E245" s="7" t="s">
        <v>629</v>
      </c>
      <c r="F245" s="7" t="s">
        <v>243</v>
      </c>
      <c r="G245" s="56">
        <v>2</v>
      </c>
      <c r="H245" s="7" t="s">
        <v>585</v>
      </c>
      <c r="I245" s="123" t="s">
        <v>624</v>
      </c>
      <c r="J245" s="123" t="s">
        <v>250</v>
      </c>
      <c r="K245" s="46" t="s">
        <v>0</v>
      </c>
      <c r="L245" s="46" t="s">
        <v>0</v>
      </c>
      <c r="M245" s="43">
        <f t="shared" si="121"/>
        <v>33.594000000000001</v>
      </c>
      <c r="N245" s="9">
        <v>414</v>
      </c>
      <c r="O245" s="9">
        <f t="shared" si="154"/>
        <v>24.089217139400109</v>
      </c>
      <c r="P245" s="9">
        <v>414</v>
      </c>
      <c r="Q245" s="9">
        <f t="shared" si="155"/>
        <v>24.089217139400109</v>
      </c>
      <c r="R245" s="9">
        <v>414</v>
      </c>
      <c r="S245" s="9">
        <f t="shared" si="156"/>
        <v>24.089217139400109</v>
      </c>
      <c r="T245" s="9" t="s">
        <v>0</v>
      </c>
      <c r="U245" s="9" t="str">
        <f t="shared" si="157"/>
        <v>-</v>
      </c>
      <c r="V245" s="9" t="s">
        <v>0</v>
      </c>
      <c r="W245" s="9" t="str">
        <f t="shared" si="158"/>
        <v>-</v>
      </c>
      <c r="X245" s="9" t="s">
        <v>0</v>
      </c>
      <c r="Y245" s="9" t="str">
        <f t="shared" si="160"/>
        <v>-</v>
      </c>
      <c r="Z245" s="9" t="s">
        <v>0</v>
      </c>
      <c r="AA245" s="9" t="str">
        <f t="shared" si="161"/>
        <v>-</v>
      </c>
      <c r="AB245" s="9" t="s">
        <v>0</v>
      </c>
      <c r="AC245" s="9" t="str">
        <f t="shared" si="162"/>
        <v>-</v>
      </c>
      <c r="AD245" s="9" t="s">
        <v>0</v>
      </c>
      <c r="AE245" s="12" t="str">
        <f t="shared" si="163"/>
        <v>-</v>
      </c>
      <c r="AF245" s="9">
        <v>1</v>
      </c>
      <c r="AG245" s="9" t="s">
        <v>344</v>
      </c>
      <c r="AH245" s="9">
        <v>261</v>
      </c>
      <c r="AI245" s="9">
        <v>1.2</v>
      </c>
      <c r="AJ245" s="43">
        <v>0.96</v>
      </c>
      <c r="AK245" s="29">
        <v>18</v>
      </c>
      <c r="AL245" s="32">
        <v>0.98299999999999998</v>
      </c>
      <c r="AM245" s="29">
        <v>1.2</v>
      </c>
      <c r="AN245" s="32">
        <v>1</v>
      </c>
      <c r="AO245" s="29">
        <v>2</v>
      </c>
      <c r="AP245" s="32">
        <v>0.6</v>
      </c>
      <c r="AQ245" s="32">
        <v>0.89</v>
      </c>
      <c r="AR245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347.70833279999999</v>
      </c>
      <c r="AS245" s="9">
        <f t="shared" si="164"/>
        <v>20.231936062797093</v>
      </c>
      <c r="AT245" s="9">
        <f>IF(RIGHT(TMK[[#This Row],[Device type]],7)="Winding","-",TMK[[#This Row],[Cont Winter MVA]])</f>
        <v>24.089217139400109</v>
      </c>
      <c r="AU245" s="9">
        <f>IF(RIGHT(TMK[[#This Row],[Device type]],7)="Winding","-",TMK[[#This Row],[Cont Shoulder MVA]])</f>
        <v>24.089217139400109</v>
      </c>
      <c r="AV245" s="9">
        <f>IF(RIGHT(TMK[[#This Row],[Device type]],7)="Winding","-",TMK[[#This Row],[Cont Summer MVA]])</f>
        <v>24.089217139400109</v>
      </c>
      <c r="AW245" s="9" t="str">
        <f>IF(RIGHT(TMK[[#This Row],[Device type]],7)="Winding","-",TMK[[#This Row],[24 Hr Winter MVA]])</f>
        <v>-</v>
      </c>
      <c r="AX245" s="9" t="str">
        <f>IF(RIGHT(TMK[[#This Row],[Device type]],7)="Winding","-",TMK[[#This Row],[24 Hr Summer MVA]])</f>
        <v>-</v>
      </c>
      <c r="AY245" s="9" t="str">
        <f>TMK[[#This Row],[Forwards MVA]]</f>
        <v>-</v>
      </c>
      <c r="AZ245" s="9" t="str">
        <f>TMK[[#This Row],[Relay MVA]]</f>
        <v>-</v>
      </c>
      <c r="BA245" s="9" t="str">
        <f>TMK[[#This Row],[CT MVA]]</f>
        <v>-</v>
      </c>
      <c r="BB245" s="9">
        <f>TMK[[#This Row],[Derating MVA]]</f>
        <v>20.231936062797093</v>
      </c>
      <c r="BC245" s="9" t="str">
        <f>TMK[[#This Row],[Station/Feeder]]&amp;TMK[[#This Row],[Lowest MVA]]</f>
        <v>CD_120.2319360627971</v>
      </c>
      <c r="BD245" s="9" t="str">
        <f>CONCATENATE(TMK[[#This Row],[Supply Level]],TMK[[#This Row],[Station/Feeder]],TMK[[#This Row],[Voltage]],TMK[[#This Row],[Lowest A-No PTX]])</f>
        <v>SubTransmissionCD_133.594347.7083328</v>
      </c>
      <c r="BE245" s="9" t="str">
        <f>CONCATENATE(TMK[[#This Row],[Supply Level]],TMK[[#This Row],[Station/Feeder]],TMK[[#This Row],[Voltage]],TMK[[#This Row],[Lowest A-PTX]])</f>
        <v>SubTransmissionCD_133.594347.7083328</v>
      </c>
      <c r="BF245" s="9">
        <f>IFERROR(IF(MIN(TMK[[#This Row],[Summ Cont Winter A]:[Cable Derating]])=0,"",MIN(TMK[[#This Row],[Summ Cont Winter A]:[Cable Derating]])),"")</f>
        <v>20.231936062797093</v>
      </c>
      <c r="BG245" s="9">
        <f>IFERROR(TMK[[#This Row],[Lowest MVA]]*1000/(TMK[[#This Row],[Voltage]]*SQRT(3)),"")</f>
        <v>347.70833279999999</v>
      </c>
      <c r="BH245" s="9">
        <f t="shared" si="159"/>
        <v>347.70833279999999</v>
      </c>
      <c r="BI245" s="9" t="str">
        <f>TMK[[#This Row],[From]]</f>
        <v>REC T616</v>
      </c>
      <c r="BJ245" s="9" t="str">
        <f>TMK[[#This Row],[To]]</f>
        <v>11 kV Bus</v>
      </c>
      <c r="BK24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300 mm² Al XLPE</v>
      </c>
      <c r="BL245" s="9">
        <f>TMK[[#This Row],[Voltage]]</f>
        <v>33.594000000000001</v>
      </c>
    </row>
    <row r="246" spans="1:64" s="1" customFormat="1" ht="15" customHeight="1" x14ac:dyDescent="0.25">
      <c r="A246" s="6" t="str">
        <f>CONCATENATE(TMK[[#This Row],[Supply Level]],TMK[[#This Row],[Station/Feeder]],TMK[[#This Row],[Voltage]],"T2")</f>
        <v>ZoneSubstationCD_133.594T2</v>
      </c>
      <c r="B246" s="6" t="str">
        <f>CONCATENATE(TMK[[#This Row],[Supply Level]],TMK[[#This Row],[Station/Feeder]],TMK[[#This Row],[Equipment ID]],TMK[[#This Row],[Voltage]],TMK[[#This Row],[Device type]])</f>
        <v>ZoneSubstationCD_1D1246-T233.594HV Winding</v>
      </c>
      <c r="C246" s="6" t="s">
        <v>1246</v>
      </c>
      <c r="D246" s="11" t="s">
        <v>88</v>
      </c>
      <c r="E246" s="7" t="s">
        <v>629</v>
      </c>
      <c r="F246" s="7" t="s">
        <v>243</v>
      </c>
      <c r="G246" s="56">
        <v>3</v>
      </c>
      <c r="H246" s="46" t="s">
        <v>275</v>
      </c>
      <c r="I246" s="123" t="s">
        <v>630</v>
      </c>
      <c r="J246" s="123" t="s">
        <v>19</v>
      </c>
      <c r="K246" s="46" t="s">
        <v>0</v>
      </c>
      <c r="L246" s="46" t="s">
        <v>36</v>
      </c>
      <c r="M246" s="43">
        <f t="shared" si="121"/>
        <v>33.594000000000001</v>
      </c>
      <c r="N246" s="9">
        <f>20*1000/(TMK[[#This Row],[Voltage]]*SQRT(3))</f>
        <v>343.72225349147215</v>
      </c>
      <c r="O246" s="9">
        <f t="shared" si="154"/>
        <v>20</v>
      </c>
      <c r="P246" s="9" t="s">
        <v>0</v>
      </c>
      <c r="Q246" s="9" t="str">
        <f t="shared" si="155"/>
        <v>-</v>
      </c>
      <c r="R246" s="9" t="s">
        <v>0</v>
      </c>
      <c r="S246" s="9" t="str">
        <f t="shared" si="156"/>
        <v>-</v>
      </c>
      <c r="T246" s="9" t="s">
        <v>0</v>
      </c>
      <c r="U246" s="9" t="str">
        <f t="shared" si="157"/>
        <v>-</v>
      </c>
      <c r="V246" s="9" t="s">
        <v>0</v>
      </c>
      <c r="W246" s="9" t="str">
        <f t="shared" si="158"/>
        <v>-</v>
      </c>
      <c r="X246" s="9" t="s">
        <v>0</v>
      </c>
      <c r="Y246" s="9" t="str">
        <f t="shared" ref="Y246:Y316" si="182">IF(OR(X246="",X246="-"),"-",X246*$M246*SQRT(3)/1000)</f>
        <v>-</v>
      </c>
      <c r="Z246" s="9" t="s">
        <v>0</v>
      </c>
      <c r="AA246" s="9" t="str">
        <f t="shared" ref="AA246:AA316" si="183">IF(OR(Z246="",Z246="-"),"-",Z246*$M246*SQRT(3)/1000)</f>
        <v>-</v>
      </c>
      <c r="AB246" s="9" t="s">
        <v>0</v>
      </c>
      <c r="AC246" s="9" t="str">
        <f t="shared" ref="AC246:AC250" si="184">IF(OR(AB246="",AB246="-"),"-",AB246*$M246*SQRT(3)/1000)</f>
        <v>-</v>
      </c>
      <c r="AD246" s="9" t="s">
        <v>0</v>
      </c>
      <c r="AE246" s="12" t="str">
        <f t="shared" ref="AE246:AE250" si="185">IF(OR(AD246="",AD246="-"),"-",AD246*$M246*SQRT(3)/1000)</f>
        <v>-</v>
      </c>
      <c r="AF246" s="9" t="s">
        <v>0</v>
      </c>
      <c r="AG246" s="9" t="s">
        <v>0</v>
      </c>
      <c r="AH246" s="9" t="s">
        <v>0</v>
      </c>
      <c r="AI246" s="9" t="s">
        <v>0</v>
      </c>
      <c r="AJ246" s="43" t="s">
        <v>0</v>
      </c>
      <c r="AK246" s="29" t="s">
        <v>0</v>
      </c>
      <c r="AL246" s="32" t="s">
        <v>0</v>
      </c>
      <c r="AM246" s="29" t="s">
        <v>0</v>
      </c>
      <c r="AN246" s="32" t="s">
        <v>0</v>
      </c>
      <c r="AO246" s="29" t="s">
        <v>0</v>
      </c>
      <c r="AP246" s="32" t="s">
        <v>0</v>
      </c>
      <c r="AQ246" s="32" t="s">
        <v>0</v>
      </c>
      <c r="AR24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46" s="9" t="str">
        <f t="shared" ref="AS246:AS250" si="186">IF(OR(AR246="",AR246="-"),"-",AR246*$M246*SQRT(3)/1000)</f>
        <v>-</v>
      </c>
      <c r="AT246" s="9" t="str">
        <f>IF(RIGHT(TMK[[#This Row],[Device type]],7)="Winding","-",TMK[[#This Row],[Cont Winter MVA]])</f>
        <v>-</v>
      </c>
      <c r="AU246" s="9" t="str">
        <f>IF(RIGHT(TMK[[#This Row],[Device type]],7)="Winding","-",TMK[[#This Row],[Cont Shoulder MVA]])</f>
        <v>-</v>
      </c>
      <c r="AV246" s="9" t="str">
        <f>IF(RIGHT(TMK[[#This Row],[Device type]],7)="Winding","-",TMK[[#This Row],[Cont Summer MVA]])</f>
        <v>-</v>
      </c>
      <c r="AW246" s="9" t="str">
        <f>IF(RIGHT(TMK[[#This Row],[Device type]],7)="Winding","-",TMK[[#This Row],[24 Hr Winter MVA]])</f>
        <v>-</v>
      </c>
      <c r="AX246" s="9" t="str">
        <f>IF(RIGHT(TMK[[#This Row],[Device type]],7)="Winding","-",TMK[[#This Row],[24 Hr Summer MVA]])</f>
        <v>-</v>
      </c>
      <c r="AY246" s="9" t="str">
        <f>TMK[[#This Row],[Forwards MVA]]</f>
        <v>-</v>
      </c>
      <c r="AZ246" s="9" t="str">
        <f>TMK[[#This Row],[Relay MVA]]</f>
        <v>-</v>
      </c>
      <c r="BA246" s="9" t="str">
        <f>TMK[[#This Row],[CT MVA]]</f>
        <v>-</v>
      </c>
      <c r="BB246" s="9" t="str">
        <f>TMK[[#This Row],[Derating MVA]]</f>
        <v>-</v>
      </c>
      <c r="BC246" s="9" t="str">
        <f>TMK[[#This Row],[Station/Feeder]]&amp;TMK[[#This Row],[Lowest MVA]]</f>
        <v>CD_1</v>
      </c>
      <c r="BD246" s="9" t="str">
        <f>CONCATENATE(TMK[[#This Row],[Supply Level]],TMK[[#This Row],[Station/Feeder]],TMK[[#This Row],[Voltage]],TMK[[#This Row],[Lowest A-No PTX]])</f>
        <v>ZoneSubstationCD_133.594</v>
      </c>
      <c r="BE246" s="9" t="str">
        <f>CONCATENATE(TMK[[#This Row],[Supply Level]],TMK[[#This Row],[Station/Feeder]],TMK[[#This Row],[Voltage]],TMK[[#This Row],[Lowest A-PTX]])</f>
        <v>ZoneSubstationCD_133.594343.722253491472</v>
      </c>
      <c r="BF246" s="9" t="str">
        <f>IFERROR(IF(MIN(TMK[[#This Row],[Summ Cont Winter A]:[Cable Derating]])=0,"",MIN(TMK[[#This Row],[Summ Cont Winter A]:[Cable Derating]])),"")</f>
        <v/>
      </c>
      <c r="BG246" s="9" t="str">
        <f>IFERROR(TMK[[#This Row],[Lowest MVA]]*1000/(TMK[[#This Row],[Voltage]]*SQRT(3)),"")</f>
        <v/>
      </c>
      <c r="BH246" s="9">
        <f t="shared" si="159"/>
        <v>343.72225349147215</v>
      </c>
      <c r="BI246" s="9" t="str">
        <f>TMK[[#This Row],[From]]</f>
        <v>REC T616</v>
      </c>
      <c r="BJ246" s="9" t="str">
        <f>TMK[[#This Row],[To]]</f>
        <v>11 kV Bus</v>
      </c>
      <c r="BK24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Transformer-D1246-T2-HV Winding</v>
      </c>
      <c r="BL246" s="9">
        <f>TMK[[#This Row],[Voltage]]</f>
        <v>33.594000000000001</v>
      </c>
    </row>
    <row r="247" spans="1:64" s="1" customFormat="1" ht="15" customHeight="1" x14ac:dyDescent="0.25">
      <c r="A247" s="6" t="str">
        <f>CONCATENATE(TMK[[#This Row],[Supply Level]],TMK[[#This Row],[Station/Feeder]],TMK[[#This Row],[Voltage]],"T2")</f>
        <v>ZoneSubstationCD_111T2</v>
      </c>
      <c r="B247" s="6" t="str">
        <f>CONCATENATE(TMK[[#This Row],[Supply Level]],TMK[[#This Row],[Station/Feeder]],TMK[[#This Row],[Equipment ID]],TMK[[#This Row],[Voltage]],TMK[[#This Row],[Device type]])</f>
        <v>ZoneSubstationCD_1D1246-T211LV Winding</v>
      </c>
      <c r="C247" s="6" t="s">
        <v>1246</v>
      </c>
      <c r="D247" s="11" t="s">
        <v>88</v>
      </c>
      <c r="E247" s="7" t="s">
        <v>629</v>
      </c>
      <c r="F247" s="7" t="s">
        <v>243</v>
      </c>
      <c r="G247" s="56">
        <v>4</v>
      </c>
      <c r="H247" s="46" t="s">
        <v>275</v>
      </c>
      <c r="I247" s="123" t="s">
        <v>630</v>
      </c>
      <c r="J247" s="123" t="s">
        <v>19</v>
      </c>
      <c r="K247" s="46" t="s">
        <v>0</v>
      </c>
      <c r="L247" s="46" t="s">
        <v>37</v>
      </c>
      <c r="M247" s="43">
        <v>11</v>
      </c>
      <c r="N247" s="9">
        <f>20*1000/(TMK[[#This Row],[Voltage]]*SQRT(3))</f>
        <v>1049.727762162956</v>
      </c>
      <c r="O247" s="9">
        <f t="shared" si="154"/>
        <v>20</v>
      </c>
      <c r="P247" s="9" t="s">
        <v>0</v>
      </c>
      <c r="Q247" s="9" t="str">
        <f t="shared" si="155"/>
        <v>-</v>
      </c>
      <c r="R247" s="9" t="s">
        <v>0</v>
      </c>
      <c r="S247" s="9" t="str">
        <f t="shared" si="156"/>
        <v>-</v>
      </c>
      <c r="T247" s="9" t="s">
        <v>0</v>
      </c>
      <c r="U247" s="9" t="str">
        <f t="shared" si="157"/>
        <v>-</v>
      </c>
      <c r="V247" s="9" t="s">
        <v>0</v>
      </c>
      <c r="W247" s="9" t="str">
        <f t="shared" si="158"/>
        <v>-</v>
      </c>
      <c r="X247" s="9" t="s">
        <v>0</v>
      </c>
      <c r="Y247" s="9" t="str">
        <f t="shared" si="182"/>
        <v>-</v>
      </c>
      <c r="Z247" s="9" t="s">
        <v>0</v>
      </c>
      <c r="AA247" s="9" t="str">
        <f t="shared" si="183"/>
        <v>-</v>
      </c>
      <c r="AB247" s="9" t="s">
        <v>0</v>
      </c>
      <c r="AC247" s="9" t="str">
        <f t="shared" si="184"/>
        <v>-</v>
      </c>
      <c r="AD247" s="9" t="s">
        <v>0</v>
      </c>
      <c r="AE247" s="12" t="str">
        <f t="shared" si="185"/>
        <v>-</v>
      </c>
      <c r="AF247" s="9" t="s">
        <v>0</v>
      </c>
      <c r="AG247" s="9" t="s">
        <v>0</v>
      </c>
      <c r="AH247" s="9" t="s">
        <v>0</v>
      </c>
      <c r="AI247" s="9" t="s">
        <v>0</v>
      </c>
      <c r="AJ247" s="43" t="s">
        <v>0</v>
      </c>
      <c r="AK247" s="29" t="s">
        <v>0</v>
      </c>
      <c r="AL247" s="32" t="s">
        <v>0</v>
      </c>
      <c r="AM247" s="29" t="s">
        <v>0</v>
      </c>
      <c r="AN247" s="32" t="s">
        <v>0</v>
      </c>
      <c r="AO247" s="29" t="s">
        <v>0</v>
      </c>
      <c r="AP247" s="32" t="s">
        <v>0</v>
      </c>
      <c r="AQ247" s="32" t="s">
        <v>0</v>
      </c>
      <c r="AR247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47" s="9" t="str">
        <f t="shared" si="186"/>
        <v>-</v>
      </c>
      <c r="AT247" s="9" t="str">
        <f>IF(RIGHT(TMK[[#This Row],[Device type]],7)="Winding","-",TMK[[#This Row],[Cont Winter MVA]])</f>
        <v>-</v>
      </c>
      <c r="AU247" s="9" t="str">
        <f>IF(RIGHT(TMK[[#This Row],[Device type]],7)="Winding","-",TMK[[#This Row],[Cont Shoulder MVA]])</f>
        <v>-</v>
      </c>
      <c r="AV247" s="9" t="str">
        <f>IF(RIGHT(TMK[[#This Row],[Device type]],7)="Winding","-",TMK[[#This Row],[Cont Summer MVA]])</f>
        <v>-</v>
      </c>
      <c r="AW247" s="9" t="str">
        <f>IF(RIGHT(TMK[[#This Row],[Device type]],7)="Winding","-",TMK[[#This Row],[24 Hr Winter MVA]])</f>
        <v>-</v>
      </c>
      <c r="AX247" s="9" t="str">
        <f>IF(RIGHT(TMK[[#This Row],[Device type]],7)="Winding","-",TMK[[#This Row],[24 Hr Summer MVA]])</f>
        <v>-</v>
      </c>
      <c r="AY247" s="9" t="str">
        <f>TMK[[#This Row],[Forwards MVA]]</f>
        <v>-</v>
      </c>
      <c r="AZ247" s="9" t="str">
        <f>TMK[[#This Row],[Relay MVA]]</f>
        <v>-</v>
      </c>
      <c r="BA247" s="9" t="str">
        <f>TMK[[#This Row],[CT MVA]]</f>
        <v>-</v>
      </c>
      <c r="BB247" s="9" t="str">
        <f>TMK[[#This Row],[Derating MVA]]</f>
        <v>-</v>
      </c>
      <c r="BC247" s="9" t="str">
        <f>TMK[[#This Row],[Station/Feeder]]&amp;TMK[[#This Row],[Lowest MVA]]</f>
        <v>CD_1</v>
      </c>
      <c r="BD247" s="9" t="str">
        <f>CONCATENATE(TMK[[#This Row],[Supply Level]],TMK[[#This Row],[Station/Feeder]],TMK[[#This Row],[Voltage]],TMK[[#This Row],[Lowest A-No PTX]])</f>
        <v>ZoneSubstationCD_111</v>
      </c>
      <c r="BE247" s="9" t="str">
        <f>CONCATENATE(TMK[[#This Row],[Supply Level]],TMK[[#This Row],[Station/Feeder]],TMK[[#This Row],[Voltage]],TMK[[#This Row],[Lowest A-PTX]])</f>
        <v>ZoneSubstationCD_1111049.72776216296</v>
      </c>
      <c r="BF247" s="9" t="str">
        <f>IFERROR(IF(MIN(TMK[[#This Row],[Summ Cont Winter A]:[Cable Derating]])=0,"",MIN(TMK[[#This Row],[Summ Cont Winter A]:[Cable Derating]])),"")</f>
        <v/>
      </c>
      <c r="BG247" s="9" t="str">
        <f>IFERROR(TMK[[#This Row],[Lowest MVA]]*1000/(TMK[[#This Row],[Voltage]]*SQRT(3)),"")</f>
        <v/>
      </c>
      <c r="BH247" s="9">
        <f t="shared" si="159"/>
        <v>1049.727762162956</v>
      </c>
      <c r="BI247" s="9" t="str">
        <f>TMK[[#This Row],[From]]</f>
        <v>REC T616</v>
      </c>
      <c r="BJ247" s="9" t="str">
        <f>TMK[[#This Row],[To]]</f>
        <v>11 kV Bus</v>
      </c>
      <c r="BK24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Transformer-D1246-T2-LV Winding</v>
      </c>
      <c r="BL247" s="9">
        <f>TMK[[#This Row],[Voltage]]</f>
        <v>11</v>
      </c>
    </row>
    <row r="248" spans="1:64" s="1" customFormat="1" ht="15" customHeight="1" x14ac:dyDescent="0.25">
      <c r="A248" s="6" t="str">
        <f>CONCATENATE(TMK[[#This Row],[Supply Level]],TMK[[#This Row],[Station/Feeder]],TMK[[#This Row],[Voltage]],"T2")</f>
        <v>ZoneSubstationCD_111T2</v>
      </c>
      <c r="B248" s="6" t="str">
        <f>CONCATENATE(TMK[[#This Row],[Supply Level]],TMK[[#This Row],[Station/Feeder]],TMK[[#This Row],[Equipment ID]],TMK[[#This Row],[Voltage]],TMK[[#This Row],[Device type]])</f>
        <v>ZoneSubstationCD_16-1c 500 mm² Al XLPE11-</v>
      </c>
      <c r="C248" s="6" t="s">
        <v>1246</v>
      </c>
      <c r="D248" s="11" t="s">
        <v>88</v>
      </c>
      <c r="E248" s="7" t="s">
        <v>629</v>
      </c>
      <c r="F248" s="7" t="s">
        <v>243</v>
      </c>
      <c r="G248" s="56">
        <v>5</v>
      </c>
      <c r="H248" s="7" t="s">
        <v>585</v>
      </c>
      <c r="I248" s="123" t="s">
        <v>623</v>
      </c>
      <c r="J248" s="123" t="s">
        <v>250</v>
      </c>
      <c r="K248" s="46" t="s">
        <v>0</v>
      </c>
      <c r="L248" s="46" t="s">
        <v>0</v>
      </c>
      <c r="M248" s="43">
        <v>11</v>
      </c>
      <c r="N248" s="9">
        <v>1462</v>
      </c>
      <c r="O248" s="9">
        <f t="shared" si="154"/>
        <v>27.854841087322683</v>
      </c>
      <c r="P248" s="9">
        <v>1462</v>
      </c>
      <c r="Q248" s="9">
        <f t="shared" si="155"/>
        <v>27.854841087322683</v>
      </c>
      <c r="R248" s="9">
        <v>1462</v>
      </c>
      <c r="S248" s="9">
        <f t="shared" si="156"/>
        <v>27.854841087322683</v>
      </c>
      <c r="T248" s="9" t="s">
        <v>0</v>
      </c>
      <c r="U248" s="9" t="str">
        <f t="shared" si="157"/>
        <v>-</v>
      </c>
      <c r="V248" s="9" t="s">
        <v>0</v>
      </c>
      <c r="W248" s="9" t="str">
        <f t="shared" si="158"/>
        <v>-</v>
      </c>
      <c r="X248" s="9" t="s">
        <v>0</v>
      </c>
      <c r="Y248" s="9" t="str">
        <f t="shared" si="182"/>
        <v>-</v>
      </c>
      <c r="Z248" s="9" t="s">
        <v>0</v>
      </c>
      <c r="AA248" s="9" t="str">
        <f t="shared" si="183"/>
        <v>-</v>
      </c>
      <c r="AB248" s="9" t="s">
        <v>0</v>
      </c>
      <c r="AC248" s="9" t="str">
        <f t="shared" si="184"/>
        <v>-</v>
      </c>
      <c r="AD248" s="9" t="s">
        <v>0</v>
      </c>
      <c r="AE248" s="12" t="str">
        <f t="shared" si="185"/>
        <v>-</v>
      </c>
      <c r="AF248" s="9">
        <v>1</v>
      </c>
      <c r="AG248" s="9" t="s">
        <v>265</v>
      </c>
      <c r="AH248" s="9">
        <v>5</v>
      </c>
      <c r="AI248" s="9">
        <v>0.8</v>
      </c>
      <c r="AJ248" s="43">
        <v>1</v>
      </c>
      <c r="AK248" s="29">
        <v>18</v>
      </c>
      <c r="AL248" s="32">
        <v>0.98299999999999998</v>
      </c>
      <c r="AM248" s="29">
        <v>1.2</v>
      </c>
      <c r="AN248" s="32">
        <v>1</v>
      </c>
      <c r="AO248" s="29">
        <v>1</v>
      </c>
      <c r="AP248" s="32">
        <v>0</v>
      </c>
      <c r="AQ248" s="32">
        <v>1</v>
      </c>
      <c r="AR248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1437.146</v>
      </c>
      <c r="AS248" s="9">
        <f t="shared" si="186"/>
        <v>27.381308788838197</v>
      </c>
      <c r="AT248" s="9">
        <f>IF(RIGHT(TMK[[#This Row],[Device type]],7)="Winding","-",TMK[[#This Row],[Cont Winter MVA]])</f>
        <v>27.854841087322683</v>
      </c>
      <c r="AU248" s="9">
        <f>IF(RIGHT(TMK[[#This Row],[Device type]],7)="Winding","-",TMK[[#This Row],[Cont Shoulder MVA]])</f>
        <v>27.854841087322683</v>
      </c>
      <c r="AV248" s="9">
        <f>IF(RIGHT(TMK[[#This Row],[Device type]],7)="Winding","-",TMK[[#This Row],[Cont Summer MVA]])</f>
        <v>27.854841087322683</v>
      </c>
      <c r="AW248" s="9" t="str">
        <f>IF(RIGHT(TMK[[#This Row],[Device type]],7)="Winding","-",TMK[[#This Row],[24 Hr Winter MVA]])</f>
        <v>-</v>
      </c>
      <c r="AX248" s="9" t="str">
        <f>IF(RIGHT(TMK[[#This Row],[Device type]],7)="Winding","-",TMK[[#This Row],[24 Hr Summer MVA]])</f>
        <v>-</v>
      </c>
      <c r="AY248" s="9" t="str">
        <f>TMK[[#This Row],[Forwards MVA]]</f>
        <v>-</v>
      </c>
      <c r="AZ248" s="9" t="str">
        <f>TMK[[#This Row],[Relay MVA]]</f>
        <v>-</v>
      </c>
      <c r="BA248" s="9" t="str">
        <f>TMK[[#This Row],[CT MVA]]</f>
        <v>-</v>
      </c>
      <c r="BB248" s="9">
        <f>TMK[[#This Row],[Derating MVA]]</f>
        <v>27.381308788838197</v>
      </c>
      <c r="BC248" s="9" t="str">
        <f>TMK[[#This Row],[Station/Feeder]]&amp;TMK[[#This Row],[Lowest MVA]]</f>
        <v>CD_127.3813087888382</v>
      </c>
      <c r="BD248" s="9" t="str">
        <f>CONCATENATE(TMK[[#This Row],[Supply Level]],TMK[[#This Row],[Station/Feeder]],TMK[[#This Row],[Voltage]],TMK[[#This Row],[Lowest A-No PTX]])</f>
        <v>ZoneSubstationCD_1111437.146</v>
      </c>
      <c r="BE248" s="9" t="str">
        <f>CONCATENATE(TMK[[#This Row],[Supply Level]],TMK[[#This Row],[Station/Feeder]],TMK[[#This Row],[Voltage]],TMK[[#This Row],[Lowest A-PTX]])</f>
        <v>ZoneSubstationCD_1111437.146</v>
      </c>
      <c r="BF248" s="9">
        <f>IFERROR(IF(MIN(TMK[[#This Row],[Summ Cont Winter A]:[Cable Derating]])=0,"",MIN(TMK[[#This Row],[Summ Cont Winter A]:[Cable Derating]])),"")</f>
        <v>27.381308788838197</v>
      </c>
      <c r="BG248" s="9">
        <f>IFERROR(TMK[[#This Row],[Lowest MVA]]*1000/(TMK[[#This Row],[Voltage]]*SQRT(3)),"")</f>
        <v>1437.146</v>
      </c>
      <c r="BH248" s="9">
        <f t="shared" si="159"/>
        <v>1437.146</v>
      </c>
      <c r="BI248" s="9" t="str">
        <f>TMK[[#This Row],[From]]</f>
        <v>REC T616</v>
      </c>
      <c r="BJ248" s="9" t="str">
        <f>TMK[[#This Row],[To]]</f>
        <v>11 kV Bus</v>
      </c>
      <c r="BK24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Cable-6-1c 500 mm² Al XLPE</v>
      </c>
      <c r="BL248" s="9">
        <f>TMK[[#This Row],[Voltage]]</f>
        <v>11</v>
      </c>
    </row>
    <row r="249" spans="1:64" s="1" customFormat="1" ht="15" customHeight="1" x14ac:dyDescent="0.25">
      <c r="A249" s="6" t="str">
        <f>CONCATENATE(TMK[[#This Row],[Supply Level]],TMK[[#This Row],[Station/Feeder]],TMK[[#This Row],[Voltage]],"T2")</f>
        <v>ZoneSubstationCD_111T2</v>
      </c>
      <c r="B249" s="6" t="str">
        <f>CONCATENATE(TMK[[#This Row],[Supply Level]],TMK[[#This Row],[Station/Feeder]],TMK[[#This Row],[Equipment ID]],TMK[[#This Row],[Voltage]],TMK[[#This Row],[Device type]])</f>
        <v>ZoneSubstationCD_1CD1-T60811Protection</v>
      </c>
      <c r="C249" s="6" t="s">
        <v>1246</v>
      </c>
      <c r="D249" s="11" t="s">
        <v>88</v>
      </c>
      <c r="E249" s="7" t="s">
        <v>629</v>
      </c>
      <c r="F249" s="7" t="s">
        <v>243</v>
      </c>
      <c r="G249" s="56">
        <v>6</v>
      </c>
      <c r="H249" s="7" t="s">
        <v>343</v>
      </c>
      <c r="I249" s="123" t="s">
        <v>2439</v>
      </c>
      <c r="J249" s="123" t="s">
        <v>15</v>
      </c>
      <c r="K249" s="46" t="s">
        <v>791</v>
      </c>
      <c r="L249" s="46" t="s">
        <v>1423</v>
      </c>
      <c r="M249" s="43">
        <v>11</v>
      </c>
      <c r="N249" s="9">
        <v>1250</v>
      </c>
      <c r="O249" s="9">
        <f t="shared" si="154"/>
        <v>23.815698604072061</v>
      </c>
      <c r="P249" s="9">
        <v>1250</v>
      </c>
      <c r="Q249" s="9">
        <f t="shared" si="155"/>
        <v>23.815698604072061</v>
      </c>
      <c r="R249" s="9">
        <v>1250</v>
      </c>
      <c r="S249" s="9">
        <f t="shared" si="156"/>
        <v>23.815698604072061</v>
      </c>
      <c r="T249" s="9" t="s">
        <v>0</v>
      </c>
      <c r="U249" s="9" t="str">
        <f t="shared" si="157"/>
        <v>-</v>
      </c>
      <c r="V249" s="9" t="s">
        <v>0</v>
      </c>
      <c r="W249" s="9" t="str">
        <f t="shared" si="158"/>
        <v>-</v>
      </c>
      <c r="X249" s="9">
        <f>VLOOKUP(TMK[[#This Row],[Equipment ID]],AEL_Protection_Data[#All],12,0)</f>
        <v>1440</v>
      </c>
      <c r="Y249" s="9">
        <f t="shared" si="182"/>
        <v>27.435684791891013</v>
      </c>
      <c r="Z249" s="9">
        <v>1440</v>
      </c>
      <c r="AA249" s="9">
        <f t="shared" si="183"/>
        <v>27.435684791891013</v>
      </c>
      <c r="AB249" s="9" t="s">
        <v>0</v>
      </c>
      <c r="AC249" s="9" t="str">
        <f t="shared" si="184"/>
        <v>-</v>
      </c>
      <c r="AD249" s="9">
        <v>1200</v>
      </c>
      <c r="AE249" s="12">
        <f t="shared" si="185"/>
        <v>22.86307065990918</v>
      </c>
      <c r="AF249" s="9" t="s">
        <v>0</v>
      </c>
      <c r="AG249" s="9" t="s">
        <v>0</v>
      </c>
      <c r="AH249" s="9" t="s">
        <v>0</v>
      </c>
      <c r="AI249" s="9" t="s">
        <v>0</v>
      </c>
      <c r="AJ249" s="43" t="s">
        <v>0</v>
      </c>
      <c r="AK249" s="29" t="s">
        <v>0</v>
      </c>
      <c r="AL249" s="32" t="s">
        <v>0</v>
      </c>
      <c r="AM249" s="29" t="s">
        <v>0</v>
      </c>
      <c r="AN249" s="32" t="s">
        <v>0</v>
      </c>
      <c r="AO249" s="29" t="s">
        <v>0</v>
      </c>
      <c r="AP249" s="32" t="s">
        <v>0</v>
      </c>
      <c r="AQ249" s="32" t="s">
        <v>0</v>
      </c>
      <c r="AR24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49" s="9" t="str">
        <f t="shared" si="186"/>
        <v>-</v>
      </c>
      <c r="AT249" s="9">
        <f>IF(RIGHT(TMK[[#This Row],[Device type]],7)="Winding","-",TMK[[#This Row],[Cont Winter MVA]])</f>
        <v>23.815698604072061</v>
      </c>
      <c r="AU249" s="9">
        <f>IF(RIGHT(TMK[[#This Row],[Device type]],7)="Winding","-",TMK[[#This Row],[Cont Shoulder MVA]])</f>
        <v>23.815698604072061</v>
      </c>
      <c r="AV249" s="9">
        <f>IF(RIGHT(TMK[[#This Row],[Device type]],7)="Winding","-",TMK[[#This Row],[Cont Summer MVA]])</f>
        <v>23.815698604072061</v>
      </c>
      <c r="AW249" s="9" t="str">
        <f>IF(RIGHT(TMK[[#This Row],[Device type]],7)="Winding","-",TMK[[#This Row],[24 Hr Winter MVA]])</f>
        <v>-</v>
      </c>
      <c r="AX249" s="9" t="str">
        <f>IF(RIGHT(TMK[[#This Row],[Device type]],7)="Winding","-",TMK[[#This Row],[24 Hr Summer MVA]])</f>
        <v>-</v>
      </c>
      <c r="AY249" s="9">
        <f>TMK[[#This Row],[Forwards MVA]]</f>
        <v>27.435684791891013</v>
      </c>
      <c r="AZ249" s="9" t="str">
        <f>TMK[[#This Row],[Relay MVA]]</f>
        <v>-</v>
      </c>
      <c r="BA249" s="9">
        <f>TMK[[#This Row],[CT MVA]]</f>
        <v>22.86307065990918</v>
      </c>
      <c r="BB249" s="9" t="str">
        <f>TMK[[#This Row],[Derating MVA]]</f>
        <v>-</v>
      </c>
      <c r="BC249" s="9" t="str">
        <f>TMK[[#This Row],[Station/Feeder]]&amp;TMK[[#This Row],[Lowest MVA]]</f>
        <v>CD_122.8630706599092</v>
      </c>
      <c r="BD249" s="9" t="str">
        <f>CONCATENATE(TMK[[#This Row],[Supply Level]],TMK[[#This Row],[Station/Feeder]],TMK[[#This Row],[Voltage]],TMK[[#This Row],[Lowest A-No PTX]])</f>
        <v>ZoneSubstationCD_1111200</v>
      </c>
      <c r="BE249" s="9" t="str">
        <f>CONCATENATE(TMK[[#This Row],[Supply Level]],TMK[[#This Row],[Station/Feeder]],TMK[[#This Row],[Voltage]],TMK[[#This Row],[Lowest A-PTX]])</f>
        <v>ZoneSubstationCD_1111200</v>
      </c>
      <c r="BF249" s="9">
        <f>IFERROR(IF(MIN(TMK[[#This Row],[Summ Cont Winter A]:[Cable Derating]])=0,"",MIN(TMK[[#This Row],[Summ Cont Winter A]:[Cable Derating]])),"")</f>
        <v>22.86307065990918</v>
      </c>
      <c r="BG249" s="9">
        <f>IFERROR(TMK[[#This Row],[Lowest MVA]]*1000/(TMK[[#This Row],[Voltage]]*SQRT(3)),"")</f>
        <v>1200</v>
      </c>
      <c r="BH249" s="9">
        <f t="shared" si="159"/>
        <v>1200</v>
      </c>
      <c r="BI249" s="9" t="str">
        <f>TMK[[#This Row],[From]]</f>
        <v>REC T616</v>
      </c>
      <c r="BJ249" s="9" t="str">
        <f>TMK[[#This Row],[To]]</f>
        <v>11 kV Bus</v>
      </c>
      <c r="BK24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Breaker-CD1-T608-Protection</v>
      </c>
      <c r="BL249" s="9">
        <f>TMK[[#This Row],[Voltage]]</f>
        <v>11</v>
      </c>
    </row>
    <row r="250" spans="1:64" s="1" customFormat="1" ht="15" customHeight="1" x14ac:dyDescent="0.25">
      <c r="A250" s="6" t="str">
        <f>CONCATENATE(TMK[[#This Row],[Supply Level]],TMK[[#This Row],[Station/Feeder]],TMK[[#This Row],[Voltage]])</f>
        <v>DistributionFeederT600_Tie to Milk Powder 211</v>
      </c>
      <c r="B250" s="6" t="str">
        <f>CONCATENATE(TMK[[#This Row],[Supply Level]],TMK[[#This Row],[Station/Feeder]],TMK[[#This Row],[Equipment ID]],TMK[[#This Row],[Voltage]],TMK[[#This Row],[Device type]])</f>
        <v>DistributionFeederT600_Tie to Milk Powder 2CD1-T60011Protection</v>
      </c>
      <c r="C250" s="6" t="s">
        <v>1276</v>
      </c>
      <c r="D250" s="11" t="s">
        <v>100</v>
      </c>
      <c r="E250" s="7" t="s">
        <v>243</v>
      </c>
      <c r="F250" s="7" t="s">
        <v>666</v>
      </c>
      <c r="G250" s="56">
        <v>1</v>
      </c>
      <c r="H250" s="7" t="s">
        <v>343</v>
      </c>
      <c r="I250" s="123" t="s">
        <v>2440</v>
      </c>
      <c r="J250" s="123" t="s">
        <v>15</v>
      </c>
      <c r="K250" s="46" t="s">
        <v>791</v>
      </c>
      <c r="L250" s="46" t="s">
        <v>1423</v>
      </c>
      <c r="M250" s="43">
        <v>11</v>
      </c>
      <c r="N250" s="9">
        <v>630</v>
      </c>
      <c r="O250" s="9">
        <f t="shared" si="154"/>
        <v>12.00311209645232</v>
      </c>
      <c r="P250" s="9">
        <v>630</v>
      </c>
      <c r="Q250" s="9">
        <f t="shared" si="155"/>
        <v>12.00311209645232</v>
      </c>
      <c r="R250" s="9">
        <v>630</v>
      </c>
      <c r="S250" s="9">
        <f t="shared" si="156"/>
        <v>12.00311209645232</v>
      </c>
      <c r="T250" s="9" t="s">
        <v>0</v>
      </c>
      <c r="U250" s="9" t="str">
        <f t="shared" si="157"/>
        <v>-</v>
      </c>
      <c r="V250" s="9" t="s">
        <v>0</v>
      </c>
      <c r="W250" s="9" t="str">
        <f t="shared" si="158"/>
        <v>-</v>
      </c>
      <c r="X250" s="9">
        <f>VLOOKUP(TMK[[#This Row],[Equipment ID]],AEL_Protection_Data[#All],12,0)</f>
        <v>480</v>
      </c>
      <c r="Y250" s="9">
        <f t="shared" si="182"/>
        <v>9.1452282639636717</v>
      </c>
      <c r="Z250" s="9">
        <v>480</v>
      </c>
      <c r="AA250" s="9">
        <f t="shared" si="183"/>
        <v>9.1452282639636717</v>
      </c>
      <c r="AB250" s="9" t="s">
        <v>0</v>
      </c>
      <c r="AC250" s="9" t="str">
        <f t="shared" si="184"/>
        <v>-</v>
      </c>
      <c r="AD250" s="9">
        <v>400</v>
      </c>
      <c r="AE250" s="12">
        <f t="shared" si="185"/>
        <v>7.6210235533030604</v>
      </c>
      <c r="AF250" s="9" t="s">
        <v>0</v>
      </c>
      <c r="AG250" s="9" t="s">
        <v>0</v>
      </c>
      <c r="AH250" s="9" t="s">
        <v>0</v>
      </c>
      <c r="AI250" s="9" t="s">
        <v>0</v>
      </c>
      <c r="AJ250" s="43" t="s">
        <v>0</v>
      </c>
      <c r="AK250" s="29" t="s">
        <v>0</v>
      </c>
      <c r="AL250" s="32" t="s">
        <v>0</v>
      </c>
      <c r="AM250" s="29" t="s">
        <v>0</v>
      </c>
      <c r="AN250" s="32" t="s">
        <v>0</v>
      </c>
      <c r="AO250" s="29" t="s">
        <v>0</v>
      </c>
      <c r="AP250" s="32" t="s">
        <v>0</v>
      </c>
      <c r="AQ250" s="32" t="s">
        <v>0</v>
      </c>
      <c r="AR250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50" s="9" t="str">
        <f t="shared" si="186"/>
        <v>-</v>
      </c>
      <c r="AT250" s="9">
        <f>IF(RIGHT(TMK[[#This Row],[Device type]],7)="Winding","-",TMK[[#This Row],[Cont Winter MVA]])</f>
        <v>12.00311209645232</v>
      </c>
      <c r="AU250" s="9">
        <f>IF(RIGHT(TMK[[#This Row],[Device type]],7)="Winding","-",TMK[[#This Row],[Cont Shoulder MVA]])</f>
        <v>12.00311209645232</v>
      </c>
      <c r="AV250" s="9">
        <f>IF(RIGHT(TMK[[#This Row],[Device type]],7)="Winding","-",TMK[[#This Row],[Cont Summer MVA]])</f>
        <v>12.00311209645232</v>
      </c>
      <c r="AW250" s="9" t="str">
        <f>IF(RIGHT(TMK[[#This Row],[Device type]],7)="Winding","-",TMK[[#This Row],[24 Hr Winter MVA]])</f>
        <v>-</v>
      </c>
      <c r="AX250" s="9" t="str">
        <f>IF(RIGHT(TMK[[#This Row],[Device type]],7)="Winding","-",TMK[[#This Row],[24 Hr Summer MVA]])</f>
        <v>-</v>
      </c>
      <c r="AY250" s="9">
        <f>TMK[[#This Row],[Forwards MVA]]</f>
        <v>9.1452282639636717</v>
      </c>
      <c r="AZ250" s="9" t="str">
        <f>TMK[[#This Row],[Relay MVA]]</f>
        <v>-</v>
      </c>
      <c r="BA250" s="9">
        <f>TMK[[#This Row],[CT MVA]]</f>
        <v>7.6210235533030604</v>
      </c>
      <c r="BB250" s="9" t="str">
        <f>TMK[[#This Row],[Derating MVA]]</f>
        <v>-</v>
      </c>
      <c r="BC250" s="9" t="str">
        <f>TMK[[#This Row],[Station/Feeder]]&amp;TMK[[#This Row],[Lowest MVA]]</f>
        <v>T600_Tie to Milk Powder 27.62102355330306</v>
      </c>
      <c r="BD250" s="9" t="str">
        <f>CONCATENATE(TMK[[#This Row],[Supply Level]],TMK[[#This Row],[Station/Feeder]],TMK[[#This Row],[Voltage]],TMK[[#This Row],[Lowest A-No PTX]])</f>
        <v>DistributionFeederT600_Tie to Milk Powder 211400</v>
      </c>
      <c r="BE250" s="9" t="str">
        <f>CONCATENATE(TMK[[#This Row],[Supply Level]],TMK[[#This Row],[Station/Feeder]],TMK[[#This Row],[Voltage]],TMK[[#This Row],[Lowest A-PTX]])</f>
        <v>DistributionFeederT600_Tie to Milk Powder 211400</v>
      </c>
      <c r="BF250" s="9">
        <f>IFERROR(IF(MIN(TMK[[#This Row],[Summ Cont Winter A]:[Cable Derating]])=0,"",MIN(TMK[[#This Row],[Summ Cont Winter A]:[Cable Derating]])),"")</f>
        <v>7.6210235533030604</v>
      </c>
      <c r="BG250" s="9">
        <f>IFERROR(TMK[[#This Row],[Lowest MVA]]*1000/(TMK[[#This Row],[Voltage]]*SQRT(3)),"")</f>
        <v>400</v>
      </c>
      <c r="BH250" s="9">
        <f t="shared" si="159"/>
        <v>400</v>
      </c>
      <c r="BI250" s="9" t="str">
        <f>TMK[[#This Row],[From]]</f>
        <v>11 kV Bus</v>
      </c>
      <c r="BJ250" s="9" t="str">
        <f>TMK[[#This Row],[To]]</f>
        <v>T465</v>
      </c>
      <c r="BK25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Breaker-CD1-T600-Protection</v>
      </c>
      <c r="BL250" s="9">
        <f>TMK[[#This Row],[Voltage]]</f>
        <v>11</v>
      </c>
    </row>
    <row r="251" spans="1:64" s="1" customFormat="1" ht="15" customHeight="1" x14ac:dyDescent="0.25">
      <c r="A251" s="6" t="str">
        <f>CONCATENATE(TMK[[#This Row],[Supply Level]],TMK[[#This Row],[Station/Feeder]],TMK[[#This Row],[Voltage]])</f>
        <v>DistributionFeederT600_Tie to Milk Powder 211</v>
      </c>
      <c r="B251" s="6" t="str">
        <f>CONCATENATE(TMK[[#This Row],[Supply Level]],TMK[[#This Row],[Station/Feeder]],TMK[[#This Row],[Equipment ID]],TMK[[#This Row],[Voltage]],TMK[[#This Row],[Device type]])</f>
        <v>DistributionFeederT600_Tie to Milk Powder 21-3c 300 mm² Al XLPE11-</v>
      </c>
      <c r="C251" s="6" t="s">
        <v>1276</v>
      </c>
      <c r="D251" s="11" t="s">
        <v>100</v>
      </c>
      <c r="E251" s="7" t="s">
        <v>243</v>
      </c>
      <c r="F251" s="7" t="s">
        <v>666</v>
      </c>
      <c r="G251" s="56">
        <v>2</v>
      </c>
      <c r="H251" s="7" t="s">
        <v>585</v>
      </c>
      <c r="I251" s="123" t="s">
        <v>569</v>
      </c>
      <c r="J251" s="123" t="s">
        <v>250</v>
      </c>
      <c r="K251" s="46" t="s">
        <v>0</v>
      </c>
      <c r="L251" s="46" t="s">
        <v>0</v>
      </c>
      <c r="M251" s="43">
        <v>11</v>
      </c>
      <c r="N251" s="9">
        <v>476</v>
      </c>
      <c r="O251" s="9">
        <f t="shared" si="154"/>
        <v>9.0690180284306408</v>
      </c>
      <c r="P251" s="9">
        <v>476</v>
      </c>
      <c r="Q251" s="9">
        <f t="shared" si="155"/>
        <v>9.0690180284306408</v>
      </c>
      <c r="R251" s="9">
        <v>476</v>
      </c>
      <c r="S251" s="9">
        <f t="shared" si="156"/>
        <v>9.0690180284306408</v>
      </c>
      <c r="T251" s="9" t="s">
        <v>0</v>
      </c>
      <c r="U251" s="9" t="str">
        <f t="shared" si="157"/>
        <v>-</v>
      </c>
      <c r="V251" s="9" t="s">
        <v>0</v>
      </c>
      <c r="W251" s="9" t="str">
        <f t="shared" si="158"/>
        <v>-</v>
      </c>
      <c r="X251" s="9" t="s">
        <v>0</v>
      </c>
      <c r="Y251" s="9" t="str">
        <f t="shared" si="182"/>
        <v>-</v>
      </c>
      <c r="Z251" s="9" t="s">
        <v>0</v>
      </c>
      <c r="AA251" s="9" t="str">
        <f t="shared" si="183"/>
        <v>-</v>
      </c>
      <c r="AB251" s="9" t="s">
        <v>0</v>
      </c>
      <c r="AC251" s="9" t="str">
        <f>IF(OR(AB251="",AB251="-"),"-",AB251*$M251*SQRT(3)/1000)</f>
        <v>-</v>
      </c>
      <c r="AD251" s="9" t="s">
        <v>0</v>
      </c>
      <c r="AE251" s="12" t="str">
        <f>IF(OR(AD251="",AD251="-"),"-",AD251*$M251*SQRT(3)/1000)</f>
        <v>-</v>
      </c>
      <c r="AF251" s="29">
        <v>3</v>
      </c>
      <c r="AG251" s="29" t="s">
        <v>265</v>
      </c>
      <c r="AH251" s="9">
        <v>454.9</v>
      </c>
      <c r="AI251" s="29">
        <v>1</v>
      </c>
      <c r="AJ251" s="32">
        <v>0.98</v>
      </c>
      <c r="AK251" s="29">
        <v>20</v>
      </c>
      <c r="AL251" s="32">
        <v>0.97</v>
      </c>
      <c r="AM251" s="29">
        <v>1.2</v>
      </c>
      <c r="AN251" s="32">
        <v>1</v>
      </c>
      <c r="AO251" s="29">
        <v>6</v>
      </c>
      <c r="AP251" s="32">
        <v>0.24</v>
      </c>
      <c r="AQ251" s="32">
        <v>0.67</v>
      </c>
      <c r="AR251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303.16535200000004</v>
      </c>
      <c r="AS251" s="9">
        <f>IF(OR(AR251="",AR251="-"),"-",AR251*$M251*SQRT(3)/1000)</f>
        <v>5.776075720343532</v>
      </c>
      <c r="AT251" s="9">
        <f>IF(RIGHT(TMK[[#This Row],[Device type]],7)="Winding","-",TMK[[#This Row],[Cont Winter MVA]])</f>
        <v>9.0690180284306408</v>
      </c>
      <c r="AU251" s="9">
        <f>IF(RIGHT(TMK[[#This Row],[Device type]],7)="Winding","-",TMK[[#This Row],[Cont Shoulder MVA]])</f>
        <v>9.0690180284306408</v>
      </c>
      <c r="AV251" s="9">
        <f>IF(RIGHT(TMK[[#This Row],[Device type]],7)="Winding","-",TMK[[#This Row],[Cont Summer MVA]])</f>
        <v>9.0690180284306408</v>
      </c>
      <c r="AW251" s="9" t="str">
        <f>IF(RIGHT(TMK[[#This Row],[Device type]],7)="Winding","-",TMK[[#This Row],[24 Hr Winter MVA]])</f>
        <v>-</v>
      </c>
      <c r="AX251" s="9" t="str">
        <f>IF(RIGHT(TMK[[#This Row],[Device type]],7)="Winding","-",TMK[[#This Row],[24 Hr Summer MVA]])</f>
        <v>-</v>
      </c>
      <c r="AY251" s="9" t="str">
        <f>TMK[[#This Row],[Forwards MVA]]</f>
        <v>-</v>
      </c>
      <c r="AZ251" s="9" t="str">
        <f>TMK[[#This Row],[Relay MVA]]</f>
        <v>-</v>
      </c>
      <c r="BA251" s="9" t="str">
        <f>TMK[[#This Row],[CT MVA]]</f>
        <v>-</v>
      </c>
      <c r="BB251" s="9">
        <f>TMK[[#This Row],[Derating MVA]]</f>
        <v>5.776075720343532</v>
      </c>
      <c r="BC251" s="9" t="str">
        <f>TMK[[#This Row],[Station/Feeder]]&amp;TMK[[#This Row],[Lowest MVA]]</f>
        <v>T600_Tie to Milk Powder 25.77607572034353</v>
      </c>
      <c r="BD251" s="9" t="str">
        <f>CONCATENATE(TMK[[#This Row],[Supply Level]],TMK[[#This Row],[Station/Feeder]],TMK[[#This Row],[Voltage]],TMK[[#This Row],[Lowest A-No PTX]])</f>
        <v>DistributionFeederT600_Tie to Milk Powder 211303.165352</v>
      </c>
      <c r="BE251" s="9" t="str">
        <f>CONCATENATE(TMK[[#This Row],[Supply Level]],TMK[[#This Row],[Station/Feeder]],TMK[[#This Row],[Voltage]],TMK[[#This Row],[Lowest A-PTX]])</f>
        <v>DistributionFeederT600_Tie to Milk Powder 211303.165352</v>
      </c>
      <c r="BF251" s="9">
        <f>IFERROR(IF(MIN(TMK[[#This Row],[Summ Cont Winter A]:[Cable Derating]])=0,"",MIN(TMK[[#This Row],[Summ Cont Winter A]:[Cable Derating]])),"")</f>
        <v>5.776075720343532</v>
      </c>
      <c r="BG251" s="9">
        <f>IFERROR(TMK[[#This Row],[Lowest MVA]]*1000/(TMK[[#This Row],[Voltage]]*SQRT(3)),"")</f>
        <v>303.16535199999998</v>
      </c>
      <c r="BH251" s="9">
        <f t="shared" si="159"/>
        <v>303.16535200000004</v>
      </c>
      <c r="BI251" s="9" t="str">
        <f>TMK[[#This Row],[From]]</f>
        <v>11 kV Bus</v>
      </c>
      <c r="BJ251" s="9" t="str">
        <f>TMK[[#This Row],[To]]</f>
        <v>T465</v>
      </c>
      <c r="BK25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XLPE</v>
      </c>
      <c r="BL251" s="9">
        <f>TMK[[#This Row],[Voltage]]</f>
        <v>11</v>
      </c>
    </row>
    <row r="252" spans="1:64" s="1" customFormat="1" ht="15" customHeight="1" x14ac:dyDescent="0.25">
      <c r="A252" s="6" t="str">
        <f>CONCATENATE(TMK[[#This Row],[Supply Level]],TMK[[#This Row],[Station/Feeder]],TMK[[#This Row],[Voltage]])</f>
        <v>DistributionFeederT600_Tie to Milk Powder 211</v>
      </c>
      <c r="B252" s="6" t="str">
        <f>CONCATENATE(TMK[[#This Row],[Supply Level]],TMK[[#This Row],[Station/Feeder]],TMK[[#This Row],[Equipment ID]],TMK[[#This Row],[Voltage]],TMK[[#This Row],[Device type]])</f>
        <v>DistributionFeederT600_Tie to Milk Powder 2T46511-</v>
      </c>
      <c r="C252" s="6" t="s">
        <v>1276</v>
      </c>
      <c r="D252" s="11" t="s">
        <v>100</v>
      </c>
      <c r="E252" s="7" t="s">
        <v>243</v>
      </c>
      <c r="F252" s="7" t="s">
        <v>666</v>
      </c>
      <c r="G252" s="56">
        <v>3</v>
      </c>
      <c r="H252" s="7" t="s">
        <v>273</v>
      </c>
      <c r="I252" s="123" t="s">
        <v>666</v>
      </c>
      <c r="J252" s="123" t="s">
        <v>670</v>
      </c>
      <c r="K252" s="46" t="s">
        <v>0</v>
      </c>
      <c r="L252" s="46" t="s">
        <v>0</v>
      </c>
      <c r="M252" s="43">
        <v>11</v>
      </c>
      <c r="N252" s="9">
        <v>630</v>
      </c>
      <c r="O252" s="9">
        <f t="shared" si="154"/>
        <v>12.00311209645232</v>
      </c>
      <c r="P252" s="9">
        <v>630</v>
      </c>
      <c r="Q252" s="9">
        <f t="shared" si="155"/>
        <v>12.00311209645232</v>
      </c>
      <c r="R252" s="9">
        <v>630</v>
      </c>
      <c r="S252" s="9">
        <f t="shared" si="156"/>
        <v>12.00311209645232</v>
      </c>
      <c r="T252" s="9" t="s">
        <v>0</v>
      </c>
      <c r="U252" s="9" t="str">
        <f t="shared" si="157"/>
        <v>-</v>
      </c>
      <c r="V252" s="9" t="s">
        <v>0</v>
      </c>
      <c r="W252" s="9" t="str">
        <f t="shared" si="158"/>
        <v>-</v>
      </c>
      <c r="X252" s="9" t="s">
        <v>0</v>
      </c>
      <c r="Y252" s="9" t="str">
        <f t="shared" si="182"/>
        <v>-</v>
      </c>
      <c r="Z252" s="9" t="s">
        <v>0</v>
      </c>
      <c r="AA252" s="9" t="str">
        <f t="shared" si="183"/>
        <v>-</v>
      </c>
      <c r="AB252" s="9" t="s">
        <v>0</v>
      </c>
      <c r="AC252" s="9" t="str">
        <f t="shared" ref="AC252:AC265" si="187">IF(OR(AB252="",AB252="-"),"-",AB252*$M252*SQRT(3)/1000)</f>
        <v>-</v>
      </c>
      <c r="AD252" s="9" t="s">
        <v>0</v>
      </c>
      <c r="AE252" s="12" t="str">
        <f t="shared" ref="AE252:AE265" si="188">IF(OR(AD252="",AD252="-"),"-",AD252*$M252*SQRT(3)/1000)</f>
        <v>-</v>
      </c>
      <c r="AF252" s="9" t="s">
        <v>0</v>
      </c>
      <c r="AG252" s="9" t="s">
        <v>0</v>
      </c>
      <c r="AH252" s="9" t="s">
        <v>0</v>
      </c>
      <c r="AI252" s="9" t="s">
        <v>0</v>
      </c>
      <c r="AJ252" s="43" t="s">
        <v>0</v>
      </c>
      <c r="AK252" s="29" t="s">
        <v>0</v>
      </c>
      <c r="AL252" s="32" t="s">
        <v>0</v>
      </c>
      <c r="AM252" s="29" t="s">
        <v>0</v>
      </c>
      <c r="AN252" s="32" t="s">
        <v>0</v>
      </c>
      <c r="AO252" s="29" t="s">
        <v>0</v>
      </c>
      <c r="AP252" s="32" t="s">
        <v>0</v>
      </c>
      <c r="AQ252" s="32" t="s">
        <v>0</v>
      </c>
      <c r="AR252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52" s="9" t="str">
        <f t="shared" ref="AS252:AS265" si="189">IF(OR(AR252="",AR252="-"),"-",AR252*$M252*SQRT(3)/1000)</f>
        <v>-</v>
      </c>
      <c r="AT252" s="9">
        <f>IF(RIGHT(TMK[[#This Row],[Device type]],7)="Winding","-",TMK[[#This Row],[Cont Winter MVA]])</f>
        <v>12.00311209645232</v>
      </c>
      <c r="AU252" s="9">
        <f>IF(RIGHT(TMK[[#This Row],[Device type]],7)="Winding","-",TMK[[#This Row],[Cont Shoulder MVA]])</f>
        <v>12.00311209645232</v>
      </c>
      <c r="AV252" s="9">
        <f>IF(RIGHT(TMK[[#This Row],[Device type]],7)="Winding","-",TMK[[#This Row],[Cont Summer MVA]])</f>
        <v>12.00311209645232</v>
      </c>
      <c r="AW252" s="9" t="str">
        <f>IF(RIGHT(TMK[[#This Row],[Device type]],7)="Winding","-",TMK[[#This Row],[24 Hr Winter MVA]])</f>
        <v>-</v>
      </c>
      <c r="AX252" s="9" t="str">
        <f>IF(RIGHT(TMK[[#This Row],[Device type]],7)="Winding","-",TMK[[#This Row],[24 Hr Summer MVA]])</f>
        <v>-</v>
      </c>
      <c r="AY252" s="9" t="str">
        <f>TMK[[#This Row],[Forwards MVA]]</f>
        <v>-</v>
      </c>
      <c r="AZ252" s="9" t="str">
        <f>TMK[[#This Row],[Relay MVA]]</f>
        <v>-</v>
      </c>
      <c r="BA252" s="9" t="str">
        <f>TMK[[#This Row],[CT MVA]]</f>
        <v>-</v>
      </c>
      <c r="BB252" s="9" t="str">
        <f>TMK[[#This Row],[Derating MVA]]</f>
        <v>-</v>
      </c>
      <c r="BC252" s="9" t="str">
        <f>TMK[[#This Row],[Station/Feeder]]&amp;TMK[[#This Row],[Lowest MVA]]</f>
        <v>T600_Tie to Milk Powder 212.0031120964523</v>
      </c>
      <c r="BD252" s="9" t="str">
        <f>CONCATENATE(TMK[[#This Row],[Supply Level]],TMK[[#This Row],[Station/Feeder]],TMK[[#This Row],[Voltage]],TMK[[#This Row],[Lowest A-No PTX]])</f>
        <v>DistributionFeederT600_Tie to Milk Powder 211630</v>
      </c>
      <c r="BE252" s="9" t="str">
        <f>CONCATENATE(TMK[[#This Row],[Supply Level]],TMK[[#This Row],[Station/Feeder]],TMK[[#This Row],[Voltage]],TMK[[#This Row],[Lowest A-PTX]])</f>
        <v>DistributionFeederT600_Tie to Milk Powder 211630</v>
      </c>
      <c r="BF252" s="9">
        <f>IFERROR(IF(MIN(TMK[[#This Row],[Summ Cont Winter A]:[Cable Derating]])=0,"",MIN(TMK[[#This Row],[Summ Cont Winter A]:[Cable Derating]])),"")</f>
        <v>12.00311209645232</v>
      </c>
      <c r="BG252" s="9">
        <f>IFERROR(TMK[[#This Row],[Lowest MVA]]*1000/(TMK[[#This Row],[Voltage]]*SQRT(3)),"")</f>
        <v>630</v>
      </c>
      <c r="BH252" s="9">
        <f t="shared" si="159"/>
        <v>630</v>
      </c>
      <c r="BI252" s="9" t="str">
        <f>TMK[[#This Row],[From]]</f>
        <v>11 kV Bus</v>
      </c>
      <c r="BJ252" s="9" t="str">
        <f>TMK[[#This Row],[To]]</f>
        <v>T465</v>
      </c>
      <c r="BK25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Switch-T465</v>
      </c>
      <c r="BL252" s="9">
        <f>TMK[[#This Row],[Voltage]]</f>
        <v>11</v>
      </c>
    </row>
    <row r="253" spans="1:64" s="1" customFormat="1" ht="15" customHeight="1" x14ac:dyDescent="0.25">
      <c r="A253" s="6" t="str">
        <f>CONCATENATE(TMK[[#This Row],[Supply Level]],TMK[[#This Row],[Station/Feeder]],TMK[[#This Row],[Voltage]])</f>
        <v>DistributionFeederT601_Fire Services11</v>
      </c>
      <c r="B253" s="6" t="str">
        <f>CONCATENATE(TMK[[#This Row],[Supply Level]],TMK[[#This Row],[Station/Feeder]],TMK[[#This Row],[Equipment ID]],TMK[[#This Row],[Voltage]],TMK[[#This Row],[Device type]])</f>
        <v>DistributionFeederT601_Fire ServicesCD1-T60111-</v>
      </c>
      <c r="C253" s="6" t="s">
        <v>1276</v>
      </c>
      <c r="D253" s="11" t="s">
        <v>112</v>
      </c>
      <c r="E253" s="7" t="s">
        <v>243</v>
      </c>
      <c r="F253" s="7" t="s">
        <v>667</v>
      </c>
      <c r="G253" s="56">
        <v>1</v>
      </c>
      <c r="H253" s="7" t="s">
        <v>343</v>
      </c>
      <c r="I253" s="123" t="s">
        <v>2441</v>
      </c>
      <c r="J253" s="123" t="s">
        <v>15</v>
      </c>
      <c r="K253" s="46" t="s">
        <v>0</v>
      </c>
      <c r="L253" s="46" t="s">
        <v>0</v>
      </c>
      <c r="M253" s="43">
        <v>11</v>
      </c>
      <c r="N253" s="9">
        <v>630</v>
      </c>
      <c r="O253" s="9">
        <f t="shared" si="154"/>
        <v>12.00311209645232</v>
      </c>
      <c r="P253" s="9">
        <v>630</v>
      </c>
      <c r="Q253" s="9">
        <f t="shared" si="155"/>
        <v>12.00311209645232</v>
      </c>
      <c r="R253" s="9">
        <v>630</v>
      </c>
      <c r="S253" s="9">
        <f t="shared" si="156"/>
        <v>12.00311209645232</v>
      </c>
      <c r="T253" s="9" t="s">
        <v>0</v>
      </c>
      <c r="U253" s="9" t="str">
        <f t="shared" si="157"/>
        <v>-</v>
      </c>
      <c r="V253" s="9" t="s">
        <v>0</v>
      </c>
      <c r="W253" s="9" t="str">
        <f t="shared" si="158"/>
        <v>-</v>
      </c>
      <c r="X253" s="9">
        <f>VLOOKUP(TMK[[#This Row],[Equipment ID]],AEL_Protection_Data[#All],12,0)</f>
        <v>480</v>
      </c>
      <c r="Y253" s="9">
        <f>IF(OR(X253="",X253="-"),"-",X253*$M253*SQRT(3)/1000)</f>
        <v>9.1452282639636717</v>
      </c>
      <c r="Z253" s="9">
        <v>480</v>
      </c>
      <c r="AA253" s="9">
        <f>IF(OR(Z253="",Z253="-"),"-",Z253*$M253*SQRT(3)/1000)</f>
        <v>9.1452282639636717</v>
      </c>
      <c r="AB253" s="9" t="s">
        <v>0</v>
      </c>
      <c r="AC253" s="9" t="str">
        <f>IF(OR(AB253="",AB253="-"),"-",AB253*$M253*SQRT(3)/1000)</f>
        <v>-</v>
      </c>
      <c r="AD253" s="9">
        <v>400</v>
      </c>
      <c r="AE253" s="12">
        <f>IF(OR(AD253="",AD253="-"),"-",AD253*$M253*SQRT(3)/1000)</f>
        <v>7.6210235533030604</v>
      </c>
      <c r="AF253" s="9" t="s">
        <v>0</v>
      </c>
      <c r="AG253" s="9" t="s">
        <v>0</v>
      </c>
      <c r="AH253" s="9" t="s">
        <v>0</v>
      </c>
      <c r="AI253" s="9" t="s">
        <v>0</v>
      </c>
      <c r="AJ253" s="43" t="s">
        <v>0</v>
      </c>
      <c r="AK253" s="29" t="s">
        <v>0</v>
      </c>
      <c r="AL253" s="32" t="s">
        <v>0</v>
      </c>
      <c r="AM253" s="29" t="s">
        <v>0</v>
      </c>
      <c r="AN253" s="32" t="s">
        <v>0</v>
      </c>
      <c r="AO253" s="29" t="s">
        <v>0</v>
      </c>
      <c r="AP253" s="32" t="s">
        <v>0</v>
      </c>
      <c r="AQ253" s="32" t="s">
        <v>0</v>
      </c>
      <c r="AR25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53" s="9" t="str">
        <f>IF(OR(AR253="",AR253="-"),"-",AR253*$M253*SQRT(3)/1000)</f>
        <v>-</v>
      </c>
      <c r="AT253" s="9">
        <f>IF(RIGHT(TMK[[#This Row],[Device type]],7)="Winding","-",TMK[[#This Row],[Cont Winter MVA]])</f>
        <v>12.00311209645232</v>
      </c>
      <c r="AU253" s="9">
        <f>IF(RIGHT(TMK[[#This Row],[Device type]],7)="Winding","-",TMK[[#This Row],[Cont Shoulder MVA]])</f>
        <v>12.00311209645232</v>
      </c>
      <c r="AV253" s="9">
        <f>IF(RIGHT(TMK[[#This Row],[Device type]],7)="Winding","-",TMK[[#This Row],[Cont Summer MVA]])</f>
        <v>12.00311209645232</v>
      </c>
      <c r="AW253" s="9" t="str">
        <f>IF(RIGHT(TMK[[#This Row],[Device type]],7)="Winding","-",TMK[[#This Row],[24 Hr Winter MVA]])</f>
        <v>-</v>
      </c>
      <c r="AX253" s="9" t="str">
        <f>IF(RIGHT(TMK[[#This Row],[Device type]],7)="Winding","-",TMK[[#This Row],[24 Hr Summer MVA]])</f>
        <v>-</v>
      </c>
      <c r="AY253" s="9">
        <f>TMK[[#This Row],[Forwards MVA]]</f>
        <v>9.1452282639636717</v>
      </c>
      <c r="AZ253" s="9" t="str">
        <f>TMK[[#This Row],[Relay MVA]]</f>
        <v>-</v>
      </c>
      <c r="BA253" s="9">
        <f>TMK[[#This Row],[CT MVA]]</f>
        <v>7.6210235533030604</v>
      </c>
      <c r="BB253" s="9" t="str">
        <f>TMK[[#This Row],[Derating MVA]]</f>
        <v>-</v>
      </c>
      <c r="BC253" s="9" t="str">
        <f>TMK[[#This Row],[Station/Feeder]]&amp;TMK[[#This Row],[Lowest MVA]]</f>
        <v>T601_Fire Services7.62102355330306</v>
      </c>
      <c r="BD253" s="9" t="str">
        <f>CONCATENATE(TMK[[#This Row],[Supply Level]],TMK[[#This Row],[Station/Feeder]],TMK[[#This Row],[Voltage]],TMK[[#This Row],[Lowest A-No PTX]])</f>
        <v>DistributionFeederT601_Fire Services11400</v>
      </c>
      <c r="BE253" s="9" t="str">
        <f>CONCATENATE(TMK[[#This Row],[Supply Level]],TMK[[#This Row],[Station/Feeder]],TMK[[#This Row],[Voltage]],TMK[[#This Row],[Lowest A-PTX]])</f>
        <v>DistributionFeederT601_Fire Services11400</v>
      </c>
      <c r="BF253" s="9">
        <f>IFERROR(IF(MIN(TMK[[#This Row],[Summ Cont Winter A]:[Cable Derating]])=0,"",MIN(TMK[[#This Row],[Summ Cont Winter A]:[Cable Derating]])),"")</f>
        <v>7.6210235533030604</v>
      </c>
      <c r="BG253" s="9">
        <f>IFERROR(TMK[[#This Row],[Lowest MVA]]*1000/(TMK[[#This Row],[Voltage]]*SQRT(3)),"")</f>
        <v>400</v>
      </c>
      <c r="BH253" s="9">
        <f t="shared" si="159"/>
        <v>400</v>
      </c>
      <c r="BI253" s="9" t="str">
        <f>TMK[[#This Row],[From]]</f>
        <v>11 kV Bus</v>
      </c>
      <c r="BJ253" s="9" t="str">
        <f>TMK[[#This Row],[To]]</f>
        <v>T256</v>
      </c>
      <c r="BK25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Breaker-CD1-T601</v>
      </c>
      <c r="BL253" s="9">
        <f>TMK[[#This Row],[Voltage]]</f>
        <v>11</v>
      </c>
    </row>
    <row r="254" spans="1:64" s="1" customFormat="1" ht="15" customHeight="1" x14ac:dyDescent="0.25">
      <c r="A254" s="6" t="str">
        <f>CONCATENATE(TMK[[#This Row],[Supply Level]],TMK[[#This Row],[Station/Feeder]],TMK[[#This Row],[Voltage]])</f>
        <v>DistributionFeederT601_Fire Services11</v>
      </c>
      <c r="B254" s="6" t="str">
        <f>CONCATENATE(TMK[[#This Row],[Supply Level]],TMK[[#This Row],[Station/Feeder]],TMK[[#This Row],[Equipment ID]],TMK[[#This Row],[Voltage]],TMK[[#This Row],[Device type]])</f>
        <v>DistributionFeederT601_Fire Services1-3c 300 mm² Al XLPE11-</v>
      </c>
      <c r="C254" s="6" t="s">
        <v>1276</v>
      </c>
      <c r="D254" s="11" t="s">
        <v>112</v>
      </c>
      <c r="E254" s="7" t="s">
        <v>243</v>
      </c>
      <c r="F254" s="7" t="s">
        <v>667</v>
      </c>
      <c r="G254" s="56">
        <v>2</v>
      </c>
      <c r="H254" s="7" t="s">
        <v>585</v>
      </c>
      <c r="I254" s="123" t="s">
        <v>569</v>
      </c>
      <c r="J254" s="123" t="s">
        <v>250</v>
      </c>
      <c r="K254" s="46" t="s">
        <v>0</v>
      </c>
      <c r="L254" s="46" t="s">
        <v>0</v>
      </c>
      <c r="M254" s="43">
        <v>11</v>
      </c>
      <c r="N254" s="9">
        <v>476</v>
      </c>
      <c r="O254" s="9">
        <f t="shared" si="154"/>
        <v>9.0690180284306408</v>
      </c>
      <c r="P254" s="9">
        <v>476</v>
      </c>
      <c r="Q254" s="9">
        <f t="shared" si="155"/>
        <v>9.0690180284306408</v>
      </c>
      <c r="R254" s="9">
        <v>476</v>
      </c>
      <c r="S254" s="9">
        <f t="shared" si="156"/>
        <v>9.0690180284306408</v>
      </c>
      <c r="T254" s="9" t="s">
        <v>0</v>
      </c>
      <c r="U254" s="9" t="str">
        <f t="shared" si="157"/>
        <v>-</v>
      </c>
      <c r="V254" s="9" t="s">
        <v>0</v>
      </c>
      <c r="W254" s="9" t="str">
        <f t="shared" si="158"/>
        <v>-</v>
      </c>
      <c r="X254" s="9" t="s">
        <v>0</v>
      </c>
      <c r="Y254" s="9" t="str">
        <f t="shared" si="182"/>
        <v>-</v>
      </c>
      <c r="Z254" s="9" t="s">
        <v>0</v>
      </c>
      <c r="AA254" s="9" t="str">
        <f t="shared" si="183"/>
        <v>-</v>
      </c>
      <c r="AB254" s="9" t="s">
        <v>0</v>
      </c>
      <c r="AC254" s="9" t="str">
        <f t="shared" si="187"/>
        <v>-</v>
      </c>
      <c r="AD254" s="9" t="s">
        <v>0</v>
      </c>
      <c r="AE254" s="12" t="str">
        <f t="shared" si="188"/>
        <v>-</v>
      </c>
      <c r="AF254" s="9">
        <v>3</v>
      </c>
      <c r="AG254" s="9" t="s">
        <v>265</v>
      </c>
      <c r="AH254" s="9">
        <v>150.30000000000001</v>
      </c>
      <c r="AI254" s="9">
        <v>1</v>
      </c>
      <c r="AJ254" s="32">
        <v>0.98</v>
      </c>
      <c r="AK254" s="29">
        <v>20</v>
      </c>
      <c r="AL254" s="32">
        <v>0.97</v>
      </c>
      <c r="AM254" s="29">
        <v>1.2</v>
      </c>
      <c r="AN254" s="32">
        <v>1</v>
      </c>
      <c r="AO254" s="29">
        <v>6</v>
      </c>
      <c r="AP254" s="32">
        <v>0.24</v>
      </c>
      <c r="AQ254" s="32">
        <v>0.67</v>
      </c>
      <c r="AR254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303.16535200000004</v>
      </c>
      <c r="AS254" s="9">
        <f t="shared" si="189"/>
        <v>5.776075720343532</v>
      </c>
      <c r="AT254" s="9">
        <f>IF(RIGHT(TMK[[#This Row],[Device type]],7)="Winding","-",TMK[[#This Row],[Cont Winter MVA]])</f>
        <v>9.0690180284306408</v>
      </c>
      <c r="AU254" s="9">
        <f>IF(RIGHT(TMK[[#This Row],[Device type]],7)="Winding","-",TMK[[#This Row],[Cont Shoulder MVA]])</f>
        <v>9.0690180284306408</v>
      </c>
      <c r="AV254" s="9">
        <f>IF(RIGHT(TMK[[#This Row],[Device type]],7)="Winding","-",TMK[[#This Row],[Cont Summer MVA]])</f>
        <v>9.0690180284306408</v>
      </c>
      <c r="AW254" s="9" t="str">
        <f>IF(RIGHT(TMK[[#This Row],[Device type]],7)="Winding","-",TMK[[#This Row],[24 Hr Winter MVA]])</f>
        <v>-</v>
      </c>
      <c r="AX254" s="9" t="str">
        <f>IF(RIGHT(TMK[[#This Row],[Device type]],7)="Winding","-",TMK[[#This Row],[24 Hr Summer MVA]])</f>
        <v>-</v>
      </c>
      <c r="AY254" s="9" t="str">
        <f>TMK[[#This Row],[Forwards MVA]]</f>
        <v>-</v>
      </c>
      <c r="AZ254" s="9" t="str">
        <f>TMK[[#This Row],[Relay MVA]]</f>
        <v>-</v>
      </c>
      <c r="BA254" s="9" t="str">
        <f>TMK[[#This Row],[CT MVA]]</f>
        <v>-</v>
      </c>
      <c r="BB254" s="9">
        <f>TMK[[#This Row],[Derating MVA]]</f>
        <v>5.776075720343532</v>
      </c>
      <c r="BC254" s="9" t="str">
        <f>TMK[[#This Row],[Station/Feeder]]&amp;TMK[[#This Row],[Lowest MVA]]</f>
        <v>T601_Fire Services5.77607572034353</v>
      </c>
      <c r="BD254" s="9" t="str">
        <f>CONCATENATE(TMK[[#This Row],[Supply Level]],TMK[[#This Row],[Station/Feeder]],TMK[[#This Row],[Voltage]],TMK[[#This Row],[Lowest A-No PTX]])</f>
        <v>DistributionFeederT601_Fire Services11303.165352</v>
      </c>
      <c r="BE254" s="9" t="str">
        <f>CONCATENATE(TMK[[#This Row],[Supply Level]],TMK[[#This Row],[Station/Feeder]],TMK[[#This Row],[Voltage]],TMK[[#This Row],[Lowest A-PTX]])</f>
        <v>DistributionFeederT601_Fire Services11303.165352</v>
      </c>
      <c r="BF254" s="9">
        <f>IFERROR(IF(MIN(TMK[[#This Row],[Summ Cont Winter A]:[Cable Derating]])=0,"",MIN(TMK[[#This Row],[Summ Cont Winter A]:[Cable Derating]])),"")</f>
        <v>5.776075720343532</v>
      </c>
      <c r="BG254" s="9">
        <f>IFERROR(TMK[[#This Row],[Lowest MVA]]*1000/(TMK[[#This Row],[Voltage]]*SQRT(3)),"")</f>
        <v>303.16535199999998</v>
      </c>
      <c r="BH254" s="9">
        <f t="shared" si="159"/>
        <v>303.16535200000004</v>
      </c>
      <c r="BI254" s="9" t="str">
        <f>TMK[[#This Row],[From]]</f>
        <v>11 kV Bus</v>
      </c>
      <c r="BJ254" s="9" t="str">
        <f>TMK[[#This Row],[To]]</f>
        <v>T256</v>
      </c>
      <c r="BK25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XLPE</v>
      </c>
      <c r="BL254" s="9">
        <f>TMK[[#This Row],[Voltage]]</f>
        <v>11</v>
      </c>
    </row>
    <row r="255" spans="1:64" s="1" customFormat="1" ht="15" customHeight="1" x14ac:dyDescent="0.25">
      <c r="A255" s="6" t="str">
        <f>CONCATENATE(TMK[[#This Row],[Supply Level]],TMK[[#This Row],[Station/Feeder]],TMK[[#This Row],[Voltage]])</f>
        <v>DistributionFeederT601_Fire Services11</v>
      </c>
      <c r="B255" s="6" t="str">
        <f>CONCATENATE(TMK[[#This Row],[Supply Level]],TMK[[#This Row],[Station/Feeder]],TMK[[#This Row],[Equipment ID]],TMK[[#This Row],[Voltage]],TMK[[#This Row],[Device type]])</f>
        <v>DistributionFeederT601_Fire ServicesT46511-</v>
      </c>
      <c r="C255" s="6" t="s">
        <v>1276</v>
      </c>
      <c r="D255" s="11" t="s">
        <v>112</v>
      </c>
      <c r="E255" s="7" t="s">
        <v>243</v>
      </c>
      <c r="F255" s="7" t="s">
        <v>667</v>
      </c>
      <c r="G255" s="56">
        <v>3</v>
      </c>
      <c r="H255" s="7" t="s">
        <v>273</v>
      </c>
      <c r="I255" s="123" t="s">
        <v>666</v>
      </c>
      <c r="J255" s="123" t="s">
        <v>670</v>
      </c>
      <c r="K255" s="46" t="s">
        <v>0</v>
      </c>
      <c r="L255" s="46" t="s">
        <v>0</v>
      </c>
      <c r="M255" s="43">
        <v>11</v>
      </c>
      <c r="N255" s="9">
        <v>630</v>
      </c>
      <c r="O255" s="9">
        <f t="shared" si="154"/>
        <v>12.00311209645232</v>
      </c>
      <c r="P255" s="9">
        <v>630</v>
      </c>
      <c r="Q255" s="9">
        <f t="shared" si="155"/>
        <v>12.00311209645232</v>
      </c>
      <c r="R255" s="9">
        <v>630</v>
      </c>
      <c r="S255" s="9">
        <f t="shared" si="156"/>
        <v>12.00311209645232</v>
      </c>
      <c r="T255" s="9" t="s">
        <v>0</v>
      </c>
      <c r="U255" s="9" t="str">
        <f t="shared" si="157"/>
        <v>-</v>
      </c>
      <c r="V255" s="9" t="s">
        <v>0</v>
      </c>
      <c r="W255" s="9" t="str">
        <f t="shared" si="158"/>
        <v>-</v>
      </c>
      <c r="X255" s="9" t="s">
        <v>0</v>
      </c>
      <c r="Y255" s="9" t="str">
        <f t="shared" si="182"/>
        <v>-</v>
      </c>
      <c r="Z255" s="9" t="s">
        <v>0</v>
      </c>
      <c r="AA255" s="9" t="str">
        <f t="shared" si="183"/>
        <v>-</v>
      </c>
      <c r="AB255" s="9" t="s">
        <v>0</v>
      </c>
      <c r="AC255" s="9" t="str">
        <f t="shared" si="187"/>
        <v>-</v>
      </c>
      <c r="AD255" s="9" t="s">
        <v>0</v>
      </c>
      <c r="AE255" s="12" t="str">
        <f t="shared" si="188"/>
        <v>-</v>
      </c>
      <c r="AF255" s="9" t="s">
        <v>0</v>
      </c>
      <c r="AG255" s="9" t="s">
        <v>0</v>
      </c>
      <c r="AH255" s="9" t="s">
        <v>0</v>
      </c>
      <c r="AI255" s="9" t="s">
        <v>0</v>
      </c>
      <c r="AJ255" s="32" t="s">
        <v>0</v>
      </c>
      <c r="AK255" s="29" t="s">
        <v>0</v>
      </c>
      <c r="AL255" s="32" t="s">
        <v>0</v>
      </c>
      <c r="AM255" s="29" t="s">
        <v>0</v>
      </c>
      <c r="AN255" s="32" t="s">
        <v>0</v>
      </c>
      <c r="AO255" s="29" t="s">
        <v>0</v>
      </c>
      <c r="AP255" s="32" t="s">
        <v>0</v>
      </c>
      <c r="AQ255" s="32" t="s">
        <v>0</v>
      </c>
      <c r="AR255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55" s="9" t="str">
        <f t="shared" si="189"/>
        <v>-</v>
      </c>
      <c r="AT255" s="9">
        <f>IF(RIGHT(TMK[[#This Row],[Device type]],7)="Winding","-",TMK[[#This Row],[Cont Winter MVA]])</f>
        <v>12.00311209645232</v>
      </c>
      <c r="AU255" s="9">
        <f>IF(RIGHT(TMK[[#This Row],[Device type]],7)="Winding","-",TMK[[#This Row],[Cont Shoulder MVA]])</f>
        <v>12.00311209645232</v>
      </c>
      <c r="AV255" s="9">
        <f>IF(RIGHT(TMK[[#This Row],[Device type]],7)="Winding","-",TMK[[#This Row],[Cont Summer MVA]])</f>
        <v>12.00311209645232</v>
      </c>
      <c r="AW255" s="9" t="str">
        <f>IF(RIGHT(TMK[[#This Row],[Device type]],7)="Winding","-",TMK[[#This Row],[24 Hr Winter MVA]])</f>
        <v>-</v>
      </c>
      <c r="AX255" s="9" t="str">
        <f>IF(RIGHT(TMK[[#This Row],[Device type]],7)="Winding","-",TMK[[#This Row],[24 Hr Summer MVA]])</f>
        <v>-</v>
      </c>
      <c r="AY255" s="9" t="str">
        <f>TMK[[#This Row],[Forwards MVA]]</f>
        <v>-</v>
      </c>
      <c r="AZ255" s="9" t="str">
        <f>TMK[[#This Row],[Relay MVA]]</f>
        <v>-</v>
      </c>
      <c r="BA255" s="9" t="str">
        <f>TMK[[#This Row],[CT MVA]]</f>
        <v>-</v>
      </c>
      <c r="BB255" s="9" t="str">
        <f>TMK[[#This Row],[Derating MVA]]</f>
        <v>-</v>
      </c>
      <c r="BC255" s="9" t="str">
        <f>TMK[[#This Row],[Station/Feeder]]&amp;TMK[[#This Row],[Lowest MVA]]</f>
        <v>T601_Fire Services12.0031120964523</v>
      </c>
      <c r="BD255" s="9" t="str">
        <f>CONCATENATE(TMK[[#This Row],[Supply Level]],TMK[[#This Row],[Station/Feeder]],TMK[[#This Row],[Voltage]],TMK[[#This Row],[Lowest A-No PTX]])</f>
        <v>DistributionFeederT601_Fire Services11630</v>
      </c>
      <c r="BE255" s="9" t="str">
        <f>CONCATENATE(TMK[[#This Row],[Supply Level]],TMK[[#This Row],[Station/Feeder]],TMK[[#This Row],[Voltage]],TMK[[#This Row],[Lowest A-PTX]])</f>
        <v>DistributionFeederT601_Fire Services11630</v>
      </c>
      <c r="BF255" s="9">
        <f>IFERROR(IF(MIN(TMK[[#This Row],[Summ Cont Winter A]:[Cable Derating]])=0,"",MIN(TMK[[#This Row],[Summ Cont Winter A]:[Cable Derating]])),"")</f>
        <v>12.00311209645232</v>
      </c>
      <c r="BG255" s="9">
        <f>IFERROR(TMK[[#This Row],[Lowest MVA]]*1000/(TMK[[#This Row],[Voltage]]*SQRT(3)),"")</f>
        <v>630</v>
      </c>
      <c r="BH255" s="9">
        <f t="shared" si="159"/>
        <v>630</v>
      </c>
      <c r="BI255" s="9" t="str">
        <f>TMK[[#This Row],[From]]</f>
        <v>11 kV Bus</v>
      </c>
      <c r="BJ255" s="9" t="str">
        <f>TMK[[#This Row],[To]]</f>
        <v>T256</v>
      </c>
      <c r="BK25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Switch-T465</v>
      </c>
      <c r="BL255" s="9">
        <f>TMK[[#This Row],[Voltage]]</f>
        <v>11</v>
      </c>
    </row>
    <row r="256" spans="1:64" s="1" customFormat="1" ht="15" customHeight="1" x14ac:dyDescent="0.25">
      <c r="A256" s="6" t="str">
        <f>CONCATENATE(TMK[[#This Row],[Supply Level]],TMK[[#This Row],[Station/Feeder]],TMK[[#This Row],[Voltage]])</f>
        <v>DistributionFeederT602_Whey Processing11</v>
      </c>
      <c r="B256" s="6" t="str">
        <f>CONCATENATE(TMK[[#This Row],[Supply Level]],TMK[[#This Row],[Station/Feeder]],TMK[[#This Row],[Equipment ID]],TMK[[#This Row],[Voltage]],TMK[[#This Row],[Device type]])</f>
        <v>DistributionFeederT602_Whey ProcessingCD1-T60211-</v>
      </c>
      <c r="C256" s="6" t="s">
        <v>1276</v>
      </c>
      <c r="D256" s="11" t="s">
        <v>123</v>
      </c>
      <c r="E256" s="7" t="s">
        <v>243</v>
      </c>
      <c r="F256" s="7" t="s">
        <v>668</v>
      </c>
      <c r="G256" s="56">
        <v>1</v>
      </c>
      <c r="H256" s="7" t="s">
        <v>343</v>
      </c>
      <c r="I256" s="123" t="s">
        <v>2442</v>
      </c>
      <c r="J256" s="123" t="s">
        <v>15</v>
      </c>
      <c r="K256" s="46" t="s">
        <v>0</v>
      </c>
      <c r="L256" s="46" t="s">
        <v>0</v>
      </c>
      <c r="M256" s="43">
        <v>11</v>
      </c>
      <c r="N256" s="9">
        <v>630</v>
      </c>
      <c r="O256" s="9">
        <f t="shared" si="154"/>
        <v>12.00311209645232</v>
      </c>
      <c r="P256" s="9">
        <v>630</v>
      </c>
      <c r="Q256" s="9">
        <f t="shared" si="155"/>
        <v>12.00311209645232</v>
      </c>
      <c r="R256" s="9">
        <v>630</v>
      </c>
      <c r="S256" s="9">
        <f t="shared" si="156"/>
        <v>12.00311209645232</v>
      </c>
      <c r="T256" s="9" t="s">
        <v>0</v>
      </c>
      <c r="U256" s="9" t="str">
        <f t="shared" si="157"/>
        <v>-</v>
      </c>
      <c r="V256" s="9" t="s">
        <v>0</v>
      </c>
      <c r="W256" s="9" t="str">
        <f t="shared" si="158"/>
        <v>-</v>
      </c>
      <c r="X256" s="9">
        <f>VLOOKUP(TMK[[#This Row],[Equipment ID]],AEL_Protection_Data[#All],12,0)</f>
        <v>480</v>
      </c>
      <c r="Y256" s="9">
        <f>IF(OR(X256="",X256="-"),"-",X256*$M256*SQRT(3)/1000)</f>
        <v>9.1452282639636717</v>
      </c>
      <c r="Z256" s="9">
        <v>480</v>
      </c>
      <c r="AA256" s="9">
        <f>IF(OR(Z256="",Z256="-"),"-",Z256*$M256*SQRT(3)/1000)</f>
        <v>9.1452282639636717</v>
      </c>
      <c r="AB256" s="9" t="s">
        <v>0</v>
      </c>
      <c r="AC256" s="9" t="str">
        <f>IF(OR(AB256="",AB256="-"),"-",AB256*$M256*SQRT(3)/1000)</f>
        <v>-</v>
      </c>
      <c r="AD256" s="9">
        <v>400</v>
      </c>
      <c r="AE256" s="12">
        <f>IF(OR(AD256="",AD256="-"),"-",AD256*$M256*SQRT(3)/1000)</f>
        <v>7.6210235533030604</v>
      </c>
      <c r="AF256" s="9" t="s">
        <v>0</v>
      </c>
      <c r="AG256" s="9" t="s">
        <v>0</v>
      </c>
      <c r="AH256" s="9" t="s">
        <v>0</v>
      </c>
      <c r="AI256" s="9" t="s">
        <v>0</v>
      </c>
      <c r="AJ256" s="32" t="s">
        <v>0</v>
      </c>
      <c r="AK256" s="29" t="s">
        <v>0</v>
      </c>
      <c r="AL256" s="32" t="s">
        <v>0</v>
      </c>
      <c r="AM256" s="29" t="s">
        <v>0</v>
      </c>
      <c r="AN256" s="32" t="s">
        <v>0</v>
      </c>
      <c r="AO256" s="29" t="s">
        <v>0</v>
      </c>
      <c r="AP256" s="32" t="s">
        <v>0</v>
      </c>
      <c r="AQ256" s="32" t="s">
        <v>0</v>
      </c>
      <c r="AR25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56" s="9" t="str">
        <f>IF(OR(AR256="",AR256="-"),"-",AR256*$M256*SQRT(3)/1000)</f>
        <v>-</v>
      </c>
      <c r="AT256" s="9">
        <f>IF(RIGHT(TMK[[#This Row],[Device type]],7)="Winding","-",TMK[[#This Row],[Cont Winter MVA]])</f>
        <v>12.00311209645232</v>
      </c>
      <c r="AU256" s="9">
        <f>IF(RIGHT(TMK[[#This Row],[Device type]],7)="Winding","-",TMK[[#This Row],[Cont Shoulder MVA]])</f>
        <v>12.00311209645232</v>
      </c>
      <c r="AV256" s="9">
        <f>IF(RIGHT(TMK[[#This Row],[Device type]],7)="Winding","-",TMK[[#This Row],[Cont Summer MVA]])</f>
        <v>12.00311209645232</v>
      </c>
      <c r="AW256" s="9" t="str">
        <f>IF(RIGHT(TMK[[#This Row],[Device type]],7)="Winding","-",TMK[[#This Row],[24 Hr Winter MVA]])</f>
        <v>-</v>
      </c>
      <c r="AX256" s="9" t="str">
        <f>IF(RIGHT(TMK[[#This Row],[Device type]],7)="Winding","-",TMK[[#This Row],[24 Hr Summer MVA]])</f>
        <v>-</v>
      </c>
      <c r="AY256" s="9">
        <f>TMK[[#This Row],[Forwards MVA]]</f>
        <v>9.1452282639636717</v>
      </c>
      <c r="AZ256" s="9" t="str">
        <f>TMK[[#This Row],[Relay MVA]]</f>
        <v>-</v>
      </c>
      <c r="BA256" s="9">
        <f>TMK[[#This Row],[CT MVA]]</f>
        <v>7.6210235533030604</v>
      </c>
      <c r="BB256" s="9" t="str">
        <f>TMK[[#This Row],[Derating MVA]]</f>
        <v>-</v>
      </c>
      <c r="BC256" s="9" t="str">
        <f>TMK[[#This Row],[Station/Feeder]]&amp;TMK[[#This Row],[Lowest MVA]]</f>
        <v>T602_Whey Processing7.62102355330306</v>
      </c>
      <c r="BD256" s="9" t="str">
        <f>CONCATENATE(TMK[[#This Row],[Supply Level]],TMK[[#This Row],[Station/Feeder]],TMK[[#This Row],[Voltage]],TMK[[#This Row],[Lowest A-No PTX]])</f>
        <v>DistributionFeederT602_Whey Processing11400</v>
      </c>
      <c r="BE256" s="9" t="str">
        <f>CONCATENATE(TMK[[#This Row],[Supply Level]],TMK[[#This Row],[Station/Feeder]],TMK[[#This Row],[Voltage]],TMK[[#This Row],[Lowest A-PTX]])</f>
        <v>DistributionFeederT602_Whey Processing11400</v>
      </c>
      <c r="BF256" s="9">
        <f>IFERROR(IF(MIN(TMK[[#This Row],[Summ Cont Winter A]:[Cable Derating]])=0,"",MIN(TMK[[#This Row],[Summ Cont Winter A]:[Cable Derating]])),"")</f>
        <v>7.6210235533030604</v>
      </c>
      <c r="BG256" s="9">
        <f>IFERROR(TMK[[#This Row],[Lowest MVA]]*1000/(TMK[[#This Row],[Voltage]]*SQRT(3)),"")</f>
        <v>400</v>
      </c>
      <c r="BH256" s="9">
        <f t="shared" si="159"/>
        <v>400</v>
      </c>
      <c r="BI256" s="9" t="str">
        <f>TMK[[#This Row],[From]]</f>
        <v>11 kV Bus</v>
      </c>
      <c r="BJ256" s="9" t="str">
        <f>TMK[[#This Row],[To]]</f>
        <v>T172</v>
      </c>
      <c r="BK25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Breaker-CD1-T602</v>
      </c>
      <c r="BL256" s="9">
        <f>TMK[[#This Row],[Voltage]]</f>
        <v>11</v>
      </c>
    </row>
    <row r="257" spans="1:64" s="1" customFormat="1" ht="15" customHeight="1" x14ac:dyDescent="0.25">
      <c r="A257" s="6" t="str">
        <f>CONCATENATE(TMK[[#This Row],[Supply Level]],TMK[[#This Row],[Station/Feeder]],TMK[[#This Row],[Voltage]])</f>
        <v>DistributionFeederT602_Whey Processing11</v>
      </c>
      <c r="B257" s="6" t="str">
        <f>CONCATENATE(TMK[[#This Row],[Supply Level]],TMK[[#This Row],[Station/Feeder]],TMK[[#This Row],[Equipment ID]],TMK[[#This Row],[Voltage]],TMK[[#This Row],[Device type]])</f>
        <v>DistributionFeederT602_Whey Processing1-3c 185 mm² Al PILC11-</v>
      </c>
      <c r="C257" s="6" t="s">
        <v>1276</v>
      </c>
      <c r="D257" s="11" t="s">
        <v>123</v>
      </c>
      <c r="E257" s="7" t="s">
        <v>243</v>
      </c>
      <c r="F257" s="7" t="s">
        <v>668</v>
      </c>
      <c r="G257" s="56">
        <v>2</v>
      </c>
      <c r="H257" s="7" t="s">
        <v>585</v>
      </c>
      <c r="I257" s="123" t="s">
        <v>665</v>
      </c>
      <c r="J257" s="123" t="s">
        <v>250</v>
      </c>
      <c r="K257" s="46" t="s">
        <v>0</v>
      </c>
      <c r="L257" s="46" t="s">
        <v>0</v>
      </c>
      <c r="M257" s="43">
        <v>11</v>
      </c>
      <c r="N257" s="9">
        <v>300</v>
      </c>
      <c r="O257" s="9">
        <f t="shared" si="154"/>
        <v>5.715767664977295</v>
      </c>
      <c r="P257" s="9">
        <v>300</v>
      </c>
      <c r="Q257" s="9">
        <f t="shared" si="155"/>
        <v>5.715767664977295</v>
      </c>
      <c r="R257" s="9">
        <v>300</v>
      </c>
      <c r="S257" s="9">
        <f t="shared" si="156"/>
        <v>5.715767664977295</v>
      </c>
      <c r="T257" s="9" t="s">
        <v>0</v>
      </c>
      <c r="U257" s="9" t="str">
        <f t="shared" si="157"/>
        <v>-</v>
      </c>
      <c r="V257" s="9" t="s">
        <v>0</v>
      </c>
      <c r="W257" s="9" t="str">
        <f t="shared" si="158"/>
        <v>-</v>
      </c>
      <c r="X257" s="9" t="s">
        <v>0</v>
      </c>
      <c r="Y257" s="9" t="str">
        <f t="shared" si="182"/>
        <v>-</v>
      </c>
      <c r="Z257" s="9" t="s">
        <v>0</v>
      </c>
      <c r="AA257" s="9" t="str">
        <f t="shared" si="183"/>
        <v>-</v>
      </c>
      <c r="AB257" s="9" t="s">
        <v>0</v>
      </c>
      <c r="AC257" s="9" t="str">
        <f t="shared" si="187"/>
        <v>-</v>
      </c>
      <c r="AD257" s="9" t="s">
        <v>0</v>
      </c>
      <c r="AE257" s="12" t="str">
        <f t="shared" si="188"/>
        <v>-</v>
      </c>
      <c r="AF257" s="9">
        <v>3</v>
      </c>
      <c r="AG257" s="9" t="s">
        <v>265</v>
      </c>
      <c r="AH257" s="9">
        <v>109.5</v>
      </c>
      <c r="AI257" s="9">
        <v>1</v>
      </c>
      <c r="AJ257" s="32">
        <v>0.98</v>
      </c>
      <c r="AK257" s="29">
        <v>19</v>
      </c>
      <c r="AL257" s="32">
        <v>0.97</v>
      </c>
      <c r="AM257" s="29">
        <v>1.2</v>
      </c>
      <c r="AN257" s="32">
        <v>1</v>
      </c>
      <c r="AO257" s="29">
        <v>3</v>
      </c>
      <c r="AP257" s="32">
        <v>0.45</v>
      </c>
      <c r="AQ257" s="32">
        <v>0.84</v>
      </c>
      <c r="AR257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239.55119999999999</v>
      </c>
      <c r="AS257" s="9">
        <f t="shared" si="189"/>
        <v>4.5640633435550297</v>
      </c>
      <c r="AT257" s="9">
        <f>IF(RIGHT(TMK[[#This Row],[Device type]],7)="Winding","-",TMK[[#This Row],[Cont Winter MVA]])</f>
        <v>5.715767664977295</v>
      </c>
      <c r="AU257" s="9">
        <f>IF(RIGHT(TMK[[#This Row],[Device type]],7)="Winding","-",TMK[[#This Row],[Cont Shoulder MVA]])</f>
        <v>5.715767664977295</v>
      </c>
      <c r="AV257" s="9">
        <f>IF(RIGHT(TMK[[#This Row],[Device type]],7)="Winding","-",TMK[[#This Row],[Cont Summer MVA]])</f>
        <v>5.715767664977295</v>
      </c>
      <c r="AW257" s="9" t="str">
        <f>IF(RIGHT(TMK[[#This Row],[Device type]],7)="Winding","-",TMK[[#This Row],[24 Hr Winter MVA]])</f>
        <v>-</v>
      </c>
      <c r="AX257" s="9" t="str">
        <f>IF(RIGHT(TMK[[#This Row],[Device type]],7)="Winding","-",TMK[[#This Row],[24 Hr Summer MVA]])</f>
        <v>-</v>
      </c>
      <c r="AY257" s="9" t="str">
        <f>TMK[[#This Row],[Forwards MVA]]</f>
        <v>-</v>
      </c>
      <c r="AZ257" s="9" t="str">
        <f>TMK[[#This Row],[Relay MVA]]</f>
        <v>-</v>
      </c>
      <c r="BA257" s="9" t="str">
        <f>TMK[[#This Row],[CT MVA]]</f>
        <v>-</v>
      </c>
      <c r="BB257" s="9">
        <f>TMK[[#This Row],[Derating MVA]]</f>
        <v>4.5640633435550297</v>
      </c>
      <c r="BC257" s="9" t="str">
        <f>TMK[[#This Row],[Station/Feeder]]&amp;TMK[[#This Row],[Lowest MVA]]</f>
        <v>T602_Whey Processing4.56406334355503</v>
      </c>
      <c r="BD257" s="9" t="str">
        <f>CONCATENATE(TMK[[#This Row],[Supply Level]],TMK[[#This Row],[Station/Feeder]],TMK[[#This Row],[Voltage]],TMK[[#This Row],[Lowest A-No PTX]])</f>
        <v>DistributionFeederT602_Whey Processing11239.5512</v>
      </c>
      <c r="BE257" s="9" t="str">
        <f>CONCATENATE(TMK[[#This Row],[Supply Level]],TMK[[#This Row],[Station/Feeder]],TMK[[#This Row],[Voltage]],TMK[[#This Row],[Lowest A-PTX]])</f>
        <v>DistributionFeederT602_Whey Processing11239.5512</v>
      </c>
      <c r="BF257" s="9">
        <f>IFERROR(IF(MIN(TMK[[#This Row],[Summ Cont Winter A]:[Cable Derating]])=0,"",MIN(TMK[[#This Row],[Summ Cont Winter A]:[Cable Derating]])),"")</f>
        <v>4.5640633435550297</v>
      </c>
      <c r="BG257" s="9">
        <f>IFERROR(TMK[[#This Row],[Lowest MVA]]*1000/(TMK[[#This Row],[Voltage]]*SQRT(3)),"")</f>
        <v>239.55119999999999</v>
      </c>
      <c r="BH257" s="9">
        <f t="shared" si="159"/>
        <v>239.55119999999999</v>
      </c>
      <c r="BI257" s="9" t="str">
        <f>TMK[[#This Row],[From]]</f>
        <v>11 kV Bus</v>
      </c>
      <c r="BJ257" s="9" t="str">
        <f>TMK[[#This Row],[To]]</f>
        <v>T172</v>
      </c>
      <c r="BK25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185 mm² Al PILC</v>
      </c>
      <c r="BL257" s="9">
        <f>TMK[[#This Row],[Voltage]]</f>
        <v>11</v>
      </c>
    </row>
    <row r="258" spans="1:64" s="1" customFormat="1" ht="15" customHeight="1" x14ac:dyDescent="0.25">
      <c r="A258" s="6" t="str">
        <f>CONCATENATE(TMK[[#This Row],[Supply Level]],TMK[[#This Row],[Station/Feeder]],TMK[[#This Row],[Voltage]])</f>
        <v>DistributionFeederT602_Whey Processing11</v>
      </c>
      <c r="B258" s="6" t="str">
        <f>CONCATENATE(TMK[[#This Row],[Supply Level]],TMK[[#This Row],[Station/Feeder]],TMK[[#This Row],[Equipment ID]],TMK[[#This Row],[Voltage]],TMK[[#This Row],[Device type]])</f>
        <v>DistributionFeederT602_Whey ProcessingT46511-</v>
      </c>
      <c r="C258" s="6" t="s">
        <v>1276</v>
      </c>
      <c r="D258" s="11" t="s">
        <v>123</v>
      </c>
      <c r="E258" s="7" t="s">
        <v>243</v>
      </c>
      <c r="F258" s="7" t="s">
        <v>668</v>
      </c>
      <c r="G258" s="56">
        <v>3</v>
      </c>
      <c r="H258" s="7" t="s">
        <v>273</v>
      </c>
      <c r="I258" s="123" t="s">
        <v>666</v>
      </c>
      <c r="J258" s="123" t="s">
        <v>670</v>
      </c>
      <c r="K258" s="46" t="s">
        <v>0</v>
      </c>
      <c r="L258" s="46" t="s">
        <v>0</v>
      </c>
      <c r="M258" s="43">
        <v>11</v>
      </c>
      <c r="N258" s="9">
        <v>630</v>
      </c>
      <c r="O258" s="9">
        <f t="shared" si="154"/>
        <v>12.00311209645232</v>
      </c>
      <c r="P258" s="9">
        <v>630</v>
      </c>
      <c r="Q258" s="9">
        <f t="shared" si="155"/>
        <v>12.00311209645232</v>
      </c>
      <c r="R258" s="9">
        <v>630</v>
      </c>
      <c r="S258" s="9">
        <f t="shared" si="156"/>
        <v>12.00311209645232</v>
      </c>
      <c r="T258" s="9" t="s">
        <v>0</v>
      </c>
      <c r="U258" s="9" t="str">
        <f t="shared" si="157"/>
        <v>-</v>
      </c>
      <c r="V258" s="9" t="s">
        <v>0</v>
      </c>
      <c r="W258" s="9" t="str">
        <f t="shared" si="158"/>
        <v>-</v>
      </c>
      <c r="X258" s="9" t="s">
        <v>0</v>
      </c>
      <c r="Y258" s="9" t="str">
        <f t="shared" si="182"/>
        <v>-</v>
      </c>
      <c r="Z258" s="9" t="s">
        <v>0</v>
      </c>
      <c r="AA258" s="9" t="str">
        <f t="shared" si="183"/>
        <v>-</v>
      </c>
      <c r="AB258" s="9" t="s">
        <v>0</v>
      </c>
      <c r="AC258" s="9" t="str">
        <f t="shared" si="187"/>
        <v>-</v>
      </c>
      <c r="AD258" s="9" t="s">
        <v>0</v>
      </c>
      <c r="AE258" s="12" t="str">
        <f t="shared" si="188"/>
        <v>-</v>
      </c>
      <c r="AF258" s="9" t="s">
        <v>0</v>
      </c>
      <c r="AG258" s="9" t="s">
        <v>0</v>
      </c>
      <c r="AH258" s="9" t="s">
        <v>0</v>
      </c>
      <c r="AI258" s="9" t="s">
        <v>0</v>
      </c>
      <c r="AJ258" s="32" t="s">
        <v>0</v>
      </c>
      <c r="AK258" s="29" t="s">
        <v>0</v>
      </c>
      <c r="AL258" s="32" t="s">
        <v>0</v>
      </c>
      <c r="AM258" s="29" t="s">
        <v>0</v>
      </c>
      <c r="AN258" s="32" t="s">
        <v>0</v>
      </c>
      <c r="AO258" s="29" t="s">
        <v>0</v>
      </c>
      <c r="AP258" s="32" t="s">
        <v>0</v>
      </c>
      <c r="AQ258" s="32" t="s">
        <v>0</v>
      </c>
      <c r="AR258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58" s="9" t="str">
        <f t="shared" si="189"/>
        <v>-</v>
      </c>
      <c r="AT258" s="9">
        <f>IF(RIGHT(TMK[[#This Row],[Device type]],7)="Winding","-",TMK[[#This Row],[Cont Winter MVA]])</f>
        <v>12.00311209645232</v>
      </c>
      <c r="AU258" s="9">
        <f>IF(RIGHT(TMK[[#This Row],[Device type]],7)="Winding","-",TMK[[#This Row],[Cont Shoulder MVA]])</f>
        <v>12.00311209645232</v>
      </c>
      <c r="AV258" s="9">
        <f>IF(RIGHT(TMK[[#This Row],[Device type]],7)="Winding","-",TMK[[#This Row],[Cont Summer MVA]])</f>
        <v>12.00311209645232</v>
      </c>
      <c r="AW258" s="9" t="str">
        <f>IF(RIGHT(TMK[[#This Row],[Device type]],7)="Winding","-",TMK[[#This Row],[24 Hr Winter MVA]])</f>
        <v>-</v>
      </c>
      <c r="AX258" s="9" t="str">
        <f>IF(RIGHT(TMK[[#This Row],[Device type]],7)="Winding","-",TMK[[#This Row],[24 Hr Summer MVA]])</f>
        <v>-</v>
      </c>
      <c r="AY258" s="9" t="str">
        <f>TMK[[#This Row],[Forwards MVA]]</f>
        <v>-</v>
      </c>
      <c r="AZ258" s="9" t="str">
        <f>TMK[[#This Row],[Relay MVA]]</f>
        <v>-</v>
      </c>
      <c r="BA258" s="9" t="str">
        <f>TMK[[#This Row],[CT MVA]]</f>
        <v>-</v>
      </c>
      <c r="BB258" s="9" t="str">
        <f>TMK[[#This Row],[Derating MVA]]</f>
        <v>-</v>
      </c>
      <c r="BC258" s="9" t="str">
        <f>TMK[[#This Row],[Station/Feeder]]&amp;TMK[[#This Row],[Lowest MVA]]</f>
        <v>T602_Whey Processing12.0031120964523</v>
      </c>
      <c r="BD258" s="9" t="str">
        <f>CONCATENATE(TMK[[#This Row],[Supply Level]],TMK[[#This Row],[Station/Feeder]],TMK[[#This Row],[Voltage]],TMK[[#This Row],[Lowest A-No PTX]])</f>
        <v>DistributionFeederT602_Whey Processing11630</v>
      </c>
      <c r="BE258" s="9" t="str">
        <f>CONCATENATE(TMK[[#This Row],[Supply Level]],TMK[[#This Row],[Station/Feeder]],TMK[[#This Row],[Voltage]],TMK[[#This Row],[Lowest A-PTX]])</f>
        <v>DistributionFeederT602_Whey Processing11630</v>
      </c>
      <c r="BF258" s="9">
        <f>IFERROR(IF(MIN(TMK[[#This Row],[Summ Cont Winter A]:[Cable Derating]])=0,"",MIN(TMK[[#This Row],[Summ Cont Winter A]:[Cable Derating]])),"")</f>
        <v>12.00311209645232</v>
      </c>
      <c r="BG258" s="9">
        <f>IFERROR(TMK[[#This Row],[Lowest MVA]]*1000/(TMK[[#This Row],[Voltage]]*SQRT(3)),"")</f>
        <v>630</v>
      </c>
      <c r="BH258" s="9">
        <f t="shared" si="159"/>
        <v>630</v>
      </c>
      <c r="BI258" s="9" t="str">
        <f>TMK[[#This Row],[From]]</f>
        <v>11 kV Bus</v>
      </c>
      <c r="BJ258" s="9" t="str">
        <f>TMK[[#This Row],[To]]</f>
        <v>T172</v>
      </c>
      <c r="BK25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Switch-T465</v>
      </c>
      <c r="BL258" s="9">
        <f>TMK[[#This Row],[Voltage]]</f>
        <v>11</v>
      </c>
    </row>
    <row r="259" spans="1:64" s="1" customFormat="1" ht="15" customHeight="1" x14ac:dyDescent="0.25">
      <c r="A259" s="6" t="str">
        <f>CONCATENATE(TMK[[#This Row],[Supply Level]],TMK[[#This Row],[Station/Feeder]],TMK[[#This Row],[Voltage]])</f>
        <v>DistributionFeederT603_Lactose Plant11</v>
      </c>
      <c r="B259" s="6" t="str">
        <f>CONCATENATE(TMK[[#This Row],[Supply Level]],TMK[[#This Row],[Station/Feeder]],TMK[[#This Row],[Equipment ID]],TMK[[#This Row],[Voltage]],TMK[[#This Row],[Device type]])</f>
        <v>DistributionFeederT603_Lactose PlantCD1-T60311-</v>
      </c>
      <c r="C259" s="6" t="s">
        <v>1276</v>
      </c>
      <c r="D259" s="11" t="s">
        <v>131</v>
      </c>
      <c r="E259" s="7" t="s">
        <v>243</v>
      </c>
      <c r="F259" s="7" t="s">
        <v>669</v>
      </c>
      <c r="G259" s="56">
        <v>1</v>
      </c>
      <c r="H259" s="7" t="s">
        <v>343</v>
      </c>
      <c r="I259" s="123" t="s">
        <v>2443</v>
      </c>
      <c r="J259" s="123" t="s">
        <v>15</v>
      </c>
      <c r="K259" s="46" t="s">
        <v>0</v>
      </c>
      <c r="L259" s="46" t="s">
        <v>0</v>
      </c>
      <c r="M259" s="43">
        <v>11</v>
      </c>
      <c r="N259" s="9">
        <v>630</v>
      </c>
      <c r="O259" s="9">
        <f t="shared" si="154"/>
        <v>12.00311209645232</v>
      </c>
      <c r="P259" s="9">
        <v>630</v>
      </c>
      <c r="Q259" s="9">
        <f t="shared" si="155"/>
        <v>12.00311209645232</v>
      </c>
      <c r="R259" s="9">
        <v>630</v>
      </c>
      <c r="S259" s="9">
        <f t="shared" si="156"/>
        <v>12.00311209645232</v>
      </c>
      <c r="T259" s="9" t="s">
        <v>0</v>
      </c>
      <c r="U259" s="9" t="str">
        <f t="shared" si="157"/>
        <v>-</v>
      </c>
      <c r="V259" s="9" t="s">
        <v>0</v>
      </c>
      <c r="W259" s="9" t="str">
        <f t="shared" si="158"/>
        <v>-</v>
      </c>
      <c r="X259" s="9">
        <f>VLOOKUP(TMK[[#This Row],[Equipment ID]],AEL_Protection_Data[#All],12,0)</f>
        <v>480</v>
      </c>
      <c r="Y259" s="9">
        <f>IF(OR(X259="",X259="-"),"-",X259*$M259*SQRT(3)/1000)</f>
        <v>9.1452282639636717</v>
      </c>
      <c r="Z259" s="9">
        <v>480</v>
      </c>
      <c r="AA259" s="9">
        <f>IF(OR(Z259="",Z259="-"),"-",Z259*$M259*SQRT(3)/1000)</f>
        <v>9.1452282639636717</v>
      </c>
      <c r="AB259" s="9" t="s">
        <v>0</v>
      </c>
      <c r="AC259" s="9" t="str">
        <f>IF(OR(AB259="",AB259="-"),"-",AB259*$M259*SQRT(3)/1000)</f>
        <v>-</v>
      </c>
      <c r="AD259" s="9">
        <v>400</v>
      </c>
      <c r="AE259" s="12">
        <f>IF(OR(AD259="",AD259="-"),"-",AD259*$M259*SQRT(3)/1000)</f>
        <v>7.6210235533030604</v>
      </c>
      <c r="AF259" s="9" t="s">
        <v>0</v>
      </c>
      <c r="AG259" s="9" t="s">
        <v>0</v>
      </c>
      <c r="AH259" s="9" t="s">
        <v>0</v>
      </c>
      <c r="AI259" s="9" t="s">
        <v>0</v>
      </c>
      <c r="AJ259" s="32" t="s">
        <v>0</v>
      </c>
      <c r="AK259" s="29" t="s">
        <v>0</v>
      </c>
      <c r="AL259" s="32" t="s">
        <v>0</v>
      </c>
      <c r="AM259" s="29" t="s">
        <v>0</v>
      </c>
      <c r="AN259" s="32" t="s">
        <v>0</v>
      </c>
      <c r="AO259" s="29" t="s">
        <v>0</v>
      </c>
      <c r="AP259" s="32" t="s">
        <v>0</v>
      </c>
      <c r="AQ259" s="32" t="s">
        <v>0</v>
      </c>
      <c r="AR25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59" s="9" t="str">
        <f>IF(OR(AR259="",AR259="-"),"-",AR259*$M259*SQRT(3)/1000)</f>
        <v>-</v>
      </c>
      <c r="AT259" s="9">
        <f>IF(RIGHT(TMK[[#This Row],[Device type]],7)="Winding","-",TMK[[#This Row],[Cont Winter MVA]])</f>
        <v>12.00311209645232</v>
      </c>
      <c r="AU259" s="9">
        <f>IF(RIGHT(TMK[[#This Row],[Device type]],7)="Winding","-",TMK[[#This Row],[Cont Shoulder MVA]])</f>
        <v>12.00311209645232</v>
      </c>
      <c r="AV259" s="9">
        <f>IF(RIGHT(TMK[[#This Row],[Device type]],7)="Winding","-",TMK[[#This Row],[Cont Summer MVA]])</f>
        <v>12.00311209645232</v>
      </c>
      <c r="AW259" s="9" t="str">
        <f>IF(RIGHT(TMK[[#This Row],[Device type]],7)="Winding","-",TMK[[#This Row],[24 Hr Winter MVA]])</f>
        <v>-</v>
      </c>
      <c r="AX259" s="9" t="str">
        <f>IF(RIGHT(TMK[[#This Row],[Device type]],7)="Winding","-",TMK[[#This Row],[24 Hr Summer MVA]])</f>
        <v>-</v>
      </c>
      <c r="AY259" s="9">
        <f>TMK[[#This Row],[Forwards MVA]]</f>
        <v>9.1452282639636717</v>
      </c>
      <c r="AZ259" s="9" t="str">
        <f>TMK[[#This Row],[Relay MVA]]</f>
        <v>-</v>
      </c>
      <c r="BA259" s="9">
        <f>TMK[[#This Row],[CT MVA]]</f>
        <v>7.6210235533030604</v>
      </c>
      <c r="BB259" s="9" t="str">
        <f>TMK[[#This Row],[Derating MVA]]</f>
        <v>-</v>
      </c>
      <c r="BC259" s="9" t="str">
        <f>TMK[[#This Row],[Station/Feeder]]&amp;TMK[[#This Row],[Lowest MVA]]</f>
        <v>T603_Lactose Plant7.62102355330306</v>
      </c>
      <c r="BD259" s="9" t="str">
        <f>CONCATENATE(TMK[[#This Row],[Supply Level]],TMK[[#This Row],[Station/Feeder]],TMK[[#This Row],[Voltage]],TMK[[#This Row],[Lowest A-No PTX]])</f>
        <v>DistributionFeederT603_Lactose Plant11400</v>
      </c>
      <c r="BE259" s="9" t="str">
        <f>CONCATENATE(TMK[[#This Row],[Supply Level]],TMK[[#This Row],[Station/Feeder]],TMK[[#This Row],[Voltage]],TMK[[#This Row],[Lowest A-PTX]])</f>
        <v>DistributionFeederT603_Lactose Plant11400</v>
      </c>
      <c r="BF259" s="9">
        <f>IFERROR(IF(MIN(TMK[[#This Row],[Summ Cont Winter A]:[Cable Derating]])=0,"",MIN(TMK[[#This Row],[Summ Cont Winter A]:[Cable Derating]])),"")</f>
        <v>7.6210235533030604</v>
      </c>
      <c r="BG259" s="9">
        <f>IFERROR(TMK[[#This Row],[Lowest MVA]]*1000/(TMK[[#This Row],[Voltage]]*SQRT(3)),"")</f>
        <v>400</v>
      </c>
      <c r="BH259" s="9">
        <f t="shared" si="159"/>
        <v>400</v>
      </c>
      <c r="BI259" s="9" t="str">
        <f>TMK[[#This Row],[From]]</f>
        <v>11 kV Bus</v>
      </c>
      <c r="BJ259" s="9" t="str">
        <f>TMK[[#This Row],[To]]</f>
        <v>T569</v>
      </c>
      <c r="BK25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Breaker-CD1-T603</v>
      </c>
      <c r="BL259" s="9">
        <f>TMK[[#This Row],[Voltage]]</f>
        <v>11</v>
      </c>
    </row>
    <row r="260" spans="1:64" s="1" customFormat="1" ht="15" customHeight="1" x14ac:dyDescent="0.25">
      <c r="A260" s="6" t="str">
        <f>CONCATENATE(TMK[[#This Row],[Supply Level]],TMK[[#This Row],[Station/Feeder]],TMK[[#This Row],[Voltage]])</f>
        <v>DistributionFeederT603_Lactose Plant11</v>
      </c>
      <c r="B260" s="6" t="str">
        <f>CONCATENATE(TMK[[#This Row],[Supply Level]],TMK[[#This Row],[Station/Feeder]],TMK[[#This Row],[Equipment ID]],TMK[[#This Row],[Voltage]],TMK[[#This Row],[Device type]])</f>
        <v>DistributionFeederT603_Lactose Plant3-1c 400 mm² Al XLPE11-</v>
      </c>
      <c r="C260" s="6" t="s">
        <v>1276</v>
      </c>
      <c r="D260" s="11" t="s">
        <v>131</v>
      </c>
      <c r="E260" s="7" t="s">
        <v>243</v>
      </c>
      <c r="F260" s="7" t="s">
        <v>669</v>
      </c>
      <c r="G260" s="56">
        <v>2</v>
      </c>
      <c r="H260" s="7" t="s">
        <v>585</v>
      </c>
      <c r="I260" s="123" t="s">
        <v>559</v>
      </c>
      <c r="J260" s="123" t="s">
        <v>250</v>
      </c>
      <c r="K260" s="46" t="s">
        <v>0</v>
      </c>
      <c r="L260" s="46" t="s">
        <v>0</v>
      </c>
      <c r="M260" s="43">
        <v>11</v>
      </c>
      <c r="N260" s="9">
        <v>537</v>
      </c>
      <c r="O260" s="9">
        <f t="shared" si="154"/>
        <v>10.231224120309358</v>
      </c>
      <c r="P260" s="9">
        <v>537</v>
      </c>
      <c r="Q260" s="9">
        <f t="shared" si="155"/>
        <v>10.231224120309358</v>
      </c>
      <c r="R260" s="9">
        <v>537</v>
      </c>
      <c r="S260" s="9">
        <f t="shared" si="156"/>
        <v>10.231224120309358</v>
      </c>
      <c r="T260" s="9" t="s">
        <v>0</v>
      </c>
      <c r="U260" s="9" t="str">
        <f t="shared" si="157"/>
        <v>-</v>
      </c>
      <c r="V260" s="9" t="s">
        <v>0</v>
      </c>
      <c r="W260" s="9" t="str">
        <f t="shared" si="158"/>
        <v>-</v>
      </c>
      <c r="X260" s="9" t="s">
        <v>0</v>
      </c>
      <c r="Y260" s="9" t="str">
        <f t="shared" si="182"/>
        <v>-</v>
      </c>
      <c r="Z260" s="9" t="s">
        <v>0</v>
      </c>
      <c r="AA260" s="9" t="str">
        <f t="shared" si="183"/>
        <v>-</v>
      </c>
      <c r="AB260" s="9" t="s">
        <v>0</v>
      </c>
      <c r="AC260" s="9" t="str">
        <f t="shared" si="187"/>
        <v>-</v>
      </c>
      <c r="AD260" s="9" t="s">
        <v>0</v>
      </c>
      <c r="AE260" s="12" t="str">
        <f t="shared" si="188"/>
        <v>-</v>
      </c>
      <c r="AF260" s="9">
        <v>1</v>
      </c>
      <c r="AG260" s="9" t="s">
        <v>265</v>
      </c>
      <c r="AH260" s="9">
        <v>76.400000000000006</v>
      </c>
      <c r="AI260" s="9">
        <v>1</v>
      </c>
      <c r="AJ260" s="32">
        <v>0.98</v>
      </c>
      <c r="AK260" s="29">
        <v>20</v>
      </c>
      <c r="AL260" s="32">
        <v>0.97</v>
      </c>
      <c r="AM260" s="29">
        <v>1.2</v>
      </c>
      <c r="AN260" s="32">
        <v>1</v>
      </c>
      <c r="AO260" s="29">
        <v>6</v>
      </c>
      <c r="AP260" s="32">
        <v>0.24</v>
      </c>
      <c r="AQ260" s="32">
        <v>0.67</v>
      </c>
      <c r="AR260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342.01637400000004</v>
      </c>
      <c r="AS260" s="9">
        <f t="shared" si="189"/>
        <v>6.516287104673272</v>
      </c>
      <c r="AT260" s="9">
        <f>IF(RIGHT(TMK[[#This Row],[Device type]],7)="Winding","-",TMK[[#This Row],[Cont Winter MVA]])</f>
        <v>10.231224120309358</v>
      </c>
      <c r="AU260" s="9">
        <f>IF(RIGHT(TMK[[#This Row],[Device type]],7)="Winding","-",TMK[[#This Row],[Cont Shoulder MVA]])</f>
        <v>10.231224120309358</v>
      </c>
      <c r="AV260" s="9">
        <f>IF(RIGHT(TMK[[#This Row],[Device type]],7)="Winding","-",TMK[[#This Row],[Cont Summer MVA]])</f>
        <v>10.231224120309358</v>
      </c>
      <c r="AW260" s="9" t="str">
        <f>IF(RIGHT(TMK[[#This Row],[Device type]],7)="Winding","-",TMK[[#This Row],[24 Hr Winter MVA]])</f>
        <v>-</v>
      </c>
      <c r="AX260" s="9" t="str">
        <f>IF(RIGHT(TMK[[#This Row],[Device type]],7)="Winding","-",TMK[[#This Row],[24 Hr Summer MVA]])</f>
        <v>-</v>
      </c>
      <c r="AY260" s="9" t="str">
        <f>TMK[[#This Row],[Forwards MVA]]</f>
        <v>-</v>
      </c>
      <c r="AZ260" s="9" t="str">
        <f>TMK[[#This Row],[Relay MVA]]</f>
        <v>-</v>
      </c>
      <c r="BA260" s="9" t="str">
        <f>TMK[[#This Row],[CT MVA]]</f>
        <v>-</v>
      </c>
      <c r="BB260" s="9">
        <f>TMK[[#This Row],[Derating MVA]]</f>
        <v>6.516287104673272</v>
      </c>
      <c r="BC260" s="9" t="str">
        <f>TMK[[#This Row],[Station/Feeder]]&amp;TMK[[#This Row],[Lowest MVA]]</f>
        <v>T603_Lactose Plant6.51628710467327</v>
      </c>
      <c r="BD260" s="9" t="str">
        <f>CONCATENATE(TMK[[#This Row],[Supply Level]],TMK[[#This Row],[Station/Feeder]],TMK[[#This Row],[Voltage]],TMK[[#This Row],[Lowest A-No PTX]])</f>
        <v>DistributionFeederT603_Lactose Plant11342.016374</v>
      </c>
      <c r="BE260" s="9" t="str">
        <f>CONCATENATE(TMK[[#This Row],[Supply Level]],TMK[[#This Row],[Station/Feeder]],TMK[[#This Row],[Voltage]],TMK[[#This Row],[Lowest A-PTX]])</f>
        <v>DistributionFeederT603_Lactose Plant11342.016374</v>
      </c>
      <c r="BF260" s="9">
        <f>IFERROR(IF(MIN(TMK[[#This Row],[Summ Cont Winter A]:[Cable Derating]])=0,"",MIN(TMK[[#This Row],[Summ Cont Winter A]:[Cable Derating]])),"")</f>
        <v>6.516287104673272</v>
      </c>
      <c r="BG260" s="9">
        <f>IFERROR(TMK[[#This Row],[Lowest MVA]]*1000/(TMK[[#This Row],[Voltage]]*SQRT(3)),"")</f>
        <v>342.01637400000004</v>
      </c>
      <c r="BH260" s="9">
        <f t="shared" si="159"/>
        <v>342.01637400000004</v>
      </c>
      <c r="BI260" s="9" t="str">
        <f>TMK[[#This Row],[From]]</f>
        <v>11 kV Bus</v>
      </c>
      <c r="BJ260" s="9" t="str">
        <f>TMK[[#This Row],[To]]</f>
        <v>T569</v>
      </c>
      <c r="BK26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Al XLPE</v>
      </c>
      <c r="BL260" s="9">
        <f>TMK[[#This Row],[Voltage]]</f>
        <v>11</v>
      </c>
    </row>
    <row r="261" spans="1:64" s="1" customFormat="1" ht="15" customHeight="1" x14ac:dyDescent="0.25">
      <c r="A261" s="6" t="str">
        <f>CONCATENATE(TMK[[#This Row],[Supply Level]],TMK[[#This Row],[Station/Feeder]],TMK[[#This Row],[Voltage]])</f>
        <v>DistributionFeederT603_Lactose Plant11</v>
      </c>
      <c r="B261" s="6" t="str">
        <f>CONCATENATE(TMK[[#This Row],[Supply Level]],TMK[[#This Row],[Station/Feeder]],TMK[[#This Row],[Equipment ID]],TMK[[#This Row],[Voltage]],TMK[[#This Row],[Device type]])</f>
        <v>DistributionFeederT603_Lactose PlantT46511-</v>
      </c>
      <c r="C261" s="6" t="s">
        <v>1276</v>
      </c>
      <c r="D261" s="11" t="s">
        <v>131</v>
      </c>
      <c r="E261" s="7" t="s">
        <v>243</v>
      </c>
      <c r="F261" s="7" t="s">
        <v>669</v>
      </c>
      <c r="G261" s="56">
        <v>3</v>
      </c>
      <c r="H261" s="7" t="s">
        <v>273</v>
      </c>
      <c r="I261" s="123" t="s">
        <v>666</v>
      </c>
      <c r="J261" s="123" t="s">
        <v>670</v>
      </c>
      <c r="K261" s="46" t="s">
        <v>0</v>
      </c>
      <c r="L261" s="46" t="s">
        <v>0</v>
      </c>
      <c r="M261" s="43">
        <v>11</v>
      </c>
      <c r="N261" s="9">
        <v>630</v>
      </c>
      <c r="O261" s="9">
        <f t="shared" si="154"/>
        <v>12.00311209645232</v>
      </c>
      <c r="P261" s="9">
        <v>630</v>
      </c>
      <c r="Q261" s="9">
        <f t="shared" si="155"/>
        <v>12.00311209645232</v>
      </c>
      <c r="R261" s="9">
        <v>630</v>
      </c>
      <c r="S261" s="9">
        <f t="shared" si="156"/>
        <v>12.00311209645232</v>
      </c>
      <c r="T261" s="9" t="s">
        <v>0</v>
      </c>
      <c r="U261" s="9" t="str">
        <f t="shared" si="157"/>
        <v>-</v>
      </c>
      <c r="V261" s="9" t="s">
        <v>0</v>
      </c>
      <c r="W261" s="9" t="str">
        <f t="shared" si="158"/>
        <v>-</v>
      </c>
      <c r="X261" s="9" t="s">
        <v>0</v>
      </c>
      <c r="Y261" s="9" t="str">
        <f t="shared" si="182"/>
        <v>-</v>
      </c>
      <c r="Z261" s="9" t="s">
        <v>0</v>
      </c>
      <c r="AA261" s="9" t="str">
        <f t="shared" si="183"/>
        <v>-</v>
      </c>
      <c r="AB261" s="9" t="s">
        <v>0</v>
      </c>
      <c r="AC261" s="9" t="str">
        <f t="shared" si="187"/>
        <v>-</v>
      </c>
      <c r="AD261" s="9" t="s">
        <v>0</v>
      </c>
      <c r="AE261" s="12" t="str">
        <f t="shared" si="188"/>
        <v>-</v>
      </c>
      <c r="AF261" s="9" t="s">
        <v>0</v>
      </c>
      <c r="AG261" s="9" t="s">
        <v>0</v>
      </c>
      <c r="AH261" s="9" t="s">
        <v>0</v>
      </c>
      <c r="AI261" s="9" t="s">
        <v>0</v>
      </c>
      <c r="AJ261" s="32" t="s">
        <v>0</v>
      </c>
      <c r="AK261" s="29" t="s">
        <v>0</v>
      </c>
      <c r="AL261" s="32" t="s">
        <v>0</v>
      </c>
      <c r="AM261" s="29" t="s">
        <v>0</v>
      </c>
      <c r="AN261" s="32" t="s">
        <v>0</v>
      </c>
      <c r="AO261" s="29" t="s">
        <v>0</v>
      </c>
      <c r="AP261" s="32" t="s">
        <v>0</v>
      </c>
      <c r="AQ261" s="32" t="s">
        <v>0</v>
      </c>
      <c r="AR261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61" s="9" t="str">
        <f t="shared" si="189"/>
        <v>-</v>
      </c>
      <c r="AT261" s="9">
        <f>IF(RIGHT(TMK[[#This Row],[Device type]],7)="Winding","-",TMK[[#This Row],[Cont Winter MVA]])</f>
        <v>12.00311209645232</v>
      </c>
      <c r="AU261" s="9">
        <f>IF(RIGHT(TMK[[#This Row],[Device type]],7)="Winding","-",TMK[[#This Row],[Cont Shoulder MVA]])</f>
        <v>12.00311209645232</v>
      </c>
      <c r="AV261" s="9">
        <f>IF(RIGHT(TMK[[#This Row],[Device type]],7)="Winding","-",TMK[[#This Row],[Cont Summer MVA]])</f>
        <v>12.00311209645232</v>
      </c>
      <c r="AW261" s="9" t="str">
        <f>IF(RIGHT(TMK[[#This Row],[Device type]],7)="Winding","-",TMK[[#This Row],[24 Hr Winter MVA]])</f>
        <v>-</v>
      </c>
      <c r="AX261" s="9" t="str">
        <f>IF(RIGHT(TMK[[#This Row],[Device type]],7)="Winding","-",TMK[[#This Row],[24 Hr Summer MVA]])</f>
        <v>-</v>
      </c>
      <c r="AY261" s="9" t="str">
        <f>TMK[[#This Row],[Forwards MVA]]</f>
        <v>-</v>
      </c>
      <c r="AZ261" s="9" t="str">
        <f>TMK[[#This Row],[Relay MVA]]</f>
        <v>-</v>
      </c>
      <c r="BA261" s="9" t="str">
        <f>TMK[[#This Row],[CT MVA]]</f>
        <v>-</v>
      </c>
      <c r="BB261" s="9" t="str">
        <f>TMK[[#This Row],[Derating MVA]]</f>
        <v>-</v>
      </c>
      <c r="BC261" s="9" t="str">
        <f>TMK[[#This Row],[Station/Feeder]]&amp;TMK[[#This Row],[Lowest MVA]]</f>
        <v>T603_Lactose Plant12.0031120964523</v>
      </c>
      <c r="BD261" s="9" t="str">
        <f>CONCATENATE(TMK[[#This Row],[Supply Level]],TMK[[#This Row],[Station/Feeder]],TMK[[#This Row],[Voltage]],TMK[[#This Row],[Lowest A-No PTX]])</f>
        <v>DistributionFeederT603_Lactose Plant11630</v>
      </c>
      <c r="BE261" s="9" t="str">
        <f>CONCATENATE(TMK[[#This Row],[Supply Level]],TMK[[#This Row],[Station/Feeder]],TMK[[#This Row],[Voltage]],TMK[[#This Row],[Lowest A-PTX]])</f>
        <v>DistributionFeederT603_Lactose Plant11630</v>
      </c>
      <c r="BF261" s="9">
        <f>IFERROR(IF(MIN(TMK[[#This Row],[Summ Cont Winter A]:[Cable Derating]])=0,"",MIN(TMK[[#This Row],[Summ Cont Winter A]:[Cable Derating]])),"")</f>
        <v>12.00311209645232</v>
      </c>
      <c r="BG261" s="9">
        <f>IFERROR(TMK[[#This Row],[Lowest MVA]]*1000/(TMK[[#This Row],[Voltage]]*SQRT(3)),"")</f>
        <v>630</v>
      </c>
      <c r="BH261" s="9">
        <f t="shared" si="159"/>
        <v>630</v>
      </c>
      <c r="BI261" s="9" t="str">
        <f>TMK[[#This Row],[From]]</f>
        <v>11 kV Bus</v>
      </c>
      <c r="BJ261" s="9" t="str">
        <f>TMK[[#This Row],[To]]</f>
        <v>T569</v>
      </c>
      <c r="BK26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Switch-T465</v>
      </c>
      <c r="BL261" s="9">
        <f>TMK[[#This Row],[Voltage]]</f>
        <v>11</v>
      </c>
    </row>
    <row r="262" spans="1:64" s="1" customFormat="1" ht="15" customHeight="1" x14ac:dyDescent="0.25">
      <c r="A262" s="6" t="str">
        <f>CONCATENATE(TMK[[#This Row],[Supply Level]],TMK[[#This Row],[Station/Feeder]],TMK[[#This Row],[Voltage]])</f>
        <v>DistributionFeederT605_Tie to Milford11</v>
      </c>
      <c r="B262" s="6" t="str">
        <f>CONCATENATE(TMK[[#This Row],[Supply Level]],TMK[[#This Row],[Station/Feeder]],TMK[[#This Row],[Equipment ID]],TMK[[#This Row],[Voltage]],TMK[[#This Row],[Device type]])</f>
        <v>DistributionFeederT605_Tie to MilfordCD1-T60511-</v>
      </c>
      <c r="C262" s="6" t="s">
        <v>1276</v>
      </c>
      <c r="D262" s="11" t="s">
        <v>137</v>
      </c>
      <c r="E262" s="7" t="s">
        <v>243</v>
      </c>
      <c r="F262" s="7" t="s">
        <v>676</v>
      </c>
      <c r="G262" s="56">
        <v>1</v>
      </c>
      <c r="H262" s="7" t="s">
        <v>343</v>
      </c>
      <c r="I262" s="123" t="s">
        <v>2444</v>
      </c>
      <c r="J262" s="123" t="s">
        <v>15</v>
      </c>
      <c r="K262" s="46" t="s">
        <v>0</v>
      </c>
      <c r="L262" s="46" t="s">
        <v>0</v>
      </c>
      <c r="M262" s="43">
        <v>11</v>
      </c>
      <c r="N262" s="9">
        <v>630</v>
      </c>
      <c r="O262" s="9">
        <f t="shared" si="154"/>
        <v>12.00311209645232</v>
      </c>
      <c r="P262" s="9">
        <v>630</v>
      </c>
      <c r="Q262" s="9">
        <f t="shared" si="155"/>
        <v>12.00311209645232</v>
      </c>
      <c r="R262" s="9">
        <v>630</v>
      </c>
      <c r="S262" s="9">
        <f t="shared" si="156"/>
        <v>12.00311209645232</v>
      </c>
      <c r="T262" s="9" t="s">
        <v>0</v>
      </c>
      <c r="U262" s="9" t="str">
        <f t="shared" si="157"/>
        <v>-</v>
      </c>
      <c r="V262" s="9" t="s">
        <v>0</v>
      </c>
      <c r="W262" s="9" t="str">
        <f t="shared" si="158"/>
        <v>-</v>
      </c>
      <c r="X262" s="9">
        <f>VLOOKUP(TMK[[#This Row],[Equipment ID]],AEL_Protection_Data[#All],12,0)</f>
        <v>252</v>
      </c>
      <c r="Y262" s="9">
        <f>IF(OR(X262="",X262="-"),"-",X262*$M262*SQRT(3)/1000)</f>
        <v>4.8012448385809279</v>
      </c>
      <c r="Z262" s="9">
        <v>252</v>
      </c>
      <c r="AA262" s="9">
        <f>IF(OR(Z262="",Z262="-"),"-",Z262*$M262*SQRT(3)/1000)</f>
        <v>4.8012448385809279</v>
      </c>
      <c r="AB262" s="9" t="s">
        <v>0</v>
      </c>
      <c r="AC262" s="9" t="str">
        <f>IF(OR(AB262="",AB262="-"),"-",AB262*$M262*SQRT(3)/1000)</f>
        <v>-</v>
      </c>
      <c r="AD262" s="9">
        <v>400</v>
      </c>
      <c r="AE262" s="12">
        <f>IF(OR(AD262="",AD262="-"),"-",AD262*$M262*SQRT(3)/1000)</f>
        <v>7.6210235533030604</v>
      </c>
      <c r="AF262" s="9" t="s">
        <v>0</v>
      </c>
      <c r="AG262" s="9" t="s">
        <v>0</v>
      </c>
      <c r="AH262" s="9" t="s">
        <v>0</v>
      </c>
      <c r="AI262" s="9" t="s">
        <v>0</v>
      </c>
      <c r="AJ262" s="32" t="s">
        <v>0</v>
      </c>
      <c r="AK262" s="29" t="s">
        <v>0</v>
      </c>
      <c r="AL262" s="32" t="s">
        <v>0</v>
      </c>
      <c r="AM262" s="29" t="s">
        <v>0</v>
      </c>
      <c r="AN262" s="32" t="s">
        <v>0</v>
      </c>
      <c r="AO262" s="29" t="s">
        <v>0</v>
      </c>
      <c r="AP262" s="32" t="s">
        <v>0</v>
      </c>
      <c r="AQ262" s="32" t="s">
        <v>0</v>
      </c>
      <c r="AR262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62" s="9" t="str">
        <f>IF(OR(AR262="",AR262="-"),"-",AR262*$M262*SQRT(3)/1000)</f>
        <v>-</v>
      </c>
      <c r="AT262" s="9">
        <f>IF(RIGHT(TMK[[#This Row],[Device type]],7)="Winding","-",TMK[[#This Row],[Cont Winter MVA]])</f>
        <v>12.00311209645232</v>
      </c>
      <c r="AU262" s="9">
        <f>IF(RIGHT(TMK[[#This Row],[Device type]],7)="Winding","-",TMK[[#This Row],[Cont Shoulder MVA]])</f>
        <v>12.00311209645232</v>
      </c>
      <c r="AV262" s="9">
        <f>IF(RIGHT(TMK[[#This Row],[Device type]],7)="Winding","-",TMK[[#This Row],[Cont Summer MVA]])</f>
        <v>12.00311209645232</v>
      </c>
      <c r="AW262" s="9" t="str">
        <f>IF(RIGHT(TMK[[#This Row],[Device type]],7)="Winding","-",TMK[[#This Row],[24 Hr Winter MVA]])</f>
        <v>-</v>
      </c>
      <c r="AX262" s="9" t="str">
        <f>IF(RIGHT(TMK[[#This Row],[Device type]],7)="Winding","-",TMK[[#This Row],[24 Hr Summer MVA]])</f>
        <v>-</v>
      </c>
      <c r="AY262" s="9">
        <f>TMK[[#This Row],[Forwards MVA]]</f>
        <v>4.8012448385809279</v>
      </c>
      <c r="AZ262" s="9" t="str">
        <f>TMK[[#This Row],[Relay MVA]]</f>
        <v>-</v>
      </c>
      <c r="BA262" s="9">
        <f>TMK[[#This Row],[CT MVA]]</f>
        <v>7.6210235533030604</v>
      </c>
      <c r="BB262" s="9" t="str">
        <f>TMK[[#This Row],[Derating MVA]]</f>
        <v>-</v>
      </c>
      <c r="BC262" s="9" t="str">
        <f>TMK[[#This Row],[Station/Feeder]]&amp;TMK[[#This Row],[Lowest MVA]]</f>
        <v>T605_Tie to Milford4.80124483858093</v>
      </c>
      <c r="BD262" s="9" t="str">
        <f>CONCATENATE(TMK[[#This Row],[Supply Level]],TMK[[#This Row],[Station/Feeder]],TMK[[#This Row],[Voltage]],TMK[[#This Row],[Lowest A-No PTX]])</f>
        <v>DistributionFeederT605_Tie to Milford11252</v>
      </c>
      <c r="BE262" s="9" t="str">
        <f>CONCATENATE(TMK[[#This Row],[Supply Level]],TMK[[#This Row],[Station/Feeder]],TMK[[#This Row],[Voltage]],TMK[[#This Row],[Lowest A-PTX]])</f>
        <v>DistributionFeederT605_Tie to Milford11252</v>
      </c>
      <c r="BF262" s="9">
        <f>IFERROR(IF(MIN(TMK[[#This Row],[Summ Cont Winter A]:[Cable Derating]])=0,"",MIN(TMK[[#This Row],[Summ Cont Winter A]:[Cable Derating]])),"")</f>
        <v>4.8012448385809279</v>
      </c>
      <c r="BG262" s="9">
        <f>IFERROR(TMK[[#This Row],[Lowest MVA]]*1000/(TMK[[#This Row],[Voltage]]*SQRT(3)),"")</f>
        <v>252</v>
      </c>
      <c r="BH262" s="9">
        <f t="shared" si="159"/>
        <v>252</v>
      </c>
      <c r="BI262" s="9" t="str">
        <f>TMK[[#This Row],[From]]</f>
        <v>11 kV Bus</v>
      </c>
      <c r="BJ262" s="9" t="str">
        <f>TMK[[#This Row],[To]]</f>
        <v>T166</v>
      </c>
      <c r="BK26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Breaker-CD1-T605</v>
      </c>
      <c r="BL262" s="9">
        <f>TMK[[#This Row],[Voltage]]</f>
        <v>11</v>
      </c>
    </row>
    <row r="263" spans="1:64" s="1" customFormat="1" ht="15" customHeight="1" x14ac:dyDescent="0.25">
      <c r="A263" s="6" t="str">
        <f>CONCATENATE(TMK[[#This Row],[Supply Level]],TMK[[#This Row],[Station/Feeder]],TMK[[#This Row],[Voltage]])</f>
        <v>DistributionFeederT605_Tie to Milford11</v>
      </c>
      <c r="B263" s="6" t="str">
        <f>CONCATENATE(TMK[[#This Row],[Supply Level]],TMK[[#This Row],[Station/Feeder]],TMK[[#This Row],[Equipment ID]],TMK[[#This Row],[Voltage]],TMK[[#This Row],[Device type]])</f>
        <v>DistributionFeederT605_Tie to Milford1-3c 95 mm² Al PILC11-</v>
      </c>
      <c r="C263" s="6" t="s">
        <v>1276</v>
      </c>
      <c r="D263" s="11" t="s">
        <v>137</v>
      </c>
      <c r="E263" s="7" t="s">
        <v>243</v>
      </c>
      <c r="F263" s="7" t="s">
        <v>676</v>
      </c>
      <c r="G263" s="56">
        <v>2</v>
      </c>
      <c r="H263" s="7" t="s">
        <v>585</v>
      </c>
      <c r="I263" s="123" t="s">
        <v>570</v>
      </c>
      <c r="J263" s="123" t="s">
        <v>250</v>
      </c>
      <c r="K263" s="46" t="s">
        <v>0</v>
      </c>
      <c r="L263" s="46" t="s">
        <v>0</v>
      </c>
      <c r="M263" s="43">
        <v>11</v>
      </c>
      <c r="N263" s="9">
        <v>205</v>
      </c>
      <c r="O263" s="9">
        <f t="shared" si="154"/>
        <v>3.905774571067818</v>
      </c>
      <c r="P263" s="9">
        <v>205</v>
      </c>
      <c r="Q263" s="9">
        <f t="shared" si="155"/>
        <v>3.905774571067818</v>
      </c>
      <c r="R263" s="9">
        <v>205</v>
      </c>
      <c r="S263" s="9">
        <f t="shared" si="156"/>
        <v>3.905774571067818</v>
      </c>
      <c r="T263" s="9" t="s">
        <v>0</v>
      </c>
      <c r="U263" s="9" t="str">
        <f t="shared" si="157"/>
        <v>-</v>
      </c>
      <c r="V263" s="9" t="s">
        <v>0</v>
      </c>
      <c r="W263" s="9" t="str">
        <f t="shared" si="158"/>
        <v>-</v>
      </c>
      <c r="X263" s="9" t="s">
        <v>0</v>
      </c>
      <c r="Y263" s="9" t="str">
        <f t="shared" si="182"/>
        <v>-</v>
      </c>
      <c r="Z263" s="9" t="s">
        <v>0</v>
      </c>
      <c r="AA263" s="9" t="str">
        <f t="shared" si="183"/>
        <v>-</v>
      </c>
      <c r="AB263" s="9" t="s">
        <v>0</v>
      </c>
      <c r="AC263" s="9" t="str">
        <f t="shared" si="187"/>
        <v>-</v>
      </c>
      <c r="AD263" s="9" t="s">
        <v>0</v>
      </c>
      <c r="AE263" s="12" t="str">
        <f t="shared" si="188"/>
        <v>-</v>
      </c>
      <c r="AF263" s="9">
        <v>3</v>
      </c>
      <c r="AG263" s="9" t="s">
        <v>265</v>
      </c>
      <c r="AH263" s="9">
        <v>290.3</v>
      </c>
      <c r="AI263" s="9">
        <v>1</v>
      </c>
      <c r="AJ263" s="32">
        <v>0.98</v>
      </c>
      <c r="AK263" s="29">
        <v>19</v>
      </c>
      <c r="AL263" s="32">
        <v>0.97</v>
      </c>
      <c r="AM263" s="29">
        <v>1.2</v>
      </c>
      <c r="AN263" s="32">
        <v>1</v>
      </c>
      <c r="AO263" s="29">
        <v>6</v>
      </c>
      <c r="AP263" s="32">
        <v>0.15</v>
      </c>
      <c r="AQ263" s="32">
        <v>0.63</v>
      </c>
      <c r="AR263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122.76999000000001</v>
      </c>
      <c r="AS263" s="9">
        <f t="shared" si="189"/>
        <v>2.3390824635719527</v>
      </c>
      <c r="AT263" s="9">
        <f>IF(RIGHT(TMK[[#This Row],[Device type]],7)="Winding","-",TMK[[#This Row],[Cont Winter MVA]])</f>
        <v>3.905774571067818</v>
      </c>
      <c r="AU263" s="9">
        <f>IF(RIGHT(TMK[[#This Row],[Device type]],7)="Winding","-",TMK[[#This Row],[Cont Shoulder MVA]])</f>
        <v>3.905774571067818</v>
      </c>
      <c r="AV263" s="9">
        <f>IF(RIGHT(TMK[[#This Row],[Device type]],7)="Winding","-",TMK[[#This Row],[Cont Summer MVA]])</f>
        <v>3.905774571067818</v>
      </c>
      <c r="AW263" s="9" t="str">
        <f>IF(RIGHT(TMK[[#This Row],[Device type]],7)="Winding","-",TMK[[#This Row],[24 Hr Winter MVA]])</f>
        <v>-</v>
      </c>
      <c r="AX263" s="9" t="str">
        <f>IF(RIGHT(TMK[[#This Row],[Device type]],7)="Winding","-",TMK[[#This Row],[24 Hr Summer MVA]])</f>
        <v>-</v>
      </c>
      <c r="AY263" s="9" t="str">
        <f>TMK[[#This Row],[Forwards MVA]]</f>
        <v>-</v>
      </c>
      <c r="AZ263" s="9" t="str">
        <f>TMK[[#This Row],[Relay MVA]]</f>
        <v>-</v>
      </c>
      <c r="BA263" s="9" t="str">
        <f>TMK[[#This Row],[CT MVA]]</f>
        <v>-</v>
      </c>
      <c r="BB263" s="9">
        <f>TMK[[#This Row],[Derating MVA]]</f>
        <v>2.3390824635719527</v>
      </c>
      <c r="BC263" s="9" t="str">
        <f>TMK[[#This Row],[Station/Feeder]]&amp;TMK[[#This Row],[Lowest MVA]]</f>
        <v>T605_Tie to Milford2.33908246357195</v>
      </c>
      <c r="BD263" s="9" t="str">
        <f>CONCATENATE(TMK[[#This Row],[Supply Level]],TMK[[#This Row],[Station/Feeder]],TMK[[#This Row],[Voltage]],TMK[[#This Row],[Lowest A-No PTX]])</f>
        <v>DistributionFeederT605_Tie to Milford11122.76999</v>
      </c>
      <c r="BE263" s="9" t="str">
        <f>CONCATENATE(TMK[[#This Row],[Supply Level]],TMK[[#This Row],[Station/Feeder]],TMK[[#This Row],[Voltage]],TMK[[#This Row],[Lowest A-PTX]])</f>
        <v>DistributionFeederT605_Tie to Milford11122.76999</v>
      </c>
      <c r="BF263" s="9">
        <f>IFERROR(IF(MIN(TMK[[#This Row],[Summ Cont Winter A]:[Cable Derating]])=0,"",MIN(TMK[[#This Row],[Summ Cont Winter A]:[Cable Derating]])),"")</f>
        <v>2.3390824635719527</v>
      </c>
      <c r="BG263" s="9">
        <f>IFERROR(TMK[[#This Row],[Lowest MVA]]*1000/(TMK[[#This Row],[Voltage]]*SQRT(3)),"")</f>
        <v>122.76998999999999</v>
      </c>
      <c r="BH263" s="9">
        <f t="shared" si="159"/>
        <v>122.76999000000001</v>
      </c>
      <c r="BI263" s="9" t="str">
        <f>TMK[[#This Row],[From]]</f>
        <v>11 kV Bus</v>
      </c>
      <c r="BJ263" s="9" t="str">
        <f>TMK[[#This Row],[To]]</f>
        <v>T166</v>
      </c>
      <c r="BK26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95 mm² Al PILC</v>
      </c>
      <c r="BL263" s="9">
        <f>TMK[[#This Row],[Voltage]]</f>
        <v>11</v>
      </c>
    </row>
    <row r="264" spans="1:64" s="1" customFormat="1" ht="15" customHeight="1" x14ac:dyDescent="0.25">
      <c r="A264" s="6" t="str">
        <f>CONCATENATE(TMK[[#This Row],[Supply Level]],TMK[[#This Row],[Station/Feeder]],TMK[[#This Row],[Voltage]])</f>
        <v>DistributionFeederT605_Tie to Milford11</v>
      </c>
      <c r="B264" s="6" t="str">
        <f>CONCATENATE(TMK[[#This Row],[Supply Level]],TMK[[#This Row],[Station/Feeder]],TMK[[#This Row],[Equipment ID]],TMK[[#This Row],[Voltage]],TMK[[#This Row],[Device type]])</f>
        <v>DistributionFeederT605_Tie to MilfordT16611-</v>
      </c>
      <c r="C264" s="6" t="s">
        <v>1276</v>
      </c>
      <c r="D264" s="11" t="s">
        <v>137</v>
      </c>
      <c r="E264" s="7" t="s">
        <v>243</v>
      </c>
      <c r="F264" s="7" t="s">
        <v>676</v>
      </c>
      <c r="G264" s="56">
        <v>3</v>
      </c>
      <c r="H264" s="7" t="s">
        <v>273</v>
      </c>
      <c r="I264" s="123" t="s">
        <v>676</v>
      </c>
      <c r="J264" s="123" t="s">
        <v>249</v>
      </c>
      <c r="K264" s="46" t="s">
        <v>0</v>
      </c>
      <c r="L264" s="46" t="s">
        <v>0</v>
      </c>
      <c r="M264" s="43">
        <v>11</v>
      </c>
      <c r="N264" s="9" t="s">
        <v>0</v>
      </c>
      <c r="O264" s="9" t="str">
        <f t="shared" si="154"/>
        <v>-</v>
      </c>
      <c r="P264" s="9" t="s">
        <v>0</v>
      </c>
      <c r="Q264" s="9" t="str">
        <f t="shared" si="155"/>
        <v>-</v>
      </c>
      <c r="R264" s="9" t="s">
        <v>0</v>
      </c>
      <c r="S264" s="9" t="str">
        <f t="shared" si="156"/>
        <v>-</v>
      </c>
      <c r="T264" s="9" t="s">
        <v>0</v>
      </c>
      <c r="U264" s="9" t="str">
        <f t="shared" si="157"/>
        <v>-</v>
      </c>
      <c r="V264" s="9" t="s">
        <v>0</v>
      </c>
      <c r="W264" s="9" t="str">
        <f t="shared" si="158"/>
        <v>-</v>
      </c>
      <c r="X264" s="9" t="s">
        <v>0</v>
      </c>
      <c r="Y264" s="9" t="str">
        <f t="shared" si="182"/>
        <v>-</v>
      </c>
      <c r="Z264" s="9" t="s">
        <v>0</v>
      </c>
      <c r="AA264" s="9" t="str">
        <f t="shared" si="183"/>
        <v>-</v>
      </c>
      <c r="AB264" s="9" t="s">
        <v>0</v>
      </c>
      <c r="AC264" s="9" t="str">
        <f t="shared" si="187"/>
        <v>-</v>
      </c>
      <c r="AD264" s="9" t="s">
        <v>0</v>
      </c>
      <c r="AE264" s="12" t="str">
        <f t="shared" si="188"/>
        <v>-</v>
      </c>
      <c r="AF264" s="9" t="s">
        <v>0</v>
      </c>
      <c r="AG264" s="9" t="s">
        <v>0</v>
      </c>
      <c r="AH264" s="9" t="s">
        <v>0</v>
      </c>
      <c r="AI264" s="9" t="s">
        <v>0</v>
      </c>
      <c r="AJ264" s="32" t="s">
        <v>0</v>
      </c>
      <c r="AK264" s="29" t="s">
        <v>0</v>
      </c>
      <c r="AL264" s="32" t="s">
        <v>0</v>
      </c>
      <c r="AM264" s="29" t="s">
        <v>0</v>
      </c>
      <c r="AN264" s="32" t="s">
        <v>0</v>
      </c>
      <c r="AO264" s="29" t="s">
        <v>0</v>
      </c>
      <c r="AP264" s="32" t="s">
        <v>0</v>
      </c>
      <c r="AQ264" s="32" t="s">
        <v>0</v>
      </c>
      <c r="AR264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64" s="9" t="str">
        <f t="shared" si="189"/>
        <v>-</v>
      </c>
      <c r="AT264" s="9" t="str">
        <f>IF(RIGHT(TMK[[#This Row],[Device type]],7)="Winding","-",TMK[[#This Row],[Cont Winter MVA]])</f>
        <v>-</v>
      </c>
      <c r="AU264" s="9" t="str">
        <f>IF(RIGHT(TMK[[#This Row],[Device type]],7)="Winding","-",TMK[[#This Row],[Cont Shoulder MVA]])</f>
        <v>-</v>
      </c>
      <c r="AV264" s="9" t="str">
        <f>IF(RIGHT(TMK[[#This Row],[Device type]],7)="Winding","-",TMK[[#This Row],[Cont Summer MVA]])</f>
        <v>-</v>
      </c>
      <c r="AW264" s="9" t="str">
        <f>IF(RIGHT(TMK[[#This Row],[Device type]],7)="Winding","-",TMK[[#This Row],[24 Hr Winter MVA]])</f>
        <v>-</v>
      </c>
      <c r="AX264" s="9" t="str">
        <f>IF(RIGHT(TMK[[#This Row],[Device type]],7)="Winding","-",TMK[[#This Row],[24 Hr Summer MVA]])</f>
        <v>-</v>
      </c>
      <c r="AY264" s="9" t="str">
        <f>TMK[[#This Row],[Forwards MVA]]</f>
        <v>-</v>
      </c>
      <c r="AZ264" s="9" t="str">
        <f>TMK[[#This Row],[Relay MVA]]</f>
        <v>-</v>
      </c>
      <c r="BA264" s="9" t="str">
        <f>TMK[[#This Row],[CT MVA]]</f>
        <v>-</v>
      </c>
      <c r="BB264" s="9" t="str">
        <f>TMK[[#This Row],[Derating MVA]]</f>
        <v>-</v>
      </c>
      <c r="BC264" s="9" t="str">
        <f>TMK[[#This Row],[Station/Feeder]]&amp;TMK[[#This Row],[Lowest MVA]]</f>
        <v>T605_Tie to Milford</v>
      </c>
      <c r="BD264" s="9" t="str">
        <f>CONCATENATE(TMK[[#This Row],[Supply Level]],TMK[[#This Row],[Station/Feeder]],TMK[[#This Row],[Voltage]],TMK[[#This Row],[Lowest A-No PTX]])</f>
        <v>DistributionFeederT605_Tie to Milford11</v>
      </c>
      <c r="BE264" s="9" t="str">
        <f>CONCATENATE(TMK[[#This Row],[Supply Level]],TMK[[#This Row],[Station/Feeder]],TMK[[#This Row],[Voltage]],TMK[[#This Row],[Lowest A-PTX]])</f>
        <v>DistributionFeederT605_Tie to Milford11</v>
      </c>
      <c r="BF264" s="9" t="str">
        <f>IFERROR(IF(MIN(TMK[[#This Row],[Summ Cont Winter A]:[Cable Derating]])=0,"",MIN(TMK[[#This Row],[Summ Cont Winter A]:[Cable Derating]])),"")</f>
        <v/>
      </c>
      <c r="BG264" s="9" t="str">
        <f>IFERROR(TMK[[#This Row],[Lowest MVA]]*1000/(TMK[[#This Row],[Voltage]]*SQRT(3)),"")</f>
        <v/>
      </c>
      <c r="BH264" s="9" t="str">
        <f t="shared" si="159"/>
        <v/>
      </c>
      <c r="BI264" s="9" t="str">
        <f>TMK[[#This Row],[From]]</f>
        <v>11 kV Bus</v>
      </c>
      <c r="BJ264" s="9" t="str">
        <f>TMK[[#This Row],[To]]</f>
        <v>T166</v>
      </c>
      <c r="BK26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Link-T166</v>
      </c>
      <c r="BL264" s="9">
        <f>TMK[[#This Row],[Voltage]]</f>
        <v>11</v>
      </c>
    </row>
    <row r="265" spans="1:64" s="1" customFormat="1" ht="15" customHeight="1" x14ac:dyDescent="0.25">
      <c r="A265" s="6" t="str">
        <f>CONCATENATE(TMK[[#This Row],[Supply Level]],TMK[[#This Row],[Station/Feeder]],TMK[[#This Row],[Voltage]])</f>
        <v>DistributionFeederT605_Tie to Milford11</v>
      </c>
      <c r="B265" s="6" t="str">
        <f>CONCATENATE(TMK[[#This Row],[Supply Level]],TMK[[#This Row],[Station/Feeder]],TMK[[#This Row],[Equipment ID]],TMK[[#This Row],[Voltage]],TMK[[#This Row],[Device type]])</f>
        <v>DistributionFeederT605_Tie to MilfordCHAFER11-</v>
      </c>
      <c r="C265" s="6" t="s">
        <v>1276</v>
      </c>
      <c r="D265" s="11" t="s">
        <v>137</v>
      </c>
      <c r="E265" s="7" t="s">
        <v>676</v>
      </c>
      <c r="F265" s="7" t="s">
        <v>678</v>
      </c>
      <c r="G265" s="56">
        <v>4</v>
      </c>
      <c r="H265" s="7" t="s">
        <v>1289</v>
      </c>
      <c r="I265" s="123" t="s">
        <v>505</v>
      </c>
      <c r="J265" s="123" t="s">
        <v>69</v>
      </c>
      <c r="K265" s="46" t="s">
        <v>0</v>
      </c>
      <c r="L265" s="46" t="s">
        <v>0</v>
      </c>
      <c r="M265" s="43">
        <v>11</v>
      </c>
      <c r="N265" s="9">
        <v>524.32641073638399</v>
      </c>
      <c r="O265" s="9">
        <f t="shared" ref="O265:O328" si="190">IF(OR(N265="",N265="-"),"-",N265*$M265*SQRT(3)/1000)</f>
        <v>9.9897598146020918</v>
      </c>
      <c r="P265" s="9" t="s">
        <v>0</v>
      </c>
      <c r="Q265" s="9" t="str">
        <f t="shared" ref="Q265:Q328" si="191">IF(OR(P265="",P265="-"),"-",P265*$M265*SQRT(3)/1000)</f>
        <v>-</v>
      </c>
      <c r="R265" s="9">
        <v>388.10484430946377</v>
      </c>
      <c r="S265" s="9">
        <f t="shared" ref="S265:S328" si="192">IF(OR(R265="",R265="-"),"-",R265*$M265*SQRT(3)/1000)</f>
        <v>7.3943903990836004</v>
      </c>
      <c r="T265" s="9" t="s">
        <v>0</v>
      </c>
      <c r="U265" s="9" t="str">
        <f t="shared" ref="U265:U328" si="193">IF(OR(T265="",T265="-"),"-",T265*$M265*SQRT(3)/1000)</f>
        <v>-</v>
      </c>
      <c r="V265" s="9" t="s">
        <v>0</v>
      </c>
      <c r="W265" s="9" t="str">
        <f t="shared" ref="W265:W328" si="194">IF(OR(V265="",V265="-"),"-",V265*$M265*SQRT(3)/1000)</f>
        <v>-</v>
      </c>
      <c r="X265" s="9" t="s">
        <v>0</v>
      </c>
      <c r="Y265" s="9" t="str">
        <f>IF(OR(X265="",X265="-"),"-",X265*$M265*SQRT(3)/1000)</f>
        <v>-</v>
      </c>
      <c r="Z265" s="9" t="s">
        <v>0</v>
      </c>
      <c r="AA265" s="9" t="str">
        <f t="shared" si="183"/>
        <v>-</v>
      </c>
      <c r="AB265" s="9" t="s">
        <v>0</v>
      </c>
      <c r="AC265" s="9" t="str">
        <f t="shared" si="187"/>
        <v>-</v>
      </c>
      <c r="AD265" s="9" t="s">
        <v>0</v>
      </c>
      <c r="AE265" s="12" t="str">
        <f t="shared" si="188"/>
        <v>-</v>
      </c>
      <c r="AF265" s="9" t="s">
        <v>0</v>
      </c>
      <c r="AG265" s="9" t="s">
        <v>0</v>
      </c>
      <c r="AH265" s="9">
        <v>51</v>
      </c>
      <c r="AI265" s="9" t="s">
        <v>0</v>
      </c>
      <c r="AJ265" s="32" t="s">
        <v>0</v>
      </c>
      <c r="AK265" s="29" t="s">
        <v>0</v>
      </c>
      <c r="AL265" s="32" t="s">
        <v>0</v>
      </c>
      <c r="AM265" s="29" t="s">
        <v>0</v>
      </c>
      <c r="AN265" s="32" t="s">
        <v>0</v>
      </c>
      <c r="AO265" s="29" t="s">
        <v>0</v>
      </c>
      <c r="AP265" s="32" t="s">
        <v>0</v>
      </c>
      <c r="AQ265" s="32" t="s">
        <v>0</v>
      </c>
      <c r="AR265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65" s="9" t="str">
        <f t="shared" si="189"/>
        <v>-</v>
      </c>
      <c r="AT265" s="9">
        <f>IF(RIGHT(TMK[[#This Row],[Device type]],7)="Winding","-",TMK[[#This Row],[Cont Winter MVA]])</f>
        <v>9.9897598146020918</v>
      </c>
      <c r="AU265" s="9" t="str">
        <f>IF(RIGHT(TMK[[#This Row],[Device type]],7)="Winding","-",TMK[[#This Row],[Cont Shoulder MVA]])</f>
        <v>-</v>
      </c>
      <c r="AV265" s="9">
        <f>IF(RIGHT(TMK[[#This Row],[Device type]],7)="Winding","-",TMK[[#This Row],[Cont Summer MVA]])</f>
        <v>7.3943903990836004</v>
      </c>
      <c r="AW265" s="9" t="str">
        <f>IF(RIGHT(TMK[[#This Row],[Device type]],7)="Winding","-",TMK[[#This Row],[24 Hr Winter MVA]])</f>
        <v>-</v>
      </c>
      <c r="AX265" s="9" t="str">
        <f>IF(RIGHT(TMK[[#This Row],[Device type]],7)="Winding","-",TMK[[#This Row],[24 Hr Summer MVA]])</f>
        <v>-</v>
      </c>
      <c r="AY265" s="9" t="str">
        <f>TMK[[#This Row],[Forwards MVA]]</f>
        <v>-</v>
      </c>
      <c r="AZ265" s="9" t="str">
        <f>TMK[[#This Row],[Relay MVA]]</f>
        <v>-</v>
      </c>
      <c r="BA265" s="9" t="str">
        <f>TMK[[#This Row],[CT MVA]]</f>
        <v>-</v>
      </c>
      <c r="BB265" s="9" t="str">
        <f>TMK[[#This Row],[Derating MVA]]</f>
        <v>-</v>
      </c>
      <c r="BC265" s="9" t="str">
        <f>TMK[[#This Row],[Station/Feeder]]&amp;TMK[[#This Row],[Lowest MVA]]</f>
        <v>T605_Tie to Milford7.3943903990836</v>
      </c>
      <c r="BD265" s="9" t="str">
        <f>CONCATENATE(TMK[[#This Row],[Supply Level]],TMK[[#This Row],[Station/Feeder]],TMK[[#This Row],[Voltage]],TMK[[#This Row],[Lowest A-No PTX]])</f>
        <v>DistributionFeederT605_Tie to Milford11388.104844309464</v>
      </c>
      <c r="BE265" s="9" t="str">
        <f>CONCATENATE(TMK[[#This Row],[Supply Level]],TMK[[#This Row],[Station/Feeder]],TMK[[#This Row],[Voltage]],TMK[[#This Row],[Lowest A-PTX]])</f>
        <v>DistributionFeederT605_Tie to Milford11388.104844309464</v>
      </c>
      <c r="BF265" s="9">
        <f>IFERROR(IF(MIN(TMK[[#This Row],[Summ Cont Winter A]:[Cable Derating]])=0,"",MIN(TMK[[#This Row],[Summ Cont Winter A]:[Cable Derating]])),"")</f>
        <v>7.3943903990836004</v>
      </c>
      <c r="BG265" s="9">
        <f>IFERROR(TMK[[#This Row],[Lowest MVA]]*1000/(TMK[[#This Row],[Voltage]]*SQRT(3)),"")</f>
        <v>388.10484430946377</v>
      </c>
      <c r="BH265" s="9">
        <f t="shared" ref="BH265:BH328" si="195">IF(MIN(N265,P265,R265,T265,V265,X265,Z265,AB265,AD265,AR265)=0,"",MIN(N265,P265,R265,T265,V265,X265,Z265,AB265,AD265,AR265))</f>
        <v>388.10484430946377</v>
      </c>
      <c r="BI265" s="9" t="str">
        <f>TMK[[#This Row],[From]]</f>
        <v>T166</v>
      </c>
      <c r="BJ265" s="9" t="str">
        <f>TMK[[#This Row],[To]]</f>
        <v>T129</v>
      </c>
      <c r="BK26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Line-CHAFER</v>
      </c>
      <c r="BL265" s="9">
        <f>TMK[[#This Row],[Voltage]]</f>
        <v>11</v>
      </c>
    </row>
    <row r="266" spans="1:64" s="1" customFormat="1" ht="15" customHeight="1" x14ac:dyDescent="0.25">
      <c r="A266" s="6" t="str">
        <f>CONCATENATE(TMK[[#This Row],[Supply Level]],TMK[[#This Row],[Station/Feeder]],TMK[[#This Row],[Voltage]])</f>
        <v>DistributionFeederT605_Tie to Milford11</v>
      </c>
      <c r="B266" s="6" t="str">
        <f>CONCATENATE(TMK[[#This Row],[Supply Level]],TMK[[#This Row],[Station/Feeder]],TMK[[#This Row],[Equipment ID]],TMK[[#This Row],[Voltage]],TMK[[#This Row],[Device type]])</f>
        <v>DistributionFeederT605_Tie to MilfordT12911-</v>
      </c>
      <c r="C266" s="6" t="s">
        <v>1276</v>
      </c>
      <c r="D266" s="11" t="s">
        <v>137</v>
      </c>
      <c r="E266" s="7" t="s">
        <v>676</v>
      </c>
      <c r="F266" s="7" t="s">
        <v>678</v>
      </c>
      <c r="G266" s="56">
        <v>5</v>
      </c>
      <c r="H266" s="7" t="s">
        <v>273</v>
      </c>
      <c r="I266" s="123" t="s">
        <v>678</v>
      </c>
      <c r="J266" s="123" t="s">
        <v>240</v>
      </c>
      <c r="K266" s="46" t="s">
        <v>0</v>
      </c>
      <c r="L266" s="46" t="s">
        <v>0</v>
      </c>
      <c r="M266" s="43">
        <v>11</v>
      </c>
      <c r="N266" s="9" t="s">
        <v>0</v>
      </c>
      <c r="O266" s="9" t="str">
        <f t="shared" si="190"/>
        <v>-</v>
      </c>
      <c r="P266" s="9" t="s">
        <v>0</v>
      </c>
      <c r="Q266" s="9" t="str">
        <f t="shared" si="191"/>
        <v>-</v>
      </c>
      <c r="R266" s="9" t="s">
        <v>0</v>
      </c>
      <c r="S266" s="9" t="str">
        <f t="shared" si="192"/>
        <v>-</v>
      </c>
      <c r="T266" s="9" t="s">
        <v>0</v>
      </c>
      <c r="U266" s="9" t="str">
        <f t="shared" si="193"/>
        <v>-</v>
      </c>
      <c r="V266" s="9" t="s">
        <v>0</v>
      </c>
      <c r="W266" s="9" t="str">
        <f t="shared" si="194"/>
        <v>-</v>
      </c>
      <c r="X266" s="9" t="s">
        <v>0</v>
      </c>
      <c r="Y266" s="9" t="str">
        <f t="shared" si="182"/>
        <v>-</v>
      </c>
      <c r="Z266" s="9" t="s">
        <v>0</v>
      </c>
      <c r="AA266" s="9" t="str">
        <f t="shared" si="183"/>
        <v>-</v>
      </c>
      <c r="AB266" s="9" t="s">
        <v>0</v>
      </c>
      <c r="AC266" s="9" t="str">
        <f t="shared" ref="AC266:AC316" si="196">IF(OR(AB266="",AB266="-"),"-",AB266*$M266*SQRT(3)/1000)</f>
        <v>-</v>
      </c>
      <c r="AD266" s="9" t="s">
        <v>0</v>
      </c>
      <c r="AE266" s="12" t="str">
        <f t="shared" ref="AE266:AE316" si="197">IF(OR(AD266="",AD266="-"),"-",AD266*$M266*SQRT(3)/1000)</f>
        <v>-</v>
      </c>
      <c r="AF266" s="9" t="s">
        <v>0</v>
      </c>
      <c r="AG266" s="9" t="s">
        <v>0</v>
      </c>
      <c r="AH266" s="9" t="s">
        <v>0</v>
      </c>
      <c r="AI266" s="9" t="s">
        <v>0</v>
      </c>
      <c r="AJ266" s="43" t="s">
        <v>0</v>
      </c>
      <c r="AK266" s="29" t="s">
        <v>0</v>
      </c>
      <c r="AL266" s="32" t="s">
        <v>0</v>
      </c>
      <c r="AM266" s="29" t="s">
        <v>0</v>
      </c>
      <c r="AN266" s="32" t="s">
        <v>0</v>
      </c>
      <c r="AO266" s="29" t="s">
        <v>0</v>
      </c>
      <c r="AP266" s="32" t="s">
        <v>0</v>
      </c>
      <c r="AQ266" s="32" t="s">
        <v>0</v>
      </c>
      <c r="AR26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66" s="9" t="str">
        <f t="shared" ref="AS266:AS316" si="198">IF(OR(AR266="",AR266="-"),"-",AR266*$M266*SQRT(3)/1000)</f>
        <v>-</v>
      </c>
      <c r="AT266" s="9" t="str">
        <f>IF(RIGHT(TMK[[#This Row],[Device type]],7)="Winding","-",TMK[[#This Row],[Cont Winter MVA]])</f>
        <v>-</v>
      </c>
      <c r="AU266" s="9" t="str">
        <f>IF(RIGHT(TMK[[#This Row],[Device type]],7)="Winding","-",TMK[[#This Row],[Cont Shoulder MVA]])</f>
        <v>-</v>
      </c>
      <c r="AV266" s="9" t="str">
        <f>IF(RIGHT(TMK[[#This Row],[Device type]],7)="Winding","-",TMK[[#This Row],[Cont Summer MVA]])</f>
        <v>-</v>
      </c>
      <c r="AW266" s="9" t="str">
        <f>IF(RIGHT(TMK[[#This Row],[Device type]],7)="Winding","-",TMK[[#This Row],[24 Hr Winter MVA]])</f>
        <v>-</v>
      </c>
      <c r="AX266" s="9" t="str">
        <f>IF(RIGHT(TMK[[#This Row],[Device type]],7)="Winding","-",TMK[[#This Row],[24 Hr Summer MVA]])</f>
        <v>-</v>
      </c>
      <c r="AY266" s="9" t="str">
        <f>TMK[[#This Row],[Forwards MVA]]</f>
        <v>-</v>
      </c>
      <c r="AZ266" s="9" t="str">
        <f>TMK[[#This Row],[Relay MVA]]</f>
        <v>-</v>
      </c>
      <c r="BA266" s="9" t="str">
        <f>TMK[[#This Row],[CT MVA]]</f>
        <v>-</v>
      </c>
      <c r="BB266" s="9" t="str">
        <f>TMK[[#This Row],[Derating MVA]]</f>
        <v>-</v>
      </c>
      <c r="BC266" s="9" t="str">
        <f>TMK[[#This Row],[Station/Feeder]]&amp;TMK[[#This Row],[Lowest MVA]]</f>
        <v>T605_Tie to Milford</v>
      </c>
      <c r="BD266" s="9" t="str">
        <f>CONCATENATE(TMK[[#This Row],[Supply Level]],TMK[[#This Row],[Station/Feeder]],TMK[[#This Row],[Voltage]],TMK[[#This Row],[Lowest A-No PTX]])</f>
        <v>DistributionFeederT605_Tie to Milford11</v>
      </c>
      <c r="BE266" s="9" t="str">
        <f>CONCATENATE(TMK[[#This Row],[Supply Level]],TMK[[#This Row],[Station/Feeder]],TMK[[#This Row],[Voltage]],TMK[[#This Row],[Lowest A-PTX]])</f>
        <v>DistributionFeederT605_Tie to Milford11</v>
      </c>
      <c r="BF266" s="9" t="str">
        <f>IFERROR(IF(MIN(TMK[[#This Row],[Summ Cont Winter A]:[Cable Derating]])=0,"",MIN(TMK[[#This Row],[Summ Cont Winter A]:[Cable Derating]])),"")</f>
        <v/>
      </c>
      <c r="BG266" s="9" t="str">
        <f>IFERROR(TMK[[#This Row],[Lowest MVA]]*1000/(TMK[[#This Row],[Voltage]]*SQRT(3)),"")</f>
        <v/>
      </c>
      <c r="BH266" s="9" t="str">
        <f t="shared" si="195"/>
        <v/>
      </c>
      <c r="BI266" s="9" t="str">
        <f>TMK[[#This Row],[From]]</f>
        <v>T166</v>
      </c>
      <c r="BJ266" s="9" t="str">
        <f>TMK[[#This Row],[To]]</f>
        <v>T129</v>
      </c>
      <c r="BK26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ABS-T129</v>
      </c>
      <c r="BL266" s="9">
        <f>TMK[[#This Row],[Voltage]]</f>
        <v>11</v>
      </c>
    </row>
    <row r="267" spans="1:64" s="1" customFormat="1" ht="15" customHeight="1" x14ac:dyDescent="0.25">
      <c r="A267" s="6" t="str">
        <f>CONCATENATE(TMK[[#This Row],[Supply Level]],TMK[[#This Row],[Station/Feeder]],TMK[[#This Row],[Voltage]])</f>
        <v>DistributionFeederT609_Milk Reception11</v>
      </c>
      <c r="B267" s="6" t="str">
        <f>CONCATENATE(TMK[[#This Row],[Supply Level]],TMK[[#This Row],[Station/Feeder]],TMK[[#This Row],[Equipment ID]],TMK[[#This Row],[Voltage]],TMK[[#This Row],[Device type]])</f>
        <v>DistributionFeederT609_Milk ReceptionCD1-T60911-</v>
      </c>
      <c r="C267" s="6" t="s">
        <v>1276</v>
      </c>
      <c r="D267" s="11" t="s">
        <v>141</v>
      </c>
      <c r="E267" s="7" t="s">
        <v>243</v>
      </c>
      <c r="F267" s="7" t="s">
        <v>671</v>
      </c>
      <c r="G267" s="56">
        <v>1</v>
      </c>
      <c r="H267" s="7" t="s">
        <v>343</v>
      </c>
      <c r="I267" s="123" t="s">
        <v>2445</v>
      </c>
      <c r="J267" s="123" t="s">
        <v>15</v>
      </c>
      <c r="K267" s="46" t="s">
        <v>0</v>
      </c>
      <c r="L267" s="46" t="s">
        <v>0</v>
      </c>
      <c r="M267" s="43">
        <v>11</v>
      </c>
      <c r="N267" s="9">
        <v>630</v>
      </c>
      <c r="O267" s="9">
        <f t="shared" si="190"/>
        <v>12.00311209645232</v>
      </c>
      <c r="P267" s="9">
        <v>630</v>
      </c>
      <c r="Q267" s="9">
        <f t="shared" si="191"/>
        <v>12.00311209645232</v>
      </c>
      <c r="R267" s="9">
        <v>630</v>
      </c>
      <c r="S267" s="9">
        <f t="shared" si="192"/>
        <v>12.00311209645232</v>
      </c>
      <c r="T267" s="9" t="s">
        <v>0</v>
      </c>
      <c r="U267" s="9" t="str">
        <f t="shared" si="193"/>
        <v>-</v>
      </c>
      <c r="V267" s="9" t="s">
        <v>0</v>
      </c>
      <c r="W267" s="9" t="str">
        <f t="shared" si="194"/>
        <v>-</v>
      </c>
      <c r="X267" s="9">
        <f>VLOOKUP(TMK[[#This Row],[Equipment ID]],AEL_Protection_Data[#All],12,0)</f>
        <v>480</v>
      </c>
      <c r="Y267" s="9">
        <f t="shared" ref="Y267:Y281" si="199">IF(OR(X267="",X267="-"),"-",X267*$M267*SQRT(3)/1000)</f>
        <v>9.1452282639636717</v>
      </c>
      <c r="Z267" s="9">
        <v>480</v>
      </c>
      <c r="AA267" s="9">
        <f t="shared" ref="AA267:AA281" si="200">IF(OR(Z267="",Z267="-"),"-",Z267*$M267*SQRT(3)/1000)</f>
        <v>9.1452282639636717</v>
      </c>
      <c r="AB267" s="9" t="s">
        <v>0</v>
      </c>
      <c r="AC267" s="9" t="str">
        <f t="shared" ref="AC267:AC281" si="201">IF(OR(AB267="",AB267="-"),"-",AB267*$M267*SQRT(3)/1000)</f>
        <v>-</v>
      </c>
      <c r="AD267" s="9">
        <v>400</v>
      </c>
      <c r="AE267" s="12">
        <f t="shared" ref="AE267:AE281" si="202">IF(OR(AD267="",AD267="-"),"-",AD267*$M267*SQRT(3)/1000)</f>
        <v>7.6210235533030604</v>
      </c>
      <c r="AF267" s="9" t="s">
        <v>0</v>
      </c>
      <c r="AG267" s="9" t="s">
        <v>0</v>
      </c>
      <c r="AH267" s="9" t="s">
        <v>0</v>
      </c>
      <c r="AI267" s="9" t="s">
        <v>0</v>
      </c>
      <c r="AJ267" s="32" t="s">
        <v>0</v>
      </c>
      <c r="AK267" s="29" t="s">
        <v>0</v>
      </c>
      <c r="AL267" s="32" t="s">
        <v>0</v>
      </c>
      <c r="AM267" s="29" t="s">
        <v>0</v>
      </c>
      <c r="AN267" s="32" t="s">
        <v>0</v>
      </c>
      <c r="AO267" s="29" t="s">
        <v>0</v>
      </c>
      <c r="AP267" s="32" t="s">
        <v>0</v>
      </c>
      <c r="AQ267" s="32" t="s">
        <v>0</v>
      </c>
      <c r="AR267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67" s="9" t="str">
        <f t="shared" ref="AS267:AS281" si="203">IF(OR(AR267="",AR267="-"),"-",AR267*$M267*SQRT(3)/1000)</f>
        <v>-</v>
      </c>
      <c r="AT267" s="9">
        <f>IF(RIGHT(TMK[[#This Row],[Device type]],7)="Winding","-",TMK[[#This Row],[Cont Winter MVA]])</f>
        <v>12.00311209645232</v>
      </c>
      <c r="AU267" s="9">
        <f>IF(RIGHT(TMK[[#This Row],[Device type]],7)="Winding","-",TMK[[#This Row],[Cont Shoulder MVA]])</f>
        <v>12.00311209645232</v>
      </c>
      <c r="AV267" s="9">
        <f>IF(RIGHT(TMK[[#This Row],[Device type]],7)="Winding","-",TMK[[#This Row],[Cont Summer MVA]])</f>
        <v>12.00311209645232</v>
      </c>
      <c r="AW267" s="9" t="str">
        <f>IF(RIGHT(TMK[[#This Row],[Device type]],7)="Winding","-",TMK[[#This Row],[24 Hr Winter MVA]])</f>
        <v>-</v>
      </c>
      <c r="AX267" s="9" t="str">
        <f>IF(RIGHT(TMK[[#This Row],[Device type]],7)="Winding","-",TMK[[#This Row],[24 Hr Summer MVA]])</f>
        <v>-</v>
      </c>
      <c r="AY267" s="9">
        <f>TMK[[#This Row],[Forwards MVA]]</f>
        <v>9.1452282639636717</v>
      </c>
      <c r="AZ267" s="9" t="str">
        <f>TMK[[#This Row],[Relay MVA]]</f>
        <v>-</v>
      </c>
      <c r="BA267" s="9">
        <f>TMK[[#This Row],[CT MVA]]</f>
        <v>7.6210235533030604</v>
      </c>
      <c r="BB267" s="9" t="str">
        <f>TMK[[#This Row],[Derating MVA]]</f>
        <v>-</v>
      </c>
      <c r="BC267" s="9" t="str">
        <f>TMK[[#This Row],[Station/Feeder]]&amp;TMK[[#This Row],[Lowest MVA]]</f>
        <v>T609_Milk Reception7.62102355330306</v>
      </c>
      <c r="BD267" s="9" t="str">
        <f>CONCATENATE(TMK[[#This Row],[Supply Level]],TMK[[#This Row],[Station/Feeder]],TMK[[#This Row],[Voltage]],TMK[[#This Row],[Lowest A-No PTX]])</f>
        <v>DistributionFeederT609_Milk Reception11400</v>
      </c>
      <c r="BE267" s="9" t="str">
        <f>CONCATENATE(TMK[[#This Row],[Supply Level]],TMK[[#This Row],[Station/Feeder]],TMK[[#This Row],[Voltage]],TMK[[#This Row],[Lowest A-PTX]])</f>
        <v>DistributionFeederT609_Milk Reception11400</v>
      </c>
      <c r="BF267" s="9">
        <f>IFERROR(IF(MIN(TMK[[#This Row],[Summ Cont Winter A]:[Cable Derating]])=0,"",MIN(TMK[[#This Row],[Summ Cont Winter A]:[Cable Derating]])),"")</f>
        <v>7.6210235533030604</v>
      </c>
      <c r="BG267" s="9">
        <f>IFERROR(TMK[[#This Row],[Lowest MVA]]*1000/(TMK[[#This Row],[Voltage]]*SQRT(3)),"")</f>
        <v>400</v>
      </c>
      <c r="BH267" s="9">
        <f t="shared" si="195"/>
        <v>400</v>
      </c>
      <c r="BI267" s="9" t="str">
        <f>TMK[[#This Row],[From]]</f>
        <v>11 kV Bus</v>
      </c>
      <c r="BJ267" s="9" t="str">
        <f>TMK[[#This Row],[To]]</f>
        <v>T153</v>
      </c>
      <c r="BK26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Breaker-CD1-T609</v>
      </c>
      <c r="BL267" s="9">
        <f>TMK[[#This Row],[Voltage]]</f>
        <v>11</v>
      </c>
    </row>
    <row r="268" spans="1:64" s="1" customFormat="1" ht="15" customHeight="1" x14ac:dyDescent="0.25">
      <c r="A268" s="6" t="str">
        <f>CONCATENATE(TMK[[#This Row],[Supply Level]],TMK[[#This Row],[Station/Feeder]],TMK[[#This Row],[Voltage]])</f>
        <v>DistributionFeederT609_Milk Reception11</v>
      </c>
      <c r="B268" s="6" t="str">
        <f>CONCATENATE(TMK[[#This Row],[Supply Level]],TMK[[#This Row],[Station/Feeder]],TMK[[#This Row],[Equipment ID]],TMK[[#This Row],[Voltage]],TMK[[#This Row],[Device type]])</f>
        <v>DistributionFeederT609_Milk Reception1-3c 300 mm² Al XLPE11-</v>
      </c>
      <c r="C268" s="6" t="s">
        <v>1276</v>
      </c>
      <c r="D268" s="11" t="s">
        <v>141</v>
      </c>
      <c r="E268" s="7" t="s">
        <v>243</v>
      </c>
      <c r="F268" s="7" t="s">
        <v>671</v>
      </c>
      <c r="G268" s="56">
        <v>2</v>
      </c>
      <c r="H268" s="7" t="s">
        <v>585</v>
      </c>
      <c r="I268" s="123" t="s">
        <v>569</v>
      </c>
      <c r="J268" s="123" t="s">
        <v>250</v>
      </c>
      <c r="K268" s="46" t="s">
        <v>0</v>
      </c>
      <c r="L268" s="46" t="s">
        <v>0</v>
      </c>
      <c r="M268" s="43">
        <v>11</v>
      </c>
      <c r="N268" s="9">
        <v>476</v>
      </c>
      <c r="O268" s="9">
        <f t="shared" si="190"/>
        <v>9.0690180284306408</v>
      </c>
      <c r="P268" s="9">
        <v>476</v>
      </c>
      <c r="Q268" s="9">
        <f t="shared" si="191"/>
        <v>9.0690180284306408</v>
      </c>
      <c r="R268" s="9">
        <v>476</v>
      </c>
      <c r="S268" s="9">
        <f t="shared" si="192"/>
        <v>9.0690180284306408</v>
      </c>
      <c r="T268" s="9" t="s">
        <v>0</v>
      </c>
      <c r="U268" s="9" t="str">
        <f t="shared" si="193"/>
        <v>-</v>
      </c>
      <c r="V268" s="9" t="s">
        <v>0</v>
      </c>
      <c r="W268" s="9" t="str">
        <f t="shared" si="194"/>
        <v>-</v>
      </c>
      <c r="X268" s="9" t="s">
        <v>0</v>
      </c>
      <c r="Y268" s="9" t="str">
        <f t="shared" si="199"/>
        <v>-</v>
      </c>
      <c r="Z268" s="9" t="s">
        <v>0</v>
      </c>
      <c r="AA268" s="9" t="str">
        <f t="shared" si="200"/>
        <v>-</v>
      </c>
      <c r="AB268" s="9" t="s">
        <v>0</v>
      </c>
      <c r="AC268" s="9" t="str">
        <f t="shared" si="201"/>
        <v>-</v>
      </c>
      <c r="AD268" s="9" t="s">
        <v>0</v>
      </c>
      <c r="AE268" s="12" t="str">
        <f t="shared" si="202"/>
        <v>-</v>
      </c>
      <c r="AF268" s="9">
        <v>3</v>
      </c>
      <c r="AG268" s="9" t="s">
        <v>265</v>
      </c>
      <c r="AH268" s="9">
        <v>355.4</v>
      </c>
      <c r="AI268" s="9">
        <v>1</v>
      </c>
      <c r="AJ268" s="32">
        <v>0.98</v>
      </c>
      <c r="AK268" s="29">
        <v>20</v>
      </c>
      <c r="AL268" s="32">
        <v>0.97</v>
      </c>
      <c r="AM268" s="29">
        <v>1.2</v>
      </c>
      <c r="AN268" s="32">
        <v>1</v>
      </c>
      <c r="AO268" s="29">
        <v>6</v>
      </c>
      <c r="AP268" s="32">
        <v>0.24</v>
      </c>
      <c r="AQ268" s="32">
        <v>0.67</v>
      </c>
      <c r="AR268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303.16535200000004</v>
      </c>
      <c r="AS268" s="9">
        <f t="shared" si="203"/>
        <v>5.776075720343532</v>
      </c>
      <c r="AT268" s="9">
        <f>IF(RIGHT(TMK[[#This Row],[Device type]],7)="Winding","-",TMK[[#This Row],[Cont Winter MVA]])</f>
        <v>9.0690180284306408</v>
      </c>
      <c r="AU268" s="9">
        <f>IF(RIGHT(TMK[[#This Row],[Device type]],7)="Winding","-",TMK[[#This Row],[Cont Shoulder MVA]])</f>
        <v>9.0690180284306408</v>
      </c>
      <c r="AV268" s="9">
        <f>IF(RIGHT(TMK[[#This Row],[Device type]],7)="Winding","-",TMK[[#This Row],[Cont Summer MVA]])</f>
        <v>9.0690180284306408</v>
      </c>
      <c r="AW268" s="9" t="str">
        <f>IF(RIGHT(TMK[[#This Row],[Device type]],7)="Winding","-",TMK[[#This Row],[24 Hr Winter MVA]])</f>
        <v>-</v>
      </c>
      <c r="AX268" s="9" t="str">
        <f>IF(RIGHT(TMK[[#This Row],[Device type]],7)="Winding","-",TMK[[#This Row],[24 Hr Summer MVA]])</f>
        <v>-</v>
      </c>
      <c r="AY268" s="9" t="str">
        <f>TMK[[#This Row],[Forwards MVA]]</f>
        <v>-</v>
      </c>
      <c r="AZ268" s="9" t="str">
        <f>TMK[[#This Row],[Relay MVA]]</f>
        <v>-</v>
      </c>
      <c r="BA268" s="9" t="str">
        <f>TMK[[#This Row],[CT MVA]]</f>
        <v>-</v>
      </c>
      <c r="BB268" s="9">
        <f>TMK[[#This Row],[Derating MVA]]</f>
        <v>5.776075720343532</v>
      </c>
      <c r="BC268" s="9" t="str">
        <f>TMK[[#This Row],[Station/Feeder]]&amp;TMK[[#This Row],[Lowest MVA]]</f>
        <v>T609_Milk Reception5.77607572034353</v>
      </c>
      <c r="BD268" s="9" t="str">
        <f>CONCATENATE(TMK[[#This Row],[Supply Level]],TMK[[#This Row],[Station/Feeder]],TMK[[#This Row],[Voltage]],TMK[[#This Row],[Lowest A-No PTX]])</f>
        <v>DistributionFeederT609_Milk Reception11303.165352</v>
      </c>
      <c r="BE268" s="9" t="str">
        <f>CONCATENATE(TMK[[#This Row],[Supply Level]],TMK[[#This Row],[Station/Feeder]],TMK[[#This Row],[Voltage]],TMK[[#This Row],[Lowest A-PTX]])</f>
        <v>DistributionFeederT609_Milk Reception11303.165352</v>
      </c>
      <c r="BF268" s="9">
        <f>IFERROR(IF(MIN(TMK[[#This Row],[Summ Cont Winter A]:[Cable Derating]])=0,"",MIN(TMK[[#This Row],[Summ Cont Winter A]:[Cable Derating]])),"")</f>
        <v>5.776075720343532</v>
      </c>
      <c r="BG268" s="9">
        <f>IFERROR(TMK[[#This Row],[Lowest MVA]]*1000/(TMK[[#This Row],[Voltage]]*SQRT(3)),"")</f>
        <v>303.16535199999998</v>
      </c>
      <c r="BH268" s="9">
        <f t="shared" si="195"/>
        <v>303.16535200000004</v>
      </c>
      <c r="BI268" s="9" t="str">
        <f>TMK[[#This Row],[From]]</f>
        <v>11 kV Bus</v>
      </c>
      <c r="BJ268" s="9" t="str">
        <f>TMK[[#This Row],[To]]</f>
        <v>T153</v>
      </c>
      <c r="BK26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XLPE</v>
      </c>
      <c r="BL268" s="9">
        <f>TMK[[#This Row],[Voltage]]</f>
        <v>11</v>
      </c>
    </row>
    <row r="269" spans="1:64" s="1" customFormat="1" ht="15" customHeight="1" x14ac:dyDescent="0.25">
      <c r="A269" s="6" t="str">
        <f>CONCATENATE(TMK[[#This Row],[Supply Level]],TMK[[#This Row],[Station/Feeder]],TMK[[#This Row],[Voltage]])</f>
        <v>DistributionFeederT609_Milk Reception11</v>
      </c>
      <c r="B269" s="6" t="str">
        <f>CONCATENATE(TMK[[#This Row],[Supply Level]],TMK[[#This Row],[Station/Feeder]],TMK[[#This Row],[Equipment ID]],TMK[[#This Row],[Voltage]],TMK[[#This Row],[Device type]])</f>
        <v>DistributionFeederT609_Milk ReceptionT15311-</v>
      </c>
      <c r="C269" s="6" t="s">
        <v>1276</v>
      </c>
      <c r="D269" s="11" t="s">
        <v>141</v>
      </c>
      <c r="E269" s="7" t="s">
        <v>243</v>
      </c>
      <c r="F269" s="7" t="s">
        <v>671</v>
      </c>
      <c r="G269" s="56">
        <v>3</v>
      </c>
      <c r="H269" s="7" t="s">
        <v>273</v>
      </c>
      <c r="I269" s="7" t="s">
        <v>671</v>
      </c>
      <c r="J269" s="123" t="s">
        <v>670</v>
      </c>
      <c r="K269" s="46" t="s">
        <v>0</v>
      </c>
      <c r="L269" s="46" t="s">
        <v>0</v>
      </c>
      <c r="M269" s="43">
        <v>11</v>
      </c>
      <c r="N269" s="9">
        <v>630</v>
      </c>
      <c r="O269" s="9">
        <f t="shared" si="190"/>
        <v>12.00311209645232</v>
      </c>
      <c r="P269" s="9">
        <v>630</v>
      </c>
      <c r="Q269" s="9">
        <f t="shared" si="191"/>
        <v>12.00311209645232</v>
      </c>
      <c r="R269" s="9">
        <v>630</v>
      </c>
      <c r="S269" s="9">
        <f t="shared" si="192"/>
        <v>12.00311209645232</v>
      </c>
      <c r="T269" s="9" t="s">
        <v>0</v>
      </c>
      <c r="U269" s="9" t="str">
        <f t="shared" si="193"/>
        <v>-</v>
      </c>
      <c r="V269" s="9" t="s">
        <v>0</v>
      </c>
      <c r="W269" s="9" t="str">
        <f t="shared" si="194"/>
        <v>-</v>
      </c>
      <c r="X269" s="9" t="s">
        <v>0</v>
      </c>
      <c r="Y269" s="9" t="str">
        <f t="shared" si="199"/>
        <v>-</v>
      </c>
      <c r="Z269" s="9" t="s">
        <v>0</v>
      </c>
      <c r="AA269" s="9" t="str">
        <f t="shared" si="200"/>
        <v>-</v>
      </c>
      <c r="AB269" s="9" t="s">
        <v>0</v>
      </c>
      <c r="AC269" s="9" t="str">
        <f t="shared" si="201"/>
        <v>-</v>
      </c>
      <c r="AD269" s="9" t="s">
        <v>0</v>
      </c>
      <c r="AE269" s="12" t="str">
        <f t="shared" si="202"/>
        <v>-</v>
      </c>
      <c r="AF269" s="9" t="s">
        <v>0</v>
      </c>
      <c r="AG269" s="9" t="s">
        <v>0</v>
      </c>
      <c r="AH269" s="9" t="s">
        <v>0</v>
      </c>
      <c r="AI269" s="9" t="s">
        <v>0</v>
      </c>
      <c r="AJ269" s="32" t="s">
        <v>0</v>
      </c>
      <c r="AK269" s="29" t="s">
        <v>0</v>
      </c>
      <c r="AL269" s="32" t="s">
        <v>0</v>
      </c>
      <c r="AM269" s="29" t="s">
        <v>0</v>
      </c>
      <c r="AN269" s="32" t="s">
        <v>0</v>
      </c>
      <c r="AO269" s="29" t="s">
        <v>0</v>
      </c>
      <c r="AP269" s="32" t="s">
        <v>0</v>
      </c>
      <c r="AQ269" s="32" t="s">
        <v>0</v>
      </c>
      <c r="AR26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69" s="9" t="str">
        <f t="shared" si="203"/>
        <v>-</v>
      </c>
      <c r="AT269" s="9">
        <f>IF(RIGHT(TMK[[#This Row],[Device type]],7)="Winding","-",TMK[[#This Row],[Cont Winter MVA]])</f>
        <v>12.00311209645232</v>
      </c>
      <c r="AU269" s="9">
        <f>IF(RIGHT(TMK[[#This Row],[Device type]],7)="Winding","-",TMK[[#This Row],[Cont Shoulder MVA]])</f>
        <v>12.00311209645232</v>
      </c>
      <c r="AV269" s="9">
        <f>IF(RIGHT(TMK[[#This Row],[Device type]],7)="Winding","-",TMK[[#This Row],[Cont Summer MVA]])</f>
        <v>12.00311209645232</v>
      </c>
      <c r="AW269" s="9" t="str">
        <f>IF(RIGHT(TMK[[#This Row],[Device type]],7)="Winding","-",TMK[[#This Row],[24 Hr Winter MVA]])</f>
        <v>-</v>
      </c>
      <c r="AX269" s="9" t="str">
        <f>IF(RIGHT(TMK[[#This Row],[Device type]],7)="Winding","-",TMK[[#This Row],[24 Hr Summer MVA]])</f>
        <v>-</v>
      </c>
      <c r="AY269" s="9" t="str">
        <f>TMK[[#This Row],[Forwards MVA]]</f>
        <v>-</v>
      </c>
      <c r="AZ269" s="9" t="str">
        <f>TMK[[#This Row],[Relay MVA]]</f>
        <v>-</v>
      </c>
      <c r="BA269" s="9" t="str">
        <f>TMK[[#This Row],[CT MVA]]</f>
        <v>-</v>
      </c>
      <c r="BB269" s="9" t="str">
        <f>TMK[[#This Row],[Derating MVA]]</f>
        <v>-</v>
      </c>
      <c r="BC269" s="9" t="str">
        <f>TMK[[#This Row],[Station/Feeder]]&amp;TMK[[#This Row],[Lowest MVA]]</f>
        <v>T609_Milk Reception12.0031120964523</v>
      </c>
      <c r="BD269" s="9" t="str">
        <f>CONCATENATE(TMK[[#This Row],[Supply Level]],TMK[[#This Row],[Station/Feeder]],TMK[[#This Row],[Voltage]],TMK[[#This Row],[Lowest A-No PTX]])</f>
        <v>DistributionFeederT609_Milk Reception11630</v>
      </c>
      <c r="BE269" s="9" t="str">
        <f>CONCATENATE(TMK[[#This Row],[Supply Level]],TMK[[#This Row],[Station/Feeder]],TMK[[#This Row],[Voltage]],TMK[[#This Row],[Lowest A-PTX]])</f>
        <v>DistributionFeederT609_Milk Reception11630</v>
      </c>
      <c r="BF269" s="9">
        <f>IFERROR(IF(MIN(TMK[[#This Row],[Summ Cont Winter A]:[Cable Derating]])=0,"",MIN(TMK[[#This Row],[Summ Cont Winter A]:[Cable Derating]])),"")</f>
        <v>12.00311209645232</v>
      </c>
      <c r="BG269" s="9">
        <f>IFERROR(TMK[[#This Row],[Lowest MVA]]*1000/(TMK[[#This Row],[Voltage]]*SQRT(3)),"")</f>
        <v>630</v>
      </c>
      <c r="BH269" s="9">
        <f t="shared" si="195"/>
        <v>630</v>
      </c>
      <c r="BI269" s="9" t="str">
        <f>TMK[[#This Row],[From]]</f>
        <v>11 kV Bus</v>
      </c>
      <c r="BJ269" s="9" t="str">
        <f>TMK[[#This Row],[To]]</f>
        <v>T153</v>
      </c>
      <c r="BK26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Switch-T153</v>
      </c>
      <c r="BL269" s="9">
        <f>TMK[[#This Row],[Voltage]]</f>
        <v>11</v>
      </c>
    </row>
    <row r="270" spans="1:64" s="1" customFormat="1" ht="15" customHeight="1" x14ac:dyDescent="0.25">
      <c r="A270" s="6" t="str">
        <f>CONCATENATE(TMK[[#This Row],[Supply Level]],TMK[[#This Row],[Station/Feeder]],TMK[[#This Row],[Voltage]])</f>
        <v>DistributionFeederT610_Chilled Water 111</v>
      </c>
      <c r="B270" s="6" t="str">
        <f>CONCATENATE(TMK[[#This Row],[Supply Level]],TMK[[#This Row],[Station/Feeder]],TMK[[#This Row],[Equipment ID]],TMK[[#This Row],[Voltage]],TMK[[#This Row],[Device type]])</f>
        <v>DistributionFeederT610_Chilled Water 1CD1-T61011-</v>
      </c>
      <c r="C270" s="6" t="s">
        <v>1276</v>
      </c>
      <c r="D270" s="11" t="s">
        <v>144</v>
      </c>
      <c r="E270" s="7" t="s">
        <v>243</v>
      </c>
      <c r="F270" s="7" t="s">
        <v>672</v>
      </c>
      <c r="G270" s="56">
        <v>1</v>
      </c>
      <c r="H270" s="7" t="s">
        <v>343</v>
      </c>
      <c r="I270" s="123" t="s">
        <v>2446</v>
      </c>
      <c r="J270" s="123" t="s">
        <v>15</v>
      </c>
      <c r="K270" s="46" t="s">
        <v>0</v>
      </c>
      <c r="L270" s="46" t="s">
        <v>0</v>
      </c>
      <c r="M270" s="43">
        <v>11</v>
      </c>
      <c r="N270" s="9">
        <v>476</v>
      </c>
      <c r="O270" s="9">
        <f t="shared" si="190"/>
        <v>9.0690180284306408</v>
      </c>
      <c r="P270" s="9">
        <v>476</v>
      </c>
      <c r="Q270" s="9">
        <f t="shared" si="191"/>
        <v>9.0690180284306408</v>
      </c>
      <c r="R270" s="9">
        <v>476</v>
      </c>
      <c r="S270" s="9">
        <f t="shared" si="192"/>
        <v>9.0690180284306408</v>
      </c>
      <c r="T270" s="9" t="s">
        <v>0</v>
      </c>
      <c r="U270" s="9" t="str">
        <f t="shared" si="193"/>
        <v>-</v>
      </c>
      <c r="V270" s="9" t="s">
        <v>0</v>
      </c>
      <c r="W270" s="9" t="str">
        <f t="shared" si="194"/>
        <v>-</v>
      </c>
      <c r="X270" s="9">
        <f>VLOOKUP(TMK[[#This Row],[Equipment ID]],AEL_Protection_Data[#All],12,0)</f>
        <v>480</v>
      </c>
      <c r="Y270" s="9">
        <f t="shared" si="199"/>
        <v>9.1452282639636717</v>
      </c>
      <c r="Z270" s="9">
        <v>480</v>
      </c>
      <c r="AA270" s="9">
        <f t="shared" si="200"/>
        <v>9.1452282639636717</v>
      </c>
      <c r="AB270" s="9" t="s">
        <v>0</v>
      </c>
      <c r="AC270" s="9" t="str">
        <f t="shared" si="201"/>
        <v>-</v>
      </c>
      <c r="AD270" s="9">
        <v>400</v>
      </c>
      <c r="AE270" s="12">
        <f t="shared" si="202"/>
        <v>7.6210235533030604</v>
      </c>
      <c r="AF270" s="9" t="s">
        <v>0</v>
      </c>
      <c r="AG270" s="9" t="s">
        <v>0</v>
      </c>
      <c r="AH270" s="9" t="s">
        <v>0</v>
      </c>
      <c r="AI270" s="9" t="s">
        <v>0</v>
      </c>
      <c r="AJ270" s="32" t="s">
        <v>0</v>
      </c>
      <c r="AK270" s="29" t="s">
        <v>0</v>
      </c>
      <c r="AL270" s="32" t="s">
        <v>0</v>
      </c>
      <c r="AM270" s="29" t="s">
        <v>0</v>
      </c>
      <c r="AN270" s="32" t="s">
        <v>0</v>
      </c>
      <c r="AO270" s="29" t="s">
        <v>0</v>
      </c>
      <c r="AP270" s="32" t="s">
        <v>0</v>
      </c>
      <c r="AQ270" s="32" t="s">
        <v>0</v>
      </c>
      <c r="AR270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70" s="9" t="str">
        <f t="shared" si="203"/>
        <v>-</v>
      </c>
      <c r="AT270" s="9">
        <f>IF(RIGHT(TMK[[#This Row],[Device type]],7)="Winding","-",TMK[[#This Row],[Cont Winter MVA]])</f>
        <v>9.0690180284306408</v>
      </c>
      <c r="AU270" s="9">
        <f>IF(RIGHT(TMK[[#This Row],[Device type]],7)="Winding","-",TMK[[#This Row],[Cont Shoulder MVA]])</f>
        <v>9.0690180284306408</v>
      </c>
      <c r="AV270" s="9">
        <f>IF(RIGHT(TMK[[#This Row],[Device type]],7)="Winding","-",TMK[[#This Row],[Cont Summer MVA]])</f>
        <v>9.0690180284306408</v>
      </c>
      <c r="AW270" s="9" t="str">
        <f>IF(RIGHT(TMK[[#This Row],[Device type]],7)="Winding","-",TMK[[#This Row],[24 Hr Winter MVA]])</f>
        <v>-</v>
      </c>
      <c r="AX270" s="9" t="str">
        <f>IF(RIGHT(TMK[[#This Row],[Device type]],7)="Winding","-",TMK[[#This Row],[24 Hr Summer MVA]])</f>
        <v>-</v>
      </c>
      <c r="AY270" s="9">
        <f>TMK[[#This Row],[Forwards MVA]]</f>
        <v>9.1452282639636717</v>
      </c>
      <c r="AZ270" s="9" t="str">
        <f>TMK[[#This Row],[Relay MVA]]</f>
        <v>-</v>
      </c>
      <c r="BA270" s="9">
        <f>TMK[[#This Row],[CT MVA]]</f>
        <v>7.6210235533030604</v>
      </c>
      <c r="BB270" s="9" t="str">
        <f>TMK[[#This Row],[Derating MVA]]</f>
        <v>-</v>
      </c>
      <c r="BC270" s="9" t="str">
        <f>TMK[[#This Row],[Station/Feeder]]&amp;TMK[[#This Row],[Lowest MVA]]</f>
        <v>T610_Chilled Water 17.62102355330306</v>
      </c>
      <c r="BD270" s="9" t="str">
        <f>CONCATENATE(TMK[[#This Row],[Supply Level]],TMK[[#This Row],[Station/Feeder]],TMK[[#This Row],[Voltage]],TMK[[#This Row],[Lowest A-No PTX]])</f>
        <v>DistributionFeederT610_Chilled Water 111400</v>
      </c>
      <c r="BE270" s="9" t="str">
        <f>CONCATENATE(TMK[[#This Row],[Supply Level]],TMK[[#This Row],[Station/Feeder]],TMK[[#This Row],[Voltage]],TMK[[#This Row],[Lowest A-PTX]])</f>
        <v>DistributionFeederT610_Chilled Water 111400</v>
      </c>
      <c r="BF270" s="9">
        <f>IFERROR(IF(MIN(TMK[[#This Row],[Summ Cont Winter A]:[Cable Derating]])=0,"",MIN(TMK[[#This Row],[Summ Cont Winter A]:[Cable Derating]])),"")</f>
        <v>7.6210235533030604</v>
      </c>
      <c r="BG270" s="9">
        <f>IFERROR(TMK[[#This Row],[Lowest MVA]]*1000/(TMK[[#This Row],[Voltage]]*SQRT(3)),"")</f>
        <v>400</v>
      </c>
      <c r="BH270" s="9">
        <f t="shared" si="195"/>
        <v>400</v>
      </c>
      <c r="BI270" s="9" t="str">
        <f>TMK[[#This Row],[From]]</f>
        <v>11 kV Bus</v>
      </c>
      <c r="BJ270" s="9" t="str">
        <f>TMK[[#This Row],[To]]</f>
        <v>T249</v>
      </c>
      <c r="BK27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Breaker-CD1-T610</v>
      </c>
      <c r="BL270" s="9">
        <f>TMK[[#This Row],[Voltage]]</f>
        <v>11</v>
      </c>
    </row>
    <row r="271" spans="1:64" s="1" customFormat="1" ht="15" customHeight="1" x14ac:dyDescent="0.25">
      <c r="A271" s="6" t="str">
        <f>CONCATENATE(TMK[[#This Row],[Supply Level]],TMK[[#This Row],[Station/Feeder]],TMK[[#This Row],[Voltage]])</f>
        <v>DistributionFeederT610_Chilled Water 111</v>
      </c>
      <c r="B271" s="6" t="str">
        <f>CONCATENATE(TMK[[#This Row],[Supply Level]],TMK[[#This Row],[Station/Feeder]],TMK[[#This Row],[Equipment ID]],TMK[[#This Row],[Voltage]],TMK[[#This Row],[Device type]])</f>
        <v>DistributionFeederT610_Chilled Water 11-3c 185 mm² Al PILC11-</v>
      </c>
      <c r="C271" s="6" t="s">
        <v>1276</v>
      </c>
      <c r="D271" s="11" t="s">
        <v>144</v>
      </c>
      <c r="E271" s="7" t="s">
        <v>243</v>
      </c>
      <c r="F271" s="7" t="s">
        <v>672</v>
      </c>
      <c r="G271" s="56">
        <v>2</v>
      </c>
      <c r="H271" s="7" t="s">
        <v>585</v>
      </c>
      <c r="I271" s="123" t="s">
        <v>665</v>
      </c>
      <c r="J271" s="123" t="s">
        <v>250</v>
      </c>
      <c r="K271" s="46" t="s">
        <v>0</v>
      </c>
      <c r="L271" s="46" t="s">
        <v>0</v>
      </c>
      <c r="M271" s="43">
        <v>11</v>
      </c>
      <c r="N271" s="9">
        <v>300</v>
      </c>
      <c r="O271" s="9">
        <f t="shared" si="190"/>
        <v>5.715767664977295</v>
      </c>
      <c r="P271" s="9">
        <v>300</v>
      </c>
      <c r="Q271" s="9">
        <f t="shared" si="191"/>
        <v>5.715767664977295</v>
      </c>
      <c r="R271" s="9">
        <v>300</v>
      </c>
      <c r="S271" s="9">
        <f t="shared" si="192"/>
        <v>5.715767664977295</v>
      </c>
      <c r="T271" s="9" t="s">
        <v>0</v>
      </c>
      <c r="U271" s="9" t="str">
        <f t="shared" si="193"/>
        <v>-</v>
      </c>
      <c r="V271" s="9" t="s">
        <v>0</v>
      </c>
      <c r="W271" s="9" t="str">
        <f t="shared" si="194"/>
        <v>-</v>
      </c>
      <c r="X271" s="9" t="s">
        <v>0</v>
      </c>
      <c r="Y271" s="9" t="str">
        <f t="shared" si="199"/>
        <v>-</v>
      </c>
      <c r="Z271" s="9" t="s">
        <v>0</v>
      </c>
      <c r="AA271" s="9" t="str">
        <f t="shared" si="200"/>
        <v>-</v>
      </c>
      <c r="AB271" s="9" t="s">
        <v>0</v>
      </c>
      <c r="AC271" s="9" t="str">
        <f t="shared" si="201"/>
        <v>-</v>
      </c>
      <c r="AD271" s="9" t="s">
        <v>0</v>
      </c>
      <c r="AE271" s="12" t="str">
        <f t="shared" si="202"/>
        <v>-</v>
      </c>
      <c r="AF271" s="9">
        <v>3</v>
      </c>
      <c r="AG271" s="9" t="s">
        <v>265</v>
      </c>
      <c r="AH271" s="9">
        <v>251.1</v>
      </c>
      <c r="AI271" s="9">
        <v>1</v>
      </c>
      <c r="AJ271" s="32">
        <v>0.98</v>
      </c>
      <c r="AK271" s="29">
        <v>19</v>
      </c>
      <c r="AL271" s="32">
        <v>0.97</v>
      </c>
      <c r="AM271" s="29">
        <v>1.2</v>
      </c>
      <c r="AN271" s="32">
        <v>1</v>
      </c>
      <c r="AO271" s="29">
        <v>6</v>
      </c>
      <c r="AP271" s="32">
        <v>0.15</v>
      </c>
      <c r="AQ271" s="32">
        <v>0.63</v>
      </c>
      <c r="AR271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179.6634</v>
      </c>
      <c r="AS271" s="9">
        <f t="shared" si="203"/>
        <v>3.4230475076662725</v>
      </c>
      <c r="AT271" s="9">
        <f>IF(RIGHT(TMK[[#This Row],[Device type]],7)="Winding","-",TMK[[#This Row],[Cont Winter MVA]])</f>
        <v>5.715767664977295</v>
      </c>
      <c r="AU271" s="9">
        <f>IF(RIGHT(TMK[[#This Row],[Device type]],7)="Winding","-",TMK[[#This Row],[Cont Shoulder MVA]])</f>
        <v>5.715767664977295</v>
      </c>
      <c r="AV271" s="9">
        <f>IF(RIGHT(TMK[[#This Row],[Device type]],7)="Winding","-",TMK[[#This Row],[Cont Summer MVA]])</f>
        <v>5.715767664977295</v>
      </c>
      <c r="AW271" s="9" t="str">
        <f>IF(RIGHT(TMK[[#This Row],[Device type]],7)="Winding","-",TMK[[#This Row],[24 Hr Winter MVA]])</f>
        <v>-</v>
      </c>
      <c r="AX271" s="9" t="str">
        <f>IF(RIGHT(TMK[[#This Row],[Device type]],7)="Winding","-",TMK[[#This Row],[24 Hr Summer MVA]])</f>
        <v>-</v>
      </c>
      <c r="AY271" s="9" t="str">
        <f>TMK[[#This Row],[Forwards MVA]]</f>
        <v>-</v>
      </c>
      <c r="AZ271" s="9" t="str">
        <f>TMK[[#This Row],[Relay MVA]]</f>
        <v>-</v>
      </c>
      <c r="BA271" s="9" t="str">
        <f>TMK[[#This Row],[CT MVA]]</f>
        <v>-</v>
      </c>
      <c r="BB271" s="9">
        <f>TMK[[#This Row],[Derating MVA]]</f>
        <v>3.4230475076662725</v>
      </c>
      <c r="BC271" s="9" t="str">
        <f>TMK[[#This Row],[Station/Feeder]]&amp;TMK[[#This Row],[Lowest MVA]]</f>
        <v>T610_Chilled Water 13.42304750766627</v>
      </c>
      <c r="BD271" s="9" t="str">
        <f>CONCATENATE(TMK[[#This Row],[Supply Level]],TMK[[#This Row],[Station/Feeder]],TMK[[#This Row],[Voltage]],TMK[[#This Row],[Lowest A-No PTX]])</f>
        <v>DistributionFeederT610_Chilled Water 111179.6634</v>
      </c>
      <c r="BE271" s="9" t="str">
        <f>CONCATENATE(TMK[[#This Row],[Supply Level]],TMK[[#This Row],[Station/Feeder]],TMK[[#This Row],[Voltage]],TMK[[#This Row],[Lowest A-PTX]])</f>
        <v>DistributionFeederT610_Chilled Water 111179.6634</v>
      </c>
      <c r="BF271" s="9">
        <f>IFERROR(IF(MIN(TMK[[#This Row],[Summ Cont Winter A]:[Cable Derating]])=0,"",MIN(TMK[[#This Row],[Summ Cont Winter A]:[Cable Derating]])),"")</f>
        <v>3.4230475076662725</v>
      </c>
      <c r="BG271" s="9">
        <f>IFERROR(TMK[[#This Row],[Lowest MVA]]*1000/(TMK[[#This Row],[Voltage]]*SQRT(3)),"")</f>
        <v>179.6634</v>
      </c>
      <c r="BH271" s="9">
        <f t="shared" si="195"/>
        <v>179.6634</v>
      </c>
      <c r="BI271" s="9" t="str">
        <f>TMK[[#This Row],[From]]</f>
        <v>11 kV Bus</v>
      </c>
      <c r="BJ271" s="9" t="str">
        <f>TMK[[#This Row],[To]]</f>
        <v>T249</v>
      </c>
      <c r="BK27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185 mm² Al PILC</v>
      </c>
      <c r="BL271" s="9">
        <f>TMK[[#This Row],[Voltage]]</f>
        <v>11</v>
      </c>
    </row>
    <row r="272" spans="1:64" s="1" customFormat="1" ht="15" customHeight="1" x14ac:dyDescent="0.25">
      <c r="A272" s="6" t="str">
        <f>CONCATENATE(TMK[[#This Row],[Supply Level]],TMK[[#This Row],[Station/Feeder]],TMK[[#This Row],[Voltage]])</f>
        <v>DistributionFeederT610_Chilled Water 111</v>
      </c>
      <c r="B272" s="6" t="str">
        <f>CONCATENATE(TMK[[#This Row],[Supply Level]],TMK[[#This Row],[Station/Feeder]],TMK[[#This Row],[Equipment ID]],TMK[[#This Row],[Voltage]],TMK[[#This Row],[Device type]])</f>
        <v>DistributionFeederT610_Chilled Water 1T24911-</v>
      </c>
      <c r="C272" s="6" t="s">
        <v>1276</v>
      </c>
      <c r="D272" s="11" t="s">
        <v>144</v>
      </c>
      <c r="E272" s="7" t="s">
        <v>243</v>
      </c>
      <c r="F272" s="7" t="s">
        <v>672</v>
      </c>
      <c r="G272" s="56">
        <v>3</v>
      </c>
      <c r="H272" s="7" t="s">
        <v>273</v>
      </c>
      <c r="I272" s="7" t="s">
        <v>672</v>
      </c>
      <c r="J272" s="123" t="s">
        <v>670</v>
      </c>
      <c r="K272" s="46" t="s">
        <v>0</v>
      </c>
      <c r="L272" s="46" t="s">
        <v>0</v>
      </c>
      <c r="M272" s="43">
        <v>11</v>
      </c>
      <c r="N272" s="9">
        <v>630</v>
      </c>
      <c r="O272" s="9">
        <f t="shared" si="190"/>
        <v>12.00311209645232</v>
      </c>
      <c r="P272" s="9">
        <v>630</v>
      </c>
      <c r="Q272" s="9">
        <f t="shared" si="191"/>
        <v>12.00311209645232</v>
      </c>
      <c r="R272" s="9">
        <v>630</v>
      </c>
      <c r="S272" s="9">
        <f t="shared" si="192"/>
        <v>12.00311209645232</v>
      </c>
      <c r="T272" s="9" t="s">
        <v>0</v>
      </c>
      <c r="U272" s="9" t="str">
        <f t="shared" si="193"/>
        <v>-</v>
      </c>
      <c r="V272" s="9" t="s">
        <v>0</v>
      </c>
      <c r="W272" s="9" t="str">
        <f t="shared" si="194"/>
        <v>-</v>
      </c>
      <c r="X272" s="9" t="s">
        <v>0</v>
      </c>
      <c r="Y272" s="9" t="str">
        <f t="shared" si="199"/>
        <v>-</v>
      </c>
      <c r="Z272" s="9" t="s">
        <v>0</v>
      </c>
      <c r="AA272" s="9" t="str">
        <f t="shared" si="200"/>
        <v>-</v>
      </c>
      <c r="AB272" s="9" t="s">
        <v>0</v>
      </c>
      <c r="AC272" s="9" t="str">
        <f t="shared" si="201"/>
        <v>-</v>
      </c>
      <c r="AD272" s="9" t="s">
        <v>0</v>
      </c>
      <c r="AE272" s="12" t="str">
        <f t="shared" si="202"/>
        <v>-</v>
      </c>
      <c r="AF272" s="9" t="s">
        <v>0</v>
      </c>
      <c r="AG272" s="9" t="s">
        <v>0</v>
      </c>
      <c r="AH272" s="9" t="s">
        <v>0</v>
      </c>
      <c r="AI272" s="9" t="s">
        <v>0</v>
      </c>
      <c r="AJ272" s="32" t="s">
        <v>0</v>
      </c>
      <c r="AK272" s="29" t="s">
        <v>0</v>
      </c>
      <c r="AL272" s="32" t="s">
        <v>0</v>
      </c>
      <c r="AM272" s="29" t="s">
        <v>0</v>
      </c>
      <c r="AN272" s="32" t="s">
        <v>0</v>
      </c>
      <c r="AO272" s="29" t="s">
        <v>0</v>
      </c>
      <c r="AP272" s="32" t="s">
        <v>0</v>
      </c>
      <c r="AQ272" s="32" t="s">
        <v>0</v>
      </c>
      <c r="AR272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72" s="9" t="str">
        <f t="shared" si="203"/>
        <v>-</v>
      </c>
      <c r="AT272" s="9">
        <f>IF(RIGHT(TMK[[#This Row],[Device type]],7)="Winding","-",TMK[[#This Row],[Cont Winter MVA]])</f>
        <v>12.00311209645232</v>
      </c>
      <c r="AU272" s="9">
        <f>IF(RIGHT(TMK[[#This Row],[Device type]],7)="Winding","-",TMK[[#This Row],[Cont Shoulder MVA]])</f>
        <v>12.00311209645232</v>
      </c>
      <c r="AV272" s="9">
        <f>IF(RIGHT(TMK[[#This Row],[Device type]],7)="Winding","-",TMK[[#This Row],[Cont Summer MVA]])</f>
        <v>12.00311209645232</v>
      </c>
      <c r="AW272" s="9" t="str">
        <f>IF(RIGHT(TMK[[#This Row],[Device type]],7)="Winding","-",TMK[[#This Row],[24 Hr Winter MVA]])</f>
        <v>-</v>
      </c>
      <c r="AX272" s="9" t="str">
        <f>IF(RIGHT(TMK[[#This Row],[Device type]],7)="Winding","-",TMK[[#This Row],[24 Hr Summer MVA]])</f>
        <v>-</v>
      </c>
      <c r="AY272" s="9" t="str">
        <f>TMK[[#This Row],[Forwards MVA]]</f>
        <v>-</v>
      </c>
      <c r="AZ272" s="9" t="str">
        <f>TMK[[#This Row],[Relay MVA]]</f>
        <v>-</v>
      </c>
      <c r="BA272" s="9" t="str">
        <f>TMK[[#This Row],[CT MVA]]</f>
        <v>-</v>
      </c>
      <c r="BB272" s="9" t="str">
        <f>TMK[[#This Row],[Derating MVA]]</f>
        <v>-</v>
      </c>
      <c r="BC272" s="9" t="str">
        <f>TMK[[#This Row],[Station/Feeder]]&amp;TMK[[#This Row],[Lowest MVA]]</f>
        <v>T610_Chilled Water 112.0031120964523</v>
      </c>
      <c r="BD272" s="9" t="str">
        <f>CONCATENATE(TMK[[#This Row],[Supply Level]],TMK[[#This Row],[Station/Feeder]],TMK[[#This Row],[Voltage]],TMK[[#This Row],[Lowest A-No PTX]])</f>
        <v>DistributionFeederT610_Chilled Water 111630</v>
      </c>
      <c r="BE272" s="9" t="str">
        <f>CONCATENATE(TMK[[#This Row],[Supply Level]],TMK[[#This Row],[Station/Feeder]],TMK[[#This Row],[Voltage]],TMK[[#This Row],[Lowest A-PTX]])</f>
        <v>DistributionFeederT610_Chilled Water 111630</v>
      </c>
      <c r="BF272" s="9">
        <f>IFERROR(IF(MIN(TMK[[#This Row],[Summ Cont Winter A]:[Cable Derating]])=0,"",MIN(TMK[[#This Row],[Summ Cont Winter A]:[Cable Derating]])),"")</f>
        <v>12.00311209645232</v>
      </c>
      <c r="BG272" s="9">
        <f>IFERROR(TMK[[#This Row],[Lowest MVA]]*1000/(TMK[[#This Row],[Voltage]]*SQRT(3)),"")</f>
        <v>630</v>
      </c>
      <c r="BH272" s="9">
        <f t="shared" si="195"/>
        <v>630</v>
      </c>
      <c r="BI272" s="9" t="str">
        <f>TMK[[#This Row],[From]]</f>
        <v>11 kV Bus</v>
      </c>
      <c r="BJ272" s="9" t="str">
        <f>TMK[[#This Row],[To]]</f>
        <v>T249</v>
      </c>
      <c r="BK27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Switch-T249</v>
      </c>
      <c r="BL272" s="9">
        <f>TMK[[#This Row],[Voltage]]</f>
        <v>11</v>
      </c>
    </row>
    <row r="273" spans="1:64" s="1" customFormat="1" ht="15" customHeight="1" x14ac:dyDescent="0.25">
      <c r="A273" s="6" t="str">
        <f>CONCATENATE(TMK[[#This Row],[Supply Level]],TMK[[#This Row],[Station/Feeder]],TMK[[#This Row],[Voltage]])</f>
        <v>DistributionFeederT611_Effluent Plant11</v>
      </c>
      <c r="B273" s="6" t="str">
        <f>CONCATENATE(TMK[[#This Row],[Supply Level]],TMK[[#This Row],[Station/Feeder]],TMK[[#This Row],[Equipment ID]],TMK[[#This Row],[Voltage]],TMK[[#This Row],[Device type]])</f>
        <v>DistributionFeederT611_Effluent PlantCD1-T61111-</v>
      </c>
      <c r="C273" s="6" t="s">
        <v>1276</v>
      </c>
      <c r="D273" s="11" t="s">
        <v>147</v>
      </c>
      <c r="E273" s="7" t="s">
        <v>243</v>
      </c>
      <c r="F273" s="7" t="s">
        <v>673</v>
      </c>
      <c r="G273" s="56">
        <v>1</v>
      </c>
      <c r="H273" s="7" t="s">
        <v>343</v>
      </c>
      <c r="I273" s="123" t="s">
        <v>2447</v>
      </c>
      <c r="J273" s="123" t="s">
        <v>15</v>
      </c>
      <c r="K273" s="46" t="s">
        <v>0</v>
      </c>
      <c r="L273" s="46" t="s">
        <v>0</v>
      </c>
      <c r="M273" s="43">
        <v>11</v>
      </c>
      <c r="N273" s="9">
        <v>476</v>
      </c>
      <c r="O273" s="9">
        <f t="shared" si="190"/>
        <v>9.0690180284306408</v>
      </c>
      <c r="P273" s="9">
        <v>476</v>
      </c>
      <c r="Q273" s="9">
        <f t="shared" si="191"/>
        <v>9.0690180284306408</v>
      </c>
      <c r="R273" s="9">
        <v>476</v>
      </c>
      <c r="S273" s="9">
        <f t="shared" si="192"/>
        <v>9.0690180284306408</v>
      </c>
      <c r="T273" s="9" t="s">
        <v>0</v>
      </c>
      <c r="U273" s="9" t="str">
        <f t="shared" si="193"/>
        <v>-</v>
      </c>
      <c r="V273" s="9" t="s">
        <v>0</v>
      </c>
      <c r="W273" s="9" t="str">
        <f t="shared" si="194"/>
        <v>-</v>
      </c>
      <c r="X273" s="9">
        <f>VLOOKUP(TMK[[#This Row],[Equipment ID]],AEL_Protection_Data[#All],12,0)</f>
        <v>480</v>
      </c>
      <c r="Y273" s="9">
        <f t="shared" si="199"/>
        <v>9.1452282639636717</v>
      </c>
      <c r="Z273" s="9">
        <v>480</v>
      </c>
      <c r="AA273" s="9">
        <f t="shared" si="200"/>
        <v>9.1452282639636717</v>
      </c>
      <c r="AB273" s="9" t="s">
        <v>0</v>
      </c>
      <c r="AC273" s="9" t="str">
        <f t="shared" si="201"/>
        <v>-</v>
      </c>
      <c r="AD273" s="9">
        <v>400</v>
      </c>
      <c r="AE273" s="12">
        <f t="shared" si="202"/>
        <v>7.6210235533030604</v>
      </c>
      <c r="AF273" s="9" t="s">
        <v>0</v>
      </c>
      <c r="AG273" s="9" t="s">
        <v>0</v>
      </c>
      <c r="AH273" s="9" t="s">
        <v>0</v>
      </c>
      <c r="AI273" s="9" t="s">
        <v>0</v>
      </c>
      <c r="AJ273" s="32" t="s">
        <v>0</v>
      </c>
      <c r="AK273" s="29" t="s">
        <v>0</v>
      </c>
      <c r="AL273" s="32" t="s">
        <v>0</v>
      </c>
      <c r="AM273" s="29" t="s">
        <v>0</v>
      </c>
      <c r="AN273" s="32" t="s">
        <v>0</v>
      </c>
      <c r="AO273" s="29" t="s">
        <v>0</v>
      </c>
      <c r="AP273" s="32" t="s">
        <v>0</v>
      </c>
      <c r="AQ273" s="32" t="s">
        <v>0</v>
      </c>
      <c r="AR27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73" s="9" t="str">
        <f t="shared" si="203"/>
        <v>-</v>
      </c>
      <c r="AT273" s="9">
        <f>IF(RIGHT(TMK[[#This Row],[Device type]],7)="Winding","-",TMK[[#This Row],[Cont Winter MVA]])</f>
        <v>9.0690180284306408</v>
      </c>
      <c r="AU273" s="9">
        <f>IF(RIGHT(TMK[[#This Row],[Device type]],7)="Winding","-",TMK[[#This Row],[Cont Shoulder MVA]])</f>
        <v>9.0690180284306408</v>
      </c>
      <c r="AV273" s="9">
        <f>IF(RIGHT(TMK[[#This Row],[Device type]],7)="Winding","-",TMK[[#This Row],[Cont Summer MVA]])</f>
        <v>9.0690180284306408</v>
      </c>
      <c r="AW273" s="9" t="str">
        <f>IF(RIGHT(TMK[[#This Row],[Device type]],7)="Winding","-",TMK[[#This Row],[24 Hr Winter MVA]])</f>
        <v>-</v>
      </c>
      <c r="AX273" s="9" t="str">
        <f>IF(RIGHT(TMK[[#This Row],[Device type]],7)="Winding","-",TMK[[#This Row],[24 Hr Summer MVA]])</f>
        <v>-</v>
      </c>
      <c r="AY273" s="9">
        <f>TMK[[#This Row],[Forwards MVA]]</f>
        <v>9.1452282639636717</v>
      </c>
      <c r="AZ273" s="9" t="str">
        <f>TMK[[#This Row],[Relay MVA]]</f>
        <v>-</v>
      </c>
      <c r="BA273" s="9">
        <f>TMK[[#This Row],[CT MVA]]</f>
        <v>7.6210235533030604</v>
      </c>
      <c r="BB273" s="9" t="str">
        <f>TMK[[#This Row],[Derating MVA]]</f>
        <v>-</v>
      </c>
      <c r="BC273" s="9" t="str">
        <f>TMK[[#This Row],[Station/Feeder]]&amp;TMK[[#This Row],[Lowest MVA]]</f>
        <v>T611_Effluent Plant7.62102355330306</v>
      </c>
      <c r="BD273" s="9" t="str">
        <f>CONCATENATE(TMK[[#This Row],[Supply Level]],TMK[[#This Row],[Station/Feeder]],TMK[[#This Row],[Voltage]],TMK[[#This Row],[Lowest A-No PTX]])</f>
        <v>DistributionFeederT611_Effluent Plant11400</v>
      </c>
      <c r="BE273" s="9" t="str">
        <f>CONCATENATE(TMK[[#This Row],[Supply Level]],TMK[[#This Row],[Station/Feeder]],TMK[[#This Row],[Voltage]],TMK[[#This Row],[Lowest A-PTX]])</f>
        <v>DistributionFeederT611_Effluent Plant11400</v>
      </c>
      <c r="BF273" s="9">
        <f>IFERROR(IF(MIN(TMK[[#This Row],[Summ Cont Winter A]:[Cable Derating]])=0,"",MIN(TMK[[#This Row],[Summ Cont Winter A]:[Cable Derating]])),"")</f>
        <v>7.6210235533030604</v>
      </c>
      <c r="BG273" s="9">
        <f>IFERROR(TMK[[#This Row],[Lowest MVA]]*1000/(TMK[[#This Row],[Voltage]]*SQRT(3)),"")</f>
        <v>400</v>
      </c>
      <c r="BH273" s="9">
        <f t="shared" si="195"/>
        <v>400</v>
      </c>
      <c r="BI273" s="9" t="str">
        <f>TMK[[#This Row],[From]]</f>
        <v>11 kV Bus</v>
      </c>
      <c r="BJ273" s="9" t="str">
        <f>TMK[[#This Row],[To]]</f>
        <v>T246</v>
      </c>
      <c r="BK27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Breaker-CD1-T611</v>
      </c>
      <c r="BL273" s="9">
        <f>TMK[[#This Row],[Voltage]]</f>
        <v>11</v>
      </c>
    </row>
    <row r="274" spans="1:64" s="1" customFormat="1" ht="15" customHeight="1" x14ac:dyDescent="0.25">
      <c r="A274" s="6" t="str">
        <f>CONCATENATE(TMK[[#This Row],[Supply Level]],TMK[[#This Row],[Station/Feeder]],TMK[[#This Row],[Voltage]])</f>
        <v>DistributionFeederT611_Effluent Plant11</v>
      </c>
      <c r="B274" s="6" t="str">
        <f>CONCATENATE(TMK[[#This Row],[Supply Level]],TMK[[#This Row],[Station/Feeder]],TMK[[#This Row],[Equipment ID]],TMK[[#This Row],[Voltage]],TMK[[#This Row],[Device type]])</f>
        <v>DistributionFeederT611_Effluent Plant1-3c 185 mm² Al PILC11-</v>
      </c>
      <c r="C274" s="6" t="s">
        <v>1276</v>
      </c>
      <c r="D274" s="11" t="s">
        <v>147</v>
      </c>
      <c r="E274" s="7" t="s">
        <v>243</v>
      </c>
      <c r="F274" s="7" t="s">
        <v>673</v>
      </c>
      <c r="G274" s="56">
        <v>2</v>
      </c>
      <c r="H274" s="7" t="s">
        <v>585</v>
      </c>
      <c r="I274" s="123" t="s">
        <v>665</v>
      </c>
      <c r="J274" s="123" t="s">
        <v>250</v>
      </c>
      <c r="K274" s="46" t="s">
        <v>0</v>
      </c>
      <c r="L274" s="46" t="s">
        <v>0</v>
      </c>
      <c r="M274" s="43">
        <v>11</v>
      </c>
      <c r="N274" s="9">
        <v>300</v>
      </c>
      <c r="O274" s="9">
        <f t="shared" si="190"/>
        <v>5.715767664977295</v>
      </c>
      <c r="P274" s="9">
        <v>300</v>
      </c>
      <c r="Q274" s="9">
        <f t="shared" si="191"/>
        <v>5.715767664977295</v>
      </c>
      <c r="R274" s="9">
        <v>300</v>
      </c>
      <c r="S274" s="9">
        <f t="shared" si="192"/>
        <v>5.715767664977295</v>
      </c>
      <c r="T274" s="9" t="s">
        <v>0</v>
      </c>
      <c r="U274" s="9" t="str">
        <f t="shared" si="193"/>
        <v>-</v>
      </c>
      <c r="V274" s="9" t="s">
        <v>0</v>
      </c>
      <c r="W274" s="9" t="str">
        <f t="shared" si="194"/>
        <v>-</v>
      </c>
      <c r="X274" s="9" t="s">
        <v>0</v>
      </c>
      <c r="Y274" s="9" t="str">
        <f t="shared" si="199"/>
        <v>-</v>
      </c>
      <c r="Z274" s="9" t="s">
        <v>0</v>
      </c>
      <c r="AA274" s="9" t="str">
        <f t="shared" si="200"/>
        <v>-</v>
      </c>
      <c r="AB274" s="9" t="s">
        <v>0</v>
      </c>
      <c r="AC274" s="9" t="str">
        <f t="shared" si="201"/>
        <v>-</v>
      </c>
      <c r="AD274" s="9" t="s">
        <v>0</v>
      </c>
      <c r="AE274" s="12" t="str">
        <f t="shared" si="202"/>
        <v>-</v>
      </c>
      <c r="AF274" s="9">
        <v>3</v>
      </c>
      <c r="AG274" s="9" t="s">
        <v>265</v>
      </c>
      <c r="AH274" s="9">
        <v>337.6</v>
      </c>
      <c r="AI274" s="9">
        <v>1</v>
      </c>
      <c r="AJ274" s="32">
        <v>0.98</v>
      </c>
      <c r="AK274" s="29">
        <v>19</v>
      </c>
      <c r="AL274" s="32">
        <v>0.97</v>
      </c>
      <c r="AM274" s="29">
        <v>1.2</v>
      </c>
      <c r="AN274" s="32">
        <v>1</v>
      </c>
      <c r="AO274" s="29">
        <v>6</v>
      </c>
      <c r="AP274" s="32">
        <v>0.15</v>
      </c>
      <c r="AQ274" s="32">
        <v>0.63</v>
      </c>
      <c r="AR274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179.6634</v>
      </c>
      <c r="AS274" s="9">
        <f t="shared" si="203"/>
        <v>3.4230475076662725</v>
      </c>
      <c r="AT274" s="9">
        <f>IF(RIGHT(TMK[[#This Row],[Device type]],7)="Winding","-",TMK[[#This Row],[Cont Winter MVA]])</f>
        <v>5.715767664977295</v>
      </c>
      <c r="AU274" s="9">
        <f>IF(RIGHT(TMK[[#This Row],[Device type]],7)="Winding","-",TMK[[#This Row],[Cont Shoulder MVA]])</f>
        <v>5.715767664977295</v>
      </c>
      <c r="AV274" s="9">
        <f>IF(RIGHT(TMK[[#This Row],[Device type]],7)="Winding","-",TMK[[#This Row],[Cont Summer MVA]])</f>
        <v>5.715767664977295</v>
      </c>
      <c r="AW274" s="9" t="str">
        <f>IF(RIGHT(TMK[[#This Row],[Device type]],7)="Winding","-",TMK[[#This Row],[24 Hr Winter MVA]])</f>
        <v>-</v>
      </c>
      <c r="AX274" s="9" t="str">
        <f>IF(RIGHT(TMK[[#This Row],[Device type]],7)="Winding","-",TMK[[#This Row],[24 Hr Summer MVA]])</f>
        <v>-</v>
      </c>
      <c r="AY274" s="9" t="str">
        <f>TMK[[#This Row],[Forwards MVA]]</f>
        <v>-</v>
      </c>
      <c r="AZ274" s="9" t="str">
        <f>TMK[[#This Row],[Relay MVA]]</f>
        <v>-</v>
      </c>
      <c r="BA274" s="9" t="str">
        <f>TMK[[#This Row],[CT MVA]]</f>
        <v>-</v>
      </c>
      <c r="BB274" s="9">
        <f>TMK[[#This Row],[Derating MVA]]</f>
        <v>3.4230475076662725</v>
      </c>
      <c r="BC274" s="9" t="str">
        <f>TMK[[#This Row],[Station/Feeder]]&amp;TMK[[#This Row],[Lowest MVA]]</f>
        <v>T611_Effluent Plant3.42304750766627</v>
      </c>
      <c r="BD274" s="9" t="str">
        <f>CONCATENATE(TMK[[#This Row],[Supply Level]],TMK[[#This Row],[Station/Feeder]],TMK[[#This Row],[Voltage]],TMK[[#This Row],[Lowest A-No PTX]])</f>
        <v>DistributionFeederT611_Effluent Plant11179.6634</v>
      </c>
      <c r="BE274" s="9" t="str">
        <f>CONCATENATE(TMK[[#This Row],[Supply Level]],TMK[[#This Row],[Station/Feeder]],TMK[[#This Row],[Voltage]],TMK[[#This Row],[Lowest A-PTX]])</f>
        <v>DistributionFeederT611_Effluent Plant11179.6634</v>
      </c>
      <c r="BF274" s="9">
        <f>IFERROR(IF(MIN(TMK[[#This Row],[Summ Cont Winter A]:[Cable Derating]])=0,"",MIN(TMK[[#This Row],[Summ Cont Winter A]:[Cable Derating]])),"")</f>
        <v>3.4230475076662725</v>
      </c>
      <c r="BG274" s="9">
        <f>IFERROR(TMK[[#This Row],[Lowest MVA]]*1000/(TMK[[#This Row],[Voltage]]*SQRT(3)),"")</f>
        <v>179.6634</v>
      </c>
      <c r="BH274" s="9">
        <f t="shared" si="195"/>
        <v>179.6634</v>
      </c>
      <c r="BI274" s="9" t="str">
        <f>TMK[[#This Row],[From]]</f>
        <v>11 kV Bus</v>
      </c>
      <c r="BJ274" s="9" t="str">
        <f>TMK[[#This Row],[To]]</f>
        <v>T246</v>
      </c>
      <c r="BK27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185 mm² Al PILC</v>
      </c>
      <c r="BL274" s="9">
        <f>TMK[[#This Row],[Voltage]]</f>
        <v>11</v>
      </c>
    </row>
    <row r="275" spans="1:64" s="1" customFormat="1" ht="15" customHeight="1" x14ac:dyDescent="0.25">
      <c r="A275" s="6" t="str">
        <f>CONCATENATE(TMK[[#This Row],[Supply Level]],TMK[[#This Row],[Station/Feeder]],TMK[[#This Row],[Voltage]])</f>
        <v>DistributionFeederT611_Effluent Plant11</v>
      </c>
      <c r="B275" s="6" t="str">
        <f>CONCATENATE(TMK[[#This Row],[Supply Level]],TMK[[#This Row],[Station/Feeder]],TMK[[#This Row],[Equipment ID]],TMK[[#This Row],[Voltage]],TMK[[#This Row],[Device type]])</f>
        <v>DistributionFeederT611_Effluent PlantT24611-</v>
      </c>
      <c r="C275" s="6" t="s">
        <v>1276</v>
      </c>
      <c r="D275" s="11" t="s">
        <v>147</v>
      </c>
      <c r="E275" s="7" t="s">
        <v>243</v>
      </c>
      <c r="F275" s="7" t="s">
        <v>673</v>
      </c>
      <c r="G275" s="56">
        <v>3</v>
      </c>
      <c r="H275" s="7" t="s">
        <v>273</v>
      </c>
      <c r="I275" s="7" t="s">
        <v>673</v>
      </c>
      <c r="J275" s="123" t="s">
        <v>670</v>
      </c>
      <c r="K275" s="46" t="s">
        <v>0</v>
      </c>
      <c r="L275" s="46" t="s">
        <v>0</v>
      </c>
      <c r="M275" s="43">
        <v>11</v>
      </c>
      <c r="N275" s="9">
        <v>630</v>
      </c>
      <c r="O275" s="9">
        <f t="shared" si="190"/>
        <v>12.00311209645232</v>
      </c>
      <c r="P275" s="9">
        <v>630</v>
      </c>
      <c r="Q275" s="9">
        <f t="shared" si="191"/>
        <v>12.00311209645232</v>
      </c>
      <c r="R275" s="9">
        <v>630</v>
      </c>
      <c r="S275" s="9">
        <f t="shared" si="192"/>
        <v>12.00311209645232</v>
      </c>
      <c r="T275" s="9" t="s">
        <v>0</v>
      </c>
      <c r="U275" s="9" t="str">
        <f t="shared" si="193"/>
        <v>-</v>
      </c>
      <c r="V275" s="9" t="s">
        <v>0</v>
      </c>
      <c r="W275" s="9" t="str">
        <f t="shared" si="194"/>
        <v>-</v>
      </c>
      <c r="X275" s="9" t="s">
        <v>0</v>
      </c>
      <c r="Y275" s="9" t="str">
        <f t="shared" si="199"/>
        <v>-</v>
      </c>
      <c r="Z275" s="9" t="s">
        <v>0</v>
      </c>
      <c r="AA275" s="9" t="str">
        <f t="shared" si="200"/>
        <v>-</v>
      </c>
      <c r="AB275" s="9" t="s">
        <v>0</v>
      </c>
      <c r="AC275" s="9" t="str">
        <f t="shared" si="201"/>
        <v>-</v>
      </c>
      <c r="AD275" s="9" t="s">
        <v>0</v>
      </c>
      <c r="AE275" s="12" t="str">
        <f t="shared" si="202"/>
        <v>-</v>
      </c>
      <c r="AF275" s="9" t="s">
        <v>0</v>
      </c>
      <c r="AG275" s="9" t="s">
        <v>0</v>
      </c>
      <c r="AH275" s="9" t="s">
        <v>0</v>
      </c>
      <c r="AI275" s="9" t="s">
        <v>0</v>
      </c>
      <c r="AJ275" s="32" t="s">
        <v>0</v>
      </c>
      <c r="AK275" s="29" t="s">
        <v>0</v>
      </c>
      <c r="AL275" s="32" t="s">
        <v>0</v>
      </c>
      <c r="AM275" s="29" t="s">
        <v>0</v>
      </c>
      <c r="AN275" s="32" t="s">
        <v>0</v>
      </c>
      <c r="AO275" s="29" t="s">
        <v>0</v>
      </c>
      <c r="AP275" s="32" t="s">
        <v>0</v>
      </c>
      <c r="AQ275" s="32" t="s">
        <v>0</v>
      </c>
      <c r="AR275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75" s="9" t="str">
        <f t="shared" si="203"/>
        <v>-</v>
      </c>
      <c r="AT275" s="9">
        <f>IF(RIGHT(TMK[[#This Row],[Device type]],7)="Winding","-",TMK[[#This Row],[Cont Winter MVA]])</f>
        <v>12.00311209645232</v>
      </c>
      <c r="AU275" s="9">
        <f>IF(RIGHT(TMK[[#This Row],[Device type]],7)="Winding","-",TMK[[#This Row],[Cont Shoulder MVA]])</f>
        <v>12.00311209645232</v>
      </c>
      <c r="AV275" s="9">
        <f>IF(RIGHT(TMK[[#This Row],[Device type]],7)="Winding","-",TMK[[#This Row],[Cont Summer MVA]])</f>
        <v>12.00311209645232</v>
      </c>
      <c r="AW275" s="9" t="str">
        <f>IF(RIGHT(TMK[[#This Row],[Device type]],7)="Winding","-",TMK[[#This Row],[24 Hr Winter MVA]])</f>
        <v>-</v>
      </c>
      <c r="AX275" s="9" t="str">
        <f>IF(RIGHT(TMK[[#This Row],[Device type]],7)="Winding","-",TMK[[#This Row],[24 Hr Summer MVA]])</f>
        <v>-</v>
      </c>
      <c r="AY275" s="9" t="str">
        <f>TMK[[#This Row],[Forwards MVA]]</f>
        <v>-</v>
      </c>
      <c r="AZ275" s="9" t="str">
        <f>TMK[[#This Row],[Relay MVA]]</f>
        <v>-</v>
      </c>
      <c r="BA275" s="9" t="str">
        <f>TMK[[#This Row],[CT MVA]]</f>
        <v>-</v>
      </c>
      <c r="BB275" s="9" t="str">
        <f>TMK[[#This Row],[Derating MVA]]</f>
        <v>-</v>
      </c>
      <c r="BC275" s="9" t="str">
        <f>TMK[[#This Row],[Station/Feeder]]&amp;TMK[[#This Row],[Lowest MVA]]</f>
        <v>T611_Effluent Plant12.0031120964523</v>
      </c>
      <c r="BD275" s="9" t="str">
        <f>CONCATENATE(TMK[[#This Row],[Supply Level]],TMK[[#This Row],[Station/Feeder]],TMK[[#This Row],[Voltage]],TMK[[#This Row],[Lowest A-No PTX]])</f>
        <v>DistributionFeederT611_Effluent Plant11630</v>
      </c>
      <c r="BE275" s="9" t="str">
        <f>CONCATENATE(TMK[[#This Row],[Supply Level]],TMK[[#This Row],[Station/Feeder]],TMK[[#This Row],[Voltage]],TMK[[#This Row],[Lowest A-PTX]])</f>
        <v>DistributionFeederT611_Effluent Plant11630</v>
      </c>
      <c r="BF275" s="9">
        <f>IFERROR(IF(MIN(TMK[[#This Row],[Summ Cont Winter A]:[Cable Derating]])=0,"",MIN(TMK[[#This Row],[Summ Cont Winter A]:[Cable Derating]])),"")</f>
        <v>12.00311209645232</v>
      </c>
      <c r="BG275" s="9">
        <f>IFERROR(TMK[[#This Row],[Lowest MVA]]*1000/(TMK[[#This Row],[Voltage]]*SQRT(3)),"")</f>
        <v>630</v>
      </c>
      <c r="BH275" s="9">
        <f t="shared" si="195"/>
        <v>630</v>
      </c>
      <c r="BI275" s="9" t="str">
        <f>TMK[[#This Row],[From]]</f>
        <v>11 kV Bus</v>
      </c>
      <c r="BJ275" s="9" t="str">
        <f>TMK[[#This Row],[To]]</f>
        <v>T246</v>
      </c>
      <c r="BK27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Switch-T246</v>
      </c>
      <c r="BL275" s="9">
        <f>TMK[[#This Row],[Voltage]]</f>
        <v>11</v>
      </c>
    </row>
    <row r="276" spans="1:64" s="1" customFormat="1" ht="15" customHeight="1" x14ac:dyDescent="0.25">
      <c r="A276" s="6" t="str">
        <f>CONCATENATE(TMK[[#This Row],[Supply Level]],TMK[[#This Row],[Station/Feeder]],TMK[[#This Row],[Voltage]])</f>
        <v>DistributionFeederT612_Milk Treatment11</v>
      </c>
      <c r="B276" s="6" t="str">
        <f>CONCATENATE(TMK[[#This Row],[Supply Level]],TMK[[#This Row],[Station/Feeder]],TMK[[#This Row],[Equipment ID]],TMK[[#This Row],[Voltage]],TMK[[#This Row],[Device type]])</f>
        <v>DistributionFeederT612_Milk TreatmentCD1-T61211-</v>
      </c>
      <c r="C276" s="6" t="s">
        <v>1276</v>
      </c>
      <c r="D276" s="11" t="s">
        <v>149</v>
      </c>
      <c r="E276" s="7" t="s">
        <v>243</v>
      </c>
      <c r="F276" s="7" t="s">
        <v>674</v>
      </c>
      <c r="G276" s="56">
        <v>1</v>
      </c>
      <c r="H276" s="7" t="s">
        <v>343</v>
      </c>
      <c r="I276" s="123" t="s">
        <v>2448</v>
      </c>
      <c r="J276" s="123" t="s">
        <v>15</v>
      </c>
      <c r="K276" s="46" t="s">
        <v>0</v>
      </c>
      <c r="L276" s="46" t="s">
        <v>0</v>
      </c>
      <c r="M276" s="43">
        <v>11</v>
      </c>
      <c r="N276" s="9">
        <v>476</v>
      </c>
      <c r="O276" s="9">
        <f t="shared" si="190"/>
        <v>9.0690180284306408</v>
      </c>
      <c r="P276" s="9">
        <v>476</v>
      </c>
      <c r="Q276" s="9">
        <f t="shared" si="191"/>
        <v>9.0690180284306408</v>
      </c>
      <c r="R276" s="9">
        <v>476</v>
      </c>
      <c r="S276" s="9">
        <f t="shared" si="192"/>
        <v>9.0690180284306408</v>
      </c>
      <c r="T276" s="9" t="s">
        <v>0</v>
      </c>
      <c r="U276" s="9" t="str">
        <f t="shared" si="193"/>
        <v>-</v>
      </c>
      <c r="V276" s="9" t="s">
        <v>0</v>
      </c>
      <c r="W276" s="9" t="str">
        <f t="shared" si="194"/>
        <v>-</v>
      </c>
      <c r="X276" s="9">
        <f>VLOOKUP(TMK[[#This Row],[Equipment ID]],AEL_Protection_Data[#All],12,0)</f>
        <v>480</v>
      </c>
      <c r="Y276" s="9">
        <f t="shared" si="199"/>
        <v>9.1452282639636717</v>
      </c>
      <c r="Z276" s="9">
        <v>480</v>
      </c>
      <c r="AA276" s="9">
        <f t="shared" si="200"/>
        <v>9.1452282639636717</v>
      </c>
      <c r="AB276" s="9" t="s">
        <v>0</v>
      </c>
      <c r="AC276" s="9" t="str">
        <f t="shared" si="201"/>
        <v>-</v>
      </c>
      <c r="AD276" s="9">
        <v>400</v>
      </c>
      <c r="AE276" s="12">
        <f t="shared" si="202"/>
        <v>7.6210235533030604</v>
      </c>
      <c r="AF276" s="9" t="s">
        <v>0</v>
      </c>
      <c r="AG276" s="9" t="s">
        <v>0</v>
      </c>
      <c r="AH276" s="9" t="s">
        <v>0</v>
      </c>
      <c r="AI276" s="9" t="s">
        <v>0</v>
      </c>
      <c r="AJ276" s="32" t="s">
        <v>0</v>
      </c>
      <c r="AK276" s="29" t="s">
        <v>0</v>
      </c>
      <c r="AL276" s="32" t="s">
        <v>0</v>
      </c>
      <c r="AM276" s="29" t="s">
        <v>0</v>
      </c>
      <c r="AN276" s="32" t="s">
        <v>0</v>
      </c>
      <c r="AO276" s="29" t="s">
        <v>0</v>
      </c>
      <c r="AP276" s="32" t="s">
        <v>0</v>
      </c>
      <c r="AQ276" s="32" t="s">
        <v>0</v>
      </c>
      <c r="AR27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76" s="9" t="str">
        <f t="shared" si="203"/>
        <v>-</v>
      </c>
      <c r="AT276" s="9">
        <f>IF(RIGHT(TMK[[#This Row],[Device type]],7)="Winding","-",TMK[[#This Row],[Cont Winter MVA]])</f>
        <v>9.0690180284306408</v>
      </c>
      <c r="AU276" s="9">
        <f>IF(RIGHT(TMK[[#This Row],[Device type]],7)="Winding","-",TMK[[#This Row],[Cont Shoulder MVA]])</f>
        <v>9.0690180284306408</v>
      </c>
      <c r="AV276" s="9">
        <f>IF(RIGHT(TMK[[#This Row],[Device type]],7)="Winding","-",TMK[[#This Row],[Cont Summer MVA]])</f>
        <v>9.0690180284306408</v>
      </c>
      <c r="AW276" s="9" t="str">
        <f>IF(RIGHT(TMK[[#This Row],[Device type]],7)="Winding","-",TMK[[#This Row],[24 Hr Winter MVA]])</f>
        <v>-</v>
      </c>
      <c r="AX276" s="9" t="str">
        <f>IF(RIGHT(TMK[[#This Row],[Device type]],7)="Winding","-",TMK[[#This Row],[24 Hr Summer MVA]])</f>
        <v>-</v>
      </c>
      <c r="AY276" s="9">
        <f>TMK[[#This Row],[Forwards MVA]]</f>
        <v>9.1452282639636717</v>
      </c>
      <c r="AZ276" s="9" t="str">
        <f>TMK[[#This Row],[Relay MVA]]</f>
        <v>-</v>
      </c>
      <c r="BA276" s="9">
        <f>TMK[[#This Row],[CT MVA]]</f>
        <v>7.6210235533030604</v>
      </c>
      <c r="BB276" s="9" t="str">
        <f>TMK[[#This Row],[Derating MVA]]</f>
        <v>-</v>
      </c>
      <c r="BC276" s="9" t="str">
        <f>TMK[[#This Row],[Station/Feeder]]&amp;TMK[[#This Row],[Lowest MVA]]</f>
        <v>T612_Milk Treatment7.62102355330306</v>
      </c>
      <c r="BD276" s="9" t="str">
        <f>CONCATENATE(TMK[[#This Row],[Supply Level]],TMK[[#This Row],[Station/Feeder]],TMK[[#This Row],[Voltage]],TMK[[#This Row],[Lowest A-No PTX]])</f>
        <v>DistributionFeederT612_Milk Treatment11400</v>
      </c>
      <c r="BE276" s="9" t="str">
        <f>CONCATENATE(TMK[[#This Row],[Supply Level]],TMK[[#This Row],[Station/Feeder]],TMK[[#This Row],[Voltage]],TMK[[#This Row],[Lowest A-PTX]])</f>
        <v>DistributionFeederT612_Milk Treatment11400</v>
      </c>
      <c r="BF276" s="9">
        <f>IFERROR(IF(MIN(TMK[[#This Row],[Summ Cont Winter A]:[Cable Derating]])=0,"",MIN(TMK[[#This Row],[Summ Cont Winter A]:[Cable Derating]])),"")</f>
        <v>7.6210235533030604</v>
      </c>
      <c r="BG276" s="9">
        <f>IFERROR(TMK[[#This Row],[Lowest MVA]]*1000/(TMK[[#This Row],[Voltage]]*SQRT(3)),"")</f>
        <v>400</v>
      </c>
      <c r="BH276" s="9">
        <f t="shared" si="195"/>
        <v>400</v>
      </c>
      <c r="BI276" s="9" t="str">
        <f>TMK[[#This Row],[From]]</f>
        <v>11 kV Bus</v>
      </c>
      <c r="BJ276" s="9" t="str">
        <f>TMK[[#This Row],[To]]</f>
        <v>T139</v>
      </c>
      <c r="BK27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Breaker-CD1-T612</v>
      </c>
      <c r="BL276" s="9">
        <f>TMK[[#This Row],[Voltage]]</f>
        <v>11</v>
      </c>
    </row>
    <row r="277" spans="1:64" s="1" customFormat="1" ht="15" customHeight="1" x14ac:dyDescent="0.25">
      <c r="A277" s="6" t="str">
        <f>CONCATENATE(TMK[[#This Row],[Supply Level]],TMK[[#This Row],[Station/Feeder]],TMK[[#This Row],[Voltage]])</f>
        <v>DistributionFeederT612_Milk Treatment11</v>
      </c>
      <c r="B277" s="6" t="str">
        <f>CONCATENATE(TMK[[#This Row],[Supply Level]],TMK[[#This Row],[Station/Feeder]],TMK[[#This Row],[Equipment ID]],TMK[[#This Row],[Voltage]],TMK[[#This Row],[Device type]])</f>
        <v>DistributionFeederT612_Milk Treatment1-3c 95 mm² Al PILC11-</v>
      </c>
      <c r="C277" s="6" t="s">
        <v>1276</v>
      </c>
      <c r="D277" s="11" t="s">
        <v>149</v>
      </c>
      <c r="E277" s="7" t="s">
        <v>243</v>
      </c>
      <c r="F277" s="7" t="s">
        <v>674</v>
      </c>
      <c r="G277" s="56">
        <v>2</v>
      </c>
      <c r="H277" s="7" t="s">
        <v>585</v>
      </c>
      <c r="I277" s="123" t="s">
        <v>570</v>
      </c>
      <c r="J277" s="123" t="s">
        <v>250</v>
      </c>
      <c r="K277" s="46" t="s">
        <v>0</v>
      </c>
      <c r="L277" s="46" t="s">
        <v>0</v>
      </c>
      <c r="M277" s="43">
        <v>11</v>
      </c>
      <c r="N277" s="9">
        <v>205</v>
      </c>
      <c r="O277" s="9">
        <f t="shared" si="190"/>
        <v>3.905774571067818</v>
      </c>
      <c r="P277" s="9">
        <v>205</v>
      </c>
      <c r="Q277" s="9">
        <f t="shared" si="191"/>
        <v>3.905774571067818</v>
      </c>
      <c r="R277" s="9">
        <v>205</v>
      </c>
      <c r="S277" s="9">
        <f t="shared" si="192"/>
        <v>3.905774571067818</v>
      </c>
      <c r="T277" s="9" t="s">
        <v>0</v>
      </c>
      <c r="U277" s="9" t="str">
        <f t="shared" si="193"/>
        <v>-</v>
      </c>
      <c r="V277" s="9" t="s">
        <v>0</v>
      </c>
      <c r="W277" s="9" t="str">
        <f t="shared" si="194"/>
        <v>-</v>
      </c>
      <c r="X277" s="9" t="s">
        <v>0</v>
      </c>
      <c r="Y277" s="9" t="str">
        <f t="shared" si="199"/>
        <v>-</v>
      </c>
      <c r="Z277" s="9" t="s">
        <v>0</v>
      </c>
      <c r="AA277" s="9" t="str">
        <f t="shared" si="200"/>
        <v>-</v>
      </c>
      <c r="AB277" s="9" t="s">
        <v>0</v>
      </c>
      <c r="AC277" s="9" t="str">
        <f t="shared" si="201"/>
        <v>-</v>
      </c>
      <c r="AD277" s="9" t="s">
        <v>0</v>
      </c>
      <c r="AE277" s="12" t="str">
        <f t="shared" si="202"/>
        <v>-</v>
      </c>
      <c r="AF277" s="9">
        <v>3</v>
      </c>
      <c r="AG277" s="9" t="s">
        <v>265</v>
      </c>
      <c r="AH277" s="9">
        <v>194.3</v>
      </c>
      <c r="AI277" s="9">
        <v>1</v>
      </c>
      <c r="AJ277" s="32">
        <v>0.98</v>
      </c>
      <c r="AK277" s="29">
        <v>19</v>
      </c>
      <c r="AL277" s="32">
        <v>0.97</v>
      </c>
      <c r="AM277" s="29">
        <v>1.2</v>
      </c>
      <c r="AN277" s="32">
        <v>1</v>
      </c>
      <c r="AO277" s="29">
        <v>6</v>
      </c>
      <c r="AP277" s="32">
        <v>0.15</v>
      </c>
      <c r="AQ277" s="32">
        <v>0.63</v>
      </c>
      <c r="AR277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122.76999000000001</v>
      </c>
      <c r="AS277" s="9">
        <f t="shared" si="203"/>
        <v>2.3390824635719527</v>
      </c>
      <c r="AT277" s="9">
        <f>IF(RIGHT(TMK[[#This Row],[Device type]],7)="Winding","-",TMK[[#This Row],[Cont Winter MVA]])</f>
        <v>3.905774571067818</v>
      </c>
      <c r="AU277" s="9">
        <f>IF(RIGHT(TMK[[#This Row],[Device type]],7)="Winding","-",TMK[[#This Row],[Cont Shoulder MVA]])</f>
        <v>3.905774571067818</v>
      </c>
      <c r="AV277" s="9">
        <f>IF(RIGHT(TMK[[#This Row],[Device type]],7)="Winding","-",TMK[[#This Row],[Cont Summer MVA]])</f>
        <v>3.905774571067818</v>
      </c>
      <c r="AW277" s="9" t="str">
        <f>IF(RIGHT(TMK[[#This Row],[Device type]],7)="Winding","-",TMK[[#This Row],[24 Hr Winter MVA]])</f>
        <v>-</v>
      </c>
      <c r="AX277" s="9" t="str">
        <f>IF(RIGHT(TMK[[#This Row],[Device type]],7)="Winding","-",TMK[[#This Row],[24 Hr Summer MVA]])</f>
        <v>-</v>
      </c>
      <c r="AY277" s="9" t="str">
        <f>TMK[[#This Row],[Forwards MVA]]</f>
        <v>-</v>
      </c>
      <c r="AZ277" s="9" t="str">
        <f>TMK[[#This Row],[Relay MVA]]</f>
        <v>-</v>
      </c>
      <c r="BA277" s="9" t="str">
        <f>TMK[[#This Row],[CT MVA]]</f>
        <v>-</v>
      </c>
      <c r="BB277" s="9">
        <f>TMK[[#This Row],[Derating MVA]]</f>
        <v>2.3390824635719527</v>
      </c>
      <c r="BC277" s="9" t="str">
        <f>TMK[[#This Row],[Station/Feeder]]&amp;TMK[[#This Row],[Lowest MVA]]</f>
        <v>T612_Milk Treatment2.33908246357195</v>
      </c>
      <c r="BD277" s="9" t="str">
        <f>CONCATENATE(TMK[[#This Row],[Supply Level]],TMK[[#This Row],[Station/Feeder]],TMK[[#This Row],[Voltage]],TMK[[#This Row],[Lowest A-No PTX]])</f>
        <v>DistributionFeederT612_Milk Treatment11122.76999</v>
      </c>
      <c r="BE277" s="9" t="str">
        <f>CONCATENATE(TMK[[#This Row],[Supply Level]],TMK[[#This Row],[Station/Feeder]],TMK[[#This Row],[Voltage]],TMK[[#This Row],[Lowest A-PTX]])</f>
        <v>DistributionFeederT612_Milk Treatment11122.76999</v>
      </c>
      <c r="BF277" s="9">
        <f>IFERROR(IF(MIN(TMK[[#This Row],[Summ Cont Winter A]:[Cable Derating]])=0,"",MIN(TMK[[#This Row],[Summ Cont Winter A]:[Cable Derating]])),"")</f>
        <v>2.3390824635719527</v>
      </c>
      <c r="BG277" s="9">
        <f>IFERROR(TMK[[#This Row],[Lowest MVA]]*1000/(TMK[[#This Row],[Voltage]]*SQRT(3)),"")</f>
        <v>122.76998999999999</v>
      </c>
      <c r="BH277" s="9">
        <f t="shared" si="195"/>
        <v>122.76999000000001</v>
      </c>
      <c r="BI277" s="9" t="str">
        <f>TMK[[#This Row],[From]]</f>
        <v>11 kV Bus</v>
      </c>
      <c r="BJ277" s="9" t="str">
        <f>TMK[[#This Row],[To]]</f>
        <v>T139</v>
      </c>
      <c r="BK27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95 mm² Al PILC</v>
      </c>
      <c r="BL277" s="9">
        <f>TMK[[#This Row],[Voltage]]</f>
        <v>11</v>
      </c>
    </row>
    <row r="278" spans="1:64" s="1" customFormat="1" ht="15" customHeight="1" x14ac:dyDescent="0.25">
      <c r="A278" s="6" t="str">
        <f>CONCATENATE(TMK[[#This Row],[Supply Level]],TMK[[#This Row],[Station/Feeder]],TMK[[#This Row],[Voltage]])</f>
        <v>DistributionFeederT612_Milk Treatment11</v>
      </c>
      <c r="B278" s="6" t="str">
        <f>CONCATENATE(TMK[[#This Row],[Supply Level]],TMK[[#This Row],[Station/Feeder]],TMK[[#This Row],[Equipment ID]],TMK[[#This Row],[Voltage]],TMK[[#This Row],[Device type]])</f>
        <v>DistributionFeederT612_Milk TreatmentT13911-</v>
      </c>
      <c r="C278" s="6" t="s">
        <v>1276</v>
      </c>
      <c r="D278" s="11" t="s">
        <v>149</v>
      </c>
      <c r="E278" s="7" t="s">
        <v>243</v>
      </c>
      <c r="F278" s="7" t="s">
        <v>674</v>
      </c>
      <c r="G278" s="56">
        <v>3</v>
      </c>
      <c r="H278" s="7" t="s">
        <v>273</v>
      </c>
      <c r="I278" s="7" t="s">
        <v>674</v>
      </c>
      <c r="J278" s="123" t="s">
        <v>670</v>
      </c>
      <c r="K278" s="46" t="s">
        <v>0</v>
      </c>
      <c r="L278" s="46" t="s">
        <v>0</v>
      </c>
      <c r="M278" s="43">
        <v>11</v>
      </c>
      <c r="N278" s="9">
        <v>630</v>
      </c>
      <c r="O278" s="9">
        <f t="shared" si="190"/>
        <v>12.00311209645232</v>
      </c>
      <c r="P278" s="9">
        <v>630</v>
      </c>
      <c r="Q278" s="9">
        <f t="shared" si="191"/>
        <v>12.00311209645232</v>
      </c>
      <c r="R278" s="9">
        <v>630</v>
      </c>
      <c r="S278" s="9">
        <f t="shared" si="192"/>
        <v>12.00311209645232</v>
      </c>
      <c r="T278" s="9" t="s">
        <v>0</v>
      </c>
      <c r="U278" s="9" t="str">
        <f t="shared" si="193"/>
        <v>-</v>
      </c>
      <c r="V278" s="9" t="s">
        <v>0</v>
      </c>
      <c r="W278" s="9" t="str">
        <f t="shared" si="194"/>
        <v>-</v>
      </c>
      <c r="X278" s="9" t="s">
        <v>0</v>
      </c>
      <c r="Y278" s="9" t="str">
        <f t="shared" si="199"/>
        <v>-</v>
      </c>
      <c r="Z278" s="9" t="s">
        <v>0</v>
      </c>
      <c r="AA278" s="9" t="str">
        <f t="shared" si="200"/>
        <v>-</v>
      </c>
      <c r="AB278" s="9" t="s">
        <v>0</v>
      </c>
      <c r="AC278" s="9" t="str">
        <f t="shared" si="201"/>
        <v>-</v>
      </c>
      <c r="AD278" s="9" t="s">
        <v>0</v>
      </c>
      <c r="AE278" s="12" t="str">
        <f t="shared" si="202"/>
        <v>-</v>
      </c>
      <c r="AF278" s="9" t="s">
        <v>0</v>
      </c>
      <c r="AG278" s="9" t="s">
        <v>0</v>
      </c>
      <c r="AH278" s="9" t="s">
        <v>0</v>
      </c>
      <c r="AI278" s="9" t="s">
        <v>0</v>
      </c>
      <c r="AJ278" s="32" t="s">
        <v>0</v>
      </c>
      <c r="AK278" s="29" t="s">
        <v>0</v>
      </c>
      <c r="AL278" s="32" t="s">
        <v>0</v>
      </c>
      <c r="AM278" s="29" t="s">
        <v>0</v>
      </c>
      <c r="AN278" s="32" t="s">
        <v>0</v>
      </c>
      <c r="AO278" s="29" t="s">
        <v>0</v>
      </c>
      <c r="AP278" s="32" t="s">
        <v>0</v>
      </c>
      <c r="AQ278" s="32" t="s">
        <v>0</v>
      </c>
      <c r="AR278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78" s="9" t="str">
        <f t="shared" si="203"/>
        <v>-</v>
      </c>
      <c r="AT278" s="9">
        <f>IF(RIGHT(TMK[[#This Row],[Device type]],7)="Winding","-",TMK[[#This Row],[Cont Winter MVA]])</f>
        <v>12.00311209645232</v>
      </c>
      <c r="AU278" s="9">
        <f>IF(RIGHT(TMK[[#This Row],[Device type]],7)="Winding","-",TMK[[#This Row],[Cont Shoulder MVA]])</f>
        <v>12.00311209645232</v>
      </c>
      <c r="AV278" s="9">
        <f>IF(RIGHT(TMK[[#This Row],[Device type]],7)="Winding","-",TMK[[#This Row],[Cont Summer MVA]])</f>
        <v>12.00311209645232</v>
      </c>
      <c r="AW278" s="9" t="str">
        <f>IF(RIGHT(TMK[[#This Row],[Device type]],7)="Winding","-",TMK[[#This Row],[24 Hr Winter MVA]])</f>
        <v>-</v>
      </c>
      <c r="AX278" s="9" t="str">
        <f>IF(RIGHT(TMK[[#This Row],[Device type]],7)="Winding","-",TMK[[#This Row],[24 Hr Summer MVA]])</f>
        <v>-</v>
      </c>
      <c r="AY278" s="9" t="str">
        <f>TMK[[#This Row],[Forwards MVA]]</f>
        <v>-</v>
      </c>
      <c r="AZ278" s="9" t="str">
        <f>TMK[[#This Row],[Relay MVA]]</f>
        <v>-</v>
      </c>
      <c r="BA278" s="9" t="str">
        <f>TMK[[#This Row],[CT MVA]]</f>
        <v>-</v>
      </c>
      <c r="BB278" s="9" t="str">
        <f>TMK[[#This Row],[Derating MVA]]</f>
        <v>-</v>
      </c>
      <c r="BC278" s="9" t="str">
        <f>TMK[[#This Row],[Station/Feeder]]&amp;TMK[[#This Row],[Lowest MVA]]</f>
        <v>T612_Milk Treatment12.0031120964523</v>
      </c>
      <c r="BD278" s="9" t="str">
        <f>CONCATENATE(TMK[[#This Row],[Supply Level]],TMK[[#This Row],[Station/Feeder]],TMK[[#This Row],[Voltage]],TMK[[#This Row],[Lowest A-No PTX]])</f>
        <v>DistributionFeederT612_Milk Treatment11630</v>
      </c>
      <c r="BE278" s="9" t="str">
        <f>CONCATENATE(TMK[[#This Row],[Supply Level]],TMK[[#This Row],[Station/Feeder]],TMK[[#This Row],[Voltage]],TMK[[#This Row],[Lowest A-PTX]])</f>
        <v>DistributionFeederT612_Milk Treatment11630</v>
      </c>
      <c r="BF278" s="9">
        <f>IFERROR(IF(MIN(TMK[[#This Row],[Summ Cont Winter A]:[Cable Derating]])=0,"",MIN(TMK[[#This Row],[Summ Cont Winter A]:[Cable Derating]])),"")</f>
        <v>12.00311209645232</v>
      </c>
      <c r="BG278" s="9">
        <f>IFERROR(TMK[[#This Row],[Lowest MVA]]*1000/(TMK[[#This Row],[Voltage]]*SQRT(3)),"")</f>
        <v>630</v>
      </c>
      <c r="BH278" s="9">
        <f t="shared" si="195"/>
        <v>630</v>
      </c>
      <c r="BI278" s="9" t="str">
        <f>TMK[[#This Row],[From]]</f>
        <v>11 kV Bus</v>
      </c>
      <c r="BJ278" s="9" t="str">
        <f>TMK[[#This Row],[To]]</f>
        <v>T139</v>
      </c>
      <c r="BK27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Switch-T139</v>
      </c>
      <c r="BL278" s="9">
        <f>TMK[[#This Row],[Voltage]]</f>
        <v>11</v>
      </c>
    </row>
    <row r="279" spans="1:64" s="1" customFormat="1" ht="15" customHeight="1" x14ac:dyDescent="0.25">
      <c r="A279" s="6" t="str">
        <f>CONCATENATE(TMK[[#This Row],[Supply Level]],TMK[[#This Row],[Station/Feeder]],TMK[[#This Row],[Voltage]])</f>
        <v>DistributionFeederT613_Rolleston Rd11</v>
      </c>
      <c r="B279" s="6" t="str">
        <f>CONCATENATE(TMK[[#This Row],[Supply Level]],TMK[[#This Row],[Station/Feeder]],TMK[[#This Row],[Equipment ID]],TMK[[#This Row],[Voltage]],TMK[[#This Row],[Device type]])</f>
        <v>DistributionFeederT613_Rolleston RdCD1-T61311-</v>
      </c>
      <c r="C279" s="6" t="s">
        <v>1276</v>
      </c>
      <c r="D279" s="11" t="s">
        <v>152</v>
      </c>
      <c r="E279" s="7" t="s">
        <v>243</v>
      </c>
      <c r="F279" s="7" t="s">
        <v>677</v>
      </c>
      <c r="G279" s="56">
        <v>1</v>
      </c>
      <c r="H279" s="7" t="s">
        <v>343</v>
      </c>
      <c r="I279" s="123" t="s">
        <v>2449</v>
      </c>
      <c r="J279" s="123" t="s">
        <v>15</v>
      </c>
      <c r="K279" s="46" t="s">
        <v>0</v>
      </c>
      <c r="L279" s="46" t="s">
        <v>0</v>
      </c>
      <c r="M279" s="43">
        <v>11</v>
      </c>
      <c r="N279" s="9">
        <v>476</v>
      </c>
      <c r="O279" s="9">
        <f t="shared" si="190"/>
        <v>9.0690180284306408</v>
      </c>
      <c r="P279" s="9">
        <v>476</v>
      </c>
      <c r="Q279" s="9">
        <f t="shared" si="191"/>
        <v>9.0690180284306408</v>
      </c>
      <c r="R279" s="9">
        <v>476</v>
      </c>
      <c r="S279" s="9">
        <f t="shared" si="192"/>
        <v>9.0690180284306408</v>
      </c>
      <c r="T279" s="9" t="s">
        <v>0</v>
      </c>
      <c r="U279" s="9" t="str">
        <f t="shared" si="193"/>
        <v>-</v>
      </c>
      <c r="V279" s="9" t="s">
        <v>0</v>
      </c>
      <c r="W279" s="9" t="str">
        <f t="shared" si="194"/>
        <v>-</v>
      </c>
      <c r="X279" s="9">
        <f>VLOOKUP(TMK[[#This Row],[Equipment ID]],AEL_Protection_Data[#All],12,0)</f>
        <v>360</v>
      </c>
      <c r="Y279" s="9">
        <f t="shared" si="199"/>
        <v>6.8589211979727533</v>
      </c>
      <c r="Z279" s="9">
        <v>360</v>
      </c>
      <c r="AA279" s="9">
        <f t="shared" si="200"/>
        <v>6.8589211979727533</v>
      </c>
      <c r="AB279" s="9" t="s">
        <v>0</v>
      </c>
      <c r="AC279" s="9" t="str">
        <f t="shared" si="201"/>
        <v>-</v>
      </c>
      <c r="AD279" s="9">
        <v>400</v>
      </c>
      <c r="AE279" s="12">
        <f t="shared" si="202"/>
        <v>7.6210235533030604</v>
      </c>
      <c r="AF279" s="9" t="s">
        <v>0</v>
      </c>
      <c r="AG279" s="9" t="s">
        <v>0</v>
      </c>
      <c r="AH279" s="9" t="s">
        <v>0</v>
      </c>
      <c r="AI279" s="9" t="s">
        <v>0</v>
      </c>
      <c r="AJ279" s="32" t="s">
        <v>0</v>
      </c>
      <c r="AK279" s="29" t="s">
        <v>0</v>
      </c>
      <c r="AL279" s="32" t="s">
        <v>0</v>
      </c>
      <c r="AM279" s="29" t="s">
        <v>0</v>
      </c>
      <c r="AN279" s="32" t="s">
        <v>0</v>
      </c>
      <c r="AO279" s="29" t="s">
        <v>0</v>
      </c>
      <c r="AP279" s="32" t="s">
        <v>0</v>
      </c>
      <c r="AQ279" s="32" t="s">
        <v>0</v>
      </c>
      <c r="AR27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79" s="9" t="str">
        <f t="shared" si="203"/>
        <v>-</v>
      </c>
      <c r="AT279" s="9">
        <f>IF(RIGHT(TMK[[#This Row],[Device type]],7)="Winding","-",TMK[[#This Row],[Cont Winter MVA]])</f>
        <v>9.0690180284306408</v>
      </c>
      <c r="AU279" s="9">
        <f>IF(RIGHT(TMK[[#This Row],[Device type]],7)="Winding","-",TMK[[#This Row],[Cont Shoulder MVA]])</f>
        <v>9.0690180284306408</v>
      </c>
      <c r="AV279" s="9">
        <f>IF(RIGHT(TMK[[#This Row],[Device type]],7)="Winding","-",TMK[[#This Row],[Cont Summer MVA]])</f>
        <v>9.0690180284306408</v>
      </c>
      <c r="AW279" s="9" t="str">
        <f>IF(RIGHT(TMK[[#This Row],[Device type]],7)="Winding","-",TMK[[#This Row],[24 Hr Winter MVA]])</f>
        <v>-</v>
      </c>
      <c r="AX279" s="9" t="str">
        <f>IF(RIGHT(TMK[[#This Row],[Device type]],7)="Winding","-",TMK[[#This Row],[24 Hr Summer MVA]])</f>
        <v>-</v>
      </c>
      <c r="AY279" s="9">
        <f>TMK[[#This Row],[Forwards MVA]]</f>
        <v>6.8589211979727533</v>
      </c>
      <c r="AZ279" s="9" t="str">
        <f>TMK[[#This Row],[Relay MVA]]</f>
        <v>-</v>
      </c>
      <c r="BA279" s="9">
        <f>TMK[[#This Row],[CT MVA]]</f>
        <v>7.6210235533030604</v>
      </c>
      <c r="BB279" s="9" t="str">
        <f>TMK[[#This Row],[Derating MVA]]</f>
        <v>-</v>
      </c>
      <c r="BC279" s="9" t="str">
        <f>TMK[[#This Row],[Station/Feeder]]&amp;TMK[[#This Row],[Lowest MVA]]</f>
        <v>T613_Rolleston Rd6.85892119797275</v>
      </c>
      <c r="BD279" s="9" t="str">
        <f>CONCATENATE(TMK[[#This Row],[Supply Level]],TMK[[#This Row],[Station/Feeder]],TMK[[#This Row],[Voltage]],TMK[[#This Row],[Lowest A-No PTX]])</f>
        <v>DistributionFeederT613_Rolleston Rd11360</v>
      </c>
      <c r="BE279" s="9" t="str">
        <f>CONCATENATE(TMK[[#This Row],[Supply Level]],TMK[[#This Row],[Station/Feeder]],TMK[[#This Row],[Voltage]],TMK[[#This Row],[Lowest A-PTX]])</f>
        <v>DistributionFeederT613_Rolleston Rd11360</v>
      </c>
      <c r="BF279" s="9">
        <f>IFERROR(IF(MIN(TMK[[#This Row],[Summ Cont Winter A]:[Cable Derating]])=0,"",MIN(TMK[[#This Row],[Summ Cont Winter A]:[Cable Derating]])),"")</f>
        <v>6.8589211979727533</v>
      </c>
      <c r="BG279" s="9">
        <f>IFERROR(TMK[[#This Row],[Lowest MVA]]*1000/(TMK[[#This Row],[Voltage]]*SQRT(3)),"")</f>
        <v>360</v>
      </c>
      <c r="BH279" s="9">
        <f t="shared" si="195"/>
        <v>360</v>
      </c>
      <c r="BI279" s="9" t="str">
        <f>TMK[[#This Row],[From]]</f>
        <v>11 kV Bus</v>
      </c>
      <c r="BJ279" s="9" t="str">
        <f>TMK[[#This Row],[To]]</f>
        <v>T131</v>
      </c>
      <c r="BK27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Breaker-CD1-T613</v>
      </c>
      <c r="BL279" s="9">
        <f>TMK[[#This Row],[Voltage]]</f>
        <v>11</v>
      </c>
    </row>
    <row r="280" spans="1:64" s="1" customFormat="1" ht="15" customHeight="1" x14ac:dyDescent="0.25">
      <c r="A280" s="6" t="str">
        <f>CONCATENATE(TMK[[#This Row],[Supply Level]],TMK[[#This Row],[Station/Feeder]],TMK[[#This Row],[Voltage]])</f>
        <v>DistributionFeederT613_Rolleston Rd11</v>
      </c>
      <c r="B280" s="6" t="str">
        <f>CONCATENATE(TMK[[#This Row],[Supply Level]],TMK[[#This Row],[Station/Feeder]],TMK[[#This Row],[Equipment ID]],TMK[[#This Row],[Voltage]],TMK[[#This Row],[Device type]])</f>
        <v>DistributionFeederT613_Rolleston Rd1-3c 185 mm² Al PILC11-</v>
      </c>
      <c r="C280" s="6" t="s">
        <v>1276</v>
      </c>
      <c r="D280" s="11" t="s">
        <v>152</v>
      </c>
      <c r="E280" s="7" t="s">
        <v>243</v>
      </c>
      <c r="F280" s="7" t="s">
        <v>677</v>
      </c>
      <c r="G280" s="56">
        <v>2</v>
      </c>
      <c r="H280" s="7" t="s">
        <v>585</v>
      </c>
      <c r="I280" s="123" t="s">
        <v>665</v>
      </c>
      <c r="J280" s="123" t="s">
        <v>250</v>
      </c>
      <c r="K280" s="46" t="s">
        <v>0</v>
      </c>
      <c r="L280" s="46" t="s">
        <v>0</v>
      </c>
      <c r="M280" s="43">
        <v>11</v>
      </c>
      <c r="N280" s="9">
        <v>300</v>
      </c>
      <c r="O280" s="9">
        <f t="shared" si="190"/>
        <v>5.715767664977295</v>
      </c>
      <c r="P280" s="9">
        <v>300</v>
      </c>
      <c r="Q280" s="9">
        <f t="shared" si="191"/>
        <v>5.715767664977295</v>
      </c>
      <c r="R280" s="9">
        <v>300</v>
      </c>
      <c r="S280" s="9">
        <f t="shared" si="192"/>
        <v>5.715767664977295</v>
      </c>
      <c r="T280" s="9" t="s">
        <v>0</v>
      </c>
      <c r="U280" s="9" t="str">
        <f t="shared" si="193"/>
        <v>-</v>
      </c>
      <c r="V280" s="9" t="s">
        <v>0</v>
      </c>
      <c r="W280" s="9" t="str">
        <f t="shared" si="194"/>
        <v>-</v>
      </c>
      <c r="X280" s="9" t="s">
        <v>0</v>
      </c>
      <c r="Y280" s="9" t="str">
        <f t="shared" si="199"/>
        <v>-</v>
      </c>
      <c r="Z280" s="9" t="s">
        <v>0</v>
      </c>
      <c r="AA280" s="9" t="str">
        <f t="shared" si="200"/>
        <v>-</v>
      </c>
      <c r="AB280" s="9" t="s">
        <v>0</v>
      </c>
      <c r="AC280" s="9" t="str">
        <f t="shared" si="201"/>
        <v>-</v>
      </c>
      <c r="AD280" s="9" t="s">
        <v>0</v>
      </c>
      <c r="AE280" s="12" t="str">
        <f t="shared" si="202"/>
        <v>-</v>
      </c>
      <c r="AF280" s="9">
        <v>3</v>
      </c>
      <c r="AG280" s="9" t="s">
        <v>265</v>
      </c>
      <c r="AH280" s="9">
        <v>239.4</v>
      </c>
      <c r="AI280" s="9">
        <v>1</v>
      </c>
      <c r="AJ280" s="32">
        <v>0.98</v>
      </c>
      <c r="AK280" s="29">
        <v>19</v>
      </c>
      <c r="AL280" s="32">
        <v>0.97</v>
      </c>
      <c r="AM280" s="29">
        <v>1.2</v>
      </c>
      <c r="AN280" s="32">
        <v>1</v>
      </c>
      <c r="AO280" s="29">
        <v>6</v>
      </c>
      <c r="AP280" s="32">
        <v>0.15</v>
      </c>
      <c r="AQ280" s="32">
        <v>0.63</v>
      </c>
      <c r="AR280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179.6634</v>
      </c>
      <c r="AS280" s="9">
        <f t="shared" si="203"/>
        <v>3.4230475076662725</v>
      </c>
      <c r="AT280" s="9">
        <f>IF(RIGHT(TMK[[#This Row],[Device type]],7)="Winding","-",TMK[[#This Row],[Cont Winter MVA]])</f>
        <v>5.715767664977295</v>
      </c>
      <c r="AU280" s="9">
        <f>IF(RIGHT(TMK[[#This Row],[Device type]],7)="Winding","-",TMK[[#This Row],[Cont Shoulder MVA]])</f>
        <v>5.715767664977295</v>
      </c>
      <c r="AV280" s="9">
        <f>IF(RIGHT(TMK[[#This Row],[Device type]],7)="Winding","-",TMK[[#This Row],[Cont Summer MVA]])</f>
        <v>5.715767664977295</v>
      </c>
      <c r="AW280" s="9" t="str">
        <f>IF(RIGHT(TMK[[#This Row],[Device type]],7)="Winding","-",TMK[[#This Row],[24 Hr Winter MVA]])</f>
        <v>-</v>
      </c>
      <c r="AX280" s="9" t="str">
        <f>IF(RIGHT(TMK[[#This Row],[Device type]],7)="Winding","-",TMK[[#This Row],[24 Hr Summer MVA]])</f>
        <v>-</v>
      </c>
      <c r="AY280" s="9" t="str">
        <f>TMK[[#This Row],[Forwards MVA]]</f>
        <v>-</v>
      </c>
      <c r="AZ280" s="9" t="str">
        <f>TMK[[#This Row],[Relay MVA]]</f>
        <v>-</v>
      </c>
      <c r="BA280" s="9" t="str">
        <f>TMK[[#This Row],[CT MVA]]</f>
        <v>-</v>
      </c>
      <c r="BB280" s="9">
        <f>TMK[[#This Row],[Derating MVA]]</f>
        <v>3.4230475076662725</v>
      </c>
      <c r="BC280" s="9" t="str">
        <f>TMK[[#This Row],[Station/Feeder]]&amp;TMK[[#This Row],[Lowest MVA]]</f>
        <v>T613_Rolleston Rd3.42304750766627</v>
      </c>
      <c r="BD280" s="9" t="str">
        <f>CONCATENATE(TMK[[#This Row],[Supply Level]],TMK[[#This Row],[Station/Feeder]],TMK[[#This Row],[Voltage]],TMK[[#This Row],[Lowest A-No PTX]])</f>
        <v>DistributionFeederT613_Rolleston Rd11179.6634</v>
      </c>
      <c r="BE280" s="9" t="str">
        <f>CONCATENATE(TMK[[#This Row],[Supply Level]],TMK[[#This Row],[Station/Feeder]],TMK[[#This Row],[Voltage]],TMK[[#This Row],[Lowest A-PTX]])</f>
        <v>DistributionFeederT613_Rolleston Rd11179.6634</v>
      </c>
      <c r="BF280" s="9">
        <f>IFERROR(IF(MIN(TMK[[#This Row],[Summ Cont Winter A]:[Cable Derating]])=0,"",MIN(TMK[[#This Row],[Summ Cont Winter A]:[Cable Derating]])),"")</f>
        <v>3.4230475076662725</v>
      </c>
      <c r="BG280" s="9">
        <f>IFERROR(TMK[[#This Row],[Lowest MVA]]*1000/(TMK[[#This Row],[Voltage]]*SQRT(3)),"")</f>
        <v>179.6634</v>
      </c>
      <c r="BH280" s="9">
        <f t="shared" si="195"/>
        <v>179.6634</v>
      </c>
      <c r="BI280" s="9" t="str">
        <f>TMK[[#This Row],[From]]</f>
        <v>11 kV Bus</v>
      </c>
      <c r="BJ280" s="9" t="str">
        <f>TMK[[#This Row],[To]]</f>
        <v>T131</v>
      </c>
      <c r="BK28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185 mm² Al PILC</v>
      </c>
      <c r="BL280" s="9">
        <f>TMK[[#This Row],[Voltage]]</f>
        <v>11</v>
      </c>
    </row>
    <row r="281" spans="1:64" s="1" customFormat="1" ht="15" customHeight="1" x14ac:dyDescent="0.25">
      <c r="A281" s="6" t="str">
        <f>CONCATENATE(TMK[[#This Row],[Supply Level]],TMK[[#This Row],[Station/Feeder]],TMK[[#This Row],[Voltage]])</f>
        <v>DistributionFeederT613_Rolleston Rd11</v>
      </c>
      <c r="B281" s="6" t="str">
        <f>CONCATENATE(TMK[[#This Row],[Supply Level]],TMK[[#This Row],[Station/Feeder]],TMK[[#This Row],[Equipment ID]],TMK[[#This Row],[Voltage]],TMK[[#This Row],[Device type]])</f>
        <v>DistributionFeederT613_Rolleston RdT13111-</v>
      </c>
      <c r="C281" s="6" t="s">
        <v>1276</v>
      </c>
      <c r="D281" s="11" t="s">
        <v>152</v>
      </c>
      <c r="E281" s="7" t="s">
        <v>243</v>
      </c>
      <c r="F281" s="7" t="s">
        <v>677</v>
      </c>
      <c r="G281" s="56">
        <v>3</v>
      </c>
      <c r="H281" s="7" t="s">
        <v>273</v>
      </c>
      <c r="I281" s="123" t="s">
        <v>677</v>
      </c>
      <c r="J281" s="123" t="s">
        <v>240</v>
      </c>
      <c r="K281" s="46" t="s">
        <v>0</v>
      </c>
      <c r="L281" s="46" t="s">
        <v>0</v>
      </c>
      <c r="M281" s="43">
        <v>11</v>
      </c>
      <c r="N281" s="9">
        <v>600</v>
      </c>
      <c r="O281" s="9">
        <f t="shared" si="190"/>
        <v>11.43153532995459</v>
      </c>
      <c r="P281" s="9">
        <v>600</v>
      </c>
      <c r="Q281" s="9">
        <f t="shared" si="191"/>
        <v>11.43153532995459</v>
      </c>
      <c r="R281" s="9">
        <v>600</v>
      </c>
      <c r="S281" s="9">
        <f t="shared" si="192"/>
        <v>11.43153532995459</v>
      </c>
      <c r="T281" s="9" t="s">
        <v>0</v>
      </c>
      <c r="U281" s="9" t="str">
        <f t="shared" si="193"/>
        <v>-</v>
      </c>
      <c r="V281" s="9" t="s">
        <v>0</v>
      </c>
      <c r="W281" s="9" t="str">
        <f t="shared" si="194"/>
        <v>-</v>
      </c>
      <c r="X281" s="9" t="s">
        <v>0</v>
      </c>
      <c r="Y281" s="9" t="str">
        <f t="shared" si="199"/>
        <v>-</v>
      </c>
      <c r="Z281" s="9" t="s">
        <v>0</v>
      </c>
      <c r="AA281" s="9" t="str">
        <f t="shared" si="200"/>
        <v>-</v>
      </c>
      <c r="AB281" s="9" t="s">
        <v>0</v>
      </c>
      <c r="AC281" s="9" t="str">
        <f t="shared" si="201"/>
        <v>-</v>
      </c>
      <c r="AD281" s="9" t="s">
        <v>0</v>
      </c>
      <c r="AE281" s="12" t="str">
        <f t="shared" si="202"/>
        <v>-</v>
      </c>
      <c r="AF281" s="9" t="s">
        <v>0</v>
      </c>
      <c r="AG281" s="9" t="s">
        <v>0</v>
      </c>
      <c r="AH281" s="9" t="s">
        <v>0</v>
      </c>
      <c r="AI281" s="9" t="s">
        <v>0</v>
      </c>
      <c r="AJ281" s="32" t="s">
        <v>0</v>
      </c>
      <c r="AK281" s="29" t="s">
        <v>0</v>
      </c>
      <c r="AL281" s="32" t="s">
        <v>0</v>
      </c>
      <c r="AM281" s="29" t="s">
        <v>0</v>
      </c>
      <c r="AN281" s="32" t="s">
        <v>0</v>
      </c>
      <c r="AO281" s="29" t="s">
        <v>0</v>
      </c>
      <c r="AP281" s="32" t="s">
        <v>0</v>
      </c>
      <c r="AQ281" s="32" t="s">
        <v>0</v>
      </c>
      <c r="AR281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81" s="9" t="str">
        <f t="shared" si="203"/>
        <v>-</v>
      </c>
      <c r="AT281" s="9">
        <f>IF(RIGHT(TMK[[#This Row],[Device type]],7)="Winding","-",TMK[[#This Row],[Cont Winter MVA]])</f>
        <v>11.43153532995459</v>
      </c>
      <c r="AU281" s="9">
        <f>IF(RIGHT(TMK[[#This Row],[Device type]],7)="Winding","-",TMK[[#This Row],[Cont Shoulder MVA]])</f>
        <v>11.43153532995459</v>
      </c>
      <c r="AV281" s="9">
        <f>IF(RIGHT(TMK[[#This Row],[Device type]],7)="Winding","-",TMK[[#This Row],[Cont Summer MVA]])</f>
        <v>11.43153532995459</v>
      </c>
      <c r="AW281" s="9" t="str">
        <f>IF(RIGHT(TMK[[#This Row],[Device type]],7)="Winding","-",TMK[[#This Row],[24 Hr Winter MVA]])</f>
        <v>-</v>
      </c>
      <c r="AX281" s="9" t="str">
        <f>IF(RIGHT(TMK[[#This Row],[Device type]],7)="Winding","-",TMK[[#This Row],[24 Hr Summer MVA]])</f>
        <v>-</v>
      </c>
      <c r="AY281" s="9" t="str">
        <f>TMK[[#This Row],[Forwards MVA]]</f>
        <v>-</v>
      </c>
      <c r="AZ281" s="9" t="str">
        <f>TMK[[#This Row],[Relay MVA]]</f>
        <v>-</v>
      </c>
      <c r="BA281" s="9" t="str">
        <f>TMK[[#This Row],[CT MVA]]</f>
        <v>-</v>
      </c>
      <c r="BB281" s="9" t="str">
        <f>TMK[[#This Row],[Derating MVA]]</f>
        <v>-</v>
      </c>
      <c r="BC281" s="9" t="str">
        <f>TMK[[#This Row],[Station/Feeder]]&amp;TMK[[#This Row],[Lowest MVA]]</f>
        <v>T613_Rolleston Rd11.4315353299546</v>
      </c>
      <c r="BD281" s="9" t="str">
        <f>CONCATENATE(TMK[[#This Row],[Supply Level]],TMK[[#This Row],[Station/Feeder]],TMK[[#This Row],[Voltage]],TMK[[#This Row],[Lowest A-No PTX]])</f>
        <v>DistributionFeederT613_Rolleston Rd11600</v>
      </c>
      <c r="BE281" s="9" t="str">
        <f>CONCATENATE(TMK[[#This Row],[Supply Level]],TMK[[#This Row],[Station/Feeder]],TMK[[#This Row],[Voltage]],TMK[[#This Row],[Lowest A-PTX]])</f>
        <v>DistributionFeederT613_Rolleston Rd11600</v>
      </c>
      <c r="BF281" s="9">
        <f>IFERROR(IF(MIN(TMK[[#This Row],[Summ Cont Winter A]:[Cable Derating]])=0,"",MIN(TMK[[#This Row],[Summ Cont Winter A]:[Cable Derating]])),"")</f>
        <v>11.43153532995459</v>
      </c>
      <c r="BG281" s="9">
        <f>IFERROR(TMK[[#This Row],[Lowest MVA]]*1000/(TMK[[#This Row],[Voltage]]*SQRT(3)),"")</f>
        <v>600</v>
      </c>
      <c r="BH281" s="9">
        <f t="shared" si="195"/>
        <v>600</v>
      </c>
      <c r="BI281" s="9" t="str">
        <f>TMK[[#This Row],[From]]</f>
        <v>11 kV Bus</v>
      </c>
      <c r="BJ281" s="9" t="str">
        <f>TMK[[#This Row],[To]]</f>
        <v>T131</v>
      </c>
      <c r="BK28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ABS-T131</v>
      </c>
      <c r="BL281" s="9">
        <f>TMK[[#This Row],[Voltage]]</f>
        <v>11</v>
      </c>
    </row>
    <row r="282" spans="1:64" s="1" customFormat="1" ht="15" customHeight="1" x14ac:dyDescent="0.25">
      <c r="A282" s="6" t="str">
        <f>CONCATENATE(TMK[[#This Row],[Supply Level]],TMK[[#This Row],[Station/Feeder]],TMK[[#This Row],[Voltage]])</f>
        <v>DistributionFeederT613_Rolleston Rd11</v>
      </c>
      <c r="B282" s="6" t="str">
        <f>CONCATENATE(TMK[[#This Row],[Supply Level]],TMK[[#This Row],[Station/Feeder]],TMK[[#This Row],[Equipment ID]],TMK[[#This Row],[Voltage]],TMK[[#This Row],[Device type]])</f>
        <v>DistributionFeederT613_Rolleston RdMINK11-</v>
      </c>
      <c r="C282" s="6" t="s">
        <v>1276</v>
      </c>
      <c r="D282" s="11" t="s">
        <v>152</v>
      </c>
      <c r="E282" s="7" t="s">
        <v>677</v>
      </c>
      <c r="F282" s="7" t="s">
        <v>679</v>
      </c>
      <c r="G282" s="56">
        <v>4</v>
      </c>
      <c r="H282" s="7" t="s">
        <v>1289</v>
      </c>
      <c r="I282" s="123" t="s">
        <v>282</v>
      </c>
      <c r="J282" s="123" t="s">
        <v>69</v>
      </c>
      <c r="K282" s="46" t="s">
        <v>0</v>
      </c>
      <c r="L282" s="46" t="s">
        <v>0</v>
      </c>
      <c r="M282" s="43">
        <v>11</v>
      </c>
      <c r="N282" s="9">
        <v>250.58233772128858</v>
      </c>
      <c r="O282" s="9">
        <f t="shared" si="190"/>
        <v>4.7742347445392053</v>
      </c>
      <c r="P282" s="9" t="s">
        <v>0</v>
      </c>
      <c r="Q282" s="9" t="str">
        <f t="shared" si="191"/>
        <v>-</v>
      </c>
      <c r="R282" s="9">
        <v>188.62660722014468</v>
      </c>
      <c r="S282" s="9">
        <f t="shared" si="192"/>
        <v>3.5938195410109186</v>
      </c>
      <c r="T282" s="9" t="s">
        <v>0</v>
      </c>
      <c r="U282" s="9" t="str">
        <f t="shared" si="193"/>
        <v>-</v>
      </c>
      <c r="V282" s="9" t="s">
        <v>0</v>
      </c>
      <c r="W282" s="9" t="str">
        <f t="shared" si="194"/>
        <v>-</v>
      </c>
      <c r="X282" s="9" t="s">
        <v>0</v>
      </c>
      <c r="Y282" s="9" t="s">
        <v>0</v>
      </c>
      <c r="Z282" s="9" t="s">
        <v>0</v>
      </c>
      <c r="AA282" s="12" t="s">
        <v>0</v>
      </c>
      <c r="AB282" s="29" t="s">
        <v>0</v>
      </c>
      <c r="AC282" s="29" t="s">
        <v>0</v>
      </c>
      <c r="AD282" s="9">
        <v>750</v>
      </c>
      <c r="AE282" s="29" t="s">
        <v>0</v>
      </c>
      <c r="AF282" s="32" t="s">
        <v>0</v>
      </c>
      <c r="AG282" s="29" t="s">
        <v>0</v>
      </c>
      <c r="AH282" s="32" t="s">
        <v>0</v>
      </c>
      <c r="AI282" s="29" t="s">
        <v>0</v>
      </c>
      <c r="AJ282" s="32" t="s">
        <v>0</v>
      </c>
      <c r="AK282" s="29" t="s">
        <v>0</v>
      </c>
      <c r="AL282" s="32" t="s">
        <v>0</v>
      </c>
      <c r="AM282" s="32" t="s">
        <v>0</v>
      </c>
      <c r="AN282" s="9" t="s">
        <v>0</v>
      </c>
      <c r="AO282" s="9" t="s">
        <v>0</v>
      </c>
      <c r="AP282" s="32" t="s">
        <v>0</v>
      </c>
      <c r="AQ282" s="32" t="s">
        <v>0</v>
      </c>
      <c r="AR282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82" s="9" t="str">
        <f t="shared" si="198"/>
        <v>-</v>
      </c>
      <c r="AT282" s="9">
        <f>IF(RIGHT(TMK[[#This Row],[Device type]],7)="Winding","-",TMK[[#This Row],[Cont Winter MVA]])</f>
        <v>4.7742347445392053</v>
      </c>
      <c r="AU282" s="9" t="str">
        <f>IF(RIGHT(TMK[[#This Row],[Device type]],7)="Winding","-",TMK[[#This Row],[Cont Shoulder MVA]])</f>
        <v>-</v>
      </c>
      <c r="AV282" s="9">
        <f>IF(RIGHT(TMK[[#This Row],[Device type]],7)="Winding","-",TMK[[#This Row],[Cont Summer MVA]])</f>
        <v>3.5938195410109186</v>
      </c>
      <c r="AW282" s="9" t="str">
        <f>IF(RIGHT(TMK[[#This Row],[Device type]],7)="Winding","-",TMK[[#This Row],[24 Hr Winter MVA]])</f>
        <v>-</v>
      </c>
      <c r="AX282" s="9" t="str">
        <f>IF(RIGHT(TMK[[#This Row],[Device type]],7)="Winding","-",TMK[[#This Row],[24 Hr Summer MVA]])</f>
        <v>-</v>
      </c>
      <c r="AY282" s="9" t="str">
        <f>TMK[[#This Row],[Forwards MVA]]</f>
        <v>-</v>
      </c>
      <c r="AZ282" s="9" t="str">
        <f>TMK[[#This Row],[Relay MVA]]</f>
        <v>-</v>
      </c>
      <c r="BA282" s="9" t="str">
        <f>TMK[[#This Row],[CT MVA]]</f>
        <v>-</v>
      </c>
      <c r="BB282" s="9" t="str">
        <f>TMK[[#This Row],[Derating MVA]]</f>
        <v>-</v>
      </c>
      <c r="BC282" s="9" t="str">
        <f>TMK[[#This Row],[Station/Feeder]]&amp;TMK[[#This Row],[Lowest MVA]]</f>
        <v>T613_Rolleston Rd3.59381954101092</v>
      </c>
      <c r="BD282" s="9" t="str">
        <f>CONCATENATE(TMK[[#This Row],[Supply Level]],TMK[[#This Row],[Station/Feeder]],TMK[[#This Row],[Voltage]],TMK[[#This Row],[Lowest A-No PTX]])</f>
        <v>DistributionFeederT613_Rolleston Rd11188.626607220145</v>
      </c>
      <c r="BE282" s="9" t="str">
        <f>CONCATENATE(TMK[[#This Row],[Supply Level]],TMK[[#This Row],[Station/Feeder]],TMK[[#This Row],[Voltage]],TMK[[#This Row],[Lowest A-PTX]])</f>
        <v>DistributionFeederT613_Rolleston Rd11188.626607220145</v>
      </c>
      <c r="BF282" s="9">
        <f>IFERROR(IF(MIN(TMK[[#This Row],[Summ Cont Winter A]:[Cable Derating]])=0,"",MIN(TMK[[#This Row],[Summ Cont Winter A]:[Cable Derating]])),"")</f>
        <v>3.5938195410109186</v>
      </c>
      <c r="BG282" s="9">
        <f>IFERROR(TMK[[#This Row],[Lowest MVA]]*1000/(TMK[[#This Row],[Voltage]]*SQRT(3)),"")</f>
        <v>188.62660722014468</v>
      </c>
      <c r="BH282" s="9">
        <f t="shared" si="195"/>
        <v>188.62660722014468</v>
      </c>
      <c r="BI282" s="9" t="str">
        <f>TMK[[#This Row],[From]]</f>
        <v>T131</v>
      </c>
      <c r="BJ282" s="9" t="str">
        <f>TMK[[#This Row],[To]]</f>
        <v>Pole 51393</v>
      </c>
      <c r="BK28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Line-MINK</v>
      </c>
      <c r="BL282" s="9">
        <f>TMK[[#This Row],[Voltage]]</f>
        <v>11</v>
      </c>
    </row>
    <row r="283" spans="1:64" s="1" customFormat="1" ht="15" customHeight="1" x14ac:dyDescent="0.25">
      <c r="A283" s="6" t="str">
        <f>CONCATENATE(TMK[[#This Row],[Supply Level]],TMK[[#This Row],[Station/Feeder]],TMK[[#This Row],[Voltage]])</f>
        <v>DistributionFeederT614_Tie to Powder Handling11</v>
      </c>
      <c r="B283" s="6" t="str">
        <f>CONCATENATE(TMK[[#This Row],[Supply Level]],TMK[[#This Row],[Station/Feeder]],TMK[[#This Row],[Equipment ID]],TMK[[#This Row],[Voltage]],TMK[[#This Row],[Device type]])</f>
        <v>DistributionFeederT614_Tie to Powder HandlingCD1-T61411-</v>
      </c>
      <c r="C283" s="6" t="s">
        <v>1276</v>
      </c>
      <c r="D283" s="11" t="s">
        <v>154</v>
      </c>
      <c r="E283" s="7" t="s">
        <v>243</v>
      </c>
      <c r="F283" s="7" t="s">
        <v>675</v>
      </c>
      <c r="G283" s="56">
        <v>1</v>
      </c>
      <c r="H283" s="7" t="s">
        <v>343</v>
      </c>
      <c r="I283" s="123" t="s">
        <v>2450</v>
      </c>
      <c r="J283" s="123" t="s">
        <v>15</v>
      </c>
      <c r="K283" s="46" t="s">
        <v>0</v>
      </c>
      <c r="L283" s="46" t="s">
        <v>0</v>
      </c>
      <c r="M283" s="43">
        <v>11</v>
      </c>
      <c r="N283" s="9">
        <v>476</v>
      </c>
      <c r="O283" s="9">
        <f t="shared" si="190"/>
        <v>9.0690180284306408</v>
      </c>
      <c r="P283" s="9">
        <v>476</v>
      </c>
      <c r="Q283" s="9">
        <f t="shared" si="191"/>
        <v>9.0690180284306408</v>
      </c>
      <c r="R283" s="9">
        <v>476</v>
      </c>
      <c r="S283" s="9">
        <f t="shared" si="192"/>
        <v>9.0690180284306408</v>
      </c>
      <c r="T283" s="9" t="s">
        <v>0</v>
      </c>
      <c r="U283" s="9" t="str">
        <f t="shared" si="193"/>
        <v>-</v>
      </c>
      <c r="V283" s="9" t="s">
        <v>0</v>
      </c>
      <c r="W283" s="9" t="str">
        <f t="shared" si="194"/>
        <v>-</v>
      </c>
      <c r="X283" s="9">
        <f>VLOOKUP(TMK[[#This Row],[Equipment ID]],AEL_Protection_Data[#All],12,0)</f>
        <v>480</v>
      </c>
      <c r="Y283" s="9">
        <f t="shared" ref="Y283:Y314" si="204">IF(OR(X283="",X283="-"),"-",X283*$M283*SQRT(3)/1000)</f>
        <v>9.1452282639636717</v>
      </c>
      <c r="Z283" s="9">
        <v>480</v>
      </c>
      <c r="AA283" s="9">
        <f t="shared" ref="AA283:AA314" si="205">IF(OR(Z283="",Z283="-"),"-",Z283*$M283*SQRT(3)/1000)</f>
        <v>9.1452282639636717</v>
      </c>
      <c r="AB283" s="9" t="s">
        <v>0</v>
      </c>
      <c r="AC283" s="9" t="str">
        <f t="shared" ref="AC283:AC313" si="206">IF(OR(AB283="",AB283="-"),"-",AB283*$M283*SQRT(3)/1000)</f>
        <v>-</v>
      </c>
      <c r="AD283" s="9">
        <v>400</v>
      </c>
      <c r="AE283" s="12">
        <f t="shared" ref="AE283:AE314" si="207">IF(OR(AD283="",AD283="-"),"-",AD283*$M283*SQRT(3)/1000)</f>
        <v>7.6210235533030604</v>
      </c>
      <c r="AF283" s="9" t="s">
        <v>0</v>
      </c>
      <c r="AG283" s="9" t="s">
        <v>0</v>
      </c>
      <c r="AH283" s="9" t="s">
        <v>0</v>
      </c>
      <c r="AI283" s="9" t="s">
        <v>0</v>
      </c>
      <c r="AJ283" s="32" t="s">
        <v>0</v>
      </c>
      <c r="AK283" s="29" t="s">
        <v>0</v>
      </c>
      <c r="AL283" s="32" t="s">
        <v>0</v>
      </c>
      <c r="AM283" s="29" t="s">
        <v>0</v>
      </c>
      <c r="AN283" s="32" t="s">
        <v>0</v>
      </c>
      <c r="AO283" s="29" t="s">
        <v>0</v>
      </c>
      <c r="AP283" s="32" t="s">
        <v>0</v>
      </c>
      <c r="AQ283" s="32" t="s">
        <v>0</v>
      </c>
      <c r="AR28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83" s="9" t="str">
        <f t="shared" ref="AS283:AS314" si="208">IF(OR(AR283="",AR283="-"),"-",AR283*$M283*SQRT(3)/1000)</f>
        <v>-</v>
      </c>
      <c r="AT283" s="9">
        <f>IF(RIGHT(TMK[[#This Row],[Device type]],7)="Winding","-",TMK[[#This Row],[Cont Winter MVA]])</f>
        <v>9.0690180284306408</v>
      </c>
      <c r="AU283" s="9">
        <f>IF(RIGHT(TMK[[#This Row],[Device type]],7)="Winding","-",TMK[[#This Row],[Cont Shoulder MVA]])</f>
        <v>9.0690180284306408</v>
      </c>
      <c r="AV283" s="9">
        <f>IF(RIGHT(TMK[[#This Row],[Device type]],7)="Winding","-",TMK[[#This Row],[Cont Summer MVA]])</f>
        <v>9.0690180284306408</v>
      </c>
      <c r="AW283" s="9" t="str">
        <f>IF(RIGHT(TMK[[#This Row],[Device type]],7)="Winding","-",TMK[[#This Row],[24 Hr Winter MVA]])</f>
        <v>-</v>
      </c>
      <c r="AX283" s="9" t="str">
        <f>IF(RIGHT(TMK[[#This Row],[Device type]],7)="Winding","-",TMK[[#This Row],[24 Hr Summer MVA]])</f>
        <v>-</v>
      </c>
      <c r="AY283" s="9">
        <f>TMK[[#This Row],[Forwards MVA]]</f>
        <v>9.1452282639636717</v>
      </c>
      <c r="AZ283" s="9" t="str">
        <f>TMK[[#This Row],[Relay MVA]]</f>
        <v>-</v>
      </c>
      <c r="BA283" s="9">
        <f>TMK[[#This Row],[CT MVA]]</f>
        <v>7.6210235533030604</v>
      </c>
      <c r="BB283" s="9" t="str">
        <f>TMK[[#This Row],[Derating MVA]]</f>
        <v>-</v>
      </c>
      <c r="BC283" s="9" t="str">
        <f>TMK[[#This Row],[Station/Feeder]]&amp;TMK[[#This Row],[Lowest MVA]]</f>
        <v>T614_Tie to Powder Handling7.62102355330306</v>
      </c>
      <c r="BD283" s="9" t="str">
        <f>CONCATENATE(TMK[[#This Row],[Supply Level]],TMK[[#This Row],[Station/Feeder]],TMK[[#This Row],[Voltage]],TMK[[#This Row],[Lowest A-No PTX]])</f>
        <v>DistributionFeederT614_Tie to Powder Handling11400</v>
      </c>
      <c r="BE283" s="9" t="str">
        <f>CONCATENATE(TMK[[#This Row],[Supply Level]],TMK[[#This Row],[Station/Feeder]],TMK[[#This Row],[Voltage]],TMK[[#This Row],[Lowest A-PTX]])</f>
        <v>DistributionFeederT614_Tie to Powder Handling11400</v>
      </c>
      <c r="BF283" s="9">
        <f>IFERROR(IF(MIN(TMK[[#This Row],[Summ Cont Winter A]:[Cable Derating]])=0,"",MIN(TMK[[#This Row],[Summ Cont Winter A]:[Cable Derating]])),"")</f>
        <v>7.6210235533030604</v>
      </c>
      <c r="BG283" s="9">
        <f>IFERROR(TMK[[#This Row],[Lowest MVA]]*1000/(TMK[[#This Row],[Voltage]]*SQRT(3)),"")</f>
        <v>400</v>
      </c>
      <c r="BH283" s="9">
        <f t="shared" si="195"/>
        <v>400</v>
      </c>
      <c r="BI283" s="9" t="str">
        <f>TMK[[#This Row],[From]]</f>
        <v>11 kV Bus</v>
      </c>
      <c r="BJ283" s="9" t="str">
        <f>TMK[[#This Row],[To]]</f>
        <v>T580</v>
      </c>
      <c r="BK28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Breaker-CD1-T614</v>
      </c>
      <c r="BL283" s="9">
        <f>TMK[[#This Row],[Voltage]]</f>
        <v>11</v>
      </c>
    </row>
    <row r="284" spans="1:64" s="1" customFormat="1" ht="15" customHeight="1" x14ac:dyDescent="0.25">
      <c r="A284" s="6" t="str">
        <f>CONCATENATE(TMK[[#This Row],[Supply Level]],TMK[[#This Row],[Station/Feeder]],TMK[[#This Row],[Voltage]])</f>
        <v>DistributionFeederT614_Tie to Powder Handling11</v>
      </c>
      <c r="B284" s="6" t="str">
        <f>CONCATENATE(TMK[[#This Row],[Supply Level]],TMK[[#This Row],[Station/Feeder]],TMK[[#This Row],[Equipment ID]],TMK[[#This Row],[Voltage]],TMK[[#This Row],[Device type]])</f>
        <v>DistributionFeederT614_Tie to Powder Handling1-3c 300 mm² Al XLPE11-</v>
      </c>
      <c r="C284" s="6" t="s">
        <v>1276</v>
      </c>
      <c r="D284" s="11" t="s">
        <v>154</v>
      </c>
      <c r="E284" s="7" t="s">
        <v>243</v>
      </c>
      <c r="F284" s="7" t="s">
        <v>675</v>
      </c>
      <c r="G284" s="56">
        <v>2</v>
      </c>
      <c r="H284" s="7" t="s">
        <v>585</v>
      </c>
      <c r="I284" s="123" t="s">
        <v>569</v>
      </c>
      <c r="J284" s="123" t="s">
        <v>250</v>
      </c>
      <c r="K284" s="46" t="s">
        <v>0</v>
      </c>
      <c r="L284" s="46" t="s">
        <v>0</v>
      </c>
      <c r="M284" s="43">
        <v>11</v>
      </c>
      <c r="N284" s="9">
        <v>476</v>
      </c>
      <c r="O284" s="9">
        <f t="shared" si="190"/>
        <v>9.0690180284306408</v>
      </c>
      <c r="P284" s="9">
        <v>476</v>
      </c>
      <c r="Q284" s="9">
        <f t="shared" si="191"/>
        <v>9.0690180284306408</v>
      </c>
      <c r="R284" s="9">
        <v>476</v>
      </c>
      <c r="S284" s="9">
        <f t="shared" si="192"/>
        <v>9.0690180284306408</v>
      </c>
      <c r="T284" s="9" t="s">
        <v>0</v>
      </c>
      <c r="U284" s="9" t="str">
        <f t="shared" si="193"/>
        <v>-</v>
      </c>
      <c r="V284" s="9" t="s">
        <v>0</v>
      </c>
      <c r="W284" s="9" t="str">
        <f t="shared" si="194"/>
        <v>-</v>
      </c>
      <c r="X284" s="9" t="s">
        <v>0</v>
      </c>
      <c r="Y284" s="9" t="str">
        <f t="shared" si="204"/>
        <v>-</v>
      </c>
      <c r="Z284" s="9" t="s">
        <v>0</v>
      </c>
      <c r="AA284" s="9" t="str">
        <f t="shared" si="205"/>
        <v>-</v>
      </c>
      <c r="AB284" s="9" t="s">
        <v>0</v>
      </c>
      <c r="AC284" s="9" t="str">
        <f t="shared" si="206"/>
        <v>-</v>
      </c>
      <c r="AD284" s="9" t="s">
        <v>0</v>
      </c>
      <c r="AE284" s="12" t="str">
        <f t="shared" si="207"/>
        <v>-</v>
      </c>
      <c r="AF284" s="9">
        <v>3</v>
      </c>
      <c r="AG284" s="9" t="s">
        <v>265</v>
      </c>
      <c r="AH284" s="9">
        <v>474.1</v>
      </c>
      <c r="AI284" s="9">
        <v>1</v>
      </c>
      <c r="AJ284" s="32">
        <v>0.98</v>
      </c>
      <c r="AK284" s="29">
        <v>20</v>
      </c>
      <c r="AL284" s="32">
        <v>0.97</v>
      </c>
      <c r="AM284" s="29">
        <v>1.2</v>
      </c>
      <c r="AN284" s="32">
        <v>1</v>
      </c>
      <c r="AO284" s="29">
        <v>6</v>
      </c>
      <c r="AP284" s="32">
        <v>0.3</v>
      </c>
      <c r="AQ284" s="32">
        <v>0.71</v>
      </c>
      <c r="AR284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321.26477599999998</v>
      </c>
      <c r="AS284" s="9">
        <f t="shared" si="208"/>
        <v>6.1209160618565788</v>
      </c>
      <c r="AT284" s="9">
        <f>IF(RIGHT(TMK[[#This Row],[Device type]],7)="Winding","-",TMK[[#This Row],[Cont Winter MVA]])</f>
        <v>9.0690180284306408</v>
      </c>
      <c r="AU284" s="9">
        <f>IF(RIGHT(TMK[[#This Row],[Device type]],7)="Winding","-",TMK[[#This Row],[Cont Shoulder MVA]])</f>
        <v>9.0690180284306408</v>
      </c>
      <c r="AV284" s="9">
        <f>IF(RIGHT(TMK[[#This Row],[Device type]],7)="Winding","-",TMK[[#This Row],[Cont Summer MVA]])</f>
        <v>9.0690180284306408</v>
      </c>
      <c r="AW284" s="9" t="str">
        <f>IF(RIGHT(TMK[[#This Row],[Device type]],7)="Winding","-",TMK[[#This Row],[24 Hr Winter MVA]])</f>
        <v>-</v>
      </c>
      <c r="AX284" s="9" t="str">
        <f>IF(RIGHT(TMK[[#This Row],[Device type]],7)="Winding","-",TMK[[#This Row],[24 Hr Summer MVA]])</f>
        <v>-</v>
      </c>
      <c r="AY284" s="9" t="str">
        <f>TMK[[#This Row],[Forwards MVA]]</f>
        <v>-</v>
      </c>
      <c r="AZ284" s="9" t="str">
        <f>TMK[[#This Row],[Relay MVA]]</f>
        <v>-</v>
      </c>
      <c r="BA284" s="9" t="str">
        <f>TMK[[#This Row],[CT MVA]]</f>
        <v>-</v>
      </c>
      <c r="BB284" s="9">
        <f>TMK[[#This Row],[Derating MVA]]</f>
        <v>6.1209160618565788</v>
      </c>
      <c r="BC284" s="9" t="str">
        <f>TMK[[#This Row],[Station/Feeder]]&amp;TMK[[#This Row],[Lowest MVA]]</f>
        <v>T614_Tie to Powder Handling6.12091606185658</v>
      </c>
      <c r="BD284" s="9" t="str">
        <f>CONCATENATE(TMK[[#This Row],[Supply Level]],TMK[[#This Row],[Station/Feeder]],TMK[[#This Row],[Voltage]],TMK[[#This Row],[Lowest A-No PTX]])</f>
        <v>DistributionFeederT614_Tie to Powder Handling11321.264776</v>
      </c>
      <c r="BE284" s="9" t="str">
        <f>CONCATENATE(TMK[[#This Row],[Supply Level]],TMK[[#This Row],[Station/Feeder]],TMK[[#This Row],[Voltage]],TMK[[#This Row],[Lowest A-PTX]])</f>
        <v>DistributionFeederT614_Tie to Powder Handling11321.264776</v>
      </c>
      <c r="BF284" s="9">
        <f>IFERROR(IF(MIN(TMK[[#This Row],[Summ Cont Winter A]:[Cable Derating]])=0,"",MIN(TMK[[#This Row],[Summ Cont Winter A]:[Cable Derating]])),"")</f>
        <v>6.1209160618565788</v>
      </c>
      <c r="BG284" s="9">
        <f>IFERROR(TMK[[#This Row],[Lowest MVA]]*1000/(TMK[[#This Row],[Voltage]]*SQRT(3)),"")</f>
        <v>321.26477599999998</v>
      </c>
      <c r="BH284" s="9">
        <f t="shared" si="195"/>
        <v>321.26477599999998</v>
      </c>
      <c r="BI284" s="9" t="str">
        <f>TMK[[#This Row],[From]]</f>
        <v>11 kV Bus</v>
      </c>
      <c r="BJ284" s="9" t="str">
        <f>TMK[[#This Row],[To]]</f>
        <v>T580</v>
      </c>
      <c r="BK28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XLPE</v>
      </c>
      <c r="BL284" s="9">
        <f>TMK[[#This Row],[Voltage]]</f>
        <v>11</v>
      </c>
    </row>
    <row r="285" spans="1:64" s="1" customFormat="1" ht="15" customHeight="1" x14ac:dyDescent="0.25">
      <c r="A285" s="6" t="str">
        <f>CONCATENATE(TMK[[#This Row],[Supply Level]],TMK[[#This Row],[Station/Feeder]],TMK[[#This Row],[Voltage]])</f>
        <v>DistributionFeederT614_Tie to Powder Handling11</v>
      </c>
      <c r="B285" s="6" t="str">
        <f>CONCATENATE(TMK[[#This Row],[Supply Level]],TMK[[#This Row],[Station/Feeder]],TMK[[#This Row],[Equipment ID]],TMK[[#This Row],[Voltage]],TMK[[#This Row],[Device type]])</f>
        <v>DistributionFeederT614_Tie to Powder Handling3-1c 300 mm² Al XLPE11-</v>
      </c>
      <c r="C285" s="6" t="s">
        <v>1276</v>
      </c>
      <c r="D285" s="11" t="s">
        <v>154</v>
      </c>
      <c r="E285" s="7" t="s">
        <v>243</v>
      </c>
      <c r="F285" s="7" t="s">
        <v>675</v>
      </c>
      <c r="G285" s="56">
        <v>3</v>
      </c>
      <c r="H285" s="7" t="s">
        <v>585</v>
      </c>
      <c r="I285" s="123" t="s">
        <v>624</v>
      </c>
      <c r="J285" s="123" t="s">
        <v>250</v>
      </c>
      <c r="K285" s="46" t="s">
        <v>0</v>
      </c>
      <c r="L285" s="46" t="s">
        <v>0</v>
      </c>
      <c r="M285" s="43">
        <v>11</v>
      </c>
      <c r="N285" s="9">
        <v>466</v>
      </c>
      <c r="O285" s="9">
        <f t="shared" si="190"/>
        <v>8.878492439598066</v>
      </c>
      <c r="P285" s="9">
        <v>466</v>
      </c>
      <c r="Q285" s="9">
        <f t="shared" si="191"/>
        <v>8.878492439598066</v>
      </c>
      <c r="R285" s="9">
        <v>466</v>
      </c>
      <c r="S285" s="9">
        <f t="shared" si="192"/>
        <v>8.878492439598066</v>
      </c>
      <c r="T285" s="9" t="s">
        <v>0</v>
      </c>
      <c r="U285" s="9" t="str">
        <f t="shared" si="193"/>
        <v>-</v>
      </c>
      <c r="V285" s="9" t="s">
        <v>0</v>
      </c>
      <c r="W285" s="9" t="str">
        <f t="shared" si="194"/>
        <v>-</v>
      </c>
      <c r="X285" s="9" t="s">
        <v>0</v>
      </c>
      <c r="Y285" s="9" t="str">
        <f t="shared" si="204"/>
        <v>-</v>
      </c>
      <c r="Z285" s="9" t="s">
        <v>0</v>
      </c>
      <c r="AA285" s="9" t="str">
        <f t="shared" si="205"/>
        <v>-</v>
      </c>
      <c r="AB285" s="9" t="s">
        <v>0</v>
      </c>
      <c r="AC285" s="9" t="str">
        <f t="shared" si="206"/>
        <v>-</v>
      </c>
      <c r="AD285" s="9" t="s">
        <v>0</v>
      </c>
      <c r="AE285" s="12" t="str">
        <f t="shared" si="207"/>
        <v>-</v>
      </c>
      <c r="AF285" s="9">
        <v>1</v>
      </c>
      <c r="AG285" s="9" t="s">
        <v>265</v>
      </c>
      <c r="AH285" s="9">
        <v>3.1</v>
      </c>
      <c r="AI285" s="9">
        <v>1</v>
      </c>
      <c r="AJ285" s="43">
        <v>0.98</v>
      </c>
      <c r="AK285" s="29" t="s">
        <v>0</v>
      </c>
      <c r="AL285" s="32" t="s">
        <v>0</v>
      </c>
      <c r="AM285" s="29" t="s">
        <v>0</v>
      </c>
      <c r="AN285" s="32" t="s">
        <v>0</v>
      </c>
      <c r="AO285" s="29" t="s">
        <v>0</v>
      </c>
      <c r="AP285" s="32" t="s">
        <v>0</v>
      </c>
      <c r="AQ285" s="32" t="s">
        <v>0</v>
      </c>
      <c r="AR285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85" s="9" t="str">
        <f t="shared" si="208"/>
        <v>-</v>
      </c>
      <c r="AT285" s="9">
        <f>IF(RIGHT(TMK[[#This Row],[Device type]],7)="Winding","-",TMK[[#This Row],[Cont Winter MVA]])</f>
        <v>8.878492439598066</v>
      </c>
      <c r="AU285" s="9">
        <f>IF(RIGHT(TMK[[#This Row],[Device type]],7)="Winding","-",TMK[[#This Row],[Cont Shoulder MVA]])</f>
        <v>8.878492439598066</v>
      </c>
      <c r="AV285" s="9">
        <f>IF(RIGHT(TMK[[#This Row],[Device type]],7)="Winding","-",TMK[[#This Row],[Cont Summer MVA]])</f>
        <v>8.878492439598066</v>
      </c>
      <c r="AW285" s="9" t="str">
        <f>IF(RIGHT(TMK[[#This Row],[Device type]],7)="Winding","-",TMK[[#This Row],[24 Hr Winter MVA]])</f>
        <v>-</v>
      </c>
      <c r="AX285" s="9" t="str">
        <f>IF(RIGHT(TMK[[#This Row],[Device type]],7)="Winding","-",TMK[[#This Row],[24 Hr Summer MVA]])</f>
        <v>-</v>
      </c>
      <c r="AY285" s="9" t="str">
        <f>TMK[[#This Row],[Forwards MVA]]</f>
        <v>-</v>
      </c>
      <c r="AZ285" s="9" t="str">
        <f>TMK[[#This Row],[Relay MVA]]</f>
        <v>-</v>
      </c>
      <c r="BA285" s="9" t="str">
        <f>TMK[[#This Row],[CT MVA]]</f>
        <v>-</v>
      </c>
      <c r="BB285" s="9" t="str">
        <f>TMK[[#This Row],[Derating MVA]]</f>
        <v>-</v>
      </c>
      <c r="BC285" s="9" t="str">
        <f>TMK[[#This Row],[Station/Feeder]]&amp;TMK[[#This Row],[Lowest MVA]]</f>
        <v>T614_Tie to Powder Handling8.87849243959807</v>
      </c>
      <c r="BD285" s="9" t="str">
        <f>CONCATENATE(TMK[[#This Row],[Supply Level]],TMK[[#This Row],[Station/Feeder]],TMK[[#This Row],[Voltage]],TMK[[#This Row],[Lowest A-No PTX]])</f>
        <v>DistributionFeederT614_Tie to Powder Handling11466</v>
      </c>
      <c r="BE285" s="9" t="str">
        <f>CONCATENATE(TMK[[#This Row],[Supply Level]],TMK[[#This Row],[Station/Feeder]],TMK[[#This Row],[Voltage]],TMK[[#This Row],[Lowest A-PTX]])</f>
        <v>DistributionFeederT614_Tie to Powder Handling11466</v>
      </c>
      <c r="BF285" s="9">
        <f>IFERROR(IF(MIN(TMK[[#This Row],[Summ Cont Winter A]:[Cable Derating]])=0,"",MIN(TMK[[#This Row],[Summ Cont Winter A]:[Cable Derating]])),"")</f>
        <v>8.878492439598066</v>
      </c>
      <c r="BG285" s="9">
        <f>IFERROR(TMK[[#This Row],[Lowest MVA]]*1000/(TMK[[#This Row],[Voltage]]*SQRT(3)),"")</f>
        <v>466</v>
      </c>
      <c r="BH285" s="9">
        <f t="shared" si="195"/>
        <v>466</v>
      </c>
      <c r="BI285" s="9" t="str">
        <f>TMK[[#This Row],[From]]</f>
        <v>11 kV Bus</v>
      </c>
      <c r="BJ285" s="9" t="str">
        <f>TMK[[#This Row],[To]]</f>
        <v>T580</v>
      </c>
      <c r="BK28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300 mm² Al XLPE</v>
      </c>
      <c r="BL285" s="9">
        <f>TMK[[#This Row],[Voltage]]</f>
        <v>11</v>
      </c>
    </row>
    <row r="286" spans="1:64" s="1" customFormat="1" ht="15" customHeight="1" thickBot="1" x14ac:dyDescent="0.3">
      <c r="A286" s="191" t="str">
        <f>CONCATENATE(TMK[[#This Row],[Supply Level]],TMK[[#This Row],[Station/Feeder]],TMK[[#This Row],[Voltage]])</f>
        <v>DistributionFeederT614_Tie to Powder Handling11</v>
      </c>
      <c r="B286" s="191" t="str">
        <f>CONCATENATE(TMK[[#This Row],[Supply Level]],TMK[[#This Row],[Station/Feeder]],TMK[[#This Row],[Equipment ID]],TMK[[#This Row],[Voltage]],TMK[[#This Row],[Device type]])</f>
        <v>DistributionFeederT614_Tie to Powder HandlingT58011-</v>
      </c>
      <c r="C286" s="191" t="s">
        <v>1276</v>
      </c>
      <c r="D286" s="192" t="s">
        <v>154</v>
      </c>
      <c r="E286" s="193" t="s">
        <v>243</v>
      </c>
      <c r="F286" s="193" t="s">
        <v>675</v>
      </c>
      <c r="G286" s="194">
        <v>4</v>
      </c>
      <c r="H286" s="193" t="s">
        <v>273</v>
      </c>
      <c r="I286" s="193" t="s">
        <v>675</v>
      </c>
      <c r="J286" s="205" t="s">
        <v>670</v>
      </c>
      <c r="K286" s="196" t="s">
        <v>0</v>
      </c>
      <c r="L286" s="196" t="s">
        <v>0</v>
      </c>
      <c r="M286" s="175">
        <v>11</v>
      </c>
      <c r="N286" s="155">
        <v>630</v>
      </c>
      <c r="O286" s="155">
        <f t="shared" si="190"/>
        <v>12.00311209645232</v>
      </c>
      <c r="P286" s="155">
        <v>630</v>
      </c>
      <c r="Q286" s="155">
        <f t="shared" si="191"/>
        <v>12.00311209645232</v>
      </c>
      <c r="R286" s="155">
        <v>630</v>
      </c>
      <c r="S286" s="155">
        <f t="shared" si="192"/>
        <v>12.00311209645232</v>
      </c>
      <c r="T286" s="155" t="s">
        <v>0</v>
      </c>
      <c r="U286" s="155" t="str">
        <f t="shared" si="193"/>
        <v>-</v>
      </c>
      <c r="V286" s="155" t="s">
        <v>0</v>
      </c>
      <c r="W286" s="155" t="str">
        <f t="shared" si="194"/>
        <v>-</v>
      </c>
      <c r="X286" s="155" t="s">
        <v>0</v>
      </c>
      <c r="Y286" s="155" t="str">
        <f t="shared" si="204"/>
        <v>-</v>
      </c>
      <c r="Z286" s="155" t="s">
        <v>0</v>
      </c>
      <c r="AA286" s="155" t="str">
        <f t="shared" si="205"/>
        <v>-</v>
      </c>
      <c r="AB286" s="155" t="s">
        <v>0</v>
      </c>
      <c r="AC286" s="155" t="str">
        <f t="shared" si="206"/>
        <v>-</v>
      </c>
      <c r="AD286" s="155" t="s">
        <v>0</v>
      </c>
      <c r="AE286" s="195" t="str">
        <f t="shared" si="207"/>
        <v>-</v>
      </c>
      <c r="AF286" s="155" t="s">
        <v>0</v>
      </c>
      <c r="AG286" s="155" t="s">
        <v>0</v>
      </c>
      <c r="AH286" s="155" t="s">
        <v>0</v>
      </c>
      <c r="AI286" s="155" t="s">
        <v>0</v>
      </c>
      <c r="AJ286" s="175" t="s">
        <v>0</v>
      </c>
      <c r="AK286" s="155" t="s">
        <v>0</v>
      </c>
      <c r="AL286" s="175" t="s">
        <v>0</v>
      </c>
      <c r="AM286" s="155" t="s">
        <v>0</v>
      </c>
      <c r="AN286" s="175" t="s">
        <v>0</v>
      </c>
      <c r="AO286" s="155" t="s">
        <v>0</v>
      </c>
      <c r="AP286" s="175" t="s">
        <v>0</v>
      </c>
      <c r="AQ286" s="175" t="s">
        <v>0</v>
      </c>
      <c r="AR286" s="155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86" s="155" t="str">
        <f t="shared" si="208"/>
        <v>-</v>
      </c>
      <c r="AT286" s="155">
        <f>IF(RIGHT(TMK[[#This Row],[Device type]],7)="Winding","-",TMK[[#This Row],[Cont Winter MVA]])</f>
        <v>12.00311209645232</v>
      </c>
      <c r="AU286" s="155">
        <f>IF(RIGHT(TMK[[#This Row],[Device type]],7)="Winding","-",TMK[[#This Row],[Cont Shoulder MVA]])</f>
        <v>12.00311209645232</v>
      </c>
      <c r="AV286" s="155">
        <f>IF(RIGHT(TMK[[#This Row],[Device type]],7)="Winding","-",TMK[[#This Row],[Cont Summer MVA]])</f>
        <v>12.00311209645232</v>
      </c>
      <c r="AW286" s="155" t="str">
        <f>IF(RIGHT(TMK[[#This Row],[Device type]],7)="Winding","-",TMK[[#This Row],[24 Hr Winter MVA]])</f>
        <v>-</v>
      </c>
      <c r="AX286" s="155" t="str">
        <f>IF(RIGHT(TMK[[#This Row],[Device type]],7)="Winding","-",TMK[[#This Row],[24 Hr Summer MVA]])</f>
        <v>-</v>
      </c>
      <c r="AY286" s="155" t="str">
        <f>TMK[[#This Row],[Forwards MVA]]</f>
        <v>-</v>
      </c>
      <c r="AZ286" s="155" t="str">
        <f>TMK[[#This Row],[Relay MVA]]</f>
        <v>-</v>
      </c>
      <c r="BA286" s="155" t="str">
        <f>TMK[[#This Row],[CT MVA]]</f>
        <v>-</v>
      </c>
      <c r="BB286" s="155" t="str">
        <f>TMK[[#This Row],[Derating MVA]]</f>
        <v>-</v>
      </c>
      <c r="BC286" s="155" t="str">
        <f>TMK[[#This Row],[Station/Feeder]]&amp;TMK[[#This Row],[Lowest MVA]]</f>
        <v>T614_Tie to Powder Handling12.0031120964523</v>
      </c>
      <c r="BD286" s="155" t="str">
        <f>CONCATENATE(TMK[[#This Row],[Supply Level]],TMK[[#This Row],[Station/Feeder]],TMK[[#This Row],[Voltage]],TMK[[#This Row],[Lowest A-No PTX]])</f>
        <v>DistributionFeederT614_Tie to Powder Handling11630</v>
      </c>
      <c r="BE286" s="155" t="str">
        <f>CONCATENATE(TMK[[#This Row],[Supply Level]],TMK[[#This Row],[Station/Feeder]],TMK[[#This Row],[Voltage]],TMK[[#This Row],[Lowest A-PTX]])</f>
        <v>DistributionFeederT614_Tie to Powder Handling11630</v>
      </c>
      <c r="BF286" s="155">
        <f>IFERROR(IF(MIN(TMK[[#This Row],[Summ Cont Winter A]:[Cable Derating]])=0,"",MIN(TMK[[#This Row],[Summ Cont Winter A]:[Cable Derating]])),"")</f>
        <v>12.00311209645232</v>
      </c>
      <c r="BG286" s="155">
        <f>IFERROR(TMK[[#This Row],[Lowest MVA]]*1000/(TMK[[#This Row],[Voltage]]*SQRT(3)),"")</f>
        <v>630</v>
      </c>
      <c r="BH286" s="155">
        <f t="shared" si="195"/>
        <v>630</v>
      </c>
      <c r="BI286" s="155" t="str">
        <f>TMK[[#This Row],[From]]</f>
        <v>11 kV Bus</v>
      </c>
      <c r="BJ286" s="155" t="str">
        <f>TMK[[#This Row],[To]]</f>
        <v>T580</v>
      </c>
      <c r="BK286" s="19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Switch-T580</v>
      </c>
      <c r="BL286" s="155">
        <f>TMK[[#This Row],[Voltage]]</f>
        <v>11</v>
      </c>
    </row>
    <row r="287" spans="1:64" s="1" customFormat="1" ht="15" customHeight="1" x14ac:dyDescent="0.25">
      <c r="A287" s="168" t="str">
        <f>CONCATENATE(TMK[[#This Row],[Supply Level]],TMK[[#This Row],[Station/Feeder]],TMK[[#This Row],[Voltage]])</f>
        <v>SubTransmissionCB1222_Clandeboye No.333.594</v>
      </c>
      <c r="B287" s="168" t="str">
        <f>CONCATENATE(TMK[[#This Row],[Supply Level]],TMK[[#This Row],[Station/Feeder]],TMK[[#This Row],[Equipment ID]],TMK[[#This Row],[Voltage]],TMK[[#This Row],[Device type]])</f>
        <v>SubTransmissionCB1222_Clandeboye No.3TMK-CB122233.594Protection</v>
      </c>
      <c r="C287" s="168" t="s">
        <v>1245</v>
      </c>
      <c r="D287" s="118" t="s">
        <v>230</v>
      </c>
      <c r="E287" s="49" t="s">
        <v>63</v>
      </c>
      <c r="F287" s="49" t="s">
        <v>632</v>
      </c>
      <c r="G287" s="190">
        <v>1</v>
      </c>
      <c r="H287" s="49" t="s">
        <v>2384</v>
      </c>
      <c r="I287" s="124" t="s">
        <v>2312</v>
      </c>
      <c r="J287" s="124" t="s">
        <v>15</v>
      </c>
      <c r="K287" s="45" t="s">
        <v>470</v>
      </c>
      <c r="L287" s="45" t="s">
        <v>1423</v>
      </c>
      <c r="M287" s="32">
        <f t="shared" si="121"/>
        <v>33.594000000000001</v>
      </c>
      <c r="N287" s="29">
        <v>630</v>
      </c>
      <c r="O287" s="29">
        <f t="shared" si="190"/>
        <v>36.657504342565389</v>
      </c>
      <c r="P287" s="29">
        <v>630</v>
      </c>
      <c r="Q287" s="29">
        <f t="shared" si="191"/>
        <v>36.657504342565389</v>
      </c>
      <c r="R287" s="29">
        <v>630</v>
      </c>
      <c r="S287" s="29">
        <f t="shared" si="192"/>
        <v>36.657504342565389</v>
      </c>
      <c r="T287" s="29">
        <v>630</v>
      </c>
      <c r="U287" s="29">
        <f t="shared" si="193"/>
        <v>36.657504342565389</v>
      </c>
      <c r="V287" s="29">
        <v>630</v>
      </c>
      <c r="W287" s="29">
        <f t="shared" si="194"/>
        <v>36.657504342565389</v>
      </c>
      <c r="X287" s="29">
        <f>VLOOKUP(TMK[[#This Row],[Equipment ID]],AEL_Protection_Data[#All],12,0)</f>
        <v>540</v>
      </c>
      <c r="Y287" s="29">
        <f t="shared" ref="Y287:Y292" si="209">IF(OR(X287="",X287="-"),"-",X287*$M287*SQRT(3)/1000)</f>
        <v>31.420718007913187</v>
      </c>
      <c r="Z287" s="29">
        <f>TMK[[#This Row],[Forward A]]</f>
        <v>540</v>
      </c>
      <c r="AA287" s="29">
        <f t="shared" ref="AA287:AA292" si="210">IF(OR(Z287="",Z287="-"),"-",Z287*$M287*SQRT(3)/1000)</f>
        <v>31.420718007913187</v>
      </c>
      <c r="AB287" s="29">
        <v>1800</v>
      </c>
      <c r="AC287" s="29">
        <f t="shared" ref="AC287:AC292" si="211">IF(OR(AB287="",AB287="-"),"-",AB287*$M287*SQRT(3)/1000)</f>
        <v>104.73572669304396</v>
      </c>
      <c r="AD287" s="29">
        <v>1250</v>
      </c>
      <c r="AE287" s="169">
        <f t="shared" ref="AE287:AE292" si="212">IF(OR(AD287="",AD287="-"),"-",AD287*$M287*SQRT(3)/1000)</f>
        <v>72.733143536836067</v>
      </c>
      <c r="AF287" s="29" t="s">
        <v>0</v>
      </c>
      <c r="AG287" s="29" t="s">
        <v>0</v>
      </c>
      <c r="AH287" s="29" t="s">
        <v>0</v>
      </c>
      <c r="AI287" s="29" t="s">
        <v>0</v>
      </c>
      <c r="AJ287" s="32" t="s">
        <v>0</v>
      </c>
      <c r="AK287" s="29" t="s">
        <v>0</v>
      </c>
      <c r="AL287" s="32" t="s">
        <v>0</v>
      </c>
      <c r="AM287" s="29" t="s">
        <v>0</v>
      </c>
      <c r="AN287" s="32" t="s">
        <v>0</v>
      </c>
      <c r="AO287" s="29" t="s">
        <v>0</v>
      </c>
      <c r="AP287" s="32" t="s">
        <v>0</v>
      </c>
      <c r="AQ287" s="32" t="s">
        <v>0</v>
      </c>
      <c r="AR287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87" s="29" t="str">
        <f t="shared" ref="AS287:AS292" si="213">IF(OR(AR287="",AR287="-"),"-",AR287*$M287*SQRT(3)/1000)</f>
        <v>-</v>
      </c>
      <c r="AT287" s="29">
        <f>IF(RIGHT(TMK[[#This Row],[Device type]],7)="Winding","-",TMK[[#This Row],[Cont Winter MVA]])</f>
        <v>36.657504342565389</v>
      </c>
      <c r="AU287" s="29">
        <f>IF(RIGHT(TMK[[#This Row],[Device type]],7)="Winding","-",TMK[[#This Row],[Cont Shoulder MVA]])</f>
        <v>36.657504342565389</v>
      </c>
      <c r="AV287" s="29">
        <f>IF(RIGHT(TMK[[#This Row],[Device type]],7)="Winding","-",TMK[[#This Row],[Cont Summer MVA]])</f>
        <v>36.657504342565389</v>
      </c>
      <c r="AW287" s="29">
        <f>IF(RIGHT(TMK[[#This Row],[Device type]],7)="Winding","-",TMK[[#This Row],[24 Hr Winter MVA]])</f>
        <v>36.657504342565389</v>
      </c>
      <c r="AX287" s="29">
        <f>IF(RIGHT(TMK[[#This Row],[Device type]],7)="Winding","-",TMK[[#This Row],[24 Hr Summer MVA]])</f>
        <v>36.657504342565389</v>
      </c>
      <c r="AY287" s="29">
        <f>TMK[[#This Row],[Forwards MVA]]</f>
        <v>31.420718007913187</v>
      </c>
      <c r="AZ287" s="29">
        <f>TMK[[#This Row],[Relay MVA]]</f>
        <v>104.73572669304396</v>
      </c>
      <c r="BA287" s="29">
        <f>TMK[[#This Row],[CT MVA]]</f>
        <v>72.733143536836067</v>
      </c>
      <c r="BB287" s="29" t="str">
        <f>TMK[[#This Row],[Derating MVA]]</f>
        <v>-</v>
      </c>
      <c r="BC287" s="29" t="str">
        <f>TMK[[#This Row],[Station/Feeder]]&amp;TMK[[#This Row],[Lowest MVA]]</f>
        <v>CB1222_Clandeboye No.331.4207180079132</v>
      </c>
      <c r="BD287" s="29" t="str">
        <f>CONCATENATE(TMK[[#This Row],[Supply Level]],TMK[[#This Row],[Station/Feeder]],TMK[[#This Row],[Voltage]],TMK[[#This Row],[Lowest A-No PTX]])</f>
        <v>SubTransmissionCB1222_Clandeboye No.333.594540</v>
      </c>
      <c r="BE287" s="29" t="str">
        <f>CONCATENATE(TMK[[#This Row],[Supply Level]],TMK[[#This Row],[Station/Feeder]],TMK[[#This Row],[Voltage]],TMK[[#This Row],[Lowest A-PTX]])</f>
        <v>SubTransmissionCB1222_Clandeboye No.333.594540</v>
      </c>
      <c r="BF287" s="29">
        <f>IFERROR(IF(MIN(TMK[[#This Row],[Summ Cont Winter A]:[Cable Derating]])=0,"",MIN(TMK[[#This Row],[Summ Cont Winter A]:[Cable Derating]])),"")</f>
        <v>31.420718007913187</v>
      </c>
      <c r="BG287" s="29">
        <f>IFERROR(TMK[[#This Row],[Lowest MVA]]*1000/(TMK[[#This Row],[Voltage]]*SQRT(3)),"")</f>
        <v>540</v>
      </c>
      <c r="BH287" s="29">
        <f t="shared" si="195"/>
        <v>540</v>
      </c>
      <c r="BI287" s="29" t="str">
        <f>TMK[[#This Row],[From]]</f>
        <v>33 kV Bus</v>
      </c>
      <c r="BJ287" s="29" t="str">
        <f>TMK[[#This Row],[To]]</f>
        <v>Pole 02002</v>
      </c>
      <c r="BK287" s="45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Breaker-TMK-CB1222-Protection</v>
      </c>
      <c r="BL287" s="29">
        <f>TMK[[#This Row],[Voltage]]</f>
        <v>33.594000000000001</v>
      </c>
    </row>
    <row r="288" spans="1:64" s="1" customFormat="1" ht="15" customHeight="1" x14ac:dyDescent="0.25">
      <c r="A288" s="6" t="str">
        <f>CONCATENATE(TMK[[#This Row],[Supply Level]],TMK[[#This Row],[Station/Feeder]],TMK[[#This Row],[Voltage]])</f>
        <v>SubTransmissionCB1222_Clandeboye No.333.594</v>
      </c>
      <c r="B288" s="6" t="str">
        <f>CONCATENATE(TMK[[#This Row],[Supply Level]],TMK[[#This Row],[Station/Feeder]],TMK[[#This Row],[Equipment ID]],TMK[[#This Row],[Voltage]],TMK[[#This Row],[Device type]])</f>
        <v>SubTransmissionCB1222_Clandeboye No.36-1c 300 mm² Al XLPE33.594-</v>
      </c>
      <c r="C288" s="6" t="s">
        <v>1245</v>
      </c>
      <c r="D288" s="11" t="s">
        <v>230</v>
      </c>
      <c r="E288" s="7" t="s">
        <v>63</v>
      </c>
      <c r="F288" s="7" t="s">
        <v>632</v>
      </c>
      <c r="G288" s="56">
        <v>2</v>
      </c>
      <c r="H288" s="7" t="s">
        <v>585</v>
      </c>
      <c r="I288" s="123" t="s">
        <v>625</v>
      </c>
      <c r="J288" s="123" t="s">
        <v>250</v>
      </c>
      <c r="K288" s="46" t="s">
        <v>0</v>
      </c>
      <c r="L288" s="46" t="s">
        <v>0</v>
      </c>
      <c r="M288" s="43">
        <f t="shared" si="121"/>
        <v>33.594000000000001</v>
      </c>
      <c r="N288" s="9">
        <v>828</v>
      </c>
      <c r="O288" s="9">
        <f t="shared" si="190"/>
        <v>48.178434278800218</v>
      </c>
      <c r="P288" s="9">
        <v>828</v>
      </c>
      <c r="Q288" s="9">
        <f t="shared" si="191"/>
        <v>48.178434278800218</v>
      </c>
      <c r="R288" s="9">
        <v>828</v>
      </c>
      <c r="S288" s="9">
        <f t="shared" si="192"/>
        <v>48.178434278800218</v>
      </c>
      <c r="T288" s="9" t="s">
        <v>0</v>
      </c>
      <c r="U288" s="9" t="str">
        <f t="shared" si="193"/>
        <v>-</v>
      </c>
      <c r="V288" s="9" t="s">
        <v>0</v>
      </c>
      <c r="W288" s="9" t="str">
        <f t="shared" si="194"/>
        <v>-</v>
      </c>
      <c r="X288" s="9" t="s">
        <v>0</v>
      </c>
      <c r="Y288" s="9" t="str">
        <f t="shared" si="209"/>
        <v>-</v>
      </c>
      <c r="Z288" s="9" t="s">
        <v>0</v>
      </c>
      <c r="AA288" s="9" t="str">
        <f t="shared" si="210"/>
        <v>-</v>
      </c>
      <c r="AB288" s="9" t="s">
        <v>0</v>
      </c>
      <c r="AC288" s="9" t="str">
        <f t="shared" si="211"/>
        <v>-</v>
      </c>
      <c r="AD288" s="9" t="s">
        <v>0</v>
      </c>
      <c r="AE288" s="12" t="str">
        <f t="shared" si="212"/>
        <v>-</v>
      </c>
      <c r="AF288" s="9">
        <v>1</v>
      </c>
      <c r="AG288" s="9" t="s">
        <v>344</v>
      </c>
      <c r="AH288" s="9">
        <v>233</v>
      </c>
      <c r="AI288" s="9">
        <v>1.1000000000000001</v>
      </c>
      <c r="AJ288" s="43">
        <v>0.97</v>
      </c>
      <c r="AK288" s="29">
        <v>18.5</v>
      </c>
      <c r="AL288" s="32">
        <v>0.98</v>
      </c>
      <c r="AM288" s="29">
        <v>1.2</v>
      </c>
      <c r="AN288" s="32">
        <v>1</v>
      </c>
      <c r="AO288" s="29">
        <v>4</v>
      </c>
      <c r="AP288" s="32">
        <v>0.4</v>
      </c>
      <c r="AQ288" s="32">
        <v>0.75</v>
      </c>
      <c r="AR288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590.32259999999997</v>
      </c>
      <c r="AS288" s="9">
        <f t="shared" si="213"/>
        <v>34.348814719070617</v>
      </c>
      <c r="AT288" s="9">
        <f>IF(RIGHT(TMK[[#This Row],[Device type]],7)="Winding","-",TMK[[#This Row],[Cont Winter MVA]])</f>
        <v>48.178434278800218</v>
      </c>
      <c r="AU288" s="9">
        <f>IF(RIGHT(TMK[[#This Row],[Device type]],7)="Winding","-",TMK[[#This Row],[Cont Shoulder MVA]])</f>
        <v>48.178434278800218</v>
      </c>
      <c r="AV288" s="9">
        <f>IF(RIGHT(TMK[[#This Row],[Device type]],7)="Winding","-",TMK[[#This Row],[Cont Summer MVA]])</f>
        <v>48.178434278800218</v>
      </c>
      <c r="AW288" s="9" t="str">
        <f>IF(RIGHT(TMK[[#This Row],[Device type]],7)="Winding","-",TMK[[#This Row],[24 Hr Winter MVA]])</f>
        <v>-</v>
      </c>
      <c r="AX288" s="9" t="str">
        <f>IF(RIGHT(TMK[[#This Row],[Device type]],7)="Winding","-",TMK[[#This Row],[24 Hr Summer MVA]])</f>
        <v>-</v>
      </c>
      <c r="AY288" s="9" t="str">
        <f>TMK[[#This Row],[Forwards MVA]]</f>
        <v>-</v>
      </c>
      <c r="AZ288" s="9" t="str">
        <f>TMK[[#This Row],[Relay MVA]]</f>
        <v>-</v>
      </c>
      <c r="BA288" s="9" t="str">
        <f>TMK[[#This Row],[CT MVA]]</f>
        <v>-</v>
      </c>
      <c r="BB288" s="9">
        <f>TMK[[#This Row],[Derating MVA]]</f>
        <v>34.348814719070617</v>
      </c>
      <c r="BC288" s="9" t="str">
        <f>TMK[[#This Row],[Station/Feeder]]&amp;TMK[[#This Row],[Lowest MVA]]</f>
        <v>CB1222_Clandeboye No.334.3488147190706</v>
      </c>
      <c r="BD288" s="9" t="str">
        <f>CONCATENATE(TMK[[#This Row],[Supply Level]],TMK[[#This Row],[Station/Feeder]],TMK[[#This Row],[Voltage]],TMK[[#This Row],[Lowest A-No PTX]])</f>
        <v>SubTransmissionCB1222_Clandeboye No.333.594590.3226</v>
      </c>
      <c r="BE288" s="9" t="str">
        <f>CONCATENATE(TMK[[#This Row],[Supply Level]],TMK[[#This Row],[Station/Feeder]],TMK[[#This Row],[Voltage]],TMK[[#This Row],[Lowest A-PTX]])</f>
        <v>SubTransmissionCB1222_Clandeboye No.333.594590.3226</v>
      </c>
      <c r="BF288" s="9">
        <f>IFERROR(IF(MIN(TMK[[#This Row],[Summ Cont Winter A]:[Cable Derating]])=0,"",MIN(TMK[[#This Row],[Summ Cont Winter A]:[Cable Derating]])),"")</f>
        <v>34.348814719070617</v>
      </c>
      <c r="BG288" s="9">
        <f>IFERROR(TMK[[#This Row],[Lowest MVA]]*1000/(TMK[[#This Row],[Voltage]]*SQRT(3)),"")</f>
        <v>590.32259999999997</v>
      </c>
      <c r="BH288" s="9">
        <f t="shared" si="195"/>
        <v>590.32259999999997</v>
      </c>
      <c r="BI288" s="9" t="str">
        <f>TMK[[#This Row],[From]]</f>
        <v>33 kV Bus</v>
      </c>
      <c r="BJ288" s="9" t="str">
        <f>TMK[[#This Row],[To]]</f>
        <v>Pole 02002</v>
      </c>
      <c r="BK28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Cable-6-1c 300 mm² Al XLPE</v>
      </c>
      <c r="BL288" s="9">
        <f>TMK[[#This Row],[Voltage]]</f>
        <v>33.594000000000001</v>
      </c>
    </row>
    <row r="289" spans="1:64" s="1" customFormat="1" ht="15" customHeight="1" x14ac:dyDescent="0.25">
      <c r="A289" s="6" t="str">
        <f>CONCATENATE(TMK[[#This Row],[Supply Level]],TMK[[#This Row],[Station/Feeder]],TMK[[#This Row],[Voltage]])</f>
        <v>SubTransmissionCB1222_Clandeboye No.333.594</v>
      </c>
      <c r="B289" s="6" t="str">
        <f>CONCATENATE(TMK[[#This Row],[Supply Level]],TMK[[#This Row],[Station/Feeder]],TMK[[#This Row],[Equipment ID]],TMK[[#This Row],[Voltage]],TMK[[#This Row],[Device type]])</f>
        <v>SubTransmissionCB1222_Clandeboye No.3JAGUAR33.594-</v>
      </c>
      <c r="C289" s="6" t="s">
        <v>1245</v>
      </c>
      <c r="D289" s="11" t="s">
        <v>230</v>
      </c>
      <c r="E289" s="7" t="s">
        <v>632</v>
      </c>
      <c r="F289" s="7" t="s">
        <v>557</v>
      </c>
      <c r="G289" s="56">
        <v>3</v>
      </c>
      <c r="H289" s="7" t="s">
        <v>1289</v>
      </c>
      <c r="I289" s="123" t="s">
        <v>345</v>
      </c>
      <c r="J289" s="123" t="s">
        <v>69</v>
      </c>
      <c r="K289" s="46" t="s">
        <v>0</v>
      </c>
      <c r="L289" s="46" t="s">
        <v>0</v>
      </c>
      <c r="M289" s="43">
        <f t="shared" si="121"/>
        <v>33.594000000000001</v>
      </c>
      <c r="N289" s="9">
        <v>673.28384221311683</v>
      </c>
      <c r="O289" s="9">
        <f t="shared" si="190"/>
        <v>39.176040269375299</v>
      </c>
      <c r="P289" s="9" t="s">
        <v>0</v>
      </c>
      <c r="Q289" s="9" t="str">
        <f t="shared" si="191"/>
        <v>-</v>
      </c>
      <c r="R289" s="9">
        <v>582.79308811233284</v>
      </c>
      <c r="S289" s="9">
        <f t="shared" si="192"/>
        <v>33.910698663960211</v>
      </c>
      <c r="T289" s="9" t="s">
        <v>0</v>
      </c>
      <c r="U289" s="9" t="str">
        <f t="shared" si="193"/>
        <v>-</v>
      </c>
      <c r="V289" s="9" t="s">
        <v>0</v>
      </c>
      <c r="W289" s="9" t="str">
        <f t="shared" si="194"/>
        <v>-</v>
      </c>
      <c r="X289" s="9" t="s">
        <v>0</v>
      </c>
      <c r="Y289" s="9" t="str">
        <f t="shared" si="209"/>
        <v>-</v>
      </c>
      <c r="Z289" s="9" t="s">
        <v>0</v>
      </c>
      <c r="AA289" s="9" t="str">
        <f t="shared" si="210"/>
        <v>-</v>
      </c>
      <c r="AB289" s="9" t="s">
        <v>0</v>
      </c>
      <c r="AC289" s="9" t="str">
        <f t="shared" si="211"/>
        <v>-</v>
      </c>
      <c r="AD289" s="9" t="s">
        <v>0</v>
      </c>
      <c r="AE289" s="12" t="str">
        <f t="shared" si="212"/>
        <v>-</v>
      </c>
      <c r="AF289" s="29" t="s">
        <v>0</v>
      </c>
      <c r="AG289" s="29" t="s">
        <v>0</v>
      </c>
      <c r="AH289" s="9">
        <v>5804</v>
      </c>
      <c r="AI289" s="29" t="s">
        <v>0</v>
      </c>
      <c r="AJ289" s="32" t="s">
        <v>0</v>
      </c>
      <c r="AK289" s="29" t="s">
        <v>0</v>
      </c>
      <c r="AL289" s="32" t="s">
        <v>0</v>
      </c>
      <c r="AM289" s="29" t="s">
        <v>0</v>
      </c>
      <c r="AN289" s="32" t="s">
        <v>0</v>
      </c>
      <c r="AO289" s="29" t="s">
        <v>0</v>
      </c>
      <c r="AP289" s="32" t="s">
        <v>0</v>
      </c>
      <c r="AQ289" s="32" t="s">
        <v>0</v>
      </c>
      <c r="AR28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89" s="9" t="str">
        <f t="shared" si="213"/>
        <v>-</v>
      </c>
      <c r="AT289" s="9">
        <f>IF(RIGHT(TMK[[#This Row],[Device type]],7)="Winding","-",TMK[[#This Row],[Cont Winter MVA]])</f>
        <v>39.176040269375299</v>
      </c>
      <c r="AU289" s="9" t="str">
        <f>IF(RIGHT(TMK[[#This Row],[Device type]],7)="Winding","-",TMK[[#This Row],[Cont Shoulder MVA]])</f>
        <v>-</v>
      </c>
      <c r="AV289" s="9">
        <f>IF(RIGHT(TMK[[#This Row],[Device type]],7)="Winding","-",TMK[[#This Row],[Cont Summer MVA]])</f>
        <v>33.910698663960211</v>
      </c>
      <c r="AW289" s="9" t="str">
        <f>IF(RIGHT(TMK[[#This Row],[Device type]],7)="Winding","-",TMK[[#This Row],[24 Hr Winter MVA]])</f>
        <v>-</v>
      </c>
      <c r="AX289" s="9" t="str">
        <f>IF(RIGHT(TMK[[#This Row],[Device type]],7)="Winding","-",TMK[[#This Row],[24 Hr Summer MVA]])</f>
        <v>-</v>
      </c>
      <c r="AY289" s="9" t="str">
        <f>TMK[[#This Row],[Forwards MVA]]</f>
        <v>-</v>
      </c>
      <c r="AZ289" s="9" t="str">
        <f>TMK[[#This Row],[Relay MVA]]</f>
        <v>-</v>
      </c>
      <c r="BA289" s="9" t="str">
        <f>TMK[[#This Row],[CT MVA]]</f>
        <v>-</v>
      </c>
      <c r="BB289" s="9" t="str">
        <f>TMK[[#This Row],[Derating MVA]]</f>
        <v>-</v>
      </c>
      <c r="BC289" s="9" t="str">
        <f>TMK[[#This Row],[Station/Feeder]]&amp;TMK[[#This Row],[Lowest MVA]]</f>
        <v>CB1222_Clandeboye No.333.9106986639602</v>
      </c>
      <c r="BD289" s="9" t="str">
        <f>CONCATENATE(TMK[[#This Row],[Supply Level]],TMK[[#This Row],[Station/Feeder]],TMK[[#This Row],[Voltage]],TMK[[#This Row],[Lowest A-No PTX]])</f>
        <v>SubTransmissionCB1222_Clandeboye No.333.594582.793088112333</v>
      </c>
      <c r="BE289" s="9" t="str">
        <f>CONCATENATE(TMK[[#This Row],[Supply Level]],TMK[[#This Row],[Station/Feeder]],TMK[[#This Row],[Voltage]],TMK[[#This Row],[Lowest A-PTX]])</f>
        <v>SubTransmissionCB1222_Clandeboye No.333.594582.793088112333</v>
      </c>
      <c r="BF289" s="9">
        <f>IFERROR(IF(MIN(TMK[[#This Row],[Summ Cont Winter A]:[Cable Derating]])=0,"",MIN(TMK[[#This Row],[Summ Cont Winter A]:[Cable Derating]])),"")</f>
        <v>33.910698663960211</v>
      </c>
      <c r="BG289" s="9">
        <f>IFERROR(TMK[[#This Row],[Lowest MVA]]*1000/(TMK[[#This Row],[Voltage]]*SQRT(3)),"")</f>
        <v>582.79308811233284</v>
      </c>
      <c r="BH289" s="9">
        <f t="shared" si="195"/>
        <v>582.79308811233284</v>
      </c>
      <c r="BI289" s="9" t="str">
        <f>TMK[[#This Row],[From]]</f>
        <v>Pole 02002</v>
      </c>
      <c r="BJ289" s="9" t="str">
        <f>TMK[[#This Row],[To]]</f>
        <v>Pole 02049</v>
      </c>
      <c r="BK28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Line-JAGUAR</v>
      </c>
      <c r="BL289" s="9">
        <f>TMK[[#This Row],[Voltage]]</f>
        <v>33.594000000000001</v>
      </c>
    </row>
    <row r="290" spans="1:64" s="1" customFormat="1" ht="15" customHeight="1" x14ac:dyDescent="0.25">
      <c r="A290" s="6" t="str">
        <f>CONCATENATE(TMK[[#This Row],[Supply Level]],TMK[[#This Row],[Station/Feeder]],TMK[[#This Row],[Voltage]])</f>
        <v>SubTransmissionCB1222_Clandeboye No.333.594</v>
      </c>
      <c r="B290" s="6" t="str">
        <f>CONCATENATE(TMK[[#This Row],[Supply Level]],TMK[[#This Row],[Station/Feeder]],TMK[[#This Row],[Equipment ID]],TMK[[#This Row],[Voltage]],TMK[[#This Row],[Device type]])</f>
        <v>SubTransmissionCB1222_Clandeboye No.3WOLF33.594-</v>
      </c>
      <c r="C290" s="6" t="s">
        <v>1245</v>
      </c>
      <c r="D290" s="11" t="s">
        <v>230</v>
      </c>
      <c r="E290" s="7" t="s">
        <v>557</v>
      </c>
      <c r="F290" s="7" t="s">
        <v>583</v>
      </c>
      <c r="G290" s="56">
        <v>4</v>
      </c>
      <c r="H290" s="7" t="s">
        <v>1289</v>
      </c>
      <c r="I290" s="123" t="s">
        <v>472</v>
      </c>
      <c r="J290" s="123" t="s">
        <v>69</v>
      </c>
      <c r="K290" s="46" t="s">
        <v>0</v>
      </c>
      <c r="L290" s="46" t="s">
        <v>0</v>
      </c>
      <c r="M290" s="43">
        <f t="shared" si="121"/>
        <v>33.594000000000001</v>
      </c>
      <c r="N290" s="9">
        <v>572.86734613879435</v>
      </c>
      <c r="O290" s="9">
        <f t="shared" si="190"/>
        <v>33.33315433142343</v>
      </c>
      <c r="P290" s="9" t="s">
        <v>0</v>
      </c>
      <c r="Q290" s="9" t="str">
        <f t="shared" si="191"/>
        <v>-</v>
      </c>
      <c r="R290" s="9">
        <v>496.06019819111373</v>
      </c>
      <c r="S290" s="9">
        <f t="shared" si="192"/>
        <v>28.864014078356504</v>
      </c>
      <c r="T290" s="9" t="s">
        <v>0</v>
      </c>
      <c r="U290" s="9" t="str">
        <f t="shared" si="193"/>
        <v>-</v>
      </c>
      <c r="V290" s="9" t="s">
        <v>0</v>
      </c>
      <c r="W290" s="9" t="str">
        <f t="shared" si="194"/>
        <v>-</v>
      </c>
      <c r="X290" s="9" t="s">
        <v>0</v>
      </c>
      <c r="Y290" s="9" t="str">
        <f t="shared" si="209"/>
        <v>-</v>
      </c>
      <c r="Z290" s="9" t="s">
        <v>0</v>
      </c>
      <c r="AA290" s="9" t="str">
        <f t="shared" si="210"/>
        <v>-</v>
      </c>
      <c r="AB290" s="9" t="s">
        <v>0</v>
      </c>
      <c r="AC290" s="9" t="str">
        <f t="shared" si="211"/>
        <v>-</v>
      </c>
      <c r="AD290" s="9" t="s">
        <v>0</v>
      </c>
      <c r="AE290" s="12" t="str">
        <f t="shared" si="212"/>
        <v>-</v>
      </c>
      <c r="AF290" s="29" t="s">
        <v>0</v>
      </c>
      <c r="AG290" s="29" t="s">
        <v>0</v>
      </c>
      <c r="AH290" s="9">
        <v>401</v>
      </c>
      <c r="AI290" s="29" t="s">
        <v>0</v>
      </c>
      <c r="AJ290" s="32" t="s">
        <v>0</v>
      </c>
      <c r="AK290" s="29" t="s">
        <v>0</v>
      </c>
      <c r="AL290" s="32" t="s">
        <v>0</v>
      </c>
      <c r="AM290" s="29" t="s">
        <v>0</v>
      </c>
      <c r="AN290" s="32" t="s">
        <v>0</v>
      </c>
      <c r="AO290" s="29" t="s">
        <v>0</v>
      </c>
      <c r="AP290" s="32" t="s">
        <v>0</v>
      </c>
      <c r="AQ290" s="32" t="s">
        <v>0</v>
      </c>
      <c r="AR290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90" s="9" t="str">
        <f t="shared" si="213"/>
        <v>-</v>
      </c>
      <c r="AT290" s="9">
        <f>IF(RIGHT(TMK[[#This Row],[Device type]],7)="Winding","-",TMK[[#This Row],[Cont Winter MVA]])</f>
        <v>33.33315433142343</v>
      </c>
      <c r="AU290" s="9" t="str">
        <f>IF(RIGHT(TMK[[#This Row],[Device type]],7)="Winding","-",TMK[[#This Row],[Cont Shoulder MVA]])</f>
        <v>-</v>
      </c>
      <c r="AV290" s="9">
        <f>IF(RIGHT(TMK[[#This Row],[Device type]],7)="Winding","-",TMK[[#This Row],[Cont Summer MVA]])</f>
        <v>28.864014078356504</v>
      </c>
      <c r="AW290" s="9" t="str">
        <f>IF(RIGHT(TMK[[#This Row],[Device type]],7)="Winding","-",TMK[[#This Row],[24 Hr Winter MVA]])</f>
        <v>-</v>
      </c>
      <c r="AX290" s="9" t="str">
        <f>IF(RIGHT(TMK[[#This Row],[Device type]],7)="Winding","-",TMK[[#This Row],[24 Hr Summer MVA]])</f>
        <v>-</v>
      </c>
      <c r="AY290" s="9" t="str">
        <f>TMK[[#This Row],[Forwards MVA]]</f>
        <v>-</v>
      </c>
      <c r="AZ290" s="9" t="str">
        <f>TMK[[#This Row],[Relay MVA]]</f>
        <v>-</v>
      </c>
      <c r="BA290" s="9" t="str">
        <f>TMK[[#This Row],[CT MVA]]</f>
        <v>-</v>
      </c>
      <c r="BB290" s="9" t="str">
        <f>TMK[[#This Row],[Derating MVA]]</f>
        <v>-</v>
      </c>
      <c r="BC290" s="9" t="str">
        <f>TMK[[#This Row],[Station/Feeder]]&amp;TMK[[#This Row],[Lowest MVA]]</f>
        <v>CB1222_Clandeboye No.328.8640140783565</v>
      </c>
      <c r="BD290" s="9" t="str">
        <f>CONCATENATE(TMK[[#This Row],[Supply Level]],TMK[[#This Row],[Station/Feeder]],TMK[[#This Row],[Voltage]],TMK[[#This Row],[Lowest A-No PTX]])</f>
        <v>SubTransmissionCB1222_Clandeboye No.333.594496.060198191114</v>
      </c>
      <c r="BE290" s="9" t="str">
        <f>CONCATENATE(TMK[[#This Row],[Supply Level]],TMK[[#This Row],[Station/Feeder]],TMK[[#This Row],[Voltage]],TMK[[#This Row],[Lowest A-PTX]])</f>
        <v>SubTransmissionCB1222_Clandeboye No.333.594496.060198191114</v>
      </c>
      <c r="BF290" s="9">
        <f>IFERROR(IF(MIN(TMK[[#This Row],[Summ Cont Winter A]:[Cable Derating]])=0,"",MIN(TMK[[#This Row],[Summ Cont Winter A]:[Cable Derating]])),"")</f>
        <v>28.864014078356504</v>
      </c>
      <c r="BG290" s="9">
        <f>IFERROR(TMK[[#This Row],[Lowest MVA]]*1000/(TMK[[#This Row],[Voltage]]*SQRT(3)),"")</f>
        <v>496.06019819111378</v>
      </c>
      <c r="BH290" s="9">
        <f t="shared" si="195"/>
        <v>496.06019819111373</v>
      </c>
      <c r="BI290" s="9" t="str">
        <f>TMK[[#This Row],[From]]</f>
        <v>Pole 02049</v>
      </c>
      <c r="BJ290" s="9" t="str">
        <f>TMK[[#This Row],[To]]</f>
        <v>Pole 02053</v>
      </c>
      <c r="BK29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Line-WOLF</v>
      </c>
      <c r="BL290" s="9">
        <f>TMK[[#This Row],[Voltage]]</f>
        <v>33.594000000000001</v>
      </c>
    </row>
    <row r="291" spans="1:64" s="1" customFormat="1" ht="15" customHeight="1" x14ac:dyDescent="0.25">
      <c r="A291" s="6" t="str">
        <f>CONCATENATE(TMK[[#This Row],[Supply Level]],TMK[[#This Row],[Station/Feeder]],TMK[[#This Row],[Voltage]])</f>
        <v>SubTransmissionCB1222_Clandeboye No.333.594</v>
      </c>
      <c r="B291" s="6" t="str">
        <f>CONCATENATE(TMK[[#This Row],[Supply Level]],TMK[[#This Row],[Station/Feeder]],TMK[[#This Row],[Equipment ID]],TMK[[#This Row],[Voltage]],TMK[[#This Row],[Device type]])</f>
        <v>SubTransmissionCB1222_Clandeboye No.3JAGUAR33.594-</v>
      </c>
      <c r="C291" s="6" t="s">
        <v>1245</v>
      </c>
      <c r="D291" s="11" t="s">
        <v>230</v>
      </c>
      <c r="E291" s="7" t="s">
        <v>583</v>
      </c>
      <c r="F291" s="7" t="s">
        <v>618</v>
      </c>
      <c r="G291" s="56">
        <v>5</v>
      </c>
      <c r="H291" s="7" t="s">
        <v>1289</v>
      </c>
      <c r="I291" s="123" t="s">
        <v>345</v>
      </c>
      <c r="J291" s="123" t="s">
        <v>69</v>
      </c>
      <c r="K291" s="46" t="s">
        <v>0</v>
      </c>
      <c r="L291" s="46" t="s">
        <v>0</v>
      </c>
      <c r="M291" s="43">
        <f t="shared" si="121"/>
        <v>33.594000000000001</v>
      </c>
      <c r="N291" s="9">
        <v>673.28384221311683</v>
      </c>
      <c r="O291" s="9">
        <f t="shared" si="190"/>
        <v>39.176040269375299</v>
      </c>
      <c r="P291" s="9" t="s">
        <v>0</v>
      </c>
      <c r="Q291" s="9" t="str">
        <f t="shared" si="191"/>
        <v>-</v>
      </c>
      <c r="R291" s="9">
        <v>582.79308811233284</v>
      </c>
      <c r="S291" s="9">
        <f t="shared" si="192"/>
        <v>33.910698663960211</v>
      </c>
      <c r="T291" s="9" t="s">
        <v>0</v>
      </c>
      <c r="U291" s="9" t="str">
        <f t="shared" si="193"/>
        <v>-</v>
      </c>
      <c r="V291" s="9" t="s">
        <v>0</v>
      </c>
      <c r="W291" s="9" t="str">
        <f t="shared" si="194"/>
        <v>-</v>
      </c>
      <c r="X291" s="9" t="s">
        <v>0</v>
      </c>
      <c r="Y291" s="9" t="str">
        <f t="shared" si="209"/>
        <v>-</v>
      </c>
      <c r="Z291" s="9" t="s">
        <v>0</v>
      </c>
      <c r="AA291" s="9" t="str">
        <f t="shared" si="210"/>
        <v>-</v>
      </c>
      <c r="AB291" s="9" t="s">
        <v>0</v>
      </c>
      <c r="AC291" s="9" t="str">
        <f t="shared" si="211"/>
        <v>-</v>
      </c>
      <c r="AD291" s="9" t="s">
        <v>0</v>
      </c>
      <c r="AE291" s="12" t="str">
        <f t="shared" si="212"/>
        <v>-</v>
      </c>
      <c r="AF291" s="29" t="s">
        <v>0</v>
      </c>
      <c r="AG291" s="29" t="s">
        <v>0</v>
      </c>
      <c r="AH291" s="9">
        <v>3815</v>
      </c>
      <c r="AI291" s="29" t="s">
        <v>0</v>
      </c>
      <c r="AJ291" s="32" t="s">
        <v>0</v>
      </c>
      <c r="AK291" s="29" t="s">
        <v>0</v>
      </c>
      <c r="AL291" s="32" t="s">
        <v>0</v>
      </c>
      <c r="AM291" s="29" t="s">
        <v>0</v>
      </c>
      <c r="AN291" s="32" t="s">
        <v>0</v>
      </c>
      <c r="AO291" s="29" t="s">
        <v>0</v>
      </c>
      <c r="AP291" s="32" t="s">
        <v>0</v>
      </c>
      <c r="AQ291" s="32" t="s">
        <v>0</v>
      </c>
      <c r="AR291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91" s="9" t="str">
        <f t="shared" si="213"/>
        <v>-</v>
      </c>
      <c r="AT291" s="9">
        <f>IF(RIGHT(TMK[[#This Row],[Device type]],7)="Winding","-",TMK[[#This Row],[Cont Winter MVA]])</f>
        <v>39.176040269375299</v>
      </c>
      <c r="AU291" s="9" t="str">
        <f>IF(RIGHT(TMK[[#This Row],[Device type]],7)="Winding","-",TMK[[#This Row],[Cont Shoulder MVA]])</f>
        <v>-</v>
      </c>
      <c r="AV291" s="9">
        <f>IF(RIGHT(TMK[[#This Row],[Device type]],7)="Winding","-",TMK[[#This Row],[Cont Summer MVA]])</f>
        <v>33.910698663960211</v>
      </c>
      <c r="AW291" s="9" t="str">
        <f>IF(RIGHT(TMK[[#This Row],[Device type]],7)="Winding","-",TMK[[#This Row],[24 Hr Winter MVA]])</f>
        <v>-</v>
      </c>
      <c r="AX291" s="9" t="str">
        <f>IF(RIGHT(TMK[[#This Row],[Device type]],7)="Winding","-",TMK[[#This Row],[24 Hr Summer MVA]])</f>
        <v>-</v>
      </c>
      <c r="AY291" s="9" t="str">
        <f>TMK[[#This Row],[Forwards MVA]]</f>
        <v>-</v>
      </c>
      <c r="AZ291" s="9" t="str">
        <f>TMK[[#This Row],[Relay MVA]]</f>
        <v>-</v>
      </c>
      <c r="BA291" s="9" t="str">
        <f>TMK[[#This Row],[CT MVA]]</f>
        <v>-</v>
      </c>
      <c r="BB291" s="9" t="str">
        <f>TMK[[#This Row],[Derating MVA]]</f>
        <v>-</v>
      </c>
      <c r="BC291" s="9" t="str">
        <f>TMK[[#This Row],[Station/Feeder]]&amp;TMK[[#This Row],[Lowest MVA]]</f>
        <v>CB1222_Clandeboye No.333.9106986639602</v>
      </c>
      <c r="BD291" s="9" t="str">
        <f>CONCATENATE(TMK[[#This Row],[Supply Level]],TMK[[#This Row],[Station/Feeder]],TMK[[#This Row],[Voltage]],TMK[[#This Row],[Lowest A-No PTX]])</f>
        <v>SubTransmissionCB1222_Clandeboye No.333.594582.793088112333</v>
      </c>
      <c r="BE291" s="9" t="str">
        <f>CONCATENATE(TMK[[#This Row],[Supply Level]],TMK[[#This Row],[Station/Feeder]],TMK[[#This Row],[Voltage]],TMK[[#This Row],[Lowest A-PTX]])</f>
        <v>SubTransmissionCB1222_Clandeboye No.333.594582.793088112333</v>
      </c>
      <c r="BF291" s="9">
        <f>IFERROR(IF(MIN(TMK[[#This Row],[Summ Cont Winter A]:[Cable Derating]])=0,"",MIN(TMK[[#This Row],[Summ Cont Winter A]:[Cable Derating]])),"")</f>
        <v>33.910698663960211</v>
      </c>
      <c r="BG291" s="9">
        <f>IFERROR(TMK[[#This Row],[Lowest MVA]]*1000/(TMK[[#This Row],[Voltage]]*SQRT(3)),"")</f>
        <v>582.79308811233284</v>
      </c>
      <c r="BH291" s="9">
        <f t="shared" si="195"/>
        <v>582.79308811233284</v>
      </c>
      <c r="BI291" s="9" t="str">
        <f>TMK[[#This Row],[From]]</f>
        <v>Pole 02053</v>
      </c>
      <c r="BJ291" s="9" t="str">
        <f>TMK[[#This Row],[To]]</f>
        <v>Pole 02081</v>
      </c>
      <c r="BK29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Line-JAGUAR</v>
      </c>
      <c r="BL291" s="9">
        <f>TMK[[#This Row],[Voltage]]</f>
        <v>33.594000000000001</v>
      </c>
    </row>
    <row r="292" spans="1:64" s="1" customFormat="1" ht="15" customHeight="1" x14ac:dyDescent="0.25">
      <c r="A292" s="6" t="str">
        <f>CONCATENATE(TMK[[#This Row],[Supply Level]],TMK[[#This Row],[Station/Feeder]],TMK[[#This Row],[Voltage]])</f>
        <v>SubTransmissionCB1222_Clandeboye No.333.594</v>
      </c>
      <c r="B292" s="6" t="str">
        <f>CONCATENATE(TMK[[#This Row],[Supply Level]],TMK[[#This Row],[Station/Feeder]],TMK[[#This Row],[Equipment ID]],TMK[[#This Row],[Voltage]],TMK[[#This Row],[Device type]])</f>
        <v>SubTransmissionCB1222_Clandeboye No.33-1c 400 mm² Al XLPE33.594-</v>
      </c>
      <c r="C292" s="6" t="s">
        <v>1245</v>
      </c>
      <c r="D292" s="11" t="s">
        <v>230</v>
      </c>
      <c r="E292" s="7" t="s">
        <v>618</v>
      </c>
      <c r="F292" s="7" t="s">
        <v>633</v>
      </c>
      <c r="G292" s="56">
        <v>6</v>
      </c>
      <c r="H292" s="283" t="s">
        <v>1294</v>
      </c>
      <c r="I292" s="123" t="s">
        <v>559</v>
      </c>
      <c r="J292" s="123" t="s">
        <v>250</v>
      </c>
      <c r="K292" s="46" t="s">
        <v>0</v>
      </c>
      <c r="L292" s="46" t="s">
        <v>0</v>
      </c>
      <c r="M292" s="43">
        <f t="shared" si="121"/>
        <v>33.594000000000001</v>
      </c>
      <c r="N292" s="9">
        <v>458</v>
      </c>
      <c r="O292" s="9">
        <f t="shared" si="190"/>
        <v>26.649423791896737</v>
      </c>
      <c r="P292" s="9">
        <v>458</v>
      </c>
      <c r="Q292" s="9">
        <f t="shared" si="191"/>
        <v>26.649423791896737</v>
      </c>
      <c r="R292" s="9">
        <v>458</v>
      </c>
      <c r="S292" s="9">
        <f t="shared" si="192"/>
        <v>26.649423791896737</v>
      </c>
      <c r="T292" s="9" t="s">
        <v>0</v>
      </c>
      <c r="U292" s="9" t="str">
        <f t="shared" si="193"/>
        <v>-</v>
      </c>
      <c r="V292" s="9" t="s">
        <v>0</v>
      </c>
      <c r="W292" s="9" t="str">
        <f t="shared" si="194"/>
        <v>-</v>
      </c>
      <c r="X292" s="9" t="s">
        <v>0</v>
      </c>
      <c r="Y292" s="9" t="str">
        <f t="shared" si="209"/>
        <v>-</v>
      </c>
      <c r="Z292" s="9" t="s">
        <v>0</v>
      </c>
      <c r="AA292" s="9" t="str">
        <f t="shared" si="210"/>
        <v>-</v>
      </c>
      <c r="AB292" s="9" t="s">
        <v>0</v>
      </c>
      <c r="AC292" s="9" t="str">
        <f t="shared" si="211"/>
        <v>-</v>
      </c>
      <c r="AD292" s="9" t="s">
        <v>0</v>
      </c>
      <c r="AE292" s="12" t="str">
        <f t="shared" si="212"/>
        <v>-</v>
      </c>
      <c r="AF292" s="9">
        <v>1</v>
      </c>
      <c r="AG292" s="9" t="s">
        <v>344</v>
      </c>
      <c r="AH292" s="9">
        <v>660</v>
      </c>
      <c r="AI292" s="9">
        <v>0.8</v>
      </c>
      <c r="AJ292" s="43">
        <v>1</v>
      </c>
      <c r="AK292" s="29">
        <v>19</v>
      </c>
      <c r="AL292" s="32">
        <v>0.97699999999999998</v>
      </c>
      <c r="AM292" s="29">
        <v>1.2</v>
      </c>
      <c r="AN292" s="32">
        <v>1</v>
      </c>
      <c r="AO292" s="29">
        <v>2</v>
      </c>
      <c r="AP292" s="32">
        <v>0.7</v>
      </c>
      <c r="AQ292" s="32">
        <v>0.91</v>
      </c>
      <c r="AR292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407.19406000000004</v>
      </c>
      <c r="AS292" s="9">
        <f t="shared" si="213"/>
        <v>23.693203210661636</v>
      </c>
      <c r="AT292" s="9">
        <f>IF(RIGHT(TMK[[#This Row],[Device type]],7)="Winding","-",TMK[[#This Row],[Cont Winter MVA]])</f>
        <v>26.649423791896737</v>
      </c>
      <c r="AU292" s="9">
        <f>IF(RIGHT(TMK[[#This Row],[Device type]],7)="Winding","-",TMK[[#This Row],[Cont Shoulder MVA]])</f>
        <v>26.649423791896737</v>
      </c>
      <c r="AV292" s="9">
        <f>IF(RIGHT(TMK[[#This Row],[Device type]],7)="Winding","-",TMK[[#This Row],[Cont Summer MVA]])</f>
        <v>26.649423791896737</v>
      </c>
      <c r="AW292" s="9" t="str">
        <f>IF(RIGHT(TMK[[#This Row],[Device type]],7)="Winding","-",TMK[[#This Row],[24 Hr Winter MVA]])</f>
        <v>-</v>
      </c>
      <c r="AX292" s="9" t="str">
        <f>IF(RIGHT(TMK[[#This Row],[Device type]],7)="Winding","-",TMK[[#This Row],[24 Hr Summer MVA]])</f>
        <v>-</v>
      </c>
      <c r="AY292" s="9" t="str">
        <f>TMK[[#This Row],[Forwards MVA]]</f>
        <v>-</v>
      </c>
      <c r="AZ292" s="9" t="str">
        <f>TMK[[#This Row],[Relay MVA]]</f>
        <v>-</v>
      </c>
      <c r="BA292" s="9" t="str">
        <f>TMK[[#This Row],[CT MVA]]</f>
        <v>-</v>
      </c>
      <c r="BB292" s="9">
        <f>TMK[[#This Row],[Derating MVA]]</f>
        <v>23.693203210661636</v>
      </c>
      <c r="BC292" s="9" t="str">
        <f>TMK[[#This Row],[Station/Feeder]]&amp;TMK[[#This Row],[Lowest MVA]]</f>
        <v>CB1222_Clandeboye No.323.6932032106616</v>
      </c>
      <c r="BD292" s="9" t="str">
        <f>CONCATENATE(TMK[[#This Row],[Supply Level]],TMK[[#This Row],[Station/Feeder]],TMK[[#This Row],[Voltage]],TMK[[#This Row],[Lowest A-No PTX]])</f>
        <v>SubTransmissionCB1222_Clandeboye No.333.594407.19406</v>
      </c>
      <c r="BE292" s="9" t="str">
        <f>CONCATENATE(TMK[[#This Row],[Supply Level]],TMK[[#This Row],[Station/Feeder]],TMK[[#This Row],[Voltage]],TMK[[#This Row],[Lowest A-PTX]])</f>
        <v>SubTransmissionCB1222_Clandeboye No.333.594407.19406</v>
      </c>
      <c r="BF292" s="9">
        <f>IFERROR(IF(MIN(TMK[[#This Row],[Summ Cont Winter A]:[Cable Derating]])=0,"",MIN(TMK[[#This Row],[Summ Cont Winter A]:[Cable Derating]])),"")</f>
        <v>23.693203210661636</v>
      </c>
      <c r="BG292" s="9">
        <f>IFERROR(TMK[[#This Row],[Lowest MVA]]*1000/(TMK[[#This Row],[Voltage]]*SQRT(3)),"")</f>
        <v>407.19406000000004</v>
      </c>
      <c r="BH292" s="9">
        <f t="shared" si="195"/>
        <v>407.19406000000004</v>
      </c>
      <c r="BI292" s="9" t="str">
        <f>TMK[[#This Row],[From]]</f>
        <v>Pole 02081</v>
      </c>
      <c r="BJ292" s="9" t="str">
        <f>TMK[[#This Row],[To]]</f>
        <v>CBT662</v>
      </c>
      <c r="BK29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Al XLPE</v>
      </c>
      <c r="BL292" s="9">
        <f>TMK[[#This Row],[Voltage]]</f>
        <v>33.594000000000001</v>
      </c>
    </row>
    <row r="293" spans="1:64" s="1" customFormat="1" ht="15" customHeight="1" x14ac:dyDescent="0.25">
      <c r="A293" s="168" t="str">
        <f>CONCATENATE(TMK[[#This Row],[Supply Level]],TMK[[#This Row],[Station/Feeder]],TMK[[#This Row],[Voltage]],"T3")</f>
        <v>SubTransmissionCD_233.594T3</v>
      </c>
      <c r="B293" s="168" t="str">
        <f>CONCATENATE(TMK[[#This Row],[Supply Level]],TMK[[#This Row],[Station/Feeder]],TMK[[#This Row],[Equipment ID]],TMK[[#This Row],[Voltage]],TMK[[#This Row],[Device type]])</f>
        <v>SubTransmissionCD_2TMK-CB122233.594Protection</v>
      </c>
      <c r="C293" s="168" t="s">
        <v>1245</v>
      </c>
      <c r="D293" s="118" t="s">
        <v>89</v>
      </c>
      <c r="E293" s="49" t="s">
        <v>63</v>
      </c>
      <c r="F293" s="49" t="s">
        <v>632</v>
      </c>
      <c r="G293" s="190">
        <v>1</v>
      </c>
      <c r="H293" s="49" t="s">
        <v>2384</v>
      </c>
      <c r="I293" s="124" t="s">
        <v>2312</v>
      </c>
      <c r="J293" s="124" t="s">
        <v>15</v>
      </c>
      <c r="K293" s="45" t="s">
        <v>470</v>
      </c>
      <c r="L293" s="45" t="s">
        <v>1423</v>
      </c>
      <c r="M293" s="32">
        <f t="shared" si="121"/>
        <v>33.594000000000001</v>
      </c>
      <c r="N293" s="29">
        <v>630</v>
      </c>
      <c r="O293" s="29">
        <f t="shared" si="190"/>
        <v>36.657504342565389</v>
      </c>
      <c r="P293" s="29">
        <v>630</v>
      </c>
      <c r="Q293" s="29">
        <f t="shared" si="191"/>
        <v>36.657504342565389</v>
      </c>
      <c r="R293" s="29">
        <v>630</v>
      </c>
      <c r="S293" s="29">
        <f t="shared" si="192"/>
        <v>36.657504342565389</v>
      </c>
      <c r="T293" s="29">
        <v>630</v>
      </c>
      <c r="U293" s="29">
        <f t="shared" si="193"/>
        <v>36.657504342565389</v>
      </c>
      <c r="V293" s="29">
        <v>630</v>
      </c>
      <c r="W293" s="29">
        <f t="shared" si="194"/>
        <v>36.657504342565389</v>
      </c>
      <c r="X293" s="29">
        <f>VLOOKUP(TMK[[#This Row],[Equipment ID]],AEL_Protection_Data[#All],12,0)</f>
        <v>540</v>
      </c>
      <c r="Y293" s="29">
        <f t="shared" si="204"/>
        <v>31.420718007913187</v>
      </c>
      <c r="Z293" s="29">
        <f>TMK[[#This Row],[Forward A]]</f>
        <v>540</v>
      </c>
      <c r="AA293" s="29">
        <f t="shared" si="205"/>
        <v>31.420718007913187</v>
      </c>
      <c r="AB293" s="29">
        <v>1800</v>
      </c>
      <c r="AC293" s="29">
        <f t="shared" si="206"/>
        <v>104.73572669304396</v>
      </c>
      <c r="AD293" s="29">
        <v>1250</v>
      </c>
      <c r="AE293" s="169">
        <f t="shared" si="207"/>
        <v>72.733143536836067</v>
      </c>
      <c r="AF293" s="29" t="s">
        <v>0</v>
      </c>
      <c r="AG293" s="29" t="s">
        <v>0</v>
      </c>
      <c r="AH293" s="29" t="s">
        <v>0</v>
      </c>
      <c r="AI293" s="29" t="s">
        <v>0</v>
      </c>
      <c r="AJ293" s="32" t="s">
        <v>0</v>
      </c>
      <c r="AK293" s="29" t="s">
        <v>0</v>
      </c>
      <c r="AL293" s="32" t="s">
        <v>0</v>
      </c>
      <c r="AM293" s="29" t="s">
        <v>0</v>
      </c>
      <c r="AN293" s="32" t="s">
        <v>0</v>
      </c>
      <c r="AO293" s="29" t="s">
        <v>0</v>
      </c>
      <c r="AP293" s="32" t="s">
        <v>0</v>
      </c>
      <c r="AQ293" s="32" t="s">
        <v>0</v>
      </c>
      <c r="AR293" s="2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93" s="29" t="str">
        <f t="shared" si="208"/>
        <v>-</v>
      </c>
      <c r="AT293" s="29">
        <f>IF(RIGHT(TMK[[#This Row],[Device type]],7)="Winding","-",TMK[[#This Row],[Cont Winter MVA]])</f>
        <v>36.657504342565389</v>
      </c>
      <c r="AU293" s="29">
        <f>IF(RIGHT(TMK[[#This Row],[Device type]],7)="Winding","-",TMK[[#This Row],[Cont Shoulder MVA]])</f>
        <v>36.657504342565389</v>
      </c>
      <c r="AV293" s="29">
        <f>IF(RIGHT(TMK[[#This Row],[Device type]],7)="Winding","-",TMK[[#This Row],[Cont Summer MVA]])</f>
        <v>36.657504342565389</v>
      </c>
      <c r="AW293" s="29">
        <f>IF(RIGHT(TMK[[#This Row],[Device type]],7)="Winding","-",TMK[[#This Row],[24 Hr Winter MVA]])</f>
        <v>36.657504342565389</v>
      </c>
      <c r="AX293" s="29">
        <f>IF(RIGHT(TMK[[#This Row],[Device type]],7)="Winding","-",TMK[[#This Row],[24 Hr Summer MVA]])</f>
        <v>36.657504342565389</v>
      </c>
      <c r="AY293" s="29">
        <f>TMK[[#This Row],[Forwards MVA]]</f>
        <v>31.420718007913187</v>
      </c>
      <c r="AZ293" s="29">
        <f>TMK[[#This Row],[Relay MVA]]</f>
        <v>104.73572669304396</v>
      </c>
      <c r="BA293" s="29">
        <f>TMK[[#This Row],[CT MVA]]</f>
        <v>72.733143536836067</v>
      </c>
      <c r="BB293" s="29" t="str">
        <f>TMK[[#This Row],[Derating MVA]]</f>
        <v>-</v>
      </c>
      <c r="BC293" s="29" t="str">
        <f>TMK[[#This Row],[Station/Feeder]]&amp;TMK[[#This Row],[Lowest MVA]]</f>
        <v>CD_231.4207180079132</v>
      </c>
      <c r="BD293" s="29" t="str">
        <f>CONCATENATE(TMK[[#This Row],[Supply Level]],TMK[[#This Row],[Station/Feeder]],TMK[[#This Row],[Voltage]],TMK[[#This Row],[Lowest A-No PTX]])</f>
        <v>SubTransmissionCD_233.594540</v>
      </c>
      <c r="BE293" s="29" t="str">
        <f>CONCATENATE(TMK[[#This Row],[Supply Level]],TMK[[#This Row],[Station/Feeder]],TMK[[#This Row],[Voltage]],TMK[[#This Row],[Lowest A-PTX]])</f>
        <v>SubTransmissionCD_233.594540</v>
      </c>
      <c r="BF293" s="29">
        <f>IFERROR(IF(MIN(TMK[[#This Row],[Summ Cont Winter A]:[Cable Derating]])=0,"",MIN(TMK[[#This Row],[Summ Cont Winter A]:[Cable Derating]])),"")</f>
        <v>31.420718007913187</v>
      </c>
      <c r="BG293" s="29">
        <f>IFERROR(TMK[[#This Row],[Lowest MVA]]*1000/(TMK[[#This Row],[Voltage]]*SQRT(3)),"")</f>
        <v>540</v>
      </c>
      <c r="BH293" s="29">
        <f t="shared" si="195"/>
        <v>540</v>
      </c>
      <c r="BI293" s="29" t="str">
        <f>TMK[[#This Row],[From]]</f>
        <v>33 kV Bus</v>
      </c>
      <c r="BJ293" s="29" t="str">
        <f>TMK[[#This Row],[To]]</f>
        <v>Pole 02002</v>
      </c>
      <c r="BK293" s="45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Breaker-TMK-CB1222-Protection</v>
      </c>
      <c r="BL293" s="29">
        <f>TMK[[#This Row],[Voltage]]</f>
        <v>33.594000000000001</v>
      </c>
    </row>
    <row r="294" spans="1:64" s="1" customFormat="1" ht="15" customHeight="1" x14ac:dyDescent="0.25">
      <c r="A294" s="6" t="str">
        <f>CONCATENATE(TMK[[#This Row],[Supply Level]],TMK[[#This Row],[Station/Feeder]],TMK[[#This Row],[Voltage]],"T3")</f>
        <v>SubTransmissionCD_233.594T3</v>
      </c>
      <c r="B294" s="6" t="str">
        <f>CONCATENATE(TMK[[#This Row],[Supply Level]],TMK[[#This Row],[Station/Feeder]],TMK[[#This Row],[Equipment ID]],TMK[[#This Row],[Voltage]],TMK[[#This Row],[Device type]])</f>
        <v>SubTransmissionCD_26-1c 300 mm² Al XLPE33.594-</v>
      </c>
      <c r="C294" s="6" t="s">
        <v>1245</v>
      </c>
      <c r="D294" s="11" t="s">
        <v>89</v>
      </c>
      <c r="E294" s="7" t="s">
        <v>63</v>
      </c>
      <c r="F294" s="7" t="s">
        <v>632</v>
      </c>
      <c r="G294" s="56">
        <v>2</v>
      </c>
      <c r="H294" s="7" t="s">
        <v>585</v>
      </c>
      <c r="I294" s="123" t="s">
        <v>625</v>
      </c>
      <c r="J294" s="123" t="s">
        <v>250</v>
      </c>
      <c r="K294" s="46" t="s">
        <v>0</v>
      </c>
      <c r="L294" s="46" t="s">
        <v>0</v>
      </c>
      <c r="M294" s="43">
        <f t="shared" si="121"/>
        <v>33.594000000000001</v>
      </c>
      <c r="N294" s="9">
        <v>828</v>
      </c>
      <c r="O294" s="9">
        <f t="shared" si="190"/>
        <v>48.178434278800218</v>
      </c>
      <c r="P294" s="9">
        <v>828</v>
      </c>
      <c r="Q294" s="9">
        <f t="shared" si="191"/>
        <v>48.178434278800218</v>
      </c>
      <c r="R294" s="9">
        <v>828</v>
      </c>
      <c r="S294" s="9">
        <f t="shared" si="192"/>
        <v>48.178434278800218</v>
      </c>
      <c r="T294" s="9" t="s">
        <v>0</v>
      </c>
      <c r="U294" s="9" t="str">
        <f t="shared" si="193"/>
        <v>-</v>
      </c>
      <c r="V294" s="9" t="s">
        <v>0</v>
      </c>
      <c r="W294" s="9" t="str">
        <f t="shared" si="194"/>
        <v>-</v>
      </c>
      <c r="X294" s="9" t="s">
        <v>0</v>
      </c>
      <c r="Y294" s="9" t="str">
        <f t="shared" si="204"/>
        <v>-</v>
      </c>
      <c r="Z294" s="9" t="s">
        <v>0</v>
      </c>
      <c r="AA294" s="9" t="str">
        <f t="shared" si="205"/>
        <v>-</v>
      </c>
      <c r="AB294" s="9" t="s">
        <v>0</v>
      </c>
      <c r="AC294" s="9" t="str">
        <f t="shared" si="206"/>
        <v>-</v>
      </c>
      <c r="AD294" s="9" t="s">
        <v>0</v>
      </c>
      <c r="AE294" s="12" t="str">
        <f t="shared" si="207"/>
        <v>-</v>
      </c>
      <c r="AF294" s="9">
        <v>1</v>
      </c>
      <c r="AG294" s="9" t="s">
        <v>344</v>
      </c>
      <c r="AH294" s="9">
        <v>233</v>
      </c>
      <c r="AI294" s="9">
        <v>1.1000000000000001</v>
      </c>
      <c r="AJ294" s="43">
        <v>0.97</v>
      </c>
      <c r="AK294" s="29">
        <v>18.5</v>
      </c>
      <c r="AL294" s="32">
        <v>0.98</v>
      </c>
      <c r="AM294" s="29">
        <v>1.2</v>
      </c>
      <c r="AN294" s="32">
        <v>1</v>
      </c>
      <c r="AO294" s="29">
        <v>4</v>
      </c>
      <c r="AP294" s="32">
        <v>0.4</v>
      </c>
      <c r="AQ294" s="32">
        <v>0.75</v>
      </c>
      <c r="AR294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590.32259999999997</v>
      </c>
      <c r="AS294" s="9">
        <f t="shared" si="208"/>
        <v>34.348814719070617</v>
      </c>
      <c r="AT294" s="9">
        <f>IF(RIGHT(TMK[[#This Row],[Device type]],7)="Winding","-",TMK[[#This Row],[Cont Winter MVA]])</f>
        <v>48.178434278800218</v>
      </c>
      <c r="AU294" s="9">
        <f>IF(RIGHT(TMK[[#This Row],[Device type]],7)="Winding","-",TMK[[#This Row],[Cont Shoulder MVA]])</f>
        <v>48.178434278800218</v>
      </c>
      <c r="AV294" s="9">
        <f>IF(RIGHT(TMK[[#This Row],[Device type]],7)="Winding","-",TMK[[#This Row],[Cont Summer MVA]])</f>
        <v>48.178434278800218</v>
      </c>
      <c r="AW294" s="9" t="str">
        <f>IF(RIGHT(TMK[[#This Row],[Device type]],7)="Winding","-",TMK[[#This Row],[24 Hr Winter MVA]])</f>
        <v>-</v>
      </c>
      <c r="AX294" s="9" t="str">
        <f>IF(RIGHT(TMK[[#This Row],[Device type]],7)="Winding","-",TMK[[#This Row],[24 Hr Summer MVA]])</f>
        <v>-</v>
      </c>
      <c r="AY294" s="9" t="str">
        <f>TMK[[#This Row],[Forwards MVA]]</f>
        <v>-</v>
      </c>
      <c r="AZ294" s="9" t="str">
        <f>TMK[[#This Row],[Relay MVA]]</f>
        <v>-</v>
      </c>
      <c r="BA294" s="9" t="str">
        <f>TMK[[#This Row],[CT MVA]]</f>
        <v>-</v>
      </c>
      <c r="BB294" s="9">
        <f>TMK[[#This Row],[Derating MVA]]</f>
        <v>34.348814719070617</v>
      </c>
      <c r="BC294" s="9" t="str">
        <f>TMK[[#This Row],[Station/Feeder]]&amp;TMK[[#This Row],[Lowest MVA]]</f>
        <v>CD_234.3488147190706</v>
      </c>
      <c r="BD294" s="9" t="str">
        <f>CONCATENATE(TMK[[#This Row],[Supply Level]],TMK[[#This Row],[Station/Feeder]],TMK[[#This Row],[Voltage]],TMK[[#This Row],[Lowest A-No PTX]])</f>
        <v>SubTransmissionCD_233.594590.3226</v>
      </c>
      <c r="BE294" s="9" t="str">
        <f>CONCATENATE(TMK[[#This Row],[Supply Level]],TMK[[#This Row],[Station/Feeder]],TMK[[#This Row],[Voltage]],TMK[[#This Row],[Lowest A-PTX]])</f>
        <v>SubTransmissionCD_233.594590.3226</v>
      </c>
      <c r="BF294" s="9">
        <f>IFERROR(IF(MIN(TMK[[#This Row],[Summ Cont Winter A]:[Cable Derating]])=0,"",MIN(TMK[[#This Row],[Summ Cont Winter A]:[Cable Derating]])),"")</f>
        <v>34.348814719070617</v>
      </c>
      <c r="BG294" s="9">
        <f>IFERROR(TMK[[#This Row],[Lowest MVA]]*1000/(TMK[[#This Row],[Voltage]]*SQRT(3)),"")</f>
        <v>590.32259999999997</v>
      </c>
      <c r="BH294" s="9">
        <f t="shared" si="195"/>
        <v>590.32259999999997</v>
      </c>
      <c r="BI294" s="9" t="str">
        <f>TMK[[#This Row],[From]]</f>
        <v>33 kV Bus</v>
      </c>
      <c r="BJ294" s="9" t="str">
        <f>TMK[[#This Row],[To]]</f>
        <v>Pole 02002</v>
      </c>
      <c r="BK29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Cable-6-1c 300 mm² Al XLPE</v>
      </c>
      <c r="BL294" s="9">
        <f>TMK[[#This Row],[Voltage]]</f>
        <v>33.594000000000001</v>
      </c>
    </row>
    <row r="295" spans="1:64" s="1" customFormat="1" ht="15" customHeight="1" x14ac:dyDescent="0.25">
      <c r="A295" s="6" t="str">
        <f>CONCATENATE(TMK[[#This Row],[Supply Level]],TMK[[#This Row],[Station/Feeder]],TMK[[#This Row],[Voltage]],"T3")</f>
        <v>SubTransmissionCD_233.594T3</v>
      </c>
      <c r="B295" s="6" t="str">
        <f>CONCATENATE(TMK[[#This Row],[Supply Level]],TMK[[#This Row],[Station/Feeder]],TMK[[#This Row],[Equipment ID]],TMK[[#This Row],[Voltage]],TMK[[#This Row],[Device type]])</f>
        <v>SubTransmissionCD_2JAGUAR33.594-</v>
      </c>
      <c r="C295" s="6" t="s">
        <v>1245</v>
      </c>
      <c r="D295" s="11" t="s">
        <v>89</v>
      </c>
      <c r="E295" s="7" t="s">
        <v>632</v>
      </c>
      <c r="F295" s="7" t="s">
        <v>557</v>
      </c>
      <c r="G295" s="56">
        <v>3</v>
      </c>
      <c r="H295" s="7" t="s">
        <v>1289</v>
      </c>
      <c r="I295" s="123" t="s">
        <v>345</v>
      </c>
      <c r="J295" s="123" t="s">
        <v>69</v>
      </c>
      <c r="K295" s="46" t="s">
        <v>0</v>
      </c>
      <c r="L295" s="46" t="s">
        <v>0</v>
      </c>
      <c r="M295" s="43">
        <f t="shared" si="121"/>
        <v>33.594000000000001</v>
      </c>
      <c r="N295" s="9">
        <v>673.28384221311683</v>
      </c>
      <c r="O295" s="9">
        <f t="shared" si="190"/>
        <v>39.176040269375299</v>
      </c>
      <c r="P295" s="9" t="s">
        <v>0</v>
      </c>
      <c r="Q295" s="9" t="str">
        <f t="shared" si="191"/>
        <v>-</v>
      </c>
      <c r="R295" s="9">
        <v>582.79308811233284</v>
      </c>
      <c r="S295" s="9">
        <f t="shared" si="192"/>
        <v>33.910698663960211</v>
      </c>
      <c r="T295" s="9" t="s">
        <v>0</v>
      </c>
      <c r="U295" s="9" t="str">
        <f t="shared" si="193"/>
        <v>-</v>
      </c>
      <c r="V295" s="9" t="s">
        <v>0</v>
      </c>
      <c r="W295" s="9" t="str">
        <f t="shared" si="194"/>
        <v>-</v>
      </c>
      <c r="X295" s="9" t="s">
        <v>0</v>
      </c>
      <c r="Y295" s="9" t="str">
        <f t="shared" si="204"/>
        <v>-</v>
      </c>
      <c r="Z295" s="9" t="s">
        <v>0</v>
      </c>
      <c r="AA295" s="9" t="str">
        <f t="shared" si="205"/>
        <v>-</v>
      </c>
      <c r="AB295" s="9" t="s">
        <v>0</v>
      </c>
      <c r="AC295" s="9" t="str">
        <f t="shared" si="206"/>
        <v>-</v>
      </c>
      <c r="AD295" s="9" t="s">
        <v>0</v>
      </c>
      <c r="AE295" s="12" t="str">
        <f t="shared" si="207"/>
        <v>-</v>
      </c>
      <c r="AF295" s="29" t="s">
        <v>0</v>
      </c>
      <c r="AG295" s="29" t="s">
        <v>0</v>
      </c>
      <c r="AH295" s="9">
        <v>5804</v>
      </c>
      <c r="AI295" s="29" t="s">
        <v>0</v>
      </c>
      <c r="AJ295" s="32" t="s">
        <v>0</v>
      </c>
      <c r="AK295" s="29" t="s">
        <v>0</v>
      </c>
      <c r="AL295" s="32" t="s">
        <v>0</v>
      </c>
      <c r="AM295" s="29" t="s">
        <v>0</v>
      </c>
      <c r="AN295" s="32" t="s">
        <v>0</v>
      </c>
      <c r="AO295" s="29" t="s">
        <v>0</v>
      </c>
      <c r="AP295" s="32" t="s">
        <v>0</v>
      </c>
      <c r="AQ295" s="32" t="s">
        <v>0</v>
      </c>
      <c r="AR295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95" s="9" t="str">
        <f t="shared" si="208"/>
        <v>-</v>
      </c>
      <c r="AT295" s="9">
        <f>IF(RIGHT(TMK[[#This Row],[Device type]],7)="Winding","-",TMK[[#This Row],[Cont Winter MVA]])</f>
        <v>39.176040269375299</v>
      </c>
      <c r="AU295" s="9" t="str">
        <f>IF(RIGHT(TMK[[#This Row],[Device type]],7)="Winding","-",TMK[[#This Row],[Cont Shoulder MVA]])</f>
        <v>-</v>
      </c>
      <c r="AV295" s="9">
        <f>IF(RIGHT(TMK[[#This Row],[Device type]],7)="Winding","-",TMK[[#This Row],[Cont Summer MVA]])</f>
        <v>33.910698663960211</v>
      </c>
      <c r="AW295" s="9" t="str">
        <f>IF(RIGHT(TMK[[#This Row],[Device type]],7)="Winding","-",TMK[[#This Row],[24 Hr Winter MVA]])</f>
        <v>-</v>
      </c>
      <c r="AX295" s="9" t="str">
        <f>IF(RIGHT(TMK[[#This Row],[Device type]],7)="Winding","-",TMK[[#This Row],[24 Hr Summer MVA]])</f>
        <v>-</v>
      </c>
      <c r="AY295" s="9" t="str">
        <f>TMK[[#This Row],[Forwards MVA]]</f>
        <v>-</v>
      </c>
      <c r="AZ295" s="9" t="str">
        <f>TMK[[#This Row],[Relay MVA]]</f>
        <v>-</v>
      </c>
      <c r="BA295" s="9" t="str">
        <f>TMK[[#This Row],[CT MVA]]</f>
        <v>-</v>
      </c>
      <c r="BB295" s="9" t="str">
        <f>TMK[[#This Row],[Derating MVA]]</f>
        <v>-</v>
      </c>
      <c r="BC295" s="9" t="str">
        <f>TMK[[#This Row],[Station/Feeder]]&amp;TMK[[#This Row],[Lowest MVA]]</f>
        <v>CD_233.9106986639602</v>
      </c>
      <c r="BD295" s="9" t="str">
        <f>CONCATENATE(TMK[[#This Row],[Supply Level]],TMK[[#This Row],[Station/Feeder]],TMK[[#This Row],[Voltage]],TMK[[#This Row],[Lowest A-No PTX]])</f>
        <v>SubTransmissionCD_233.594582.793088112333</v>
      </c>
      <c r="BE295" s="9" t="str">
        <f>CONCATENATE(TMK[[#This Row],[Supply Level]],TMK[[#This Row],[Station/Feeder]],TMK[[#This Row],[Voltage]],TMK[[#This Row],[Lowest A-PTX]])</f>
        <v>SubTransmissionCD_233.594582.793088112333</v>
      </c>
      <c r="BF295" s="9">
        <f>IFERROR(IF(MIN(TMK[[#This Row],[Summ Cont Winter A]:[Cable Derating]])=0,"",MIN(TMK[[#This Row],[Summ Cont Winter A]:[Cable Derating]])),"")</f>
        <v>33.910698663960211</v>
      </c>
      <c r="BG295" s="9">
        <f>IFERROR(TMK[[#This Row],[Lowest MVA]]*1000/(TMK[[#This Row],[Voltage]]*SQRT(3)),"")</f>
        <v>582.79308811233284</v>
      </c>
      <c r="BH295" s="9">
        <f t="shared" si="195"/>
        <v>582.79308811233284</v>
      </c>
      <c r="BI295" s="9" t="str">
        <f>TMK[[#This Row],[From]]</f>
        <v>Pole 02002</v>
      </c>
      <c r="BJ295" s="9" t="str">
        <f>TMK[[#This Row],[To]]</f>
        <v>Pole 02049</v>
      </c>
      <c r="BK29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Line-JAGUAR</v>
      </c>
      <c r="BL295" s="9">
        <f>TMK[[#This Row],[Voltage]]</f>
        <v>33.594000000000001</v>
      </c>
    </row>
    <row r="296" spans="1:64" s="1" customFormat="1" ht="15" customHeight="1" x14ac:dyDescent="0.25">
      <c r="A296" s="6" t="str">
        <f>CONCATENATE(TMK[[#This Row],[Supply Level]],TMK[[#This Row],[Station/Feeder]],TMK[[#This Row],[Voltage]],"T3")</f>
        <v>SubTransmissionCD_233.594T3</v>
      </c>
      <c r="B296" s="6" t="str">
        <f>CONCATENATE(TMK[[#This Row],[Supply Level]],TMK[[#This Row],[Station/Feeder]],TMK[[#This Row],[Equipment ID]],TMK[[#This Row],[Voltage]],TMK[[#This Row],[Device type]])</f>
        <v>SubTransmissionCD_2WOLF33.594-</v>
      </c>
      <c r="C296" s="6" t="s">
        <v>1245</v>
      </c>
      <c r="D296" s="11" t="s">
        <v>89</v>
      </c>
      <c r="E296" s="7" t="s">
        <v>557</v>
      </c>
      <c r="F296" s="7" t="s">
        <v>583</v>
      </c>
      <c r="G296" s="56">
        <v>4</v>
      </c>
      <c r="H296" s="7" t="s">
        <v>1289</v>
      </c>
      <c r="I296" s="123" t="s">
        <v>472</v>
      </c>
      <c r="J296" s="123" t="s">
        <v>69</v>
      </c>
      <c r="K296" s="46" t="s">
        <v>0</v>
      </c>
      <c r="L296" s="46" t="s">
        <v>0</v>
      </c>
      <c r="M296" s="43">
        <f t="shared" si="121"/>
        <v>33.594000000000001</v>
      </c>
      <c r="N296" s="9">
        <v>572.86734613879435</v>
      </c>
      <c r="O296" s="9">
        <f t="shared" si="190"/>
        <v>33.33315433142343</v>
      </c>
      <c r="P296" s="9" t="s">
        <v>0</v>
      </c>
      <c r="Q296" s="9" t="str">
        <f t="shared" si="191"/>
        <v>-</v>
      </c>
      <c r="R296" s="9">
        <v>496.06019819111373</v>
      </c>
      <c r="S296" s="9">
        <f t="shared" si="192"/>
        <v>28.864014078356504</v>
      </c>
      <c r="T296" s="9" t="s">
        <v>0</v>
      </c>
      <c r="U296" s="9" t="str">
        <f t="shared" si="193"/>
        <v>-</v>
      </c>
      <c r="V296" s="9" t="s">
        <v>0</v>
      </c>
      <c r="W296" s="9" t="str">
        <f t="shared" si="194"/>
        <v>-</v>
      </c>
      <c r="X296" s="9" t="s">
        <v>0</v>
      </c>
      <c r="Y296" s="9" t="str">
        <f t="shared" si="204"/>
        <v>-</v>
      </c>
      <c r="Z296" s="9" t="s">
        <v>0</v>
      </c>
      <c r="AA296" s="9" t="str">
        <f t="shared" si="205"/>
        <v>-</v>
      </c>
      <c r="AB296" s="9" t="s">
        <v>0</v>
      </c>
      <c r="AC296" s="9" t="str">
        <f t="shared" si="206"/>
        <v>-</v>
      </c>
      <c r="AD296" s="9" t="s">
        <v>0</v>
      </c>
      <c r="AE296" s="12" t="str">
        <f t="shared" si="207"/>
        <v>-</v>
      </c>
      <c r="AF296" s="29" t="s">
        <v>0</v>
      </c>
      <c r="AG296" s="29" t="s">
        <v>0</v>
      </c>
      <c r="AH296" s="9">
        <v>401</v>
      </c>
      <c r="AI296" s="29" t="s">
        <v>0</v>
      </c>
      <c r="AJ296" s="32" t="s">
        <v>0</v>
      </c>
      <c r="AK296" s="29" t="s">
        <v>0</v>
      </c>
      <c r="AL296" s="32" t="s">
        <v>0</v>
      </c>
      <c r="AM296" s="29" t="s">
        <v>0</v>
      </c>
      <c r="AN296" s="32" t="s">
        <v>0</v>
      </c>
      <c r="AO296" s="29" t="s">
        <v>0</v>
      </c>
      <c r="AP296" s="32" t="s">
        <v>0</v>
      </c>
      <c r="AQ296" s="32" t="s">
        <v>0</v>
      </c>
      <c r="AR29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96" s="9" t="str">
        <f t="shared" si="208"/>
        <v>-</v>
      </c>
      <c r="AT296" s="9">
        <f>IF(RIGHT(TMK[[#This Row],[Device type]],7)="Winding","-",TMK[[#This Row],[Cont Winter MVA]])</f>
        <v>33.33315433142343</v>
      </c>
      <c r="AU296" s="9" t="str">
        <f>IF(RIGHT(TMK[[#This Row],[Device type]],7)="Winding","-",TMK[[#This Row],[Cont Shoulder MVA]])</f>
        <v>-</v>
      </c>
      <c r="AV296" s="9">
        <f>IF(RIGHT(TMK[[#This Row],[Device type]],7)="Winding","-",TMK[[#This Row],[Cont Summer MVA]])</f>
        <v>28.864014078356504</v>
      </c>
      <c r="AW296" s="9" t="str">
        <f>IF(RIGHT(TMK[[#This Row],[Device type]],7)="Winding","-",TMK[[#This Row],[24 Hr Winter MVA]])</f>
        <v>-</v>
      </c>
      <c r="AX296" s="9" t="str">
        <f>IF(RIGHT(TMK[[#This Row],[Device type]],7)="Winding","-",TMK[[#This Row],[24 Hr Summer MVA]])</f>
        <v>-</v>
      </c>
      <c r="AY296" s="9" t="str">
        <f>TMK[[#This Row],[Forwards MVA]]</f>
        <v>-</v>
      </c>
      <c r="AZ296" s="9" t="str">
        <f>TMK[[#This Row],[Relay MVA]]</f>
        <v>-</v>
      </c>
      <c r="BA296" s="9" t="str">
        <f>TMK[[#This Row],[CT MVA]]</f>
        <v>-</v>
      </c>
      <c r="BB296" s="9" t="str">
        <f>TMK[[#This Row],[Derating MVA]]</f>
        <v>-</v>
      </c>
      <c r="BC296" s="9" t="str">
        <f>TMK[[#This Row],[Station/Feeder]]&amp;TMK[[#This Row],[Lowest MVA]]</f>
        <v>CD_228.8640140783565</v>
      </c>
      <c r="BD296" s="9" t="str">
        <f>CONCATENATE(TMK[[#This Row],[Supply Level]],TMK[[#This Row],[Station/Feeder]],TMK[[#This Row],[Voltage]],TMK[[#This Row],[Lowest A-No PTX]])</f>
        <v>SubTransmissionCD_233.594496.060198191114</v>
      </c>
      <c r="BE296" s="9" t="str">
        <f>CONCATENATE(TMK[[#This Row],[Supply Level]],TMK[[#This Row],[Station/Feeder]],TMK[[#This Row],[Voltage]],TMK[[#This Row],[Lowest A-PTX]])</f>
        <v>SubTransmissionCD_233.594496.060198191114</v>
      </c>
      <c r="BF296" s="9">
        <f>IFERROR(IF(MIN(TMK[[#This Row],[Summ Cont Winter A]:[Cable Derating]])=0,"",MIN(TMK[[#This Row],[Summ Cont Winter A]:[Cable Derating]])),"")</f>
        <v>28.864014078356504</v>
      </c>
      <c r="BG296" s="9">
        <f>IFERROR(TMK[[#This Row],[Lowest MVA]]*1000/(TMK[[#This Row],[Voltage]]*SQRT(3)),"")</f>
        <v>496.06019819111378</v>
      </c>
      <c r="BH296" s="9">
        <f t="shared" si="195"/>
        <v>496.06019819111373</v>
      </c>
      <c r="BI296" s="9" t="str">
        <f>TMK[[#This Row],[From]]</f>
        <v>Pole 02049</v>
      </c>
      <c r="BJ296" s="9" t="str">
        <f>TMK[[#This Row],[To]]</f>
        <v>Pole 02053</v>
      </c>
      <c r="BK29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Line-WOLF</v>
      </c>
      <c r="BL296" s="9">
        <f>TMK[[#This Row],[Voltage]]</f>
        <v>33.594000000000001</v>
      </c>
    </row>
    <row r="297" spans="1:64" s="1" customFormat="1" ht="15" customHeight="1" x14ac:dyDescent="0.25">
      <c r="A297" s="6" t="str">
        <f>CONCATENATE(TMK[[#This Row],[Supply Level]],TMK[[#This Row],[Station/Feeder]],TMK[[#This Row],[Voltage]],"T3")</f>
        <v>SubTransmissionCD_233.594T3</v>
      </c>
      <c r="B297" s="6" t="str">
        <f>CONCATENATE(TMK[[#This Row],[Supply Level]],TMK[[#This Row],[Station/Feeder]],TMK[[#This Row],[Equipment ID]],TMK[[#This Row],[Voltage]],TMK[[#This Row],[Device type]])</f>
        <v>SubTransmissionCD_2JAGUAR33.594-</v>
      </c>
      <c r="C297" s="6" t="s">
        <v>1245</v>
      </c>
      <c r="D297" s="11" t="s">
        <v>89</v>
      </c>
      <c r="E297" s="7" t="s">
        <v>583</v>
      </c>
      <c r="F297" s="7" t="s">
        <v>618</v>
      </c>
      <c r="G297" s="56">
        <v>5</v>
      </c>
      <c r="H297" s="7" t="s">
        <v>1289</v>
      </c>
      <c r="I297" s="123" t="s">
        <v>345</v>
      </c>
      <c r="J297" s="123" t="s">
        <v>69</v>
      </c>
      <c r="K297" s="46" t="s">
        <v>0</v>
      </c>
      <c r="L297" s="46" t="s">
        <v>0</v>
      </c>
      <c r="M297" s="43">
        <f t="shared" si="121"/>
        <v>33.594000000000001</v>
      </c>
      <c r="N297" s="9">
        <v>673.28384221311683</v>
      </c>
      <c r="O297" s="9">
        <f t="shared" si="190"/>
        <v>39.176040269375299</v>
      </c>
      <c r="P297" s="9" t="s">
        <v>0</v>
      </c>
      <c r="Q297" s="9" t="str">
        <f t="shared" si="191"/>
        <v>-</v>
      </c>
      <c r="R297" s="9">
        <v>582.79308811233284</v>
      </c>
      <c r="S297" s="9">
        <f t="shared" si="192"/>
        <v>33.910698663960211</v>
      </c>
      <c r="T297" s="9" t="s">
        <v>0</v>
      </c>
      <c r="U297" s="9" t="str">
        <f t="shared" si="193"/>
        <v>-</v>
      </c>
      <c r="V297" s="9" t="s">
        <v>0</v>
      </c>
      <c r="W297" s="9" t="str">
        <f t="shared" si="194"/>
        <v>-</v>
      </c>
      <c r="X297" s="9" t="s">
        <v>0</v>
      </c>
      <c r="Y297" s="9" t="str">
        <f t="shared" si="204"/>
        <v>-</v>
      </c>
      <c r="Z297" s="9" t="s">
        <v>0</v>
      </c>
      <c r="AA297" s="9" t="str">
        <f t="shared" si="205"/>
        <v>-</v>
      </c>
      <c r="AB297" s="9" t="s">
        <v>0</v>
      </c>
      <c r="AC297" s="9" t="str">
        <f t="shared" si="206"/>
        <v>-</v>
      </c>
      <c r="AD297" s="9" t="s">
        <v>0</v>
      </c>
      <c r="AE297" s="12" t="str">
        <f t="shared" si="207"/>
        <v>-</v>
      </c>
      <c r="AF297" s="29" t="s">
        <v>0</v>
      </c>
      <c r="AG297" s="29" t="s">
        <v>0</v>
      </c>
      <c r="AH297" s="9">
        <v>3815</v>
      </c>
      <c r="AI297" s="29" t="s">
        <v>0</v>
      </c>
      <c r="AJ297" s="32" t="s">
        <v>0</v>
      </c>
      <c r="AK297" s="29" t="s">
        <v>0</v>
      </c>
      <c r="AL297" s="32" t="s">
        <v>0</v>
      </c>
      <c r="AM297" s="29" t="s">
        <v>0</v>
      </c>
      <c r="AN297" s="32" t="s">
        <v>0</v>
      </c>
      <c r="AO297" s="29" t="s">
        <v>0</v>
      </c>
      <c r="AP297" s="32" t="s">
        <v>0</v>
      </c>
      <c r="AQ297" s="32" t="s">
        <v>0</v>
      </c>
      <c r="AR297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97" s="9" t="str">
        <f t="shared" si="208"/>
        <v>-</v>
      </c>
      <c r="AT297" s="9">
        <f>IF(RIGHT(TMK[[#This Row],[Device type]],7)="Winding","-",TMK[[#This Row],[Cont Winter MVA]])</f>
        <v>39.176040269375299</v>
      </c>
      <c r="AU297" s="9" t="str">
        <f>IF(RIGHT(TMK[[#This Row],[Device type]],7)="Winding","-",TMK[[#This Row],[Cont Shoulder MVA]])</f>
        <v>-</v>
      </c>
      <c r="AV297" s="9">
        <f>IF(RIGHT(TMK[[#This Row],[Device type]],7)="Winding","-",TMK[[#This Row],[Cont Summer MVA]])</f>
        <v>33.910698663960211</v>
      </c>
      <c r="AW297" s="9" t="str">
        <f>IF(RIGHT(TMK[[#This Row],[Device type]],7)="Winding","-",TMK[[#This Row],[24 Hr Winter MVA]])</f>
        <v>-</v>
      </c>
      <c r="AX297" s="9" t="str">
        <f>IF(RIGHT(TMK[[#This Row],[Device type]],7)="Winding","-",TMK[[#This Row],[24 Hr Summer MVA]])</f>
        <v>-</v>
      </c>
      <c r="AY297" s="9" t="str">
        <f>TMK[[#This Row],[Forwards MVA]]</f>
        <v>-</v>
      </c>
      <c r="AZ297" s="9" t="str">
        <f>TMK[[#This Row],[Relay MVA]]</f>
        <v>-</v>
      </c>
      <c r="BA297" s="9" t="str">
        <f>TMK[[#This Row],[CT MVA]]</f>
        <v>-</v>
      </c>
      <c r="BB297" s="9" t="str">
        <f>TMK[[#This Row],[Derating MVA]]</f>
        <v>-</v>
      </c>
      <c r="BC297" s="9" t="str">
        <f>TMK[[#This Row],[Station/Feeder]]&amp;TMK[[#This Row],[Lowest MVA]]</f>
        <v>CD_233.9106986639602</v>
      </c>
      <c r="BD297" s="9" t="str">
        <f>CONCATENATE(TMK[[#This Row],[Supply Level]],TMK[[#This Row],[Station/Feeder]],TMK[[#This Row],[Voltage]],TMK[[#This Row],[Lowest A-No PTX]])</f>
        <v>SubTransmissionCD_233.594582.793088112333</v>
      </c>
      <c r="BE297" s="9" t="str">
        <f>CONCATENATE(TMK[[#This Row],[Supply Level]],TMK[[#This Row],[Station/Feeder]],TMK[[#This Row],[Voltage]],TMK[[#This Row],[Lowest A-PTX]])</f>
        <v>SubTransmissionCD_233.594582.793088112333</v>
      </c>
      <c r="BF297" s="9">
        <f>IFERROR(IF(MIN(TMK[[#This Row],[Summ Cont Winter A]:[Cable Derating]])=0,"",MIN(TMK[[#This Row],[Summ Cont Winter A]:[Cable Derating]])),"")</f>
        <v>33.910698663960211</v>
      </c>
      <c r="BG297" s="9">
        <f>IFERROR(TMK[[#This Row],[Lowest MVA]]*1000/(TMK[[#This Row],[Voltage]]*SQRT(3)),"")</f>
        <v>582.79308811233284</v>
      </c>
      <c r="BH297" s="9">
        <f t="shared" si="195"/>
        <v>582.79308811233284</v>
      </c>
      <c r="BI297" s="9" t="str">
        <f>TMK[[#This Row],[From]]</f>
        <v>Pole 02053</v>
      </c>
      <c r="BJ297" s="9" t="str">
        <f>TMK[[#This Row],[To]]</f>
        <v>Pole 02081</v>
      </c>
      <c r="BK29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OH Line-JAGUAR</v>
      </c>
      <c r="BL297" s="9">
        <f>TMK[[#This Row],[Voltage]]</f>
        <v>33.594000000000001</v>
      </c>
    </row>
    <row r="298" spans="1:64" s="1" customFormat="1" ht="15" customHeight="1" x14ac:dyDescent="0.25">
      <c r="A298" s="6" t="str">
        <f>CONCATENATE(TMK[[#This Row],[Supply Level]],TMK[[#This Row],[Station/Feeder]],TMK[[#This Row],[Voltage]],"T3")</f>
        <v>SubTransmissionCD_233.594T3</v>
      </c>
      <c r="B298" s="6" t="str">
        <f>CONCATENATE(TMK[[#This Row],[Supply Level]],TMK[[#This Row],[Station/Feeder]],TMK[[#This Row],[Equipment ID]],TMK[[#This Row],[Voltage]],TMK[[#This Row],[Device type]])</f>
        <v>SubTransmissionCD_23-1c 400 mm² Al XLPE33.594-</v>
      </c>
      <c r="C298" s="6" t="s">
        <v>1245</v>
      </c>
      <c r="D298" s="11" t="s">
        <v>89</v>
      </c>
      <c r="E298" s="7" t="s">
        <v>618</v>
      </c>
      <c r="F298" s="7" t="s">
        <v>633</v>
      </c>
      <c r="G298" s="56">
        <v>6</v>
      </c>
      <c r="H298" s="283" t="s">
        <v>1294</v>
      </c>
      <c r="I298" s="123" t="s">
        <v>559</v>
      </c>
      <c r="J298" s="123" t="s">
        <v>250</v>
      </c>
      <c r="K298" s="46" t="s">
        <v>0</v>
      </c>
      <c r="L298" s="46" t="s">
        <v>0</v>
      </c>
      <c r="M298" s="43">
        <f t="shared" si="121"/>
        <v>33.594000000000001</v>
      </c>
      <c r="N298" s="9">
        <v>458</v>
      </c>
      <c r="O298" s="9">
        <f t="shared" si="190"/>
        <v>26.649423791896737</v>
      </c>
      <c r="P298" s="9">
        <v>458</v>
      </c>
      <c r="Q298" s="9">
        <f t="shared" si="191"/>
        <v>26.649423791896737</v>
      </c>
      <c r="R298" s="9">
        <v>458</v>
      </c>
      <c r="S298" s="9">
        <f t="shared" si="192"/>
        <v>26.649423791896737</v>
      </c>
      <c r="T298" s="9" t="s">
        <v>0</v>
      </c>
      <c r="U298" s="9" t="str">
        <f t="shared" si="193"/>
        <v>-</v>
      </c>
      <c r="V298" s="9" t="s">
        <v>0</v>
      </c>
      <c r="W298" s="9" t="str">
        <f t="shared" si="194"/>
        <v>-</v>
      </c>
      <c r="X298" s="9" t="s">
        <v>0</v>
      </c>
      <c r="Y298" s="9" t="str">
        <f t="shared" si="204"/>
        <v>-</v>
      </c>
      <c r="Z298" s="9" t="s">
        <v>0</v>
      </c>
      <c r="AA298" s="9" t="str">
        <f t="shared" si="205"/>
        <v>-</v>
      </c>
      <c r="AB298" s="9" t="s">
        <v>0</v>
      </c>
      <c r="AC298" s="9" t="str">
        <f t="shared" si="206"/>
        <v>-</v>
      </c>
      <c r="AD298" s="9" t="s">
        <v>0</v>
      </c>
      <c r="AE298" s="12" t="str">
        <f t="shared" si="207"/>
        <v>-</v>
      </c>
      <c r="AF298" s="9">
        <v>1</v>
      </c>
      <c r="AG298" s="9" t="s">
        <v>344</v>
      </c>
      <c r="AH298" s="9">
        <v>660</v>
      </c>
      <c r="AI298" s="9">
        <v>0.8</v>
      </c>
      <c r="AJ298" s="43">
        <v>1</v>
      </c>
      <c r="AK298" s="29">
        <v>19</v>
      </c>
      <c r="AL298" s="32">
        <v>0.97699999999999998</v>
      </c>
      <c r="AM298" s="29">
        <v>1.2</v>
      </c>
      <c r="AN298" s="32">
        <v>1</v>
      </c>
      <c r="AO298" s="29">
        <v>2</v>
      </c>
      <c r="AP298" s="32">
        <v>0.7</v>
      </c>
      <c r="AQ298" s="32">
        <v>0.91</v>
      </c>
      <c r="AR298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407.19406000000004</v>
      </c>
      <c r="AS298" s="9">
        <f t="shared" si="208"/>
        <v>23.693203210661636</v>
      </c>
      <c r="AT298" s="9">
        <f>IF(RIGHT(TMK[[#This Row],[Device type]],7)="Winding","-",TMK[[#This Row],[Cont Winter MVA]])</f>
        <v>26.649423791896737</v>
      </c>
      <c r="AU298" s="9">
        <f>IF(RIGHT(TMK[[#This Row],[Device type]],7)="Winding","-",TMK[[#This Row],[Cont Shoulder MVA]])</f>
        <v>26.649423791896737</v>
      </c>
      <c r="AV298" s="9">
        <f>IF(RIGHT(TMK[[#This Row],[Device type]],7)="Winding","-",TMK[[#This Row],[Cont Summer MVA]])</f>
        <v>26.649423791896737</v>
      </c>
      <c r="AW298" s="9" t="str">
        <f>IF(RIGHT(TMK[[#This Row],[Device type]],7)="Winding","-",TMK[[#This Row],[24 Hr Winter MVA]])</f>
        <v>-</v>
      </c>
      <c r="AX298" s="9" t="str">
        <f>IF(RIGHT(TMK[[#This Row],[Device type]],7)="Winding","-",TMK[[#This Row],[24 Hr Summer MVA]])</f>
        <v>-</v>
      </c>
      <c r="AY298" s="9" t="str">
        <f>TMK[[#This Row],[Forwards MVA]]</f>
        <v>-</v>
      </c>
      <c r="AZ298" s="9" t="str">
        <f>TMK[[#This Row],[Relay MVA]]</f>
        <v>-</v>
      </c>
      <c r="BA298" s="9" t="str">
        <f>TMK[[#This Row],[CT MVA]]</f>
        <v>-</v>
      </c>
      <c r="BB298" s="9">
        <f>TMK[[#This Row],[Derating MVA]]</f>
        <v>23.693203210661636</v>
      </c>
      <c r="BC298" s="9" t="str">
        <f>TMK[[#This Row],[Station/Feeder]]&amp;TMK[[#This Row],[Lowest MVA]]</f>
        <v>CD_223.6932032106616</v>
      </c>
      <c r="BD298" s="9" t="str">
        <f>CONCATENATE(TMK[[#This Row],[Supply Level]],TMK[[#This Row],[Station/Feeder]],TMK[[#This Row],[Voltage]],TMK[[#This Row],[Lowest A-No PTX]])</f>
        <v>SubTransmissionCD_233.594407.19406</v>
      </c>
      <c r="BE298" s="9" t="str">
        <f>CONCATENATE(TMK[[#This Row],[Supply Level]],TMK[[#This Row],[Station/Feeder]],TMK[[#This Row],[Voltage]],TMK[[#This Row],[Lowest A-PTX]])</f>
        <v>SubTransmissionCD_233.594407.19406</v>
      </c>
      <c r="BF298" s="9">
        <f>IFERROR(IF(MIN(TMK[[#This Row],[Summ Cont Winter A]:[Cable Derating]])=0,"",MIN(TMK[[#This Row],[Summ Cont Winter A]:[Cable Derating]])),"")</f>
        <v>23.693203210661636</v>
      </c>
      <c r="BG298" s="9">
        <f>IFERROR(TMK[[#This Row],[Lowest MVA]]*1000/(TMK[[#This Row],[Voltage]]*SQRT(3)),"")</f>
        <v>407.19406000000004</v>
      </c>
      <c r="BH298" s="9">
        <f t="shared" si="195"/>
        <v>407.19406000000004</v>
      </c>
      <c r="BI298" s="9" t="str">
        <f>TMK[[#This Row],[From]]</f>
        <v>Pole 02081</v>
      </c>
      <c r="BJ298" s="9" t="str">
        <f>TMK[[#This Row],[To]]</f>
        <v>CBT662</v>
      </c>
      <c r="BK29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Al XLPE</v>
      </c>
      <c r="BL298" s="9">
        <f>TMK[[#This Row],[Voltage]]</f>
        <v>33.594000000000001</v>
      </c>
    </row>
    <row r="299" spans="1:64" s="1" customFormat="1" ht="15" customHeight="1" x14ac:dyDescent="0.25">
      <c r="A299" s="6" t="str">
        <f>CONCATENATE(TMK[[#This Row],[Supply Level]],TMK[[#This Row],[Station/Feeder]],TMK[[#This Row],[Voltage]],"T3")</f>
        <v>ZoneSubstationCD_233.594T3</v>
      </c>
      <c r="B299" s="6" t="str">
        <f>CONCATENATE(TMK[[#This Row],[Supply Level]],TMK[[#This Row],[Station/Feeder]],TMK[[#This Row],[Equipment ID]],TMK[[#This Row],[Voltage]],TMK[[#This Row],[Device type]])</f>
        <v>ZoneSubstationCD_2T66233.594Protection</v>
      </c>
      <c r="C299" s="6" t="s">
        <v>1246</v>
      </c>
      <c r="D299" s="11" t="s">
        <v>89</v>
      </c>
      <c r="E299" s="7" t="s">
        <v>641</v>
      </c>
      <c r="F299" s="7" t="s">
        <v>243</v>
      </c>
      <c r="G299" s="56">
        <v>1</v>
      </c>
      <c r="H299" s="7" t="s">
        <v>343</v>
      </c>
      <c r="I299" s="123" t="s">
        <v>635</v>
      </c>
      <c r="J299" s="123" t="s">
        <v>394</v>
      </c>
      <c r="K299" s="46" t="s">
        <v>1126</v>
      </c>
      <c r="L299" s="46" t="s">
        <v>1423</v>
      </c>
      <c r="M299" s="43">
        <f t="shared" si="121"/>
        <v>33.594000000000001</v>
      </c>
      <c r="N299" s="9">
        <v>560</v>
      </c>
      <c r="O299" s="9">
        <f t="shared" si="190"/>
        <v>32.584448304502558</v>
      </c>
      <c r="P299" s="9">
        <v>560</v>
      </c>
      <c r="Q299" s="9">
        <f t="shared" si="191"/>
        <v>32.584448304502558</v>
      </c>
      <c r="R299" s="9">
        <v>560</v>
      </c>
      <c r="S299" s="9">
        <f t="shared" si="192"/>
        <v>32.584448304502558</v>
      </c>
      <c r="T299" s="9" t="s">
        <v>0</v>
      </c>
      <c r="U299" s="9" t="str">
        <f t="shared" si="193"/>
        <v>-</v>
      </c>
      <c r="V299" s="9" t="s">
        <v>0</v>
      </c>
      <c r="W299" s="9" t="str">
        <f t="shared" si="194"/>
        <v>-</v>
      </c>
      <c r="X299" s="9">
        <v>540</v>
      </c>
      <c r="Y299" s="9">
        <f t="shared" si="204"/>
        <v>31.420718007913187</v>
      </c>
      <c r="Z299" s="9">
        <v>540</v>
      </c>
      <c r="AA299" s="9">
        <f t="shared" si="205"/>
        <v>31.420718007913187</v>
      </c>
      <c r="AB299" s="9" t="s">
        <v>0</v>
      </c>
      <c r="AC299" s="9" t="str">
        <f t="shared" si="206"/>
        <v>-</v>
      </c>
      <c r="AD299" s="9">
        <v>600</v>
      </c>
      <c r="AE299" s="12">
        <f t="shared" si="207"/>
        <v>34.911908897681322</v>
      </c>
      <c r="AF299" s="9" t="s">
        <v>0</v>
      </c>
      <c r="AG299" s="9" t="s">
        <v>0</v>
      </c>
      <c r="AH299" s="9" t="s">
        <v>0</v>
      </c>
      <c r="AI299" s="9" t="s">
        <v>0</v>
      </c>
      <c r="AJ299" s="43" t="s">
        <v>0</v>
      </c>
      <c r="AK299" s="29" t="s">
        <v>0</v>
      </c>
      <c r="AL299" s="32" t="s">
        <v>0</v>
      </c>
      <c r="AM299" s="29" t="s">
        <v>0</v>
      </c>
      <c r="AN299" s="32" t="s">
        <v>0</v>
      </c>
      <c r="AO299" s="29" t="s">
        <v>0</v>
      </c>
      <c r="AP299" s="32" t="s">
        <v>0</v>
      </c>
      <c r="AQ299" s="32" t="s">
        <v>0</v>
      </c>
      <c r="AR29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299" s="9" t="str">
        <f t="shared" si="208"/>
        <v>-</v>
      </c>
      <c r="AT299" s="9">
        <f>IF(RIGHT(TMK[[#This Row],[Device type]],7)="Winding","-",TMK[[#This Row],[Cont Winter MVA]])</f>
        <v>32.584448304502558</v>
      </c>
      <c r="AU299" s="9">
        <f>IF(RIGHT(TMK[[#This Row],[Device type]],7)="Winding","-",TMK[[#This Row],[Cont Shoulder MVA]])</f>
        <v>32.584448304502558</v>
      </c>
      <c r="AV299" s="9">
        <f>IF(RIGHT(TMK[[#This Row],[Device type]],7)="Winding","-",TMK[[#This Row],[Cont Summer MVA]])</f>
        <v>32.584448304502558</v>
      </c>
      <c r="AW299" s="9" t="str">
        <f>IF(RIGHT(TMK[[#This Row],[Device type]],7)="Winding","-",TMK[[#This Row],[24 Hr Winter MVA]])</f>
        <v>-</v>
      </c>
      <c r="AX299" s="9" t="str">
        <f>IF(RIGHT(TMK[[#This Row],[Device type]],7)="Winding","-",TMK[[#This Row],[24 Hr Summer MVA]])</f>
        <v>-</v>
      </c>
      <c r="AY299" s="9">
        <f>TMK[[#This Row],[Forwards MVA]]</f>
        <v>31.420718007913187</v>
      </c>
      <c r="AZ299" s="9" t="str">
        <f>TMK[[#This Row],[Relay MVA]]</f>
        <v>-</v>
      </c>
      <c r="BA299" s="9">
        <f>TMK[[#This Row],[CT MVA]]</f>
        <v>34.911908897681322</v>
      </c>
      <c r="BB299" s="9" t="str">
        <f>TMK[[#This Row],[Derating MVA]]</f>
        <v>-</v>
      </c>
      <c r="BC299" s="9" t="str">
        <f>TMK[[#This Row],[Station/Feeder]]&amp;TMK[[#This Row],[Lowest MVA]]</f>
        <v>CD_231.4207180079132</v>
      </c>
      <c r="BD299" s="9" t="str">
        <f>CONCATENATE(TMK[[#This Row],[Supply Level]],TMK[[#This Row],[Station/Feeder]],TMK[[#This Row],[Voltage]],TMK[[#This Row],[Lowest A-No PTX]])</f>
        <v>ZoneSubstationCD_233.594540</v>
      </c>
      <c r="BE299" s="9" t="str">
        <f>CONCATENATE(TMK[[#This Row],[Supply Level]],TMK[[#This Row],[Station/Feeder]],TMK[[#This Row],[Voltage]],TMK[[#This Row],[Lowest A-PTX]])</f>
        <v>ZoneSubstationCD_233.594540</v>
      </c>
      <c r="BF299" s="9">
        <f>IFERROR(IF(MIN(TMK[[#This Row],[Summ Cont Winter A]:[Cable Derating]])=0,"",MIN(TMK[[#This Row],[Summ Cont Winter A]:[Cable Derating]])),"")</f>
        <v>31.420718007913187</v>
      </c>
      <c r="BG299" s="9">
        <f>IFERROR(TMK[[#This Row],[Lowest MVA]]*1000/(TMK[[#This Row],[Voltage]]*SQRT(3)),"")</f>
        <v>540</v>
      </c>
      <c r="BH299" s="9">
        <f t="shared" si="195"/>
        <v>540</v>
      </c>
      <c r="BI299" s="9" t="str">
        <f>TMK[[#This Row],[From]]</f>
        <v>REC T662</v>
      </c>
      <c r="BJ299" s="9" t="str">
        <f>TMK[[#This Row],[To]]</f>
        <v>11 kV Bus</v>
      </c>
      <c r="BK29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Recloser-T662-Protection</v>
      </c>
      <c r="BL299" s="9">
        <f>TMK[[#This Row],[Voltage]]</f>
        <v>33.594000000000001</v>
      </c>
    </row>
    <row r="300" spans="1:64" s="1" customFormat="1" ht="15" customHeight="1" x14ac:dyDescent="0.25">
      <c r="A300" s="6" t="str">
        <f>CONCATENATE(TMK[[#This Row],[Supply Level]],TMK[[#This Row],[Station/Feeder]],TMK[[#This Row],[Voltage]],"T3")</f>
        <v>ZoneSubstationCD_233.594T3</v>
      </c>
      <c r="B300" s="6" t="str">
        <f>CONCATENATE(TMK[[#This Row],[Supply Level]],TMK[[#This Row],[Station/Feeder]],TMK[[#This Row],[Equipment ID]],TMK[[#This Row],[Voltage]],TMK[[#This Row],[Device type]])</f>
        <v>ZoneSubstationCD_2D1462-T333.594HV Winding</v>
      </c>
      <c r="C300" s="6" t="s">
        <v>1246</v>
      </c>
      <c r="D300" s="11" t="s">
        <v>89</v>
      </c>
      <c r="E300" s="7" t="s">
        <v>641</v>
      </c>
      <c r="F300" s="7" t="s">
        <v>243</v>
      </c>
      <c r="G300" s="56">
        <v>2</v>
      </c>
      <c r="H300" s="46" t="s">
        <v>275</v>
      </c>
      <c r="I300" s="123" t="s">
        <v>636</v>
      </c>
      <c r="J300" s="123" t="s">
        <v>19</v>
      </c>
      <c r="K300" s="46" t="s">
        <v>0</v>
      </c>
      <c r="L300" s="46" t="s">
        <v>36</v>
      </c>
      <c r="M300" s="43">
        <f t="shared" si="121"/>
        <v>33.594000000000001</v>
      </c>
      <c r="N300" s="9">
        <f>25*1000/(TMK[[#This Row],[Voltage]]*SQRT(3))</f>
        <v>429.6528168643402</v>
      </c>
      <c r="O300" s="9">
        <f t="shared" si="190"/>
        <v>25</v>
      </c>
      <c r="P300" s="9" t="s">
        <v>0</v>
      </c>
      <c r="Q300" s="9" t="str">
        <f t="shared" si="191"/>
        <v>-</v>
      </c>
      <c r="R300" s="9" t="s">
        <v>0</v>
      </c>
      <c r="S300" s="9" t="str">
        <f t="shared" si="192"/>
        <v>-</v>
      </c>
      <c r="T300" s="9" t="s">
        <v>0</v>
      </c>
      <c r="U300" s="9" t="str">
        <f t="shared" si="193"/>
        <v>-</v>
      </c>
      <c r="V300" s="9" t="s">
        <v>0</v>
      </c>
      <c r="W300" s="9" t="str">
        <f t="shared" si="194"/>
        <v>-</v>
      </c>
      <c r="X300" s="9" t="s">
        <v>0</v>
      </c>
      <c r="Y300" s="9" t="str">
        <f t="shared" si="204"/>
        <v>-</v>
      </c>
      <c r="Z300" s="9" t="s">
        <v>0</v>
      </c>
      <c r="AA300" s="9" t="str">
        <f t="shared" si="205"/>
        <v>-</v>
      </c>
      <c r="AB300" s="9" t="s">
        <v>0</v>
      </c>
      <c r="AC300" s="9" t="str">
        <f t="shared" si="206"/>
        <v>-</v>
      </c>
      <c r="AD300" s="9" t="s">
        <v>0</v>
      </c>
      <c r="AE300" s="12" t="str">
        <f t="shared" si="207"/>
        <v>-</v>
      </c>
      <c r="AF300" s="9" t="s">
        <v>0</v>
      </c>
      <c r="AG300" s="9" t="s">
        <v>0</v>
      </c>
      <c r="AH300" s="9" t="s">
        <v>0</v>
      </c>
      <c r="AI300" s="9" t="s">
        <v>0</v>
      </c>
      <c r="AJ300" s="43" t="s">
        <v>0</v>
      </c>
      <c r="AK300" s="29" t="s">
        <v>0</v>
      </c>
      <c r="AL300" s="32" t="s">
        <v>0</v>
      </c>
      <c r="AM300" s="29" t="s">
        <v>0</v>
      </c>
      <c r="AN300" s="32" t="s">
        <v>0</v>
      </c>
      <c r="AO300" s="29" t="s">
        <v>0</v>
      </c>
      <c r="AP300" s="32" t="s">
        <v>0</v>
      </c>
      <c r="AQ300" s="32" t="s">
        <v>0</v>
      </c>
      <c r="AR300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00" s="9" t="str">
        <f t="shared" si="208"/>
        <v>-</v>
      </c>
      <c r="AT300" s="9" t="str">
        <f>IF(RIGHT(TMK[[#This Row],[Device type]],7)="Winding","-",TMK[[#This Row],[Cont Winter MVA]])</f>
        <v>-</v>
      </c>
      <c r="AU300" s="9" t="str">
        <f>IF(RIGHT(TMK[[#This Row],[Device type]],7)="Winding","-",TMK[[#This Row],[Cont Shoulder MVA]])</f>
        <v>-</v>
      </c>
      <c r="AV300" s="9" t="str">
        <f>IF(RIGHT(TMK[[#This Row],[Device type]],7)="Winding","-",TMK[[#This Row],[Cont Summer MVA]])</f>
        <v>-</v>
      </c>
      <c r="AW300" s="9" t="str">
        <f>IF(RIGHT(TMK[[#This Row],[Device type]],7)="Winding","-",TMK[[#This Row],[24 Hr Winter MVA]])</f>
        <v>-</v>
      </c>
      <c r="AX300" s="9" t="str">
        <f>IF(RIGHT(TMK[[#This Row],[Device type]],7)="Winding","-",TMK[[#This Row],[24 Hr Summer MVA]])</f>
        <v>-</v>
      </c>
      <c r="AY300" s="9" t="str">
        <f>TMK[[#This Row],[Forwards MVA]]</f>
        <v>-</v>
      </c>
      <c r="AZ300" s="9" t="str">
        <f>TMK[[#This Row],[Relay MVA]]</f>
        <v>-</v>
      </c>
      <c r="BA300" s="9" t="str">
        <f>TMK[[#This Row],[CT MVA]]</f>
        <v>-</v>
      </c>
      <c r="BB300" s="9" t="str">
        <f>TMK[[#This Row],[Derating MVA]]</f>
        <v>-</v>
      </c>
      <c r="BC300" s="9" t="str">
        <f>TMK[[#This Row],[Station/Feeder]]&amp;TMK[[#This Row],[Lowest MVA]]</f>
        <v>CD_2</v>
      </c>
      <c r="BD300" s="9" t="str">
        <f>CONCATENATE(TMK[[#This Row],[Supply Level]],TMK[[#This Row],[Station/Feeder]],TMK[[#This Row],[Voltage]],TMK[[#This Row],[Lowest A-No PTX]])</f>
        <v>ZoneSubstationCD_233.594</v>
      </c>
      <c r="BE300" s="9" t="str">
        <f>CONCATENATE(TMK[[#This Row],[Supply Level]],TMK[[#This Row],[Station/Feeder]],TMK[[#This Row],[Voltage]],TMK[[#This Row],[Lowest A-PTX]])</f>
        <v>ZoneSubstationCD_233.594429.65281686434</v>
      </c>
      <c r="BF300" s="9" t="str">
        <f>IFERROR(IF(MIN(TMK[[#This Row],[Summ Cont Winter A]:[Cable Derating]])=0,"",MIN(TMK[[#This Row],[Summ Cont Winter A]:[Cable Derating]])),"")</f>
        <v/>
      </c>
      <c r="BG300" s="9" t="str">
        <f>IFERROR(TMK[[#This Row],[Lowest MVA]]*1000/(TMK[[#This Row],[Voltage]]*SQRT(3)),"")</f>
        <v/>
      </c>
      <c r="BH300" s="9">
        <f t="shared" si="195"/>
        <v>429.6528168643402</v>
      </c>
      <c r="BI300" s="9" t="str">
        <f>TMK[[#This Row],[From]]</f>
        <v>REC T662</v>
      </c>
      <c r="BJ300" s="9" t="str">
        <f>TMK[[#This Row],[To]]</f>
        <v>11 kV Bus</v>
      </c>
      <c r="BK30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Transformer-D1462-T3-HV Winding</v>
      </c>
      <c r="BL300" s="9">
        <f>TMK[[#This Row],[Voltage]]</f>
        <v>33.594000000000001</v>
      </c>
    </row>
    <row r="301" spans="1:64" s="1" customFormat="1" ht="15" customHeight="1" x14ac:dyDescent="0.25">
      <c r="A301" s="6" t="str">
        <f>CONCATENATE(TMK[[#This Row],[Supply Level]],TMK[[#This Row],[Station/Feeder]],TMK[[#This Row],[Voltage]],"T3")</f>
        <v>ZoneSubstationCD_211T3</v>
      </c>
      <c r="B301" s="6" t="str">
        <f>CONCATENATE(TMK[[#This Row],[Supply Level]],TMK[[#This Row],[Station/Feeder]],TMK[[#This Row],[Equipment ID]],TMK[[#This Row],[Voltage]],TMK[[#This Row],[Device type]])</f>
        <v>ZoneSubstationCD_2D1462-T311LV Winding</v>
      </c>
      <c r="C301" s="6" t="s">
        <v>1246</v>
      </c>
      <c r="D301" s="11" t="s">
        <v>89</v>
      </c>
      <c r="E301" s="7" t="s">
        <v>641</v>
      </c>
      <c r="F301" s="7" t="s">
        <v>243</v>
      </c>
      <c r="G301" s="56">
        <v>3</v>
      </c>
      <c r="H301" s="46" t="s">
        <v>275</v>
      </c>
      <c r="I301" s="123" t="s">
        <v>636</v>
      </c>
      <c r="J301" s="123" t="s">
        <v>19</v>
      </c>
      <c r="K301" s="46" t="s">
        <v>0</v>
      </c>
      <c r="L301" s="46" t="s">
        <v>37</v>
      </c>
      <c r="M301" s="43">
        <v>11</v>
      </c>
      <c r="N301" s="9">
        <f>25*1000/(TMK[[#This Row],[Voltage]]*SQRT(3))</f>
        <v>1312.1597027036951</v>
      </c>
      <c r="O301" s="9">
        <f t="shared" si="190"/>
        <v>25</v>
      </c>
      <c r="P301" s="9" t="s">
        <v>0</v>
      </c>
      <c r="Q301" s="9" t="str">
        <f t="shared" si="191"/>
        <v>-</v>
      </c>
      <c r="R301" s="9" t="s">
        <v>0</v>
      </c>
      <c r="S301" s="9" t="str">
        <f t="shared" si="192"/>
        <v>-</v>
      </c>
      <c r="T301" s="9" t="s">
        <v>0</v>
      </c>
      <c r="U301" s="9" t="str">
        <f t="shared" si="193"/>
        <v>-</v>
      </c>
      <c r="V301" s="9" t="s">
        <v>0</v>
      </c>
      <c r="W301" s="9" t="str">
        <f t="shared" si="194"/>
        <v>-</v>
      </c>
      <c r="X301" s="9" t="s">
        <v>0</v>
      </c>
      <c r="Y301" s="9" t="str">
        <f t="shared" si="204"/>
        <v>-</v>
      </c>
      <c r="Z301" s="9" t="s">
        <v>0</v>
      </c>
      <c r="AA301" s="9" t="str">
        <f t="shared" si="205"/>
        <v>-</v>
      </c>
      <c r="AB301" s="9" t="s">
        <v>0</v>
      </c>
      <c r="AC301" s="9" t="str">
        <f t="shared" si="206"/>
        <v>-</v>
      </c>
      <c r="AD301" s="9" t="s">
        <v>0</v>
      </c>
      <c r="AE301" s="12" t="str">
        <f t="shared" si="207"/>
        <v>-</v>
      </c>
      <c r="AF301" s="9" t="s">
        <v>0</v>
      </c>
      <c r="AG301" s="9" t="s">
        <v>0</v>
      </c>
      <c r="AH301" s="9" t="s">
        <v>0</v>
      </c>
      <c r="AI301" s="9" t="s">
        <v>0</v>
      </c>
      <c r="AJ301" s="43" t="s">
        <v>0</v>
      </c>
      <c r="AK301" s="29" t="s">
        <v>0</v>
      </c>
      <c r="AL301" s="32" t="s">
        <v>0</v>
      </c>
      <c r="AM301" s="29" t="s">
        <v>0</v>
      </c>
      <c r="AN301" s="32" t="s">
        <v>0</v>
      </c>
      <c r="AO301" s="29" t="s">
        <v>0</v>
      </c>
      <c r="AP301" s="32" t="s">
        <v>0</v>
      </c>
      <c r="AQ301" s="32" t="s">
        <v>0</v>
      </c>
      <c r="AR301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01" s="9" t="str">
        <f t="shared" si="208"/>
        <v>-</v>
      </c>
      <c r="AT301" s="9" t="str">
        <f>IF(RIGHT(TMK[[#This Row],[Device type]],7)="Winding","-",TMK[[#This Row],[Cont Winter MVA]])</f>
        <v>-</v>
      </c>
      <c r="AU301" s="9" t="str">
        <f>IF(RIGHT(TMK[[#This Row],[Device type]],7)="Winding","-",TMK[[#This Row],[Cont Shoulder MVA]])</f>
        <v>-</v>
      </c>
      <c r="AV301" s="9" t="str">
        <f>IF(RIGHT(TMK[[#This Row],[Device type]],7)="Winding","-",TMK[[#This Row],[Cont Summer MVA]])</f>
        <v>-</v>
      </c>
      <c r="AW301" s="9" t="str">
        <f>IF(RIGHT(TMK[[#This Row],[Device type]],7)="Winding","-",TMK[[#This Row],[24 Hr Winter MVA]])</f>
        <v>-</v>
      </c>
      <c r="AX301" s="9" t="str">
        <f>IF(RIGHT(TMK[[#This Row],[Device type]],7)="Winding","-",TMK[[#This Row],[24 Hr Summer MVA]])</f>
        <v>-</v>
      </c>
      <c r="AY301" s="9" t="str">
        <f>TMK[[#This Row],[Forwards MVA]]</f>
        <v>-</v>
      </c>
      <c r="AZ301" s="9" t="str">
        <f>TMK[[#This Row],[Relay MVA]]</f>
        <v>-</v>
      </c>
      <c r="BA301" s="9" t="str">
        <f>TMK[[#This Row],[CT MVA]]</f>
        <v>-</v>
      </c>
      <c r="BB301" s="9" t="str">
        <f>TMK[[#This Row],[Derating MVA]]</f>
        <v>-</v>
      </c>
      <c r="BC301" s="9" t="str">
        <f>TMK[[#This Row],[Station/Feeder]]&amp;TMK[[#This Row],[Lowest MVA]]</f>
        <v>CD_2</v>
      </c>
      <c r="BD301" s="9" t="str">
        <f>CONCATENATE(TMK[[#This Row],[Supply Level]],TMK[[#This Row],[Station/Feeder]],TMK[[#This Row],[Voltage]],TMK[[#This Row],[Lowest A-No PTX]])</f>
        <v>ZoneSubstationCD_211</v>
      </c>
      <c r="BE301" s="9" t="str">
        <f>CONCATENATE(TMK[[#This Row],[Supply Level]],TMK[[#This Row],[Station/Feeder]],TMK[[#This Row],[Voltage]],TMK[[#This Row],[Lowest A-PTX]])</f>
        <v>ZoneSubstationCD_2111312.1597027037</v>
      </c>
      <c r="BF301" s="9" t="str">
        <f>IFERROR(IF(MIN(TMK[[#This Row],[Summ Cont Winter A]:[Cable Derating]])=0,"",MIN(TMK[[#This Row],[Summ Cont Winter A]:[Cable Derating]])),"")</f>
        <v/>
      </c>
      <c r="BG301" s="9" t="str">
        <f>IFERROR(TMK[[#This Row],[Lowest MVA]]*1000/(TMK[[#This Row],[Voltage]]*SQRT(3)),"")</f>
        <v/>
      </c>
      <c r="BH301" s="9">
        <f t="shared" si="195"/>
        <v>1312.1597027036951</v>
      </c>
      <c r="BI301" s="9" t="str">
        <f>TMK[[#This Row],[From]]</f>
        <v>REC T662</v>
      </c>
      <c r="BJ301" s="9" t="str">
        <f>TMK[[#This Row],[To]]</f>
        <v>11 kV Bus</v>
      </c>
      <c r="BK30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Transformer-D1462-T3-LV Winding</v>
      </c>
      <c r="BL301" s="9">
        <f>TMK[[#This Row],[Voltage]]</f>
        <v>11</v>
      </c>
    </row>
    <row r="302" spans="1:64" s="1" customFormat="1" ht="15" customHeight="1" x14ac:dyDescent="0.25">
      <c r="A302" s="6" t="str">
        <f>CONCATENATE(TMK[[#This Row],[Supply Level]],TMK[[#This Row],[Station/Feeder]],TMK[[#This Row],[Voltage]],"T3")</f>
        <v>ZoneSubstationCD_211T3</v>
      </c>
      <c r="B302" s="6" t="str">
        <f>CONCATENATE(TMK[[#This Row],[Supply Level]],TMK[[#This Row],[Station/Feeder]],TMK[[#This Row],[Equipment ID]],TMK[[#This Row],[Voltage]],TMK[[#This Row],[Device type]])</f>
        <v>ZoneSubstationCD_26-1c 630 mm² Al XLPE11-</v>
      </c>
      <c r="C302" s="6" t="s">
        <v>1246</v>
      </c>
      <c r="D302" s="11" t="s">
        <v>89</v>
      </c>
      <c r="E302" s="7" t="s">
        <v>641</v>
      </c>
      <c r="F302" s="7" t="s">
        <v>243</v>
      </c>
      <c r="G302" s="56">
        <v>4</v>
      </c>
      <c r="H302" s="7" t="s">
        <v>1296</v>
      </c>
      <c r="I302" s="123" t="s">
        <v>1295</v>
      </c>
      <c r="J302" s="123" t="s">
        <v>250</v>
      </c>
      <c r="K302" s="46" t="s">
        <v>0</v>
      </c>
      <c r="L302" s="46" t="s">
        <v>0</v>
      </c>
      <c r="M302" s="43">
        <v>11</v>
      </c>
      <c r="N302" s="9">
        <v>1620</v>
      </c>
      <c r="O302" s="9">
        <f t="shared" si="190"/>
        <v>30.865145390877391</v>
      </c>
      <c r="P302" s="9">
        <v>1620</v>
      </c>
      <c r="Q302" s="9">
        <f t="shared" si="191"/>
        <v>30.865145390877391</v>
      </c>
      <c r="R302" s="9">
        <v>1620</v>
      </c>
      <c r="S302" s="9">
        <f t="shared" si="192"/>
        <v>30.865145390877391</v>
      </c>
      <c r="T302" s="9" t="s">
        <v>0</v>
      </c>
      <c r="U302" s="9" t="str">
        <f t="shared" si="193"/>
        <v>-</v>
      </c>
      <c r="V302" s="9" t="s">
        <v>0</v>
      </c>
      <c r="W302" s="9" t="str">
        <f t="shared" si="194"/>
        <v>-</v>
      </c>
      <c r="X302" s="9" t="s">
        <v>0</v>
      </c>
      <c r="Y302" s="9" t="str">
        <f t="shared" si="204"/>
        <v>-</v>
      </c>
      <c r="Z302" s="9" t="s">
        <v>0</v>
      </c>
      <c r="AA302" s="9" t="str">
        <f t="shared" si="205"/>
        <v>-</v>
      </c>
      <c r="AB302" s="9" t="s">
        <v>0</v>
      </c>
      <c r="AC302" s="9" t="str">
        <f t="shared" si="206"/>
        <v>-</v>
      </c>
      <c r="AD302" s="9" t="s">
        <v>0</v>
      </c>
      <c r="AE302" s="12" t="str">
        <f t="shared" si="207"/>
        <v>-</v>
      </c>
      <c r="AF302" s="9">
        <v>1</v>
      </c>
      <c r="AG302" s="9" t="s">
        <v>265</v>
      </c>
      <c r="AH302" s="9">
        <v>7</v>
      </c>
      <c r="AI302" s="9">
        <v>0.8</v>
      </c>
      <c r="AJ302" s="43">
        <v>1</v>
      </c>
      <c r="AK302" s="29">
        <v>19</v>
      </c>
      <c r="AL302" s="32">
        <v>0.97699999999999998</v>
      </c>
      <c r="AM302" s="29">
        <v>1.2</v>
      </c>
      <c r="AN302" s="32">
        <v>1</v>
      </c>
      <c r="AO302" s="29">
        <v>1</v>
      </c>
      <c r="AP302" s="32">
        <v>0</v>
      </c>
      <c r="AQ302" s="32">
        <v>1</v>
      </c>
      <c r="AR302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1582.74</v>
      </c>
      <c r="AS302" s="9">
        <f t="shared" si="208"/>
        <v>30.155247046887208</v>
      </c>
      <c r="AT302" s="9">
        <f>IF(RIGHT(TMK[[#This Row],[Device type]],7)="Winding","-",TMK[[#This Row],[Cont Winter MVA]])</f>
        <v>30.865145390877391</v>
      </c>
      <c r="AU302" s="9">
        <f>IF(RIGHT(TMK[[#This Row],[Device type]],7)="Winding","-",TMK[[#This Row],[Cont Shoulder MVA]])</f>
        <v>30.865145390877391</v>
      </c>
      <c r="AV302" s="9">
        <f>IF(RIGHT(TMK[[#This Row],[Device type]],7)="Winding","-",TMK[[#This Row],[Cont Summer MVA]])</f>
        <v>30.865145390877391</v>
      </c>
      <c r="AW302" s="9" t="str">
        <f>IF(RIGHT(TMK[[#This Row],[Device type]],7)="Winding","-",TMK[[#This Row],[24 Hr Winter MVA]])</f>
        <v>-</v>
      </c>
      <c r="AX302" s="9" t="str">
        <f>IF(RIGHT(TMK[[#This Row],[Device type]],7)="Winding","-",TMK[[#This Row],[24 Hr Summer MVA]])</f>
        <v>-</v>
      </c>
      <c r="AY302" s="9" t="str">
        <f>TMK[[#This Row],[Forwards MVA]]</f>
        <v>-</v>
      </c>
      <c r="AZ302" s="9" t="str">
        <f>TMK[[#This Row],[Relay MVA]]</f>
        <v>-</v>
      </c>
      <c r="BA302" s="9" t="str">
        <f>TMK[[#This Row],[CT MVA]]</f>
        <v>-</v>
      </c>
      <c r="BB302" s="9">
        <f>TMK[[#This Row],[Derating MVA]]</f>
        <v>30.155247046887208</v>
      </c>
      <c r="BC302" s="9" t="str">
        <f>TMK[[#This Row],[Station/Feeder]]&amp;TMK[[#This Row],[Lowest MVA]]</f>
        <v>CD_230.1552470468872</v>
      </c>
      <c r="BD302" s="9" t="str">
        <f>CONCATENATE(TMK[[#This Row],[Supply Level]],TMK[[#This Row],[Station/Feeder]],TMK[[#This Row],[Voltage]],TMK[[#This Row],[Lowest A-No PTX]])</f>
        <v>ZoneSubstationCD_2111582.74</v>
      </c>
      <c r="BE302" s="9" t="str">
        <f>CONCATENATE(TMK[[#This Row],[Supply Level]],TMK[[#This Row],[Station/Feeder]],TMK[[#This Row],[Voltage]],TMK[[#This Row],[Lowest A-PTX]])</f>
        <v>ZoneSubstationCD_2111582.74</v>
      </c>
      <c r="BF302" s="9">
        <f>IFERROR(IF(MIN(TMK[[#This Row],[Summ Cont Winter A]:[Cable Derating]])=0,"",MIN(TMK[[#This Row],[Summ Cont Winter A]:[Cable Derating]])),"")</f>
        <v>30.155247046887208</v>
      </c>
      <c r="BG302" s="9">
        <f>IFERROR(TMK[[#This Row],[Lowest MVA]]*1000/(TMK[[#This Row],[Voltage]]*SQRT(3)),"")</f>
        <v>1582.7399999999998</v>
      </c>
      <c r="BH302" s="9">
        <f t="shared" si="195"/>
        <v>1582.74</v>
      </c>
      <c r="BI302" s="9" t="str">
        <f>TMK[[#This Row],[From]]</f>
        <v>REC T662</v>
      </c>
      <c r="BJ302" s="9" t="str">
        <f>TMK[[#This Row],[To]]</f>
        <v>11 kV Bus</v>
      </c>
      <c r="BK30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Cable-6-1c 630 mm² Al XLPE</v>
      </c>
      <c r="BL302" s="9">
        <f>TMK[[#This Row],[Voltage]]</f>
        <v>11</v>
      </c>
    </row>
    <row r="303" spans="1:64" s="1" customFormat="1" ht="15" customHeight="1" x14ac:dyDescent="0.25">
      <c r="A303" s="6" t="str">
        <f>CONCATENATE(TMK[[#This Row],[Supply Level]],TMK[[#This Row],[Station/Feeder]],TMK[[#This Row],[Voltage]],"T3")</f>
        <v>ZoneSubstationCD_211T3</v>
      </c>
      <c r="B303" s="6" t="str">
        <f>CONCATENATE(TMK[[#This Row],[Supply Level]],TMK[[#This Row],[Station/Feeder]],TMK[[#This Row],[Equipment ID]],TMK[[#This Row],[Voltage]],TMK[[#This Row],[Device type]])</f>
        <v>ZoneSubstationCD_2CD2-T65711Protection</v>
      </c>
      <c r="C303" s="6" t="s">
        <v>1246</v>
      </c>
      <c r="D303" s="11" t="s">
        <v>89</v>
      </c>
      <c r="E303" s="7" t="s">
        <v>641</v>
      </c>
      <c r="F303" s="7" t="s">
        <v>243</v>
      </c>
      <c r="G303" s="56">
        <v>5</v>
      </c>
      <c r="H303" s="7" t="s">
        <v>343</v>
      </c>
      <c r="I303" s="123" t="s">
        <v>2451</v>
      </c>
      <c r="J303" s="123" t="s">
        <v>15</v>
      </c>
      <c r="K303" s="46" t="s">
        <v>664</v>
      </c>
      <c r="L303" s="46" t="s">
        <v>1423</v>
      </c>
      <c r="M303" s="43">
        <v>11</v>
      </c>
      <c r="N303" s="9">
        <v>2000</v>
      </c>
      <c r="O303" s="9">
        <f t="shared" si="190"/>
        <v>38.105117766515299</v>
      </c>
      <c r="P303" s="9">
        <v>2000</v>
      </c>
      <c r="Q303" s="9">
        <f t="shared" si="191"/>
        <v>38.105117766515299</v>
      </c>
      <c r="R303" s="9">
        <v>2000</v>
      </c>
      <c r="S303" s="9">
        <f t="shared" si="192"/>
        <v>38.105117766515299</v>
      </c>
      <c r="T303" s="9" t="s">
        <v>0</v>
      </c>
      <c r="U303" s="9" t="str">
        <f t="shared" si="193"/>
        <v>-</v>
      </c>
      <c r="V303" s="9" t="s">
        <v>0</v>
      </c>
      <c r="W303" s="9" t="str">
        <f t="shared" si="194"/>
        <v>-</v>
      </c>
      <c r="X303" s="9">
        <f>VLOOKUP(TMK[[#This Row],[Equipment ID]],AEL_Protection_Data[#All],12,0)</f>
        <v>1400</v>
      </c>
      <c r="Y303" s="9">
        <f t="shared" si="204"/>
        <v>26.673582436560707</v>
      </c>
      <c r="Z303" s="9">
        <v>1400</v>
      </c>
      <c r="AA303" s="9">
        <f t="shared" si="205"/>
        <v>26.673582436560707</v>
      </c>
      <c r="AB303" s="9" t="s">
        <v>0</v>
      </c>
      <c r="AC303" s="9" t="str">
        <f t="shared" si="206"/>
        <v>-</v>
      </c>
      <c r="AD303" s="9">
        <v>2000</v>
      </c>
      <c r="AE303" s="12">
        <f t="shared" si="207"/>
        <v>38.105117766515299</v>
      </c>
      <c r="AF303" s="9" t="s">
        <v>0</v>
      </c>
      <c r="AG303" s="9" t="s">
        <v>0</v>
      </c>
      <c r="AH303" s="9" t="s">
        <v>0</v>
      </c>
      <c r="AI303" s="9" t="s">
        <v>0</v>
      </c>
      <c r="AJ303" s="43" t="s">
        <v>0</v>
      </c>
      <c r="AK303" s="29" t="s">
        <v>0</v>
      </c>
      <c r="AL303" s="32" t="s">
        <v>0</v>
      </c>
      <c r="AM303" s="29" t="s">
        <v>0</v>
      </c>
      <c r="AN303" s="32" t="s">
        <v>0</v>
      </c>
      <c r="AO303" s="29" t="s">
        <v>0</v>
      </c>
      <c r="AP303" s="32" t="s">
        <v>0</v>
      </c>
      <c r="AQ303" s="32" t="s">
        <v>0</v>
      </c>
      <c r="AR30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03" s="9" t="str">
        <f t="shared" si="208"/>
        <v>-</v>
      </c>
      <c r="AT303" s="9">
        <f>IF(RIGHT(TMK[[#This Row],[Device type]],7)="Winding","-",TMK[[#This Row],[Cont Winter MVA]])</f>
        <v>38.105117766515299</v>
      </c>
      <c r="AU303" s="9">
        <f>IF(RIGHT(TMK[[#This Row],[Device type]],7)="Winding","-",TMK[[#This Row],[Cont Shoulder MVA]])</f>
        <v>38.105117766515299</v>
      </c>
      <c r="AV303" s="9">
        <f>IF(RIGHT(TMK[[#This Row],[Device type]],7)="Winding","-",TMK[[#This Row],[Cont Summer MVA]])</f>
        <v>38.105117766515299</v>
      </c>
      <c r="AW303" s="9" t="str">
        <f>IF(RIGHT(TMK[[#This Row],[Device type]],7)="Winding","-",TMK[[#This Row],[24 Hr Winter MVA]])</f>
        <v>-</v>
      </c>
      <c r="AX303" s="9" t="str">
        <f>IF(RIGHT(TMK[[#This Row],[Device type]],7)="Winding","-",TMK[[#This Row],[24 Hr Summer MVA]])</f>
        <v>-</v>
      </c>
      <c r="AY303" s="9">
        <f>TMK[[#This Row],[Forwards MVA]]</f>
        <v>26.673582436560707</v>
      </c>
      <c r="AZ303" s="9" t="str">
        <f>TMK[[#This Row],[Relay MVA]]</f>
        <v>-</v>
      </c>
      <c r="BA303" s="9">
        <f>TMK[[#This Row],[CT MVA]]</f>
        <v>38.105117766515299</v>
      </c>
      <c r="BB303" s="9" t="str">
        <f>TMK[[#This Row],[Derating MVA]]</f>
        <v>-</v>
      </c>
      <c r="BC303" s="9" t="str">
        <f>TMK[[#This Row],[Station/Feeder]]&amp;TMK[[#This Row],[Lowest MVA]]</f>
        <v>CD_226.6735824365607</v>
      </c>
      <c r="BD303" s="9" t="str">
        <f>CONCATENATE(TMK[[#This Row],[Supply Level]],TMK[[#This Row],[Station/Feeder]],TMK[[#This Row],[Voltage]],TMK[[#This Row],[Lowest A-No PTX]])</f>
        <v>ZoneSubstationCD_2111400</v>
      </c>
      <c r="BE303" s="9" t="str">
        <f>CONCATENATE(TMK[[#This Row],[Supply Level]],TMK[[#This Row],[Station/Feeder]],TMK[[#This Row],[Voltage]],TMK[[#This Row],[Lowest A-PTX]])</f>
        <v>ZoneSubstationCD_2111400</v>
      </c>
      <c r="BF303" s="9">
        <f>IFERROR(IF(MIN(TMK[[#This Row],[Summ Cont Winter A]:[Cable Derating]])=0,"",MIN(TMK[[#This Row],[Summ Cont Winter A]:[Cable Derating]])),"")</f>
        <v>26.673582436560707</v>
      </c>
      <c r="BG303" s="9">
        <f>IFERROR(TMK[[#This Row],[Lowest MVA]]*1000/(TMK[[#This Row],[Voltage]]*SQRT(3)),"")</f>
        <v>1400</v>
      </c>
      <c r="BH303" s="9">
        <f t="shared" si="195"/>
        <v>1400</v>
      </c>
      <c r="BI303" s="9" t="str">
        <f>TMK[[#This Row],[From]]</f>
        <v>REC T662</v>
      </c>
      <c r="BJ303" s="9" t="str">
        <f>TMK[[#This Row],[To]]</f>
        <v>11 kV Bus</v>
      </c>
      <c r="BK30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Breaker-CD2-T657-Protection</v>
      </c>
      <c r="BL303" s="9">
        <f>TMK[[#This Row],[Voltage]]</f>
        <v>11</v>
      </c>
    </row>
    <row r="304" spans="1:64" s="1" customFormat="1" ht="15" customHeight="1" x14ac:dyDescent="0.25">
      <c r="A304" s="6" t="str">
        <f>CONCATENATE(TMK[[#This Row],[Supply Level]],TMK[[#This Row],[Station/Feeder]],TMK[[#This Row],[Voltage]])</f>
        <v>SubTransmissionCB1282_Clandeboye No.433.594</v>
      </c>
      <c r="B304" s="6" t="str">
        <f>CONCATENATE(TMK[[#This Row],[Supply Level]],TMK[[#This Row],[Station/Feeder]],TMK[[#This Row],[Equipment ID]],TMK[[#This Row],[Voltage]],TMK[[#This Row],[Device type]])</f>
        <v>SubTransmissionCB1282_Clandeboye No.4TMK-CB128233.594Protection</v>
      </c>
      <c r="C304" s="6" t="s">
        <v>1245</v>
      </c>
      <c r="D304" s="11" t="s">
        <v>227</v>
      </c>
      <c r="E304" s="7" t="s">
        <v>63</v>
      </c>
      <c r="F304" s="7" t="s">
        <v>634</v>
      </c>
      <c r="G304" s="56">
        <v>1</v>
      </c>
      <c r="H304" s="7" t="s">
        <v>2387</v>
      </c>
      <c r="I304" s="123" t="s">
        <v>2315</v>
      </c>
      <c r="J304" s="123" t="s">
        <v>15</v>
      </c>
      <c r="K304" s="46" t="s">
        <v>470</v>
      </c>
      <c r="L304" s="46" t="s">
        <v>1423</v>
      </c>
      <c r="M304" s="43">
        <f t="shared" si="121"/>
        <v>33.594000000000001</v>
      </c>
      <c r="N304" s="9">
        <v>630</v>
      </c>
      <c r="O304" s="9">
        <f t="shared" si="190"/>
        <v>36.657504342565389</v>
      </c>
      <c r="P304" s="9">
        <v>630</v>
      </c>
      <c r="Q304" s="9">
        <f t="shared" si="191"/>
        <v>36.657504342565389</v>
      </c>
      <c r="R304" s="9">
        <v>630</v>
      </c>
      <c r="S304" s="9">
        <f t="shared" si="192"/>
        <v>36.657504342565389</v>
      </c>
      <c r="T304" s="9">
        <v>630</v>
      </c>
      <c r="U304" s="9">
        <f t="shared" si="193"/>
        <v>36.657504342565389</v>
      </c>
      <c r="V304" s="9">
        <v>630</v>
      </c>
      <c r="W304" s="9">
        <f t="shared" si="194"/>
        <v>36.657504342565389</v>
      </c>
      <c r="X304" s="9">
        <f>VLOOKUP(TMK[[#This Row],[Equipment ID]],AEL_Protection_Data[#All],12,0)</f>
        <v>660</v>
      </c>
      <c r="Y304" s="9">
        <f t="shared" ref="Y304:Y306" si="214">IF(OR(X304="",X304="-"),"-",X304*$M304*SQRT(3)/1000)</f>
        <v>38.403099787449449</v>
      </c>
      <c r="Z304" s="9">
        <f>TMK[[#This Row],[Forward A]]</f>
        <v>660</v>
      </c>
      <c r="AA304" s="9">
        <f t="shared" ref="AA304:AA306" si="215">IF(OR(Z304="",Z304="-"),"-",Z304*$M304*SQRT(3)/1000)</f>
        <v>38.403099787449449</v>
      </c>
      <c r="AB304" s="9">
        <v>1800</v>
      </c>
      <c r="AC304" s="9">
        <f t="shared" ref="AC304:AC306" si="216">IF(OR(AB304="",AB304="-"),"-",AB304*$M304*SQRT(3)/1000)</f>
        <v>104.73572669304396</v>
      </c>
      <c r="AD304" s="9">
        <v>600</v>
      </c>
      <c r="AE304" s="12">
        <f t="shared" ref="AE304:AE306" si="217">IF(OR(AD304="",AD304="-"),"-",AD304*$M304*SQRT(3)/1000)</f>
        <v>34.911908897681322</v>
      </c>
      <c r="AF304" s="9" t="s">
        <v>0</v>
      </c>
      <c r="AG304" s="9" t="s">
        <v>0</v>
      </c>
      <c r="AH304" s="9" t="s">
        <v>0</v>
      </c>
      <c r="AI304" s="9" t="s">
        <v>0</v>
      </c>
      <c r="AJ304" s="43" t="s">
        <v>0</v>
      </c>
      <c r="AK304" s="29" t="s">
        <v>0</v>
      </c>
      <c r="AL304" s="32" t="s">
        <v>0</v>
      </c>
      <c r="AM304" s="29" t="s">
        <v>0</v>
      </c>
      <c r="AN304" s="32" t="s">
        <v>0</v>
      </c>
      <c r="AO304" s="29" t="s">
        <v>0</v>
      </c>
      <c r="AP304" s="32" t="s">
        <v>0</v>
      </c>
      <c r="AQ304" s="32" t="s">
        <v>0</v>
      </c>
      <c r="AR304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04" s="9" t="str">
        <f t="shared" ref="AS304:AS306" si="218">IF(OR(AR304="",AR304="-"),"-",AR304*$M304*SQRT(3)/1000)</f>
        <v>-</v>
      </c>
      <c r="AT304" s="9">
        <f>IF(RIGHT(TMK[[#This Row],[Device type]],7)="Winding","-",TMK[[#This Row],[Cont Winter MVA]])</f>
        <v>36.657504342565389</v>
      </c>
      <c r="AU304" s="9">
        <f>IF(RIGHT(TMK[[#This Row],[Device type]],7)="Winding","-",TMK[[#This Row],[Cont Shoulder MVA]])</f>
        <v>36.657504342565389</v>
      </c>
      <c r="AV304" s="9">
        <f>IF(RIGHT(TMK[[#This Row],[Device type]],7)="Winding","-",TMK[[#This Row],[Cont Summer MVA]])</f>
        <v>36.657504342565389</v>
      </c>
      <c r="AW304" s="9">
        <f>IF(RIGHT(TMK[[#This Row],[Device type]],7)="Winding","-",TMK[[#This Row],[24 Hr Winter MVA]])</f>
        <v>36.657504342565389</v>
      </c>
      <c r="AX304" s="9">
        <f>IF(RIGHT(TMK[[#This Row],[Device type]],7)="Winding","-",TMK[[#This Row],[24 Hr Summer MVA]])</f>
        <v>36.657504342565389</v>
      </c>
      <c r="AY304" s="9">
        <f>TMK[[#This Row],[Forwards MVA]]</f>
        <v>38.403099787449449</v>
      </c>
      <c r="AZ304" s="9">
        <f>TMK[[#This Row],[Relay MVA]]</f>
        <v>104.73572669304396</v>
      </c>
      <c r="BA304" s="9">
        <f>TMK[[#This Row],[CT MVA]]</f>
        <v>34.911908897681322</v>
      </c>
      <c r="BB304" s="9" t="str">
        <f>TMK[[#This Row],[Derating MVA]]</f>
        <v>-</v>
      </c>
      <c r="BC304" s="9" t="str">
        <f>TMK[[#This Row],[Station/Feeder]]&amp;TMK[[#This Row],[Lowest MVA]]</f>
        <v>CB1282_Clandeboye No.434.9119088976813</v>
      </c>
      <c r="BD304" s="9" t="str">
        <f>CONCATENATE(TMK[[#This Row],[Supply Level]],TMK[[#This Row],[Station/Feeder]],TMK[[#This Row],[Voltage]],TMK[[#This Row],[Lowest A-No PTX]])</f>
        <v>SubTransmissionCB1282_Clandeboye No.433.594600</v>
      </c>
      <c r="BE304" s="9" t="str">
        <f>CONCATENATE(TMK[[#This Row],[Supply Level]],TMK[[#This Row],[Station/Feeder]],TMK[[#This Row],[Voltage]],TMK[[#This Row],[Lowest A-PTX]])</f>
        <v>SubTransmissionCB1282_Clandeboye No.433.594600</v>
      </c>
      <c r="BF304" s="9">
        <f>IFERROR(IF(MIN(TMK[[#This Row],[Summ Cont Winter A]:[Cable Derating]])=0,"",MIN(TMK[[#This Row],[Summ Cont Winter A]:[Cable Derating]])),"")</f>
        <v>34.911908897681322</v>
      </c>
      <c r="BG304" s="9">
        <f>IFERROR(TMK[[#This Row],[Lowest MVA]]*1000/(TMK[[#This Row],[Voltage]]*SQRT(3)),"")</f>
        <v>600.00000000000011</v>
      </c>
      <c r="BH304" s="9">
        <f t="shared" si="195"/>
        <v>600</v>
      </c>
      <c r="BI304" s="9" t="str">
        <f>TMK[[#This Row],[From]]</f>
        <v>33 kV Bus</v>
      </c>
      <c r="BJ304" s="9" t="str">
        <f>TMK[[#This Row],[To]]</f>
        <v>CBT663</v>
      </c>
      <c r="BK30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Breaker-TMK-CB1282-Protection</v>
      </c>
      <c r="BL304" s="9">
        <f>TMK[[#This Row],[Voltage]]</f>
        <v>33.594000000000001</v>
      </c>
    </row>
    <row r="305" spans="1:64" s="1" customFormat="1" ht="15" customHeight="1" x14ac:dyDescent="0.25">
      <c r="A305" s="6" t="str">
        <f>CONCATENATE(TMK[[#This Row],[Supply Level]],TMK[[#This Row],[Station/Feeder]],TMK[[#This Row],[Voltage]])</f>
        <v>SubTransmissionCB1282_Clandeboye No.433.594</v>
      </c>
      <c r="B305" s="6" t="str">
        <f>CONCATENATE(TMK[[#This Row],[Supply Level]],TMK[[#This Row],[Station/Feeder]],TMK[[#This Row],[Equipment ID]],TMK[[#This Row],[Voltage]],TMK[[#This Row],[Device type]])</f>
        <v>SubTransmissionCB1282_Clandeboye No.43-1c 400 mm² Al XLPE33.594-</v>
      </c>
      <c r="C305" s="6" t="s">
        <v>1245</v>
      </c>
      <c r="D305" s="11" t="s">
        <v>227</v>
      </c>
      <c r="E305" s="7" t="s">
        <v>63</v>
      </c>
      <c r="F305" s="7" t="s">
        <v>634</v>
      </c>
      <c r="G305" s="56">
        <v>2</v>
      </c>
      <c r="H305" s="283" t="s">
        <v>1294</v>
      </c>
      <c r="I305" s="123" t="s">
        <v>559</v>
      </c>
      <c r="J305" s="123" t="s">
        <v>250</v>
      </c>
      <c r="K305" s="46" t="s">
        <v>0</v>
      </c>
      <c r="L305" s="46" t="s">
        <v>0</v>
      </c>
      <c r="M305" s="43">
        <f t="shared" si="121"/>
        <v>33.594000000000001</v>
      </c>
      <c r="N305" s="9">
        <v>458</v>
      </c>
      <c r="O305" s="9">
        <f t="shared" si="190"/>
        <v>26.649423791896737</v>
      </c>
      <c r="P305" s="9">
        <v>458</v>
      </c>
      <c r="Q305" s="9">
        <f t="shared" si="191"/>
        <v>26.649423791896737</v>
      </c>
      <c r="R305" s="9">
        <v>458</v>
      </c>
      <c r="S305" s="9">
        <f t="shared" si="192"/>
        <v>26.649423791896737</v>
      </c>
      <c r="T305" s="9" t="s">
        <v>0</v>
      </c>
      <c r="U305" s="9" t="str">
        <f t="shared" si="193"/>
        <v>-</v>
      </c>
      <c r="V305" s="9" t="s">
        <v>0</v>
      </c>
      <c r="W305" s="9" t="str">
        <f t="shared" si="194"/>
        <v>-</v>
      </c>
      <c r="X305" s="9" t="s">
        <v>0</v>
      </c>
      <c r="Y305" s="9" t="str">
        <f t="shared" si="214"/>
        <v>-</v>
      </c>
      <c r="Z305" s="9" t="s">
        <v>0</v>
      </c>
      <c r="AA305" s="9" t="str">
        <f t="shared" si="215"/>
        <v>-</v>
      </c>
      <c r="AB305" s="9" t="s">
        <v>0</v>
      </c>
      <c r="AC305" s="9" t="str">
        <f t="shared" si="216"/>
        <v>-</v>
      </c>
      <c r="AD305" s="9" t="s">
        <v>0</v>
      </c>
      <c r="AE305" s="12" t="str">
        <f t="shared" si="217"/>
        <v>-</v>
      </c>
      <c r="AF305" s="9">
        <v>1</v>
      </c>
      <c r="AG305" s="9" t="s">
        <v>344</v>
      </c>
      <c r="AH305" s="9">
        <v>10825</v>
      </c>
      <c r="AI305" s="9">
        <v>0.8</v>
      </c>
      <c r="AJ305" s="43">
        <v>1</v>
      </c>
      <c r="AK305" s="29">
        <v>19</v>
      </c>
      <c r="AL305" s="32">
        <v>0.97699999999999998</v>
      </c>
      <c r="AM305" s="29">
        <v>1.2</v>
      </c>
      <c r="AN305" s="32">
        <v>1</v>
      </c>
      <c r="AO305" s="29">
        <v>2</v>
      </c>
      <c r="AP305" s="32">
        <v>0.7</v>
      </c>
      <c r="AQ305" s="32">
        <v>0.91</v>
      </c>
      <c r="AR305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407.19406000000004</v>
      </c>
      <c r="AS305" s="9">
        <f t="shared" si="218"/>
        <v>23.693203210661636</v>
      </c>
      <c r="AT305" s="9">
        <f>IF(RIGHT(TMK[[#This Row],[Device type]],7)="Winding","-",TMK[[#This Row],[Cont Winter MVA]])</f>
        <v>26.649423791896737</v>
      </c>
      <c r="AU305" s="9">
        <f>IF(RIGHT(TMK[[#This Row],[Device type]],7)="Winding","-",TMK[[#This Row],[Cont Shoulder MVA]])</f>
        <v>26.649423791896737</v>
      </c>
      <c r="AV305" s="9">
        <f>IF(RIGHT(TMK[[#This Row],[Device type]],7)="Winding","-",TMK[[#This Row],[Cont Summer MVA]])</f>
        <v>26.649423791896737</v>
      </c>
      <c r="AW305" s="9" t="str">
        <f>IF(RIGHT(TMK[[#This Row],[Device type]],7)="Winding","-",TMK[[#This Row],[24 Hr Winter MVA]])</f>
        <v>-</v>
      </c>
      <c r="AX305" s="9" t="str">
        <f>IF(RIGHT(TMK[[#This Row],[Device type]],7)="Winding","-",TMK[[#This Row],[24 Hr Summer MVA]])</f>
        <v>-</v>
      </c>
      <c r="AY305" s="9" t="str">
        <f>TMK[[#This Row],[Forwards MVA]]</f>
        <v>-</v>
      </c>
      <c r="AZ305" s="9" t="str">
        <f>TMK[[#This Row],[Relay MVA]]</f>
        <v>-</v>
      </c>
      <c r="BA305" s="9" t="str">
        <f>TMK[[#This Row],[CT MVA]]</f>
        <v>-</v>
      </c>
      <c r="BB305" s="9">
        <f>TMK[[#This Row],[Derating MVA]]</f>
        <v>23.693203210661636</v>
      </c>
      <c r="BC305" s="9" t="str">
        <f>TMK[[#This Row],[Station/Feeder]]&amp;TMK[[#This Row],[Lowest MVA]]</f>
        <v>CB1282_Clandeboye No.423.6932032106616</v>
      </c>
      <c r="BD305" s="9" t="str">
        <f>CONCATENATE(TMK[[#This Row],[Supply Level]],TMK[[#This Row],[Station/Feeder]],TMK[[#This Row],[Voltage]],TMK[[#This Row],[Lowest A-No PTX]])</f>
        <v>SubTransmissionCB1282_Clandeboye No.433.594407.19406</v>
      </c>
      <c r="BE305" s="9" t="str">
        <f>CONCATENATE(TMK[[#This Row],[Supply Level]],TMK[[#This Row],[Station/Feeder]],TMK[[#This Row],[Voltage]],TMK[[#This Row],[Lowest A-PTX]])</f>
        <v>SubTransmissionCB1282_Clandeboye No.433.594407.19406</v>
      </c>
      <c r="BF305" s="9">
        <f>IFERROR(IF(MIN(TMK[[#This Row],[Summ Cont Winter A]:[Cable Derating]])=0,"",MIN(TMK[[#This Row],[Summ Cont Winter A]:[Cable Derating]])),"")</f>
        <v>23.693203210661636</v>
      </c>
      <c r="BG305" s="9">
        <f>IFERROR(TMK[[#This Row],[Lowest MVA]]*1000/(TMK[[#This Row],[Voltage]]*SQRT(3)),"")</f>
        <v>407.19406000000004</v>
      </c>
      <c r="BH305" s="9">
        <f t="shared" si="195"/>
        <v>407.19406000000004</v>
      </c>
      <c r="BI305" s="9" t="str">
        <f>TMK[[#This Row],[From]]</f>
        <v>33 kV Bus</v>
      </c>
      <c r="BJ305" s="9" t="str">
        <f>TMK[[#This Row],[To]]</f>
        <v>CBT663</v>
      </c>
      <c r="BK30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Al XLPE</v>
      </c>
      <c r="BL305" s="9">
        <f>TMK[[#This Row],[Voltage]]</f>
        <v>33.594000000000001</v>
      </c>
    </row>
    <row r="306" spans="1:64" s="1" customFormat="1" ht="15" customHeight="1" x14ac:dyDescent="0.25">
      <c r="A306" s="6" t="str">
        <f>CONCATENATE(TMK[[#This Row],[Supply Level]],TMK[[#This Row],[Station/Feeder]],TMK[[#This Row],[Voltage]])</f>
        <v>SubTransmissionCB1282_Clandeboye No.433.594</v>
      </c>
      <c r="B306" s="6" t="str">
        <f>CONCATENATE(TMK[[#This Row],[Supply Level]],TMK[[#This Row],[Station/Feeder]],TMK[[#This Row],[Equipment ID]],TMK[[#This Row],[Voltage]],TMK[[#This Row],[Device type]])</f>
        <v>SubTransmissionCB1282_Clandeboye No.4T66333.594Protection</v>
      </c>
      <c r="C306" s="6" t="s">
        <v>1245</v>
      </c>
      <c r="D306" s="11" t="s">
        <v>227</v>
      </c>
      <c r="E306" s="7" t="s">
        <v>642</v>
      </c>
      <c r="F306" s="7" t="s">
        <v>243</v>
      </c>
      <c r="G306" s="56">
        <v>1</v>
      </c>
      <c r="H306" s="7" t="s">
        <v>343</v>
      </c>
      <c r="I306" s="123" t="s">
        <v>638</v>
      </c>
      <c r="J306" s="123" t="s">
        <v>394</v>
      </c>
      <c r="K306" s="46" t="s">
        <v>1126</v>
      </c>
      <c r="L306" s="46" t="s">
        <v>1423</v>
      </c>
      <c r="M306" s="43">
        <f t="shared" si="121"/>
        <v>33.594000000000001</v>
      </c>
      <c r="N306" s="9">
        <v>560</v>
      </c>
      <c r="O306" s="9">
        <f t="shared" si="190"/>
        <v>32.584448304502558</v>
      </c>
      <c r="P306" s="9">
        <v>560</v>
      </c>
      <c r="Q306" s="9">
        <f t="shared" si="191"/>
        <v>32.584448304502558</v>
      </c>
      <c r="R306" s="9">
        <v>560</v>
      </c>
      <c r="S306" s="9">
        <f t="shared" si="192"/>
        <v>32.584448304502558</v>
      </c>
      <c r="T306" s="9" t="s">
        <v>0</v>
      </c>
      <c r="U306" s="9" t="str">
        <f t="shared" si="193"/>
        <v>-</v>
      </c>
      <c r="V306" s="9" t="s">
        <v>0</v>
      </c>
      <c r="W306" s="9" t="str">
        <f t="shared" si="194"/>
        <v>-</v>
      </c>
      <c r="X306" s="9">
        <v>540</v>
      </c>
      <c r="Y306" s="9">
        <f t="shared" si="214"/>
        <v>31.420718007913187</v>
      </c>
      <c r="Z306" s="9">
        <v>540</v>
      </c>
      <c r="AA306" s="9">
        <f t="shared" si="215"/>
        <v>31.420718007913187</v>
      </c>
      <c r="AB306" s="9" t="s">
        <v>0</v>
      </c>
      <c r="AC306" s="9" t="str">
        <f t="shared" si="216"/>
        <v>-</v>
      </c>
      <c r="AD306" s="9">
        <v>600</v>
      </c>
      <c r="AE306" s="12">
        <f t="shared" si="217"/>
        <v>34.911908897681322</v>
      </c>
      <c r="AF306" s="9" t="s">
        <v>0</v>
      </c>
      <c r="AG306" s="9" t="s">
        <v>0</v>
      </c>
      <c r="AH306" s="9" t="s">
        <v>0</v>
      </c>
      <c r="AI306" s="9" t="s">
        <v>0</v>
      </c>
      <c r="AJ306" s="43" t="s">
        <v>0</v>
      </c>
      <c r="AK306" s="29" t="s">
        <v>0</v>
      </c>
      <c r="AL306" s="32" t="s">
        <v>0</v>
      </c>
      <c r="AM306" s="29" t="s">
        <v>0</v>
      </c>
      <c r="AN306" s="32" t="s">
        <v>0</v>
      </c>
      <c r="AO306" s="29" t="s">
        <v>0</v>
      </c>
      <c r="AP306" s="32" t="s">
        <v>0</v>
      </c>
      <c r="AQ306" s="32" t="s">
        <v>0</v>
      </c>
      <c r="AR30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06" s="9" t="str">
        <f t="shared" si="218"/>
        <v>-</v>
      </c>
      <c r="AT306" s="9">
        <f>IF(RIGHT(TMK[[#This Row],[Device type]],7)="Winding","-",TMK[[#This Row],[Cont Winter MVA]])</f>
        <v>32.584448304502558</v>
      </c>
      <c r="AU306" s="9">
        <f>IF(RIGHT(TMK[[#This Row],[Device type]],7)="Winding","-",TMK[[#This Row],[Cont Shoulder MVA]])</f>
        <v>32.584448304502558</v>
      </c>
      <c r="AV306" s="9">
        <f>IF(RIGHT(TMK[[#This Row],[Device type]],7)="Winding","-",TMK[[#This Row],[Cont Summer MVA]])</f>
        <v>32.584448304502558</v>
      </c>
      <c r="AW306" s="9" t="str">
        <f>IF(RIGHT(TMK[[#This Row],[Device type]],7)="Winding","-",TMK[[#This Row],[24 Hr Winter MVA]])</f>
        <v>-</v>
      </c>
      <c r="AX306" s="9" t="str">
        <f>IF(RIGHT(TMK[[#This Row],[Device type]],7)="Winding","-",TMK[[#This Row],[24 Hr Summer MVA]])</f>
        <v>-</v>
      </c>
      <c r="AY306" s="9">
        <f>TMK[[#This Row],[Forwards MVA]]</f>
        <v>31.420718007913187</v>
      </c>
      <c r="AZ306" s="9" t="str">
        <f>TMK[[#This Row],[Relay MVA]]</f>
        <v>-</v>
      </c>
      <c r="BA306" s="9">
        <f>TMK[[#This Row],[CT MVA]]</f>
        <v>34.911908897681322</v>
      </c>
      <c r="BB306" s="9" t="str">
        <f>TMK[[#This Row],[Derating MVA]]</f>
        <v>-</v>
      </c>
      <c r="BC306" s="9" t="str">
        <f>TMK[[#This Row],[Station/Feeder]]&amp;TMK[[#This Row],[Lowest MVA]]</f>
        <v>CB1282_Clandeboye No.431.4207180079132</v>
      </c>
      <c r="BD306" s="9" t="str">
        <f>CONCATENATE(TMK[[#This Row],[Supply Level]],TMK[[#This Row],[Station/Feeder]],TMK[[#This Row],[Voltage]],TMK[[#This Row],[Lowest A-No PTX]])</f>
        <v>SubTransmissionCB1282_Clandeboye No.433.594540</v>
      </c>
      <c r="BE306" s="9" t="str">
        <f>CONCATENATE(TMK[[#This Row],[Supply Level]],TMK[[#This Row],[Station/Feeder]],TMK[[#This Row],[Voltage]],TMK[[#This Row],[Lowest A-PTX]])</f>
        <v>SubTransmissionCB1282_Clandeboye No.433.594540</v>
      </c>
      <c r="BF306" s="9">
        <f>IFERROR(IF(MIN(TMK[[#This Row],[Summ Cont Winter A]:[Cable Derating]])=0,"",MIN(TMK[[#This Row],[Summ Cont Winter A]:[Cable Derating]])),"")</f>
        <v>31.420718007913187</v>
      </c>
      <c r="BG306" s="9">
        <f>IFERROR(TMK[[#This Row],[Lowest MVA]]*1000/(TMK[[#This Row],[Voltage]]*SQRT(3)),"")</f>
        <v>540</v>
      </c>
      <c r="BH306" s="9">
        <f t="shared" si="195"/>
        <v>540</v>
      </c>
      <c r="BI306" s="9" t="str">
        <f>TMK[[#This Row],[From]]</f>
        <v>REC T663</v>
      </c>
      <c r="BJ306" s="9" t="str">
        <f>TMK[[#This Row],[To]]</f>
        <v>11 kV Bus</v>
      </c>
      <c r="BK30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Recloser-T663-Protection</v>
      </c>
      <c r="BL306" s="9">
        <f>TMK[[#This Row],[Voltage]]</f>
        <v>33.594000000000001</v>
      </c>
    </row>
    <row r="307" spans="1:64" s="1" customFormat="1" ht="15" customHeight="1" x14ac:dyDescent="0.25">
      <c r="A307" s="6" t="str">
        <f>CONCATENATE(TMK[[#This Row],[Supply Level]],TMK[[#This Row],[Station/Feeder]],TMK[[#This Row],[Voltage]],"T4")</f>
        <v>SubTransmissionCD_233.594T4</v>
      </c>
      <c r="B307" s="6" t="str">
        <f>CONCATENATE(TMK[[#This Row],[Supply Level]],TMK[[#This Row],[Station/Feeder]],TMK[[#This Row],[Equipment ID]],TMK[[#This Row],[Voltage]],TMK[[#This Row],[Device type]])</f>
        <v>SubTransmissionCD_2TMK-CB128233.594Protection</v>
      </c>
      <c r="C307" s="6" t="s">
        <v>1245</v>
      </c>
      <c r="D307" s="11" t="s">
        <v>89</v>
      </c>
      <c r="E307" s="7" t="s">
        <v>63</v>
      </c>
      <c r="F307" s="7" t="s">
        <v>634</v>
      </c>
      <c r="G307" s="56">
        <v>1</v>
      </c>
      <c r="H307" s="7" t="s">
        <v>2387</v>
      </c>
      <c r="I307" s="123" t="s">
        <v>2315</v>
      </c>
      <c r="J307" s="123" t="s">
        <v>15</v>
      </c>
      <c r="K307" s="46" t="s">
        <v>470</v>
      </c>
      <c r="L307" s="46" t="s">
        <v>1423</v>
      </c>
      <c r="M307" s="43">
        <f t="shared" si="121"/>
        <v>33.594000000000001</v>
      </c>
      <c r="N307" s="9">
        <v>630</v>
      </c>
      <c r="O307" s="9">
        <f t="shared" si="190"/>
        <v>36.657504342565389</v>
      </c>
      <c r="P307" s="9">
        <v>630</v>
      </c>
      <c r="Q307" s="9">
        <f t="shared" si="191"/>
        <v>36.657504342565389</v>
      </c>
      <c r="R307" s="9">
        <v>630</v>
      </c>
      <c r="S307" s="9">
        <f t="shared" si="192"/>
        <v>36.657504342565389</v>
      </c>
      <c r="T307" s="9">
        <v>630</v>
      </c>
      <c r="U307" s="9">
        <f t="shared" si="193"/>
        <v>36.657504342565389</v>
      </c>
      <c r="V307" s="9">
        <v>630</v>
      </c>
      <c r="W307" s="9">
        <f t="shared" si="194"/>
        <v>36.657504342565389</v>
      </c>
      <c r="X307" s="9">
        <f>VLOOKUP(TMK[[#This Row],[Equipment ID]],AEL_Protection_Data[#All],12,0)</f>
        <v>660</v>
      </c>
      <c r="Y307" s="9">
        <f t="shared" si="204"/>
        <v>38.403099787449449</v>
      </c>
      <c r="Z307" s="9">
        <f>TMK[[#This Row],[Forward A]]</f>
        <v>660</v>
      </c>
      <c r="AA307" s="9">
        <f t="shared" si="205"/>
        <v>38.403099787449449</v>
      </c>
      <c r="AB307" s="9">
        <v>1800</v>
      </c>
      <c r="AC307" s="9">
        <f t="shared" si="206"/>
        <v>104.73572669304396</v>
      </c>
      <c r="AD307" s="9">
        <v>600</v>
      </c>
      <c r="AE307" s="12">
        <f t="shared" si="207"/>
        <v>34.911908897681322</v>
      </c>
      <c r="AF307" s="9" t="s">
        <v>0</v>
      </c>
      <c r="AG307" s="9" t="s">
        <v>0</v>
      </c>
      <c r="AH307" s="9" t="s">
        <v>0</v>
      </c>
      <c r="AI307" s="9" t="s">
        <v>0</v>
      </c>
      <c r="AJ307" s="43" t="s">
        <v>0</v>
      </c>
      <c r="AK307" s="29" t="s">
        <v>0</v>
      </c>
      <c r="AL307" s="32" t="s">
        <v>0</v>
      </c>
      <c r="AM307" s="29" t="s">
        <v>0</v>
      </c>
      <c r="AN307" s="32" t="s">
        <v>0</v>
      </c>
      <c r="AO307" s="29" t="s">
        <v>0</v>
      </c>
      <c r="AP307" s="32" t="s">
        <v>0</v>
      </c>
      <c r="AQ307" s="32" t="s">
        <v>0</v>
      </c>
      <c r="AR307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07" s="9" t="str">
        <f t="shared" si="208"/>
        <v>-</v>
      </c>
      <c r="AT307" s="9">
        <f>IF(RIGHT(TMK[[#This Row],[Device type]],7)="Winding","-",TMK[[#This Row],[Cont Winter MVA]])</f>
        <v>36.657504342565389</v>
      </c>
      <c r="AU307" s="9">
        <f>IF(RIGHT(TMK[[#This Row],[Device type]],7)="Winding","-",TMK[[#This Row],[Cont Shoulder MVA]])</f>
        <v>36.657504342565389</v>
      </c>
      <c r="AV307" s="9">
        <f>IF(RIGHT(TMK[[#This Row],[Device type]],7)="Winding","-",TMK[[#This Row],[Cont Summer MVA]])</f>
        <v>36.657504342565389</v>
      </c>
      <c r="AW307" s="9">
        <f>IF(RIGHT(TMK[[#This Row],[Device type]],7)="Winding","-",TMK[[#This Row],[24 Hr Winter MVA]])</f>
        <v>36.657504342565389</v>
      </c>
      <c r="AX307" s="9">
        <f>IF(RIGHT(TMK[[#This Row],[Device type]],7)="Winding","-",TMK[[#This Row],[24 Hr Summer MVA]])</f>
        <v>36.657504342565389</v>
      </c>
      <c r="AY307" s="9">
        <f>TMK[[#This Row],[Forwards MVA]]</f>
        <v>38.403099787449449</v>
      </c>
      <c r="AZ307" s="9">
        <f>TMK[[#This Row],[Relay MVA]]</f>
        <v>104.73572669304396</v>
      </c>
      <c r="BA307" s="9">
        <f>TMK[[#This Row],[CT MVA]]</f>
        <v>34.911908897681322</v>
      </c>
      <c r="BB307" s="9" t="str">
        <f>TMK[[#This Row],[Derating MVA]]</f>
        <v>-</v>
      </c>
      <c r="BC307" s="9" t="str">
        <f>TMK[[#This Row],[Station/Feeder]]&amp;TMK[[#This Row],[Lowest MVA]]</f>
        <v>CD_234.9119088976813</v>
      </c>
      <c r="BD307" s="9" t="str">
        <f>CONCATENATE(TMK[[#This Row],[Supply Level]],TMK[[#This Row],[Station/Feeder]],TMK[[#This Row],[Voltage]],TMK[[#This Row],[Lowest A-No PTX]])</f>
        <v>SubTransmissionCD_233.594600</v>
      </c>
      <c r="BE307" s="9" t="str">
        <f>CONCATENATE(TMK[[#This Row],[Supply Level]],TMK[[#This Row],[Station/Feeder]],TMK[[#This Row],[Voltage]],TMK[[#This Row],[Lowest A-PTX]])</f>
        <v>SubTransmissionCD_233.594600</v>
      </c>
      <c r="BF307" s="9">
        <f>IFERROR(IF(MIN(TMK[[#This Row],[Summ Cont Winter A]:[Cable Derating]])=0,"",MIN(TMK[[#This Row],[Summ Cont Winter A]:[Cable Derating]])),"")</f>
        <v>34.911908897681322</v>
      </c>
      <c r="BG307" s="9">
        <f>IFERROR(TMK[[#This Row],[Lowest MVA]]*1000/(TMK[[#This Row],[Voltage]]*SQRT(3)),"")</f>
        <v>600.00000000000011</v>
      </c>
      <c r="BH307" s="9">
        <f t="shared" si="195"/>
        <v>600</v>
      </c>
      <c r="BI307" s="9" t="str">
        <f>TMK[[#This Row],[From]]</f>
        <v>33 kV Bus</v>
      </c>
      <c r="BJ307" s="9" t="str">
        <f>TMK[[#This Row],[To]]</f>
        <v>CBT663</v>
      </c>
      <c r="BK30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Breaker-TMK-CB1282-Protection</v>
      </c>
      <c r="BL307" s="9">
        <f>TMK[[#This Row],[Voltage]]</f>
        <v>33.594000000000001</v>
      </c>
    </row>
    <row r="308" spans="1:64" s="1" customFormat="1" ht="15" customHeight="1" x14ac:dyDescent="0.25">
      <c r="A308" s="6" t="str">
        <f>CONCATENATE(TMK[[#This Row],[Supply Level]],TMK[[#This Row],[Station/Feeder]],TMK[[#This Row],[Voltage]],"T4")</f>
        <v>SubTransmissionCD_233.594T4</v>
      </c>
      <c r="B308" s="6" t="str">
        <f>CONCATENATE(TMK[[#This Row],[Supply Level]],TMK[[#This Row],[Station/Feeder]],TMK[[#This Row],[Equipment ID]],TMK[[#This Row],[Voltage]],TMK[[#This Row],[Device type]])</f>
        <v>SubTransmissionCD_23-1c 400 mm² Al XLPE33.594-</v>
      </c>
      <c r="C308" s="6" t="s">
        <v>1245</v>
      </c>
      <c r="D308" s="11" t="s">
        <v>89</v>
      </c>
      <c r="E308" s="7" t="s">
        <v>63</v>
      </c>
      <c r="F308" s="7" t="s">
        <v>634</v>
      </c>
      <c r="G308" s="56">
        <v>2</v>
      </c>
      <c r="H308" s="283" t="s">
        <v>1294</v>
      </c>
      <c r="I308" s="123" t="s">
        <v>559</v>
      </c>
      <c r="J308" s="123" t="s">
        <v>250</v>
      </c>
      <c r="K308" s="46" t="s">
        <v>0</v>
      </c>
      <c r="L308" s="46" t="s">
        <v>0</v>
      </c>
      <c r="M308" s="43">
        <f t="shared" si="121"/>
        <v>33.594000000000001</v>
      </c>
      <c r="N308" s="9">
        <v>458</v>
      </c>
      <c r="O308" s="9">
        <f t="shared" si="190"/>
        <v>26.649423791896737</v>
      </c>
      <c r="P308" s="9">
        <v>458</v>
      </c>
      <c r="Q308" s="9">
        <f t="shared" si="191"/>
        <v>26.649423791896737</v>
      </c>
      <c r="R308" s="9">
        <v>458</v>
      </c>
      <c r="S308" s="9">
        <f t="shared" si="192"/>
        <v>26.649423791896737</v>
      </c>
      <c r="T308" s="9" t="s">
        <v>0</v>
      </c>
      <c r="U308" s="9" t="str">
        <f t="shared" si="193"/>
        <v>-</v>
      </c>
      <c r="V308" s="9" t="s">
        <v>0</v>
      </c>
      <c r="W308" s="9" t="str">
        <f t="shared" si="194"/>
        <v>-</v>
      </c>
      <c r="X308" s="9" t="s">
        <v>0</v>
      </c>
      <c r="Y308" s="9" t="str">
        <f t="shared" si="204"/>
        <v>-</v>
      </c>
      <c r="Z308" s="9" t="s">
        <v>0</v>
      </c>
      <c r="AA308" s="9" t="str">
        <f t="shared" si="205"/>
        <v>-</v>
      </c>
      <c r="AB308" s="9" t="s">
        <v>0</v>
      </c>
      <c r="AC308" s="9" t="str">
        <f t="shared" si="206"/>
        <v>-</v>
      </c>
      <c r="AD308" s="9" t="s">
        <v>0</v>
      </c>
      <c r="AE308" s="12" t="str">
        <f t="shared" si="207"/>
        <v>-</v>
      </c>
      <c r="AF308" s="9">
        <v>1</v>
      </c>
      <c r="AG308" s="9" t="s">
        <v>344</v>
      </c>
      <c r="AH308" s="9">
        <v>10825</v>
      </c>
      <c r="AI308" s="9">
        <v>0.8</v>
      </c>
      <c r="AJ308" s="43">
        <v>1</v>
      </c>
      <c r="AK308" s="29">
        <v>19</v>
      </c>
      <c r="AL308" s="32">
        <v>0.97699999999999998</v>
      </c>
      <c r="AM308" s="29">
        <v>1.2</v>
      </c>
      <c r="AN308" s="32">
        <v>1</v>
      </c>
      <c r="AO308" s="29">
        <v>2</v>
      </c>
      <c r="AP308" s="32">
        <v>0.7</v>
      </c>
      <c r="AQ308" s="32">
        <v>0.91</v>
      </c>
      <c r="AR308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407.19406000000004</v>
      </c>
      <c r="AS308" s="9">
        <f t="shared" si="208"/>
        <v>23.693203210661636</v>
      </c>
      <c r="AT308" s="9">
        <f>IF(RIGHT(TMK[[#This Row],[Device type]],7)="Winding","-",TMK[[#This Row],[Cont Winter MVA]])</f>
        <v>26.649423791896737</v>
      </c>
      <c r="AU308" s="9">
        <f>IF(RIGHT(TMK[[#This Row],[Device type]],7)="Winding","-",TMK[[#This Row],[Cont Shoulder MVA]])</f>
        <v>26.649423791896737</v>
      </c>
      <c r="AV308" s="9">
        <f>IF(RIGHT(TMK[[#This Row],[Device type]],7)="Winding","-",TMK[[#This Row],[Cont Summer MVA]])</f>
        <v>26.649423791896737</v>
      </c>
      <c r="AW308" s="9" t="str">
        <f>IF(RIGHT(TMK[[#This Row],[Device type]],7)="Winding","-",TMK[[#This Row],[24 Hr Winter MVA]])</f>
        <v>-</v>
      </c>
      <c r="AX308" s="9" t="str">
        <f>IF(RIGHT(TMK[[#This Row],[Device type]],7)="Winding","-",TMK[[#This Row],[24 Hr Summer MVA]])</f>
        <v>-</v>
      </c>
      <c r="AY308" s="9" t="str">
        <f>TMK[[#This Row],[Forwards MVA]]</f>
        <v>-</v>
      </c>
      <c r="AZ308" s="9" t="str">
        <f>TMK[[#This Row],[Relay MVA]]</f>
        <v>-</v>
      </c>
      <c r="BA308" s="9" t="str">
        <f>TMK[[#This Row],[CT MVA]]</f>
        <v>-</v>
      </c>
      <c r="BB308" s="9">
        <f>TMK[[#This Row],[Derating MVA]]</f>
        <v>23.693203210661636</v>
      </c>
      <c r="BC308" s="9" t="str">
        <f>TMK[[#This Row],[Station/Feeder]]&amp;TMK[[#This Row],[Lowest MVA]]</f>
        <v>CD_223.6932032106616</v>
      </c>
      <c r="BD308" s="9" t="str">
        <f>CONCATENATE(TMK[[#This Row],[Supply Level]],TMK[[#This Row],[Station/Feeder]],TMK[[#This Row],[Voltage]],TMK[[#This Row],[Lowest A-No PTX]])</f>
        <v>SubTransmissionCD_233.594407.19406</v>
      </c>
      <c r="BE308" s="9" t="str">
        <f>CONCATENATE(TMK[[#This Row],[Supply Level]],TMK[[#This Row],[Station/Feeder]],TMK[[#This Row],[Voltage]],TMK[[#This Row],[Lowest A-PTX]])</f>
        <v>SubTransmissionCD_233.594407.19406</v>
      </c>
      <c r="BF308" s="9">
        <f>IFERROR(IF(MIN(TMK[[#This Row],[Summ Cont Winter A]:[Cable Derating]])=0,"",MIN(TMK[[#This Row],[Summ Cont Winter A]:[Cable Derating]])),"")</f>
        <v>23.693203210661636</v>
      </c>
      <c r="BG308" s="9">
        <f>IFERROR(TMK[[#This Row],[Lowest MVA]]*1000/(TMK[[#This Row],[Voltage]]*SQRT(3)),"")</f>
        <v>407.19406000000004</v>
      </c>
      <c r="BH308" s="9">
        <f t="shared" si="195"/>
        <v>407.19406000000004</v>
      </c>
      <c r="BI308" s="9" t="str">
        <f>TMK[[#This Row],[From]]</f>
        <v>33 kV Bus</v>
      </c>
      <c r="BJ308" s="9" t="str">
        <f>TMK[[#This Row],[To]]</f>
        <v>CBT663</v>
      </c>
      <c r="BK30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Al XLPE</v>
      </c>
      <c r="BL308" s="9">
        <f>TMK[[#This Row],[Voltage]]</f>
        <v>33.594000000000001</v>
      </c>
    </row>
    <row r="309" spans="1:64" s="1" customFormat="1" ht="15" customHeight="1" x14ac:dyDescent="0.25">
      <c r="A309" s="6" t="str">
        <f>CONCATENATE(TMK[[#This Row],[Supply Level]],TMK[[#This Row],[Station/Feeder]],TMK[[#This Row],[Voltage]],"T4")</f>
        <v>SubTransmissionCD_233.594T4</v>
      </c>
      <c r="B309" s="6" t="str">
        <f>CONCATENATE(TMK[[#This Row],[Supply Level]],TMK[[#This Row],[Station/Feeder]],TMK[[#This Row],[Equipment ID]],TMK[[#This Row],[Voltage]],TMK[[#This Row],[Device type]])</f>
        <v>SubTransmissionCD_2T66333.594Protection</v>
      </c>
      <c r="C309" s="6" t="s">
        <v>1245</v>
      </c>
      <c r="D309" s="11" t="s">
        <v>89</v>
      </c>
      <c r="E309" s="7" t="s">
        <v>642</v>
      </c>
      <c r="F309" s="7" t="s">
        <v>243</v>
      </c>
      <c r="G309" s="56">
        <v>1</v>
      </c>
      <c r="H309" s="7" t="s">
        <v>343</v>
      </c>
      <c r="I309" s="123" t="s">
        <v>638</v>
      </c>
      <c r="J309" s="123" t="s">
        <v>394</v>
      </c>
      <c r="K309" s="46" t="s">
        <v>1126</v>
      </c>
      <c r="L309" s="46" t="s">
        <v>1423</v>
      </c>
      <c r="M309" s="43">
        <f t="shared" si="121"/>
        <v>33.594000000000001</v>
      </c>
      <c r="N309" s="9">
        <v>560</v>
      </c>
      <c r="O309" s="9">
        <f t="shared" si="190"/>
        <v>32.584448304502558</v>
      </c>
      <c r="P309" s="9">
        <v>560</v>
      </c>
      <c r="Q309" s="9">
        <f t="shared" si="191"/>
        <v>32.584448304502558</v>
      </c>
      <c r="R309" s="9">
        <v>560</v>
      </c>
      <c r="S309" s="9">
        <f t="shared" si="192"/>
        <v>32.584448304502558</v>
      </c>
      <c r="T309" s="9" t="s">
        <v>0</v>
      </c>
      <c r="U309" s="9" t="str">
        <f t="shared" si="193"/>
        <v>-</v>
      </c>
      <c r="V309" s="9" t="s">
        <v>0</v>
      </c>
      <c r="W309" s="9" t="str">
        <f t="shared" si="194"/>
        <v>-</v>
      </c>
      <c r="X309" s="9">
        <v>540</v>
      </c>
      <c r="Y309" s="9">
        <f t="shared" si="204"/>
        <v>31.420718007913187</v>
      </c>
      <c r="Z309" s="9">
        <v>540</v>
      </c>
      <c r="AA309" s="9">
        <f t="shared" si="205"/>
        <v>31.420718007913187</v>
      </c>
      <c r="AB309" s="9" t="s">
        <v>0</v>
      </c>
      <c r="AC309" s="9" t="str">
        <f t="shared" si="206"/>
        <v>-</v>
      </c>
      <c r="AD309" s="9">
        <v>600</v>
      </c>
      <c r="AE309" s="12">
        <f t="shared" si="207"/>
        <v>34.911908897681322</v>
      </c>
      <c r="AF309" s="9" t="s">
        <v>0</v>
      </c>
      <c r="AG309" s="9" t="s">
        <v>0</v>
      </c>
      <c r="AH309" s="9" t="s">
        <v>0</v>
      </c>
      <c r="AI309" s="9" t="s">
        <v>0</v>
      </c>
      <c r="AJ309" s="43" t="s">
        <v>0</v>
      </c>
      <c r="AK309" s="29" t="s">
        <v>0</v>
      </c>
      <c r="AL309" s="32" t="s">
        <v>0</v>
      </c>
      <c r="AM309" s="29" t="s">
        <v>0</v>
      </c>
      <c r="AN309" s="32" t="s">
        <v>0</v>
      </c>
      <c r="AO309" s="29" t="s">
        <v>0</v>
      </c>
      <c r="AP309" s="32" t="s">
        <v>0</v>
      </c>
      <c r="AQ309" s="32" t="s">
        <v>0</v>
      </c>
      <c r="AR30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09" s="9" t="str">
        <f t="shared" si="208"/>
        <v>-</v>
      </c>
      <c r="AT309" s="9">
        <f>IF(RIGHT(TMK[[#This Row],[Device type]],7)="Winding","-",TMK[[#This Row],[Cont Winter MVA]])</f>
        <v>32.584448304502558</v>
      </c>
      <c r="AU309" s="9">
        <f>IF(RIGHT(TMK[[#This Row],[Device type]],7)="Winding","-",TMK[[#This Row],[Cont Shoulder MVA]])</f>
        <v>32.584448304502558</v>
      </c>
      <c r="AV309" s="9">
        <f>IF(RIGHT(TMK[[#This Row],[Device type]],7)="Winding","-",TMK[[#This Row],[Cont Summer MVA]])</f>
        <v>32.584448304502558</v>
      </c>
      <c r="AW309" s="9" t="str">
        <f>IF(RIGHT(TMK[[#This Row],[Device type]],7)="Winding","-",TMK[[#This Row],[24 Hr Winter MVA]])</f>
        <v>-</v>
      </c>
      <c r="AX309" s="9" t="str">
        <f>IF(RIGHT(TMK[[#This Row],[Device type]],7)="Winding","-",TMK[[#This Row],[24 Hr Summer MVA]])</f>
        <v>-</v>
      </c>
      <c r="AY309" s="9">
        <f>TMK[[#This Row],[Forwards MVA]]</f>
        <v>31.420718007913187</v>
      </c>
      <c r="AZ309" s="9" t="str">
        <f>TMK[[#This Row],[Relay MVA]]</f>
        <v>-</v>
      </c>
      <c r="BA309" s="9">
        <f>TMK[[#This Row],[CT MVA]]</f>
        <v>34.911908897681322</v>
      </c>
      <c r="BB309" s="9" t="str">
        <f>TMK[[#This Row],[Derating MVA]]</f>
        <v>-</v>
      </c>
      <c r="BC309" s="9" t="str">
        <f>TMK[[#This Row],[Station/Feeder]]&amp;TMK[[#This Row],[Lowest MVA]]</f>
        <v>CD_231.4207180079132</v>
      </c>
      <c r="BD309" s="9" t="str">
        <f>CONCATENATE(TMK[[#This Row],[Supply Level]],TMK[[#This Row],[Station/Feeder]],TMK[[#This Row],[Voltage]],TMK[[#This Row],[Lowest A-No PTX]])</f>
        <v>SubTransmissionCD_233.594540</v>
      </c>
      <c r="BE309" s="9" t="str">
        <f>CONCATENATE(TMK[[#This Row],[Supply Level]],TMK[[#This Row],[Station/Feeder]],TMK[[#This Row],[Voltage]],TMK[[#This Row],[Lowest A-PTX]])</f>
        <v>SubTransmissionCD_233.594540</v>
      </c>
      <c r="BF309" s="9">
        <f>IFERROR(IF(MIN(TMK[[#This Row],[Summ Cont Winter A]:[Cable Derating]])=0,"",MIN(TMK[[#This Row],[Summ Cont Winter A]:[Cable Derating]])),"")</f>
        <v>31.420718007913187</v>
      </c>
      <c r="BG309" s="9">
        <f>IFERROR(TMK[[#This Row],[Lowest MVA]]*1000/(TMK[[#This Row],[Voltage]]*SQRT(3)),"")</f>
        <v>540</v>
      </c>
      <c r="BH309" s="9">
        <f t="shared" si="195"/>
        <v>540</v>
      </c>
      <c r="BI309" s="9" t="str">
        <f>TMK[[#This Row],[From]]</f>
        <v>REC T663</v>
      </c>
      <c r="BJ309" s="9" t="str">
        <f>TMK[[#This Row],[To]]</f>
        <v>11 kV Bus</v>
      </c>
      <c r="BK30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Recloser-T663-Protection</v>
      </c>
      <c r="BL309" s="9">
        <f>TMK[[#This Row],[Voltage]]</f>
        <v>33.594000000000001</v>
      </c>
    </row>
    <row r="310" spans="1:64" s="1" customFormat="1" ht="15" customHeight="1" x14ac:dyDescent="0.25">
      <c r="A310" s="6" t="str">
        <f>CONCATENATE(TMK[[#This Row],[Supply Level]],TMK[[#This Row],[Station/Feeder]],TMK[[#This Row],[Voltage]],"T4")</f>
        <v>ZoneSubstationCD_233.594T4</v>
      </c>
      <c r="B310" s="6" t="str">
        <f>CONCATENATE(TMK[[#This Row],[Supply Level]],TMK[[#This Row],[Station/Feeder]],TMK[[#This Row],[Equipment ID]],TMK[[#This Row],[Voltage]],TMK[[#This Row],[Device type]])</f>
        <v>ZoneSubstationCD_2D1462-T433.594HV Winding</v>
      </c>
      <c r="C310" s="6" t="s">
        <v>1246</v>
      </c>
      <c r="D310" s="11" t="s">
        <v>89</v>
      </c>
      <c r="E310" s="7" t="s">
        <v>642</v>
      </c>
      <c r="F310" s="7" t="s">
        <v>243</v>
      </c>
      <c r="G310" s="56">
        <v>2</v>
      </c>
      <c r="H310" s="46" t="s">
        <v>275</v>
      </c>
      <c r="I310" s="123" t="s">
        <v>639</v>
      </c>
      <c r="J310" s="123" t="s">
        <v>19</v>
      </c>
      <c r="K310" s="46" t="s">
        <v>0</v>
      </c>
      <c r="L310" s="46" t="s">
        <v>36</v>
      </c>
      <c r="M310" s="43">
        <f t="shared" ref="M310" si="219">33*1.018</f>
        <v>33.594000000000001</v>
      </c>
      <c r="N310" s="9">
        <f>25*1000/(TMK[[#This Row],[Voltage]]*SQRT(3))</f>
        <v>429.6528168643402</v>
      </c>
      <c r="O310" s="9">
        <f t="shared" si="190"/>
        <v>25</v>
      </c>
      <c r="P310" s="9" t="s">
        <v>0</v>
      </c>
      <c r="Q310" s="9" t="str">
        <f t="shared" si="191"/>
        <v>-</v>
      </c>
      <c r="R310" s="9" t="s">
        <v>0</v>
      </c>
      <c r="S310" s="9" t="str">
        <f t="shared" si="192"/>
        <v>-</v>
      </c>
      <c r="T310" s="9" t="s">
        <v>0</v>
      </c>
      <c r="U310" s="9" t="str">
        <f t="shared" si="193"/>
        <v>-</v>
      </c>
      <c r="V310" s="9" t="s">
        <v>0</v>
      </c>
      <c r="W310" s="9" t="str">
        <f t="shared" si="194"/>
        <v>-</v>
      </c>
      <c r="X310" s="9" t="s">
        <v>0</v>
      </c>
      <c r="Y310" s="9" t="str">
        <f t="shared" si="204"/>
        <v>-</v>
      </c>
      <c r="Z310" s="9" t="s">
        <v>0</v>
      </c>
      <c r="AA310" s="9" t="str">
        <f t="shared" si="205"/>
        <v>-</v>
      </c>
      <c r="AB310" s="9" t="s">
        <v>0</v>
      </c>
      <c r="AC310" s="9" t="str">
        <f t="shared" si="206"/>
        <v>-</v>
      </c>
      <c r="AD310" s="9" t="s">
        <v>0</v>
      </c>
      <c r="AE310" s="12" t="str">
        <f t="shared" si="207"/>
        <v>-</v>
      </c>
      <c r="AF310" s="9" t="s">
        <v>0</v>
      </c>
      <c r="AG310" s="9" t="s">
        <v>0</v>
      </c>
      <c r="AH310" s="9" t="s">
        <v>0</v>
      </c>
      <c r="AI310" s="9" t="s">
        <v>0</v>
      </c>
      <c r="AJ310" s="43" t="s">
        <v>0</v>
      </c>
      <c r="AK310" s="29" t="s">
        <v>0</v>
      </c>
      <c r="AL310" s="32" t="s">
        <v>0</v>
      </c>
      <c r="AM310" s="29" t="s">
        <v>0</v>
      </c>
      <c r="AN310" s="32" t="s">
        <v>0</v>
      </c>
      <c r="AO310" s="29" t="s">
        <v>0</v>
      </c>
      <c r="AP310" s="32" t="s">
        <v>0</v>
      </c>
      <c r="AQ310" s="32" t="s">
        <v>0</v>
      </c>
      <c r="AR310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10" s="9" t="str">
        <f t="shared" si="208"/>
        <v>-</v>
      </c>
      <c r="AT310" s="9" t="str">
        <f>IF(RIGHT(TMK[[#This Row],[Device type]],7)="Winding","-",TMK[[#This Row],[Cont Winter MVA]])</f>
        <v>-</v>
      </c>
      <c r="AU310" s="9" t="str">
        <f>IF(RIGHT(TMK[[#This Row],[Device type]],7)="Winding","-",TMK[[#This Row],[Cont Shoulder MVA]])</f>
        <v>-</v>
      </c>
      <c r="AV310" s="9" t="str">
        <f>IF(RIGHT(TMK[[#This Row],[Device type]],7)="Winding","-",TMK[[#This Row],[Cont Summer MVA]])</f>
        <v>-</v>
      </c>
      <c r="AW310" s="9" t="str">
        <f>IF(RIGHT(TMK[[#This Row],[Device type]],7)="Winding","-",TMK[[#This Row],[24 Hr Winter MVA]])</f>
        <v>-</v>
      </c>
      <c r="AX310" s="9" t="str">
        <f>IF(RIGHT(TMK[[#This Row],[Device type]],7)="Winding","-",TMK[[#This Row],[24 Hr Summer MVA]])</f>
        <v>-</v>
      </c>
      <c r="AY310" s="9" t="str">
        <f>TMK[[#This Row],[Forwards MVA]]</f>
        <v>-</v>
      </c>
      <c r="AZ310" s="9" t="str">
        <f>TMK[[#This Row],[Relay MVA]]</f>
        <v>-</v>
      </c>
      <c r="BA310" s="9" t="str">
        <f>TMK[[#This Row],[CT MVA]]</f>
        <v>-</v>
      </c>
      <c r="BB310" s="9" t="str">
        <f>TMK[[#This Row],[Derating MVA]]</f>
        <v>-</v>
      </c>
      <c r="BC310" s="9" t="str">
        <f>TMK[[#This Row],[Station/Feeder]]&amp;TMK[[#This Row],[Lowest MVA]]</f>
        <v>CD_2</v>
      </c>
      <c r="BD310" s="9" t="str">
        <f>CONCATENATE(TMK[[#This Row],[Supply Level]],TMK[[#This Row],[Station/Feeder]],TMK[[#This Row],[Voltage]],TMK[[#This Row],[Lowest A-No PTX]])</f>
        <v>ZoneSubstationCD_233.594</v>
      </c>
      <c r="BE310" s="9" t="str">
        <f>CONCATENATE(TMK[[#This Row],[Supply Level]],TMK[[#This Row],[Station/Feeder]],TMK[[#This Row],[Voltage]],TMK[[#This Row],[Lowest A-PTX]])</f>
        <v>ZoneSubstationCD_233.594429.65281686434</v>
      </c>
      <c r="BF310" s="9" t="str">
        <f>IFERROR(IF(MIN(TMK[[#This Row],[Summ Cont Winter A]:[Cable Derating]])=0,"",MIN(TMK[[#This Row],[Summ Cont Winter A]:[Cable Derating]])),"")</f>
        <v/>
      </c>
      <c r="BG310" s="9" t="str">
        <f>IFERROR(TMK[[#This Row],[Lowest MVA]]*1000/(TMK[[#This Row],[Voltage]]*SQRT(3)),"")</f>
        <v/>
      </c>
      <c r="BH310" s="9">
        <f t="shared" si="195"/>
        <v>429.6528168643402</v>
      </c>
      <c r="BI310" s="9" t="str">
        <f>TMK[[#This Row],[From]]</f>
        <v>REC T663</v>
      </c>
      <c r="BJ310" s="9" t="str">
        <f>TMK[[#This Row],[To]]</f>
        <v>11 kV Bus</v>
      </c>
      <c r="BK31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Transformer-D1462-T4-HV Winding</v>
      </c>
      <c r="BL310" s="9">
        <f>TMK[[#This Row],[Voltage]]</f>
        <v>33.594000000000001</v>
      </c>
    </row>
    <row r="311" spans="1:64" s="1" customFormat="1" ht="15" customHeight="1" x14ac:dyDescent="0.25">
      <c r="A311" s="6" t="str">
        <f>CONCATENATE(TMK[[#This Row],[Supply Level]],TMK[[#This Row],[Station/Feeder]],TMK[[#This Row],[Voltage]],"T4")</f>
        <v>ZoneSubstationCD_211T4</v>
      </c>
      <c r="B311" s="6" t="str">
        <f>CONCATENATE(TMK[[#This Row],[Supply Level]],TMK[[#This Row],[Station/Feeder]],TMK[[#This Row],[Equipment ID]],TMK[[#This Row],[Voltage]],TMK[[#This Row],[Device type]])</f>
        <v>ZoneSubstationCD_2D1462-T411LV Winding</v>
      </c>
      <c r="C311" s="6" t="s">
        <v>1246</v>
      </c>
      <c r="D311" s="11" t="s">
        <v>89</v>
      </c>
      <c r="E311" s="7" t="s">
        <v>642</v>
      </c>
      <c r="F311" s="7" t="s">
        <v>243</v>
      </c>
      <c r="G311" s="56">
        <v>3</v>
      </c>
      <c r="H311" s="46" t="s">
        <v>275</v>
      </c>
      <c r="I311" s="123" t="s">
        <v>639</v>
      </c>
      <c r="J311" s="123" t="s">
        <v>19</v>
      </c>
      <c r="K311" s="46" t="s">
        <v>0</v>
      </c>
      <c r="L311" s="46" t="s">
        <v>37</v>
      </c>
      <c r="M311" s="43">
        <v>11</v>
      </c>
      <c r="N311" s="9">
        <f>25*1000/(TMK[[#This Row],[Voltage]]*SQRT(3))</f>
        <v>1312.1597027036951</v>
      </c>
      <c r="O311" s="9">
        <f t="shared" si="190"/>
        <v>25</v>
      </c>
      <c r="P311" s="9" t="s">
        <v>0</v>
      </c>
      <c r="Q311" s="9" t="str">
        <f t="shared" si="191"/>
        <v>-</v>
      </c>
      <c r="R311" s="9" t="s">
        <v>0</v>
      </c>
      <c r="S311" s="9" t="str">
        <f t="shared" si="192"/>
        <v>-</v>
      </c>
      <c r="T311" s="9" t="s">
        <v>0</v>
      </c>
      <c r="U311" s="9" t="str">
        <f t="shared" si="193"/>
        <v>-</v>
      </c>
      <c r="V311" s="9" t="s">
        <v>0</v>
      </c>
      <c r="W311" s="9" t="str">
        <f t="shared" si="194"/>
        <v>-</v>
      </c>
      <c r="X311" s="9" t="s">
        <v>0</v>
      </c>
      <c r="Y311" s="9" t="str">
        <f t="shared" si="204"/>
        <v>-</v>
      </c>
      <c r="Z311" s="9" t="s">
        <v>0</v>
      </c>
      <c r="AA311" s="9" t="str">
        <f t="shared" si="205"/>
        <v>-</v>
      </c>
      <c r="AB311" s="9" t="s">
        <v>0</v>
      </c>
      <c r="AC311" s="9" t="str">
        <f t="shared" si="206"/>
        <v>-</v>
      </c>
      <c r="AD311" s="9" t="s">
        <v>0</v>
      </c>
      <c r="AE311" s="12" t="str">
        <f t="shared" si="207"/>
        <v>-</v>
      </c>
      <c r="AF311" s="9" t="s">
        <v>0</v>
      </c>
      <c r="AG311" s="9" t="s">
        <v>0</v>
      </c>
      <c r="AH311" s="9" t="s">
        <v>0</v>
      </c>
      <c r="AI311" s="9" t="s">
        <v>0</v>
      </c>
      <c r="AJ311" s="43" t="s">
        <v>0</v>
      </c>
      <c r="AK311" s="29" t="s">
        <v>0</v>
      </c>
      <c r="AL311" s="32" t="s">
        <v>0</v>
      </c>
      <c r="AM311" s="29" t="s">
        <v>0</v>
      </c>
      <c r="AN311" s="32" t="s">
        <v>0</v>
      </c>
      <c r="AO311" s="29" t="s">
        <v>0</v>
      </c>
      <c r="AP311" s="32" t="s">
        <v>0</v>
      </c>
      <c r="AQ311" s="32" t="s">
        <v>0</v>
      </c>
      <c r="AR311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11" s="9" t="str">
        <f t="shared" si="208"/>
        <v>-</v>
      </c>
      <c r="AT311" s="9" t="str">
        <f>IF(RIGHT(TMK[[#This Row],[Device type]],7)="Winding","-",TMK[[#This Row],[Cont Winter MVA]])</f>
        <v>-</v>
      </c>
      <c r="AU311" s="9" t="str">
        <f>IF(RIGHT(TMK[[#This Row],[Device type]],7)="Winding","-",TMK[[#This Row],[Cont Shoulder MVA]])</f>
        <v>-</v>
      </c>
      <c r="AV311" s="9" t="str">
        <f>IF(RIGHT(TMK[[#This Row],[Device type]],7)="Winding","-",TMK[[#This Row],[Cont Summer MVA]])</f>
        <v>-</v>
      </c>
      <c r="AW311" s="9" t="str">
        <f>IF(RIGHT(TMK[[#This Row],[Device type]],7)="Winding","-",TMK[[#This Row],[24 Hr Winter MVA]])</f>
        <v>-</v>
      </c>
      <c r="AX311" s="9" t="str">
        <f>IF(RIGHT(TMK[[#This Row],[Device type]],7)="Winding","-",TMK[[#This Row],[24 Hr Summer MVA]])</f>
        <v>-</v>
      </c>
      <c r="AY311" s="9" t="str">
        <f>TMK[[#This Row],[Forwards MVA]]</f>
        <v>-</v>
      </c>
      <c r="AZ311" s="9" t="str">
        <f>TMK[[#This Row],[Relay MVA]]</f>
        <v>-</v>
      </c>
      <c r="BA311" s="9" t="str">
        <f>TMK[[#This Row],[CT MVA]]</f>
        <v>-</v>
      </c>
      <c r="BB311" s="9" t="str">
        <f>TMK[[#This Row],[Derating MVA]]</f>
        <v>-</v>
      </c>
      <c r="BC311" s="9" t="str">
        <f>TMK[[#This Row],[Station/Feeder]]&amp;TMK[[#This Row],[Lowest MVA]]</f>
        <v>CD_2</v>
      </c>
      <c r="BD311" s="9" t="str">
        <f>CONCATENATE(TMK[[#This Row],[Supply Level]],TMK[[#This Row],[Station/Feeder]],TMK[[#This Row],[Voltage]],TMK[[#This Row],[Lowest A-No PTX]])</f>
        <v>ZoneSubstationCD_211</v>
      </c>
      <c r="BE311" s="9" t="str">
        <f>CONCATENATE(TMK[[#This Row],[Supply Level]],TMK[[#This Row],[Station/Feeder]],TMK[[#This Row],[Voltage]],TMK[[#This Row],[Lowest A-PTX]])</f>
        <v>ZoneSubstationCD_2111312.1597027037</v>
      </c>
      <c r="BF311" s="9" t="str">
        <f>IFERROR(IF(MIN(TMK[[#This Row],[Summ Cont Winter A]:[Cable Derating]])=0,"",MIN(TMK[[#This Row],[Summ Cont Winter A]:[Cable Derating]])),"")</f>
        <v/>
      </c>
      <c r="BG311" s="9" t="str">
        <f>IFERROR(TMK[[#This Row],[Lowest MVA]]*1000/(TMK[[#This Row],[Voltage]]*SQRT(3)),"")</f>
        <v/>
      </c>
      <c r="BH311" s="9">
        <f t="shared" si="195"/>
        <v>1312.1597027036951</v>
      </c>
      <c r="BI311" s="9" t="str">
        <f>TMK[[#This Row],[From]]</f>
        <v>REC T663</v>
      </c>
      <c r="BJ311" s="9" t="str">
        <f>TMK[[#This Row],[To]]</f>
        <v>11 kV Bus</v>
      </c>
      <c r="BK31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Transformer-D1462-T4-LV Winding</v>
      </c>
      <c r="BL311" s="9">
        <f>TMK[[#This Row],[Voltage]]</f>
        <v>11</v>
      </c>
    </row>
    <row r="312" spans="1:64" s="1" customFormat="1" ht="15" customHeight="1" x14ac:dyDescent="0.25">
      <c r="A312" s="6" t="str">
        <f>CONCATENATE(TMK[[#This Row],[Supply Level]],TMK[[#This Row],[Station/Feeder]],TMK[[#This Row],[Voltage]],"T4")</f>
        <v>ZoneSubstationCD_211T4</v>
      </c>
      <c r="B312" s="6" t="str">
        <f>CONCATENATE(TMK[[#This Row],[Supply Level]],TMK[[#This Row],[Station/Feeder]],TMK[[#This Row],[Equipment ID]],TMK[[#This Row],[Voltage]],TMK[[#This Row],[Device type]])</f>
        <v>ZoneSubstationCD_26-1c 630 mm² Al XLPE11-</v>
      </c>
      <c r="C312" s="6" t="s">
        <v>1246</v>
      </c>
      <c r="D312" s="11" t="s">
        <v>89</v>
      </c>
      <c r="E312" s="7" t="s">
        <v>642</v>
      </c>
      <c r="F312" s="7" t="s">
        <v>243</v>
      </c>
      <c r="G312" s="56">
        <v>4</v>
      </c>
      <c r="H312" s="7" t="s">
        <v>1296</v>
      </c>
      <c r="I312" s="123" t="s">
        <v>1295</v>
      </c>
      <c r="J312" s="123" t="s">
        <v>250</v>
      </c>
      <c r="K312" s="46" t="s">
        <v>0</v>
      </c>
      <c r="L312" s="46" t="s">
        <v>0</v>
      </c>
      <c r="M312" s="43">
        <v>11</v>
      </c>
      <c r="N312" s="9">
        <v>1620</v>
      </c>
      <c r="O312" s="9">
        <f t="shared" si="190"/>
        <v>30.865145390877391</v>
      </c>
      <c r="P312" s="9">
        <v>1620</v>
      </c>
      <c r="Q312" s="9">
        <f t="shared" si="191"/>
        <v>30.865145390877391</v>
      </c>
      <c r="R312" s="9">
        <v>1620</v>
      </c>
      <c r="S312" s="9">
        <f t="shared" si="192"/>
        <v>30.865145390877391</v>
      </c>
      <c r="T312" s="9" t="s">
        <v>0</v>
      </c>
      <c r="U312" s="9" t="str">
        <f t="shared" si="193"/>
        <v>-</v>
      </c>
      <c r="V312" s="9" t="s">
        <v>0</v>
      </c>
      <c r="W312" s="9" t="str">
        <f t="shared" si="194"/>
        <v>-</v>
      </c>
      <c r="X312" s="9" t="s">
        <v>0</v>
      </c>
      <c r="Y312" s="9" t="str">
        <f t="shared" si="204"/>
        <v>-</v>
      </c>
      <c r="Z312" s="9" t="s">
        <v>0</v>
      </c>
      <c r="AA312" s="9" t="str">
        <f t="shared" si="205"/>
        <v>-</v>
      </c>
      <c r="AB312" s="9" t="s">
        <v>0</v>
      </c>
      <c r="AC312" s="9" t="str">
        <f t="shared" si="206"/>
        <v>-</v>
      </c>
      <c r="AD312" s="9" t="s">
        <v>0</v>
      </c>
      <c r="AE312" s="12" t="str">
        <f t="shared" si="207"/>
        <v>-</v>
      </c>
      <c r="AF312" s="9">
        <v>1</v>
      </c>
      <c r="AG312" s="9" t="s">
        <v>265</v>
      </c>
      <c r="AH312" s="9">
        <v>7</v>
      </c>
      <c r="AI312" s="9">
        <v>0.8</v>
      </c>
      <c r="AJ312" s="43">
        <v>1</v>
      </c>
      <c r="AK312" s="29">
        <v>19</v>
      </c>
      <c r="AL312" s="32">
        <v>0.97699999999999998</v>
      </c>
      <c r="AM312" s="29">
        <v>1.2</v>
      </c>
      <c r="AN312" s="32">
        <v>1</v>
      </c>
      <c r="AO312" s="29">
        <v>1</v>
      </c>
      <c r="AP312" s="32">
        <v>0</v>
      </c>
      <c r="AQ312" s="32">
        <v>1</v>
      </c>
      <c r="AR312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1582.74</v>
      </c>
      <c r="AS312" s="9">
        <f t="shared" si="208"/>
        <v>30.155247046887208</v>
      </c>
      <c r="AT312" s="9">
        <f>IF(RIGHT(TMK[[#This Row],[Device type]],7)="Winding","-",TMK[[#This Row],[Cont Winter MVA]])</f>
        <v>30.865145390877391</v>
      </c>
      <c r="AU312" s="9">
        <f>IF(RIGHT(TMK[[#This Row],[Device type]],7)="Winding","-",TMK[[#This Row],[Cont Shoulder MVA]])</f>
        <v>30.865145390877391</v>
      </c>
      <c r="AV312" s="9">
        <f>IF(RIGHT(TMK[[#This Row],[Device type]],7)="Winding","-",TMK[[#This Row],[Cont Summer MVA]])</f>
        <v>30.865145390877391</v>
      </c>
      <c r="AW312" s="9" t="str">
        <f>IF(RIGHT(TMK[[#This Row],[Device type]],7)="Winding","-",TMK[[#This Row],[24 Hr Winter MVA]])</f>
        <v>-</v>
      </c>
      <c r="AX312" s="9" t="str">
        <f>IF(RIGHT(TMK[[#This Row],[Device type]],7)="Winding","-",TMK[[#This Row],[24 Hr Summer MVA]])</f>
        <v>-</v>
      </c>
      <c r="AY312" s="9" t="str">
        <f>TMK[[#This Row],[Forwards MVA]]</f>
        <v>-</v>
      </c>
      <c r="AZ312" s="9" t="str">
        <f>TMK[[#This Row],[Relay MVA]]</f>
        <v>-</v>
      </c>
      <c r="BA312" s="9" t="str">
        <f>TMK[[#This Row],[CT MVA]]</f>
        <v>-</v>
      </c>
      <c r="BB312" s="9">
        <f>TMK[[#This Row],[Derating MVA]]</f>
        <v>30.155247046887208</v>
      </c>
      <c r="BC312" s="9" t="str">
        <f>TMK[[#This Row],[Station/Feeder]]&amp;TMK[[#This Row],[Lowest MVA]]</f>
        <v>CD_230.1552470468872</v>
      </c>
      <c r="BD312" s="9" t="str">
        <f>CONCATENATE(TMK[[#This Row],[Supply Level]],TMK[[#This Row],[Station/Feeder]],TMK[[#This Row],[Voltage]],TMK[[#This Row],[Lowest A-No PTX]])</f>
        <v>ZoneSubstationCD_2111582.74</v>
      </c>
      <c r="BE312" s="9" t="str">
        <f>CONCATENATE(TMK[[#This Row],[Supply Level]],TMK[[#This Row],[Station/Feeder]],TMK[[#This Row],[Voltage]],TMK[[#This Row],[Lowest A-PTX]])</f>
        <v>ZoneSubstationCD_2111582.74</v>
      </c>
      <c r="BF312" s="9">
        <f>IFERROR(IF(MIN(TMK[[#This Row],[Summ Cont Winter A]:[Cable Derating]])=0,"",MIN(TMK[[#This Row],[Summ Cont Winter A]:[Cable Derating]])),"")</f>
        <v>30.155247046887208</v>
      </c>
      <c r="BG312" s="9">
        <f>IFERROR(TMK[[#This Row],[Lowest MVA]]*1000/(TMK[[#This Row],[Voltage]]*SQRT(3)),"")</f>
        <v>1582.7399999999998</v>
      </c>
      <c r="BH312" s="9">
        <f t="shared" si="195"/>
        <v>1582.74</v>
      </c>
      <c r="BI312" s="9" t="str">
        <f>TMK[[#This Row],[From]]</f>
        <v>REC T663</v>
      </c>
      <c r="BJ312" s="9" t="str">
        <f>TMK[[#This Row],[To]]</f>
        <v>11 kV Bus</v>
      </c>
      <c r="BK31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Cable-6-1c 630 mm² Al XLPE</v>
      </c>
      <c r="BL312" s="9">
        <f>TMK[[#This Row],[Voltage]]</f>
        <v>11</v>
      </c>
    </row>
    <row r="313" spans="1:64" s="1" customFormat="1" ht="15" customHeight="1" x14ac:dyDescent="0.25">
      <c r="A313" s="6" t="str">
        <f>CONCATENATE(TMK[[#This Row],[Supply Level]],TMK[[#This Row],[Station/Feeder]],TMK[[#This Row],[Voltage]],"T4")</f>
        <v>ZoneSubstationCD_211T4</v>
      </c>
      <c r="B313" s="6" t="str">
        <f>CONCATENATE(TMK[[#This Row],[Supply Level]],TMK[[#This Row],[Station/Feeder]],TMK[[#This Row],[Equipment ID]],TMK[[#This Row],[Voltage]],TMK[[#This Row],[Device type]])</f>
        <v>ZoneSubstationCD_2CD2-T65511Protection</v>
      </c>
      <c r="C313" s="6" t="s">
        <v>1246</v>
      </c>
      <c r="D313" s="11" t="s">
        <v>89</v>
      </c>
      <c r="E313" s="7" t="s">
        <v>642</v>
      </c>
      <c r="F313" s="7" t="s">
        <v>243</v>
      </c>
      <c r="G313" s="56">
        <v>5</v>
      </c>
      <c r="H313" s="7" t="s">
        <v>343</v>
      </c>
      <c r="I313" s="123" t="s">
        <v>2452</v>
      </c>
      <c r="J313" s="123" t="s">
        <v>15</v>
      </c>
      <c r="K313" s="46" t="s">
        <v>664</v>
      </c>
      <c r="L313" s="46" t="s">
        <v>1423</v>
      </c>
      <c r="M313" s="43">
        <v>11</v>
      </c>
      <c r="N313" s="9">
        <v>2000</v>
      </c>
      <c r="O313" s="9">
        <f t="shared" si="190"/>
        <v>38.105117766515299</v>
      </c>
      <c r="P313" s="9">
        <v>2000</v>
      </c>
      <c r="Q313" s="9">
        <f t="shared" si="191"/>
        <v>38.105117766515299</v>
      </c>
      <c r="R313" s="9">
        <v>2000</v>
      </c>
      <c r="S313" s="9">
        <f t="shared" si="192"/>
        <v>38.105117766515299</v>
      </c>
      <c r="T313" s="9" t="s">
        <v>0</v>
      </c>
      <c r="U313" s="9" t="str">
        <f t="shared" si="193"/>
        <v>-</v>
      </c>
      <c r="V313" s="9" t="s">
        <v>0</v>
      </c>
      <c r="W313" s="9" t="str">
        <f t="shared" si="194"/>
        <v>-</v>
      </c>
      <c r="X313" s="9">
        <f>VLOOKUP(TMK[[#This Row],[Equipment ID]],AEL_Protection_Data[#All],12,0)</f>
        <v>1600</v>
      </c>
      <c r="Y313" s="9">
        <f t="shared" si="204"/>
        <v>30.484094213212241</v>
      </c>
      <c r="Z313" s="9">
        <v>1400</v>
      </c>
      <c r="AA313" s="9">
        <f t="shared" si="205"/>
        <v>26.673582436560707</v>
      </c>
      <c r="AB313" s="9" t="s">
        <v>0</v>
      </c>
      <c r="AC313" s="9" t="str">
        <f t="shared" si="206"/>
        <v>-</v>
      </c>
      <c r="AD313" s="9">
        <v>2000</v>
      </c>
      <c r="AE313" s="12">
        <f t="shared" si="207"/>
        <v>38.105117766515299</v>
      </c>
      <c r="AF313" s="9" t="s">
        <v>0</v>
      </c>
      <c r="AG313" s="9" t="s">
        <v>0</v>
      </c>
      <c r="AH313" s="9" t="s">
        <v>0</v>
      </c>
      <c r="AI313" s="9" t="s">
        <v>0</v>
      </c>
      <c r="AJ313" s="43" t="s">
        <v>0</v>
      </c>
      <c r="AK313" s="29" t="s">
        <v>0</v>
      </c>
      <c r="AL313" s="32" t="s">
        <v>0</v>
      </c>
      <c r="AM313" s="29" t="s">
        <v>0</v>
      </c>
      <c r="AN313" s="32" t="s">
        <v>0</v>
      </c>
      <c r="AO313" s="29" t="s">
        <v>0</v>
      </c>
      <c r="AP313" s="32" t="s">
        <v>0</v>
      </c>
      <c r="AQ313" s="32" t="s">
        <v>0</v>
      </c>
      <c r="AR31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13" s="9" t="str">
        <f t="shared" si="208"/>
        <v>-</v>
      </c>
      <c r="AT313" s="9">
        <f>IF(RIGHT(TMK[[#This Row],[Device type]],7)="Winding","-",TMK[[#This Row],[Cont Winter MVA]])</f>
        <v>38.105117766515299</v>
      </c>
      <c r="AU313" s="9">
        <f>IF(RIGHT(TMK[[#This Row],[Device type]],7)="Winding","-",TMK[[#This Row],[Cont Shoulder MVA]])</f>
        <v>38.105117766515299</v>
      </c>
      <c r="AV313" s="9">
        <f>IF(RIGHT(TMK[[#This Row],[Device type]],7)="Winding","-",TMK[[#This Row],[Cont Summer MVA]])</f>
        <v>38.105117766515299</v>
      </c>
      <c r="AW313" s="9" t="str">
        <f>IF(RIGHT(TMK[[#This Row],[Device type]],7)="Winding","-",TMK[[#This Row],[24 Hr Winter MVA]])</f>
        <v>-</v>
      </c>
      <c r="AX313" s="9" t="str">
        <f>IF(RIGHT(TMK[[#This Row],[Device type]],7)="Winding","-",TMK[[#This Row],[24 Hr Summer MVA]])</f>
        <v>-</v>
      </c>
      <c r="AY313" s="9">
        <f>TMK[[#This Row],[Forwards MVA]]</f>
        <v>30.484094213212241</v>
      </c>
      <c r="AZ313" s="9" t="str">
        <f>TMK[[#This Row],[Relay MVA]]</f>
        <v>-</v>
      </c>
      <c r="BA313" s="9">
        <f>TMK[[#This Row],[CT MVA]]</f>
        <v>38.105117766515299</v>
      </c>
      <c r="BB313" s="9" t="str">
        <f>TMK[[#This Row],[Derating MVA]]</f>
        <v>-</v>
      </c>
      <c r="BC313" s="9" t="str">
        <f>TMK[[#This Row],[Station/Feeder]]&amp;TMK[[#This Row],[Lowest MVA]]</f>
        <v>CD_230.4840942132122</v>
      </c>
      <c r="BD313" s="9" t="str">
        <f>CONCATENATE(TMK[[#This Row],[Supply Level]],TMK[[#This Row],[Station/Feeder]],TMK[[#This Row],[Voltage]],TMK[[#This Row],[Lowest A-No PTX]])</f>
        <v>ZoneSubstationCD_2111600</v>
      </c>
      <c r="BE313" s="9" t="str">
        <f>CONCATENATE(TMK[[#This Row],[Supply Level]],TMK[[#This Row],[Station/Feeder]],TMK[[#This Row],[Voltage]],TMK[[#This Row],[Lowest A-PTX]])</f>
        <v>ZoneSubstationCD_2111400</v>
      </c>
      <c r="BF313" s="9">
        <f>IFERROR(IF(MIN(TMK[[#This Row],[Summ Cont Winter A]:[Cable Derating]])=0,"",MIN(TMK[[#This Row],[Summ Cont Winter A]:[Cable Derating]])),"")</f>
        <v>30.484094213212241</v>
      </c>
      <c r="BG313" s="9">
        <f>IFERROR(TMK[[#This Row],[Lowest MVA]]*1000/(TMK[[#This Row],[Voltage]]*SQRT(3)),"")</f>
        <v>1600</v>
      </c>
      <c r="BH313" s="9">
        <f t="shared" si="195"/>
        <v>1400</v>
      </c>
      <c r="BI313" s="9" t="str">
        <f>TMK[[#This Row],[From]]</f>
        <v>REC T663</v>
      </c>
      <c r="BJ313" s="9" t="str">
        <f>TMK[[#This Row],[To]]</f>
        <v>11 kV Bus</v>
      </c>
      <c r="BK31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Breaker-CD2-T655-Protection</v>
      </c>
      <c r="BL313" s="9">
        <f>TMK[[#This Row],[Voltage]]</f>
        <v>11</v>
      </c>
    </row>
    <row r="314" spans="1:64" s="1" customFormat="1" ht="15" customHeight="1" x14ac:dyDescent="0.25">
      <c r="A314" s="6" t="str">
        <f>CONCATENATE(TMK[[#This Row],[Supply Level]],TMK[[#This Row],[Station/Feeder]],TMK[[#This Row],[Voltage]])</f>
        <v>DistributionFeederT650_Tie to Milk Powder 111</v>
      </c>
      <c r="B314" s="6" t="str">
        <f>CONCATENATE(TMK[[#This Row],[Supply Level]],TMK[[#This Row],[Station/Feeder]],TMK[[#This Row],[Equipment ID]],TMK[[#This Row],[Voltage]],TMK[[#This Row],[Device type]])</f>
        <v>DistributionFeederT650_Tie to Milk Powder 1CD2-T65011Protection</v>
      </c>
      <c r="C314" s="6" t="s">
        <v>1276</v>
      </c>
      <c r="D314" s="11" t="s">
        <v>101</v>
      </c>
      <c r="E314" s="7" t="s">
        <v>243</v>
      </c>
      <c r="F314" s="7" t="s">
        <v>680</v>
      </c>
      <c r="G314" s="56">
        <v>1</v>
      </c>
      <c r="H314" s="7" t="s">
        <v>343</v>
      </c>
      <c r="I314" s="123" t="s">
        <v>2453</v>
      </c>
      <c r="J314" s="123" t="s">
        <v>15</v>
      </c>
      <c r="K314" s="46" t="s">
        <v>663</v>
      </c>
      <c r="L314" s="46" t="s">
        <v>1423</v>
      </c>
      <c r="M314" s="43">
        <v>11</v>
      </c>
      <c r="N314" s="9">
        <v>630</v>
      </c>
      <c r="O314" s="9">
        <f t="shared" si="190"/>
        <v>12.00311209645232</v>
      </c>
      <c r="P314" s="9">
        <v>630</v>
      </c>
      <c r="Q314" s="9">
        <f t="shared" si="191"/>
        <v>12.00311209645232</v>
      </c>
      <c r="R314" s="9">
        <v>630</v>
      </c>
      <c r="S314" s="9">
        <f t="shared" si="192"/>
        <v>12.00311209645232</v>
      </c>
      <c r="T314" s="9" t="s">
        <v>0</v>
      </c>
      <c r="U314" s="9" t="str">
        <f t="shared" si="193"/>
        <v>-</v>
      </c>
      <c r="V314" s="9" t="s">
        <v>0</v>
      </c>
      <c r="W314" s="9" t="str">
        <f t="shared" si="194"/>
        <v>-</v>
      </c>
      <c r="X314" s="9">
        <f>VLOOKUP(TMK[[#This Row],[Equipment ID]],AEL_Protection_Data[#All],12,0)</f>
        <v>480</v>
      </c>
      <c r="Y314" s="9">
        <f t="shared" si="204"/>
        <v>9.1452282639636717</v>
      </c>
      <c r="Z314" s="9">
        <f>TMK[[#This Row],[Forward A]]</f>
        <v>480</v>
      </c>
      <c r="AA314" s="9">
        <f t="shared" si="205"/>
        <v>9.1452282639636717</v>
      </c>
      <c r="AB314" s="9" t="s">
        <v>0</v>
      </c>
      <c r="AC314" s="9" t="str">
        <f t="shared" ref="AC314" si="220">IF(OR(AB314="",AB314="-"),"-",AB314*$M314*SQRT(3)/1000)</f>
        <v>-</v>
      </c>
      <c r="AD314" s="9" t="s">
        <v>0</v>
      </c>
      <c r="AE314" s="12" t="str">
        <f t="shared" si="207"/>
        <v>-</v>
      </c>
      <c r="AF314" s="9" t="s">
        <v>0</v>
      </c>
      <c r="AG314" s="9" t="s">
        <v>0</v>
      </c>
      <c r="AH314" s="9" t="s">
        <v>0</v>
      </c>
      <c r="AI314" s="9" t="s">
        <v>0</v>
      </c>
      <c r="AJ314" s="43" t="s">
        <v>0</v>
      </c>
      <c r="AK314" s="29" t="s">
        <v>0</v>
      </c>
      <c r="AL314" s="32" t="s">
        <v>0</v>
      </c>
      <c r="AM314" s="29" t="s">
        <v>0</v>
      </c>
      <c r="AN314" s="32" t="s">
        <v>0</v>
      </c>
      <c r="AO314" s="29" t="s">
        <v>0</v>
      </c>
      <c r="AP314" s="32" t="s">
        <v>0</v>
      </c>
      <c r="AQ314" s="32" t="s">
        <v>0</v>
      </c>
      <c r="AR314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14" s="9" t="str">
        <f t="shared" si="208"/>
        <v>-</v>
      </c>
      <c r="AT314" s="9">
        <f>IF(RIGHT(TMK[[#This Row],[Device type]],7)="Winding","-",TMK[[#This Row],[Cont Winter MVA]])</f>
        <v>12.00311209645232</v>
      </c>
      <c r="AU314" s="9">
        <f>IF(RIGHT(TMK[[#This Row],[Device type]],7)="Winding","-",TMK[[#This Row],[Cont Shoulder MVA]])</f>
        <v>12.00311209645232</v>
      </c>
      <c r="AV314" s="9">
        <f>IF(RIGHT(TMK[[#This Row],[Device type]],7)="Winding","-",TMK[[#This Row],[Cont Summer MVA]])</f>
        <v>12.00311209645232</v>
      </c>
      <c r="AW314" s="9" t="str">
        <f>IF(RIGHT(TMK[[#This Row],[Device type]],7)="Winding","-",TMK[[#This Row],[24 Hr Winter MVA]])</f>
        <v>-</v>
      </c>
      <c r="AX314" s="9" t="str">
        <f>IF(RIGHT(TMK[[#This Row],[Device type]],7)="Winding","-",TMK[[#This Row],[24 Hr Summer MVA]])</f>
        <v>-</v>
      </c>
      <c r="AY314" s="9">
        <f>TMK[[#This Row],[Forwards MVA]]</f>
        <v>9.1452282639636717</v>
      </c>
      <c r="AZ314" s="9" t="str">
        <f>TMK[[#This Row],[Relay MVA]]</f>
        <v>-</v>
      </c>
      <c r="BA314" s="9" t="str">
        <f>TMK[[#This Row],[CT MVA]]</f>
        <v>-</v>
      </c>
      <c r="BB314" s="9" t="s">
        <v>0</v>
      </c>
      <c r="BC314" s="9" t="s">
        <v>0</v>
      </c>
      <c r="BD314" s="9" t="str">
        <f>CONCATENATE(TMK[[#This Row],[Supply Level]],TMK[[#This Row],[Station/Feeder]],TMK[[#This Row],[Voltage]],TMK[[#This Row],[Lowest A-No PTX]])</f>
        <v>DistributionFeederT650_Tie to Milk Powder 111480</v>
      </c>
      <c r="BE314" s="9" t="str">
        <f>CONCATENATE(TMK[[#This Row],[Supply Level]],TMK[[#This Row],[Station/Feeder]],TMK[[#This Row],[Voltage]],TMK[[#This Row],[Lowest A-PTX]])</f>
        <v>DistributionFeederT650_Tie to Milk Powder 111480</v>
      </c>
      <c r="BF314" s="9">
        <f>IFERROR(IF(MIN(TMK[[#This Row],[Summ Cont Winter A]:[Cable Derating]])=0,"",MIN(TMK[[#This Row],[Summ Cont Winter A]:[Cable Derating]])),"")</f>
        <v>9.1452282639636717</v>
      </c>
      <c r="BG314" s="9">
        <f>IFERROR(TMK[[#This Row],[Lowest MVA]]*1000/(TMK[[#This Row],[Voltage]]*SQRT(3)),"")</f>
        <v>480.00000000000006</v>
      </c>
      <c r="BH314" s="9">
        <f t="shared" si="195"/>
        <v>480</v>
      </c>
      <c r="BI314" s="9" t="s">
        <v>0</v>
      </c>
      <c r="BJ314" s="9" t="s">
        <v>0</v>
      </c>
      <c r="BK314" s="46" t="s">
        <v>0</v>
      </c>
      <c r="BL314" s="9" t="s">
        <v>0</v>
      </c>
    </row>
    <row r="315" spans="1:64" s="1" customFormat="1" ht="15" customHeight="1" x14ac:dyDescent="0.25">
      <c r="A315" s="6" t="str">
        <f>CONCATENATE(TMK[[#This Row],[Supply Level]],TMK[[#This Row],[Station/Feeder]],TMK[[#This Row],[Voltage]])</f>
        <v>DistributionFeederT650_Tie to Milk Powder 111</v>
      </c>
      <c r="B315" s="6" t="str">
        <f>CONCATENATE(TMK[[#This Row],[Supply Level]],TMK[[#This Row],[Station/Feeder]],TMK[[#This Row],[Equipment ID]],TMK[[#This Row],[Voltage]],TMK[[#This Row],[Device type]])</f>
        <v>DistributionFeederT650_Tie to Milk Powder 11-3c 300 mm² Al XLPE11-</v>
      </c>
      <c r="C315" s="6" t="s">
        <v>1276</v>
      </c>
      <c r="D315" s="11" t="s">
        <v>101</v>
      </c>
      <c r="E315" s="7" t="s">
        <v>243</v>
      </c>
      <c r="F315" s="7" t="s">
        <v>680</v>
      </c>
      <c r="G315" s="56">
        <v>2</v>
      </c>
      <c r="H315" s="7" t="s">
        <v>585</v>
      </c>
      <c r="I315" s="123" t="s">
        <v>569</v>
      </c>
      <c r="J315" s="123" t="s">
        <v>250</v>
      </c>
      <c r="K315" s="46" t="s">
        <v>0</v>
      </c>
      <c r="L315" s="46" t="s">
        <v>0</v>
      </c>
      <c r="M315" s="43">
        <v>11</v>
      </c>
      <c r="N315" s="9">
        <v>476</v>
      </c>
      <c r="O315" s="9">
        <f t="shared" si="190"/>
        <v>9.0690180284306408</v>
      </c>
      <c r="P315" s="9">
        <v>476</v>
      </c>
      <c r="Q315" s="9">
        <f t="shared" si="191"/>
        <v>9.0690180284306408</v>
      </c>
      <c r="R315" s="9">
        <v>476</v>
      </c>
      <c r="S315" s="9">
        <f t="shared" si="192"/>
        <v>9.0690180284306408</v>
      </c>
      <c r="T315" s="9" t="s">
        <v>0</v>
      </c>
      <c r="U315" s="9" t="str">
        <f t="shared" si="193"/>
        <v>-</v>
      </c>
      <c r="V315" s="9" t="s">
        <v>0</v>
      </c>
      <c r="W315" s="9" t="str">
        <f t="shared" si="194"/>
        <v>-</v>
      </c>
      <c r="X315" s="9" t="s">
        <v>0</v>
      </c>
      <c r="Y315" s="9" t="str">
        <f t="shared" si="182"/>
        <v>-</v>
      </c>
      <c r="Z315" s="9" t="s">
        <v>0</v>
      </c>
      <c r="AA315" s="9" t="str">
        <f t="shared" si="183"/>
        <v>-</v>
      </c>
      <c r="AB315" s="9" t="s">
        <v>0</v>
      </c>
      <c r="AC315" s="9" t="str">
        <f t="shared" si="196"/>
        <v>-</v>
      </c>
      <c r="AD315" s="9" t="s">
        <v>0</v>
      </c>
      <c r="AE315" s="12" t="str">
        <f t="shared" si="197"/>
        <v>-</v>
      </c>
      <c r="AF315" s="9">
        <v>3</v>
      </c>
      <c r="AG315" s="9" t="s">
        <v>265</v>
      </c>
      <c r="AH315" s="9">
        <v>166.8</v>
      </c>
      <c r="AI315" s="9">
        <v>1</v>
      </c>
      <c r="AJ315" s="43">
        <v>0.98</v>
      </c>
      <c r="AK315" s="29">
        <v>19</v>
      </c>
      <c r="AL315" s="32">
        <v>0.97</v>
      </c>
      <c r="AM315" s="29">
        <v>1.2</v>
      </c>
      <c r="AN315" s="32">
        <v>1</v>
      </c>
      <c r="AO315" s="29">
        <v>6</v>
      </c>
      <c r="AP315" s="32">
        <v>0.15</v>
      </c>
      <c r="AQ315" s="32">
        <v>0.63</v>
      </c>
      <c r="AR315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285.06592799999999</v>
      </c>
      <c r="AS315" s="9">
        <f t="shared" si="198"/>
        <v>5.4312353788304852</v>
      </c>
      <c r="AT315" s="9">
        <f>IF(RIGHT(TMK[[#This Row],[Device type]],7)="Winding","-",TMK[[#This Row],[Cont Winter MVA]])</f>
        <v>9.0690180284306408</v>
      </c>
      <c r="AU315" s="9">
        <f>IF(RIGHT(TMK[[#This Row],[Device type]],7)="Winding","-",TMK[[#This Row],[Cont Shoulder MVA]])</f>
        <v>9.0690180284306408</v>
      </c>
      <c r="AV315" s="9">
        <f>IF(RIGHT(TMK[[#This Row],[Device type]],7)="Winding","-",TMK[[#This Row],[Cont Summer MVA]])</f>
        <v>9.0690180284306408</v>
      </c>
      <c r="AW315" s="9" t="str">
        <f>IF(RIGHT(TMK[[#This Row],[Device type]],7)="Winding","-",TMK[[#This Row],[24 Hr Winter MVA]])</f>
        <v>-</v>
      </c>
      <c r="AX315" s="9" t="str">
        <f>IF(RIGHT(TMK[[#This Row],[Device type]],7)="Winding","-",TMK[[#This Row],[24 Hr Summer MVA]])</f>
        <v>-</v>
      </c>
      <c r="AY315" s="9" t="str">
        <f>TMK[[#This Row],[Forwards MVA]]</f>
        <v>-</v>
      </c>
      <c r="AZ315" s="9" t="str">
        <f>TMK[[#This Row],[Relay MVA]]</f>
        <v>-</v>
      </c>
      <c r="BA315" s="9" t="str">
        <f>TMK[[#This Row],[CT MVA]]</f>
        <v>-</v>
      </c>
      <c r="BB315" s="9">
        <f>TMK[[#This Row],[Derating MVA]]</f>
        <v>5.4312353788304852</v>
      </c>
      <c r="BC315" s="9" t="str">
        <f>TMK[[#This Row],[Station/Feeder]]&amp;TMK[[#This Row],[Lowest MVA]]</f>
        <v>T650_Tie to Milk Powder 15.43123537883049</v>
      </c>
      <c r="BD315" s="9" t="str">
        <f>CONCATENATE(TMK[[#This Row],[Supply Level]],TMK[[#This Row],[Station/Feeder]],TMK[[#This Row],[Voltage]],TMK[[#This Row],[Lowest A-No PTX]])</f>
        <v>DistributionFeederT650_Tie to Milk Powder 111285.065928</v>
      </c>
      <c r="BE315" s="9" t="str">
        <f>CONCATENATE(TMK[[#This Row],[Supply Level]],TMK[[#This Row],[Station/Feeder]],TMK[[#This Row],[Voltage]],TMK[[#This Row],[Lowest A-PTX]])</f>
        <v>DistributionFeederT650_Tie to Milk Powder 111285.065928</v>
      </c>
      <c r="BF315" s="9">
        <f>IFERROR(IF(MIN(TMK[[#This Row],[Summ Cont Winter A]:[Cable Derating]])=0,"",MIN(TMK[[#This Row],[Summ Cont Winter A]:[Cable Derating]])),"")</f>
        <v>5.4312353788304852</v>
      </c>
      <c r="BG315" s="9">
        <f>IFERROR(TMK[[#This Row],[Lowest MVA]]*1000/(TMK[[#This Row],[Voltage]]*SQRT(3)),"")</f>
        <v>285.06592799999999</v>
      </c>
      <c r="BH315" s="9">
        <f t="shared" si="195"/>
        <v>285.06592799999999</v>
      </c>
      <c r="BI315" s="9" t="str">
        <f>TMK[[#This Row],[From]]</f>
        <v>11 kV Bus</v>
      </c>
      <c r="BJ315" s="9" t="str">
        <f>TMK[[#This Row],[To]]</f>
        <v>T278</v>
      </c>
      <c r="BK31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XLPE</v>
      </c>
      <c r="BL315" s="9">
        <f>TMK[[#This Row],[Voltage]]</f>
        <v>11</v>
      </c>
    </row>
    <row r="316" spans="1:64" s="1" customFormat="1" ht="15" customHeight="1" x14ac:dyDescent="0.25">
      <c r="A316" s="6" t="str">
        <f>CONCATENATE(TMK[[#This Row],[Supply Level]],TMK[[#This Row],[Station/Feeder]],TMK[[#This Row],[Voltage]])</f>
        <v>DistributionFeederT650_Tie to Milk Powder 111</v>
      </c>
      <c r="B316" s="6" t="str">
        <f>CONCATENATE(TMK[[#This Row],[Supply Level]],TMK[[#This Row],[Station/Feeder]],TMK[[#This Row],[Equipment ID]],TMK[[#This Row],[Voltage]],TMK[[#This Row],[Device type]])</f>
        <v>DistributionFeederT650_Tie to Milk Powder 1T27811-</v>
      </c>
      <c r="C316" s="6" t="s">
        <v>1276</v>
      </c>
      <c r="D316" s="11" t="s">
        <v>101</v>
      </c>
      <c r="E316" s="7" t="s">
        <v>243</v>
      </c>
      <c r="F316" s="7" t="s">
        <v>680</v>
      </c>
      <c r="G316" s="56">
        <v>3</v>
      </c>
      <c r="H316" s="7" t="s">
        <v>273</v>
      </c>
      <c r="I316" s="7" t="s">
        <v>680</v>
      </c>
      <c r="J316" s="123" t="s">
        <v>670</v>
      </c>
      <c r="K316" s="46" t="s">
        <v>0</v>
      </c>
      <c r="L316" s="46" t="s">
        <v>0</v>
      </c>
      <c r="M316" s="43">
        <v>11</v>
      </c>
      <c r="N316" s="9">
        <v>630</v>
      </c>
      <c r="O316" s="9">
        <f t="shared" si="190"/>
        <v>12.00311209645232</v>
      </c>
      <c r="P316" s="9">
        <v>630</v>
      </c>
      <c r="Q316" s="9">
        <f t="shared" si="191"/>
        <v>12.00311209645232</v>
      </c>
      <c r="R316" s="9">
        <v>630</v>
      </c>
      <c r="S316" s="9">
        <f t="shared" si="192"/>
        <v>12.00311209645232</v>
      </c>
      <c r="T316" s="9" t="s">
        <v>0</v>
      </c>
      <c r="U316" s="9" t="str">
        <f t="shared" si="193"/>
        <v>-</v>
      </c>
      <c r="V316" s="9" t="s">
        <v>0</v>
      </c>
      <c r="W316" s="9" t="str">
        <f t="shared" si="194"/>
        <v>-</v>
      </c>
      <c r="X316" s="9" t="s">
        <v>0</v>
      </c>
      <c r="Y316" s="9" t="str">
        <f t="shared" si="182"/>
        <v>-</v>
      </c>
      <c r="Z316" s="9" t="s">
        <v>0</v>
      </c>
      <c r="AA316" s="9" t="str">
        <f t="shared" si="183"/>
        <v>-</v>
      </c>
      <c r="AB316" s="9" t="s">
        <v>0</v>
      </c>
      <c r="AC316" s="9" t="str">
        <f t="shared" si="196"/>
        <v>-</v>
      </c>
      <c r="AD316" s="9" t="s">
        <v>0</v>
      </c>
      <c r="AE316" s="12" t="str">
        <f t="shared" si="197"/>
        <v>-</v>
      </c>
      <c r="AF316" s="9" t="s">
        <v>0</v>
      </c>
      <c r="AG316" s="9" t="s">
        <v>0</v>
      </c>
      <c r="AH316" s="9" t="s">
        <v>0</v>
      </c>
      <c r="AI316" s="9" t="s">
        <v>0</v>
      </c>
      <c r="AJ316" s="43" t="s">
        <v>0</v>
      </c>
      <c r="AK316" s="29" t="s">
        <v>0</v>
      </c>
      <c r="AL316" s="32" t="s">
        <v>0</v>
      </c>
      <c r="AM316" s="29" t="s">
        <v>0</v>
      </c>
      <c r="AN316" s="32" t="s">
        <v>0</v>
      </c>
      <c r="AO316" s="29" t="s">
        <v>0</v>
      </c>
      <c r="AP316" s="32" t="s">
        <v>0</v>
      </c>
      <c r="AQ316" s="32" t="s">
        <v>0</v>
      </c>
      <c r="AR31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16" s="9" t="str">
        <f t="shared" si="198"/>
        <v>-</v>
      </c>
      <c r="AT316" s="9">
        <f>IF(RIGHT(TMK[[#This Row],[Device type]],7)="Winding","-",TMK[[#This Row],[Cont Winter MVA]])</f>
        <v>12.00311209645232</v>
      </c>
      <c r="AU316" s="9">
        <f>IF(RIGHT(TMK[[#This Row],[Device type]],7)="Winding","-",TMK[[#This Row],[Cont Shoulder MVA]])</f>
        <v>12.00311209645232</v>
      </c>
      <c r="AV316" s="9">
        <f>IF(RIGHT(TMK[[#This Row],[Device type]],7)="Winding","-",TMK[[#This Row],[Cont Summer MVA]])</f>
        <v>12.00311209645232</v>
      </c>
      <c r="AW316" s="9" t="str">
        <f>IF(RIGHT(TMK[[#This Row],[Device type]],7)="Winding","-",TMK[[#This Row],[24 Hr Winter MVA]])</f>
        <v>-</v>
      </c>
      <c r="AX316" s="9" t="str">
        <f>IF(RIGHT(TMK[[#This Row],[Device type]],7)="Winding","-",TMK[[#This Row],[24 Hr Summer MVA]])</f>
        <v>-</v>
      </c>
      <c r="AY316" s="9" t="str">
        <f>TMK[[#This Row],[Forwards MVA]]</f>
        <v>-</v>
      </c>
      <c r="AZ316" s="9" t="str">
        <f>TMK[[#This Row],[Relay MVA]]</f>
        <v>-</v>
      </c>
      <c r="BA316" s="9" t="str">
        <f>TMK[[#This Row],[CT MVA]]</f>
        <v>-</v>
      </c>
      <c r="BB316" s="9" t="str">
        <f>TMK[[#This Row],[Derating MVA]]</f>
        <v>-</v>
      </c>
      <c r="BC316" s="9" t="str">
        <f>TMK[[#This Row],[Station/Feeder]]&amp;TMK[[#This Row],[Lowest MVA]]</f>
        <v>T650_Tie to Milk Powder 112.0031120964523</v>
      </c>
      <c r="BD316" s="9" t="str">
        <f>CONCATENATE(TMK[[#This Row],[Supply Level]],TMK[[#This Row],[Station/Feeder]],TMK[[#This Row],[Voltage]],TMK[[#This Row],[Lowest A-No PTX]])</f>
        <v>DistributionFeederT650_Tie to Milk Powder 111630</v>
      </c>
      <c r="BE316" s="9" t="str">
        <f>CONCATENATE(TMK[[#This Row],[Supply Level]],TMK[[#This Row],[Station/Feeder]],TMK[[#This Row],[Voltage]],TMK[[#This Row],[Lowest A-PTX]])</f>
        <v>DistributionFeederT650_Tie to Milk Powder 111630</v>
      </c>
      <c r="BF316" s="9">
        <f>IFERROR(IF(MIN(TMK[[#This Row],[Summ Cont Winter A]:[Cable Derating]])=0,"",MIN(TMK[[#This Row],[Summ Cont Winter A]:[Cable Derating]])),"")</f>
        <v>12.00311209645232</v>
      </c>
      <c r="BG316" s="9">
        <f>IFERROR(TMK[[#This Row],[Lowest MVA]]*1000/(TMK[[#This Row],[Voltage]]*SQRT(3)),"")</f>
        <v>630</v>
      </c>
      <c r="BH316" s="9">
        <f t="shared" si="195"/>
        <v>630</v>
      </c>
      <c r="BI316" s="9" t="str">
        <f>TMK[[#This Row],[From]]</f>
        <v>11 kV Bus</v>
      </c>
      <c r="BJ316" s="9" t="str">
        <f>TMK[[#This Row],[To]]</f>
        <v>T278</v>
      </c>
      <c r="BK31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Switch-T278</v>
      </c>
      <c r="BL316" s="9">
        <f>TMK[[#This Row],[Voltage]]</f>
        <v>11</v>
      </c>
    </row>
    <row r="317" spans="1:64" s="1" customFormat="1" ht="15" customHeight="1" x14ac:dyDescent="0.25">
      <c r="A317" s="6" t="str">
        <f>CONCATENATE(TMK[[#This Row],[Supply Level]],TMK[[#This Row],[Station/Feeder]],TMK[[#This Row],[Voltage]])</f>
        <v>DistributionFeederT651_Milk Powder 311</v>
      </c>
      <c r="B317" s="6" t="str">
        <f>CONCATENATE(TMK[[#This Row],[Supply Level]],TMK[[#This Row],[Station/Feeder]],TMK[[#This Row],[Equipment ID]],TMK[[#This Row],[Voltage]],TMK[[#This Row],[Device type]])</f>
        <v>DistributionFeederT651_Milk Powder 3CD2-T65111Protection</v>
      </c>
      <c r="C317" s="6" t="s">
        <v>1276</v>
      </c>
      <c r="D317" s="11" t="s">
        <v>113</v>
      </c>
      <c r="E317" s="7" t="s">
        <v>243</v>
      </c>
      <c r="F317" s="7" t="s">
        <v>681</v>
      </c>
      <c r="G317" s="56">
        <v>1</v>
      </c>
      <c r="H317" s="7" t="s">
        <v>343</v>
      </c>
      <c r="I317" s="123" t="s">
        <v>2454</v>
      </c>
      <c r="J317" s="123" t="s">
        <v>15</v>
      </c>
      <c r="K317" s="46" t="s">
        <v>663</v>
      </c>
      <c r="L317" s="46" t="s">
        <v>1423</v>
      </c>
      <c r="M317" s="43">
        <v>11</v>
      </c>
      <c r="N317" s="9">
        <v>630</v>
      </c>
      <c r="O317" s="9">
        <f t="shared" si="190"/>
        <v>12.00311209645232</v>
      </c>
      <c r="P317" s="9">
        <v>630</v>
      </c>
      <c r="Q317" s="9">
        <f t="shared" si="191"/>
        <v>12.00311209645232</v>
      </c>
      <c r="R317" s="9">
        <v>630</v>
      </c>
      <c r="S317" s="9">
        <f t="shared" si="192"/>
        <v>12.00311209645232</v>
      </c>
      <c r="T317" s="9" t="s">
        <v>0</v>
      </c>
      <c r="U317" s="9" t="str">
        <f t="shared" si="193"/>
        <v>-</v>
      </c>
      <c r="V317" s="9" t="s">
        <v>0</v>
      </c>
      <c r="W317" s="9" t="str">
        <f t="shared" si="194"/>
        <v>-</v>
      </c>
      <c r="X317" s="9">
        <f>VLOOKUP(TMK[[#This Row],[Equipment ID]],AEL_Protection_Data[#All],12,0)</f>
        <v>480</v>
      </c>
      <c r="Y317" s="9">
        <f>IF(OR(X317="",X317="-"),"-",X317*$M317*SQRT(3)/1000)</f>
        <v>9.1452282639636717</v>
      </c>
      <c r="Z317" s="9">
        <f>TMK[[#This Row],[Forward A]]</f>
        <v>480</v>
      </c>
      <c r="AA317" s="9">
        <f>IF(OR(Z317="",Z317="-"),"-",Z317*$M317*SQRT(3)/1000)</f>
        <v>9.1452282639636717</v>
      </c>
      <c r="AB317" s="9" t="s">
        <v>0</v>
      </c>
      <c r="AC317" s="9" t="str">
        <f>IF(OR(AB317="",AB317="-"),"-",AB317*$M317*SQRT(3)/1000)</f>
        <v>-</v>
      </c>
      <c r="AD317" s="9" t="s">
        <v>0</v>
      </c>
      <c r="AE317" s="12" t="str">
        <f>IF(OR(AD317="",AD317="-"),"-",AD317*$M317*SQRT(3)/1000)</f>
        <v>-</v>
      </c>
      <c r="AF317" s="9" t="s">
        <v>0</v>
      </c>
      <c r="AG317" s="9" t="s">
        <v>0</v>
      </c>
      <c r="AH317" s="9" t="s">
        <v>0</v>
      </c>
      <c r="AI317" s="9" t="s">
        <v>0</v>
      </c>
      <c r="AJ317" s="43" t="s">
        <v>0</v>
      </c>
      <c r="AK317" s="29" t="s">
        <v>0</v>
      </c>
      <c r="AL317" s="32" t="s">
        <v>0</v>
      </c>
      <c r="AM317" s="29" t="s">
        <v>0</v>
      </c>
      <c r="AN317" s="32" t="s">
        <v>0</v>
      </c>
      <c r="AO317" s="29" t="s">
        <v>0</v>
      </c>
      <c r="AP317" s="32" t="s">
        <v>0</v>
      </c>
      <c r="AQ317" s="32" t="s">
        <v>0</v>
      </c>
      <c r="AR317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17" s="9" t="str">
        <f>IF(OR(AR317="",AR317="-"),"-",AR317*$M317*SQRT(3)/1000)</f>
        <v>-</v>
      </c>
      <c r="AT317" s="9">
        <f>IF(RIGHT(TMK[[#This Row],[Device type]],7)="Winding","-",TMK[[#This Row],[Cont Winter MVA]])</f>
        <v>12.00311209645232</v>
      </c>
      <c r="AU317" s="9">
        <f>IF(RIGHT(TMK[[#This Row],[Device type]],7)="Winding","-",TMK[[#This Row],[Cont Shoulder MVA]])</f>
        <v>12.00311209645232</v>
      </c>
      <c r="AV317" s="9">
        <f>IF(RIGHT(TMK[[#This Row],[Device type]],7)="Winding","-",TMK[[#This Row],[Cont Summer MVA]])</f>
        <v>12.00311209645232</v>
      </c>
      <c r="AW317" s="9" t="str">
        <f>IF(RIGHT(TMK[[#This Row],[Device type]],7)="Winding","-",TMK[[#This Row],[24 Hr Winter MVA]])</f>
        <v>-</v>
      </c>
      <c r="AX317" s="9" t="str">
        <f>IF(RIGHT(TMK[[#This Row],[Device type]],7)="Winding","-",TMK[[#This Row],[24 Hr Summer MVA]])</f>
        <v>-</v>
      </c>
      <c r="AY317" s="9">
        <f>TMK[[#This Row],[Forwards MVA]]</f>
        <v>9.1452282639636717</v>
      </c>
      <c r="AZ317" s="9" t="str">
        <f>TMK[[#This Row],[Relay MVA]]</f>
        <v>-</v>
      </c>
      <c r="BA317" s="9" t="str">
        <f>TMK[[#This Row],[CT MVA]]</f>
        <v>-</v>
      </c>
      <c r="BB317" s="9" t="str">
        <f>TMK[[#This Row],[Derating MVA]]</f>
        <v>-</v>
      </c>
      <c r="BC317" s="9" t="str">
        <f>TMK[[#This Row],[Station/Feeder]]&amp;TMK[[#This Row],[Lowest MVA]]</f>
        <v>T651_Milk Powder 39.14522826396367</v>
      </c>
      <c r="BD317" s="9" t="str">
        <f>CONCATENATE(TMK[[#This Row],[Supply Level]],TMK[[#This Row],[Station/Feeder]],TMK[[#This Row],[Voltage]],TMK[[#This Row],[Lowest A-No PTX]])</f>
        <v>DistributionFeederT651_Milk Powder 311480</v>
      </c>
      <c r="BE317" s="9" t="str">
        <f>CONCATENATE(TMK[[#This Row],[Supply Level]],TMK[[#This Row],[Station/Feeder]],TMK[[#This Row],[Voltage]],TMK[[#This Row],[Lowest A-PTX]])</f>
        <v>DistributionFeederT651_Milk Powder 311480</v>
      </c>
      <c r="BF317" s="9">
        <f>IFERROR(IF(MIN(TMK[[#This Row],[Summ Cont Winter A]:[Cable Derating]])=0,"",MIN(TMK[[#This Row],[Summ Cont Winter A]:[Cable Derating]])),"")</f>
        <v>9.1452282639636717</v>
      </c>
      <c r="BG317" s="9">
        <f>IFERROR(TMK[[#This Row],[Lowest MVA]]*1000/(TMK[[#This Row],[Voltage]]*SQRT(3)),"")</f>
        <v>480.00000000000006</v>
      </c>
      <c r="BH317" s="9">
        <f t="shared" si="195"/>
        <v>480</v>
      </c>
      <c r="BI317" s="9" t="str">
        <f>TMK[[#This Row],[From]]</f>
        <v>11 kV Bus</v>
      </c>
      <c r="BJ317" s="9" t="str">
        <f>TMK[[#This Row],[To]]</f>
        <v>T364</v>
      </c>
      <c r="BK31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Breaker-CD2-T651-Protection</v>
      </c>
      <c r="BL317" s="9">
        <f>TMK[[#This Row],[Voltage]]</f>
        <v>11</v>
      </c>
    </row>
    <row r="318" spans="1:64" s="1" customFormat="1" ht="15" customHeight="1" x14ac:dyDescent="0.25">
      <c r="A318" s="6" t="str">
        <f>CONCATENATE(TMK[[#This Row],[Supply Level]],TMK[[#This Row],[Station/Feeder]],TMK[[#This Row],[Voltage]])</f>
        <v>DistributionFeederT651_Milk Powder 311</v>
      </c>
      <c r="B318" s="6" t="str">
        <f>CONCATENATE(TMK[[#This Row],[Supply Level]],TMK[[#This Row],[Station/Feeder]],TMK[[#This Row],[Equipment ID]],TMK[[#This Row],[Voltage]],TMK[[#This Row],[Device type]])</f>
        <v>DistributionFeederT651_Milk Powder 31-3c 300 mm² Al XLPE11-</v>
      </c>
      <c r="C318" s="6" t="s">
        <v>1276</v>
      </c>
      <c r="D318" s="11" t="s">
        <v>113</v>
      </c>
      <c r="E318" s="7" t="s">
        <v>243</v>
      </c>
      <c r="F318" s="7" t="s">
        <v>681</v>
      </c>
      <c r="G318" s="56">
        <v>2</v>
      </c>
      <c r="H318" s="7" t="s">
        <v>585</v>
      </c>
      <c r="I318" s="123" t="s">
        <v>569</v>
      </c>
      <c r="J318" s="123" t="s">
        <v>250</v>
      </c>
      <c r="K318" s="46" t="s">
        <v>0</v>
      </c>
      <c r="L318" s="46" t="s">
        <v>0</v>
      </c>
      <c r="M318" s="43">
        <v>11</v>
      </c>
      <c r="N318" s="9">
        <v>476</v>
      </c>
      <c r="O318" s="9">
        <f t="shared" si="190"/>
        <v>9.0690180284306408</v>
      </c>
      <c r="P318" s="9">
        <v>476</v>
      </c>
      <c r="Q318" s="9">
        <f t="shared" si="191"/>
        <v>9.0690180284306408</v>
      </c>
      <c r="R318" s="9">
        <v>476</v>
      </c>
      <c r="S318" s="9">
        <f t="shared" si="192"/>
        <v>9.0690180284306408</v>
      </c>
      <c r="T318" s="9" t="s">
        <v>0</v>
      </c>
      <c r="U318" s="9" t="str">
        <f t="shared" si="193"/>
        <v>-</v>
      </c>
      <c r="V318" s="9" t="s">
        <v>0</v>
      </c>
      <c r="W318" s="9" t="str">
        <f t="shared" si="194"/>
        <v>-</v>
      </c>
      <c r="X318" s="9" t="s">
        <v>0</v>
      </c>
      <c r="Y318" s="9" t="str">
        <f>IF(OR(X318="",X318="-"),"-",X318*$M318*SQRT(3)/1000)</f>
        <v>-</v>
      </c>
      <c r="Z318" s="9" t="s">
        <v>0</v>
      </c>
      <c r="AA318" s="9" t="str">
        <f>IF(OR(Z318="",Z318="-"),"-",Z318*$M318*SQRT(3)/1000)</f>
        <v>-</v>
      </c>
      <c r="AB318" s="9" t="s">
        <v>0</v>
      </c>
      <c r="AC318" s="9" t="str">
        <f>IF(OR(AB318="",AB318="-"),"-",AB318*$M318*SQRT(3)/1000)</f>
        <v>-</v>
      </c>
      <c r="AD318" s="9" t="s">
        <v>0</v>
      </c>
      <c r="AE318" s="12" t="str">
        <f>IF(OR(AD318="",AD318="-"),"-",AD318*$M318*SQRT(3)/1000)</f>
        <v>-</v>
      </c>
      <c r="AF318" s="9">
        <v>3</v>
      </c>
      <c r="AG318" s="9" t="s">
        <v>265</v>
      </c>
      <c r="AH318" s="9">
        <v>70.400000000000006</v>
      </c>
      <c r="AI318" s="9">
        <v>1</v>
      </c>
      <c r="AJ318" s="43">
        <v>0.98</v>
      </c>
      <c r="AK318" s="29">
        <v>20</v>
      </c>
      <c r="AL318" s="32">
        <v>0.97</v>
      </c>
      <c r="AM318" s="29">
        <v>1.2</v>
      </c>
      <c r="AN318" s="32">
        <v>1</v>
      </c>
      <c r="AO318" s="29">
        <v>5</v>
      </c>
      <c r="AP318" s="32">
        <v>0.3</v>
      </c>
      <c r="AQ318" s="32">
        <v>0.73</v>
      </c>
      <c r="AR318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330.31448799999998</v>
      </c>
      <c r="AS318" s="9">
        <f>IF(OR(AR318="",AR318="-"),"-",AR318*$M318*SQRT(3)/1000)</f>
        <v>6.2933362326131022</v>
      </c>
      <c r="AT318" s="9">
        <f>IF(RIGHT(TMK[[#This Row],[Device type]],7)="Winding","-",TMK[[#This Row],[Cont Winter MVA]])</f>
        <v>9.0690180284306408</v>
      </c>
      <c r="AU318" s="9">
        <f>IF(RIGHT(TMK[[#This Row],[Device type]],7)="Winding","-",TMK[[#This Row],[Cont Shoulder MVA]])</f>
        <v>9.0690180284306408</v>
      </c>
      <c r="AV318" s="9">
        <f>IF(RIGHT(TMK[[#This Row],[Device type]],7)="Winding","-",TMK[[#This Row],[Cont Summer MVA]])</f>
        <v>9.0690180284306408</v>
      </c>
      <c r="AW318" s="9" t="str">
        <f>IF(RIGHT(TMK[[#This Row],[Device type]],7)="Winding","-",TMK[[#This Row],[24 Hr Winter MVA]])</f>
        <v>-</v>
      </c>
      <c r="AX318" s="9" t="str">
        <f>IF(RIGHT(TMK[[#This Row],[Device type]],7)="Winding","-",TMK[[#This Row],[24 Hr Summer MVA]])</f>
        <v>-</v>
      </c>
      <c r="AY318" s="9" t="str">
        <f>TMK[[#This Row],[Forwards MVA]]</f>
        <v>-</v>
      </c>
      <c r="AZ318" s="9" t="str">
        <f>TMK[[#This Row],[Relay MVA]]</f>
        <v>-</v>
      </c>
      <c r="BA318" s="9" t="str">
        <f>TMK[[#This Row],[CT MVA]]</f>
        <v>-</v>
      </c>
      <c r="BB318" s="9">
        <f>TMK[[#This Row],[Derating MVA]]</f>
        <v>6.2933362326131022</v>
      </c>
      <c r="BC318" s="9" t="str">
        <f>TMK[[#This Row],[Station/Feeder]]&amp;TMK[[#This Row],[Lowest MVA]]</f>
        <v>T651_Milk Powder 36.2933362326131</v>
      </c>
      <c r="BD318" s="9" t="str">
        <f>CONCATENATE(TMK[[#This Row],[Supply Level]],TMK[[#This Row],[Station/Feeder]],TMK[[#This Row],[Voltage]],TMK[[#This Row],[Lowest A-No PTX]])</f>
        <v>DistributionFeederT651_Milk Powder 311330.314488</v>
      </c>
      <c r="BE318" s="9" t="str">
        <f>CONCATENATE(TMK[[#This Row],[Supply Level]],TMK[[#This Row],[Station/Feeder]],TMK[[#This Row],[Voltage]],TMK[[#This Row],[Lowest A-PTX]])</f>
        <v>DistributionFeederT651_Milk Powder 311330.314488</v>
      </c>
      <c r="BF318" s="9">
        <f>IFERROR(IF(MIN(TMK[[#This Row],[Summ Cont Winter A]:[Cable Derating]])=0,"",MIN(TMK[[#This Row],[Summ Cont Winter A]:[Cable Derating]])),"")</f>
        <v>6.2933362326131022</v>
      </c>
      <c r="BG318" s="9">
        <f>IFERROR(TMK[[#This Row],[Lowest MVA]]*1000/(TMK[[#This Row],[Voltage]]*SQRT(3)),"")</f>
        <v>330.31448799999998</v>
      </c>
      <c r="BH318" s="9">
        <f t="shared" si="195"/>
        <v>330.31448799999998</v>
      </c>
      <c r="BI318" s="9" t="str">
        <f>TMK[[#This Row],[From]]</f>
        <v>11 kV Bus</v>
      </c>
      <c r="BJ318" s="9" t="str">
        <f>TMK[[#This Row],[To]]</f>
        <v>T364</v>
      </c>
      <c r="BK31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XLPE</v>
      </c>
      <c r="BL318" s="9">
        <f>TMK[[#This Row],[Voltage]]</f>
        <v>11</v>
      </c>
    </row>
    <row r="319" spans="1:64" s="1" customFormat="1" ht="15" customHeight="1" x14ac:dyDescent="0.25">
      <c r="A319" s="6" t="str">
        <f>CONCATENATE(TMK[[#This Row],[Supply Level]],TMK[[#This Row],[Station/Feeder]],TMK[[#This Row],[Voltage]])</f>
        <v>DistributionFeederT651_Milk Powder 311</v>
      </c>
      <c r="B319" s="6" t="str">
        <f>CONCATENATE(TMK[[#This Row],[Supply Level]],TMK[[#This Row],[Station/Feeder]],TMK[[#This Row],[Equipment ID]],TMK[[#This Row],[Voltage]],TMK[[#This Row],[Device type]])</f>
        <v>DistributionFeederT651_Milk Powder 3T36411-</v>
      </c>
      <c r="C319" s="6" t="s">
        <v>1276</v>
      </c>
      <c r="D319" s="11" t="s">
        <v>113</v>
      </c>
      <c r="E319" s="7" t="s">
        <v>243</v>
      </c>
      <c r="F319" s="7" t="s">
        <v>681</v>
      </c>
      <c r="G319" s="56">
        <v>3</v>
      </c>
      <c r="H319" s="7" t="s">
        <v>273</v>
      </c>
      <c r="I319" s="123" t="s">
        <v>681</v>
      </c>
      <c r="J319" s="123" t="s">
        <v>670</v>
      </c>
      <c r="K319" s="46" t="s">
        <v>0</v>
      </c>
      <c r="L319" s="46" t="s">
        <v>0</v>
      </c>
      <c r="M319" s="43">
        <v>11</v>
      </c>
      <c r="N319" s="9">
        <v>630</v>
      </c>
      <c r="O319" s="9">
        <f t="shared" si="190"/>
        <v>12.00311209645232</v>
      </c>
      <c r="P319" s="9">
        <v>630</v>
      </c>
      <c r="Q319" s="9">
        <f t="shared" si="191"/>
        <v>12.00311209645232</v>
      </c>
      <c r="R319" s="9">
        <v>630</v>
      </c>
      <c r="S319" s="9">
        <f t="shared" si="192"/>
        <v>12.00311209645232</v>
      </c>
      <c r="T319" s="9" t="s">
        <v>0</v>
      </c>
      <c r="U319" s="9" t="str">
        <f t="shared" si="193"/>
        <v>-</v>
      </c>
      <c r="V319" s="9" t="s">
        <v>0</v>
      </c>
      <c r="W319" s="9" t="str">
        <f t="shared" si="194"/>
        <v>-</v>
      </c>
      <c r="X319" s="9" t="s">
        <v>0</v>
      </c>
      <c r="Y319" s="9" t="str">
        <f>IF(OR(X319="",X319="-"),"-",X319*$M319*SQRT(3)/1000)</f>
        <v>-</v>
      </c>
      <c r="Z319" s="9" t="s">
        <v>0</v>
      </c>
      <c r="AA319" s="9" t="str">
        <f>IF(OR(Z319="",Z319="-"),"-",Z319*$M319*SQRT(3)/1000)</f>
        <v>-</v>
      </c>
      <c r="AB319" s="9" t="s">
        <v>0</v>
      </c>
      <c r="AC319" s="9" t="str">
        <f>IF(OR(AB319="",AB319="-"),"-",AB319*$M319*SQRT(3)/1000)</f>
        <v>-</v>
      </c>
      <c r="AD319" s="9" t="s">
        <v>0</v>
      </c>
      <c r="AE319" s="12" t="str">
        <f>IF(OR(AD319="",AD319="-"),"-",AD319*$M319*SQRT(3)/1000)</f>
        <v>-</v>
      </c>
      <c r="AF319" s="9" t="s">
        <v>0</v>
      </c>
      <c r="AG319" s="9" t="s">
        <v>0</v>
      </c>
      <c r="AH319" s="9" t="s">
        <v>0</v>
      </c>
      <c r="AI319" s="9" t="s">
        <v>0</v>
      </c>
      <c r="AJ319" s="43" t="s">
        <v>0</v>
      </c>
      <c r="AK319" s="29" t="s">
        <v>0</v>
      </c>
      <c r="AL319" s="32" t="s">
        <v>0</v>
      </c>
      <c r="AM319" s="29" t="s">
        <v>0</v>
      </c>
      <c r="AN319" s="32" t="s">
        <v>0</v>
      </c>
      <c r="AO319" s="29" t="s">
        <v>0</v>
      </c>
      <c r="AP319" s="32" t="s">
        <v>0</v>
      </c>
      <c r="AQ319" s="32" t="s">
        <v>0</v>
      </c>
      <c r="AR31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19" s="9" t="str">
        <f>IF(OR(AR319="",AR319="-"),"-",AR319*$M319*SQRT(3)/1000)</f>
        <v>-</v>
      </c>
      <c r="AT319" s="9">
        <f>IF(RIGHT(TMK[[#This Row],[Device type]],7)="Winding","-",TMK[[#This Row],[Cont Winter MVA]])</f>
        <v>12.00311209645232</v>
      </c>
      <c r="AU319" s="9">
        <f>IF(RIGHT(TMK[[#This Row],[Device type]],7)="Winding","-",TMK[[#This Row],[Cont Shoulder MVA]])</f>
        <v>12.00311209645232</v>
      </c>
      <c r="AV319" s="9">
        <f>IF(RIGHT(TMK[[#This Row],[Device type]],7)="Winding","-",TMK[[#This Row],[Cont Summer MVA]])</f>
        <v>12.00311209645232</v>
      </c>
      <c r="AW319" s="9" t="str">
        <f>IF(RIGHT(TMK[[#This Row],[Device type]],7)="Winding","-",TMK[[#This Row],[24 Hr Winter MVA]])</f>
        <v>-</v>
      </c>
      <c r="AX319" s="9" t="str">
        <f>IF(RIGHT(TMK[[#This Row],[Device type]],7)="Winding","-",TMK[[#This Row],[24 Hr Summer MVA]])</f>
        <v>-</v>
      </c>
      <c r="AY319" s="9" t="str">
        <f>TMK[[#This Row],[Forwards MVA]]</f>
        <v>-</v>
      </c>
      <c r="AZ319" s="9" t="str">
        <f>TMK[[#This Row],[Relay MVA]]</f>
        <v>-</v>
      </c>
      <c r="BA319" s="9" t="str">
        <f>TMK[[#This Row],[CT MVA]]</f>
        <v>-</v>
      </c>
      <c r="BB319" s="9" t="str">
        <f>TMK[[#This Row],[Derating MVA]]</f>
        <v>-</v>
      </c>
      <c r="BC319" s="9" t="str">
        <f>TMK[[#This Row],[Station/Feeder]]&amp;TMK[[#This Row],[Lowest MVA]]</f>
        <v>T651_Milk Powder 312.0031120964523</v>
      </c>
      <c r="BD319" s="9" t="str">
        <f>CONCATENATE(TMK[[#This Row],[Supply Level]],TMK[[#This Row],[Station/Feeder]],TMK[[#This Row],[Voltage]],TMK[[#This Row],[Lowest A-No PTX]])</f>
        <v>DistributionFeederT651_Milk Powder 311630</v>
      </c>
      <c r="BE319" s="9" t="str">
        <f>CONCATENATE(TMK[[#This Row],[Supply Level]],TMK[[#This Row],[Station/Feeder]],TMK[[#This Row],[Voltage]],TMK[[#This Row],[Lowest A-PTX]])</f>
        <v>DistributionFeederT651_Milk Powder 311630</v>
      </c>
      <c r="BF319" s="9">
        <f>IFERROR(IF(MIN(TMK[[#This Row],[Summ Cont Winter A]:[Cable Derating]])=0,"",MIN(TMK[[#This Row],[Summ Cont Winter A]:[Cable Derating]])),"")</f>
        <v>12.00311209645232</v>
      </c>
      <c r="BG319" s="9">
        <f>IFERROR(TMK[[#This Row],[Lowest MVA]]*1000/(TMK[[#This Row],[Voltage]]*SQRT(3)),"")</f>
        <v>630</v>
      </c>
      <c r="BH319" s="9">
        <f t="shared" si="195"/>
        <v>630</v>
      </c>
      <c r="BI319" s="9" t="str">
        <f>TMK[[#This Row],[From]]</f>
        <v>11 kV Bus</v>
      </c>
      <c r="BJ319" s="9" t="str">
        <f>TMK[[#This Row],[To]]</f>
        <v>T364</v>
      </c>
      <c r="BK31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Switch-T364</v>
      </c>
      <c r="BL319" s="9">
        <f>TMK[[#This Row],[Voltage]]</f>
        <v>11</v>
      </c>
    </row>
    <row r="320" spans="1:64" s="1" customFormat="1" ht="15" customHeight="1" x14ac:dyDescent="0.25">
      <c r="A320" s="6" t="str">
        <f>CONCATENATE(TMK[[#This Row],[Supply Level]],TMK[[#This Row],[Station/Feeder]],TMK[[#This Row],[Voltage]])</f>
        <v>DistributionFeederT652_Tie to WPC11</v>
      </c>
      <c r="B320" s="6" t="str">
        <f>CONCATENATE(TMK[[#This Row],[Supply Level]],TMK[[#This Row],[Station/Feeder]],TMK[[#This Row],[Equipment ID]],TMK[[#This Row],[Voltage]],TMK[[#This Row],[Device type]])</f>
        <v>DistributionFeederT652_Tie to WPCCD2-T65211Protection</v>
      </c>
      <c r="C320" s="6" t="s">
        <v>1276</v>
      </c>
      <c r="D320" s="11" t="s">
        <v>124</v>
      </c>
      <c r="E320" s="7" t="s">
        <v>243</v>
      </c>
      <c r="F320" s="7" t="s">
        <v>682</v>
      </c>
      <c r="G320" s="56">
        <v>1</v>
      </c>
      <c r="H320" s="7" t="s">
        <v>343</v>
      </c>
      <c r="I320" s="123" t="s">
        <v>2455</v>
      </c>
      <c r="J320" s="123" t="s">
        <v>15</v>
      </c>
      <c r="K320" s="46" t="s">
        <v>663</v>
      </c>
      <c r="L320" s="46" t="s">
        <v>1423</v>
      </c>
      <c r="M320" s="43">
        <v>11</v>
      </c>
      <c r="N320" s="9">
        <v>630</v>
      </c>
      <c r="O320" s="9">
        <f t="shared" si="190"/>
        <v>12.00311209645232</v>
      </c>
      <c r="P320" s="9">
        <v>630</v>
      </c>
      <c r="Q320" s="9">
        <f t="shared" si="191"/>
        <v>12.00311209645232</v>
      </c>
      <c r="R320" s="9">
        <v>630</v>
      </c>
      <c r="S320" s="9">
        <f t="shared" si="192"/>
        <v>12.00311209645232</v>
      </c>
      <c r="T320" s="9" t="s">
        <v>0</v>
      </c>
      <c r="U320" s="9" t="str">
        <f t="shared" si="193"/>
        <v>-</v>
      </c>
      <c r="V320" s="9" t="s">
        <v>0</v>
      </c>
      <c r="W320" s="9" t="str">
        <f t="shared" si="194"/>
        <v>-</v>
      </c>
      <c r="X320" s="9">
        <f>VLOOKUP(TMK[[#This Row],[Equipment ID]],AEL_Protection_Data[#All],12,0)</f>
        <v>1200</v>
      </c>
      <c r="Y320" s="9">
        <f>IF(OR(X320="",X320="-"),"-",X320*$M320*SQRT(3)/1000)</f>
        <v>22.86307065990918</v>
      </c>
      <c r="Z320" s="9">
        <f>TMK[[#This Row],[Forward A]]</f>
        <v>1200</v>
      </c>
      <c r="AA320" s="9">
        <f>IF(OR(Z320="",Z320="-"),"-",Z320*$M320*SQRT(3)/1000)</f>
        <v>22.86307065990918</v>
      </c>
      <c r="AB320" s="9" t="s">
        <v>0</v>
      </c>
      <c r="AC320" s="9" t="str">
        <f>IF(OR(AB320="",AB320="-"),"-",AB320*$M320*SQRT(3)/1000)</f>
        <v>-</v>
      </c>
      <c r="AD320" s="9" t="s">
        <v>0</v>
      </c>
      <c r="AE320" s="12" t="str">
        <f>IF(OR(AD320="",AD320="-"),"-",AD320*$M320*SQRT(3)/1000)</f>
        <v>-</v>
      </c>
      <c r="AF320" s="9" t="s">
        <v>0</v>
      </c>
      <c r="AG320" s="9" t="s">
        <v>0</v>
      </c>
      <c r="AH320" s="9" t="s">
        <v>0</v>
      </c>
      <c r="AI320" s="9" t="s">
        <v>0</v>
      </c>
      <c r="AJ320" s="43" t="s">
        <v>0</v>
      </c>
      <c r="AK320" s="29" t="s">
        <v>0</v>
      </c>
      <c r="AL320" s="32" t="s">
        <v>0</v>
      </c>
      <c r="AM320" s="29" t="s">
        <v>0</v>
      </c>
      <c r="AN320" s="32" t="s">
        <v>0</v>
      </c>
      <c r="AO320" s="29" t="s">
        <v>0</v>
      </c>
      <c r="AP320" s="32" t="s">
        <v>0</v>
      </c>
      <c r="AQ320" s="32" t="s">
        <v>0</v>
      </c>
      <c r="AR320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20" s="9" t="str">
        <f>IF(OR(AR320="",AR320="-"),"-",AR320*$M320*SQRT(3)/1000)</f>
        <v>-</v>
      </c>
      <c r="AT320" s="9">
        <f>IF(RIGHT(TMK[[#This Row],[Device type]],7)="Winding","-",TMK[[#This Row],[Cont Winter MVA]])</f>
        <v>12.00311209645232</v>
      </c>
      <c r="AU320" s="9">
        <f>IF(RIGHT(TMK[[#This Row],[Device type]],7)="Winding","-",TMK[[#This Row],[Cont Shoulder MVA]])</f>
        <v>12.00311209645232</v>
      </c>
      <c r="AV320" s="9">
        <f>IF(RIGHT(TMK[[#This Row],[Device type]],7)="Winding","-",TMK[[#This Row],[Cont Summer MVA]])</f>
        <v>12.00311209645232</v>
      </c>
      <c r="AW320" s="9" t="str">
        <f>IF(RIGHT(TMK[[#This Row],[Device type]],7)="Winding","-",TMK[[#This Row],[24 Hr Winter MVA]])</f>
        <v>-</v>
      </c>
      <c r="AX320" s="9" t="str">
        <f>IF(RIGHT(TMK[[#This Row],[Device type]],7)="Winding","-",TMK[[#This Row],[24 Hr Summer MVA]])</f>
        <v>-</v>
      </c>
      <c r="AY320" s="9">
        <f>TMK[[#This Row],[Forwards MVA]]</f>
        <v>22.86307065990918</v>
      </c>
      <c r="AZ320" s="9" t="str">
        <f>TMK[[#This Row],[Relay MVA]]</f>
        <v>-</v>
      </c>
      <c r="BA320" s="9" t="str">
        <f>TMK[[#This Row],[CT MVA]]</f>
        <v>-</v>
      </c>
      <c r="BB320" s="9" t="str">
        <f>TMK[[#This Row],[Derating MVA]]</f>
        <v>-</v>
      </c>
      <c r="BC320" s="9" t="str">
        <f>TMK[[#This Row],[Station/Feeder]]&amp;TMK[[#This Row],[Lowest MVA]]</f>
        <v>T652_Tie to WPC12.0031120964523</v>
      </c>
      <c r="BD320" s="9" t="str">
        <f>CONCATENATE(TMK[[#This Row],[Supply Level]],TMK[[#This Row],[Station/Feeder]],TMK[[#This Row],[Voltage]],TMK[[#This Row],[Lowest A-No PTX]])</f>
        <v>DistributionFeederT652_Tie to WPC11630</v>
      </c>
      <c r="BE320" s="9" t="str">
        <f>CONCATENATE(TMK[[#This Row],[Supply Level]],TMK[[#This Row],[Station/Feeder]],TMK[[#This Row],[Voltage]],TMK[[#This Row],[Lowest A-PTX]])</f>
        <v>DistributionFeederT652_Tie to WPC11630</v>
      </c>
      <c r="BF320" s="9">
        <f>IFERROR(IF(MIN(TMK[[#This Row],[Summ Cont Winter A]:[Cable Derating]])=0,"",MIN(TMK[[#This Row],[Summ Cont Winter A]:[Cable Derating]])),"")</f>
        <v>12.00311209645232</v>
      </c>
      <c r="BG320" s="9">
        <f>IFERROR(TMK[[#This Row],[Lowest MVA]]*1000/(TMK[[#This Row],[Voltage]]*SQRT(3)),"")</f>
        <v>630</v>
      </c>
      <c r="BH320" s="9">
        <f t="shared" si="195"/>
        <v>630</v>
      </c>
      <c r="BI320" s="9" t="str">
        <f>TMK[[#This Row],[From]]</f>
        <v>11 kV Bus</v>
      </c>
      <c r="BJ320" s="9" t="str">
        <f>TMK[[#This Row],[To]]</f>
        <v>T379</v>
      </c>
      <c r="BK32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Breaker-CD2-T652-Protection</v>
      </c>
      <c r="BL320" s="9">
        <f>TMK[[#This Row],[Voltage]]</f>
        <v>11</v>
      </c>
    </row>
    <row r="321" spans="1:64" s="1" customFormat="1" ht="15" customHeight="1" x14ac:dyDescent="0.25">
      <c r="A321" s="6" t="str">
        <f>CONCATENATE(TMK[[#This Row],[Supply Level]],TMK[[#This Row],[Station/Feeder]],TMK[[#This Row],[Voltage]])</f>
        <v>DistributionFeederT652_Tie to WPC11</v>
      </c>
      <c r="B321" s="6" t="str">
        <f>CONCATENATE(TMK[[#This Row],[Supply Level]],TMK[[#This Row],[Station/Feeder]],TMK[[#This Row],[Equipment ID]],TMK[[#This Row],[Voltage]],TMK[[#This Row],[Device type]])</f>
        <v>DistributionFeederT652_Tie to WPC1-3c 185 mm² XLPE11-</v>
      </c>
      <c r="C321" s="6" t="s">
        <v>1276</v>
      </c>
      <c r="D321" s="11" t="s">
        <v>124</v>
      </c>
      <c r="E321" s="7" t="s">
        <v>243</v>
      </c>
      <c r="F321" s="7" t="s">
        <v>682</v>
      </c>
      <c r="G321" s="56">
        <v>2</v>
      </c>
      <c r="H321" s="7" t="s">
        <v>585</v>
      </c>
      <c r="I321" s="123" t="s">
        <v>593</v>
      </c>
      <c r="J321" s="123" t="s">
        <v>250</v>
      </c>
      <c r="K321" s="46" t="s">
        <v>0</v>
      </c>
      <c r="L321" s="46" t="s">
        <v>0</v>
      </c>
      <c r="M321" s="43">
        <v>11</v>
      </c>
      <c r="N321" s="9">
        <v>367</v>
      </c>
      <c r="O321" s="9">
        <f t="shared" si="190"/>
        <v>6.9922891101555571</v>
      </c>
      <c r="P321" s="9">
        <v>367</v>
      </c>
      <c r="Q321" s="9">
        <f t="shared" si="191"/>
        <v>6.9922891101555571</v>
      </c>
      <c r="R321" s="9">
        <v>367</v>
      </c>
      <c r="S321" s="9">
        <f t="shared" si="192"/>
        <v>6.9922891101555571</v>
      </c>
      <c r="T321" s="9" t="s">
        <v>0</v>
      </c>
      <c r="U321" s="9" t="str">
        <f t="shared" si="193"/>
        <v>-</v>
      </c>
      <c r="V321" s="9" t="s">
        <v>0</v>
      </c>
      <c r="W321" s="9" t="str">
        <f t="shared" si="194"/>
        <v>-</v>
      </c>
      <c r="X321" s="9" t="s">
        <v>0</v>
      </c>
      <c r="Y321" s="9" t="str">
        <f>IF(OR(X321="",X321="-"),"-",X321*$M321*SQRT(3)/1000)</f>
        <v>-</v>
      </c>
      <c r="Z321" s="9" t="s">
        <v>0</v>
      </c>
      <c r="AA321" s="9" t="str">
        <f>IF(OR(Z321="",Z321="-"),"-",Z321*$M321*SQRT(3)/1000)</f>
        <v>-</v>
      </c>
      <c r="AB321" s="9" t="s">
        <v>0</v>
      </c>
      <c r="AC321" s="9" t="str">
        <f>IF(OR(AB321="",AB321="-"),"-",AB321*$M321*SQRT(3)/1000)</f>
        <v>-</v>
      </c>
      <c r="AD321" s="9" t="s">
        <v>0</v>
      </c>
      <c r="AE321" s="12" t="str">
        <f>IF(OR(AD321="",AD321="-"),"-",AD321*$M321*SQRT(3)/1000)</f>
        <v>-</v>
      </c>
      <c r="AF321" s="9">
        <v>3</v>
      </c>
      <c r="AG321" s="9" t="s">
        <v>265</v>
      </c>
      <c r="AH321" s="9">
        <v>256.60000000000002</v>
      </c>
      <c r="AI321" s="9">
        <v>1</v>
      </c>
      <c r="AJ321" s="43">
        <v>0.98</v>
      </c>
      <c r="AK321" s="29">
        <v>19</v>
      </c>
      <c r="AL321" s="32">
        <v>0.97</v>
      </c>
      <c r="AM321" s="29">
        <v>1.2</v>
      </c>
      <c r="AN321" s="32">
        <v>1</v>
      </c>
      <c r="AO321" s="29">
        <v>6</v>
      </c>
      <c r="AP321" s="32">
        <v>0.15</v>
      </c>
      <c r="AQ321" s="32">
        <v>0.63</v>
      </c>
      <c r="AR321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219.78822600000001</v>
      </c>
      <c r="AS321" s="9">
        <f>IF(OR(AR321="",AR321="-"),"-",AR321*$M321*SQRT(3)/1000)</f>
        <v>4.1875281177117394</v>
      </c>
      <c r="AT321" s="9">
        <f>IF(RIGHT(TMK[[#This Row],[Device type]],7)="Winding","-",TMK[[#This Row],[Cont Winter MVA]])</f>
        <v>6.9922891101555571</v>
      </c>
      <c r="AU321" s="9">
        <f>IF(RIGHT(TMK[[#This Row],[Device type]],7)="Winding","-",TMK[[#This Row],[Cont Shoulder MVA]])</f>
        <v>6.9922891101555571</v>
      </c>
      <c r="AV321" s="9">
        <f>IF(RIGHT(TMK[[#This Row],[Device type]],7)="Winding","-",TMK[[#This Row],[Cont Summer MVA]])</f>
        <v>6.9922891101555571</v>
      </c>
      <c r="AW321" s="9" t="str">
        <f>IF(RIGHT(TMK[[#This Row],[Device type]],7)="Winding","-",TMK[[#This Row],[24 Hr Winter MVA]])</f>
        <v>-</v>
      </c>
      <c r="AX321" s="9" t="str">
        <f>IF(RIGHT(TMK[[#This Row],[Device type]],7)="Winding","-",TMK[[#This Row],[24 Hr Summer MVA]])</f>
        <v>-</v>
      </c>
      <c r="AY321" s="9" t="str">
        <f>TMK[[#This Row],[Forwards MVA]]</f>
        <v>-</v>
      </c>
      <c r="AZ321" s="9" t="str">
        <f>TMK[[#This Row],[Relay MVA]]</f>
        <v>-</v>
      </c>
      <c r="BA321" s="9" t="str">
        <f>TMK[[#This Row],[CT MVA]]</f>
        <v>-</v>
      </c>
      <c r="BB321" s="9">
        <f>TMK[[#This Row],[Derating MVA]]</f>
        <v>4.1875281177117394</v>
      </c>
      <c r="BC321" s="9" t="str">
        <f>TMK[[#This Row],[Station/Feeder]]&amp;TMK[[#This Row],[Lowest MVA]]</f>
        <v>T652_Tie to WPC4.18752811771174</v>
      </c>
      <c r="BD321" s="9" t="str">
        <f>CONCATENATE(TMK[[#This Row],[Supply Level]],TMK[[#This Row],[Station/Feeder]],TMK[[#This Row],[Voltage]],TMK[[#This Row],[Lowest A-No PTX]])</f>
        <v>DistributionFeederT652_Tie to WPC11219.788226</v>
      </c>
      <c r="BE321" s="9" t="str">
        <f>CONCATENATE(TMK[[#This Row],[Supply Level]],TMK[[#This Row],[Station/Feeder]],TMK[[#This Row],[Voltage]],TMK[[#This Row],[Lowest A-PTX]])</f>
        <v>DistributionFeederT652_Tie to WPC11219.788226</v>
      </c>
      <c r="BF321" s="9">
        <f>IFERROR(IF(MIN(TMK[[#This Row],[Summ Cont Winter A]:[Cable Derating]])=0,"",MIN(TMK[[#This Row],[Summ Cont Winter A]:[Cable Derating]])),"")</f>
        <v>4.1875281177117394</v>
      </c>
      <c r="BG321" s="9">
        <f>IFERROR(TMK[[#This Row],[Lowest MVA]]*1000/(TMK[[#This Row],[Voltage]]*SQRT(3)),"")</f>
        <v>219.78822599999998</v>
      </c>
      <c r="BH321" s="9">
        <f t="shared" si="195"/>
        <v>219.78822600000001</v>
      </c>
      <c r="BI321" s="9" t="str">
        <f>TMK[[#This Row],[From]]</f>
        <v>11 kV Bus</v>
      </c>
      <c r="BJ321" s="9" t="str">
        <f>TMK[[#This Row],[To]]</f>
        <v>T379</v>
      </c>
      <c r="BK32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185 mm² XLPE</v>
      </c>
      <c r="BL321" s="9">
        <f>TMK[[#This Row],[Voltage]]</f>
        <v>11</v>
      </c>
    </row>
    <row r="322" spans="1:64" s="1" customFormat="1" x14ac:dyDescent="0.25">
      <c r="A322" s="6" t="str">
        <f>CONCATENATE(TMK[[#This Row],[Supply Level]],TMK[[#This Row],[Station/Feeder]],TMK[[#This Row],[Voltage]])</f>
        <v>DistributionFeederT652_Tie to WPC11</v>
      </c>
      <c r="B322" s="6" t="str">
        <f>CONCATENATE(TMK[[#This Row],[Supply Level]],TMK[[#This Row],[Station/Feeder]],TMK[[#This Row],[Equipment ID]],TMK[[#This Row],[Voltage]],TMK[[#This Row],[Device type]])</f>
        <v>DistributionFeederT652_Tie to WPC1-3c 185 mm² Al PILC11-</v>
      </c>
      <c r="C322" s="6" t="s">
        <v>1276</v>
      </c>
      <c r="D322" s="11" t="s">
        <v>124</v>
      </c>
      <c r="E322" s="7" t="s">
        <v>243</v>
      </c>
      <c r="F322" s="7" t="s">
        <v>682</v>
      </c>
      <c r="G322" s="56">
        <v>3</v>
      </c>
      <c r="H322" s="7" t="s">
        <v>585</v>
      </c>
      <c r="I322" s="123" t="s">
        <v>665</v>
      </c>
      <c r="J322" s="123" t="s">
        <v>250</v>
      </c>
      <c r="K322" s="46" t="s">
        <v>0</v>
      </c>
      <c r="L322" s="46" t="s">
        <v>0</v>
      </c>
      <c r="M322" s="43">
        <v>11</v>
      </c>
      <c r="N322" s="9">
        <v>300</v>
      </c>
      <c r="O322" s="9">
        <f t="shared" si="190"/>
        <v>5.715767664977295</v>
      </c>
      <c r="P322" s="9">
        <v>300</v>
      </c>
      <c r="Q322" s="9">
        <f t="shared" si="191"/>
        <v>5.715767664977295</v>
      </c>
      <c r="R322" s="9">
        <v>300</v>
      </c>
      <c r="S322" s="9">
        <f t="shared" si="192"/>
        <v>5.715767664977295</v>
      </c>
      <c r="T322" s="9" t="s">
        <v>0</v>
      </c>
      <c r="U322" s="9" t="str">
        <f t="shared" si="193"/>
        <v>-</v>
      </c>
      <c r="V322" s="9" t="s">
        <v>0</v>
      </c>
      <c r="W322" s="9" t="str">
        <f t="shared" si="194"/>
        <v>-</v>
      </c>
      <c r="X322" s="9" t="s">
        <v>0</v>
      </c>
      <c r="Y322" s="9" t="str">
        <f t="shared" ref="Y322" si="221">IF(OR(X322="",X322="-"),"-",X322*$M322*SQRT(3)/1000)</f>
        <v>-</v>
      </c>
      <c r="Z322" s="9" t="s">
        <v>0</v>
      </c>
      <c r="AA322" s="9" t="str">
        <f t="shared" ref="AA322" si="222">IF(OR(Z322="",Z322="-"),"-",Z322*$M322*SQRT(3)/1000)</f>
        <v>-</v>
      </c>
      <c r="AB322" s="9" t="s">
        <v>0</v>
      </c>
      <c r="AC322" s="9" t="str">
        <f t="shared" ref="AC322" si="223">IF(OR(AB322="",AB322="-"),"-",AB322*$M322*SQRT(3)/1000)</f>
        <v>-</v>
      </c>
      <c r="AD322" s="9" t="s">
        <v>0</v>
      </c>
      <c r="AE322" s="12" t="str">
        <f t="shared" ref="AE322" si="224">IF(OR(AD322="",AD322="-"),"-",AD322*$M322*SQRT(3)/1000)</f>
        <v>-</v>
      </c>
      <c r="AF322" s="9" t="s">
        <v>0</v>
      </c>
      <c r="AG322" s="9" t="s">
        <v>0</v>
      </c>
      <c r="AH322" s="9">
        <v>131.5</v>
      </c>
      <c r="AI322" s="9">
        <v>1</v>
      </c>
      <c r="AJ322" s="43">
        <v>0.98</v>
      </c>
      <c r="AK322" s="29">
        <v>19</v>
      </c>
      <c r="AL322" s="32">
        <v>0.97</v>
      </c>
      <c r="AM322" s="29">
        <v>1.2</v>
      </c>
      <c r="AN322" s="32">
        <v>1</v>
      </c>
      <c r="AO322" s="29">
        <v>2</v>
      </c>
      <c r="AP322" s="32">
        <v>0.15</v>
      </c>
      <c r="AQ322" s="32">
        <v>0.85</v>
      </c>
      <c r="AR322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242.40299999999999</v>
      </c>
      <c r="AS322" s="9">
        <f t="shared" ref="AS322" si="225">IF(OR(AR322="",AR322="-"),"-",AR322*$M322*SQRT(3)/1000)</f>
        <v>4.6183974309783045</v>
      </c>
      <c r="AT322" s="9">
        <f>IF(RIGHT(TMK[[#This Row],[Device type]],7)="Winding","-",TMK[[#This Row],[Cont Winter MVA]])</f>
        <v>5.715767664977295</v>
      </c>
      <c r="AU322" s="9">
        <f>IF(RIGHT(TMK[[#This Row],[Device type]],7)="Winding","-",TMK[[#This Row],[Cont Shoulder MVA]])</f>
        <v>5.715767664977295</v>
      </c>
      <c r="AV322" s="9">
        <f>IF(RIGHT(TMK[[#This Row],[Device type]],7)="Winding","-",TMK[[#This Row],[Cont Summer MVA]])</f>
        <v>5.715767664977295</v>
      </c>
      <c r="AW322" s="9" t="str">
        <f>IF(RIGHT(TMK[[#This Row],[Device type]],7)="Winding","-",TMK[[#This Row],[24 Hr Winter MVA]])</f>
        <v>-</v>
      </c>
      <c r="AX322" s="9" t="str">
        <f>IF(RIGHT(TMK[[#This Row],[Device type]],7)="Winding","-",TMK[[#This Row],[24 Hr Summer MVA]])</f>
        <v>-</v>
      </c>
      <c r="AY322" s="9" t="str">
        <f>TMK[[#This Row],[Forwards MVA]]</f>
        <v>-</v>
      </c>
      <c r="AZ322" s="9" t="str">
        <f>TMK[[#This Row],[Relay MVA]]</f>
        <v>-</v>
      </c>
      <c r="BA322" s="9" t="str">
        <f>TMK[[#This Row],[CT MVA]]</f>
        <v>-</v>
      </c>
      <c r="BB322" s="9">
        <f>TMK[[#This Row],[Derating MVA]]</f>
        <v>4.6183974309783045</v>
      </c>
      <c r="BC322" s="9" t="str">
        <f>TMK[[#This Row],[Station/Feeder]]&amp;TMK[[#This Row],[Lowest MVA]]</f>
        <v>T652_Tie to WPC4.6183974309783</v>
      </c>
      <c r="BD322" s="9" t="str">
        <f>CONCATENATE(TMK[[#This Row],[Supply Level]],TMK[[#This Row],[Station/Feeder]],TMK[[#This Row],[Voltage]],TMK[[#This Row],[Lowest A-No PTX]])</f>
        <v>DistributionFeederT652_Tie to WPC11242.403</v>
      </c>
      <c r="BE322" s="9" t="str">
        <f>CONCATENATE(TMK[[#This Row],[Supply Level]],TMK[[#This Row],[Station/Feeder]],TMK[[#This Row],[Voltage]],TMK[[#This Row],[Lowest A-PTX]])</f>
        <v>DistributionFeederT652_Tie to WPC11242.403</v>
      </c>
      <c r="BF322" s="9">
        <f>IFERROR(IF(MIN(TMK[[#This Row],[Summ Cont Winter A]:[Cable Derating]])=0,"",MIN(TMK[[#This Row],[Summ Cont Winter A]:[Cable Derating]])),"")</f>
        <v>4.6183974309783045</v>
      </c>
      <c r="BG322" s="9">
        <f>IFERROR(TMK[[#This Row],[Lowest MVA]]*1000/(TMK[[#This Row],[Voltage]]*SQRT(3)),"")</f>
        <v>242.40300000000002</v>
      </c>
      <c r="BH322" s="9">
        <f t="shared" si="195"/>
        <v>242.40299999999999</v>
      </c>
      <c r="BI322" s="9" t="str">
        <f>TMK[[#This Row],[From]]</f>
        <v>11 kV Bus</v>
      </c>
      <c r="BJ322" s="9" t="str">
        <f>TMK[[#This Row],[To]]</f>
        <v>T379</v>
      </c>
      <c r="BK32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185 mm² Al PILC</v>
      </c>
      <c r="BL322" s="9">
        <f>TMK[[#This Row],[Voltage]]</f>
        <v>11</v>
      </c>
    </row>
    <row r="323" spans="1:64" s="1" customFormat="1" ht="15" customHeight="1" x14ac:dyDescent="0.25">
      <c r="A323" s="6" t="str">
        <f>CONCATENATE(TMK[[#This Row],[Supply Level]],TMK[[#This Row],[Station/Feeder]],TMK[[#This Row],[Voltage]])</f>
        <v>DistributionFeederT652_Tie to WPC11</v>
      </c>
      <c r="B323" s="6" t="str">
        <f>CONCATENATE(TMK[[#This Row],[Supply Level]],TMK[[#This Row],[Station/Feeder]],TMK[[#This Row],[Equipment ID]],TMK[[#This Row],[Voltage]],TMK[[#This Row],[Device type]])</f>
        <v>DistributionFeederT652_Tie to WPCT37911-</v>
      </c>
      <c r="C323" s="6" t="s">
        <v>1276</v>
      </c>
      <c r="D323" s="11" t="s">
        <v>124</v>
      </c>
      <c r="E323" s="7" t="s">
        <v>243</v>
      </c>
      <c r="F323" s="7" t="s">
        <v>682</v>
      </c>
      <c r="G323" s="56">
        <v>4</v>
      </c>
      <c r="H323" s="7" t="s">
        <v>273</v>
      </c>
      <c r="I323" s="123" t="s">
        <v>682</v>
      </c>
      <c r="J323" s="123" t="s">
        <v>670</v>
      </c>
      <c r="K323" s="46" t="s">
        <v>0</v>
      </c>
      <c r="L323" s="46" t="s">
        <v>0</v>
      </c>
      <c r="M323" s="43">
        <v>11</v>
      </c>
      <c r="N323" s="9">
        <v>630</v>
      </c>
      <c r="O323" s="9">
        <f t="shared" si="190"/>
        <v>12.00311209645232</v>
      </c>
      <c r="P323" s="9">
        <v>630</v>
      </c>
      <c r="Q323" s="9">
        <f t="shared" si="191"/>
        <v>12.00311209645232</v>
      </c>
      <c r="R323" s="9">
        <v>630</v>
      </c>
      <c r="S323" s="9">
        <f t="shared" si="192"/>
        <v>12.00311209645232</v>
      </c>
      <c r="T323" s="9" t="s">
        <v>0</v>
      </c>
      <c r="U323" s="9" t="str">
        <f t="shared" si="193"/>
        <v>-</v>
      </c>
      <c r="V323" s="9" t="s">
        <v>0</v>
      </c>
      <c r="W323" s="9" t="str">
        <f t="shared" si="194"/>
        <v>-</v>
      </c>
      <c r="X323" s="9" t="s">
        <v>0</v>
      </c>
      <c r="Y323" s="9" t="str">
        <f t="shared" ref="Y323:Y348" si="226">IF(OR(X323="",X323="-"),"-",X323*$M323*SQRT(3)/1000)</f>
        <v>-</v>
      </c>
      <c r="Z323" s="9" t="s">
        <v>0</v>
      </c>
      <c r="AA323" s="9" t="str">
        <f t="shared" ref="AA323:AA348" si="227">IF(OR(Z323="",Z323="-"),"-",Z323*$M323*SQRT(3)/1000)</f>
        <v>-</v>
      </c>
      <c r="AB323" s="9" t="s">
        <v>0</v>
      </c>
      <c r="AC323" s="9" t="str">
        <f t="shared" ref="AC323:AC348" si="228">IF(OR(AB323="",AB323="-"),"-",AB323*$M323*SQRT(3)/1000)</f>
        <v>-</v>
      </c>
      <c r="AD323" s="9" t="s">
        <v>0</v>
      </c>
      <c r="AE323" s="12" t="str">
        <f t="shared" ref="AE323:AE348" si="229">IF(OR(AD323="",AD323="-"),"-",AD323*$M323*SQRT(3)/1000)</f>
        <v>-</v>
      </c>
      <c r="AF323" s="9" t="s">
        <v>0</v>
      </c>
      <c r="AG323" s="9" t="s">
        <v>0</v>
      </c>
      <c r="AH323" s="9" t="s">
        <v>0</v>
      </c>
      <c r="AI323" s="9" t="s">
        <v>0</v>
      </c>
      <c r="AJ323" s="43" t="s">
        <v>0</v>
      </c>
      <c r="AK323" s="29" t="s">
        <v>0</v>
      </c>
      <c r="AL323" s="32" t="s">
        <v>0</v>
      </c>
      <c r="AM323" s="29" t="s">
        <v>0</v>
      </c>
      <c r="AN323" s="32" t="s">
        <v>0</v>
      </c>
      <c r="AO323" s="29" t="s">
        <v>0</v>
      </c>
      <c r="AP323" s="32" t="s">
        <v>0</v>
      </c>
      <c r="AQ323" s="32" t="s">
        <v>0</v>
      </c>
      <c r="AR32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23" s="9" t="str">
        <f t="shared" ref="AS323:AS348" si="230">IF(OR(AR323="",AR323="-"),"-",AR323*$M323*SQRT(3)/1000)</f>
        <v>-</v>
      </c>
      <c r="AT323" s="9">
        <f>IF(RIGHT(TMK[[#This Row],[Device type]],7)="Winding","-",TMK[[#This Row],[Cont Winter MVA]])</f>
        <v>12.00311209645232</v>
      </c>
      <c r="AU323" s="9">
        <f>IF(RIGHT(TMK[[#This Row],[Device type]],7)="Winding","-",TMK[[#This Row],[Cont Shoulder MVA]])</f>
        <v>12.00311209645232</v>
      </c>
      <c r="AV323" s="9">
        <f>IF(RIGHT(TMK[[#This Row],[Device type]],7)="Winding","-",TMK[[#This Row],[Cont Summer MVA]])</f>
        <v>12.00311209645232</v>
      </c>
      <c r="AW323" s="9" t="str">
        <f>IF(RIGHT(TMK[[#This Row],[Device type]],7)="Winding","-",TMK[[#This Row],[24 Hr Winter MVA]])</f>
        <v>-</v>
      </c>
      <c r="AX323" s="9" t="str">
        <f>IF(RIGHT(TMK[[#This Row],[Device type]],7)="Winding","-",TMK[[#This Row],[24 Hr Summer MVA]])</f>
        <v>-</v>
      </c>
      <c r="AY323" s="9" t="str">
        <f>TMK[[#This Row],[Forwards MVA]]</f>
        <v>-</v>
      </c>
      <c r="AZ323" s="9" t="str">
        <f>TMK[[#This Row],[Relay MVA]]</f>
        <v>-</v>
      </c>
      <c r="BA323" s="9" t="str">
        <f>TMK[[#This Row],[CT MVA]]</f>
        <v>-</v>
      </c>
      <c r="BB323" s="9" t="str">
        <f>TMK[[#This Row],[Derating MVA]]</f>
        <v>-</v>
      </c>
      <c r="BC323" s="9" t="str">
        <f>TMK[[#This Row],[Station/Feeder]]&amp;TMK[[#This Row],[Lowest MVA]]</f>
        <v>T652_Tie to WPC12.0031120964523</v>
      </c>
      <c r="BD323" s="9" t="str">
        <f>CONCATENATE(TMK[[#This Row],[Supply Level]],TMK[[#This Row],[Station/Feeder]],TMK[[#This Row],[Voltage]],TMK[[#This Row],[Lowest A-No PTX]])</f>
        <v>DistributionFeederT652_Tie to WPC11630</v>
      </c>
      <c r="BE323" s="9" t="str">
        <f>CONCATENATE(TMK[[#This Row],[Supply Level]],TMK[[#This Row],[Station/Feeder]],TMK[[#This Row],[Voltage]],TMK[[#This Row],[Lowest A-PTX]])</f>
        <v>DistributionFeederT652_Tie to WPC11630</v>
      </c>
      <c r="BF323" s="9">
        <f>IFERROR(IF(MIN(TMK[[#This Row],[Summ Cont Winter A]:[Cable Derating]])=0,"",MIN(TMK[[#This Row],[Summ Cont Winter A]:[Cable Derating]])),"")</f>
        <v>12.00311209645232</v>
      </c>
      <c r="BG323" s="9">
        <f>IFERROR(TMK[[#This Row],[Lowest MVA]]*1000/(TMK[[#This Row],[Voltage]]*SQRT(3)),"")</f>
        <v>630</v>
      </c>
      <c r="BH323" s="9">
        <f t="shared" si="195"/>
        <v>630</v>
      </c>
      <c r="BI323" s="9" t="str">
        <f>TMK[[#This Row],[From]]</f>
        <v>11 kV Bus</v>
      </c>
      <c r="BJ323" s="9" t="str">
        <f>TMK[[#This Row],[To]]</f>
        <v>T379</v>
      </c>
      <c r="BK32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Switch-T379</v>
      </c>
      <c r="BL323" s="9">
        <f>TMK[[#This Row],[Voltage]]</f>
        <v>11</v>
      </c>
    </row>
    <row r="324" spans="1:64" s="1" customFormat="1" ht="15" customHeight="1" x14ac:dyDescent="0.25">
      <c r="A324" s="6" t="str">
        <f>CONCATENATE(TMK[[#This Row],[Supply Level]],TMK[[#This Row],[Station/Feeder]],TMK[[#This Row],[Voltage]])</f>
        <v>DistributionFeederT653_Chilled Water 311</v>
      </c>
      <c r="B324" s="6" t="str">
        <f>CONCATENATE(TMK[[#This Row],[Supply Level]],TMK[[#This Row],[Station/Feeder]],TMK[[#This Row],[Equipment ID]],TMK[[#This Row],[Voltage]],TMK[[#This Row],[Device type]])</f>
        <v>DistributionFeederT653_Chilled Water 3CD2-T65311Protection</v>
      </c>
      <c r="C324" s="6" t="s">
        <v>1276</v>
      </c>
      <c r="D324" s="11" t="s">
        <v>132</v>
      </c>
      <c r="E324" s="7" t="s">
        <v>243</v>
      </c>
      <c r="F324" s="7" t="s">
        <v>683</v>
      </c>
      <c r="G324" s="56">
        <v>1</v>
      </c>
      <c r="H324" s="7" t="s">
        <v>343</v>
      </c>
      <c r="I324" s="123" t="s">
        <v>2456</v>
      </c>
      <c r="J324" s="123" t="s">
        <v>15</v>
      </c>
      <c r="K324" s="46" t="s">
        <v>663</v>
      </c>
      <c r="L324" s="46" t="s">
        <v>1423</v>
      </c>
      <c r="M324" s="43">
        <v>11</v>
      </c>
      <c r="N324" s="9">
        <v>630</v>
      </c>
      <c r="O324" s="9">
        <f t="shared" si="190"/>
        <v>12.00311209645232</v>
      </c>
      <c r="P324" s="9">
        <v>630</v>
      </c>
      <c r="Q324" s="9">
        <f t="shared" si="191"/>
        <v>12.00311209645232</v>
      </c>
      <c r="R324" s="9">
        <v>630</v>
      </c>
      <c r="S324" s="9">
        <f t="shared" si="192"/>
        <v>12.00311209645232</v>
      </c>
      <c r="T324" s="9" t="s">
        <v>0</v>
      </c>
      <c r="U324" s="9" t="str">
        <f t="shared" si="193"/>
        <v>-</v>
      </c>
      <c r="V324" s="9" t="s">
        <v>0</v>
      </c>
      <c r="W324" s="9" t="str">
        <f t="shared" si="194"/>
        <v>-</v>
      </c>
      <c r="X324" s="9">
        <f>VLOOKUP(TMK[[#This Row],[Equipment ID]],AEL_Protection_Data[#All],12,0)</f>
        <v>480</v>
      </c>
      <c r="Y324" s="9">
        <f t="shared" si="226"/>
        <v>9.1452282639636717</v>
      </c>
      <c r="Z324" s="9">
        <f>TMK[[#This Row],[Forward A]]</f>
        <v>480</v>
      </c>
      <c r="AA324" s="9">
        <f t="shared" si="227"/>
        <v>9.1452282639636717</v>
      </c>
      <c r="AB324" s="9" t="s">
        <v>0</v>
      </c>
      <c r="AC324" s="9" t="str">
        <f t="shared" si="228"/>
        <v>-</v>
      </c>
      <c r="AD324" s="9" t="s">
        <v>0</v>
      </c>
      <c r="AE324" s="12" t="str">
        <f t="shared" si="229"/>
        <v>-</v>
      </c>
      <c r="AF324" s="9" t="s">
        <v>0</v>
      </c>
      <c r="AG324" s="9" t="s">
        <v>0</v>
      </c>
      <c r="AH324" s="9" t="s">
        <v>0</v>
      </c>
      <c r="AI324" s="9" t="s">
        <v>0</v>
      </c>
      <c r="AJ324" s="43" t="s">
        <v>0</v>
      </c>
      <c r="AK324" s="29" t="s">
        <v>0</v>
      </c>
      <c r="AL324" s="32" t="s">
        <v>0</v>
      </c>
      <c r="AM324" s="29" t="s">
        <v>0</v>
      </c>
      <c r="AN324" s="32" t="s">
        <v>0</v>
      </c>
      <c r="AO324" s="29" t="s">
        <v>0</v>
      </c>
      <c r="AP324" s="32" t="s">
        <v>0</v>
      </c>
      <c r="AQ324" s="32" t="s">
        <v>0</v>
      </c>
      <c r="AR324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24" s="9" t="str">
        <f t="shared" si="230"/>
        <v>-</v>
      </c>
      <c r="AT324" s="9">
        <f>IF(RIGHT(TMK[[#This Row],[Device type]],7)="Winding","-",TMK[[#This Row],[Cont Winter MVA]])</f>
        <v>12.00311209645232</v>
      </c>
      <c r="AU324" s="9">
        <f>IF(RIGHT(TMK[[#This Row],[Device type]],7)="Winding","-",TMK[[#This Row],[Cont Shoulder MVA]])</f>
        <v>12.00311209645232</v>
      </c>
      <c r="AV324" s="9">
        <f>IF(RIGHT(TMK[[#This Row],[Device type]],7)="Winding","-",TMK[[#This Row],[Cont Summer MVA]])</f>
        <v>12.00311209645232</v>
      </c>
      <c r="AW324" s="9" t="str">
        <f>IF(RIGHT(TMK[[#This Row],[Device type]],7)="Winding","-",TMK[[#This Row],[24 Hr Winter MVA]])</f>
        <v>-</v>
      </c>
      <c r="AX324" s="9" t="str">
        <f>IF(RIGHT(TMK[[#This Row],[Device type]],7)="Winding","-",TMK[[#This Row],[24 Hr Summer MVA]])</f>
        <v>-</v>
      </c>
      <c r="AY324" s="9">
        <f>TMK[[#This Row],[Forwards MVA]]</f>
        <v>9.1452282639636717</v>
      </c>
      <c r="AZ324" s="9" t="str">
        <f>TMK[[#This Row],[Relay MVA]]</f>
        <v>-</v>
      </c>
      <c r="BA324" s="9" t="str">
        <f>TMK[[#This Row],[CT MVA]]</f>
        <v>-</v>
      </c>
      <c r="BB324" s="9" t="str">
        <f>TMK[[#This Row],[Derating MVA]]</f>
        <v>-</v>
      </c>
      <c r="BC324" s="9" t="str">
        <f>TMK[[#This Row],[Station/Feeder]]&amp;TMK[[#This Row],[Lowest MVA]]</f>
        <v>T653_Chilled Water 39.14522826396367</v>
      </c>
      <c r="BD324" s="9" t="str">
        <f>CONCATENATE(TMK[[#This Row],[Supply Level]],TMK[[#This Row],[Station/Feeder]],TMK[[#This Row],[Voltage]],TMK[[#This Row],[Lowest A-No PTX]])</f>
        <v>DistributionFeederT653_Chilled Water 311480</v>
      </c>
      <c r="BE324" s="9" t="str">
        <f>CONCATENATE(TMK[[#This Row],[Supply Level]],TMK[[#This Row],[Station/Feeder]],TMK[[#This Row],[Voltage]],TMK[[#This Row],[Lowest A-PTX]])</f>
        <v>DistributionFeederT653_Chilled Water 311480</v>
      </c>
      <c r="BF324" s="9">
        <f>IFERROR(IF(MIN(TMK[[#This Row],[Summ Cont Winter A]:[Cable Derating]])=0,"",MIN(TMK[[#This Row],[Summ Cont Winter A]:[Cable Derating]])),"")</f>
        <v>9.1452282639636717</v>
      </c>
      <c r="BG324" s="9">
        <f>IFERROR(TMK[[#This Row],[Lowest MVA]]*1000/(TMK[[#This Row],[Voltage]]*SQRT(3)),"")</f>
        <v>480.00000000000006</v>
      </c>
      <c r="BH324" s="9">
        <f t="shared" si="195"/>
        <v>480</v>
      </c>
      <c r="BI324" s="9" t="str">
        <f>TMK[[#This Row],[From]]</f>
        <v>11 kV Bus</v>
      </c>
      <c r="BJ324" s="9" t="str">
        <f>TMK[[#This Row],[To]]</f>
        <v>T373</v>
      </c>
      <c r="BK32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Breaker-CD2-T653-Protection</v>
      </c>
      <c r="BL324" s="9">
        <f>TMK[[#This Row],[Voltage]]</f>
        <v>11</v>
      </c>
    </row>
    <row r="325" spans="1:64" s="1" customFormat="1" ht="15" customHeight="1" x14ac:dyDescent="0.25">
      <c r="A325" s="6" t="str">
        <f>CONCATENATE(TMK[[#This Row],[Supply Level]],TMK[[#This Row],[Station/Feeder]],TMK[[#This Row],[Voltage]])</f>
        <v>DistributionFeederT653_Chilled Water 311</v>
      </c>
      <c r="B325" s="6" t="str">
        <f>CONCATENATE(TMK[[#This Row],[Supply Level]],TMK[[#This Row],[Station/Feeder]],TMK[[#This Row],[Equipment ID]],TMK[[#This Row],[Voltage]],TMK[[#This Row],[Device type]])</f>
        <v>DistributionFeederT653_Chilled Water 31-3c 300 mm² Al XLPE11-</v>
      </c>
      <c r="C325" s="6" t="s">
        <v>1276</v>
      </c>
      <c r="D325" s="11" t="s">
        <v>132</v>
      </c>
      <c r="E325" s="7" t="s">
        <v>243</v>
      </c>
      <c r="F325" s="7" t="s">
        <v>683</v>
      </c>
      <c r="G325" s="56">
        <v>2</v>
      </c>
      <c r="H325" s="7" t="s">
        <v>585</v>
      </c>
      <c r="I325" s="123" t="s">
        <v>569</v>
      </c>
      <c r="J325" s="123" t="s">
        <v>250</v>
      </c>
      <c r="K325" s="46" t="s">
        <v>0</v>
      </c>
      <c r="L325" s="46" t="s">
        <v>0</v>
      </c>
      <c r="M325" s="43">
        <v>11</v>
      </c>
      <c r="N325" s="9">
        <v>476</v>
      </c>
      <c r="O325" s="9">
        <f t="shared" si="190"/>
        <v>9.0690180284306408</v>
      </c>
      <c r="P325" s="9">
        <v>476</v>
      </c>
      <c r="Q325" s="9">
        <f t="shared" si="191"/>
        <v>9.0690180284306408</v>
      </c>
      <c r="R325" s="9">
        <v>476</v>
      </c>
      <c r="S325" s="9">
        <f t="shared" si="192"/>
        <v>9.0690180284306408</v>
      </c>
      <c r="T325" s="9" t="s">
        <v>0</v>
      </c>
      <c r="U325" s="9" t="str">
        <f t="shared" si="193"/>
        <v>-</v>
      </c>
      <c r="V325" s="9" t="s">
        <v>0</v>
      </c>
      <c r="W325" s="9" t="str">
        <f t="shared" si="194"/>
        <v>-</v>
      </c>
      <c r="X325" s="9" t="s">
        <v>0</v>
      </c>
      <c r="Y325" s="9" t="str">
        <f t="shared" si="226"/>
        <v>-</v>
      </c>
      <c r="Z325" s="9" t="s">
        <v>0</v>
      </c>
      <c r="AA325" s="9" t="str">
        <f t="shared" si="227"/>
        <v>-</v>
      </c>
      <c r="AB325" s="9" t="s">
        <v>0</v>
      </c>
      <c r="AC325" s="9" t="str">
        <f t="shared" si="228"/>
        <v>-</v>
      </c>
      <c r="AD325" s="9" t="s">
        <v>0</v>
      </c>
      <c r="AE325" s="12" t="str">
        <f t="shared" si="229"/>
        <v>-</v>
      </c>
      <c r="AF325" s="9" t="s">
        <v>0</v>
      </c>
      <c r="AG325" s="9" t="s">
        <v>0</v>
      </c>
      <c r="AH325" s="9">
        <v>62.1</v>
      </c>
      <c r="AI325" s="9">
        <v>1</v>
      </c>
      <c r="AJ325" s="43">
        <v>0.98</v>
      </c>
      <c r="AK325" s="29">
        <v>19</v>
      </c>
      <c r="AL325" s="32">
        <v>0.97</v>
      </c>
      <c r="AM325" s="29">
        <v>1.2</v>
      </c>
      <c r="AN325" s="32">
        <v>1</v>
      </c>
      <c r="AO325" s="29">
        <v>4</v>
      </c>
      <c r="AP325" s="32">
        <v>0.15</v>
      </c>
      <c r="AQ325" s="32">
        <v>0.7</v>
      </c>
      <c r="AR325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316.73991999999998</v>
      </c>
      <c r="AS325" s="9">
        <f t="shared" si="230"/>
        <v>6.0347059764783175</v>
      </c>
      <c r="AT325" s="9">
        <f>IF(RIGHT(TMK[[#This Row],[Device type]],7)="Winding","-",TMK[[#This Row],[Cont Winter MVA]])</f>
        <v>9.0690180284306408</v>
      </c>
      <c r="AU325" s="9">
        <f>IF(RIGHT(TMK[[#This Row],[Device type]],7)="Winding","-",TMK[[#This Row],[Cont Shoulder MVA]])</f>
        <v>9.0690180284306408</v>
      </c>
      <c r="AV325" s="9">
        <f>IF(RIGHT(TMK[[#This Row],[Device type]],7)="Winding","-",TMK[[#This Row],[Cont Summer MVA]])</f>
        <v>9.0690180284306408</v>
      </c>
      <c r="AW325" s="9" t="str">
        <f>IF(RIGHT(TMK[[#This Row],[Device type]],7)="Winding","-",TMK[[#This Row],[24 Hr Winter MVA]])</f>
        <v>-</v>
      </c>
      <c r="AX325" s="9" t="str">
        <f>IF(RIGHT(TMK[[#This Row],[Device type]],7)="Winding","-",TMK[[#This Row],[24 Hr Summer MVA]])</f>
        <v>-</v>
      </c>
      <c r="AY325" s="9" t="str">
        <f>TMK[[#This Row],[Forwards MVA]]</f>
        <v>-</v>
      </c>
      <c r="AZ325" s="9" t="str">
        <f>TMK[[#This Row],[Relay MVA]]</f>
        <v>-</v>
      </c>
      <c r="BA325" s="9" t="str">
        <f>TMK[[#This Row],[CT MVA]]</f>
        <v>-</v>
      </c>
      <c r="BB325" s="9">
        <f>TMK[[#This Row],[Derating MVA]]</f>
        <v>6.0347059764783175</v>
      </c>
      <c r="BC325" s="9" t="str">
        <f>TMK[[#This Row],[Station/Feeder]]&amp;TMK[[#This Row],[Lowest MVA]]</f>
        <v>T653_Chilled Water 36.03470597647832</v>
      </c>
      <c r="BD325" s="9" t="str">
        <f>CONCATENATE(TMK[[#This Row],[Supply Level]],TMK[[#This Row],[Station/Feeder]],TMK[[#This Row],[Voltage]],TMK[[#This Row],[Lowest A-No PTX]])</f>
        <v>DistributionFeederT653_Chilled Water 311316.73992</v>
      </c>
      <c r="BE325" s="9" t="str">
        <f>CONCATENATE(TMK[[#This Row],[Supply Level]],TMK[[#This Row],[Station/Feeder]],TMK[[#This Row],[Voltage]],TMK[[#This Row],[Lowest A-PTX]])</f>
        <v>DistributionFeederT653_Chilled Water 311316.73992</v>
      </c>
      <c r="BF325" s="9">
        <f>IFERROR(IF(MIN(TMK[[#This Row],[Summ Cont Winter A]:[Cable Derating]])=0,"",MIN(TMK[[#This Row],[Summ Cont Winter A]:[Cable Derating]])),"")</f>
        <v>6.0347059764783175</v>
      </c>
      <c r="BG325" s="9">
        <f>IFERROR(TMK[[#This Row],[Lowest MVA]]*1000/(TMK[[#This Row],[Voltage]]*SQRT(3)),"")</f>
        <v>316.73991999999998</v>
      </c>
      <c r="BH325" s="9">
        <f t="shared" si="195"/>
        <v>316.73991999999998</v>
      </c>
      <c r="BI325" s="9" t="str">
        <f>TMK[[#This Row],[From]]</f>
        <v>11 kV Bus</v>
      </c>
      <c r="BJ325" s="9" t="str">
        <f>TMK[[#This Row],[To]]</f>
        <v>T373</v>
      </c>
      <c r="BK32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XLPE</v>
      </c>
      <c r="BL325" s="9">
        <f>TMK[[#This Row],[Voltage]]</f>
        <v>11</v>
      </c>
    </row>
    <row r="326" spans="1:64" s="1" customFormat="1" ht="15" customHeight="1" x14ac:dyDescent="0.25">
      <c r="A326" s="6" t="str">
        <f>CONCATENATE(TMK[[#This Row],[Supply Level]],TMK[[#This Row],[Station/Feeder]],TMK[[#This Row],[Voltage]])</f>
        <v>DistributionFeederT653_Chilled Water 311</v>
      </c>
      <c r="B326" s="6" t="str">
        <f>CONCATENATE(TMK[[#This Row],[Supply Level]],TMK[[#This Row],[Station/Feeder]],TMK[[#This Row],[Equipment ID]],TMK[[#This Row],[Voltage]],TMK[[#This Row],[Device type]])</f>
        <v>DistributionFeederT653_Chilled Water 3T37311-</v>
      </c>
      <c r="C326" s="6" t="s">
        <v>1276</v>
      </c>
      <c r="D326" s="11" t="s">
        <v>132</v>
      </c>
      <c r="E326" s="7" t="s">
        <v>243</v>
      </c>
      <c r="F326" s="7" t="s">
        <v>683</v>
      </c>
      <c r="G326" s="56">
        <v>3</v>
      </c>
      <c r="H326" s="7" t="s">
        <v>273</v>
      </c>
      <c r="I326" s="123" t="s">
        <v>683</v>
      </c>
      <c r="J326" s="123" t="s">
        <v>670</v>
      </c>
      <c r="K326" s="46" t="s">
        <v>0</v>
      </c>
      <c r="L326" s="46" t="s">
        <v>0</v>
      </c>
      <c r="M326" s="43">
        <v>11</v>
      </c>
      <c r="N326" s="9">
        <v>630</v>
      </c>
      <c r="O326" s="9">
        <f t="shared" si="190"/>
        <v>12.00311209645232</v>
      </c>
      <c r="P326" s="9">
        <v>630</v>
      </c>
      <c r="Q326" s="9">
        <f t="shared" si="191"/>
        <v>12.00311209645232</v>
      </c>
      <c r="R326" s="9">
        <v>630</v>
      </c>
      <c r="S326" s="9">
        <f t="shared" si="192"/>
        <v>12.00311209645232</v>
      </c>
      <c r="T326" s="9" t="s">
        <v>0</v>
      </c>
      <c r="U326" s="9" t="str">
        <f t="shared" si="193"/>
        <v>-</v>
      </c>
      <c r="V326" s="9" t="s">
        <v>0</v>
      </c>
      <c r="W326" s="9" t="str">
        <f t="shared" si="194"/>
        <v>-</v>
      </c>
      <c r="X326" s="9" t="s">
        <v>0</v>
      </c>
      <c r="Y326" s="9" t="str">
        <f t="shared" si="226"/>
        <v>-</v>
      </c>
      <c r="Z326" s="9" t="s">
        <v>0</v>
      </c>
      <c r="AA326" s="9" t="str">
        <f t="shared" si="227"/>
        <v>-</v>
      </c>
      <c r="AB326" s="9" t="s">
        <v>0</v>
      </c>
      <c r="AC326" s="9" t="str">
        <f t="shared" si="228"/>
        <v>-</v>
      </c>
      <c r="AD326" s="9" t="s">
        <v>0</v>
      </c>
      <c r="AE326" s="12" t="str">
        <f t="shared" si="229"/>
        <v>-</v>
      </c>
      <c r="AF326" s="9" t="s">
        <v>0</v>
      </c>
      <c r="AG326" s="9" t="s">
        <v>0</v>
      </c>
      <c r="AH326" s="9" t="s">
        <v>0</v>
      </c>
      <c r="AI326" s="9" t="s">
        <v>0</v>
      </c>
      <c r="AJ326" s="43" t="s">
        <v>0</v>
      </c>
      <c r="AK326" s="29" t="s">
        <v>0</v>
      </c>
      <c r="AL326" s="32" t="s">
        <v>0</v>
      </c>
      <c r="AM326" s="29" t="s">
        <v>0</v>
      </c>
      <c r="AN326" s="32" t="s">
        <v>0</v>
      </c>
      <c r="AO326" s="29" t="s">
        <v>0</v>
      </c>
      <c r="AP326" s="32" t="s">
        <v>0</v>
      </c>
      <c r="AQ326" s="32" t="s">
        <v>0</v>
      </c>
      <c r="AR32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26" s="9" t="str">
        <f t="shared" si="230"/>
        <v>-</v>
      </c>
      <c r="AT326" s="9">
        <f>IF(RIGHT(TMK[[#This Row],[Device type]],7)="Winding","-",TMK[[#This Row],[Cont Winter MVA]])</f>
        <v>12.00311209645232</v>
      </c>
      <c r="AU326" s="9">
        <f>IF(RIGHT(TMK[[#This Row],[Device type]],7)="Winding","-",TMK[[#This Row],[Cont Shoulder MVA]])</f>
        <v>12.00311209645232</v>
      </c>
      <c r="AV326" s="9">
        <f>IF(RIGHT(TMK[[#This Row],[Device type]],7)="Winding","-",TMK[[#This Row],[Cont Summer MVA]])</f>
        <v>12.00311209645232</v>
      </c>
      <c r="AW326" s="9" t="str">
        <f>IF(RIGHT(TMK[[#This Row],[Device type]],7)="Winding","-",TMK[[#This Row],[24 Hr Winter MVA]])</f>
        <v>-</v>
      </c>
      <c r="AX326" s="9" t="str">
        <f>IF(RIGHT(TMK[[#This Row],[Device type]],7)="Winding","-",TMK[[#This Row],[24 Hr Summer MVA]])</f>
        <v>-</v>
      </c>
      <c r="AY326" s="9" t="str">
        <f>TMK[[#This Row],[Forwards MVA]]</f>
        <v>-</v>
      </c>
      <c r="AZ326" s="9" t="str">
        <f>TMK[[#This Row],[Relay MVA]]</f>
        <v>-</v>
      </c>
      <c r="BA326" s="9" t="str">
        <f>TMK[[#This Row],[CT MVA]]</f>
        <v>-</v>
      </c>
      <c r="BB326" s="9" t="str">
        <f>TMK[[#This Row],[Derating MVA]]</f>
        <v>-</v>
      </c>
      <c r="BC326" s="9" t="str">
        <f>TMK[[#This Row],[Station/Feeder]]&amp;TMK[[#This Row],[Lowest MVA]]</f>
        <v>T653_Chilled Water 312.0031120964523</v>
      </c>
      <c r="BD326" s="9" t="str">
        <f>CONCATENATE(TMK[[#This Row],[Supply Level]],TMK[[#This Row],[Station/Feeder]],TMK[[#This Row],[Voltage]],TMK[[#This Row],[Lowest A-No PTX]])</f>
        <v>DistributionFeederT653_Chilled Water 311630</v>
      </c>
      <c r="BE326" s="9" t="str">
        <f>CONCATENATE(TMK[[#This Row],[Supply Level]],TMK[[#This Row],[Station/Feeder]],TMK[[#This Row],[Voltage]],TMK[[#This Row],[Lowest A-PTX]])</f>
        <v>DistributionFeederT653_Chilled Water 311630</v>
      </c>
      <c r="BF326" s="9">
        <f>IFERROR(IF(MIN(TMK[[#This Row],[Summ Cont Winter A]:[Cable Derating]])=0,"",MIN(TMK[[#This Row],[Summ Cont Winter A]:[Cable Derating]])),"")</f>
        <v>12.00311209645232</v>
      </c>
      <c r="BG326" s="9">
        <f>IFERROR(TMK[[#This Row],[Lowest MVA]]*1000/(TMK[[#This Row],[Voltage]]*SQRT(3)),"")</f>
        <v>630</v>
      </c>
      <c r="BH326" s="9">
        <f t="shared" si="195"/>
        <v>630</v>
      </c>
      <c r="BI326" s="9" t="str">
        <f>TMK[[#This Row],[From]]</f>
        <v>11 kV Bus</v>
      </c>
      <c r="BJ326" s="9" t="str">
        <f>TMK[[#This Row],[To]]</f>
        <v>T373</v>
      </c>
      <c r="BK32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Switch-T373</v>
      </c>
      <c r="BL326" s="9">
        <f>TMK[[#This Row],[Voltage]]</f>
        <v>11</v>
      </c>
    </row>
    <row r="327" spans="1:64" s="1" customFormat="1" ht="15" customHeight="1" x14ac:dyDescent="0.25">
      <c r="A327" s="6" t="str">
        <f>CONCATENATE(TMK[[#This Row],[Supply Level]],TMK[[#This Row],[Station/Feeder]],TMK[[#This Row],[Voltage]])</f>
        <v>DistributionFeederT654_Tie to Boiler House11</v>
      </c>
      <c r="B327" s="6" t="str">
        <f>CONCATENATE(TMK[[#This Row],[Supply Level]],TMK[[#This Row],[Station/Feeder]],TMK[[#This Row],[Equipment ID]],TMK[[#This Row],[Voltage]],TMK[[#This Row],[Device type]])</f>
        <v>DistributionFeederT654_Tie to Boiler HouseCD2-T65411Protection</v>
      </c>
      <c r="C327" s="6" t="s">
        <v>1276</v>
      </c>
      <c r="D327" s="11" t="s">
        <v>138</v>
      </c>
      <c r="E327" s="7" t="s">
        <v>243</v>
      </c>
      <c r="F327" s="7" t="s">
        <v>684</v>
      </c>
      <c r="G327" s="56">
        <v>1</v>
      </c>
      <c r="H327" s="7" t="s">
        <v>343</v>
      </c>
      <c r="I327" s="123" t="s">
        <v>2457</v>
      </c>
      <c r="J327" s="123" t="s">
        <v>15</v>
      </c>
      <c r="K327" s="46" t="s">
        <v>663</v>
      </c>
      <c r="L327" s="46" t="s">
        <v>1423</v>
      </c>
      <c r="M327" s="43">
        <v>11</v>
      </c>
      <c r="N327" s="9">
        <v>630</v>
      </c>
      <c r="O327" s="9">
        <f t="shared" si="190"/>
        <v>12.00311209645232</v>
      </c>
      <c r="P327" s="9">
        <v>630</v>
      </c>
      <c r="Q327" s="9">
        <f t="shared" si="191"/>
        <v>12.00311209645232</v>
      </c>
      <c r="R327" s="9">
        <v>630</v>
      </c>
      <c r="S327" s="9">
        <f t="shared" si="192"/>
        <v>12.00311209645232</v>
      </c>
      <c r="T327" s="9" t="s">
        <v>0</v>
      </c>
      <c r="U327" s="9" t="str">
        <f t="shared" si="193"/>
        <v>-</v>
      </c>
      <c r="V327" s="9" t="s">
        <v>0</v>
      </c>
      <c r="W327" s="9" t="str">
        <f t="shared" si="194"/>
        <v>-</v>
      </c>
      <c r="X327" s="9">
        <f>VLOOKUP(TMK[[#This Row],[Equipment ID]],AEL_Protection_Data[#All],12,0)</f>
        <v>480</v>
      </c>
      <c r="Y327" s="9">
        <f t="shared" si="226"/>
        <v>9.1452282639636717</v>
      </c>
      <c r="Z327" s="9">
        <f>TMK[[#This Row],[Forward A]]</f>
        <v>480</v>
      </c>
      <c r="AA327" s="9">
        <f t="shared" si="227"/>
        <v>9.1452282639636717</v>
      </c>
      <c r="AB327" s="9" t="s">
        <v>0</v>
      </c>
      <c r="AC327" s="9" t="str">
        <f t="shared" si="228"/>
        <v>-</v>
      </c>
      <c r="AD327" s="9" t="s">
        <v>0</v>
      </c>
      <c r="AE327" s="12" t="str">
        <f t="shared" si="229"/>
        <v>-</v>
      </c>
      <c r="AF327" s="9" t="s">
        <v>0</v>
      </c>
      <c r="AG327" s="9" t="s">
        <v>0</v>
      </c>
      <c r="AH327" s="9" t="s">
        <v>0</v>
      </c>
      <c r="AI327" s="9" t="s">
        <v>0</v>
      </c>
      <c r="AJ327" s="43" t="s">
        <v>0</v>
      </c>
      <c r="AK327" s="29" t="s">
        <v>0</v>
      </c>
      <c r="AL327" s="32" t="s">
        <v>0</v>
      </c>
      <c r="AM327" s="29" t="s">
        <v>0</v>
      </c>
      <c r="AN327" s="32" t="s">
        <v>0</v>
      </c>
      <c r="AO327" s="29" t="s">
        <v>0</v>
      </c>
      <c r="AP327" s="32" t="s">
        <v>0</v>
      </c>
      <c r="AQ327" s="32" t="s">
        <v>0</v>
      </c>
      <c r="AR327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27" s="9" t="str">
        <f t="shared" si="230"/>
        <v>-</v>
      </c>
      <c r="AT327" s="9">
        <f>IF(RIGHT(TMK[[#This Row],[Device type]],7)="Winding","-",TMK[[#This Row],[Cont Winter MVA]])</f>
        <v>12.00311209645232</v>
      </c>
      <c r="AU327" s="9">
        <f>IF(RIGHT(TMK[[#This Row],[Device type]],7)="Winding","-",TMK[[#This Row],[Cont Shoulder MVA]])</f>
        <v>12.00311209645232</v>
      </c>
      <c r="AV327" s="9">
        <f>IF(RIGHT(TMK[[#This Row],[Device type]],7)="Winding","-",TMK[[#This Row],[Cont Summer MVA]])</f>
        <v>12.00311209645232</v>
      </c>
      <c r="AW327" s="9" t="str">
        <f>IF(RIGHT(TMK[[#This Row],[Device type]],7)="Winding","-",TMK[[#This Row],[24 Hr Winter MVA]])</f>
        <v>-</v>
      </c>
      <c r="AX327" s="9" t="str">
        <f>IF(RIGHT(TMK[[#This Row],[Device type]],7)="Winding","-",TMK[[#This Row],[24 Hr Summer MVA]])</f>
        <v>-</v>
      </c>
      <c r="AY327" s="9">
        <f>TMK[[#This Row],[Forwards MVA]]</f>
        <v>9.1452282639636717</v>
      </c>
      <c r="AZ327" s="9" t="str">
        <f>TMK[[#This Row],[Relay MVA]]</f>
        <v>-</v>
      </c>
      <c r="BA327" s="9" t="str">
        <f>TMK[[#This Row],[CT MVA]]</f>
        <v>-</v>
      </c>
      <c r="BB327" s="9" t="str">
        <f>TMK[[#This Row],[Derating MVA]]</f>
        <v>-</v>
      </c>
      <c r="BC327" s="9" t="str">
        <f>TMK[[#This Row],[Station/Feeder]]&amp;TMK[[#This Row],[Lowest MVA]]</f>
        <v>T654_Tie to Boiler House9.14522826396367</v>
      </c>
      <c r="BD327" s="9" t="str">
        <f>CONCATENATE(TMK[[#This Row],[Supply Level]],TMK[[#This Row],[Station/Feeder]],TMK[[#This Row],[Voltage]],TMK[[#This Row],[Lowest A-No PTX]])</f>
        <v>DistributionFeederT654_Tie to Boiler House11480</v>
      </c>
      <c r="BE327" s="9" t="str">
        <f>CONCATENATE(TMK[[#This Row],[Supply Level]],TMK[[#This Row],[Station/Feeder]],TMK[[#This Row],[Voltage]],TMK[[#This Row],[Lowest A-PTX]])</f>
        <v>DistributionFeederT654_Tie to Boiler House11480</v>
      </c>
      <c r="BF327" s="9">
        <f>IFERROR(IF(MIN(TMK[[#This Row],[Summ Cont Winter A]:[Cable Derating]])=0,"",MIN(TMK[[#This Row],[Summ Cont Winter A]:[Cable Derating]])),"")</f>
        <v>9.1452282639636717</v>
      </c>
      <c r="BG327" s="9">
        <f>IFERROR(TMK[[#This Row],[Lowest MVA]]*1000/(TMK[[#This Row],[Voltage]]*SQRT(3)),"")</f>
        <v>480.00000000000006</v>
      </c>
      <c r="BH327" s="9">
        <f t="shared" si="195"/>
        <v>480</v>
      </c>
      <c r="BI327" s="9" t="str">
        <f>TMK[[#This Row],[From]]</f>
        <v>11 kV Bus</v>
      </c>
      <c r="BJ327" s="9" t="str">
        <f>TMK[[#This Row],[To]]</f>
        <v>T670</v>
      </c>
      <c r="BK32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Breaker-CD2-T654-Protection</v>
      </c>
      <c r="BL327" s="9">
        <f>TMK[[#This Row],[Voltage]]</f>
        <v>11</v>
      </c>
    </row>
    <row r="328" spans="1:64" s="1" customFormat="1" ht="15" customHeight="1" x14ac:dyDescent="0.25">
      <c r="A328" s="6" t="str">
        <f>CONCATENATE(TMK[[#This Row],[Supply Level]],TMK[[#This Row],[Station/Feeder]],TMK[[#This Row],[Voltage]])</f>
        <v>DistributionFeederT654_Tie to Boiler House11</v>
      </c>
      <c r="B328" s="6" t="str">
        <f>CONCATENATE(TMK[[#This Row],[Supply Level]],TMK[[#This Row],[Station/Feeder]],TMK[[#This Row],[Equipment ID]],TMK[[#This Row],[Voltage]],TMK[[#This Row],[Device type]])</f>
        <v>DistributionFeederT654_Tie to Boiler House1-3c 300 mm² Al XLPE11-</v>
      </c>
      <c r="C328" s="6" t="s">
        <v>1276</v>
      </c>
      <c r="D328" s="11" t="s">
        <v>138</v>
      </c>
      <c r="E328" s="7" t="s">
        <v>243</v>
      </c>
      <c r="F328" s="7" t="s">
        <v>684</v>
      </c>
      <c r="G328" s="56">
        <v>2</v>
      </c>
      <c r="H328" s="7" t="s">
        <v>585</v>
      </c>
      <c r="I328" s="123" t="s">
        <v>569</v>
      </c>
      <c r="J328" s="123" t="s">
        <v>250</v>
      </c>
      <c r="K328" s="46" t="s">
        <v>0</v>
      </c>
      <c r="L328" s="46" t="s">
        <v>0</v>
      </c>
      <c r="M328" s="43">
        <v>11</v>
      </c>
      <c r="N328" s="9">
        <v>417</v>
      </c>
      <c r="O328" s="9">
        <f t="shared" si="190"/>
        <v>7.9449170543184398</v>
      </c>
      <c r="P328" s="9">
        <v>417</v>
      </c>
      <c r="Q328" s="9">
        <f t="shared" si="191"/>
        <v>7.9449170543184398</v>
      </c>
      <c r="R328" s="9">
        <v>417</v>
      </c>
      <c r="S328" s="9">
        <f t="shared" si="192"/>
        <v>7.9449170543184398</v>
      </c>
      <c r="T328" s="9" t="s">
        <v>0</v>
      </c>
      <c r="U328" s="9" t="str">
        <f t="shared" si="193"/>
        <v>-</v>
      </c>
      <c r="V328" s="9" t="s">
        <v>0</v>
      </c>
      <c r="W328" s="9" t="str">
        <f t="shared" si="194"/>
        <v>-</v>
      </c>
      <c r="X328" s="9" t="s">
        <v>0</v>
      </c>
      <c r="Y328" s="9" t="str">
        <f t="shared" si="226"/>
        <v>-</v>
      </c>
      <c r="Z328" s="9" t="s">
        <v>0</v>
      </c>
      <c r="AA328" s="9" t="str">
        <f t="shared" si="227"/>
        <v>-</v>
      </c>
      <c r="AB328" s="9" t="s">
        <v>0</v>
      </c>
      <c r="AC328" s="9" t="str">
        <f t="shared" si="228"/>
        <v>-</v>
      </c>
      <c r="AD328" s="9" t="s">
        <v>0</v>
      </c>
      <c r="AE328" s="12" t="str">
        <f t="shared" si="229"/>
        <v>-</v>
      </c>
      <c r="AF328" s="9">
        <v>3</v>
      </c>
      <c r="AG328" s="9" t="s">
        <v>344</v>
      </c>
      <c r="AH328" s="9">
        <v>232.1</v>
      </c>
      <c r="AI328" s="9">
        <v>1</v>
      </c>
      <c r="AJ328" s="43">
        <v>0.98</v>
      </c>
      <c r="AK328" s="29">
        <v>19</v>
      </c>
      <c r="AL328" s="32">
        <v>0.97</v>
      </c>
      <c r="AM328" s="29">
        <v>1.2</v>
      </c>
      <c r="AN328" s="32">
        <v>1</v>
      </c>
      <c r="AO328" s="29">
        <v>4</v>
      </c>
      <c r="AP328" s="32">
        <v>0.15</v>
      </c>
      <c r="AQ328" s="32">
        <v>0.78</v>
      </c>
      <c r="AR328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309.19215600000001</v>
      </c>
      <c r="AS328" s="9">
        <f t="shared" si="230"/>
        <v>5.8909017584313847</v>
      </c>
      <c r="AT328" s="9">
        <f>IF(RIGHT(TMK[[#This Row],[Device type]],7)="Winding","-",TMK[[#This Row],[Cont Winter MVA]])</f>
        <v>7.9449170543184398</v>
      </c>
      <c r="AU328" s="9">
        <f>IF(RIGHT(TMK[[#This Row],[Device type]],7)="Winding","-",TMK[[#This Row],[Cont Shoulder MVA]])</f>
        <v>7.9449170543184398</v>
      </c>
      <c r="AV328" s="9">
        <f>IF(RIGHT(TMK[[#This Row],[Device type]],7)="Winding","-",TMK[[#This Row],[Cont Summer MVA]])</f>
        <v>7.9449170543184398</v>
      </c>
      <c r="AW328" s="9" t="str">
        <f>IF(RIGHT(TMK[[#This Row],[Device type]],7)="Winding","-",TMK[[#This Row],[24 Hr Winter MVA]])</f>
        <v>-</v>
      </c>
      <c r="AX328" s="9" t="str">
        <f>IF(RIGHT(TMK[[#This Row],[Device type]],7)="Winding","-",TMK[[#This Row],[24 Hr Summer MVA]])</f>
        <v>-</v>
      </c>
      <c r="AY328" s="9" t="str">
        <f>TMK[[#This Row],[Forwards MVA]]</f>
        <v>-</v>
      </c>
      <c r="AZ328" s="9" t="str">
        <f>TMK[[#This Row],[Relay MVA]]</f>
        <v>-</v>
      </c>
      <c r="BA328" s="9" t="str">
        <f>TMK[[#This Row],[CT MVA]]</f>
        <v>-</v>
      </c>
      <c r="BB328" s="9">
        <f>TMK[[#This Row],[Derating MVA]]</f>
        <v>5.8909017584313847</v>
      </c>
      <c r="BC328" s="9" t="str">
        <f>TMK[[#This Row],[Station/Feeder]]&amp;TMK[[#This Row],[Lowest MVA]]</f>
        <v>T654_Tie to Boiler House5.89090175843138</v>
      </c>
      <c r="BD328" s="9" t="str">
        <f>CONCATENATE(TMK[[#This Row],[Supply Level]],TMK[[#This Row],[Station/Feeder]],TMK[[#This Row],[Voltage]],TMK[[#This Row],[Lowest A-No PTX]])</f>
        <v>DistributionFeederT654_Tie to Boiler House11309.192156</v>
      </c>
      <c r="BE328" s="9" t="str">
        <f>CONCATENATE(TMK[[#This Row],[Supply Level]],TMK[[#This Row],[Station/Feeder]],TMK[[#This Row],[Voltage]],TMK[[#This Row],[Lowest A-PTX]])</f>
        <v>DistributionFeederT654_Tie to Boiler House11309.192156</v>
      </c>
      <c r="BF328" s="9">
        <f>IFERROR(IF(MIN(TMK[[#This Row],[Summ Cont Winter A]:[Cable Derating]])=0,"",MIN(TMK[[#This Row],[Summ Cont Winter A]:[Cable Derating]])),"")</f>
        <v>5.8909017584313847</v>
      </c>
      <c r="BG328" s="9">
        <f>IFERROR(TMK[[#This Row],[Lowest MVA]]*1000/(TMK[[#This Row],[Voltage]]*SQRT(3)),"")</f>
        <v>309.19215600000001</v>
      </c>
      <c r="BH328" s="9">
        <f t="shared" si="195"/>
        <v>309.19215600000001</v>
      </c>
      <c r="BI328" s="9" t="str">
        <f>TMK[[#This Row],[From]]</f>
        <v>11 kV Bus</v>
      </c>
      <c r="BJ328" s="9" t="str">
        <f>TMK[[#This Row],[To]]</f>
        <v>T670</v>
      </c>
      <c r="BK32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XLPE</v>
      </c>
      <c r="BL328" s="9">
        <f>TMK[[#This Row],[Voltage]]</f>
        <v>11</v>
      </c>
    </row>
    <row r="329" spans="1:64" s="1" customFormat="1" x14ac:dyDescent="0.25">
      <c r="A329" s="6" t="str">
        <f>CONCATENATE(TMK[[#This Row],[Supply Level]],TMK[[#This Row],[Station/Feeder]],TMK[[#This Row],[Voltage]])</f>
        <v>DistributionFeederT654_Tie to Boiler House11</v>
      </c>
      <c r="B329" s="6" t="str">
        <f>CONCATENATE(TMK[[#This Row],[Supply Level]],TMK[[#This Row],[Station/Feeder]],TMK[[#This Row],[Equipment ID]],TMK[[#This Row],[Voltage]],TMK[[#This Row],[Device type]])</f>
        <v>DistributionFeederT654_Tie to Boiler House3-1c 400 mm² Al XLPE11-</v>
      </c>
      <c r="C329" s="6" t="s">
        <v>1276</v>
      </c>
      <c r="D329" s="11" t="s">
        <v>138</v>
      </c>
      <c r="E329" s="7" t="s">
        <v>243</v>
      </c>
      <c r="F329" s="7" t="s">
        <v>684</v>
      </c>
      <c r="G329" s="56">
        <v>3</v>
      </c>
      <c r="H329" s="7" t="s">
        <v>585</v>
      </c>
      <c r="I329" s="123" t="s">
        <v>559</v>
      </c>
      <c r="J329" s="123" t="s">
        <v>250</v>
      </c>
      <c r="K329" s="46" t="s">
        <v>0</v>
      </c>
      <c r="L329" s="46" t="s">
        <v>0</v>
      </c>
      <c r="M329" s="43">
        <v>11</v>
      </c>
      <c r="N329" s="9">
        <v>537</v>
      </c>
      <c r="O329" s="9">
        <f t="shared" ref="O329:O348" si="231">IF(OR(N329="",N329="-"),"-",N329*$M329*SQRT(3)/1000)</f>
        <v>10.231224120309358</v>
      </c>
      <c r="P329" s="9">
        <v>537</v>
      </c>
      <c r="Q329" s="9">
        <f t="shared" ref="Q329:Q348" si="232">IF(OR(P329="",P329="-"),"-",P329*$M329*SQRT(3)/1000)</f>
        <v>10.231224120309358</v>
      </c>
      <c r="R329" s="9">
        <v>537</v>
      </c>
      <c r="S329" s="9">
        <f t="shared" ref="S329:S348" si="233">IF(OR(R329="",R329="-"),"-",R329*$M329*SQRT(3)/1000)</f>
        <v>10.231224120309358</v>
      </c>
      <c r="T329" s="9" t="s">
        <v>0</v>
      </c>
      <c r="U329" s="9" t="str">
        <f t="shared" ref="U329:U348" si="234">IF(OR(T329="",T329="-"),"-",T329*$M329*SQRT(3)/1000)</f>
        <v>-</v>
      </c>
      <c r="V329" s="9" t="s">
        <v>0</v>
      </c>
      <c r="W329" s="9" t="str">
        <f t="shared" ref="W329:W348" si="235">IF(OR(V329="",V329="-"),"-",V329*$M329*SQRT(3)/1000)</f>
        <v>-</v>
      </c>
      <c r="X329" s="9" t="s">
        <v>0</v>
      </c>
      <c r="Y329" s="9" t="str">
        <f t="shared" si="226"/>
        <v>-</v>
      </c>
      <c r="Z329" s="9" t="s">
        <v>0</v>
      </c>
      <c r="AA329" s="9" t="str">
        <f t="shared" si="227"/>
        <v>-</v>
      </c>
      <c r="AB329" s="9" t="s">
        <v>0</v>
      </c>
      <c r="AC329" s="9" t="str">
        <f t="shared" si="228"/>
        <v>-</v>
      </c>
      <c r="AD329" s="9" t="s">
        <v>0</v>
      </c>
      <c r="AE329" s="12" t="str">
        <f t="shared" si="229"/>
        <v>-</v>
      </c>
      <c r="AF329" s="9">
        <v>1</v>
      </c>
      <c r="AG329" s="9" t="s">
        <v>265</v>
      </c>
      <c r="AH329" s="9">
        <v>6.9</v>
      </c>
      <c r="AI329" s="9">
        <v>1</v>
      </c>
      <c r="AJ329" s="43">
        <v>0.97</v>
      </c>
      <c r="AK329" s="29">
        <v>19</v>
      </c>
      <c r="AL329" s="32">
        <v>0.97</v>
      </c>
      <c r="AM329" s="29">
        <v>1.2</v>
      </c>
      <c r="AN329" s="32">
        <v>1</v>
      </c>
      <c r="AO329" s="29">
        <v>2</v>
      </c>
      <c r="AP329" s="32">
        <v>0.15</v>
      </c>
      <c r="AQ329" s="32">
        <v>0.81</v>
      </c>
      <c r="AR329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409.26327300000003</v>
      </c>
      <c r="AS329" s="9">
        <f t="shared" si="230"/>
        <v>7.7975126075872501</v>
      </c>
      <c r="AT329" s="9">
        <f>IF(RIGHT(TMK[[#This Row],[Device type]],7)="Winding","-",TMK[[#This Row],[Cont Winter MVA]])</f>
        <v>10.231224120309358</v>
      </c>
      <c r="AU329" s="9">
        <f>IF(RIGHT(TMK[[#This Row],[Device type]],7)="Winding","-",TMK[[#This Row],[Cont Shoulder MVA]])</f>
        <v>10.231224120309358</v>
      </c>
      <c r="AV329" s="9">
        <f>IF(RIGHT(TMK[[#This Row],[Device type]],7)="Winding","-",TMK[[#This Row],[Cont Summer MVA]])</f>
        <v>10.231224120309358</v>
      </c>
      <c r="AW329" s="9" t="str">
        <f>IF(RIGHT(TMK[[#This Row],[Device type]],7)="Winding","-",TMK[[#This Row],[24 Hr Winter MVA]])</f>
        <v>-</v>
      </c>
      <c r="AX329" s="9" t="str">
        <f>IF(RIGHT(TMK[[#This Row],[Device type]],7)="Winding","-",TMK[[#This Row],[24 Hr Summer MVA]])</f>
        <v>-</v>
      </c>
      <c r="AY329" s="9" t="str">
        <f>TMK[[#This Row],[Forwards MVA]]</f>
        <v>-</v>
      </c>
      <c r="AZ329" s="9" t="str">
        <f>TMK[[#This Row],[Relay MVA]]</f>
        <v>-</v>
      </c>
      <c r="BA329" s="9" t="str">
        <f>TMK[[#This Row],[CT MVA]]</f>
        <v>-</v>
      </c>
      <c r="BB329" s="9">
        <f>TMK[[#This Row],[Derating MVA]]</f>
        <v>7.7975126075872501</v>
      </c>
      <c r="BC329" s="9" t="str">
        <f>TMK[[#This Row],[Station/Feeder]]&amp;TMK[[#This Row],[Lowest MVA]]</f>
        <v>T654_Tie to Boiler House7.79751260758725</v>
      </c>
      <c r="BD329" s="9" t="str">
        <f>CONCATENATE(TMK[[#This Row],[Supply Level]],TMK[[#This Row],[Station/Feeder]],TMK[[#This Row],[Voltage]],TMK[[#This Row],[Lowest A-No PTX]])</f>
        <v>DistributionFeederT654_Tie to Boiler House11409.263273</v>
      </c>
      <c r="BE329" s="9" t="str">
        <f>CONCATENATE(TMK[[#This Row],[Supply Level]],TMK[[#This Row],[Station/Feeder]],TMK[[#This Row],[Voltage]],TMK[[#This Row],[Lowest A-PTX]])</f>
        <v>DistributionFeederT654_Tie to Boiler House11409.263273</v>
      </c>
      <c r="BF329" s="9">
        <f>IFERROR(IF(MIN(TMK[[#This Row],[Summ Cont Winter A]:[Cable Derating]])=0,"",MIN(TMK[[#This Row],[Summ Cont Winter A]:[Cable Derating]])),"")</f>
        <v>7.7975126075872501</v>
      </c>
      <c r="BG329" s="9">
        <f>IFERROR(TMK[[#This Row],[Lowest MVA]]*1000/(TMK[[#This Row],[Voltage]]*SQRT(3)),"")</f>
        <v>409.26327299999997</v>
      </c>
      <c r="BH329" s="9">
        <f t="shared" ref="BH329:BH348" si="236">IF(MIN(N329,P329,R329,T329,V329,X329,Z329,AB329,AD329,AR329)=0,"",MIN(N329,P329,R329,T329,V329,X329,Z329,AB329,AD329,AR329))</f>
        <v>409.26327300000003</v>
      </c>
      <c r="BI329" s="9" t="str">
        <f>TMK[[#This Row],[From]]</f>
        <v>11 kV Bus</v>
      </c>
      <c r="BJ329" s="9" t="str">
        <f>TMK[[#This Row],[To]]</f>
        <v>T670</v>
      </c>
      <c r="BK32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Al XLPE</v>
      </c>
      <c r="BL329" s="9">
        <f>TMK[[#This Row],[Voltage]]</f>
        <v>11</v>
      </c>
    </row>
    <row r="330" spans="1:64" s="1" customFormat="1" ht="15" customHeight="1" x14ac:dyDescent="0.25">
      <c r="A330" s="6" t="str">
        <f>CONCATENATE(TMK[[#This Row],[Supply Level]],TMK[[#This Row],[Station/Feeder]],TMK[[#This Row],[Voltage]])</f>
        <v>DistributionFeederT654_Tie to Boiler House11</v>
      </c>
      <c r="B330" s="6" t="str">
        <f>CONCATENATE(TMK[[#This Row],[Supply Level]],TMK[[#This Row],[Station/Feeder]],TMK[[#This Row],[Equipment ID]],TMK[[#This Row],[Voltage]],TMK[[#This Row],[Device type]])</f>
        <v>DistributionFeederT654_Tie to Boiler HouseT67011-</v>
      </c>
      <c r="C330" s="6" t="s">
        <v>1276</v>
      </c>
      <c r="D330" s="11" t="s">
        <v>138</v>
      </c>
      <c r="E330" s="7" t="s">
        <v>243</v>
      </c>
      <c r="F330" s="7" t="s">
        <v>684</v>
      </c>
      <c r="G330" s="56">
        <v>4</v>
      </c>
      <c r="H330" s="7" t="s">
        <v>273</v>
      </c>
      <c r="I330" s="123" t="s">
        <v>684</v>
      </c>
      <c r="J330" s="123" t="s">
        <v>670</v>
      </c>
      <c r="K330" s="46" t="s">
        <v>0</v>
      </c>
      <c r="L330" s="46" t="s">
        <v>0</v>
      </c>
      <c r="M330" s="43">
        <v>11</v>
      </c>
      <c r="N330" s="9">
        <v>630</v>
      </c>
      <c r="O330" s="9">
        <f t="shared" si="231"/>
        <v>12.00311209645232</v>
      </c>
      <c r="P330" s="9">
        <v>630</v>
      </c>
      <c r="Q330" s="9">
        <f t="shared" si="232"/>
        <v>12.00311209645232</v>
      </c>
      <c r="R330" s="9">
        <v>630</v>
      </c>
      <c r="S330" s="9">
        <f t="shared" si="233"/>
        <v>12.00311209645232</v>
      </c>
      <c r="T330" s="9" t="s">
        <v>0</v>
      </c>
      <c r="U330" s="9" t="str">
        <f t="shared" si="234"/>
        <v>-</v>
      </c>
      <c r="V330" s="9" t="s">
        <v>0</v>
      </c>
      <c r="W330" s="9" t="str">
        <f t="shared" si="235"/>
        <v>-</v>
      </c>
      <c r="X330" s="9" t="s">
        <v>0</v>
      </c>
      <c r="Y330" s="9" t="str">
        <f t="shared" si="226"/>
        <v>-</v>
      </c>
      <c r="Z330" s="9" t="s">
        <v>0</v>
      </c>
      <c r="AA330" s="9" t="str">
        <f t="shared" si="227"/>
        <v>-</v>
      </c>
      <c r="AB330" s="9" t="s">
        <v>0</v>
      </c>
      <c r="AC330" s="9" t="str">
        <f t="shared" si="228"/>
        <v>-</v>
      </c>
      <c r="AD330" s="9" t="s">
        <v>0</v>
      </c>
      <c r="AE330" s="12" t="str">
        <f t="shared" si="229"/>
        <v>-</v>
      </c>
      <c r="AF330" s="9" t="s">
        <v>0</v>
      </c>
      <c r="AG330" s="9" t="s">
        <v>0</v>
      </c>
      <c r="AH330" s="9" t="s">
        <v>0</v>
      </c>
      <c r="AI330" s="9" t="s">
        <v>0</v>
      </c>
      <c r="AJ330" s="43" t="s">
        <v>0</v>
      </c>
      <c r="AK330" s="29" t="s">
        <v>0</v>
      </c>
      <c r="AL330" s="32" t="s">
        <v>0</v>
      </c>
      <c r="AM330" s="29" t="s">
        <v>0</v>
      </c>
      <c r="AN330" s="32" t="s">
        <v>0</v>
      </c>
      <c r="AO330" s="29" t="s">
        <v>0</v>
      </c>
      <c r="AP330" s="32" t="s">
        <v>0</v>
      </c>
      <c r="AQ330" s="32" t="s">
        <v>0</v>
      </c>
      <c r="AR330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30" s="9" t="str">
        <f t="shared" si="230"/>
        <v>-</v>
      </c>
      <c r="AT330" s="9">
        <f>IF(RIGHT(TMK[[#This Row],[Device type]],7)="Winding","-",TMK[[#This Row],[Cont Winter MVA]])</f>
        <v>12.00311209645232</v>
      </c>
      <c r="AU330" s="9">
        <f>IF(RIGHT(TMK[[#This Row],[Device type]],7)="Winding","-",TMK[[#This Row],[Cont Shoulder MVA]])</f>
        <v>12.00311209645232</v>
      </c>
      <c r="AV330" s="9">
        <f>IF(RIGHT(TMK[[#This Row],[Device type]],7)="Winding","-",TMK[[#This Row],[Cont Summer MVA]])</f>
        <v>12.00311209645232</v>
      </c>
      <c r="AW330" s="9" t="str">
        <f>IF(RIGHT(TMK[[#This Row],[Device type]],7)="Winding","-",TMK[[#This Row],[24 Hr Winter MVA]])</f>
        <v>-</v>
      </c>
      <c r="AX330" s="9" t="str">
        <f>IF(RIGHT(TMK[[#This Row],[Device type]],7)="Winding","-",TMK[[#This Row],[24 Hr Summer MVA]])</f>
        <v>-</v>
      </c>
      <c r="AY330" s="9" t="str">
        <f>TMK[[#This Row],[Forwards MVA]]</f>
        <v>-</v>
      </c>
      <c r="AZ330" s="9" t="str">
        <f>TMK[[#This Row],[Relay MVA]]</f>
        <v>-</v>
      </c>
      <c r="BA330" s="9" t="str">
        <f>TMK[[#This Row],[CT MVA]]</f>
        <v>-</v>
      </c>
      <c r="BB330" s="9" t="str">
        <f>TMK[[#This Row],[Derating MVA]]</f>
        <v>-</v>
      </c>
      <c r="BC330" s="9" t="str">
        <f>TMK[[#This Row],[Station/Feeder]]&amp;TMK[[#This Row],[Lowest MVA]]</f>
        <v>T654_Tie to Boiler House12.0031120964523</v>
      </c>
      <c r="BD330" s="9" t="str">
        <f>CONCATENATE(TMK[[#This Row],[Supply Level]],TMK[[#This Row],[Station/Feeder]],TMK[[#This Row],[Voltage]],TMK[[#This Row],[Lowest A-No PTX]])</f>
        <v>DistributionFeederT654_Tie to Boiler House11630</v>
      </c>
      <c r="BE330" s="9" t="str">
        <f>CONCATENATE(TMK[[#This Row],[Supply Level]],TMK[[#This Row],[Station/Feeder]],TMK[[#This Row],[Voltage]],TMK[[#This Row],[Lowest A-PTX]])</f>
        <v>DistributionFeederT654_Tie to Boiler House11630</v>
      </c>
      <c r="BF330" s="9">
        <f>IFERROR(IF(MIN(TMK[[#This Row],[Summ Cont Winter A]:[Cable Derating]])=0,"",MIN(TMK[[#This Row],[Summ Cont Winter A]:[Cable Derating]])),"")</f>
        <v>12.00311209645232</v>
      </c>
      <c r="BG330" s="9">
        <f>IFERROR(TMK[[#This Row],[Lowest MVA]]*1000/(TMK[[#This Row],[Voltage]]*SQRT(3)),"")</f>
        <v>630</v>
      </c>
      <c r="BH330" s="9">
        <f t="shared" si="236"/>
        <v>630</v>
      </c>
      <c r="BI330" s="9" t="str">
        <f>TMK[[#This Row],[From]]</f>
        <v>11 kV Bus</v>
      </c>
      <c r="BJ330" s="9" t="str">
        <f>TMK[[#This Row],[To]]</f>
        <v>T670</v>
      </c>
      <c r="BK33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Switch-T670</v>
      </c>
      <c r="BL330" s="9">
        <f>TMK[[#This Row],[Voltage]]</f>
        <v>11</v>
      </c>
    </row>
    <row r="331" spans="1:64" s="1" customFormat="1" ht="15" customHeight="1" x14ac:dyDescent="0.25">
      <c r="A331" s="6" t="str">
        <f>CONCATENATE(TMK[[#This Row],[Supply Level]],TMK[[#This Row],[Station/Feeder]],TMK[[#This Row],[Voltage]])</f>
        <v>DistributionFeederT658_Milk Powder 211</v>
      </c>
      <c r="B331" s="6" t="str">
        <f>CONCATENATE(TMK[[#This Row],[Supply Level]],TMK[[#This Row],[Station/Feeder]],TMK[[#This Row],[Equipment ID]],TMK[[#This Row],[Voltage]],TMK[[#This Row],[Device type]])</f>
        <v>DistributionFeederT658_Milk Powder 2CD2-T65811Protection</v>
      </c>
      <c r="C331" s="6" t="s">
        <v>1276</v>
      </c>
      <c r="D331" s="11" t="s">
        <v>142</v>
      </c>
      <c r="E331" s="7" t="s">
        <v>243</v>
      </c>
      <c r="F331" s="7" t="s">
        <v>685</v>
      </c>
      <c r="G331" s="56">
        <v>1</v>
      </c>
      <c r="H331" s="7" t="s">
        <v>343</v>
      </c>
      <c r="I331" s="123" t="s">
        <v>2458</v>
      </c>
      <c r="J331" s="123" t="s">
        <v>15</v>
      </c>
      <c r="K331" s="46" t="s">
        <v>663</v>
      </c>
      <c r="L331" s="46" t="s">
        <v>1423</v>
      </c>
      <c r="M331" s="43">
        <v>11</v>
      </c>
      <c r="N331" s="9">
        <v>630</v>
      </c>
      <c r="O331" s="9">
        <f t="shared" si="231"/>
        <v>12.00311209645232</v>
      </c>
      <c r="P331" s="9">
        <v>630</v>
      </c>
      <c r="Q331" s="9">
        <f t="shared" si="232"/>
        <v>12.00311209645232</v>
      </c>
      <c r="R331" s="9">
        <v>630</v>
      </c>
      <c r="S331" s="9">
        <f t="shared" si="233"/>
        <v>12.00311209645232</v>
      </c>
      <c r="T331" s="9" t="s">
        <v>0</v>
      </c>
      <c r="U331" s="9" t="str">
        <f t="shared" si="234"/>
        <v>-</v>
      </c>
      <c r="V331" s="9" t="s">
        <v>0</v>
      </c>
      <c r="W331" s="9" t="str">
        <f t="shared" si="235"/>
        <v>-</v>
      </c>
      <c r="X331" s="9">
        <f>VLOOKUP(TMK[[#This Row],[Equipment ID]],AEL_Protection_Data[#All],12,0)</f>
        <v>480</v>
      </c>
      <c r="Y331" s="9">
        <f t="shared" si="226"/>
        <v>9.1452282639636717</v>
      </c>
      <c r="Z331" s="9">
        <f>TMK[[#This Row],[Forward A]]</f>
        <v>480</v>
      </c>
      <c r="AA331" s="9">
        <f t="shared" si="227"/>
        <v>9.1452282639636717</v>
      </c>
      <c r="AB331" s="9" t="s">
        <v>0</v>
      </c>
      <c r="AC331" s="9" t="str">
        <f t="shared" si="228"/>
        <v>-</v>
      </c>
      <c r="AD331" s="9" t="s">
        <v>0</v>
      </c>
      <c r="AE331" s="12" t="str">
        <f t="shared" si="229"/>
        <v>-</v>
      </c>
      <c r="AF331" s="9" t="s">
        <v>0</v>
      </c>
      <c r="AG331" s="9" t="s">
        <v>0</v>
      </c>
      <c r="AH331" s="9" t="s">
        <v>0</v>
      </c>
      <c r="AI331" s="9" t="s">
        <v>0</v>
      </c>
      <c r="AJ331" s="43" t="s">
        <v>0</v>
      </c>
      <c r="AK331" s="29" t="s">
        <v>0</v>
      </c>
      <c r="AL331" s="32" t="s">
        <v>0</v>
      </c>
      <c r="AM331" s="29" t="s">
        <v>0</v>
      </c>
      <c r="AN331" s="32" t="s">
        <v>0</v>
      </c>
      <c r="AO331" s="29" t="s">
        <v>0</v>
      </c>
      <c r="AP331" s="32" t="s">
        <v>0</v>
      </c>
      <c r="AQ331" s="32" t="s">
        <v>0</v>
      </c>
      <c r="AR331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31" s="9" t="str">
        <f t="shared" si="230"/>
        <v>-</v>
      </c>
      <c r="AT331" s="9">
        <f>IF(RIGHT(TMK[[#This Row],[Device type]],7)="Winding","-",TMK[[#This Row],[Cont Winter MVA]])</f>
        <v>12.00311209645232</v>
      </c>
      <c r="AU331" s="9">
        <f>IF(RIGHT(TMK[[#This Row],[Device type]],7)="Winding","-",TMK[[#This Row],[Cont Shoulder MVA]])</f>
        <v>12.00311209645232</v>
      </c>
      <c r="AV331" s="9">
        <f>IF(RIGHT(TMK[[#This Row],[Device type]],7)="Winding","-",TMK[[#This Row],[Cont Summer MVA]])</f>
        <v>12.00311209645232</v>
      </c>
      <c r="AW331" s="9" t="str">
        <f>IF(RIGHT(TMK[[#This Row],[Device type]],7)="Winding","-",TMK[[#This Row],[24 Hr Winter MVA]])</f>
        <v>-</v>
      </c>
      <c r="AX331" s="9" t="str">
        <f>IF(RIGHT(TMK[[#This Row],[Device type]],7)="Winding","-",TMK[[#This Row],[24 Hr Summer MVA]])</f>
        <v>-</v>
      </c>
      <c r="AY331" s="9">
        <f>TMK[[#This Row],[Forwards MVA]]</f>
        <v>9.1452282639636717</v>
      </c>
      <c r="AZ331" s="9" t="str">
        <f>TMK[[#This Row],[Relay MVA]]</f>
        <v>-</v>
      </c>
      <c r="BA331" s="9" t="str">
        <f>TMK[[#This Row],[CT MVA]]</f>
        <v>-</v>
      </c>
      <c r="BB331" s="9" t="str">
        <f>TMK[[#This Row],[Derating MVA]]</f>
        <v>-</v>
      </c>
      <c r="BC331" s="9" t="str">
        <f>TMK[[#This Row],[Station/Feeder]]&amp;TMK[[#This Row],[Lowest MVA]]</f>
        <v>T658_Milk Powder 29.14522826396367</v>
      </c>
      <c r="BD331" s="9" t="str">
        <f>CONCATENATE(TMK[[#This Row],[Supply Level]],TMK[[#This Row],[Station/Feeder]],TMK[[#This Row],[Voltage]],TMK[[#This Row],[Lowest A-No PTX]])</f>
        <v>DistributionFeederT658_Milk Powder 211480</v>
      </c>
      <c r="BE331" s="9" t="str">
        <f>CONCATENATE(TMK[[#This Row],[Supply Level]],TMK[[#This Row],[Station/Feeder]],TMK[[#This Row],[Voltage]],TMK[[#This Row],[Lowest A-PTX]])</f>
        <v>DistributionFeederT658_Milk Powder 211480</v>
      </c>
      <c r="BF331" s="9">
        <f>IFERROR(IF(MIN(TMK[[#This Row],[Summ Cont Winter A]:[Cable Derating]])=0,"",MIN(TMK[[#This Row],[Summ Cont Winter A]:[Cable Derating]])),"")</f>
        <v>9.1452282639636717</v>
      </c>
      <c r="BG331" s="9">
        <f>IFERROR(TMK[[#This Row],[Lowest MVA]]*1000/(TMK[[#This Row],[Voltage]]*SQRT(3)),"")</f>
        <v>480.00000000000006</v>
      </c>
      <c r="BH331" s="9">
        <f t="shared" si="236"/>
        <v>480</v>
      </c>
      <c r="BI331" s="9" t="str">
        <f>TMK[[#This Row],[From]]</f>
        <v>11 kV Bus</v>
      </c>
      <c r="BJ331" s="9" t="str">
        <f>TMK[[#This Row],[To]]</f>
        <v>T482</v>
      </c>
      <c r="BK33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Breaker-CD2-T658-Protection</v>
      </c>
      <c r="BL331" s="9">
        <f>TMK[[#This Row],[Voltage]]</f>
        <v>11</v>
      </c>
    </row>
    <row r="332" spans="1:64" s="1" customFormat="1" ht="15" customHeight="1" x14ac:dyDescent="0.25">
      <c r="A332" s="6" t="str">
        <f>CONCATENATE(TMK[[#This Row],[Supply Level]],TMK[[#This Row],[Station/Feeder]],TMK[[#This Row],[Voltage]])</f>
        <v>DistributionFeederT658_Milk Powder 211</v>
      </c>
      <c r="B332" s="6" t="str">
        <f>CONCATENATE(TMK[[#This Row],[Supply Level]],TMK[[#This Row],[Station/Feeder]],TMK[[#This Row],[Equipment ID]],TMK[[#This Row],[Voltage]],TMK[[#This Row],[Device type]])</f>
        <v>DistributionFeederT658_Milk Powder 21-3c 300 mm² Al XLPE11-</v>
      </c>
      <c r="C332" s="6" t="s">
        <v>1276</v>
      </c>
      <c r="D332" s="11" t="s">
        <v>142</v>
      </c>
      <c r="E332" s="7" t="s">
        <v>243</v>
      </c>
      <c r="F332" s="7" t="s">
        <v>685</v>
      </c>
      <c r="G332" s="56">
        <v>2</v>
      </c>
      <c r="H332" s="7" t="s">
        <v>585</v>
      </c>
      <c r="I332" s="123" t="s">
        <v>569</v>
      </c>
      <c r="J332" s="123" t="s">
        <v>250</v>
      </c>
      <c r="K332" s="46" t="s">
        <v>0</v>
      </c>
      <c r="L332" s="46" t="s">
        <v>0</v>
      </c>
      <c r="M332" s="43">
        <v>11</v>
      </c>
      <c r="N332" s="9">
        <v>476</v>
      </c>
      <c r="O332" s="9">
        <f t="shared" si="231"/>
        <v>9.0690180284306408</v>
      </c>
      <c r="P332" s="9">
        <v>476</v>
      </c>
      <c r="Q332" s="9">
        <f t="shared" si="232"/>
        <v>9.0690180284306408</v>
      </c>
      <c r="R332" s="9">
        <v>476</v>
      </c>
      <c r="S332" s="9">
        <f t="shared" si="233"/>
        <v>9.0690180284306408</v>
      </c>
      <c r="T332" s="9" t="s">
        <v>0</v>
      </c>
      <c r="U332" s="9" t="str">
        <f t="shared" si="234"/>
        <v>-</v>
      </c>
      <c r="V332" s="9" t="s">
        <v>0</v>
      </c>
      <c r="W332" s="9" t="str">
        <f t="shared" si="235"/>
        <v>-</v>
      </c>
      <c r="X332" s="9" t="s">
        <v>0</v>
      </c>
      <c r="Y332" s="9" t="str">
        <f t="shared" si="226"/>
        <v>-</v>
      </c>
      <c r="Z332" s="9" t="s">
        <v>0</v>
      </c>
      <c r="AA332" s="9" t="str">
        <f t="shared" si="227"/>
        <v>-</v>
      </c>
      <c r="AB332" s="9" t="s">
        <v>0</v>
      </c>
      <c r="AC332" s="9" t="str">
        <f t="shared" si="228"/>
        <v>-</v>
      </c>
      <c r="AD332" s="9" t="s">
        <v>0</v>
      </c>
      <c r="AE332" s="12" t="str">
        <f t="shared" si="229"/>
        <v>-</v>
      </c>
      <c r="AF332" s="9">
        <v>3</v>
      </c>
      <c r="AG332" s="9" t="s">
        <v>265</v>
      </c>
      <c r="AH332" s="9">
        <v>196.7</v>
      </c>
      <c r="AI332" s="9">
        <v>1</v>
      </c>
      <c r="AJ332" s="43">
        <v>0.98</v>
      </c>
      <c r="AK332" s="29">
        <v>19</v>
      </c>
      <c r="AL332" s="32">
        <v>0.97</v>
      </c>
      <c r="AM332" s="29">
        <v>1.2</v>
      </c>
      <c r="AN332" s="32">
        <v>1</v>
      </c>
      <c r="AO332" s="29">
        <v>6</v>
      </c>
      <c r="AP332" s="32">
        <v>0.15</v>
      </c>
      <c r="AQ332" s="32">
        <v>0.63</v>
      </c>
      <c r="AR332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285.06592799999999</v>
      </c>
      <c r="AS332" s="9">
        <f t="shared" si="230"/>
        <v>5.4312353788304852</v>
      </c>
      <c r="AT332" s="9">
        <f>IF(RIGHT(TMK[[#This Row],[Device type]],7)="Winding","-",TMK[[#This Row],[Cont Winter MVA]])</f>
        <v>9.0690180284306408</v>
      </c>
      <c r="AU332" s="9">
        <f>IF(RIGHT(TMK[[#This Row],[Device type]],7)="Winding","-",TMK[[#This Row],[Cont Shoulder MVA]])</f>
        <v>9.0690180284306408</v>
      </c>
      <c r="AV332" s="9">
        <f>IF(RIGHT(TMK[[#This Row],[Device type]],7)="Winding","-",TMK[[#This Row],[Cont Summer MVA]])</f>
        <v>9.0690180284306408</v>
      </c>
      <c r="AW332" s="9" t="str">
        <f>IF(RIGHT(TMK[[#This Row],[Device type]],7)="Winding","-",TMK[[#This Row],[24 Hr Winter MVA]])</f>
        <v>-</v>
      </c>
      <c r="AX332" s="9" t="str">
        <f>IF(RIGHT(TMK[[#This Row],[Device type]],7)="Winding","-",TMK[[#This Row],[24 Hr Summer MVA]])</f>
        <v>-</v>
      </c>
      <c r="AY332" s="9" t="str">
        <f>TMK[[#This Row],[Forwards MVA]]</f>
        <v>-</v>
      </c>
      <c r="AZ332" s="9" t="str">
        <f>TMK[[#This Row],[Relay MVA]]</f>
        <v>-</v>
      </c>
      <c r="BA332" s="9" t="str">
        <f>TMK[[#This Row],[CT MVA]]</f>
        <v>-</v>
      </c>
      <c r="BB332" s="9">
        <f>TMK[[#This Row],[Derating MVA]]</f>
        <v>5.4312353788304852</v>
      </c>
      <c r="BC332" s="9" t="str">
        <f>TMK[[#This Row],[Station/Feeder]]&amp;TMK[[#This Row],[Lowest MVA]]</f>
        <v>T658_Milk Powder 25.43123537883049</v>
      </c>
      <c r="BD332" s="9" t="str">
        <f>CONCATENATE(TMK[[#This Row],[Supply Level]],TMK[[#This Row],[Station/Feeder]],TMK[[#This Row],[Voltage]],TMK[[#This Row],[Lowest A-No PTX]])</f>
        <v>DistributionFeederT658_Milk Powder 211285.065928</v>
      </c>
      <c r="BE332" s="9" t="str">
        <f>CONCATENATE(TMK[[#This Row],[Supply Level]],TMK[[#This Row],[Station/Feeder]],TMK[[#This Row],[Voltage]],TMK[[#This Row],[Lowest A-PTX]])</f>
        <v>DistributionFeederT658_Milk Powder 211285.065928</v>
      </c>
      <c r="BF332" s="9">
        <f>IFERROR(IF(MIN(TMK[[#This Row],[Summ Cont Winter A]:[Cable Derating]])=0,"",MIN(TMK[[#This Row],[Summ Cont Winter A]:[Cable Derating]])),"")</f>
        <v>5.4312353788304852</v>
      </c>
      <c r="BG332" s="9">
        <f>IFERROR(TMK[[#This Row],[Lowest MVA]]*1000/(TMK[[#This Row],[Voltage]]*SQRT(3)),"")</f>
        <v>285.06592799999999</v>
      </c>
      <c r="BH332" s="9">
        <f t="shared" si="236"/>
        <v>285.06592799999999</v>
      </c>
      <c r="BI332" s="9" t="str">
        <f>TMK[[#This Row],[From]]</f>
        <v>11 kV Bus</v>
      </c>
      <c r="BJ332" s="9" t="str">
        <f>TMK[[#This Row],[To]]</f>
        <v>T482</v>
      </c>
      <c r="BK33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XLPE</v>
      </c>
      <c r="BL332" s="9">
        <f>TMK[[#This Row],[Voltage]]</f>
        <v>11</v>
      </c>
    </row>
    <row r="333" spans="1:64" s="1" customFormat="1" ht="15" customHeight="1" x14ac:dyDescent="0.25">
      <c r="A333" s="6" t="str">
        <f>CONCATENATE(TMK[[#This Row],[Supply Level]],TMK[[#This Row],[Station/Feeder]],TMK[[#This Row],[Voltage]])</f>
        <v>DistributionFeederT658_Milk Powder 211</v>
      </c>
      <c r="B333" s="6" t="str">
        <f>CONCATENATE(TMK[[#This Row],[Supply Level]],TMK[[#This Row],[Station/Feeder]],TMK[[#This Row],[Equipment ID]],TMK[[#This Row],[Voltage]],TMK[[#This Row],[Device type]])</f>
        <v>DistributionFeederT658_Milk Powder 2T48211-</v>
      </c>
      <c r="C333" s="6" t="s">
        <v>1276</v>
      </c>
      <c r="D333" s="11" t="s">
        <v>142</v>
      </c>
      <c r="E333" s="7" t="s">
        <v>243</v>
      </c>
      <c r="F333" s="7" t="s">
        <v>685</v>
      </c>
      <c r="G333" s="56">
        <v>3</v>
      </c>
      <c r="H333" s="7" t="s">
        <v>273</v>
      </c>
      <c r="I333" s="123" t="s">
        <v>685</v>
      </c>
      <c r="J333" s="123" t="s">
        <v>670</v>
      </c>
      <c r="K333" s="46" t="s">
        <v>0</v>
      </c>
      <c r="L333" s="46" t="s">
        <v>0</v>
      </c>
      <c r="M333" s="43">
        <v>11</v>
      </c>
      <c r="N333" s="9">
        <v>630</v>
      </c>
      <c r="O333" s="9">
        <f t="shared" si="231"/>
        <v>12.00311209645232</v>
      </c>
      <c r="P333" s="9">
        <v>630</v>
      </c>
      <c r="Q333" s="9">
        <f t="shared" si="232"/>
        <v>12.00311209645232</v>
      </c>
      <c r="R333" s="9">
        <v>630</v>
      </c>
      <c r="S333" s="9">
        <f t="shared" si="233"/>
        <v>12.00311209645232</v>
      </c>
      <c r="T333" s="9" t="s">
        <v>0</v>
      </c>
      <c r="U333" s="9" t="str">
        <f t="shared" si="234"/>
        <v>-</v>
      </c>
      <c r="V333" s="9" t="s">
        <v>0</v>
      </c>
      <c r="W333" s="9" t="str">
        <f t="shared" si="235"/>
        <v>-</v>
      </c>
      <c r="X333" s="9" t="s">
        <v>0</v>
      </c>
      <c r="Y333" s="9" t="str">
        <f t="shared" si="226"/>
        <v>-</v>
      </c>
      <c r="Z333" s="9" t="s">
        <v>0</v>
      </c>
      <c r="AA333" s="9" t="str">
        <f t="shared" si="227"/>
        <v>-</v>
      </c>
      <c r="AB333" s="9" t="s">
        <v>0</v>
      </c>
      <c r="AC333" s="9" t="str">
        <f t="shared" si="228"/>
        <v>-</v>
      </c>
      <c r="AD333" s="9" t="s">
        <v>0</v>
      </c>
      <c r="AE333" s="12" t="str">
        <f t="shared" si="229"/>
        <v>-</v>
      </c>
      <c r="AF333" s="9" t="s">
        <v>0</v>
      </c>
      <c r="AG333" s="9" t="s">
        <v>0</v>
      </c>
      <c r="AH333" s="9" t="s">
        <v>0</v>
      </c>
      <c r="AI333" s="9" t="s">
        <v>0</v>
      </c>
      <c r="AJ333" s="43" t="s">
        <v>0</v>
      </c>
      <c r="AK333" s="29" t="s">
        <v>0</v>
      </c>
      <c r="AL333" s="32" t="s">
        <v>0</v>
      </c>
      <c r="AM333" s="29" t="s">
        <v>0</v>
      </c>
      <c r="AN333" s="32" t="s">
        <v>0</v>
      </c>
      <c r="AO333" s="29" t="s">
        <v>0</v>
      </c>
      <c r="AP333" s="32" t="s">
        <v>0</v>
      </c>
      <c r="AQ333" s="32" t="s">
        <v>0</v>
      </c>
      <c r="AR33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33" s="9" t="str">
        <f t="shared" si="230"/>
        <v>-</v>
      </c>
      <c r="AT333" s="9">
        <f>IF(RIGHT(TMK[[#This Row],[Device type]],7)="Winding","-",TMK[[#This Row],[Cont Winter MVA]])</f>
        <v>12.00311209645232</v>
      </c>
      <c r="AU333" s="9">
        <f>IF(RIGHT(TMK[[#This Row],[Device type]],7)="Winding","-",TMK[[#This Row],[Cont Shoulder MVA]])</f>
        <v>12.00311209645232</v>
      </c>
      <c r="AV333" s="9">
        <f>IF(RIGHT(TMK[[#This Row],[Device type]],7)="Winding","-",TMK[[#This Row],[Cont Summer MVA]])</f>
        <v>12.00311209645232</v>
      </c>
      <c r="AW333" s="9" t="str">
        <f>IF(RIGHT(TMK[[#This Row],[Device type]],7)="Winding","-",TMK[[#This Row],[24 Hr Winter MVA]])</f>
        <v>-</v>
      </c>
      <c r="AX333" s="9" t="str">
        <f>IF(RIGHT(TMK[[#This Row],[Device type]],7)="Winding","-",TMK[[#This Row],[24 Hr Summer MVA]])</f>
        <v>-</v>
      </c>
      <c r="AY333" s="9" t="str">
        <f>TMK[[#This Row],[Forwards MVA]]</f>
        <v>-</v>
      </c>
      <c r="AZ333" s="9" t="str">
        <f>TMK[[#This Row],[Relay MVA]]</f>
        <v>-</v>
      </c>
      <c r="BA333" s="9" t="str">
        <f>TMK[[#This Row],[CT MVA]]</f>
        <v>-</v>
      </c>
      <c r="BB333" s="9" t="str">
        <f>TMK[[#This Row],[Derating MVA]]</f>
        <v>-</v>
      </c>
      <c r="BC333" s="9" t="str">
        <f>TMK[[#This Row],[Station/Feeder]]&amp;TMK[[#This Row],[Lowest MVA]]</f>
        <v>T658_Milk Powder 212.0031120964523</v>
      </c>
      <c r="BD333" s="9" t="str">
        <f>CONCATENATE(TMK[[#This Row],[Supply Level]],TMK[[#This Row],[Station/Feeder]],TMK[[#This Row],[Voltage]],TMK[[#This Row],[Lowest A-No PTX]])</f>
        <v>DistributionFeederT658_Milk Powder 211630</v>
      </c>
      <c r="BE333" s="9" t="str">
        <f>CONCATENATE(TMK[[#This Row],[Supply Level]],TMK[[#This Row],[Station/Feeder]],TMK[[#This Row],[Voltage]],TMK[[#This Row],[Lowest A-PTX]])</f>
        <v>DistributionFeederT658_Milk Powder 211630</v>
      </c>
      <c r="BF333" s="9">
        <f>IFERROR(IF(MIN(TMK[[#This Row],[Summ Cont Winter A]:[Cable Derating]])=0,"",MIN(TMK[[#This Row],[Summ Cont Winter A]:[Cable Derating]])),"")</f>
        <v>12.00311209645232</v>
      </c>
      <c r="BG333" s="9">
        <f>IFERROR(TMK[[#This Row],[Lowest MVA]]*1000/(TMK[[#This Row],[Voltage]]*SQRT(3)),"")</f>
        <v>630</v>
      </c>
      <c r="BH333" s="9">
        <f t="shared" si="236"/>
        <v>630</v>
      </c>
      <c r="BI333" s="9" t="str">
        <f>TMK[[#This Row],[From]]</f>
        <v>11 kV Bus</v>
      </c>
      <c r="BJ333" s="9" t="str">
        <f>TMK[[#This Row],[To]]</f>
        <v>T482</v>
      </c>
      <c r="BK33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Switch-T482</v>
      </c>
      <c r="BL333" s="9">
        <f>TMK[[#This Row],[Voltage]]</f>
        <v>11</v>
      </c>
    </row>
    <row r="334" spans="1:64" s="1" customFormat="1" ht="15" customHeight="1" x14ac:dyDescent="0.25">
      <c r="A334" s="6" t="str">
        <f>CONCATENATE(TMK[[#This Row],[Supply Level]],TMK[[#This Row],[Station/Feeder]],TMK[[#This Row],[Voltage]])</f>
        <v>DistributionFeederT659_Tie to Energy Centre 111</v>
      </c>
      <c r="B334" s="6" t="str">
        <f>CONCATENATE(TMK[[#This Row],[Supply Level]],TMK[[#This Row],[Station/Feeder]],TMK[[#This Row],[Equipment ID]],TMK[[#This Row],[Voltage]],TMK[[#This Row],[Device type]])</f>
        <v>DistributionFeederT659_Tie to Energy Centre 1CD2-T65911Protection</v>
      </c>
      <c r="C334" s="6" t="s">
        <v>1276</v>
      </c>
      <c r="D334" s="11" t="s">
        <v>145</v>
      </c>
      <c r="E334" s="7" t="s">
        <v>243</v>
      </c>
      <c r="F334" s="7" t="s">
        <v>686</v>
      </c>
      <c r="G334" s="56">
        <v>1</v>
      </c>
      <c r="H334" s="7" t="s">
        <v>343</v>
      </c>
      <c r="I334" s="123" t="s">
        <v>2459</v>
      </c>
      <c r="J334" s="123" t="s">
        <v>15</v>
      </c>
      <c r="K334" s="46" t="s">
        <v>663</v>
      </c>
      <c r="L334" s="46" t="s">
        <v>1423</v>
      </c>
      <c r="M334" s="43">
        <v>11</v>
      </c>
      <c r="N334" s="9">
        <v>630</v>
      </c>
      <c r="O334" s="9">
        <f t="shared" si="231"/>
        <v>12.00311209645232</v>
      </c>
      <c r="P334" s="9">
        <v>630</v>
      </c>
      <c r="Q334" s="9">
        <f t="shared" si="232"/>
        <v>12.00311209645232</v>
      </c>
      <c r="R334" s="9">
        <v>630</v>
      </c>
      <c r="S334" s="9">
        <f t="shared" si="233"/>
        <v>12.00311209645232</v>
      </c>
      <c r="T334" s="9" t="s">
        <v>0</v>
      </c>
      <c r="U334" s="9" t="str">
        <f t="shared" si="234"/>
        <v>-</v>
      </c>
      <c r="V334" s="9" t="s">
        <v>0</v>
      </c>
      <c r="W334" s="9" t="str">
        <f t="shared" si="235"/>
        <v>-</v>
      </c>
      <c r="X334" s="9">
        <f>VLOOKUP(TMK[[#This Row],[Equipment ID]],AEL_Protection_Data[#All],12,0)</f>
        <v>480</v>
      </c>
      <c r="Y334" s="9">
        <f t="shared" si="226"/>
        <v>9.1452282639636717</v>
      </c>
      <c r="Z334" s="9">
        <f>TMK[[#This Row],[Forward A]]</f>
        <v>480</v>
      </c>
      <c r="AA334" s="9">
        <f t="shared" si="227"/>
        <v>9.1452282639636717</v>
      </c>
      <c r="AB334" s="9" t="s">
        <v>0</v>
      </c>
      <c r="AC334" s="9" t="str">
        <f t="shared" si="228"/>
        <v>-</v>
      </c>
      <c r="AD334" s="9" t="s">
        <v>0</v>
      </c>
      <c r="AE334" s="12" t="str">
        <f t="shared" si="229"/>
        <v>-</v>
      </c>
      <c r="AF334" s="9" t="s">
        <v>0</v>
      </c>
      <c r="AG334" s="9" t="s">
        <v>0</v>
      </c>
      <c r="AH334" s="9" t="s">
        <v>0</v>
      </c>
      <c r="AI334" s="9" t="s">
        <v>0</v>
      </c>
      <c r="AJ334" s="43" t="s">
        <v>0</v>
      </c>
      <c r="AK334" s="29" t="s">
        <v>0</v>
      </c>
      <c r="AL334" s="32" t="s">
        <v>0</v>
      </c>
      <c r="AM334" s="29" t="s">
        <v>0</v>
      </c>
      <c r="AN334" s="32" t="s">
        <v>0</v>
      </c>
      <c r="AO334" s="29" t="s">
        <v>0</v>
      </c>
      <c r="AP334" s="32" t="s">
        <v>0</v>
      </c>
      <c r="AQ334" s="32" t="s">
        <v>0</v>
      </c>
      <c r="AR334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34" s="9" t="str">
        <f t="shared" si="230"/>
        <v>-</v>
      </c>
      <c r="AT334" s="9">
        <f>IF(RIGHT(TMK[[#This Row],[Device type]],7)="Winding","-",TMK[[#This Row],[Cont Winter MVA]])</f>
        <v>12.00311209645232</v>
      </c>
      <c r="AU334" s="9">
        <f>IF(RIGHT(TMK[[#This Row],[Device type]],7)="Winding","-",TMK[[#This Row],[Cont Shoulder MVA]])</f>
        <v>12.00311209645232</v>
      </c>
      <c r="AV334" s="9">
        <f>IF(RIGHT(TMK[[#This Row],[Device type]],7)="Winding","-",TMK[[#This Row],[Cont Summer MVA]])</f>
        <v>12.00311209645232</v>
      </c>
      <c r="AW334" s="9" t="str">
        <f>IF(RIGHT(TMK[[#This Row],[Device type]],7)="Winding","-",TMK[[#This Row],[24 Hr Winter MVA]])</f>
        <v>-</v>
      </c>
      <c r="AX334" s="9" t="str">
        <f>IF(RIGHT(TMK[[#This Row],[Device type]],7)="Winding","-",TMK[[#This Row],[24 Hr Summer MVA]])</f>
        <v>-</v>
      </c>
      <c r="AY334" s="9">
        <f>TMK[[#This Row],[Forwards MVA]]</f>
        <v>9.1452282639636717</v>
      </c>
      <c r="AZ334" s="9" t="str">
        <f>TMK[[#This Row],[Relay MVA]]</f>
        <v>-</v>
      </c>
      <c r="BA334" s="9" t="str">
        <f>TMK[[#This Row],[CT MVA]]</f>
        <v>-</v>
      </c>
      <c r="BB334" s="9" t="str">
        <f>TMK[[#This Row],[Derating MVA]]</f>
        <v>-</v>
      </c>
      <c r="BC334" s="9" t="str">
        <f>TMK[[#This Row],[Station/Feeder]]&amp;TMK[[#This Row],[Lowest MVA]]</f>
        <v>T659_Tie to Energy Centre 19.14522826396367</v>
      </c>
      <c r="BD334" s="9" t="str">
        <f>CONCATENATE(TMK[[#This Row],[Supply Level]],TMK[[#This Row],[Station/Feeder]],TMK[[#This Row],[Voltage]],TMK[[#This Row],[Lowest A-No PTX]])</f>
        <v>DistributionFeederT659_Tie to Energy Centre 111480</v>
      </c>
      <c r="BE334" s="9" t="str">
        <f>CONCATENATE(TMK[[#This Row],[Supply Level]],TMK[[#This Row],[Station/Feeder]],TMK[[#This Row],[Voltage]],TMK[[#This Row],[Lowest A-PTX]])</f>
        <v>DistributionFeederT659_Tie to Energy Centre 111480</v>
      </c>
      <c r="BF334" s="9">
        <f>IFERROR(IF(MIN(TMK[[#This Row],[Summ Cont Winter A]:[Cable Derating]])=0,"",MIN(TMK[[#This Row],[Summ Cont Winter A]:[Cable Derating]])),"")</f>
        <v>9.1452282639636717</v>
      </c>
      <c r="BG334" s="9">
        <f>IFERROR(TMK[[#This Row],[Lowest MVA]]*1000/(TMK[[#This Row],[Voltage]]*SQRT(3)),"")</f>
        <v>480.00000000000006</v>
      </c>
      <c r="BH334" s="9">
        <f t="shared" si="236"/>
        <v>480</v>
      </c>
      <c r="BI334" s="9" t="str">
        <f>TMK[[#This Row],[From]]</f>
        <v>11 kV Bus</v>
      </c>
      <c r="BJ334" s="9" t="str">
        <f>TMK[[#This Row],[To]]</f>
        <v>T383</v>
      </c>
      <c r="BK33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Breaker-CD2-T659-Protection</v>
      </c>
      <c r="BL334" s="9">
        <f>TMK[[#This Row],[Voltage]]</f>
        <v>11</v>
      </c>
    </row>
    <row r="335" spans="1:64" s="1" customFormat="1" x14ac:dyDescent="0.25">
      <c r="A335" s="6" t="str">
        <f>CONCATENATE(TMK[[#This Row],[Supply Level]],TMK[[#This Row],[Station/Feeder]],TMK[[#This Row],[Voltage]])</f>
        <v>DistributionFeederT659_Tie to Energy Centre 111</v>
      </c>
      <c r="B335" s="6" t="str">
        <f>CONCATENATE(TMK[[#This Row],[Supply Level]],TMK[[#This Row],[Station/Feeder]],TMK[[#This Row],[Equipment ID]],TMK[[#This Row],[Voltage]],TMK[[#This Row],[Device type]])</f>
        <v>DistributionFeederT659_Tie to Energy Centre 11-3c 300 mm² Al XLPE11-</v>
      </c>
      <c r="C335" s="6" t="s">
        <v>1276</v>
      </c>
      <c r="D335" s="11" t="s">
        <v>145</v>
      </c>
      <c r="E335" s="7" t="s">
        <v>243</v>
      </c>
      <c r="F335" s="7" t="s">
        <v>686</v>
      </c>
      <c r="G335" s="56">
        <v>2</v>
      </c>
      <c r="H335" s="7" t="s">
        <v>585</v>
      </c>
      <c r="I335" s="123" t="s">
        <v>569</v>
      </c>
      <c r="J335" s="123" t="s">
        <v>250</v>
      </c>
      <c r="K335" s="46" t="s">
        <v>0</v>
      </c>
      <c r="L335" s="46" t="s">
        <v>0</v>
      </c>
      <c r="M335" s="43">
        <v>11</v>
      </c>
      <c r="N335" s="9">
        <v>417</v>
      </c>
      <c r="O335" s="9">
        <f t="shared" si="231"/>
        <v>7.9449170543184398</v>
      </c>
      <c r="P335" s="9">
        <v>417</v>
      </c>
      <c r="Q335" s="9">
        <f t="shared" si="232"/>
        <v>7.9449170543184398</v>
      </c>
      <c r="R335" s="9">
        <v>417</v>
      </c>
      <c r="S335" s="9">
        <f t="shared" si="233"/>
        <v>7.9449170543184398</v>
      </c>
      <c r="T335" s="9" t="s">
        <v>0</v>
      </c>
      <c r="U335" s="9" t="str">
        <f t="shared" si="234"/>
        <v>-</v>
      </c>
      <c r="V335" s="9" t="s">
        <v>0</v>
      </c>
      <c r="W335" s="9" t="str">
        <f t="shared" si="235"/>
        <v>-</v>
      </c>
      <c r="X335" s="9" t="s">
        <v>0</v>
      </c>
      <c r="Y335" s="9" t="str">
        <f t="shared" si="226"/>
        <v>-</v>
      </c>
      <c r="Z335" s="9" t="s">
        <v>0</v>
      </c>
      <c r="AA335" s="9" t="str">
        <f t="shared" si="227"/>
        <v>-</v>
      </c>
      <c r="AB335" s="9" t="s">
        <v>0</v>
      </c>
      <c r="AC335" s="9" t="str">
        <f t="shared" si="228"/>
        <v>-</v>
      </c>
      <c r="AD335" s="9" t="s">
        <v>0</v>
      </c>
      <c r="AE335" s="12" t="str">
        <f t="shared" si="229"/>
        <v>-</v>
      </c>
      <c r="AF335" s="9">
        <v>3</v>
      </c>
      <c r="AG335" s="9" t="s">
        <v>344</v>
      </c>
      <c r="AH335" s="9">
        <v>548.6</v>
      </c>
      <c r="AI335" s="9">
        <v>1.1000000000000001</v>
      </c>
      <c r="AJ335" s="43">
        <v>0.97</v>
      </c>
      <c r="AK335" s="29">
        <v>19</v>
      </c>
      <c r="AL335" s="32">
        <v>0.97</v>
      </c>
      <c r="AM335" s="29">
        <v>1.2</v>
      </c>
      <c r="AN335" s="32">
        <v>1</v>
      </c>
      <c r="AO335" s="29">
        <v>4</v>
      </c>
      <c r="AP335" s="32">
        <v>0.15</v>
      </c>
      <c r="AQ335" s="32">
        <v>0.78</v>
      </c>
      <c r="AR335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306.03713399999998</v>
      </c>
      <c r="AS335" s="9">
        <f t="shared" si="230"/>
        <v>5.8307905159984115</v>
      </c>
      <c r="AT335" s="9">
        <f>IF(RIGHT(TMK[[#This Row],[Device type]],7)="Winding","-",TMK[[#This Row],[Cont Winter MVA]])</f>
        <v>7.9449170543184398</v>
      </c>
      <c r="AU335" s="9">
        <f>IF(RIGHT(TMK[[#This Row],[Device type]],7)="Winding","-",TMK[[#This Row],[Cont Shoulder MVA]])</f>
        <v>7.9449170543184398</v>
      </c>
      <c r="AV335" s="9">
        <f>IF(RIGHT(TMK[[#This Row],[Device type]],7)="Winding","-",TMK[[#This Row],[Cont Summer MVA]])</f>
        <v>7.9449170543184398</v>
      </c>
      <c r="AW335" s="9" t="str">
        <f>IF(RIGHT(TMK[[#This Row],[Device type]],7)="Winding","-",TMK[[#This Row],[24 Hr Winter MVA]])</f>
        <v>-</v>
      </c>
      <c r="AX335" s="9" t="str">
        <f>IF(RIGHT(TMK[[#This Row],[Device type]],7)="Winding","-",TMK[[#This Row],[24 Hr Summer MVA]])</f>
        <v>-</v>
      </c>
      <c r="AY335" s="9" t="str">
        <f>TMK[[#This Row],[Forwards MVA]]</f>
        <v>-</v>
      </c>
      <c r="AZ335" s="9" t="str">
        <f>TMK[[#This Row],[Relay MVA]]</f>
        <v>-</v>
      </c>
      <c r="BA335" s="9" t="str">
        <f>TMK[[#This Row],[CT MVA]]</f>
        <v>-</v>
      </c>
      <c r="BB335" s="9">
        <f>TMK[[#This Row],[Derating MVA]]</f>
        <v>5.8307905159984115</v>
      </c>
      <c r="BC335" s="9" t="str">
        <f>TMK[[#This Row],[Station/Feeder]]&amp;TMK[[#This Row],[Lowest MVA]]</f>
        <v>T659_Tie to Energy Centre 15.83079051599841</v>
      </c>
      <c r="BD335" s="9" t="str">
        <f>CONCATENATE(TMK[[#This Row],[Supply Level]],TMK[[#This Row],[Station/Feeder]],TMK[[#This Row],[Voltage]],TMK[[#This Row],[Lowest A-No PTX]])</f>
        <v>DistributionFeederT659_Tie to Energy Centre 111306.037134</v>
      </c>
      <c r="BE335" s="9" t="str">
        <f>CONCATENATE(TMK[[#This Row],[Supply Level]],TMK[[#This Row],[Station/Feeder]],TMK[[#This Row],[Voltage]],TMK[[#This Row],[Lowest A-PTX]])</f>
        <v>DistributionFeederT659_Tie to Energy Centre 111306.037134</v>
      </c>
      <c r="BF335" s="9">
        <f>IFERROR(IF(MIN(TMK[[#This Row],[Summ Cont Winter A]:[Cable Derating]])=0,"",MIN(TMK[[#This Row],[Summ Cont Winter A]:[Cable Derating]])),"")</f>
        <v>5.8307905159984115</v>
      </c>
      <c r="BG335" s="9">
        <f>IFERROR(TMK[[#This Row],[Lowest MVA]]*1000/(TMK[[#This Row],[Voltage]]*SQRT(3)),"")</f>
        <v>306.03713399999998</v>
      </c>
      <c r="BH335" s="9">
        <f t="shared" si="236"/>
        <v>306.03713399999998</v>
      </c>
      <c r="BI335" s="9" t="str">
        <f>TMK[[#This Row],[From]]</f>
        <v>11 kV Bus</v>
      </c>
      <c r="BJ335" s="9" t="str">
        <f>TMK[[#This Row],[To]]</f>
        <v>T383</v>
      </c>
      <c r="BK33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XLPE</v>
      </c>
      <c r="BL335" s="9">
        <f>TMK[[#This Row],[Voltage]]</f>
        <v>11</v>
      </c>
    </row>
    <row r="336" spans="1:64" s="1" customFormat="1" x14ac:dyDescent="0.25">
      <c r="A336" s="6" t="str">
        <f>CONCATENATE(TMK[[#This Row],[Supply Level]],TMK[[#This Row],[Station/Feeder]],TMK[[#This Row],[Voltage]])</f>
        <v>DistributionFeederT659_Tie to Energy Centre 111</v>
      </c>
      <c r="B336" s="6" t="str">
        <f>CONCATENATE(TMK[[#This Row],[Supply Level]],TMK[[#This Row],[Station/Feeder]],TMK[[#This Row],[Equipment ID]],TMK[[#This Row],[Voltage]],TMK[[#This Row],[Device type]])</f>
        <v>DistributionFeederT659_Tie to Energy Centre 1T38311-</v>
      </c>
      <c r="C336" s="6" t="s">
        <v>1276</v>
      </c>
      <c r="D336" s="11" t="s">
        <v>145</v>
      </c>
      <c r="E336" s="7" t="s">
        <v>243</v>
      </c>
      <c r="F336" s="7" t="s">
        <v>686</v>
      </c>
      <c r="G336" s="56">
        <v>3</v>
      </c>
      <c r="H336" s="7" t="s">
        <v>273</v>
      </c>
      <c r="I336" s="123" t="s">
        <v>686</v>
      </c>
      <c r="J336" s="123" t="s">
        <v>670</v>
      </c>
      <c r="K336" s="46" t="s">
        <v>0</v>
      </c>
      <c r="L336" s="46" t="s">
        <v>0</v>
      </c>
      <c r="M336" s="43">
        <v>11</v>
      </c>
      <c r="N336" s="9">
        <v>630</v>
      </c>
      <c r="O336" s="9">
        <f t="shared" si="231"/>
        <v>12.00311209645232</v>
      </c>
      <c r="P336" s="9">
        <v>630</v>
      </c>
      <c r="Q336" s="9">
        <f t="shared" si="232"/>
        <v>12.00311209645232</v>
      </c>
      <c r="R336" s="9">
        <v>630</v>
      </c>
      <c r="S336" s="9">
        <f t="shared" si="233"/>
        <v>12.00311209645232</v>
      </c>
      <c r="T336" s="9" t="s">
        <v>0</v>
      </c>
      <c r="U336" s="9" t="str">
        <f t="shared" si="234"/>
        <v>-</v>
      </c>
      <c r="V336" s="9" t="s">
        <v>0</v>
      </c>
      <c r="W336" s="9" t="str">
        <f t="shared" si="235"/>
        <v>-</v>
      </c>
      <c r="X336" s="9" t="s">
        <v>0</v>
      </c>
      <c r="Y336" s="9" t="str">
        <f t="shared" si="226"/>
        <v>-</v>
      </c>
      <c r="Z336" s="9" t="s">
        <v>0</v>
      </c>
      <c r="AA336" s="9" t="str">
        <f t="shared" si="227"/>
        <v>-</v>
      </c>
      <c r="AB336" s="9" t="s">
        <v>0</v>
      </c>
      <c r="AC336" s="9" t="str">
        <f t="shared" si="228"/>
        <v>-</v>
      </c>
      <c r="AD336" s="9" t="s">
        <v>0</v>
      </c>
      <c r="AE336" s="12" t="str">
        <f t="shared" si="229"/>
        <v>-</v>
      </c>
      <c r="AF336" s="9" t="s">
        <v>0</v>
      </c>
      <c r="AG336" s="9" t="s">
        <v>0</v>
      </c>
      <c r="AH336" s="9" t="s">
        <v>0</v>
      </c>
      <c r="AI336" s="9" t="s">
        <v>0</v>
      </c>
      <c r="AJ336" s="43" t="s">
        <v>0</v>
      </c>
      <c r="AK336" s="29" t="s">
        <v>0</v>
      </c>
      <c r="AL336" s="32" t="s">
        <v>0</v>
      </c>
      <c r="AM336" s="29" t="s">
        <v>0</v>
      </c>
      <c r="AN336" s="32" t="s">
        <v>0</v>
      </c>
      <c r="AO336" s="29" t="s">
        <v>0</v>
      </c>
      <c r="AP336" s="32" t="s">
        <v>0</v>
      </c>
      <c r="AQ336" s="32" t="s">
        <v>0</v>
      </c>
      <c r="AR33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36" s="9" t="str">
        <f t="shared" si="230"/>
        <v>-</v>
      </c>
      <c r="AT336" s="9">
        <f>IF(RIGHT(TMK[[#This Row],[Device type]],7)="Winding","-",TMK[[#This Row],[Cont Winter MVA]])</f>
        <v>12.00311209645232</v>
      </c>
      <c r="AU336" s="9">
        <f>IF(RIGHT(TMK[[#This Row],[Device type]],7)="Winding","-",TMK[[#This Row],[Cont Shoulder MVA]])</f>
        <v>12.00311209645232</v>
      </c>
      <c r="AV336" s="9">
        <f>IF(RIGHT(TMK[[#This Row],[Device type]],7)="Winding","-",TMK[[#This Row],[Cont Summer MVA]])</f>
        <v>12.00311209645232</v>
      </c>
      <c r="AW336" s="9" t="str">
        <f>IF(RIGHT(TMK[[#This Row],[Device type]],7)="Winding","-",TMK[[#This Row],[24 Hr Winter MVA]])</f>
        <v>-</v>
      </c>
      <c r="AX336" s="9" t="str">
        <f>IF(RIGHT(TMK[[#This Row],[Device type]],7)="Winding","-",TMK[[#This Row],[24 Hr Summer MVA]])</f>
        <v>-</v>
      </c>
      <c r="AY336" s="9" t="str">
        <f>TMK[[#This Row],[Forwards MVA]]</f>
        <v>-</v>
      </c>
      <c r="AZ336" s="9" t="str">
        <f>TMK[[#This Row],[Relay MVA]]</f>
        <v>-</v>
      </c>
      <c r="BA336" s="9" t="str">
        <f>TMK[[#This Row],[CT MVA]]</f>
        <v>-</v>
      </c>
      <c r="BB336" s="9" t="str">
        <f>TMK[[#This Row],[Derating MVA]]</f>
        <v>-</v>
      </c>
      <c r="BC336" s="9" t="str">
        <f>TMK[[#This Row],[Station/Feeder]]&amp;TMK[[#This Row],[Lowest MVA]]</f>
        <v>T659_Tie to Energy Centre 112.0031120964523</v>
      </c>
      <c r="BD336" s="9" t="str">
        <f>CONCATENATE(TMK[[#This Row],[Supply Level]],TMK[[#This Row],[Station/Feeder]],TMK[[#This Row],[Voltage]],TMK[[#This Row],[Lowest A-No PTX]])</f>
        <v>DistributionFeederT659_Tie to Energy Centre 111630</v>
      </c>
      <c r="BE336" s="9" t="str">
        <f>CONCATENATE(TMK[[#This Row],[Supply Level]],TMK[[#This Row],[Station/Feeder]],TMK[[#This Row],[Voltage]],TMK[[#This Row],[Lowest A-PTX]])</f>
        <v>DistributionFeederT659_Tie to Energy Centre 111630</v>
      </c>
      <c r="BF336" s="9">
        <f>IFERROR(IF(MIN(TMK[[#This Row],[Summ Cont Winter A]:[Cable Derating]])=0,"",MIN(TMK[[#This Row],[Summ Cont Winter A]:[Cable Derating]])),"")</f>
        <v>12.00311209645232</v>
      </c>
      <c r="BG336" s="9">
        <f>IFERROR(TMK[[#This Row],[Lowest MVA]]*1000/(TMK[[#This Row],[Voltage]]*SQRT(3)),"")</f>
        <v>630</v>
      </c>
      <c r="BH336" s="9">
        <f t="shared" si="236"/>
        <v>630</v>
      </c>
      <c r="BI336" s="9" t="str">
        <f>TMK[[#This Row],[From]]</f>
        <v>11 kV Bus</v>
      </c>
      <c r="BJ336" s="9" t="str">
        <f>TMK[[#This Row],[To]]</f>
        <v>T383</v>
      </c>
      <c r="BK33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Switch-T383</v>
      </c>
      <c r="BL336" s="9">
        <f>TMK[[#This Row],[Voltage]]</f>
        <v>11</v>
      </c>
    </row>
    <row r="337" spans="1:64" s="1" customFormat="1" ht="15" customHeight="1" x14ac:dyDescent="0.25">
      <c r="A337" s="6" t="str">
        <f>CONCATENATE(TMK[[#This Row],[Supply Level]],TMK[[#This Row],[Station/Feeder]],TMK[[#This Row],[Voltage]])</f>
        <v>DistributionFeederT660_Refrigeration11</v>
      </c>
      <c r="B337" s="6" t="str">
        <f>CONCATENATE(TMK[[#This Row],[Supply Level]],TMK[[#This Row],[Station/Feeder]],TMK[[#This Row],[Equipment ID]],TMK[[#This Row],[Voltage]],TMK[[#This Row],[Device type]])</f>
        <v>DistributionFeederT660_RefrigerationCD2-T66011Protection</v>
      </c>
      <c r="C337" s="6" t="s">
        <v>1276</v>
      </c>
      <c r="D337" s="11" t="s">
        <v>148</v>
      </c>
      <c r="E337" s="7" t="s">
        <v>243</v>
      </c>
      <c r="F337" s="7" t="s">
        <v>687</v>
      </c>
      <c r="G337" s="56">
        <v>1</v>
      </c>
      <c r="H337" s="7" t="s">
        <v>343</v>
      </c>
      <c r="I337" s="123" t="s">
        <v>2460</v>
      </c>
      <c r="J337" s="123" t="s">
        <v>15</v>
      </c>
      <c r="K337" s="46" t="s">
        <v>663</v>
      </c>
      <c r="L337" s="46" t="s">
        <v>1423</v>
      </c>
      <c r="M337" s="43">
        <v>11</v>
      </c>
      <c r="N337" s="9">
        <v>630</v>
      </c>
      <c r="O337" s="9">
        <f t="shared" si="231"/>
        <v>12.00311209645232</v>
      </c>
      <c r="P337" s="9">
        <v>630</v>
      </c>
      <c r="Q337" s="9">
        <f t="shared" si="232"/>
        <v>12.00311209645232</v>
      </c>
      <c r="R337" s="9">
        <v>630</v>
      </c>
      <c r="S337" s="9">
        <f t="shared" si="233"/>
        <v>12.00311209645232</v>
      </c>
      <c r="T337" s="9" t="s">
        <v>0</v>
      </c>
      <c r="U337" s="9" t="str">
        <f t="shared" si="234"/>
        <v>-</v>
      </c>
      <c r="V337" s="9" t="s">
        <v>0</v>
      </c>
      <c r="W337" s="9" t="str">
        <f t="shared" si="235"/>
        <v>-</v>
      </c>
      <c r="X337" s="9">
        <f>VLOOKUP(TMK[[#This Row],[Equipment ID]],AEL_Protection_Data[#All],12,0)</f>
        <v>480</v>
      </c>
      <c r="Y337" s="9">
        <f t="shared" si="226"/>
        <v>9.1452282639636717</v>
      </c>
      <c r="Z337" s="9">
        <f>TMK[[#This Row],[Forward A]]</f>
        <v>480</v>
      </c>
      <c r="AA337" s="9">
        <f t="shared" si="227"/>
        <v>9.1452282639636717</v>
      </c>
      <c r="AB337" s="9" t="s">
        <v>0</v>
      </c>
      <c r="AC337" s="9" t="str">
        <f t="shared" si="228"/>
        <v>-</v>
      </c>
      <c r="AD337" s="9" t="s">
        <v>0</v>
      </c>
      <c r="AE337" s="12" t="str">
        <f t="shared" si="229"/>
        <v>-</v>
      </c>
      <c r="AF337" s="9" t="s">
        <v>0</v>
      </c>
      <c r="AG337" s="9" t="s">
        <v>0</v>
      </c>
      <c r="AH337" s="9" t="s">
        <v>0</v>
      </c>
      <c r="AI337" s="9" t="s">
        <v>0</v>
      </c>
      <c r="AJ337" s="43" t="s">
        <v>0</v>
      </c>
      <c r="AK337" s="29" t="s">
        <v>0</v>
      </c>
      <c r="AL337" s="32" t="s">
        <v>0</v>
      </c>
      <c r="AM337" s="29" t="s">
        <v>0</v>
      </c>
      <c r="AN337" s="32" t="s">
        <v>0</v>
      </c>
      <c r="AO337" s="29" t="s">
        <v>0</v>
      </c>
      <c r="AP337" s="32" t="s">
        <v>0</v>
      </c>
      <c r="AQ337" s="32" t="s">
        <v>0</v>
      </c>
      <c r="AR337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37" s="9" t="str">
        <f t="shared" si="230"/>
        <v>-</v>
      </c>
      <c r="AT337" s="9">
        <f>IF(RIGHT(TMK[[#This Row],[Device type]],7)="Winding","-",TMK[[#This Row],[Cont Winter MVA]])</f>
        <v>12.00311209645232</v>
      </c>
      <c r="AU337" s="9">
        <f>IF(RIGHT(TMK[[#This Row],[Device type]],7)="Winding","-",TMK[[#This Row],[Cont Shoulder MVA]])</f>
        <v>12.00311209645232</v>
      </c>
      <c r="AV337" s="9">
        <f>IF(RIGHT(TMK[[#This Row],[Device type]],7)="Winding","-",TMK[[#This Row],[Cont Summer MVA]])</f>
        <v>12.00311209645232</v>
      </c>
      <c r="AW337" s="9" t="str">
        <f>IF(RIGHT(TMK[[#This Row],[Device type]],7)="Winding","-",TMK[[#This Row],[24 Hr Winter MVA]])</f>
        <v>-</v>
      </c>
      <c r="AX337" s="9" t="str">
        <f>IF(RIGHT(TMK[[#This Row],[Device type]],7)="Winding","-",TMK[[#This Row],[24 Hr Summer MVA]])</f>
        <v>-</v>
      </c>
      <c r="AY337" s="9">
        <f>TMK[[#This Row],[Forwards MVA]]</f>
        <v>9.1452282639636717</v>
      </c>
      <c r="AZ337" s="9" t="str">
        <f>TMK[[#This Row],[Relay MVA]]</f>
        <v>-</v>
      </c>
      <c r="BA337" s="9" t="str">
        <f>TMK[[#This Row],[CT MVA]]</f>
        <v>-</v>
      </c>
      <c r="BB337" s="9" t="str">
        <f>TMK[[#This Row],[Derating MVA]]</f>
        <v>-</v>
      </c>
      <c r="BC337" s="9" t="str">
        <f>TMK[[#This Row],[Station/Feeder]]&amp;TMK[[#This Row],[Lowest MVA]]</f>
        <v>T660_Refrigeration9.14522826396367</v>
      </c>
      <c r="BD337" s="9" t="str">
        <f>CONCATENATE(TMK[[#This Row],[Supply Level]],TMK[[#This Row],[Station/Feeder]],TMK[[#This Row],[Voltage]],TMK[[#This Row],[Lowest A-No PTX]])</f>
        <v>DistributionFeederT660_Refrigeration11480</v>
      </c>
      <c r="BE337" s="9" t="str">
        <f>CONCATENATE(TMK[[#This Row],[Supply Level]],TMK[[#This Row],[Station/Feeder]],TMK[[#This Row],[Voltage]],TMK[[#This Row],[Lowest A-PTX]])</f>
        <v>DistributionFeederT660_Refrigeration11480</v>
      </c>
      <c r="BF337" s="9">
        <f>IFERROR(IF(MIN(TMK[[#This Row],[Summ Cont Winter A]:[Cable Derating]])=0,"",MIN(TMK[[#This Row],[Summ Cont Winter A]:[Cable Derating]])),"")</f>
        <v>9.1452282639636717</v>
      </c>
      <c r="BG337" s="9">
        <f>IFERROR(TMK[[#This Row],[Lowest MVA]]*1000/(TMK[[#This Row],[Voltage]]*SQRT(3)),"")</f>
        <v>480.00000000000006</v>
      </c>
      <c r="BH337" s="9">
        <f t="shared" si="236"/>
        <v>480</v>
      </c>
      <c r="BI337" s="9" t="str">
        <f>TMK[[#This Row],[From]]</f>
        <v>11 kV Bus</v>
      </c>
      <c r="BJ337" s="9" t="str">
        <f>TMK[[#This Row],[To]]</f>
        <v>T338</v>
      </c>
      <c r="BK33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Breaker-CD2-T660-Protection</v>
      </c>
      <c r="BL337" s="9">
        <f>TMK[[#This Row],[Voltage]]</f>
        <v>11</v>
      </c>
    </row>
    <row r="338" spans="1:64" s="1" customFormat="1" x14ac:dyDescent="0.25">
      <c r="A338" s="6" t="str">
        <f>CONCATENATE(TMK[[#This Row],[Supply Level]],TMK[[#This Row],[Station/Feeder]],TMK[[#This Row],[Voltage]])</f>
        <v>DistributionFeederT660_Refrigeration11</v>
      </c>
      <c r="B338" s="6" t="str">
        <f>CONCATENATE(TMK[[#This Row],[Supply Level]],TMK[[#This Row],[Station/Feeder]],TMK[[#This Row],[Equipment ID]],TMK[[#This Row],[Voltage]],TMK[[#This Row],[Device type]])</f>
        <v>DistributionFeederT660_Refrigeration1-3c 300 mm² Al XLPE11-</v>
      </c>
      <c r="C338" s="6" t="s">
        <v>1276</v>
      </c>
      <c r="D338" s="11" t="s">
        <v>148</v>
      </c>
      <c r="E338" s="7" t="s">
        <v>243</v>
      </c>
      <c r="F338" s="7" t="s">
        <v>687</v>
      </c>
      <c r="G338" s="56">
        <v>2</v>
      </c>
      <c r="H338" s="7" t="s">
        <v>585</v>
      </c>
      <c r="I338" s="123" t="s">
        <v>569</v>
      </c>
      <c r="J338" s="123" t="s">
        <v>250</v>
      </c>
      <c r="K338" s="46" t="s">
        <v>0</v>
      </c>
      <c r="L338" s="46" t="s">
        <v>0</v>
      </c>
      <c r="M338" s="43">
        <v>11</v>
      </c>
      <c r="N338" s="9">
        <v>476</v>
      </c>
      <c r="O338" s="9">
        <f t="shared" si="231"/>
        <v>9.0690180284306408</v>
      </c>
      <c r="P338" s="9">
        <v>476</v>
      </c>
      <c r="Q338" s="9">
        <f t="shared" si="232"/>
        <v>9.0690180284306408</v>
      </c>
      <c r="R338" s="9">
        <v>476</v>
      </c>
      <c r="S338" s="9">
        <f t="shared" si="233"/>
        <v>9.0690180284306408</v>
      </c>
      <c r="T338" s="9" t="s">
        <v>0</v>
      </c>
      <c r="U338" s="9" t="str">
        <f t="shared" si="234"/>
        <v>-</v>
      </c>
      <c r="V338" s="9" t="s">
        <v>0</v>
      </c>
      <c r="W338" s="9" t="str">
        <f t="shared" si="235"/>
        <v>-</v>
      </c>
      <c r="X338" s="9" t="s">
        <v>0</v>
      </c>
      <c r="Y338" s="9" t="str">
        <f t="shared" si="226"/>
        <v>-</v>
      </c>
      <c r="Z338" s="9" t="s">
        <v>0</v>
      </c>
      <c r="AA338" s="9" t="str">
        <f t="shared" si="227"/>
        <v>-</v>
      </c>
      <c r="AB338" s="9" t="s">
        <v>0</v>
      </c>
      <c r="AC338" s="9" t="str">
        <f t="shared" si="228"/>
        <v>-</v>
      </c>
      <c r="AD338" s="9" t="s">
        <v>0</v>
      </c>
      <c r="AE338" s="12" t="str">
        <f t="shared" si="229"/>
        <v>-</v>
      </c>
      <c r="AF338" s="9">
        <v>3</v>
      </c>
      <c r="AG338" s="9" t="s">
        <v>265</v>
      </c>
      <c r="AH338" s="9">
        <v>507.2</v>
      </c>
      <c r="AI338" s="9">
        <v>1</v>
      </c>
      <c r="AJ338" s="43">
        <v>0.98</v>
      </c>
      <c r="AK338" s="29">
        <v>19</v>
      </c>
      <c r="AL338" s="32">
        <v>0.97</v>
      </c>
      <c r="AM338" s="29">
        <v>1.2</v>
      </c>
      <c r="AN338" s="32">
        <v>1</v>
      </c>
      <c r="AO338" s="29">
        <v>6</v>
      </c>
      <c r="AP338" s="32">
        <v>0.15</v>
      </c>
      <c r="AQ338" s="32">
        <v>0.63</v>
      </c>
      <c r="AR338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285.06592799999999</v>
      </c>
      <c r="AS338" s="9">
        <f t="shared" si="230"/>
        <v>5.4312353788304852</v>
      </c>
      <c r="AT338" s="9">
        <f>IF(RIGHT(TMK[[#This Row],[Device type]],7)="Winding","-",TMK[[#This Row],[Cont Winter MVA]])</f>
        <v>9.0690180284306408</v>
      </c>
      <c r="AU338" s="9">
        <f>IF(RIGHT(TMK[[#This Row],[Device type]],7)="Winding","-",TMK[[#This Row],[Cont Shoulder MVA]])</f>
        <v>9.0690180284306408</v>
      </c>
      <c r="AV338" s="9">
        <f>IF(RIGHT(TMK[[#This Row],[Device type]],7)="Winding","-",TMK[[#This Row],[Cont Summer MVA]])</f>
        <v>9.0690180284306408</v>
      </c>
      <c r="AW338" s="9" t="str">
        <f>IF(RIGHT(TMK[[#This Row],[Device type]],7)="Winding","-",TMK[[#This Row],[24 Hr Winter MVA]])</f>
        <v>-</v>
      </c>
      <c r="AX338" s="9" t="str">
        <f>IF(RIGHT(TMK[[#This Row],[Device type]],7)="Winding","-",TMK[[#This Row],[24 Hr Summer MVA]])</f>
        <v>-</v>
      </c>
      <c r="AY338" s="9" t="str">
        <f>TMK[[#This Row],[Forwards MVA]]</f>
        <v>-</v>
      </c>
      <c r="AZ338" s="9" t="str">
        <f>TMK[[#This Row],[Relay MVA]]</f>
        <v>-</v>
      </c>
      <c r="BA338" s="9" t="str">
        <f>TMK[[#This Row],[CT MVA]]</f>
        <v>-</v>
      </c>
      <c r="BB338" s="9">
        <f>TMK[[#This Row],[Derating MVA]]</f>
        <v>5.4312353788304852</v>
      </c>
      <c r="BC338" s="9" t="str">
        <f>TMK[[#This Row],[Station/Feeder]]&amp;TMK[[#This Row],[Lowest MVA]]</f>
        <v>T660_Refrigeration5.43123537883049</v>
      </c>
      <c r="BD338" s="9" t="str">
        <f>CONCATENATE(TMK[[#This Row],[Supply Level]],TMK[[#This Row],[Station/Feeder]],TMK[[#This Row],[Voltage]],TMK[[#This Row],[Lowest A-No PTX]])</f>
        <v>DistributionFeederT660_Refrigeration11285.065928</v>
      </c>
      <c r="BE338" s="9" t="str">
        <f>CONCATENATE(TMK[[#This Row],[Supply Level]],TMK[[#This Row],[Station/Feeder]],TMK[[#This Row],[Voltage]],TMK[[#This Row],[Lowest A-PTX]])</f>
        <v>DistributionFeederT660_Refrigeration11285.065928</v>
      </c>
      <c r="BF338" s="9">
        <f>IFERROR(IF(MIN(TMK[[#This Row],[Summ Cont Winter A]:[Cable Derating]])=0,"",MIN(TMK[[#This Row],[Summ Cont Winter A]:[Cable Derating]])),"")</f>
        <v>5.4312353788304852</v>
      </c>
      <c r="BG338" s="9">
        <f>IFERROR(TMK[[#This Row],[Lowest MVA]]*1000/(TMK[[#This Row],[Voltage]]*SQRT(3)),"")</f>
        <v>285.06592799999999</v>
      </c>
      <c r="BH338" s="9">
        <f t="shared" si="236"/>
        <v>285.06592799999999</v>
      </c>
      <c r="BI338" s="9" t="str">
        <f>TMK[[#This Row],[From]]</f>
        <v>11 kV Bus</v>
      </c>
      <c r="BJ338" s="9" t="str">
        <f>TMK[[#This Row],[To]]</f>
        <v>T338</v>
      </c>
      <c r="BK338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XLPE</v>
      </c>
      <c r="BL338" s="9">
        <f>TMK[[#This Row],[Voltage]]</f>
        <v>11</v>
      </c>
    </row>
    <row r="339" spans="1:64" s="1" customFormat="1" x14ac:dyDescent="0.25">
      <c r="A339" s="6" t="str">
        <f>CONCATENATE(TMK[[#This Row],[Supply Level]],TMK[[#This Row],[Station/Feeder]],TMK[[#This Row],[Voltage]])</f>
        <v>DistributionFeederT660_Refrigeration11</v>
      </c>
      <c r="B339" s="6" t="str">
        <f>CONCATENATE(TMK[[#This Row],[Supply Level]],TMK[[#This Row],[Station/Feeder]],TMK[[#This Row],[Equipment ID]],TMK[[#This Row],[Voltage]],TMK[[#This Row],[Device type]])</f>
        <v>DistributionFeederT660_RefrigerationT33811-</v>
      </c>
      <c r="C339" s="6" t="s">
        <v>1276</v>
      </c>
      <c r="D339" s="11" t="s">
        <v>148</v>
      </c>
      <c r="E339" s="7" t="s">
        <v>243</v>
      </c>
      <c r="F339" s="7" t="s">
        <v>687</v>
      </c>
      <c r="G339" s="56">
        <v>3</v>
      </c>
      <c r="H339" s="7" t="s">
        <v>273</v>
      </c>
      <c r="I339" s="123" t="s">
        <v>687</v>
      </c>
      <c r="J339" s="123" t="s">
        <v>670</v>
      </c>
      <c r="K339" s="46" t="s">
        <v>0</v>
      </c>
      <c r="L339" s="46" t="s">
        <v>0</v>
      </c>
      <c r="M339" s="43">
        <v>11</v>
      </c>
      <c r="N339" s="9">
        <v>630</v>
      </c>
      <c r="O339" s="9">
        <f t="shared" si="231"/>
        <v>12.00311209645232</v>
      </c>
      <c r="P339" s="9">
        <v>630</v>
      </c>
      <c r="Q339" s="9">
        <f t="shared" si="232"/>
        <v>12.00311209645232</v>
      </c>
      <c r="R339" s="9">
        <v>630</v>
      </c>
      <c r="S339" s="9">
        <f t="shared" si="233"/>
        <v>12.00311209645232</v>
      </c>
      <c r="T339" s="9" t="s">
        <v>0</v>
      </c>
      <c r="U339" s="9" t="str">
        <f t="shared" si="234"/>
        <v>-</v>
      </c>
      <c r="V339" s="9" t="s">
        <v>0</v>
      </c>
      <c r="W339" s="9" t="str">
        <f t="shared" si="235"/>
        <v>-</v>
      </c>
      <c r="X339" s="9" t="s">
        <v>0</v>
      </c>
      <c r="Y339" s="9" t="str">
        <f t="shared" si="226"/>
        <v>-</v>
      </c>
      <c r="Z339" s="9" t="s">
        <v>0</v>
      </c>
      <c r="AA339" s="9" t="str">
        <f t="shared" si="227"/>
        <v>-</v>
      </c>
      <c r="AB339" s="9" t="s">
        <v>0</v>
      </c>
      <c r="AC339" s="9" t="str">
        <f t="shared" si="228"/>
        <v>-</v>
      </c>
      <c r="AD339" s="9" t="s">
        <v>0</v>
      </c>
      <c r="AE339" s="12" t="str">
        <f t="shared" si="229"/>
        <v>-</v>
      </c>
      <c r="AF339" s="9" t="s">
        <v>0</v>
      </c>
      <c r="AG339" s="9" t="s">
        <v>0</v>
      </c>
      <c r="AH339" s="9" t="s">
        <v>0</v>
      </c>
      <c r="AI339" s="9" t="s">
        <v>0</v>
      </c>
      <c r="AJ339" s="43" t="s">
        <v>0</v>
      </c>
      <c r="AK339" s="29" t="s">
        <v>0</v>
      </c>
      <c r="AL339" s="32" t="s">
        <v>0</v>
      </c>
      <c r="AM339" s="29" t="s">
        <v>0</v>
      </c>
      <c r="AN339" s="32" t="s">
        <v>0</v>
      </c>
      <c r="AO339" s="29" t="s">
        <v>0</v>
      </c>
      <c r="AP339" s="32" t="s">
        <v>0</v>
      </c>
      <c r="AQ339" s="32" t="s">
        <v>0</v>
      </c>
      <c r="AR339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39" s="9" t="str">
        <f t="shared" si="230"/>
        <v>-</v>
      </c>
      <c r="AT339" s="9">
        <f>IF(RIGHT(TMK[[#This Row],[Device type]],7)="Winding","-",TMK[[#This Row],[Cont Winter MVA]])</f>
        <v>12.00311209645232</v>
      </c>
      <c r="AU339" s="9">
        <f>IF(RIGHT(TMK[[#This Row],[Device type]],7)="Winding","-",TMK[[#This Row],[Cont Shoulder MVA]])</f>
        <v>12.00311209645232</v>
      </c>
      <c r="AV339" s="9">
        <f>IF(RIGHT(TMK[[#This Row],[Device type]],7)="Winding","-",TMK[[#This Row],[Cont Summer MVA]])</f>
        <v>12.00311209645232</v>
      </c>
      <c r="AW339" s="9" t="str">
        <f>IF(RIGHT(TMK[[#This Row],[Device type]],7)="Winding","-",TMK[[#This Row],[24 Hr Winter MVA]])</f>
        <v>-</v>
      </c>
      <c r="AX339" s="9" t="str">
        <f>IF(RIGHT(TMK[[#This Row],[Device type]],7)="Winding","-",TMK[[#This Row],[24 Hr Summer MVA]])</f>
        <v>-</v>
      </c>
      <c r="AY339" s="9" t="str">
        <f>TMK[[#This Row],[Forwards MVA]]</f>
        <v>-</v>
      </c>
      <c r="AZ339" s="9" t="str">
        <f>TMK[[#This Row],[Relay MVA]]</f>
        <v>-</v>
      </c>
      <c r="BA339" s="9" t="str">
        <f>TMK[[#This Row],[CT MVA]]</f>
        <v>-</v>
      </c>
      <c r="BB339" s="9" t="str">
        <f>TMK[[#This Row],[Derating MVA]]</f>
        <v>-</v>
      </c>
      <c r="BC339" s="9" t="str">
        <f>TMK[[#This Row],[Station/Feeder]]&amp;TMK[[#This Row],[Lowest MVA]]</f>
        <v>T660_Refrigeration12.0031120964523</v>
      </c>
      <c r="BD339" s="9" t="str">
        <f>CONCATENATE(TMK[[#This Row],[Supply Level]],TMK[[#This Row],[Station/Feeder]],TMK[[#This Row],[Voltage]],TMK[[#This Row],[Lowest A-No PTX]])</f>
        <v>DistributionFeederT660_Refrigeration11630</v>
      </c>
      <c r="BE339" s="9" t="str">
        <f>CONCATENATE(TMK[[#This Row],[Supply Level]],TMK[[#This Row],[Station/Feeder]],TMK[[#This Row],[Voltage]],TMK[[#This Row],[Lowest A-PTX]])</f>
        <v>DistributionFeederT660_Refrigeration11630</v>
      </c>
      <c r="BF339" s="9">
        <f>IFERROR(IF(MIN(TMK[[#This Row],[Summ Cont Winter A]:[Cable Derating]])=0,"",MIN(TMK[[#This Row],[Summ Cont Winter A]:[Cable Derating]])),"")</f>
        <v>12.00311209645232</v>
      </c>
      <c r="BG339" s="9">
        <f>IFERROR(TMK[[#This Row],[Lowest MVA]]*1000/(TMK[[#This Row],[Voltage]]*SQRT(3)),"")</f>
        <v>630</v>
      </c>
      <c r="BH339" s="9">
        <f t="shared" si="236"/>
        <v>630</v>
      </c>
      <c r="BI339" s="9" t="str">
        <f>TMK[[#This Row],[From]]</f>
        <v>11 kV Bus</v>
      </c>
      <c r="BJ339" s="9" t="str">
        <f>TMK[[#This Row],[To]]</f>
        <v>T338</v>
      </c>
      <c r="BK339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Switch-T338</v>
      </c>
      <c r="BL339" s="9">
        <f>TMK[[#This Row],[Voltage]]</f>
        <v>11</v>
      </c>
    </row>
    <row r="340" spans="1:64" s="1" customFormat="1" ht="15" customHeight="1" x14ac:dyDescent="0.25">
      <c r="A340" s="6" t="str">
        <f>CONCATENATE(TMK[[#This Row],[Supply Level]],TMK[[#This Row],[Station/Feeder]],TMK[[#This Row],[Voltage]])</f>
        <v>DistributionFeederT661_Laboratory11</v>
      </c>
      <c r="B340" s="6" t="str">
        <f>CONCATENATE(TMK[[#This Row],[Supply Level]],TMK[[#This Row],[Station/Feeder]],TMK[[#This Row],[Equipment ID]],TMK[[#This Row],[Voltage]],TMK[[#This Row],[Device type]])</f>
        <v>DistributionFeederT661_LaboratoryCD2-T66111Protection</v>
      </c>
      <c r="C340" s="6" t="s">
        <v>1276</v>
      </c>
      <c r="D340" s="11" t="s">
        <v>150</v>
      </c>
      <c r="E340" s="7" t="s">
        <v>243</v>
      </c>
      <c r="F340" s="7" t="s">
        <v>688</v>
      </c>
      <c r="G340" s="56">
        <v>1</v>
      </c>
      <c r="H340" s="7" t="s">
        <v>343</v>
      </c>
      <c r="I340" s="123" t="s">
        <v>2461</v>
      </c>
      <c r="J340" s="123" t="s">
        <v>15</v>
      </c>
      <c r="K340" s="46" t="s">
        <v>663</v>
      </c>
      <c r="L340" s="46" t="s">
        <v>1423</v>
      </c>
      <c r="M340" s="43">
        <v>11</v>
      </c>
      <c r="N340" s="9">
        <v>630</v>
      </c>
      <c r="O340" s="9">
        <f t="shared" si="231"/>
        <v>12.00311209645232</v>
      </c>
      <c r="P340" s="9">
        <v>630</v>
      </c>
      <c r="Q340" s="9">
        <f t="shared" si="232"/>
        <v>12.00311209645232</v>
      </c>
      <c r="R340" s="9">
        <v>630</v>
      </c>
      <c r="S340" s="9">
        <f t="shared" si="233"/>
        <v>12.00311209645232</v>
      </c>
      <c r="T340" s="9" t="s">
        <v>0</v>
      </c>
      <c r="U340" s="9" t="str">
        <f t="shared" si="234"/>
        <v>-</v>
      </c>
      <c r="V340" s="9" t="s">
        <v>0</v>
      </c>
      <c r="W340" s="9" t="str">
        <f t="shared" si="235"/>
        <v>-</v>
      </c>
      <c r="X340" s="9">
        <f>VLOOKUP(TMK[[#This Row],[Equipment ID]],AEL_Protection_Data[#All],12,0)</f>
        <v>480</v>
      </c>
      <c r="Y340" s="9">
        <f t="shared" si="226"/>
        <v>9.1452282639636717</v>
      </c>
      <c r="Z340" s="9">
        <f>TMK[[#This Row],[Forward A]]</f>
        <v>480</v>
      </c>
      <c r="AA340" s="9">
        <f t="shared" si="227"/>
        <v>9.1452282639636717</v>
      </c>
      <c r="AB340" s="9" t="s">
        <v>0</v>
      </c>
      <c r="AC340" s="9" t="str">
        <f t="shared" si="228"/>
        <v>-</v>
      </c>
      <c r="AD340" s="9" t="s">
        <v>0</v>
      </c>
      <c r="AE340" s="12" t="str">
        <f t="shared" si="229"/>
        <v>-</v>
      </c>
      <c r="AF340" s="9" t="s">
        <v>0</v>
      </c>
      <c r="AG340" s="9" t="s">
        <v>0</v>
      </c>
      <c r="AH340" s="9" t="s">
        <v>0</v>
      </c>
      <c r="AI340" s="9" t="s">
        <v>0</v>
      </c>
      <c r="AJ340" s="43" t="s">
        <v>0</v>
      </c>
      <c r="AK340" s="29" t="s">
        <v>0</v>
      </c>
      <c r="AL340" s="32" t="s">
        <v>0</v>
      </c>
      <c r="AM340" s="29" t="s">
        <v>0</v>
      </c>
      <c r="AN340" s="32" t="s">
        <v>0</v>
      </c>
      <c r="AO340" s="29" t="s">
        <v>0</v>
      </c>
      <c r="AP340" s="32" t="s">
        <v>0</v>
      </c>
      <c r="AQ340" s="32" t="s">
        <v>0</v>
      </c>
      <c r="AR340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40" s="9" t="str">
        <f t="shared" si="230"/>
        <v>-</v>
      </c>
      <c r="AT340" s="9">
        <f>IF(RIGHT(TMK[[#This Row],[Device type]],7)="Winding","-",TMK[[#This Row],[Cont Winter MVA]])</f>
        <v>12.00311209645232</v>
      </c>
      <c r="AU340" s="9">
        <f>IF(RIGHT(TMK[[#This Row],[Device type]],7)="Winding","-",TMK[[#This Row],[Cont Shoulder MVA]])</f>
        <v>12.00311209645232</v>
      </c>
      <c r="AV340" s="9">
        <f>IF(RIGHT(TMK[[#This Row],[Device type]],7)="Winding","-",TMK[[#This Row],[Cont Summer MVA]])</f>
        <v>12.00311209645232</v>
      </c>
      <c r="AW340" s="9" t="str">
        <f>IF(RIGHT(TMK[[#This Row],[Device type]],7)="Winding","-",TMK[[#This Row],[24 Hr Winter MVA]])</f>
        <v>-</v>
      </c>
      <c r="AX340" s="9" t="str">
        <f>IF(RIGHT(TMK[[#This Row],[Device type]],7)="Winding","-",TMK[[#This Row],[24 Hr Summer MVA]])</f>
        <v>-</v>
      </c>
      <c r="AY340" s="9">
        <f>TMK[[#This Row],[Forwards MVA]]</f>
        <v>9.1452282639636717</v>
      </c>
      <c r="AZ340" s="9" t="str">
        <f>TMK[[#This Row],[Relay MVA]]</f>
        <v>-</v>
      </c>
      <c r="BA340" s="9" t="str">
        <f>TMK[[#This Row],[CT MVA]]</f>
        <v>-</v>
      </c>
      <c r="BB340" s="9" t="str">
        <f>TMK[[#This Row],[Derating MVA]]</f>
        <v>-</v>
      </c>
      <c r="BC340" s="9" t="str">
        <f>TMK[[#This Row],[Station/Feeder]]&amp;TMK[[#This Row],[Lowest MVA]]</f>
        <v>T661_Laboratory9.14522826396367</v>
      </c>
      <c r="BD340" s="9" t="str">
        <f>CONCATENATE(TMK[[#This Row],[Supply Level]],TMK[[#This Row],[Station/Feeder]],TMK[[#This Row],[Voltage]],TMK[[#This Row],[Lowest A-No PTX]])</f>
        <v>DistributionFeederT661_Laboratory11480</v>
      </c>
      <c r="BE340" s="9" t="str">
        <f>CONCATENATE(TMK[[#This Row],[Supply Level]],TMK[[#This Row],[Station/Feeder]],TMK[[#This Row],[Voltage]],TMK[[#This Row],[Lowest A-PTX]])</f>
        <v>DistributionFeederT661_Laboratory11480</v>
      </c>
      <c r="BF340" s="9">
        <f>IFERROR(IF(MIN(TMK[[#This Row],[Summ Cont Winter A]:[Cable Derating]])=0,"",MIN(TMK[[#This Row],[Summ Cont Winter A]:[Cable Derating]])),"")</f>
        <v>9.1452282639636717</v>
      </c>
      <c r="BG340" s="9">
        <f>IFERROR(TMK[[#This Row],[Lowest MVA]]*1000/(TMK[[#This Row],[Voltage]]*SQRT(3)),"")</f>
        <v>480.00000000000006</v>
      </c>
      <c r="BH340" s="9">
        <f t="shared" si="236"/>
        <v>480</v>
      </c>
      <c r="BI340" s="9" t="str">
        <f>TMK[[#This Row],[From]]</f>
        <v>11 kV Bus</v>
      </c>
      <c r="BJ340" s="9" t="str">
        <f>TMK[[#This Row],[To]]</f>
        <v>T182</v>
      </c>
      <c r="BK340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Breaker-CD2-T661-Protection</v>
      </c>
      <c r="BL340" s="9">
        <f>TMK[[#This Row],[Voltage]]</f>
        <v>11</v>
      </c>
    </row>
    <row r="341" spans="1:64" s="1" customFormat="1" x14ac:dyDescent="0.25">
      <c r="A341" s="6" t="str">
        <f>CONCATENATE(TMK[[#This Row],[Supply Level]],TMK[[#This Row],[Station/Feeder]],TMK[[#This Row],[Voltage]])</f>
        <v>DistributionFeederT661_Laboratory11</v>
      </c>
      <c r="B341" s="6" t="str">
        <f>CONCATENATE(TMK[[#This Row],[Supply Level]],TMK[[#This Row],[Station/Feeder]],TMK[[#This Row],[Equipment ID]],TMK[[#This Row],[Voltage]],TMK[[#This Row],[Device type]])</f>
        <v>DistributionFeederT661_Laboratory1-3c 300 mm² Al XLPE11-</v>
      </c>
      <c r="C341" s="6" t="s">
        <v>1276</v>
      </c>
      <c r="D341" s="11" t="s">
        <v>150</v>
      </c>
      <c r="E341" s="7" t="s">
        <v>243</v>
      </c>
      <c r="F341" s="7" t="s">
        <v>688</v>
      </c>
      <c r="G341" s="56">
        <v>2</v>
      </c>
      <c r="H341" s="7" t="s">
        <v>585</v>
      </c>
      <c r="I341" s="123" t="s">
        <v>569</v>
      </c>
      <c r="J341" s="123" t="s">
        <v>250</v>
      </c>
      <c r="K341" s="46" t="s">
        <v>0</v>
      </c>
      <c r="L341" s="46" t="s">
        <v>0</v>
      </c>
      <c r="M341" s="43">
        <v>11</v>
      </c>
      <c r="N341" s="9">
        <v>476</v>
      </c>
      <c r="O341" s="9">
        <f t="shared" si="231"/>
        <v>9.0690180284306408</v>
      </c>
      <c r="P341" s="9">
        <v>476</v>
      </c>
      <c r="Q341" s="9">
        <f t="shared" si="232"/>
        <v>9.0690180284306408</v>
      </c>
      <c r="R341" s="9">
        <v>476</v>
      </c>
      <c r="S341" s="9">
        <f t="shared" si="233"/>
        <v>9.0690180284306408</v>
      </c>
      <c r="T341" s="9" t="s">
        <v>0</v>
      </c>
      <c r="U341" s="9" t="str">
        <f t="shared" si="234"/>
        <v>-</v>
      </c>
      <c r="V341" s="9" t="s">
        <v>0</v>
      </c>
      <c r="W341" s="9" t="str">
        <f t="shared" si="235"/>
        <v>-</v>
      </c>
      <c r="X341" s="9" t="s">
        <v>0</v>
      </c>
      <c r="Y341" s="9" t="str">
        <f t="shared" si="226"/>
        <v>-</v>
      </c>
      <c r="Z341" s="9" t="s">
        <v>0</v>
      </c>
      <c r="AA341" s="9" t="str">
        <f t="shared" si="227"/>
        <v>-</v>
      </c>
      <c r="AB341" s="9" t="s">
        <v>0</v>
      </c>
      <c r="AC341" s="9" t="str">
        <f t="shared" si="228"/>
        <v>-</v>
      </c>
      <c r="AD341" s="9" t="s">
        <v>0</v>
      </c>
      <c r="AE341" s="12" t="str">
        <f t="shared" si="229"/>
        <v>-</v>
      </c>
      <c r="AF341" s="9">
        <v>3</v>
      </c>
      <c r="AG341" s="9" t="s">
        <v>265</v>
      </c>
      <c r="AH341" s="9">
        <v>169.7</v>
      </c>
      <c r="AI341" s="9">
        <v>1</v>
      </c>
      <c r="AJ341" s="43">
        <v>0.98</v>
      </c>
      <c r="AK341" s="29">
        <v>19</v>
      </c>
      <c r="AL341" s="32">
        <v>0.97</v>
      </c>
      <c r="AM341" s="29">
        <v>1.2</v>
      </c>
      <c r="AN341" s="32">
        <v>1</v>
      </c>
      <c r="AO341" s="29">
        <v>6</v>
      </c>
      <c r="AP341" s="32">
        <v>0.15</v>
      </c>
      <c r="AQ341" s="32">
        <v>0.63</v>
      </c>
      <c r="AR341" s="9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285.06592799999999</v>
      </c>
      <c r="AS341" s="9">
        <f t="shared" si="230"/>
        <v>5.4312353788304852</v>
      </c>
      <c r="AT341" s="9">
        <f>IF(RIGHT(TMK[[#This Row],[Device type]],7)="Winding","-",TMK[[#This Row],[Cont Winter MVA]])</f>
        <v>9.0690180284306408</v>
      </c>
      <c r="AU341" s="9">
        <f>IF(RIGHT(TMK[[#This Row],[Device type]],7)="Winding","-",TMK[[#This Row],[Cont Shoulder MVA]])</f>
        <v>9.0690180284306408</v>
      </c>
      <c r="AV341" s="9">
        <f>IF(RIGHT(TMK[[#This Row],[Device type]],7)="Winding","-",TMK[[#This Row],[Cont Summer MVA]])</f>
        <v>9.0690180284306408</v>
      </c>
      <c r="AW341" s="9" t="str">
        <f>IF(RIGHT(TMK[[#This Row],[Device type]],7)="Winding","-",TMK[[#This Row],[24 Hr Winter MVA]])</f>
        <v>-</v>
      </c>
      <c r="AX341" s="9" t="str">
        <f>IF(RIGHT(TMK[[#This Row],[Device type]],7)="Winding","-",TMK[[#This Row],[24 Hr Summer MVA]])</f>
        <v>-</v>
      </c>
      <c r="AY341" s="9" t="str">
        <f>TMK[[#This Row],[Forwards MVA]]</f>
        <v>-</v>
      </c>
      <c r="AZ341" s="9" t="str">
        <f>TMK[[#This Row],[Relay MVA]]</f>
        <v>-</v>
      </c>
      <c r="BA341" s="9" t="str">
        <f>TMK[[#This Row],[CT MVA]]</f>
        <v>-</v>
      </c>
      <c r="BB341" s="9">
        <f>TMK[[#This Row],[Derating MVA]]</f>
        <v>5.4312353788304852</v>
      </c>
      <c r="BC341" s="9" t="str">
        <f>TMK[[#This Row],[Station/Feeder]]&amp;TMK[[#This Row],[Lowest MVA]]</f>
        <v>T661_Laboratory5.43123537883049</v>
      </c>
      <c r="BD341" s="9" t="str">
        <f>CONCATENATE(TMK[[#This Row],[Supply Level]],TMK[[#This Row],[Station/Feeder]],TMK[[#This Row],[Voltage]],TMK[[#This Row],[Lowest A-No PTX]])</f>
        <v>DistributionFeederT661_Laboratory11285.065928</v>
      </c>
      <c r="BE341" s="9" t="str">
        <f>CONCATENATE(TMK[[#This Row],[Supply Level]],TMK[[#This Row],[Station/Feeder]],TMK[[#This Row],[Voltage]],TMK[[#This Row],[Lowest A-PTX]])</f>
        <v>DistributionFeederT661_Laboratory11285.065928</v>
      </c>
      <c r="BF341" s="9">
        <f>IFERROR(IF(MIN(TMK[[#This Row],[Summ Cont Winter A]:[Cable Derating]])=0,"",MIN(TMK[[#This Row],[Summ Cont Winter A]:[Cable Derating]])),"")</f>
        <v>5.4312353788304852</v>
      </c>
      <c r="BG341" s="9">
        <f>IFERROR(TMK[[#This Row],[Lowest MVA]]*1000/(TMK[[#This Row],[Voltage]]*SQRT(3)),"")</f>
        <v>285.06592799999999</v>
      </c>
      <c r="BH341" s="9">
        <f t="shared" si="236"/>
        <v>285.06592799999999</v>
      </c>
      <c r="BI341" s="9" t="str">
        <f>TMK[[#This Row],[From]]</f>
        <v>11 kV Bus</v>
      </c>
      <c r="BJ341" s="9" t="str">
        <f>TMK[[#This Row],[To]]</f>
        <v>T182</v>
      </c>
      <c r="BK341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Cable-1-3c 300 mm² Al XLPE</v>
      </c>
      <c r="BL341" s="9">
        <f>TMK[[#This Row],[Voltage]]</f>
        <v>11</v>
      </c>
    </row>
    <row r="342" spans="1:64" s="1" customFormat="1" x14ac:dyDescent="0.25">
      <c r="A342" s="6" t="str">
        <f>CONCATENATE(TMK[[#This Row],[Supply Level]],TMK[[#This Row],[Station/Feeder]],TMK[[#This Row],[Voltage]])</f>
        <v>DistributionFeederT661_Laboratory11</v>
      </c>
      <c r="B342" s="6" t="str">
        <f>CONCATENATE(TMK[[#This Row],[Supply Level]],TMK[[#This Row],[Station/Feeder]],TMK[[#This Row],[Equipment ID]],TMK[[#This Row],[Voltage]],TMK[[#This Row],[Device type]])</f>
        <v>DistributionFeederT661_LaboratoryT18211-</v>
      </c>
      <c r="C342" s="6" t="s">
        <v>1276</v>
      </c>
      <c r="D342" s="11" t="s">
        <v>150</v>
      </c>
      <c r="E342" s="7" t="s">
        <v>243</v>
      </c>
      <c r="F342" s="7" t="s">
        <v>688</v>
      </c>
      <c r="G342" s="56">
        <v>3</v>
      </c>
      <c r="H342" s="7" t="s">
        <v>273</v>
      </c>
      <c r="I342" s="123" t="s">
        <v>688</v>
      </c>
      <c r="J342" s="123" t="s">
        <v>670</v>
      </c>
      <c r="K342" s="46" t="s">
        <v>0</v>
      </c>
      <c r="L342" s="46" t="s">
        <v>0</v>
      </c>
      <c r="M342" s="43">
        <v>11</v>
      </c>
      <c r="N342" s="9">
        <v>630</v>
      </c>
      <c r="O342" s="9">
        <f t="shared" si="231"/>
        <v>12.00311209645232</v>
      </c>
      <c r="P342" s="9">
        <v>630</v>
      </c>
      <c r="Q342" s="9">
        <f t="shared" si="232"/>
        <v>12.00311209645232</v>
      </c>
      <c r="R342" s="9">
        <v>630</v>
      </c>
      <c r="S342" s="9">
        <f t="shared" si="233"/>
        <v>12.00311209645232</v>
      </c>
      <c r="T342" s="9" t="s">
        <v>0</v>
      </c>
      <c r="U342" s="9" t="str">
        <f t="shared" si="234"/>
        <v>-</v>
      </c>
      <c r="V342" s="9" t="s">
        <v>0</v>
      </c>
      <c r="W342" s="9" t="str">
        <f t="shared" si="235"/>
        <v>-</v>
      </c>
      <c r="X342" s="9" t="s">
        <v>0</v>
      </c>
      <c r="Y342" s="9" t="str">
        <f t="shared" si="226"/>
        <v>-</v>
      </c>
      <c r="Z342" s="9" t="s">
        <v>0</v>
      </c>
      <c r="AA342" s="9" t="str">
        <f t="shared" si="227"/>
        <v>-</v>
      </c>
      <c r="AB342" s="9" t="s">
        <v>0</v>
      </c>
      <c r="AC342" s="9" t="str">
        <f t="shared" si="228"/>
        <v>-</v>
      </c>
      <c r="AD342" s="9" t="s">
        <v>0</v>
      </c>
      <c r="AE342" s="12" t="str">
        <f t="shared" si="229"/>
        <v>-</v>
      </c>
      <c r="AF342" s="9" t="s">
        <v>0</v>
      </c>
      <c r="AG342" s="9" t="s">
        <v>0</v>
      </c>
      <c r="AH342" s="9" t="s">
        <v>0</v>
      </c>
      <c r="AI342" s="9" t="s">
        <v>0</v>
      </c>
      <c r="AJ342" s="43" t="s">
        <v>0</v>
      </c>
      <c r="AK342" s="29" t="s">
        <v>0</v>
      </c>
      <c r="AL342" s="32" t="s">
        <v>0</v>
      </c>
      <c r="AM342" s="29" t="s">
        <v>0</v>
      </c>
      <c r="AN342" s="32" t="s">
        <v>0</v>
      </c>
      <c r="AO342" s="29" t="s">
        <v>0</v>
      </c>
      <c r="AP342" s="32" t="s">
        <v>0</v>
      </c>
      <c r="AQ342" s="32" t="s">
        <v>0</v>
      </c>
      <c r="AR342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42" s="9" t="str">
        <f t="shared" si="230"/>
        <v>-</v>
      </c>
      <c r="AT342" s="9">
        <f>IF(RIGHT(TMK[[#This Row],[Device type]],7)="Winding","-",TMK[[#This Row],[Cont Winter MVA]])</f>
        <v>12.00311209645232</v>
      </c>
      <c r="AU342" s="9">
        <f>IF(RIGHT(TMK[[#This Row],[Device type]],7)="Winding","-",TMK[[#This Row],[Cont Shoulder MVA]])</f>
        <v>12.00311209645232</v>
      </c>
      <c r="AV342" s="9">
        <f>IF(RIGHT(TMK[[#This Row],[Device type]],7)="Winding","-",TMK[[#This Row],[Cont Summer MVA]])</f>
        <v>12.00311209645232</v>
      </c>
      <c r="AW342" s="9" t="str">
        <f>IF(RIGHT(TMK[[#This Row],[Device type]],7)="Winding","-",TMK[[#This Row],[24 Hr Winter MVA]])</f>
        <v>-</v>
      </c>
      <c r="AX342" s="9" t="str">
        <f>IF(RIGHT(TMK[[#This Row],[Device type]],7)="Winding","-",TMK[[#This Row],[24 Hr Summer MVA]])</f>
        <v>-</v>
      </c>
      <c r="AY342" s="9" t="str">
        <f>TMK[[#This Row],[Forwards MVA]]</f>
        <v>-</v>
      </c>
      <c r="AZ342" s="9" t="str">
        <f>TMK[[#This Row],[Relay MVA]]</f>
        <v>-</v>
      </c>
      <c r="BA342" s="9" t="str">
        <f>TMK[[#This Row],[CT MVA]]</f>
        <v>-</v>
      </c>
      <c r="BB342" s="9" t="str">
        <f>TMK[[#This Row],[Derating MVA]]</f>
        <v>-</v>
      </c>
      <c r="BC342" s="9" t="str">
        <f>TMK[[#This Row],[Station/Feeder]]&amp;TMK[[#This Row],[Lowest MVA]]</f>
        <v>T661_Laboratory12.0031120964523</v>
      </c>
      <c r="BD342" s="9" t="str">
        <f>CONCATENATE(TMK[[#This Row],[Supply Level]],TMK[[#This Row],[Station/Feeder]],TMK[[#This Row],[Voltage]],TMK[[#This Row],[Lowest A-No PTX]])</f>
        <v>DistributionFeederT661_Laboratory11630</v>
      </c>
      <c r="BE342" s="9" t="str">
        <f>CONCATENATE(TMK[[#This Row],[Supply Level]],TMK[[#This Row],[Station/Feeder]],TMK[[#This Row],[Voltage]],TMK[[#This Row],[Lowest A-PTX]])</f>
        <v>DistributionFeederT661_Laboratory11630</v>
      </c>
      <c r="BF342" s="9">
        <f>IFERROR(IF(MIN(TMK[[#This Row],[Summ Cont Winter A]:[Cable Derating]])=0,"",MIN(TMK[[#This Row],[Summ Cont Winter A]:[Cable Derating]])),"")</f>
        <v>12.00311209645232</v>
      </c>
      <c r="BG342" s="9">
        <f>IFERROR(TMK[[#This Row],[Lowest MVA]]*1000/(TMK[[#This Row],[Voltage]]*SQRT(3)),"")</f>
        <v>630</v>
      </c>
      <c r="BH342" s="9">
        <f t="shared" si="236"/>
        <v>630</v>
      </c>
      <c r="BI342" s="9" t="str">
        <f>TMK[[#This Row],[From]]</f>
        <v>11 kV Bus</v>
      </c>
      <c r="BJ342" s="9" t="str">
        <f>TMK[[#This Row],[To]]</f>
        <v>T182</v>
      </c>
      <c r="BK342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Switch-T182</v>
      </c>
      <c r="BL342" s="9">
        <f>TMK[[#This Row],[Voltage]]</f>
        <v>11</v>
      </c>
    </row>
    <row r="343" spans="1:64" s="1" customFormat="1" ht="15" customHeight="1" x14ac:dyDescent="0.25">
      <c r="A343" s="6" t="str">
        <f>CONCATENATE(TMK[[#This Row],[Supply Level]],TMK[[#This Row],[Station/Feeder]],TMK[[#This Row],[Voltage]])</f>
        <v>DistributionFeederCB2_Mozz3_111</v>
      </c>
      <c r="B343" s="6" t="str">
        <f>CONCATENATE(TMK[[#This Row],[Supply Level]],TMK[[#This Row],[Station/Feeder]],TMK[[#This Row],[Equipment ID]],TMK[[#This Row],[Voltage]],TMK[[#This Row],[Device type]])</f>
        <v>DistributionFeederCB2_Mozz3_1CD2-CB211Protection</v>
      </c>
      <c r="C343" s="6" t="s">
        <v>1276</v>
      </c>
      <c r="D343" s="11" t="s">
        <v>1446</v>
      </c>
      <c r="E343" s="7" t="s">
        <v>243</v>
      </c>
      <c r="F343" s="7" t="s">
        <v>689</v>
      </c>
      <c r="G343" s="56">
        <v>1</v>
      </c>
      <c r="H343" s="7" t="s">
        <v>343</v>
      </c>
      <c r="I343" s="123" t="s">
        <v>2325</v>
      </c>
      <c r="J343" s="123" t="s">
        <v>15</v>
      </c>
      <c r="K343" s="46" t="s">
        <v>791</v>
      </c>
      <c r="L343" s="46" t="s">
        <v>1423</v>
      </c>
      <c r="M343" s="43">
        <v>11</v>
      </c>
      <c r="N343" s="9">
        <v>630</v>
      </c>
      <c r="O343" s="9">
        <f t="shared" si="231"/>
        <v>12.00311209645232</v>
      </c>
      <c r="P343" s="9">
        <v>630</v>
      </c>
      <c r="Q343" s="9">
        <f t="shared" si="232"/>
        <v>12.00311209645232</v>
      </c>
      <c r="R343" s="9">
        <v>630</v>
      </c>
      <c r="S343" s="9">
        <f t="shared" si="233"/>
        <v>12.00311209645232</v>
      </c>
      <c r="T343" s="9" t="s">
        <v>0</v>
      </c>
      <c r="U343" s="9" t="str">
        <f t="shared" si="234"/>
        <v>-</v>
      </c>
      <c r="V343" s="9" t="s">
        <v>0</v>
      </c>
      <c r="W343" s="9" t="str">
        <f t="shared" si="235"/>
        <v>-</v>
      </c>
      <c r="X343" s="9">
        <f>VLOOKUP(TMK[[#This Row],[Equipment ID]],AEL_Protection_Data[#All],12,0)</f>
        <v>600</v>
      </c>
      <c r="Y343" s="9">
        <f t="shared" si="226"/>
        <v>11.43153532995459</v>
      </c>
      <c r="Z343" s="9">
        <f>TMK[[#This Row],[Forward A]]</f>
        <v>600</v>
      </c>
      <c r="AA343" s="9">
        <f t="shared" si="227"/>
        <v>11.43153532995459</v>
      </c>
      <c r="AB343" s="9" t="s">
        <v>0</v>
      </c>
      <c r="AC343" s="9" t="str">
        <f t="shared" si="228"/>
        <v>-</v>
      </c>
      <c r="AD343" s="9" t="s">
        <v>0</v>
      </c>
      <c r="AE343" s="12" t="str">
        <f t="shared" si="229"/>
        <v>-</v>
      </c>
      <c r="AF343" s="9" t="s">
        <v>0</v>
      </c>
      <c r="AG343" s="9" t="s">
        <v>0</v>
      </c>
      <c r="AH343" s="9" t="s">
        <v>0</v>
      </c>
      <c r="AI343" s="9" t="s">
        <v>0</v>
      </c>
      <c r="AJ343" s="43" t="s">
        <v>0</v>
      </c>
      <c r="AK343" s="29" t="s">
        <v>0</v>
      </c>
      <c r="AL343" s="32" t="s">
        <v>0</v>
      </c>
      <c r="AM343" s="29" t="s">
        <v>0</v>
      </c>
      <c r="AN343" s="32" t="s">
        <v>0</v>
      </c>
      <c r="AO343" s="29" t="s">
        <v>0</v>
      </c>
      <c r="AP343" s="32" t="s">
        <v>0</v>
      </c>
      <c r="AQ343" s="32" t="s">
        <v>0</v>
      </c>
      <c r="AR343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43" s="9" t="str">
        <f t="shared" si="230"/>
        <v>-</v>
      </c>
      <c r="AT343" s="9">
        <f>IF(RIGHT(TMK[[#This Row],[Device type]],7)="Winding","-",TMK[[#This Row],[Cont Winter MVA]])</f>
        <v>12.00311209645232</v>
      </c>
      <c r="AU343" s="9">
        <f>IF(RIGHT(TMK[[#This Row],[Device type]],7)="Winding","-",TMK[[#This Row],[Cont Shoulder MVA]])</f>
        <v>12.00311209645232</v>
      </c>
      <c r="AV343" s="9">
        <f>IF(RIGHT(TMK[[#This Row],[Device type]],7)="Winding","-",TMK[[#This Row],[Cont Summer MVA]])</f>
        <v>12.00311209645232</v>
      </c>
      <c r="AW343" s="9" t="str">
        <f>IF(RIGHT(TMK[[#This Row],[Device type]],7)="Winding","-",TMK[[#This Row],[24 Hr Winter MVA]])</f>
        <v>-</v>
      </c>
      <c r="AX343" s="9" t="str">
        <f>IF(RIGHT(TMK[[#This Row],[Device type]],7)="Winding","-",TMK[[#This Row],[24 Hr Summer MVA]])</f>
        <v>-</v>
      </c>
      <c r="AY343" s="9">
        <f>TMK[[#This Row],[Forwards MVA]]</f>
        <v>11.43153532995459</v>
      </c>
      <c r="AZ343" s="9" t="str">
        <f>TMK[[#This Row],[Relay MVA]]</f>
        <v>-</v>
      </c>
      <c r="BA343" s="9" t="str">
        <f>TMK[[#This Row],[CT MVA]]</f>
        <v>-</v>
      </c>
      <c r="BB343" s="9" t="str">
        <f>TMK[[#This Row],[Derating MVA]]</f>
        <v>-</v>
      </c>
      <c r="BC343" s="9" t="str">
        <f>TMK[[#This Row],[Station/Feeder]]&amp;TMK[[#This Row],[Lowest MVA]]</f>
        <v>CB2_Mozz3_111.4315353299546</v>
      </c>
      <c r="BD343" s="9" t="str">
        <f>CONCATENATE(TMK[[#This Row],[Supply Level]],TMK[[#This Row],[Station/Feeder]],TMK[[#This Row],[Voltage]],TMK[[#This Row],[Lowest A-No PTX]])</f>
        <v>DistributionFeederCB2_Mozz3_111600</v>
      </c>
      <c r="BE343" s="9" t="str">
        <f>CONCATENATE(TMK[[#This Row],[Supply Level]],TMK[[#This Row],[Station/Feeder]],TMK[[#This Row],[Voltage]],TMK[[#This Row],[Lowest A-PTX]])</f>
        <v>DistributionFeederCB2_Mozz3_111600</v>
      </c>
      <c r="BF343" s="9">
        <f>IFERROR(IF(MIN(TMK[[#This Row],[Summ Cont Winter A]:[Cable Derating]])=0,"",MIN(TMK[[#This Row],[Summ Cont Winter A]:[Cable Derating]])),"")</f>
        <v>11.43153532995459</v>
      </c>
      <c r="BG343" s="9">
        <f>IFERROR(TMK[[#This Row],[Lowest MVA]]*1000/(TMK[[#This Row],[Voltage]]*SQRT(3)),"")</f>
        <v>600</v>
      </c>
      <c r="BH343" s="9">
        <f t="shared" si="236"/>
        <v>600</v>
      </c>
      <c r="BI343" s="9" t="str">
        <f>TMK[[#This Row],[From]]</f>
        <v>11 kV Bus</v>
      </c>
      <c r="BJ343" s="9" t="str">
        <f>TMK[[#This Row],[To]]</f>
        <v>T708</v>
      </c>
      <c r="BK343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Breaker-CD2-CB2-Protection</v>
      </c>
      <c r="BL343" s="9">
        <f>TMK[[#This Row],[Voltage]]</f>
        <v>11</v>
      </c>
    </row>
    <row r="344" spans="1:64" s="1" customFormat="1" x14ac:dyDescent="0.25">
      <c r="A344" s="6" t="str">
        <f>CONCATENATE(TMK[[#This Row],[Supply Level]],TMK[[#This Row],[Station/Feeder]],TMK[[#This Row],[Voltage]])</f>
        <v>DistributionFeederCB2_Mozz3_111</v>
      </c>
      <c r="B344" s="6" t="str">
        <f>CONCATENATE(TMK[[#This Row],[Supply Level]],TMK[[#This Row],[Station/Feeder]],TMK[[#This Row],[Equipment ID]],TMK[[#This Row],[Voltage]],TMK[[#This Row],[Device type]])</f>
        <v>DistributionFeederCB2_Mozz3_13-1c 400 mm² Cu XLPE11-</v>
      </c>
      <c r="C344" s="6" t="s">
        <v>1276</v>
      </c>
      <c r="D344" s="11" t="s">
        <v>1446</v>
      </c>
      <c r="E344" s="7" t="s">
        <v>243</v>
      </c>
      <c r="F344" s="7" t="s">
        <v>689</v>
      </c>
      <c r="G344" s="56">
        <v>2</v>
      </c>
      <c r="H344" s="7" t="s">
        <v>585</v>
      </c>
      <c r="I344" s="123" t="s">
        <v>691</v>
      </c>
      <c r="J344" s="123" t="s">
        <v>250</v>
      </c>
      <c r="K344" s="46" t="s">
        <v>0</v>
      </c>
      <c r="L344" s="46" t="s">
        <v>0</v>
      </c>
      <c r="M344" s="43">
        <v>11</v>
      </c>
      <c r="N344" s="9">
        <v>662</v>
      </c>
      <c r="O344" s="9">
        <f t="shared" si="231"/>
        <v>12.612793980716564</v>
      </c>
      <c r="P344" s="9">
        <v>662</v>
      </c>
      <c r="Q344" s="9">
        <f t="shared" si="232"/>
        <v>12.612793980716564</v>
      </c>
      <c r="R344" s="9">
        <v>662</v>
      </c>
      <c r="S344" s="9">
        <f t="shared" si="233"/>
        <v>12.612793980716564</v>
      </c>
      <c r="T344" s="9" t="s">
        <v>0</v>
      </c>
      <c r="U344" s="9" t="str">
        <f t="shared" si="234"/>
        <v>-</v>
      </c>
      <c r="V344" s="9" t="s">
        <v>0</v>
      </c>
      <c r="W344" s="9" t="str">
        <f t="shared" si="235"/>
        <v>-</v>
      </c>
      <c r="X344" s="9" t="s">
        <v>0</v>
      </c>
      <c r="Y344" s="9" t="str">
        <f t="shared" si="226"/>
        <v>-</v>
      </c>
      <c r="Z344" s="9" t="s">
        <v>0</v>
      </c>
      <c r="AA344" s="9" t="str">
        <f t="shared" si="227"/>
        <v>-</v>
      </c>
      <c r="AB344" s="9" t="s">
        <v>0</v>
      </c>
      <c r="AC344" s="9" t="str">
        <f t="shared" si="228"/>
        <v>-</v>
      </c>
      <c r="AD344" s="9" t="s">
        <v>0</v>
      </c>
      <c r="AE344" s="12" t="str">
        <f t="shared" si="229"/>
        <v>-</v>
      </c>
      <c r="AF344" s="9" t="s">
        <v>0</v>
      </c>
      <c r="AG344" s="9" t="s">
        <v>0</v>
      </c>
      <c r="AH344" s="9" t="s">
        <v>0</v>
      </c>
      <c r="AI344" s="9" t="s">
        <v>0</v>
      </c>
      <c r="AJ344" s="43" t="s">
        <v>0</v>
      </c>
      <c r="AK344" s="29" t="s">
        <v>0</v>
      </c>
      <c r="AL344" s="32" t="s">
        <v>0</v>
      </c>
      <c r="AM344" s="29" t="s">
        <v>0</v>
      </c>
      <c r="AN344" s="32" t="s">
        <v>0</v>
      </c>
      <c r="AO344" s="29" t="s">
        <v>0</v>
      </c>
      <c r="AP344" s="32" t="s">
        <v>0</v>
      </c>
      <c r="AQ344" s="32" t="s">
        <v>0</v>
      </c>
      <c r="AR344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44" s="9" t="str">
        <f t="shared" si="230"/>
        <v>-</v>
      </c>
      <c r="AT344" s="9">
        <f>IF(RIGHT(TMK[[#This Row],[Device type]],7)="Winding","-",TMK[[#This Row],[Cont Winter MVA]])</f>
        <v>12.612793980716564</v>
      </c>
      <c r="AU344" s="9">
        <f>IF(RIGHT(TMK[[#This Row],[Device type]],7)="Winding","-",TMK[[#This Row],[Cont Shoulder MVA]])</f>
        <v>12.612793980716564</v>
      </c>
      <c r="AV344" s="9">
        <f>IF(RIGHT(TMK[[#This Row],[Device type]],7)="Winding","-",TMK[[#This Row],[Cont Summer MVA]])</f>
        <v>12.612793980716564</v>
      </c>
      <c r="AW344" s="9" t="str">
        <f>IF(RIGHT(TMK[[#This Row],[Device type]],7)="Winding","-",TMK[[#This Row],[24 Hr Winter MVA]])</f>
        <v>-</v>
      </c>
      <c r="AX344" s="9" t="str">
        <f>IF(RIGHT(TMK[[#This Row],[Device type]],7)="Winding","-",TMK[[#This Row],[24 Hr Summer MVA]])</f>
        <v>-</v>
      </c>
      <c r="AY344" s="9" t="str">
        <f>TMK[[#This Row],[Forwards MVA]]</f>
        <v>-</v>
      </c>
      <c r="AZ344" s="9" t="str">
        <f>TMK[[#This Row],[Relay MVA]]</f>
        <v>-</v>
      </c>
      <c r="BA344" s="9" t="str">
        <f>TMK[[#This Row],[CT MVA]]</f>
        <v>-</v>
      </c>
      <c r="BB344" s="9" t="str">
        <f>TMK[[#This Row],[Derating MVA]]</f>
        <v>-</v>
      </c>
      <c r="BC344" s="9" t="str">
        <f>TMK[[#This Row],[Station/Feeder]]&amp;TMK[[#This Row],[Lowest MVA]]</f>
        <v>CB2_Mozz3_112.6127939807166</v>
      </c>
      <c r="BD344" s="9" t="str">
        <f>CONCATENATE(TMK[[#This Row],[Supply Level]],TMK[[#This Row],[Station/Feeder]],TMK[[#This Row],[Voltage]],TMK[[#This Row],[Lowest A-No PTX]])</f>
        <v>DistributionFeederCB2_Mozz3_111662</v>
      </c>
      <c r="BE344" s="9" t="str">
        <f>CONCATENATE(TMK[[#This Row],[Supply Level]],TMK[[#This Row],[Station/Feeder]],TMK[[#This Row],[Voltage]],TMK[[#This Row],[Lowest A-PTX]])</f>
        <v>DistributionFeederCB2_Mozz3_111662</v>
      </c>
      <c r="BF344" s="9">
        <f>IFERROR(IF(MIN(TMK[[#This Row],[Summ Cont Winter A]:[Cable Derating]])=0,"",MIN(TMK[[#This Row],[Summ Cont Winter A]:[Cable Derating]])),"")</f>
        <v>12.612793980716564</v>
      </c>
      <c r="BG344" s="9">
        <f>IFERROR(TMK[[#This Row],[Lowest MVA]]*1000/(TMK[[#This Row],[Voltage]]*SQRT(3)),"")</f>
        <v>662</v>
      </c>
      <c r="BH344" s="9">
        <f t="shared" si="236"/>
        <v>662</v>
      </c>
      <c r="BI344" s="9" t="str">
        <f>TMK[[#This Row],[From]]</f>
        <v>11 kV Bus</v>
      </c>
      <c r="BJ344" s="9" t="str">
        <f>TMK[[#This Row],[To]]</f>
        <v>T708</v>
      </c>
      <c r="BK344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Cu XLPE</v>
      </c>
      <c r="BL344" s="9">
        <f>TMK[[#This Row],[Voltage]]</f>
        <v>11</v>
      </c>
    </row>
    <row r="345" spans="1:64" s="1" customFormat="1" x14ac:dyDescent="0.25">
      <c r="A345" s="6" t="str">
        <f>CONCATENATE(TMK[[#This Row],[Supply Level]],TMK[[#This Row],[Station/Feeder]],TMK[[#This Row],[Voltage]])</f>
        <v>DistributionFeederCB2_Mozz3_111</v>
      </c>
      <c r="B345" s="6" t="str">
        <f>CONCATENATE(TMK[[#This Row],[Supply Level]],TMK[[#This Row],[Station/Feeder]],TMK[[#This Row],[Equipment ID]],TMK[[#This Row],[Voltage]],TMK[[#This Row],[Device type]])</f>
        <v>DistributionFeederCB2_Mozz3_1T70811-</v>
      </c>
      <c r="C345" s="6" t="s">
        <v>1276</v>
      </c>
      <c r="D345" s="11" t="s">
        <v>1446</v>
      </c>
      <c r="E345" s="7" t="s">
        <v>243</v>
      </c>
      <c r="F345" s="7" t="s">
        <v>689</v>
      </c>
      <c r="G345" s="56">
        <v>3</v>
      </c>
      <c r="H345" s="7" t="s">
        <v>273</v>
      </c>
      <c r="I345" s="123" t="s">
        <v>689</v>
      </c>
      <c r="J345" s="123" t="s">
        <v>670</v>
      </c>
      <c r="K345" s="46" t="s">
        <v>0</v>
      </c>
      <c r="L345" s="46" t="s">
        <v>0</v>
      </c>
      <c r="M345" s="43">
        <v>11</v>
      </c>
      <c r="N345" s="9">
        <v>630</v>
      </c>
      <c r="O345" s="9">
        <f t="shared" si="231"/>
        <v>12.00311209645232</v>
      </c>
      <c r="P345" s="9">
        <v>630</v>
      </c>
      <c r="Q345" s="9">
        <f t="shared" si="232"/>
        <v>12.00311209645232</v>
      </c>
      <c r="R345" s="9">
        <v>630</v>
      </c>
      <c r="S345" s="9">
        <f t="shared" si="233"/>
        <v>12.00311209645232</v>
      </c>
      <c r="T345" s="9" t="s">
        <v>0</v>
      </c>
      <c r="U345" s="9" t="str">
        <f t="shared" si="234"/>
        <v>-</v>
      </c>
      <c r="V345" s="9" t="s">
        <v>0</v>
      </c>
      <c r="W345" s="9" t="str">
        <f t="shared" si="235"/>
        <v>-</v>
      </c>
      <c r="X345" s="9" t="s">
        <v>0</v>
      </c>
      <c r="Y345" s="9" t="str">
        <f t="shared" si="226"/>
        <v>-</v>
      </c>
      <c r="Z345" s="9" t="s">
        <v>0</v>
      </c>
      <c r="AA345" s="9" t="str">
        <f t="shared" si="227"/>
        <v>-</v>
      </c>
      <c r="AB345" s="9" t="s">
        <v>0</v>
      </c>
      <c r="AC345" s="9" t="str">
        <f t="shared" si="228"/>
        <v>-</v>
      </c>
      <c r="AD345" s="9" t="s">
        <v>0</v>
      </c>
      <c r="AE345" s="12" t="str">
        <f t="shared" si="229"/>
        <v>-</v>
      </c>
      <c r="AF345" s="9" t="s">
        <v>0</v>
      </c>
      <c r="AG345" s="9" t="s">
        <v>0</v>
      </c>
      <c r="AH345" s="9" t="s">
        <v>0</v>
      </c>
      <c r="AI345" s="9" t="s">
        <v>0</v>
      </c>
      <c r="AJ345" s="43" t="s">
        <v>0</v>
      </c>
      <c r="AK345" s="29" t="s">
        <v>0</v>
      </c>
      <c r="AL345" s="32" t="s">
        <v>0</v>
      </c>
      <c r="AM345" s="29" t="s">
        <v>0</v>
      </c>
      <c r="AN345" s="32" t="s">
        <v>0</v>
      </c>
      <c r="AO345" s="29" t="s">
        <v>0</v>
      </c>
      <c r="AP345" s="32" t="s">
        <v>0</v>
      </c>
      <c r="AQ345" s="32" t="s">
        <v>0</v>
      </c>
      <c r="AR345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45" s="9" t="str">
        <f t="shared" si="230"/>
        <v>-</v>
      </c>
      <c r="AT345" s="9">
        <f>IF(RIGHT(TMK[[#This Row],[Device type]],7)="Winding","-",TMK[[#This Row],[Cont Winter MVA]])</f>
        <v>12.00311209645232</v>
      </c>
      <c r="AU345" s="9">
        <f>IF(RIGHT(TMK[[#This Row],[Device type]],7)="Winding","-",TMK[[#This Row],[Cont Shoulder MVA]])</f>
        <v>12.00311209645232</v>
      </c>
      <c r="AV345" s="9">
        <f>IF(RIGHT(TMK[[#This Row],[Device type]],7)="Winding","-",TMK[[#This Row],[Cont Summer MVA]])</f>
        <v>12.00311209645232</v>
      </c>
      <c r="AW345" s="9" t="str">
        <f>IF(RIGHT(TMK[[#This Row],[Device type]],7)="Winding","-",TMK[[#This Row],[24 Hr Winter MVA]])</f>
        <v>-</v>
      </c>
      <c r="AX345" s="9" t="str">
        <f>IF(RIGHT(TMK[[#This Row],[Device type]],7)="Winding","-",TMK[[#This Row],[24 Hr Summer MVA]])</f>
        <v>-</v>
      </c>
      <c r="AY345" s="9" t="str">
        <f>TMK[[#This Row],[Forwards MVA]]</f>
        <v>-</v>
      </c>
      <c r="AZ345" s="9" t="str">
        <f>TMK[[#This Row],[Relay MVA]]</f>
        <v>-</v>
      </c>
      <c r="BA345" s="9" t="str">
        <f>TMK[[#This Row],[CT MVA]]</f>
        <v>-</v>
      </c>
      <c r="BB345" s="9" t="str">
        <f>TMK[[#This Row],[Derating MVA]]</f>
        <v>-</v>
      </c>
      <c r="BC345" s="9" t="str">
        <f>TMK[[#This Row],[Station/Feeder]]&amp;TMK[[#This Row],[Lowest MVA]]</f>
        <v>CB2_Mozz3_112.0031120964523</v>
      </c>
      <c r="BD345" s="9" t="str">
        <f>CONCATENATE(TMK[[#This Row],[Supply Level]],TMK[[#This Row],[Station/Feeder]],TMK[[#This Row],[Voltage]],TMK[[#This Row],[Lowest A-No PTX]])</f>
        <v>DistributionFeederCB2_Mozz3_111630</v>
      </c>
      <c r="BE345" s="9" t="str">
        <f>CONCATENATE(TMK[[#This Row],[Supply Level]],TMK[[#This Row],[Station/Feeder]],TMK[[#This Row],[Voltage]],TMK[[#This Row],[Lowest A-PTX]])</f>
        <v>DistributionFeederCB2_Mozz3_111630</v>
      </c>
      <c r="BF345" s="9">
        <f>IFERROR(IF(MIN(TMK[[#This Row],[Summ Cont Winter A]:[Cable Derating]])=0,"",MIN(TMK[[#This Row],[Summ Cont Winter A]:[Cable Derating]])),"")</f>
        <v>12.00311209645232</v>
      </c>
      <c r="BG345" s="9">
        <f>IFERROR(TMK[[#This Row],[Lowest MVA]]*1000/(TMK[[#This Row],[Voltage]]*SQRT(3)),"")</f>
        <v>630</v>
      </c>
      <c r="BH345" s="9">
        <f t="shared" si="236"/>
        <v>630</v>
      </c>
      <c r="BI345" s="9" t="str">
        <f>TMK[[#This Row],[From]]</f>
        <v>11 kV Bus</v>
      </c>
      <c r="BJ345" s="9" t="str">
        <f>TMK[[#This Row],[To]]</f>
        <v>T708</v>
      </c>
      <c r="BK345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Switch-T708</v>
      </c>
      <c r="BL345" s="9">
        <f>TMK[[#This Row],[Voltage]]</f>
        <v>11</v>
      </c>
    </row>
    <row r="346" spans="1:64" s="1" customFormat="1" ht="15" customHeight="1" x14ac:dyDescent="0.25">
      <c r="A346" s="6" t="str">
        <f>CONCATENATE(TMK[[#This Row],[Supply Level]],TMK[[#This Row],[Station/Feeder]],TMK[[#This Row],[Voltage]])</f>
        <v>DistributionFeederCB15_Mozz3_211</v>
      </c>
      <c r="B346" s="6" t="str">
        <f>CONCATENATE(TMK[[#This Row],[Supply Level]],TMK[[#This Row],[Station/Feeder]],TMK[[#This Row],[Equipment ID]],TMK[[#This Row],[Voltage]],TMK[[#This Row],[Device type]])</f>
        <v>DistributionFeederCB15_Mozz3_2CD2-CB1511Protection</v>
      </c>
      <c r="C346" s="6" t="s">
        <v>1276</v>
      </c>
      <c r="D346" s="11" t="s">
        <v>1447</v>
      </c>
      <c r="E346" s="7" t="s">
        <v>243</v>
      </c>
      <c r="F346" s="7" t="s">
        <v>690</v>
      </c>
      <c r="G346" s="56">
        <v>1</v>
      </c>
      <c r="H346" s="7" t="s">
        <v>343</v>
      </c>
      <c r="I346" s="123" t="s">
        <v>2326</v>
      </c>
      <c r="J346" s="123" t="s">
        <v>15</v>
      </c>
      <c r="K346" s="46" t="s">
        <v>791</v>
      </c>
      <c r="L346" s="46" t="s">
        <v>1423</v>
      </c>
      <c r="M346" s="43">
        <v>11</v>
      </c>
      <c r="N346" s="9">
        <v>630</v>
      </c>
      <c r="O346" s="9">
        <f t="shared" si="231"/>
        <v>12.00311209645232</v>
      </c>
      <c r="P346" s="9">
        <v>630</v>
      </c>
      <c r="Q346" s="9">
        <f t="shared" si="232"/>
        <v>12.00311209645232</v>
      </c>
      <c r="R346" s="9">
        <v>630</v>
      </c>
      <c r="S346" s="9">
        <f t="shared" si="233"/>
        <v>12.00311209645232</v>
      </c>
      <c r="T346" s="9" t="s">
        <v>0</v>
      </c>
      <c r="U346" s="9" t="str">
        <f t="shared" si="234"/>
        <v>-</v>
      </c>
      <c r="V346" s="9" t="s">
        <v>0</v>
      </c>
      <c r="W346" s="9" t="str">
        <f t="shared" si="235"/>
        <v>-</v>
      </c>
      <c r="X346" s="9">
        <f>VLOOKUP(TMK[[#This Row],[Equipment ID]],AEL_Protection_Data[#All],12,0)</f>
        <v>600</v>
      </c>
      <c r="Y346" s="9">
        <f t="shared" si="226"/>
        <v>11.43153532995459</v>
      </c>
      <c r="Z346" s="9">
        <f>TMK[[#This Row],[Forward A]]</f>
        <v>600</v>
      </c>
      <c r="AA346" s="9">
        <f t="shared" si="227"/>
        <v>11.43153532995459</v>
      </c>
      <c r="AB346" s="9" t="s">
        <v>0</v>
      </c>
      <c r="AC346" s="9" t="str">
        <f t="shared" si="228"/>
        <v>-</v>
      </c>
      <c r="AD346" s="9" t="s">
        <v>0</v>
      </c>
      <c r="AE346" s="12" t="str">
        <f t="shared" si="229"/>
        <v>-</v>
      </c>
      <c r="AF346" s="9" t="s">
        <v>0</v>
      </c>
      <c r="AG346" s="9" t="s">
        <v>0</v>
      </c>
      <c r="AH346" s="9" t="s">
        <v>0</v>
      </c>
      <c r="AI346" s="9" t="s">
        <v>0</v>
      </c>
      <c r="AJ346" s="43" t="s">
        <v>0</v>
      </c>
      <c r="AK346" s="29" t="s">
        <v>0</v>
      </c>
      <c r="AL346" s="32" t="s">
        <v>0</v>
      </c>
      <c r="AM346" s="29" t="s">
        <v>0</v>
      </c>
      <c r="AN346" s="32" t="s">
        <v>0</v>
      </c>
      <c r="AO346" s="29" t="s">
        <v>0</v>
      </c>
      <c r="AP346" s="32" t="s">
        <v>0</v>
      </c>
      <c r="AQ346" s="32" t="s">
        <v>0</v>
      </c>
      <c r="AR346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46" s="9" t="str">
        <f t="shared" si="230"/>
        <v>-</v>
      </c>
      <c r="AT346" s="9">
        <f>IF(RIGHT(TMK[[#This Row],[Device type]],7)="Winding","-",TMK[[#This Row],[Cont Winter MVA]])</f>
        <v>12.00311209645232</v>
      </c>
      <c r="AU346" s="9">
        <f>IF(RIGHT(TMK[[#This Row],[Device type]],7)="Winding","-",TMK[[#This Row],[Cont Shoulder MVA]])</f>
        <v>12.00311209645232</v>
      </c>
      <c r="AV346" s="9">
        <f>IF(RIGHT(TMK[[#This Row],[Device type]],7)="Winding","-",TMK[[#This Row],[Cont Summer MVA]])</f>
        <v>12.00311209645232</v>
      </c>
      <c r="AW346" s="9" t="str">
        <f>IF(RIGHT(TMK[[#This Row],[Device type]],7)="Winding","-",TMK[[#This Row],[24 Hr Winter MVA]])</f>
        <v>-</v>
      </c>
      <c r="AX346" s="9" t="str">
        <f>IF(RIGHT(TMK[[#This Row],[Device type]],7)="Winding","-",TMK[[#This Row],[24 Hr Summer MVA]])</f>
        <v>-</v>
      </c>
      <c r="AY346" s="9">
        <f>TMK[[#This Row],[Forwards MVA]]</f>
        <v>11.43153532995459</v>
      </c>
      <c r="AZ346" s="9" t="str">
        <f>TMK[[#This Row],[Relay MVA]]</f>
        <v>-</v>
      </c>
      <c r="BA346" s="9" t="str">
        <f>TMK[[#This Row],[CT MVA]]</f>
        <v>-</v>
      </c>
      <c r="BB346" s="9" t="str">
        <f>TMK[[#This Row],[Derating MVA]]</f>
        <v>-</v>
      </c>
      <c r="BC346" s="9" t="str">
        <f>TMK[[#This Row],[Station/Feeder]]&amp;TMK[[#This Row],[Lowest MVA]]</f>
        <v>CB15_Mozz3_211.4315353299546</v>
      </c>
      <c r="BD346" s="9" t="str">
        <f>CONCATENATE(TMK[[#This Row],[Supply Level]],TMK[[#This Row],[Station/Feeder]],TMK[[#This Row],[Voltage]],TMK[[#This Row],[Lowest A-No PTX]])</f>
        <v>DistributionFeederCB15_Mozz3_211600</v>
      </c>
      <c r="BE346" s="9" t="str">
        <f>CONCATENATE(TMK[[#This Row],[Supply Level]],TMK[[#This Row],[Station/Feeder]],TMK[[#This Row],[Voltage]],TMK[[#This Row],[Lowest A-PTX]])</f>
        <v>DistributionFeederCB15_Mozz3_211600</v>
      </c>
      <c r="BF346" s="9">
        <f>IFERROR(IF(MIN(TMK[[#This Row],[Summ Cont Winter A]:[Cable Derating]])=0,"",MIN(TMK[[#This Row],[Summ Cont Winter A]:[Cable Derating]])),"")</f>
        <v>11.43153532995459</v>
      </c>
      <c r="BG346" s="9">
        <f>IFERROR(TMK[[#This Row],[Lowest MVA]]*1000/(TMK[[#This Row],[Voltage]]*SQRT(3)),"")</f>
        <v>600</v>
      </c>
      <c r="BH346" s="9">
        <f t="shared" si="236"/>
        <v>600</v>
      </c>
      <c r="BI346" s="9" t="str">
        <f>TMK[[#This Row],[From]]</f>
        <v>11 kV Bus</v>
      </c>
      <c r="BJ346" s="9" t="str">
        <f>TMK[[#This Row],[To]]</f>
        <v>T737</v>
      </c>
      <c r="BK346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Circuit Breaker-CD2-CB15-Protection</v>
      </c>
      <c r="BL346" s="9">
        <f>TMK[[#This Row],[Voltage]]</f>
        <v>11</v>
      </c>
    </row>
    <row r="347" spans="1:64" s="1" customFormat="1" x14ac:dyDescent="0.25">
      <c r="A347" s="6" t="str">
        <f>CONCATENATE(TMK[[#This Row],[Supply Level]],TMK[[#This Row],[Station/Feeder]],TMK[[#This Row],[Voltage]])</f>
        <v>DistributionFeederCB15_Mozz3_211</v>
      </c>
      <c r="B347" s="6" t="str">
        <f>CONCATENATE(TMK[[#This Row],[Supply Level]],TMK[[#This Row],[Station/Feeder]],TMK[[#This Row],[Equipment ID]],TMK[[#This Row],[Voltage]],TMK[[#This Row],[Device type]])</f>
        <v>DistributionFeederCB15_Mozz3_23-1c 400 mm² Cu XLPE11-</v>
      </c>
      <c r="C347" s="6" t="s">
        <v>1276</v>
      </c>
      <c r="D347" s="11" t="s">
        <v>1447</v>
      </c>
      <c r="E347" s="7" t="s">
        <v>243</v>
      </c>
      <c r="F347" s="7" t="s">
        <v>690</v>
      </c>
      <c r="G347" s="56">
        <v>2</v>
      </c>
      <c r="H347" s="7" t="s">
        <v>585</v>
      </c>
      <c r="I347" s="123" t="s">
        <v>691</v>
      </c>
      <c r="J347" s="123" t="s">
        <v>250</v>
      </c>
      <c r="K347" s="46" t="s">
        <v>0</v>
      </c>
      <c r="L347" s="46" t="s">
        <v>0</v>
      </c>
      <c r="M347" s="43">
        <v>11</v>
      </c>
      <c r="N347" s="9">
        <v>662</v>
      </c>
      <c r="O347" s="9">
        <f t="shared" si="231"/>
        <v>12.612793980716564</v>
      </c>
      <c r="P347" s="9">
        <v>662</v>
      </c>
      <c r="Q347" s="9">
        <f t="shared" si="232"/>
        <v>12.612793980716564</v>
      </c>
      <c r="R347" s="9">
        <v>662</v>
      </c>
      <c r="S347" s="9">
        <f t="shared" si="233"/>
        <v>12.612793980716564</v>
      </c>
      <c r="T347" s="9" t="s">
        <v>0</v>
      </c>
      <c r="U347" s="9" t="str">
        <f t="shared" si="234"/>
        <v>-</v>
      </c>
      <c r="V347" s="9" t="s">
        <v>0</v>
      </c>
      <c r="W347" s="9" t="str">
        <f t="shared" si="235"/>
        <v>-</v>
      </c>
      <c r="X347" s="9" t="s">
        <v>0</v>
      </c>
      <c r="Y347" s="9" t="str">
        <f t="shared" si="226"/>
        <v>-</v>
      </c>
      <c r="Z347" s="9" t="s">
        <v>0</v>
      </c>
      <c r="AA347" s="9" t="str">
        <f t="shared" si="227"/>
        <v>-</v>
      </c>
      <c r="AB347" s="9" t="s">
        <v>0</v>
      </c>
      <c r="AC347" s="9" t="str">
        <f t="shared" si="228"/>
        <v>-</v>
      </c>
      <c r="AD347" s="9" t="s">
        <v>0</v>
      </c>
      <c r="AE347" s="12" t="str">
        <f t="shared" si="229"/>
        <v>-</v>
      </c>
      <c r="AF347" s="9" t="s">
        <v>0</v>
      </c>
      <c r="AG347" s="9" t="s">
        <v>0</v>
      </c>
      <c r="AH347" s="9" t="s">
        <v>0</v>
      </c>
      <c r="AI347" s="9" t="s">
        <v>0</v>
      </c>
      <c r="AJ347" s="43" t="s">
        <v>0</v>
      </c>
      <c r="AK347" s="29" t="s">
        <v>0</v>
      </c>
      <c r="AL347" s="32" t="s">
        <v>0</v>
      </c>
      <c r="AM347" s="29" t="s">
        <v>0</v>
      </c>
      <c r="AN347" s="32" t="s">
        <v>0</v>
      </c>
      <c r="AO347" s="29" t="s">
        <v>0</v>
      </c>
      <c r="AP347" s="32" t="s">
        <v>0</v>
      </c>
      <c r="AQ347" s="32" t="s">
        <v>0</v>
      </c>
      <c r="AR347" s="9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47" s="9" t="str">
        <f t="shared" si="230"/>
        <v>-</v>
      </c>
      <c r="AT347" s="9">
        <f>IF(RIGHT(TMK[[#This Row],[Device type]],7)="Winding","-",TMK[[#This Row],[Cont Winter MVA]])</f>
        <v>12.612793980716564</v>
      </c>
      <c r="AU347" s="9">
        <f>IF(RIGHT(TMK[[#This Row],[Device type]],7)="Winding","-",TMK[[#This Row],[Cont Shoulder MVA]])</f>
        <v>12.612793980716564</v>
      </c>
      <c r="AV347" s="9">
        <f>IF(RIGHT(TMK[[#This Row],[Device type]],7)="Winding","-",TMK[[#This Row],[Cont Summer MVA]])</f>
        <v>12.612793980716564</v>
      </c>
      <c r="AW347" s="9" t="str">
        <f>IF(RIGHT(TMK[[#This Row],[Device type]],7)="Winding","-",TMK[[#This Row],[24 Hr Winter MVA]])</f>
        <v>-</v>
      </c>
      <c r="AX347" s="9" t="str">
        <f>IF(RIGHT(TMK[[#This Row],[Device type]],7)="Winding","-",TMK[[#This Row],[24 Hr Summer MVA]])</f>
        <v>-</v>
      </c>
      <c r="AY347" s="9" t="str">
        <f>TMK[[#This Row],[Forwards MVA]]</f>
        <v>-</v>
      </c>
      <c r="AZ347" s="9" t="str">
        <f>TMK[[#This Row],[Relay MVA]]</f>
        <v>-</v>
      </c>
      <c r="BA347" s="9" t="str">
        <f>TMK[[#This Row],[CT MVA]]</f>
        <v>-</v>
      </c>
      <c r="BB347" s="9" t="str">
        <f>TMK[[#This Row],[Derating MVA]]</f>
        <v>-</v>
      </c>
      <c r="BC347" s="9" t="str">
        <f>TMK[[#This Row],[Station/Feeder]]&amp;TMK[[#This Row],[Lowest MVA]]</f>
        <v>CB15_Mozz3_212.6127939807166</v>
      </c>
      <c r="BD347" s="9" t="str">
        <f>CONCATENATE(TMK[[#This Row],[Supply Level]],TMK[[#This Row],[Station/Feeder]],TMK[[#This Row],[Voltage]],TMK[[#This Row],[Lowest A-No PTX]])</f>
        <v>DistributionFeederCB15_Mozz3_211662</v>
      </c>
      <c r="BE347" s="9" t="str">
        <f>CONCATENATE(TMK[[#This Row],[Supply Level]],TMK[[#This Row],[Station/Feeder]],TMK[[#This Row],[Voltage]],TMK[[#This Row],[Lowest A-PTX]])</f>
        <v>DistributionFeederCB15_Mozz3_211662</v>
      </c>
      <c r="BF347" s="9">
        <f>IFERROR(IF(MIN(TMK[[#This Row],[Summ Cont Winter A]:[Cable Derating]])=0,"",MIN(TMK[[#This Row],[Summ Cont Winter A]:[Cable Derating]])),"")</f>
        <v>12.612793980716564</v>
      </c>
      <c r="BG347" s="9">
        <f>IFERROR(TMK[[#This Row],[Lowest MVA]]*1000/(TMK[[#This Row],[Voltage]]*SQRT(3)),"")</f>
        <v>662</v>
      </c>
      <c r="BH347" s="9">
        <f t="shared" si="236"/>
        <v>662</v>
      </c>
      <c r="BI347" s="9" t="str">
        <f>TMK[[#This Row],[From]]</f>
        <v>11 kV Bus</v>
      </c>
      <c r="BJ347" s="9" t="str">
        <f>TMK[[#This Row],[To]]</f>
        <v>T737</v>
      </c>
      <c r="BK347" s="46" t="str">
        <f>IF(TMK[[#This Row],[Device type]]="-",TMK[[#This Row],[Equipment Type]]&amp;"-"&amp;TMK[[#This Row],[Equipment ID]],TMK[[#This Row],[Equipment Type]]&amp;"-"&amp;TMK[[#This Row],[Equipment ID]]&amp;"-"&amp;TMK[[#This Row],[Device type]])</f>
        <v>Cable-3-1c 400 mm² Cu XLPE</v>
      </c>
      <c r="BL347" s="9">
        <f>TMK[[#This Row],[Voltage]]</f>
        <v>11</v>
      </c>
    </row>
    <row r="348" spans="1:64" s="1" customFormat="1" ht="15.75" thickBot="1" x14ac:dyDescent="0.3">
      <c r="A348" s="191" t="str">
        <f>CONCATENATE(TMK[[#This Row],[Supply Level]],TMK[[#This Row],[Station/Feeder]],TMK[[#This Row],[Voltage]])</f>
        <v>DistributionFeederCB15_Mozz3_211</v>
      </c>
      <c r="B348" s="191" t="str">
        <f>CONCATENATE(TMK[[#This Row],[Supply Level]],TMK[[#This Row],[Station/Feeder]],TMK[[#This Row],[Equipment ID]],TMK[[#This Row],[Voltage]],TMK[[#This Row],[Device type]])</f>
        <v>DistributionFeederCB15_Mozz3_2T73711-</v>
      </c>
      <c r="C348" s="191" t="s">
        <v>1276</v>
      </c>
      <c r="D348" s="192" t="s">
        <v>1447</v>
      </c>
      <c r="E348" s="193" t="s">
        <v>243</v>
      </c>
      <c r="F348" s="193" t="s">
        <v>690</v>
      </c>
      <c r="G348" s="194">
        <v>3</v>
      </c>
      <c r="H348" s="193" t="s">
        <v>273</v>
      </c>
      <c r="I348" s="205" t="s">
        <v>690</v>
      </c>
      <c r="J348" s="205" t="s">
        <v>670</v>
      </c>
      <c r="K348" s="196" t="s">
        <v>0</v>
      </c>
      <c r="L348" s="196" t="s">
        <v>0</v>
      </c>
      <c r="M348" s="175">
        <v>11</v>
      </c>
      <c r="N348" s="155">
        <v>630</v>
      </c>
      <c r="O348" s="155">
        <f t="shared" si="231"/>
        <v>12.00311209645232</v>
      </c>
      <c r="P348" s="155">
        <v>630</v>
      </c>
      <c r="Q348" s="155">
        <f t="shared" si="232"/>
        <v>12.00311209645232</v>
      </c>
      <c r="R348" s="155">
        <v>630</v>
      </c>
      <c r="S348" s="155">
        <f t="shared" si="233"/>
        <v>12.00311209645232</v>
      </c>
      <c r="T348" s="155" t="s">
        <v>0</v>
      </c>
      <c r="U348" s="155" t="str">
        <f t="shared" si="234"/>
        <v>-</v>
      </c>
      <c r="V348" s="155" t="s">
        <v>0</v>
      </c>
      <c r="W348" s="155" t="str">
        <f t="shared" si="235"/>
        <v>-</v>
      </c>
      <c r="X348" s="155" t="s">
        <v>0</v>
      </c>
      <c r="Y348" s="155" t="str">
        <f t="shared" si="226"/>
        <v>-</v>
      </c>
      <c r="Z348" s="155" t="s">
        <v>0</v>
      </c>
      <c r="AA348" s="155" t="str">
        <f t="shared" si="227"/>
        <v>-</v>
      </c>
      <c r="AB348" s="155" t="s">
        <v>0</v>
      </c>
      <c r="AC348" s="155" t="str">
        <f t="shared" si="228"/>
        <v>-</v>
      </c>
      <c r="AD348" s="155" t="s">
        <v>0</v>
      </c>
      <c r="AE348" s="195" t="str">
        <f t="shared" si="229"/>
        <v>-</v>
      </c>
      <c r="AF348" s="155" t="s">
        <v>0</v>
      </c>
      <c r="AG348" s="155" t="s">
        <v>0</v>
      </c>
      <c r="AH348" s="155" t="s">
        <v>0</v>
      </c>
      <c r="AI348" s="155" t="s">
        <v>0</v>
      </c>
      <c r="AJ348" s="175" t="s">
        <v>0</v>
      </c>
      <c r="AK348" s="185" t="s">
        <v>0</v>
      </c>
      <c r="AL348" s="199" t="s">
        <v>0</v>
      </c>
      <c r="AM348" s="185" t="s">
        <v>0</v>
      </c>
      <c r="AN348" s="199" t="s">
        <v>0</v>
      </c>
      <c r="AO348" s="185" t="s">
        <v>0</v>
      </c>
      <c r="AP348" s="199" t="s">
        <v>0</v>
      </c>
      <c r="AQ348" s="199" t="s">
        <v>0</v>
      </c>
      <c r="AR348" s="155" t="str">
        <f>IFERROR(IF(TMK[[#This Row],[Equipment Type]]="Cable",MAX(TMK[[#This Row],[Cont Winter A]],TMK[[#This Row],[Cont Shoulder A]],TMK[[#This Row],[Cont Summer A]])*(TMK[[#This Row],[Depth Factor]]*TMK[[#This Row],[Soil Temp Factor]]*TMK[[#This Row],[Soil TR Factor]]*TMK[[#This Row],[Mutual Heat Factor]]),"-"),"-")</f>
        <v>-</v>
      </c>
      <c r="AS348" s="155" t="str">
        <f t="shared" si="230"/>
        <v>-</v>
      </c>
      <c r="AT348" s="155">
        <f>IF(RIGHT(TMK[[#This Row],[Device type]],7)="Winding","-",TMK[[#This Row],[Cont Winter MVA]])</f>
        <v>12.00311209645232</v>
      </c>
      <c r="AU348" s="155">
        <f>IF(RIGHT(TMK[[#This Row],[Device type]],7)="Winding","-",TMK[[#This Row],[Cont Shoulder MVA]])</f>
        <v>12.00311209645232</v>
      </c>
      <c r="AV348" s="155">
        <f>IF(RIGHT(TMK[[#This Row],[Device type]],7)="Winding","-",TMK[[#This Row],[Cont Summer MVA]])</f>
        <v>12.00311209645232</v>
      </c>
      <c r="AW348" s="155" t="str">
        <f>IF(RIGHT(TMK[[#This Row],[Device type]],7)="Winding","-",TMK[[#This Row],[24 Hr Winter MVA]])</f>
        <v>-</v>
      </c>
      <c r="AX348" s="155" t="str">
        <f>IF(RIGHT(TMK[[#This Row],[Device type]],7)="Winding","-",TMK[[#This Row],[24 Hr Summer MVA]])</f>
        <v>-</v>
      </c>
      <c r="AY348" s="155" t="str">
        <f>TMK[[#This Row],[Forwards MVA]]</f>
        <v>-</v>
      </c>
      <c r="AZ348" s="155" t="str">
        <f>TMK[[#This Row],[Relay MVA]]</f>
        <v>-</v>
      </c>
      <c r="BA348" s="155" t="str">
        <f>TMK[[#This Row],[CT MVA]]</f>
        <v>-</v>
      </c>
      <c r="BB348" s="155" t="str">
        <f>TMK[[#This Row],[Derating MVA]]</f>
        <v>-</v>
      </c>
      <c r="BC348" s="155" t="str">
        <f>TMK[[#This Row],[Station/Feeder]]&amp;TMK[[#This Row],[Lowest MVA]]</f>
        <v>CB15_Mozz3_212.0031120964523</v>
      </c>
      <c r="BD348" s="155" t="str">
        <f>CONCATENATE(TMK[[#This Row],[Supply Level]],TMK[[#This Row],[Station/Feeder]],TMK[[#This Row],[Voltage]],TMK[[#This Row],[Lowest A-No PTX]])</f>
        <v>DistributionFeederCB15_Mozz3_211630</v>
      </c>
      <c r="BE348" s="155" t="str">
        <f>CONCATENATE(TMK[[#This Row],[Supply Level]],TMK[[#This Row],[Station/Feeder]],TMK[[#This Row],[Voltage]],TMK[[#This Row],[Lowest A-PTX]])</f>
        <v>DistributionFeederCB15_Mozz3_211630</v>
      </c>
      <c r="BF348" s="155">
        <f>IFERROR(IF(MIN(TMK[[#This Row],[Summ Cont Winter A]:[Cable Derating]])=0,"",MIN(TMK[[#This Row],[Summ Cont Winter A]:[Cable Derating]])),"")</f>
        <v>12.00311209645232</v>
      </c>
      <c r="BG348" s="155">
        <f>IFERROR(TMK[[#This Row],[Lowest MVA]]*1000/(TMK[[#This Row],[Voltage]]*SQRT(3)),"")</f>
        <v>630</v>
      </c>
      <c r="BH348" s="155">
        <f t="shared" si="236"/>
        <v>630</v>
      </c>
      <c r="BI348" s="155" t="str">
        <f>TMK[[#This Row],[From]]</f>
        <v>11 kV Bus</v>
      </c>
      <c r="BJ348" s="155" t="str">
        <f>TMK[[#This Row],[To]]</f>
        <v>T737</v>
      </c>
      <c r="BK348" s="196" t="str">
        <f>IF(TMK[[#This Row],[Device type]]="-",TMK[[#This Row],[Equipment Type]]&amp;"-"&amp;TMK[[#This Row],[Equipment ID]],TMK[[#This Row],[Equipment Type]]&amp;"-"&amp;TMK[[#This Row],[Equipment ID]]&amp;"-"&amp;TMK[[#This Row],[Device type]])</f>
        <v>RMU Switch-T737</v>
      </c>
      <c r="BL348" s="155">
        <f>TMK[[#This Row],[Voltage]]</f>
        <v>11</v>
      </c>
    </row>
    <row r="349" spans="1:64" s="1" customFormat="1" x14ac:dyDescent="0.25">
      <c r="A349" s="420"/>
      <c r="B349" s="420"/>
      <c r="C349" s="42"/>
      <c r="D349" s="42"/>
      <c r="E349" s="42"/>
      <c r="F349" s="42"/>
      <c r="G349" s="58"/>
      <c r="H349" s="42"/>
      <c r="I349" s="125"/>
      <c r="J349" s="125"/>
      <c r="K349" s="42"/>
      <c r="L349" s="42"/>
      <c r="M349" s="50"/>
      <c r="N349" s="67" t="s">
        <v>0</v>
      </c>
      <c r="O349" s="42" t="s">
        <v>0</v>
      </c>
      <c r="P349" s="42" t="s">
        <v>0</v>
      </c>
      <c r="Q349" s="42" t="s">
        <v>0</v>
      </c>
      <c r="R349" s="42" t="s">
        <v>0</v>
      </c>
      <c r="S349" s="42" t="s">
        <v>0</v>
      </c>
      <c r="T349" s="42" t="s">
        <v>0</v>
      </c>
      <c r="U349" s="42" t="s">
        <v>0</v>
      </c>
      <c r="V349" s="42" t="s">
        <v>0</v>
      </c>
      <c r="W349" s="42" t="s">
        <v>0</v>
      </c>
      <c r="X349" s="42" t="s">
        <v>0</v>
      </c>
      <c r="Y349" s="42" t="s">
        <v>0</v>
      </c>
      <c r="Z349" s="42" t="s">
        <v>0</v>
      </c>
      <c r="AA349" s="42" t="s">
        <v>0</v>
      </c>
      <c r="AB349" s="42" t="s">
        <v>0</v>
      </c>
      <c r="AC349" s="42" t="s">
        <v>0</v>
      </c>
      <c r="AD349" s="42" t="s">
        <v>0</v>
      </c>
      <c r="AE349" s="42" t="s">
        <v>0</v>
      </c>
      <c r="AF349" s="42" t="s">
        <v>0</v>
      </c>
      <c r="AG349" s="42" t="s">
        <v>0</v>
      </c>
      <c r="AH349" s="42" t="s">
        <v>0</v>
      </c>
      <c r="AI349" s="42" t="s">
        <v>0</v>
      </c>
      <c r="AJ349" s="50" t="s">
        <v>0</v>
      </c>
      <c r="AK349" s="42" t="s">
        <v>0</v>
      </c>
      <c r="AL349" s="50" t="s">
        <v>0</v>
      </c>
      <c r="AM349" s="42" t="s">
        <v>0</v>
      </c>
      <c r="AN349" s="50" t="s">
        <v>0</v>
      </c>
      <c r="AO349" s="42" t="s">
        <v>0</v>
      </c>
      <c r="AP349" s="42" t="s">
        <v>0</v>
      </c>
      <c r="AQ349" s="50" t="s">
        <v>0</v>
      </c>
      <c r="AR349" s="42" t="s">
        <v>0</v>
      </c>
      <c r="AS349" s="42" t="s">
        <v>0</v>
      </c>
      <c r="AT349" s="51">
        <f>IF(SUBTOTAL(105,TMK[Summ Cont Winter A])=0,"",SUBTOTAL(105,TMK[Summ Cont Winter A]))</f>
        <v>3.905774571067818</v>
      </c>
      <c r="AU349" s="51">
        <f>IF(SUBTOTAL(105,TMK[Summ Cont Shoulder MVA])=0,"",SUBTOTAL(105,TMK[Summ Cont Shoulder MVA]))</f>
        <v>3.7247752616768701</v>
      </c>
      <c r="AV349" s="51">
        <f>IF(SUBTOTAL(105,TMK[Summ Cont Summer A])=0,"",SUBTOTAL(105,TMK[Summ Cont Summer A]))</f>
        <v>3.3532503634533466</v>
      </c>
      <c r="AW349" s="51">
        <f>IF(SUBTOTAL(105,TMK[Summ Post Winter A])=0,"",SUBTOTAL(105,TMK[Summ Post Winter A]))</f>
        <v>36.657504342565389</v>
      </c>
      <c r="AX349" s="51">
        <f>IF(SUBTOTAL(105,TMK[Summ Post Summer A])=0,"",SUBTOTAL(105,TMK[Summ Post Summer A]))</f>
        <v>36.657504342565389</v>
      </c>
      <c r="AY349" s="51" t="e">
        <f>IF(SUBTOTAL(105,TMK[Summ Forward A])=0,"",SUBTOTAL(105,TMK[Summ Forward A]))</f>
        <v>#N/A</v>
      </c>
      <c r="AZ349" s="51">
        <f>SUBTOTAL(105,TMK[Summ Reverse A])</f>
        <v>38.295643355347877</v>
      </c>
      <c r="BA349" s="51">
        <f>IF(SUBTOTAL(105,TMK[Summ CT A])=0,"",SUBTOTAL(105,TMK[Summ CT A]))</f>
        <v>7.6210235533030604</v>
      </c>
      <c r="BB349" s="51">
        <f>IF(SUBTOTAL(105,TMK[Cable Derating])=0,"",SUBTOTAL(105,TMK[Cable Derating]))</f>
        <v>2.3390824635719527</v>
      </c>
      <c r="BC349" s="51" t="s">
        <v>0</v>
      </c>
      <c r="BD349" s="51" t="s">
        <v>0</v>
      </c>
      <c r="BE349" s="51"/>
      <c r="BF349" s="51">
        <f>SUBTOTAL(105,TMK[Lowest MVA])</f>
        <v>2.3390824635719527</v>
      </c>
      <c r="BG349" s="51" t="s">
        <v>0</v>
      </c>
      <c r="BH349" s="51"/>
      <c r="BI349" s="42" t="s">
        <v>0</v>
      </c>
      <c r="BJ349" s="42" t="s">
        <v>0</v>
      </c>
      <c r="BK349" s="42" t="s">
        <v>0</v>
      </c>
      <c r="BL349" s="42" t="s">
        <v>0</v>
      </c>
    </row>
  </sheetData>
  <mergeCells count="31">
    <mergeCell ref="AR2:AS2"/>
    <mergeCell ref="BJ2:BJ3"/>
    <mergeCell ref="BK2:BK3"/>
    <mergeCell ref="BL2:BL3"/>
    <mergeCell ref="AT2:AV2"/>
    <mergeCell ref="AW2:AX2"/>
    <mergeCell ref="AY2:BA2"/>
    <mergeCell ref="BB2:BB3"/>
    <mergeCell ref="BI2:BI3"/>
    <mergeCell ref="BF2:BH2"/>
    <mergeCell ref="AF1:AS1"/>
    <mergeCell ref="AT1:BL1"/>
    <mergeCell ref="N2:O2"/>
    <mergeCell ref="P2:Q2"/>
    <mergeCell ref="R2:S2"/>
    <mergeCell ref="T2:U2"/>
    <mergeCell ref="V2:W2"/>
    <mergeCell ref="X2:Y2"/>
    <mergeCell ref="Z2:AA2"/>
    <mergeCell ref="AB2:AC2"/>
    <mergeCell ref="X1:AE1"/>
    <mergeCell ref="AD2:AE2"/>
    <mergeCell ref="AI2:AJ2"/>
    <mergeCell ref="AK2:AL2"/>
    <mergeCell ref="AM2:AN2"/>
    <mergeCell ref="AO2:AQ2"/>
    <mergeCell ref="E1:H1"/>
    <mergeCell ref="I1:J1"/>
    <mergeCell ref="K1:L1"/>
    <mergeCell ref="N1:S1"/>
    <mergeCell ref="T1:W1"/>
  </mergeCells>
  <hyperlinks>
    <hyperlink ref="H227" r:id="rId1" xr:uid="{00000000-0004-0000-0B00-000000000000}"/>
    <hyperlink ref="H298" r:id="rId2" xr:uid="{00000000-0004-0000-0B00-000001000000}"/>
    <hyperlink ref="H308" r:id="rId3" xr:uid="{00000000-0004-0000-0B00-000002000000}"/>
    <hyperlink ref="H224" r:id="rId4" xr:uid="{00000000-0004-0000-0B00-000003000000}"/>
    <hyperlink ref="H292" r:id="rId5" xr:uid="{00000000-0004-0000-0B00-000004000000}"/>
    <hyperlink ref="H305" r:id="rId6" xr:uid="{00000000-0004-0000-0B00-000005000000}"/>
  </hyperlinks>
  <pageMargins left="0.7" right="0.7" top="0.75" bottom="0.75" header="0.3" footer="0.3"/>
  <pageSetup paperSize="9" orientation="portrait" r:id="rId7"/>
  <legacyDrawing r:id="rId8"/>
  <tableParts count="1">
    <tablePart r:id="rId9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'Dropdown List'!$A$2:$A$8</xm:f>
          </x14:formula1>
          <xm:sqref>C5:C348</xm:sqref>
        </x14:dataValidation>
        <x14:dataValidation type="list" allowBlank="1" showInputMessage="1" showErrorMessage="1" xr:uid="{00000000-0002-0000-0B00-000001000000}">
          <x14:formula1>
            <xm:f>'Dropdown List'!$F$27:$F$80</xm:f>
          </x14:formula1>
          <xm:sqref>D5:D348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BL82"/>
  <sheetViews>
    <sheetView showGridLines="0" zoomScale="80" zoomScaleNormal="80" workbookViewId="0">
      <pane xSplit="13" ySplit="4" topLeftCell="BA20" activePane="bottomRight" state="frozen"/>
      <selection pane="topRight" activeCell="N1" sqref="N1"/>
      <selection pane="bottomLeft" activeCell="A5" sqref="A5"/>
      <selection pane="bottomRight" activeCell="K23" sqref="K23"/>
    </sheetView>
  </sheetViews>
  <sheetFormatPr defaultColWidth="9.140625" defaultRowHeight="15" x14ac:dyDescent="0.25"/>
  <cols>
    <col min="1" max="1" width="30.5703125" hidden="1" customWidth="1"/>
    <col min="2" max="2" width="38.140625" hidden="1" customWidth="1"/>
    <col min="3" max="3" width="18.5703125" bestFit="1" customWidth="1"/>
    <col min="4" max="4" width="11.85546875" customWidth="1"/>
    <col min="5" max="5" width="16.7109375" customWidth="1"/>
    <col min="6" max="6" width="13.140625" customWidth="1"/>
    <col min="7" max="7" width="6.7109375" customWidth="1"/>
    <col min="8" max="8" width="33.140625" customWidth="1"/>
    <col min="9" max="9" width="20.5703125" bestFit="1" customWidth="1"/>
    <col min="10" max="10" width="16.28515625" bestFit="1" customWidth="1"/>
    <col min="11" max="11" width="19.42578125" bestFit="1" customWidth="1"/>
    <col min="12" max="12" width="11.42578125" customWidth="1"/>
    <col min="13" max="13" width="10.7109375" bestFit="1" customWidth="1"/>
    <col min="14" max="14" width="15" bestFit="1" customWidth="1"/>
    <col min="15" max="15" width="17.42578125" bestFit="1" customWidth="1"/>
    <col min="16" max="16" width="16.28515625" bestFit="1" customWidth="1"/>
    <col min="17" max="17" width="18.85546875" bestFit="1" customWidth="1"/>
    <col min="18" max="18" width="15.85546875" bestFit="1" customWidth="1"/>
    <col min="19" max="19" width="18.42578125" bestFit="1" customWidth="1"/>
    <col min="20" max="20" width="15.42578125" bestFit="1" customWidth="1"/>
    <col min="21" max="21" width="18" bestFit="1" customWidth="1"/>
    <col min="22" max="22" width="16.28515625" bestFit="1" customWidth="1"/>
    <col min="23" max="23" width="18.85546875" bestFit="1" customWidth="1"/>
    <col min="24" max="24" width="12.28515625" bestFit="1" customWidth="1"/>
    <col min="25" max="25" width="15.28515625" bestFit="1" customWidth="1"/>
    <col min="26" max="26" width="12.140625" bestFit="1" customWidth="1"/>
    <col min="27" max="27" width="14.5703125" bestFit="1" customWidth="1"/>
    <col min="28" max="28" width="10.42578125" bestFit="1" customWidth="1"/>
    <col min="29" max="29" width="12.85546875" bestFit="1" customWidth="1"/>
    <col min="30" max="30" width="8.42578125" bestFit="1" customWidth="1"/>
    <col min="31" max="31" width="10.85546875" bestFit="1" customWidth="1"/>
    <col min="32" max="32" width="8.7109375" bestFit="1" customWidth="1"/>
    <col min="33" max="33" width="10.28515625" bestFit="1" customWidth="1"/>
    <col min="34" max="35" width="11.28515625" bestFit="1" customWidth="1"/>
    <col min="36" max="36" width="14.140625" bestFit="1" customWidth="1"/>
    <col min="37" max="37" width="13.140625" bestFit="1" customWidth="1"/>
    <col min="38" max="38" width="16.42578125" bestFit="1" customWidth="1"/>
    <col min="39" max="39" width="15.42578125" bestFit="1" customWidth="1"/>
    <col min="40" max="40" width="14.28515625" bestFit="1" customWidth="1"/>
    <col min="41" max="41" width="8.28515625" bestFit="1" customWidth="1"/>
    <col min="42" max="42" width="11.28515625" bestFit="1" customWidth="1"/>
    <col min="43" max="43" width="18.42578125" bestFit="1" customWidth="1"/>
    <col min="44" max="44" width="12.5703125" bestFit="1" customWidth="1"/>
    <col min="45" max="45" width="15" bestFit="1" customWidth="1"/>
    <col min="46" max="46" width="19.5703125" bestFit="1" customWidth="1"/>
    <col min="47" max="47" width="23.42578125" bestFit="1" customWidth="1"/>
    <col min="48" max="48" width="20.42578125" bestFit="1" customWidth="1"/>
    <col min="49" max="49" width="19.28515625" bestFit="1" customWidth="1"/>
    <col min="50" max="50" width="20.140625" bestFit="1" customWidth="1"/>
    <col min="51" max="51" width="16.7109375" bestFit="1" customWidth="1"/>
    <col min="52" max="52" width="16.5703125" bestFit="1" customWidth="1"/>
    <col min="53" max="53" width="12.85546875" bestFit="1" customWidth="1"/>
    <col min="54" max="54" width="15.28515625" bestFit="1" customWidth="1"/>
    <col min="55" max="57" width="32.140625" hidden="1" customWidth="1"/>
    <col min="58" max="58" width="14" bestFit="1" customWidth="1"/>
    <col min="59" max="59" width="11.5703125" bestFit="1" customWidth="1"/>
    <col min="60" max="60" width="11.5703125" customWidth="1"/>
    <col min="61" max="61" width="13.42578125" bestFit="1" customWidth="1"/>
    <col min="62" max="62" width="11.5703125" bestFit="1" customWidth="1"/>
    <col min="63" max="63" width="45.42578125" customWidth="1"/>
    <col min="64" max="64" width="15.140625" bestFit="1" customWidth="1"/>
    <col min="65" max="65" width="8.7109375"/>
    <col min="66" max="66" width="13.28515625" bestFit="1" customWidth="1"/>
  </cols>
  <sheetData>
    <row r="1" spans="1:64" s="47" customFormat="1" ht="15.75" thickBot="1" x14ac:dyDescent="0.3">
      <c r="A1" s="18" t="s">
        <v>2398</v>
      </c>
      <c r="B1" s="18" t="s">
        <v>2398</v>
      </c>
      <c r="C1" s="18" t="s">
        <v>51</v>
      </c>
      <c r="D1" s="18" t="s">
        <v>73</v>
      </c>
      <c r="E1" s="605" t="s">
        <v>237</v>
      </c>
      <c r="F1" s="607"/>
      <c r="G1" s="607"/>
      <c r="H1" s="606"/>
      <c r="I1" s="605" t="s">
        <v>6</v>
      </c>
      <c r="J1" s="606"/>
      <c r="K1" s="605" t="s">
        <v>29</v>
      </c>
      <c r="L1" s="606"/>
      <c r="M1" s="136" t="s">
        <v>40</v>
      </c>
      <c r="N1" s="605" t="s">
        <v>263</v>
      </c>
      <c r="O1" s="607"/>
      <c r="P1" s="607"/>
      <c r="Q1" s="607"/>
      <c r="R1" s="607"/>
      <c r="S1" s="606"/>
      <c r="T1" s="605" t="s">
        <v>14</v>
      </c>
      <c r="U1" s="607"/>
      <c r="V1" s="607"/>
      <c r="W1" s="606"/>
      <c r="X1" s="605" t="s">
        <v>35</v>
      </c>
      <c r="Y1" s="607"/>
      <c r="Z1" s="607"/>
      <c r="AA1" s="607"/>
      <c r="AB1" s="607"/>
      <c r="AC1" s="607"/>
      <c r="AD1" s="607"/>
      <c r="AE1" s="606"/>
      <c r="AF1" s="605" t="s">
        <v>251</v>
      </c>
      <c r="AG1" s="607"/>
      <c r="AH1" s="607"/>
      <c r="AI1" s="607"/>
      <c r="AJ1" s="607"/>
      <c r="AK1" s="607"/>
      <c r="AL1" s="607"/>
      <c r="AM1" s="607"/>
      <c r="AN1" s="607"/>
      <c r="AO1" s="607"/>
      <c r="AP1" s="607"/>
      <c r="AQ1" s="607"/>
      <c r="AR1" s="607"/>
      <c r="AS1" s="606"/>
      <c r="AT1" s="605" t="s">
        <v>293</v>
      </c>
      <c r="AU1" s="607"/>
      <c r="AV1" s="607"/>
      <c r="AW1" s="607"/>
      <c r="AX1" s="607"/>
      <c r="AY1" s="607"/>
      <c r="AZ1" s="607"/>
      <c r="BA1" s="607"/>
      <c r="BB1" s="607"/>
      <c r="BC1" s="607"/>
      <c r="BD1" s="607"/>
      <c r="BE1" s="607"/>
      <c r="BF1" s="607"/>
      <c r="BG1" s="607"/>
      <c r="BH1" s="607"/>
      <c r="BI1" s="607"/>
      <c r="BJ1" s="607"/>
      <c r="BK1" s="607"/>
      <c r="BL1" s="606"/>
    </row>
    <row r="2" spans="1:64" s="47" customFormat="1" ht="15.75" customHeight="1" thickBot="1" x14ac:dyDescent="0.3">
      <c r="A2" s="19" t="s">
        <v>2396</v>
      </c>
      <c r="B2" s="19" t="s">
        <v>1423</v>
      </c>
      <c r="C2" s="19" t="s">
        <v>3</v>
      </c>
      <c r="D2" s="19" t="s">
        <v>1276</v>
      </c>
      <c r="E2" s="19" t="s">
        <v>1</v>
      </c>
      <c r="F2" s="19" t="s">
        <v>2</v>
      </c>
      <c r="G2" s="19" t="s">
        <v>238</v>
      </c>
      <c r="H2" s="25" t="s">
        <v>269</v>
      </c>
      <c r="I2" s="19" t="s">
        <v>21</v>
      </c>
      <c r="J2" s="19" t="s">
        <v>22</v>
      </c>
      <c r="K2" s="19" t="s">
        <v>21</v>
      </c>
      <c r="L2" s="19" t="s">
        <v>22</v>
      </c>
      <c r="M2" s="137" t="s">
        <v>41</v>
      </c>
      <c r="N2" s="613" t="s">
        <v>374</v>
      </c>
      <c r="O2" s="614"/>
      <c r="P2" s="613" t="s">
        <v>65</v>
      </c>
      <c r="Q2" s="614"/>
      <c r="R2" s="613" t="s">
        <v>38</v>
      </c>
      <c r="S2" s="614"/>
      <c r="T2" s="605" t="s">
        <v>39</v>
      </c>
      <c r="U2" s="606"/>
      <c r="V2" s="605" t="s">
        <v>38</v>
      </c>
      <c r="W2" s="606"/>
      <c r="X2" s="605" t="s">
        <v>30</v>
      </c>
      <c r="Y2" s="606"/>
      <c r="Z2" s="605" t="s">
        <v>31</v>
      </c>
      <c r="AA2" s="606"/>
      <c r="AB2" s="605" t="s">
        <v>32</v>
      </c>
      <c r="AC2" s="606"/>
      <c r="AD2" s="605" t="s">
        <v>33</v>
      </c>
      <c r="AE2" s="606"/>
      <c r="AF2" s="34" t="s">
        <v>259</v>
      </c>
      <c r="AG2" s="34" t="s">
        <v>253</v>
      </c>
      <c r="AH2" s="25" t="s">
        <v>71</v>
      </c>
      <c r="AI2" s="613" t="s">
        <v>252</v>
      </c>
      <c r="AJ2" s="614"/>
      <c r="AK2" s="613" t="s">
        <v>254</v>
      </c>
      <c r="AL2" s="614"/>
      <c r="AM2" s="613" t="s">
        <v>300</v>
      </c>
      <c r="AN2" s="614"/>
      <c r="AO2" s="613" t="s">
        <v>257</v>
      </c>
      <c r="AP2" s="615"/>
      <c r="AQ2" s="614"/>
      <c r="AR2" s="605" t="s">
        <v>262</v>
      </c>
      <c r="AS2" s="606"/>
      <c r="AT2" s="605" t="s">
        <v>263</v>
      </c>
      <c r="AU2" s="607"/>
      <c r="AV2" s="606"/>
      <c r="AW2" s="605" t="s">
        <v>299</v>
      </c>
      <c r="AX2" s="606"/>
      <c r="AY2" s="605" t="s">
        <v>35</v>
      </c>
      <c r="AZ2" s="607"/>
      <c r="BA2" s="607"/>
      <c r="BB2" s="603" t="s">
        <v>294</v>
      </c>
      <c r="BC2" s="106" t="s">
        <v>21</v>
      </c>
      <c r="BD2" s="360" t="s">
        <v>2397</v>
      </c>
      <c r="BE2" s="360" t="s">
        <v>2397</v>
      </c>
      <c r="BF2" s="608" t="s">
        <v>1282</v>
      </c>
      <c r="BG2" s="609"/>
      <c r="BH2" s="610"/>
      <c r="BI2" s="603" t="s">
        <v>1</v>
      </c>
      <c r="BJ2" s="603" t="s">
        <v>2</v>
      </c>
      <c r="BK2" s="603" t="s">
        <v>6</v>
      </c>
      <c r="BL2" s="603" t="s">
        <v>298</v>
      </c>
    </row>
    <row r="3" spans="1:64" s="47" customFormat="1" ht="15.75" thickBot="1" x14ac:dyDescent="0.3">
      <c r="A3" s="359" t="s">
        <v>2395</v>
      </c>
      <c r="B3" s="359" t="s">
        <v>2395</v>
      </c>
      <c r="C3" s="20"/>
      <c r="D3" s="20"/>
      <c r="E3" s="20"/>
      <c r="F3" s="20"/>
      <c r="G3" s="20"/>
      <c r="H3" s="21" t="s">
        <v>270</v>
      </c>
      <c r="I3" s="20"/>
      <c r="J3" s="20"/>
      <c r="K3" s="20"/>
      <c r="L3" s="20"/>
      <c r="M3" s="137" t="s">
        <v>27</v>
      </c>
      <c r="N3" s="19" t="s">
        <v>26</v>
      </c>
      <c r="O3" s="19" t="s">
        <v>28</v>
      </c>
      <c r="P3" s="19" t="s">
        <v>26</v>
      </c>
      <c r="Q3" s="19" t="s">
        <v>28</v>
      </c>
      <c r="R3" s="19" t="s">
        <v>26</v>
      </c>
      <c r="S3" s="19" t="s">
        <v>28</v>
      </c>
      <c r="T3" s="19" t="s">
        <v>26</v>
      </c>
      <c r="U3" s="19" t="s">
        <v>28</v>
      </c>
      <c r="V3" s="19" t="s">
        <v>26</v>
      </c>
      <c r="W3" s="19" t="s">
        <v>28</v>
      </c>
      <c r="X3" s="19" t="s">
        <v>26</v>
      </c>
      <c r="Y3" s="19" t="s">
        <v>28</v>
      </c>
      <c r="Z3" s="19" t="s">
        <v>26</v>
      </c>
      <c r="AA3" s="19" t="s">
        <v>28</v>
      </c>
      <c r="AB3" s="19" t="s">
        <v>26</v>
      </c>
      <c r="AC3" s="19" t="s">
        <v>28</v>
      </c>
      <c r="AD3" s="19" t="s">
        <v>26</v>
      </c>
      <c r="AE3" s="19" t="s">
        <v>28</v>
      </c>
      <c r="AF3" s="20" t="s">
        <v>260</v>
      </c>
      <c r="AG3" s="20" t="s">
        <v>0</v>
      </c>
      <c r="AH3" s="21" t="s">
        <v>72</v>
      </c>
      <c r="AI3" s="20" t="s">
        <v>72</v>
      </c>
      <c r="AJ3" s="30" t="s">
        <v>264</v>
      </c>
      <c r="AK3" s="20" t="s">
        <v>255</v>
      </c>
      <c r="AL3" s="30" t="s">
        <v>264</v>
      </c>
      <c r="AM3" s="20" t="s">
        <v>256</v>
      </c>
      <c r="AN3" s="30" t="s">
        <v>264</v>
      </c>
      <c r="AO3" s="20" t="s">
        <v>261</v>
      </c>
      <c r="AP3" s="30" t="s">
        <v>258</v>
      </c>
      <c r="AQ3" s="30" t="s">
        <v>264</v>
      </c>
      <c r="AR3" s="20" t="s">
        <v>26</v>
      </c>
      <c r="AS3" s="20" t="s">
        <v>28</v>
      </c>
      <c r="AT3" s="36" t="s">
        <v>39</v>
      </c>
      <c r="AU3" s="36" t="s">
        <v>65</v>
      </c>
      <c r="AV3" s="36" t="s">
        <v>38</v>
      </c>
      <c r="AW3" s="35" t="s">
        <v>39</v>
      </c>
      <c r="AX3" s="35" t="s">
        <v>38</v>
      </c>
      <c r="AY3" s="35" t="s">
        <v>30</v>
      </c>
      <c r="AZ3" s="35" t="s">
        <v>295</v>
      </c>
      <c r="BA3" s="35" t="s">
        <v>297</v>
      </c>
      <c r="BB3" s="620"/>
      <c r="BC3" s="107" t="s">
        <v>372</v>
      </c>
      <c r="BD3" s="383" t="s">
        <v>372</v>
      </c>
      <c r="BE3" s="383" t="s">
        <v>372</v>
      </c>
      <c r="BF3" s="371" t="s">
        <v>1280</v>
      </c>
      <c r="BG3" s="371" t="s">
        <v>1281</v>
      </c>
      <c r="BH3" s="371" t="s">
        <v>1281</v>
      </c>
      <c r="BI3" s="620"/>
      <c r="BJ3" s="620"/>
      <c r="BK3" s="620"/>
      <c r="BL3" s="620"/>
    </row>
    <row r="4" spans="1:64" s="60" customFormat="1" ht="15.75" thickBot="1" x14ac:dyDescent="0.3">
      <c r="A4" s="364" t="s">
        <v>2399</v>
      </c>
      <c r="B4" s="364" t="s">
        <v>2400</v>
      </c>
      <c r="C4" s="198" t="s">
        <v>1184</v>
      </c>
      <c r="D4" s="22" t="s">
        <v>1481</v>
      </c>
      <c r="E4" s="37" t="s">
        <v>1</v>
      </c>
      <c r="F4" s="37" t="s">
        <v>2</v>
      </c>
      <c r="G4" s="54" t="s">
        <v>238</v>
      </c>
      <c r="H4" s="23" t="s">
        <v>692</v>
      </c>
      <c r="I4" s="22" t="s">
        <v>1482</v>
      </c>
      <c r="J4" s="22" t="s">
        <v>1428</v>
      </c>
      <c r="K4" s="22" t="s">
        <v>693</v>
      </c>
      <c r="L4" s="37" t="s">
        <v>1483</v>
      </c>
      <c r="M4" s="54" t="s">
        <v>41</v>
      </c>
      <c r="N4" s="23" t="s">
        <v>1484</v>
      </c>
      <c r="O4" s="23" t="s">
        <v>1485</v>
      </c>
      <c r="P4" s="23" t="s">
        <v>1486</v>
      </c>
      <c r="Q4" s="23" t="s">
        <v>1487</v>
      </c>
      <c r="R4" s="23" t="s">
        <v>1488</v>
      </c>
      <c r="S4" s="23" t="s">
        <v>1489</v>
      </c>
      <c r="T4" s="23" t="s">
        <v>1490</v>
      </c>
      <c r="U4" s="23" t="s">
        <v>1491</v>
      </c>
      <c r="V4" s="23" t="s">
        <v>1492</v>
      </c>
      <c r="W4" s="23" t="s">
        <v>1493</v>
      </c>
      <c r="X4" s="23" t="s">
        <v>1494</v>
      </c>
      <c r="Y4" s="23" t="s">
        <v>1495</v>
      </c>
      <c r="Z4" s="23" t="s">
        <v>1496</v>
      </c>
      <c r="AA4" s="23" t="s">
        <v>1497</v>
      </c>
      <c r="AB4" s="23" t="s">
        <v>1498</v>
      </c>
      <c r="AC4" s="23" t="s">
        <v>1499</v>
      </c>
      <c r="AD4" s="23" t="s">
        <v>1500</v>
      </c>
      <c r="AE4" s="23" t="s">
        <v>1501</v>
      </c>
      <c r="AF4" s="23" t="s">
        <v>259</v>
      </c>
      <c r="AG4" s="23" t="s">
        <v>253</v>
      </c>
      <c r="AH4" s="23" t="s">
        <v>71</v>
      </c>
      <c r="AI4" s="23" t="s">
        <v>1502</v>
      </c>
      <c r="AJ4" s="31" t="s">
        <v>1503</v>
      </c>
      <c r="AK4" s="23" t="s">
        <v>1504</v>
      </c>
      <c r="AL4" s="31" t="s">
        <v>1505</v>
      </c>
      <c r="AM4" s="23" t="s">
        <v>1506</v>
      </c>
      <c r="AN4" s="31" t="s">
        <v>1507</v>
      </c>
      <c r="AO4" s="23" t="s">
        <v>1508</v>
      </c>
      <c r="AP4" s="31" t="s">
        <v>1509</v>
      </c>
      <c r="AQ4" s="31" t="s">
        <v>1510</v>
      </c>
      <c r="AR4" s="23" t="s">
        <v>1511</v>
      </c>
      <c r="AS4" s="23" t="s">
        <v>1512</v>
      </c>
      <c r="AT4" s="23" t="s">
        <v>1513</v>
      </c>
      <c r="AU4" s="23" t="s">
        <v>1514</v>
      </c>
      <c r="AV4" s="23" t="s">
        <v>1515</v>
      </c>
      <c r="AW4" s="23" t="s">
        <v>1516</v>
      </c>
      <c r="AX4" s="23" t="s">
        <v>1517</v>
      </c>
      <c r="AY4" s="23" t="s">
        <v>1518</v>
      </c>
      <c r="AZ4" s="23" t="s">
        <v>1519</v>
      </c>
      <c r="BA4" s="23" t="s">
        <v>1520</v>
      </c>
      <c r="BB4" s="23" t="s">
        <v>1521</v>
      </c>
      <c r="BC4" s="23" t="s">
        <v>1522</v>
      </c>
      <c r="BD4" s="23" t="s">
        <v>2652</v>
      </c>
      <c r="BE4" s="23" t="s">
        <v>2653</v>
      </c>
      <c r="BF4" s="23" t="s">
        <v>1523</v>
      </c>
      <c r="BG4" s="54" t="s">
        <v>2602</v>
      </c>
      <c r="BH4" s="54" t="s">
        <v>2603</v>
      </c>
      <c r="BI4" s="23" t="s">
        <v>1524</v>
      </c>
      <c r="BJ4" s="23" t="s">
        <v>1525</v>
      </c>
      <c r="BK4" s="23" t="s">
        <v>1526</v>
      </c>
      <c r="BL4" s="23" t="s">
        <v>1527</v>
      </c>
    </row>
    <row r="5" spans="1:64" s="1" customFormat="1" ht="15" customHeight="1" x14ac:dyDescent="0.25">
      <c r="A5" s="3" t="str">
        <f>CONCATENATE(TWZ[[#This Row],[Supply Level]],TWZ[[#This Row],[Station/Feeder]],TWZ[[#This Row],[Voltage]])</f>
        <v>GXPTWZ_GXP220</v>
      </c>
      <c r="B5" s="3" t="str">
        <f>CONCATENATE(TWZ[[#This Row],[Supply Level]],TWZ[[#This Row],[Station/Feeder]],TWZ[[#This Row],[Equipment ID]],TWZ[[#This Row],[Voltage]],TWZ[[#This Row],[Device type]])</f>
        <v>GXPTWZ_GXPDS2494220Disconnector</v>
      </c>
      <c r="C5" s="3" t="s">
        <v>4</v>
      </c>
      <c r="D5" s="10" t="s">
        <v>78</v>
      </c>
      <c r="E5" s="3" t="s">
        <v>62</v>
      </c>
      <c r="F5" s="3" t="s">
        <v>63</v>
      </c>
      <c r="G5" s="26">
        <v>1</v>
      </c>
      <c r="H5" s="38" t="s">
        <v>271</v>
      </c>
      <c r="I5" s="38" t="s">
        <v>23</v>
      </c>
      <c r="J5" s="38" t="s">
        <v>17</v>
      </c>
      <c r="K5" s="38" t="s">
        <v>9</v>
      </c>
      <c r="L5" s="38" t="s">
        <v>17</v>
      </c>
      <c r="M5" s="139">
        <v>220</v>
      </c>
      <c r="N5" s="5">
        <v>1200</v>
      </c>
      <c r="O5" s="5">
        <f t="shared" ref="O5:O36" si="0">IF(OR(N5="",N5="-"),"-",N5*$M5*SQRT(3)/1000)</f>
        <v>457.26141319818356</v>
      </c>
      <c r="P5" s="5">
        <v>1200</v>
      </c>
      <c r="Q5" s="5">
        <f t="shared" ref="Q5:Q36" si="1">IF(OR(P5="",P5="-"),"-",P5*$M5*SQRT(3)/1000)</f>
        <v>457.26141319818356</v>
      </c>
      <c r="R5" s="5">
        <v>1200</v>
      </c>
      <c r="S5" s="5">
        <f t="shared" ref="S5:S36" si="2">IF(OR(R5="",R5="-"),"-",R5*$M5*SQRT(3)/1000)</f>
        <v>457.26141319818356</v>
      </c>
      <c r="T5" s="5" t="s">
        <v>0</v>
      </c>
      <c r="U5" s="5" t="str">
        <f t="shared" ref="U5:U36" si="3">IF(OR(T5="",T5="-"),"-",T5*$M5*SQRT(3)/1000)</f>
        <v>-</v>
      </c>
      <c r="V5" s="5">
        <v>1200</v>
      </c>
      <c r="W5" s="5">
        <f t="shared" ref="W5:W36" si="4">IF(OR(V5="",V5="-"),"-",V5*$M5*SQRT(3)/1000)</f>
        <v>457.26141319818356</v>
      </c>
      <c r="X5" s="5" t="s">
        <v>0</v>
      </c>
      <c r="Y5" s="5" t="str">
        <f t="shared" ref="Y5:Y36" si="5">IF(OR(X5="",X5="-"),"-",X5*$M5*SQRT(3)/1000)</f>
        <v>-</v>
      </c>
      <c r="Z5" s="5" t="s">
        <v>0</v>
      </c>
      <c r="AA5" s="5" t="str">
        <f t="shared" ref="AA5:AA36" si="6">IF(OR(Z5="",Z5="-"),"-",Z5*$M5*SQRT(3)/1000)</f>
        <v>-</v>
      </c>
      <c r="AB5" s="5" t="s">
        <v>0</v>
      </c>
      <c r="AC5" s="5" t="str">
        <f t="shared" ref="AC5:AC36" si="7">IF(OR(AB5="",AB5="-"),"-",AB5*$M5*SQRT(3)/1000)</f>
        <v>-</v>
      </c>
      <c r="AD5" s="5" t="s">
        <v>0</v>
      </c>
      <c r="AE5" s="5" t="str">
        <f t="shared" ref="AE5:AE36" si="8">IF(OR(AD5="",AD5="-"),"-",AD5*$M5*SQRT(3)/1000)</f>
        <v>-</v>
      </c>
      <c r="AF5" s="5" t="s">
        <v>0</v>
      </c>
      <c r="AG5" s="5" t="s">
        <v>0</v>
      </c>
      <c r="AH5" s="4" t="s">
        <v>0</v>
      </c>
      <c r="AI5" s="5" t="s">
        <v>0</v>
      </c>
      <c r="AJ5" s="139" t="s">
        <v>0</v>
      </c>
      <c r="AK5" s="5" t="s">
        <v>0</v>
      </c>
      <c r="AL5" s="139" t="s">
        <v>0</v>
      </c>
      <c r="AM5" s="5" t="s">
        <v>0</v>
      </c>
      <c r="AN5" s="139" t="s">
        <v>0</v>
      </c>
      <c r="AO5" s="5" t="s">
        <v>0</v>
      </c>
      <c r="AP5" s="139" t="s">
        <v>0</v>
      </c>
      <c r="AQ5" s="139" t="s">
        <v>0</v>
      </c>
      <c r="AR5" s="5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5" s="5" t="str">
        <f t="shared" ref="AS5:AS36" si="9">IF(OR(AR5="",AR5="-"),"-",AR5*$M5*SQRT(3)/1000)</f>
        <v>-</v>
      </c>
      <c r="AT5" s="5">
        <f>IF(RIGHT(TWZ[[#This Row],[Device type]],7)="Winding","-",TWZ[[#This Row],[Cont Winter MVA]])</f>
        <v>457.26141319818356</v>
      </c>
      <c r="AU5" s="5">
        <f>IF(RIGHT(TWZ[[#This Row],[Device type]],7)="Winding","-",TWZ[[#This Row],[Cont Shoulder MVA]])</f>
        <v>457.26141319818356</v>
      </c>
      <c r="AV5" s="5">
        <f>IF(RIGHT(TWZ[[#This Row],[Device type]],7)="Winding","-",TWZ[[#This Row],[Cont Summer MVA]])</f>
        <v>457.26141319818356</v>
      </c>
      <c r="AW5" s="5" t="str">
        <f>TWZ[[#This Row],[24 Hr Winter MVA]]</f>
        <v>-</v>
      </c>
      <c r="AX5" s="5">
        <f>TWZ[[#This Row],[24 Hr Summer MVA]]</f>
        <v>457.26141319818356</v>
      </c>
      <c r="AY5" s="5" t="str">
        <f>TWZ[[#This Row],[Forwards MVA]]</f>
        <v>-</v>
      </c>
      <c r="AZ5" s="5" t="str">
        <f>TWZ[[#This Row],[Relay MVA]]</f>
        <v>-</v>
      </c>
      <c r="BA5" s="5" t="str">
        <f>TWZ[[#This Row],[CT MVA]]</f>
        <v>-</v>
      </c>
      <c r="BB5" s="5" t="str">
        <f>TWZ[[#This Row],[Derating MVA]]</f>
        <v>-</v>
      </c>
      <c r="BC5" s="5" t="str">
        <f>TWZ[[#This Row],[Station/Feeder]]&amp;TWZ[[#This Row],[Lowest MVA]]</f>
        <v>TWZ_GXP457.261413198184</v>
      </c>
      <c r="BD5" s="29" t="str">
        <f>CONCATENATE(TWZ[[#This Row],[Supply Level]],TWZ[[#This Row],[Station/Feeder]],TWZ[[#This Row],[Voltage]],TWZ[[#This Row],[Lowest A-No PTX]])</f>
        <v>GXPTWZ_GXP2201200</v>
      </c>
      <c r="BE5" s="29" t="str">
        <f>CONCATENATE(TWZ[[#This Row],[Supply Level]],TWZ[[#This Row],[Station/Feeder]],TWZ[[#This Row],[Voltage]],TWZ[[#This Row],[Lowest A-PTX]])</f>
        <v>GXPTWZ_GXP2201200</v>
      </c>
      <c r="BF5" s="5">
        <f>IFERROR(IF(MIN(TWZ[[#This Row],[Summ Cont Winter A]:[Cable Derating]])=0,"",MIN(TWZ[[#This Row],[Summ Cont Winter A]:[Cable Derating]])),"")</f>
        <v>457.26141319818356</v>
      </c>
      <c r="BG5" s="5">
        <f>IFERROR(TWZ[[#This Row],[Lowest MVA]]*1000/(TWZ[[#This Row],[Voltage]]*SQRT(3)),"")</f>
        <v>1200</v>
      </c>
      <c r="BH5" s="5">
        <f t="shared" ref="BH5:BH36" si="10">IF(MIN(N5,P5,R5,T5,V5,X5,Z5,AB5,AD5,AR5)=0,"",MIN(N5,P5,R5,T5,V5,X5,Z5,AB5,AD5,AR5))</f>
        <v>1200</v>
      </c>
      <c r="BI5" s="5" t="str">
        <f>TWZ[[#This Row],[From]]</f>
        <v>220 kV Bus</v>
      </c>
      <c r="BJ5" s="5" t="str">
        <f>TWZ[[#This Row],[To]]</f>
        <v>33 kV Bus</v>
      </c>
      <c r="BK5" s="188" t="str">
        <f>IF(TWZ[[#This Row],[Device type]]="-",TWZ[[#This Row],[Equipment Type]]&amp;"-"&amp;TWZ[[#This Row],[Equipment ID]],TWZ[[#This Row],[Equipment Type]]&amp;"-"&amp;TWZ[[#This Row],[Equipment ID]]&amp;"-"&amp;TWZ[[#This Row],[Device type]])</f>
        <v>Disconnector-DS2494-Disconnector</v>
      </c>
      <c r="BL5" s="5">
        <f>TWZ[[#This Row],[Voltage]]</f>
        <v>220</v>
      </c>
    </row>
    <row r="6" spans="1:64" s="1" customFormat="1" x14ac:dyDescent="0.25">
      <c r="A6" s="353" t="str">
        <f>CONCATENATE(TWZ[[#This Row],[Supply Level]],TWZ[[#This Row],[Station/Feeder]],TWZ[[#This Row],[Voltage]])</f>
        <v>GXPTWZ_GXP220</v>
      </c>
      <c r="B6" s="353" t="str">
        <f>CONCATENATE(TWZ[[#This Row],[Supply Level]],TWZ[[#This Row],[Station/Feeder]],TWZ[[#This Row],[Equipment ID]],TWZ[[#This Row],[Voltage]],TWZ[[#This Row],[Device type]])</f>
        <v>GXPTWZ_GXPTWZ-CB2492220Circuit Breaker</v>
      </c>
      <c r="C6" s="6" t="s">
        <v>4</v>
      </c>
      <c r="D6" s="11" t="s">
        <v>78</v>
      </c>
      <c r="E6" s="6" t="s">
        <v>62</v>
      </c>
      <c r="F6" s="6" t="s">
        <v>63</v>
      </c>
      <c r="G6" s="27">
        <v>2</v>
      </c>
      <c r="H6" s="49" t="s">
        <v>271</v>
      </c>
      <c r="I6" s="7" t="s">
        <v>2327</v>
      </c>
      <c r="J6" s="7" t="s">
        <v>15</v>
      </c>
      <c r="K6" s="7" t="s">
        <v>7</v>
      </c>
      <c r="L6" s="7" t="s">
        <v>15</v>
      </c>
      <c r="M6" s="43">
        <v>220</v>
      </c>
      <c r="N6" s="9">
        <v>4000</v>
      </c>
      <c r="O6" s="9">
        <f t="shared" si="0"/>
        <v>1524.2047106606119</v>
      </c>
      <c r="P6" s="9">
        <v>4000</v>
      </c>
      <c r="Q6" s="9">
        <f t="shared" si="1"/>
        <v>1524.2047106606119</v>
      </c>
      <c r="R6" s="9">
        <v>4000</v>
      </c>
      <c r="S6" s="9">
        <f t="shared" si="2"/>
        <v>1524.2047106606119</v>
      </c>
      <c r="T6" s="9" t="s">
        <v>0</v>
      </c>
      <c r="U6" s="9" t="str">
        <f t="shared" si="3"/>
        <v>-</v>
      </c>
      <c r="V6" s="9">
        <v>4000</v>
      </c>
      <c r="W6" s="9">
        <f t="shared" si="4"/>
        <v>1524.2047106606119</v>
      </c>
      <c r="X6" s="9" t="s">
        <v>0</v>
      </c>
      <c r="Y6" s="9" t="str">
        <f t="shared" si="5"/>
        <v>-</v>
      </c>
      <c r="Z6" s="9" t="s">
        <v>0</v>
      </c>
      <c r="AA6" s="9" t="str">
        <f t="shared" si="6"/>
        <v>-</v>
      </c>
      <c r="AB6" s="9" t="s">
        <v>0</v>
      </c>
      <c r="AC6" s="9" t="str">
        <f t="shared" si="7"/>
        <v>-</v>
      </c>
      <c r="AD6" s="9" t="s">
        <v>0</v>
      </c>
      <c r="AE6" s="12" t="str">
        <f t="shared" si="8"/>
        <v>-</v>
      </c>
      <c r="AF6" s="29" t="s">
        <v>0</v>
      </c>
      <c r="AG6" s="29" t="s">
        <v>0</v>
      </c>
      <c r="AH6" s="8" t="s">
        <v>0</v>
      </c>
      <c r="AI6" s="29" t="s">
        <v>0</v>
      </c>
      <c r="AJ6" s="32" t="s">
        <v>0</v>
      </c>
      <c r="AK6" s="29" t="s">
        <v>0</v>
      </c>
      <c r="AL6" s="32" t="s">
        <v>0</v>
      </c>
      <c r="AM6" s="29" t="s">
        <v>0</v>
      </c>
      <c r="AN6" s="32" t="s">
        <v>0</v>
      </c>
      <c r="AO6" s="29" t="s">
        <v>0</v>
      </c>
      <c r="AP6" s="32" t="s">
        <v>0</v>
      </c>
      <c r="AQ6" s="32" t="s">
        <v>0</v>
      </c>
      <c r="AR6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6" s="9" t="str">
        <f t="shared" si="9"/>
        <v>-</v>
      </c>
      <c r="AT6" s="9">
        <f>IF(RIGHT(TWZ[[#This Row],[Device type]],7)="Winding","-",TWZ[[#This Row],[Cont Winter MVA]])</f>
        <v>1524.2047106606119</v>
      </c>
      <c r="AU6" s="9">
        <f>IF(RIGHT(TWZ[[#This Row],[Device type]],7)="Winding","-",TWZ[[#This Row],[Cont Shoulder MVA]])</f>
        <v>1524.2047106606119</v>
      </c>
      <c r="AV6" s="9">
        <f>IF(RIGHT(TWZ[[#This Row],[Device type]],7)="Winding","-",TWZ[[#This Row],[Cont Summer MVA]])</f>
        <v>1524.2047106606119</v>
      </c>
      <c r="AW6" s="9" t="str">
        <f>TWZ[[#This Row],[24 Hr Winter MVA]]</f>
        <v>-</v>
      </c>
      <c r="AX6" s="9">
        <f>TWZ[[#This Row],[24 Hr Summer MVA]]</f>
        <v>1524.2047106606119</v>
      </c>
      <c r="AY6" s="9" t="str">
        <f>TWZ[[#This Row],[Forwards MVA]]</f>
        <v>-</v>
      </c>
      <c r="AZ6" s="9" t="str">
        <f>TWZ[[#This Row],[Relay MVA]]</f>
        <v>-</v>
      </c>
      <c r="BA6" s="9" t="str">
        <f>TWZ[[#This Row],[CT MVA]]</f>
        <v>-</v>
      </c>
      <c r="BB6" s="9" t="str">
        <f>TWZ[[#This Row],[Derating MVA]]</f>
        <v>-</v>
      </c>
      <c r="BC6" s="9" t="str">
        <f>TWZ[[#This Row],[Station/Feeder]]&amp;TWZ[[#This Row],[Lowest MVA]]</f>
        <v>TWZ_GXP1524.20471066061</v>
      </c>
      <c r="BD6" s="9" t="str">
        <f>CONCATENATE(TWZ[[#This Row],[Supply Level]],TWZ[[#This Row],[Station/Feeder]],TWZ[[#This Row],[Voltage]],TWZ[[#This Row],[Lowest A-No PTX]])</f>
        <v>GXPTWZ_GXP2204000</v>
      </c>
      <c r="BE6" s="9" t="str">
        <f>CONCATENATE(TWZ[[#This Row],[Supply Level]],TWZ[[#This Row],[Station/Feeder]],TWZ[[#This Row],[Voltage]],TWZ[[#This Row],[Lowest A-PTX]])</f>
        <v>GXPTWZ_GXP2204000</v>
      </c>
      <c r="BF6" s="9">
        <f>IFERROR(IF(MIN(TWZ[[#This Row],[Summ Cont Winter A]:[Cable Derating]])=0,"",MIN(TWZ[[#This Row],[Summ Cont Winter A]:[Cable Derating]])),"")</f>
        <v>1524.2047106606119</v>
      </c>
      <c r="BG6" s="9">
        <f>IFERROR(TWZ[[#This Row],[Lowest MVA]]*1000/(TWZ[[#This Row],[Voltage]]*SQRT(3)),"")</f>
        <v>4000</v>
      </c>
      <c r="BH6" s="9">
        <f t="shared" si="10"/>
        <v>4000</v>
      </c>
      <c r="BI6" s="9" t="str">
        <f>TWZ[[#This Row],[From]]</f>
        <v>220 kV Bus</v>
      </c>
      <c r="BJ6" s="9" t="str">
        <f>TWZ[[#This Row],[To]]</f>
        <v>33 kV Bus</v>
      </c>
      <c r="BK6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Breaker-TWZ-CB2492-Circuit Breaker</v>
      </c>
      <c r="BL6" s="9">
        <f>TWZ[[#This Row],[Voltage]]</f>
        <v>220</v>
      </c>
    </row>
    <row r="7" spans="1:64" s="1" customFormat="1" ht="15" customHeight="1" x14ac:dyDescent="0.25">
      <c r="A7" s="353" t="str">
        <f>CONCATENATE(TWZ[[#This Row],[Supply Level]],TWZ[[#This Row],[Station/Feeder]],TWZ[[#This Row],[Voltage]])</f>
        <v>GXPTWZ_GXP220</v>
      </c>
      <c r="B7" s="353" t="str">
        <f>CONCATENATE(TWZ[[#This Row],[Supply Level]],TWZ[[#This Row],[Station/Feeder]],TWZ[[#This Row],[Equipment ID]],TWZ[[#This Row],[Voltage]],TWZ[[#This Row],[Device type]])</f>
        <v>GXPTWZ_GXPTWZ-CB2492220Current Transformer</v>
      </c>
      <c r="C7" s="6" t="s">
        <v>4</v>
      </c>
      <c r="D7" s="11" t="s">
        <v>78</v>
      </c>
      <c r="E7" s="6" t="s">
        <v>62</v>
      </c>
      <c r="F7" s="6" t="s">
        <v>63</v>
      </c>
      <c r="G7" s="27">
        <v>2</v>
      </c>
      <c r="H7" s="49" t="s">
        <v>271</v>
      </c>
      <c r="I7" s="7" t="s">
        <v>2327</v>
      </c>
      <c r="J7" s="7" t="s">
        <v>15</v>
      </c>
      <c r="K7" s="7" t="s">
        <v>8</v>
      </c>
      <c r="L7" s="7" t="s">
        <v>16</v>
      </c>
      <c r="M7" s="43">
        <v>220</v>
      </c>
      <c r="N7" s="9">
        <v>2500</v>
      </c>
      <c r="O7" s="9">
        <f t="shared" si="0"/>
        <v>952.62794416288239</v>
      </c>
      <c r="P7" s="9">
        <v>2500</v>
      </c>
      <c r="Q7" s="9">
        <f t="shared" si="1"/>
        <v>952.62794416288239</v>
      </c>
      <c r="R7" s="9">
        <v>2500</v>
      </c>
      <c r="S7" s="9">
        <f t="shared" si="2"/>
        <v>952.62794416288239</v>
      </c>
      <c r="T7" s="9" t="s">
        <v>0</v>
      </c>
      <c r="U7" s="9" t="str">
        <f t="shared" si="3"/>
        <v>-</v>
      </c>
      <c r="V7" s="9">
        <v>2500</v>
      </c>
      <c r="W7" s="9">
        <f t="shared" si="4"/>
        <v>952.62794416288239</v>
      </c>
      <c r="X7" s="9" t="s">
        <v>0</v>
      </c>
      <c r="Y7" s="9" t="str">
        <f t="shared" si="5"/>
        <v>-</v>
      </c>
      <c r="Z7" s="9" t="s">
        <v>0</v>
      </c>
      <c r="AA7" s="9" t="str">
        <f t="shared" si="6"/>
        <v>-</v>
      </c>
      <c r="AB7" s="9" t="s">
        <v>0</v>
      </c>
      <c r="AC7" s="9" t="str">
        <f t="shared" si="7"/>
        <v>-</v>
      </c>
      <c r="AD7" s="9" t="s">
        <v>0</v>
      </c>
      <c r="AE7" s="12" t="str">
        <f t="shared" si="8"/>
        <v>-</v>
      </c>
      <c r="AF7" s="29" t="s">
        <v>0</v>
      </c>
      <c r="AG7" s="29" t="s">
        <v>0</v>
      </c>
      <c r="AH7" s="8" t="s">
        <v>0</v>
      </c>
      <c r="AI7" s="29" t="s">
        <v>0</v>
      </c>
      <c r="AJ7" s="32" t="s">
        <v>0</v>
      </c>
      <c r="AK7" s="29" t="s">
        <v>0</v>
      </c>
      <c r="AL7" s="32" t="s">
        <v>0</v>
      </c>
      <c r="AM7" s="29" t="s">
        <v>0</v>
      </c>
      <c r="AN7" s="32" t="s">
        <v>0</v>
      </c>
      <c r="AO7" s="29" t="s">
        <v>0</v>
      </c>
      <c r="AP7" s="32" t="s">
        <v>0</v>
      </c>
      <c r="AQ7" s="32" t="s">
        <v>0</v>
      </c>
      <c r="AR7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7" s="9" t="str">
        <f t="shared" si="9"/>
        <v>-</v>
      </c>
      <c r="AT7" s="9">
        <f>IF(RIGHT(TWZ[[#This Row],[Device type]],7)="Winding","-",TWZ[[#This Row],[Cont Winter MVA]])</f>
        <v>952.62794416288239</v>
      </c>
      <c r="AU7" s="9">
        <f>IF(RIGHT(TWZ[[#This Row],[Device type]],7)="Winding","-",TWZ[[#This Row],[Cont Shoulder MVA]])</f>
        <v>952.62794416288239</v>
      </c>
      <c r="AV7" s="9">
        <f>IF(RIGHT(TWZ[[#This Row],[Device type]],7)="Winding","-",TWZ[[#This Row],[Cont Summer MVA]])</f>
        <v>952.62794416288239</v>
      </c>
      <c r="AW7" s="9" t="str">
        <f>TWZ[[#This Row],[24 Hr Winter MVA]]</f>
        <v>-</v>
      </c>
      <c r="AX7" s="9">
        <f>TWZ[[#This Row],[24 Hr Summer MVA]]</f>
        <v>952.62794416288239</v>
      </c>
      <c r="AY7" s="9" t="str">
        <f>TWZ[[#This Row],[Forwards MVA]]</f>
        <v>-</v>
      </c>
      <c r="AZ7" s="9" t="str">
        <f>TWZ[[#This Row],[Relay MVA]]</f>
        <v>-</v>
      </c>
      <c r="BA7" s="9" t="str">
        <f>TWZ[[#This Row],[CT MVA]]</f>
        <v>-</v>
      </c>
      <c r="BB7" s="9" t="str">
        <f>TWZ[[#This Row],[Derating MVA]]</f>
        <v>-</v>
      </c>
      <c r="BC7" s="9" t="str">
        <f>TWZ[[#This Row],[Station/Feeder]]&amp;TWZ[[#This Row],[Lowest MVA]]</f>
        <v>TWZ_GXP952.627944162882</v>
      </c>
      <c r="BD7" s="9" t="str">
        <f>CONCATENATE(TWZ[[#This Row],[Supply Level]],TWZ[[#This Row],[Station/Feeder]],TWZ[[#This Row],[Voltage]],TWZ[[#This Row],[Lowest A-No PTX]])</f>
        <v>GXPTWZ_GXP2202500</v>
      </c>
      <c r="BE7" s="9" t="str">
        <f>CONCATENATE(TWZ[[#This Row],[Supply Level]],TWZ[[#This Row],[Station/Feeder]],TWZ[[#This Row],[Voltage]],TWZ[[#This Row],[Lowest A-PTX]])</f>
        <v>GXPTWZ_GXP2202500</v>
      </c>
      <c r="BF7" s="9">
        <f>IFERROR(IF(MIN(TWZ[[#This Row],[Summ Cont Winter A]:[Cable Derating]])=0,"",MIN(TWZ[[#This Row],[Summ Cont Winter A]:[Cable Derating]])),"")</f>
        <v>952.62794416288239</v>
      </c>
      <c r="BG7" s="9">
        <f>IFERROR(TWZ[[#This Row],[Lowest MVA]]*1000/(TWZ[[#This Row],[Voltage]]*SQRT(3)),"")</f>
        <v>2500</v>
      </c>
      <c r="BH7" s="9">
        <f t="shared" si="10"/>
        <v>2500</v>
      </c>
      <c r="BI7" s="9" t="str">
        <f>TWZ[[#This Row],[From]]</f>
        <v>220 kV Bus</v>
      </c>
      <c r="BJ7" s="9" t="str">
        <f>TWZ[[#This Row],[To]]</f>
        <v>33 kV Bus</v>
      </c>
      <c r="BK7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Breaker-TWZ-CB2492-Current Transformer</v>
      </c>
      <c r="BL7" s="9">
        <f>TWZ[[#This Row],[Voltage]]</f>
        <v>220</v>
      </c>
    </row>
    <row r="8" spans="1:64" s="1" customFormat="1" ht="15" customHeight="1" x14ac:dyDescent="0.25">
      <c r="A8" s="353" t="str">
        <f>CONCATENATE(TWZ[[#This Row],[Supply Level]],TWZ[[#This Row],[Station/Feeder]],TWZ[[#This Row],[Voltage]])</f>
        <v>GXPTWZ_GXP220</v>
      </c>
      <c r="B8" s="353" t="str">
        <f>CONCATENATE(TWZ[[#This Row],[Supply Level]],TWZ[[#This Row],[Station/Feeder]],TWZ[[#This Row],[Equipment ID]],TWZ[[#This Row],[Voltage]],TWZ[[#This Row],[Device type]])</f>
        <v>GXPTWZ_GXPTWZ-CB2492220Current Transformer</v>
      </c>
      <c r="C8" s="6" t="s">
        <v>4</v>
      </c>
      <c r="D8" s="11" t="s">
        <v>78</v>
      </c>
      <c r="E8" s="6" t="s">
        <v>62</v>
      </c>
      <c r="F8" s="6" t="s">
        <v>63</v>
      </c>
      <c r="G8" s="27">
        <v>2</v>
      </c>
      <c r="H8" s="49" t="s">
        <v>271</v>
      </c>
      <c r="I8" s="7" t="s">
        <v>2327</v>
      </c>
      <c r="J8" s="7" t="s">
        <v>15</v>
      </c>
      <c r="K8" s="7" t="s">
        <v>8</v>
      </c>
      <c r="L8" s="7" t="s">
        <v>16</v>
      </c>
      <c r="M8" s="43">
        <v>220</v>
      </c>
      <c r="N8" s="9">
        <v>2500</v>
      </c>
      <c r="O8" s="9">
        <f t="shared" si="0"/>
        <v>952.62794416288239</v>
      </c>
      <c r="P8" s="9">
        <v>2500</v>
      </c>
      <c r="Q8" s="9">
        <f t="shared" si="1"/>
        <v>952.62794416288239</v>
      </c>
      <c r="R8" s="9">
        <v>2500</v>
      </c>
      <c r="S8" s="9">
        <f t="shared" si="2"/>
        <v>952.62794416288239</v>
      </c>
      <c r="T8" s="9" t="s">
        <v>0</v>
      </c>
      <c r="U8" s="9" t="str">
        <f t="shared" si="3"/>
        <v>-</v>
      </c>
      <c r="V8" s="9">
        <v>2500</v>
      </c>
      <c r="W8" s="9">
        <f t="shared" si="4"/>
        <v>952.62794416288239</v>
      </c>
      <c r="X8" s="9" t="s">
        <v>0</v>
      </c>
      <c r="Y8" s="9" t="str">
        <f t="shared" si="5"/>
        <v>-</v>
      </c>
      <c r="Z8" s="9" t="s">
        <v>0</v>
      </c>
      <c r="AA8" s="9" t="str">
        <f t="shared" si="6"/>
        <v>-</v>
      </c>
      <c r="AB8" s="9" t="s">
        <v>0</v>
      </c>
      <c r="AC8" s="9" t="str">
        <f t="shared" si="7"/>
        <v>-</v>
      </c>
      <c r="AD8" s="9" t="s">
        <v>0</v>
      </c>
      <c r="AE8" s="12" t="str">
        <f t="shared" si="8"/>
        <v>-</v>
      </c>
      <c r="AF8" s="29" t="s">
        <v>0</v>
      </c>
      <c r="AG8" s="29" t="s">
        <v>0</v>
      </c>
      <c r="AH8" s="8" t="s">
        <v>0</v>
      </c>
      <c r="AI8" s="29" t="s">
        <v>0</v>
      </c>
      <c r="AJ8" s="32" t="s">
        <v>0</v>
      </c>
      <c r="AK8" s="29" t="s">
        <v>0</v>
      </c>
      <c r="AL8" s="32" t="s">
        <v>0</v>
      </c>
      <c r="AM8" s="29" t="s">
        <v>0</v>
      </c>
      <c r="AN8" s="32" t="s">
        <v>0</v>
      </c>
      <c r="AO8" s="29" t="s">
        <v>0</v>
      </c>
      <c r="AP8" s="32" t="s">
        <v>0</v>
      </c>
      <c r="AQ8" s="32" t="s">
        <v>0</v>
      </c>
      <c r="AR8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8" s="9" t="str">
        <f t="shared" si="9"/>
        <v>-</v>
      </c>
      <c r="AT8" s="9">
        <f>IF(RIGHT(TWZ[[#This Row],[Device type]],7)="Winding","-",TWZ[[#This Row],[Cont Winter MVA]])</f>
        <v>952.62794416288239</v>
      </c>
      <c r="AU8" s="9">
        <f>IF(RIGHT(TWZ[[#This Row],[Device type]],7)="Winding","-",TWZ[[#This Row],[Cont Shoulder MVA]])</f>
        <v>952.62794416288239</v>
      </c>
      <c r="AV8" s="9">
        <f>IF(RIGHT(TWZ[[#This Row],[Device type]],7)="Winding","-",TWZ[[#This Row],[Cont Summer MVA]])</f>
        <v>952.62794416288239</v>
      </c>
      <c r="AW8" s="9" t="str">
        <f>TWZ[[#This Row],[24 Hr Winter MVA]]</f>
        <v>-</v>
      </c>
      <c r="AX8" s="9">
        <f>TWZ[[#This Row],[24 Hr Summer MVA]]</f>
        <v>952.62794416288239</v>
      </c>
      <c r="AY8" s="9" t="str">
        <f>TWZ[[#This Row],[Forwards MVA]]</f>
        <v>-</v>
      </c>
      <c r="AZ8" s="9" t="str">
        <f>TWZ[[#This Row],[Relay MVA]]</f>
        <v>-</v>
      </c>
      <c r="BA8" s="9" t="str">
        <f>TWZ[[#This Row],[CT MVA]]</f>
        <v>-</v>
      </c>
      <c r="BB8" s="9" t="str">
        <f>TWZ[[#This Row],[Derating MVA]]</f>
        <v>-</v>
      </c>
      <c r="BC8" s="9" t="str">
        <f>TWZ[[#This Row],[Station/Feeder]]&amp;TWZ[[#This Row],[Lowest MVA]]</f>
        <v>TWZ_GXP952.627944162882</v>
      </c>
      <c r="BD8" s="9" t="str">
        <f>CONCATENATE(TWZ[[#This Row],[Supply Level]],TWZ[[#This Row],[Station/Feeder]],TWZ[[#This Row],[Voltage]],TWZ[[#This Row],[Lowest A-No PTX]])</f>
        <v>GXPTWZ_GXP2202500</v>
      </c>
      <c r="BE8" s="9" t="str">
        <f>CONCATENATE(TWZ[[#This Row],[Supply Level]],TWZ[[#This Row],[Station/Feeder]],TWZ[[#This Row],[Voltage]],TWZ[[#This Row],[Lowest A-PTX]])</f>
        <v>GXPTWZ_GXP2202500</v>
      </c>
      <c r="BF8" s="9">
        <f>IFERROR(IF(MIN(TWZ[[#This Row],[Summ Cont Winter A]:[Cable Derating]])=0,"",MIN(TWZ[[#This Row],[Summ Cont Winter A]:[Cable Derating]])),"")</f>
        <v>952.62794416288239</v>
      </c>
      <c r="BG8" s="9">
        <f>IFERROR(TWZ[[#This Row],[Lowest MVA]]*1000/(TWZ[[#This Row],[Voltage]]*SQRT(3)),"")</f>
        <v>2500</v>
      </c>
      <c r="BH8" s="9">
        <f t="shared" si="10"/>
        <v>2500</v>
      </c>
      <c r="BI8" s="9" t="str">
        <f>TWZ[[#This Row],[From]]</f>
        <v>220 kV Bus</v>
      </c>
      <c r="BJ8" s="9" t="str">
        <f>TWZ[[#This Row],[To]]</f>
        <v>33 kV Bus</v>
      </c>
      <c r="BK8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Breaker-TWZ-CB2492-Current Transformer</v>
      </c>
      <c r="BL8" s="9">
        <f>TWZ[[#This Row],[Voltage]]</f>
        <v>220</v>
      </c>
    </row>
    <row r="9" spans="1:64" s="1" customFormat="1" ht="15" customHeight="1" x14ac:dyDescent="0.25">
      <c r="A9" s="353" t="str">
        <f>CONCATENATE(TWZ[[#This Row],[Supply Level]],TWZ[[#This Row],[Station/Feeder]],TWZ[[#This Row],[Voltage]])</f>
        <v>GXPTWZ_GXP220</v>
      </c>
      <c r="B9" s="353" t="str">
        <f>CONCATENATE(TWZ[[#This Row],[Supply Level]],TWZ[[#This Row],[Station/Feeder]],TWZ[[#This Row],[Equipment ID]],TWZ[[#This Row],[Voltage]],TWZ[[#This Row],[Device type]])</f>
        <v>GXPTWZ_GXPTWZ-CB2492220Current Transformer</v>
      </c>
      <c r="C9" s="6" t="s">
        <v>4</v>
      </c>
      <c r="D9" s="11" t="s">
        <v>78</v>
      </c>
      <c r="E9" s="6" t="s">
        <v>62</v>
      </c>
      <c r="F9" s="6" t="s">
        <v>63</v>
      </c>
      <c r="G9" s="27">
        <v>2</v>
      </c>
      <c r="H9" s="49" t="s">
        <v>271</v>
      </c>
      <c r="I9" s="7" t="s">
        <v>2327</v>
      </c>
      <c r="J9" s="7" t="s">
        <v>15</v>
      </c>
      <c r="K9" s="7" t="s">
        <v>8</v>
      </c>
      <c r="L9" s="7" t="s">
        <v>16</v>
      </c>
      <c r="M9" s="43">
        <v>220</v>
      </c>
      <c r="N9" s="9">
        <v>2500</v>
      </c>
      <c r="O9" s="9">
        <f t="shared" si="0"/>
        <v>952.62794416288239</v>
      </c>
      <c r="P9" s="9">
        <v>2500</v>
      </c>
      <c r="Q9" s="9">
        <f t="shared" si="1"/>
        <v>952.62794416288239</v>
      </c>
      <c r="R9" s="9">
        <v>2500</v>
      </c>
      <c r="S9" s="9">
        <f t="shared" si="2"/>
        <v>952.62794416288239</v>
      </c>
      <c r="T9" s="9" t="s">
        <v>0</v>
      </c>
      <c r="U9" s="9" t="str">
        <f t="shared" si="3"/>
        <v>-</v>
      </c>
      <c r="V9" s="9">
        <v>2500</v>
      </c>
      <c r="W9" s="9">
        <f t="shared" si="4"/>
        <v>952.62794416288239</v>
      </c>
      <c r="X9" s="9" t="s">
        <v>0</v>
      </c>
      <c r="Y9" s="9" t="str">
        <f t="shared" si="5"/>
        <v>-</v>
      </c>
      <c r="Z9" s="9" t="s">
        <v>0</v>
      </c>
      <c r="AA9" s="9" t="str">
        <f t="shared" si="6"/>
        <v>-</v>
      </c>
      <c r="AB9" s="9" t="s">
        <v>0</v>
      </c>
      <c r="AC9" s="9" t="str">
        <f t="shared" si="7"/>
        <v>-</v>
      </c>
      <c r="AD9" s="9" t="s">
        <v>0</v>
      </c>
      <c r="AE9" s="12" t="str">
        <f t="shared" si="8"/>
        <v>-</v>
      </c>
      <c r="AF9" s="29" t="s">
        <v>0</v>
      </c>
      <c r="AG9" s="29" t="s">
        <v>0</v>
      </c>
      <c r="AH9" s="8" t="s">
        <v>0</v>
      </c>
      <c r="AI9" s="29" t="s">
        <v>0</v>
      </c>
      <c r="AJ9" s="32" t="s">
        <v>0</v>
      </c>
      <c r="AK9" s="29" t="s">
        <v>0</v>
      </c>
      <c r="AL9" s="32" t="s">
        <v>0</v>
      </c>
      <c r="AM9" s="29" t="s">
        <v>0</v>
      </c>
      <c r="AN9" s="32" t="s">
        <v>0</v>
      </c>
      <c r="AO9" s="29" t="s">
        <v>0</v>
      </c>
      <c r="AP9" s="32" t="s">
        <v>0</v>
      </c>
      <c r="AQ9" s="32" t="s">
        <v>0</v>
      </c>
      <c r="AR9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9" s="9" t="str">
        <f t="shared" si="9"/>
        <v>-</v>
      </c>
      <c r="AT9" s="9">
        <f>IF(RIGHT(TWZ[[#This Row],[Device type]],7)="Winding","-",TWZ[[#This Row],[Cont Winter MVA]])</f>
        <v>952.62794416288239</v>
      </c>
      <c r="AU9" s="9">
        <f>IF(RIGHT(TWZ[[#This Row],[Device type]],7)="Winding","-",TWZ[[#This Row],[Cont Shoulder MVA]])</f>
        <v>952.62794416288239</v>
      </c>
      <c r="AV9" s="9">
        <f>IF(RIGHT(TWZ[[#This Row],[Device type]],7)="Winding","-",TWZ[[#This Row],[Cont Summer MVA]])</f>
        <v>952.62794416288239</v>
      </c>
      <c r="AW9" s="9" t="str">
        <f>TWZ[[#This Row],[24 Hr Winter MVA]]</f>
        <v>-</v>
      </c>
      <c r="AX9" s="9">
        <f>TWZ[[#This Row],[24 Hr Summer MVA]]</f>
        <v>952.62794416288239</v>
      </c>
      <c r="AY9" s="9" t="str">
        <f>TWZ[[#This Row],[Forwards MVA]]</f>
        <v>-</v>
      </c>
      <c r="AZ9" s="9" t="str">
        <f>TWZ[[#This Row],[Relay MVA]]</f>
        <v>-</v>
      </c>
      <c r="BA9" s="9" t="str">
        <f>TWZ[[#This Row],[CT MVA]]</f>
        <v>-</v>
      </c>
      <c r="BB9" s="9" t="str">
        <f>TWZ[[#This Row],[Derating MVA]]</f>
        <v>-</v>
      </c>
      <c r="BC9" s="9" t="str">
        <f>TWZ[[#This Row],[Station/Feeder]]&amp;TWZ[[#This Row],[Lowest MVA]]</f>
        <v>TWZ_GXP952.627944162882</v>
      </c>
      <c r="BD9" s="9" t="str">
        <f>CONCATENATE(TWZ[[#This Row],[Supply Level]],TWZ[[#This Row],[Station/Feeder]],TWZ[[#This Row],[Voltage]],TWZ[[#This Row],[Lowest A-No PTX]])</f>
        <v>GXPTWZ_GXP2202500</v>
      </c>
      <c r="BE9" s="9" t="str">
        <f>CONCATENATE(TWZ[[#This Row],[Supply Level]],TWZ[[#This Row],[Station/Feeder]],TWZ[[#This Row],[Voltage]],TWZ[[#This Row],[Lowest A-PTX]])</f>
        <v>GXPTWZ_GXP2202500</v>
      </c>
      <c r="BF9" s="9">
        <f>IFERROR(IF(MIN(TWZ[[#This Row],[Summ Cont Winter A]:[Cable Derating]])=0,"",MIN(TWZ[[#This Row],[Summ Cont Winter A]:[Cable Derating]])),"")</f>
        <v>952.62794416288239</v>
      </c>
      <c r="BG9" s="9">
        <f>IFERROR(TWZ[[#This Row],[Lowest MVA]]*1000/(TWZ[[#This Row],[Voltage]]*SQRT(3)),"")</f>
        <v>2500</v>
      </c>
      <c r="BH9" s="9">
        <f t="shared" si="10"/>
        <v>2500</v>
      </c>
      <c r="BI9" s="9" t="str">
        <f>TWZ[[#This Row],[From]]</f>
        <v>220 kV Bus</v>
      </c>
      <c r="BJ9" s="9" t="str">
        <f>TWZ[[#This Row],[To]]</f>
        <v>33 kV Bus</v>
      </c>
      <c r="BK9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Breaker-TWZ-CB2492-Current Transformer</v>
      </c>
      <c r="BL9" s="9">
        <f>TWZ[[#This Row],[Voltage]]</f>
        <v>220</v>
      </c>
    </row>
    <row r="10" spans="1:64" s="1" customFormat="1" x14ac:dyDescent="0.25">
      <c r="A10" s="353" t="str">
        <f>CONCATENATE(TWZ[[#This Row],[Supply Level]],TWZ[[#This Row],[Station/Feeder]],TWZ[[#This Row],[Voltage]])</f>
        <v>GXPTWZ_GXP220</v>
      </c>
      <c r="B10" s="353" t="str">
        <f>CONCATENATE(TWZ[[#This Row],[Supply Level]],TWZ[[#This Row],[Station/Feeder]],TWZ[[#This Row],[Equipment ID]],TWZ[[#This Row],[Voltage]],TWZ[[#This Row],[Device type]])</f>
        <v>GXPTWZ_GXPTWZ-CB2492220Protection</v>
      </c>
      <c r="C10" s="6" t="s">
        <v>4</v>
      </c>
      <c r="D10" s="11" t="s">
        <v>78</v>
      </c>
      <c r="E10" s="6" t="s">
        <v>62</v>
      </c>
      <c r="F10" s="6" t="s">
        <v>63</v>
      </c>
      <c r="G10" s="27">
        <v>2</v>
      </c>
      <c r="H10" s="49" t="s">
        <v>271</v>
      </c>
      <c r="I10" s="7" t="s">
        <v>2327</v>
      </c>
      <c r="J10" s="7" t="s">
        <v>15</v>
      </c>
      <c r="K10" s="7" t="s">
        <v>1121</v>
      </c>
      <c r="L10" s="7" t="s">
        <v>1423</v>
      </c>
      <c r="M10" s="43">
        <v>220</v>
      </c>
      <c r="N10" s="9" t="s">
        <v>0</v>
      </c>
      <c r="O10" s="9" t="str">
        <f t="shared" si="0"/>
        <v>-</v>
      </c>
      <c r="P10" s="9" t="s">
        <v>0</v>
      </c>
      <c r="Q10" s="9" t="str">
        <f t="shared" si="1"/>
        <v>-</v>
      </c>
      <c r="R10" s="9" t="s">
        <v>0</v>
      </c>
      <c r="S10" s="9" t="str">
        <f t="shared" si="2"/>
        <v>-</v>
      </c>
      <c r="T10" s="9" t="s">
        <v>0</v>
      </c>
      <c r="U10" s="9" t="str">
        <f t="shared" si="3"/>
        <v>-</v>
      </c>
      <c r="V10" s="9" t="s">
        <v>0</v>
      </c>
      <c r="W10" s="9" t="str">
        <f t="shared" si="4"/>
        <v>-</v>
      </c>
      <c r="X10" s="9">
        <v>114</v>
      </c>
      <c r="Y10" s="9">
        <f t="shared" si="5"/>
        <v>43.439834253827435</v>
      </c>
      <c r="Z10" s="9">
        <v>114</v>
      </c>
      <c r="AA10" s="9">
        <f t="shared" si="6"/>
        <v>43.439834253827435</v>
      </c>
      <c r="AB10" s="9">
        <v>1500</v>
      </c>
      <c r="AC10" s="9">
        <f t="shared" si="7"/>
        <v>571.57676649772941</v>
      </c>
      <c r="AD10" s="9">
        <v>1000</v>
      </c>
      <c r="AE10" s="12">
        <f t="shared" si="8"/>
        <v>381.05117766515298</v>
      </c>
      <c r="AF10" s="29" t="s">
        <v>0</v>
      </c>
      <c r="AG10" s="29" t="s">
        <v>0</v>
      </c>
      <c r="AH10" s="8" t="s">
        <v>0</v>
      </c>
      <c r="AI10" s="29" t="s">
        <v>0</v>
      </c>
      <c r="AJ10" s="32" t="s">
        <v>0</v>
      </c>
      <c r="AK10" s="29" t="s">
        <v>0</v>
      </c>
      <c r="AL10" s="32" t="s">
        <v>0</v>
      </c>
      <c r="AM10" s="29" t="s">
        <v>0</v>
      </c>
      <c r="AN10" s="32" t="s">
        <v>0</v>
      </c>
      <c r="AO10" s="29" t="s">
        <v>0</v>
      </c>
      <c r="AP10" s="32" t="s">
        <v>0</v>
      </c>
      <c r="AQ10" s="32" t="s">
        <v>0</v>
      </c>
      <c r="AR10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10" s="9" t="str">
        <f t="shared" si="9"/>
        <v>-</v>
      </c>
      <c r="AT10" s="9" t="str">
        <f>IF(RIGHT(TWZ[[#This Row],[Device type]],7)="Winding","-",TWZ[[#This Row],[Cont Winter MVA]])</f>
        <v>-</v>
      </c>
      <c r="AU10" s="9" t="str">
        <f>IF(RIGHT(TWZ[[#This Row],[Device type]],7)="Winding","-",TWZ[[#This Row],[Cont Shoulder MVA]])</f>
        <v>-</v>
      </c>
      <c r="AV10" s="9" t="str">
        <f>IF(RIGHT(TWZ[[#This Row],[Device type]],7)="Winding","-",TWZ[[#This Row],[Cont Summer MVA]])</f>
        <v>-</v>
      </c>
      <c r="AW10" s="9" t="str">
        <f>TWZ[[#This Row],[24 Hr Winter MVA]]</f>
        <v>-</v>
      </c>
      <c r="AX10" s="9" t="str">
        <f>TWZ[[#This Row],[24 Hr Summer MVA]]</f>
        <v>-</v>
      </c>
      <c r="AY10" s="9">
        <f>TWZ[[#This Row],[Forwards MVA]]</f>
        <v>43.439834253827435</v>
      </c>
      <c r="AZ10" s="9">
        <f>TWZ[[#This Row],[Relay MVA]]</f>
        <v>571.57676649772941</v>
      </c>
      <c r="BA10" s="9">
        <f>TWZ[[#This Row],[CT MVA]]</f>
        <v>381.05117766515298</v>
      </c>
      <c r="BB10" s="9" t="str">
        <f>TWZ[[#This Row],[Derating MVA]]</f>
        <v>-</v>
      </c>
      <c r="BC10" s="9" t="str">
        <f>TWZ[[#This Row],[Station/Feeder]]&amp;TWZ[[#This Row],[Lowest MVA]]</f>
        <v>TWZ_GXP43.4398342538274</v>
      </c>
      <c r="BD10" s="9" t="str">
        <f>CONCATENATE(TWZ[[#This Row],[Supply Level]],TWZ[[#This Row],[Station/Feeder]],TWZ[[#This Row],[Voltage]],TWZ[[#This Row],[Lowest A-No PTX]])</f>
        <v>GXPTWZ_GXP220114</v>
      </c>
      <c r="BE10" s="9" t="str">
        <f>CONCATENATE(TWZ[[#This Row],[Supply Level]],TWZ[[#This Row],[Station/Feeder]],TWZ[[#This Row],[Voltage]],TWZ[[#This Row],[Lowest A-PTX]])</f>
        <v>GXPTWZ_GXP220114</v>
      </c>
      <c r="BF10" s="9">
        <f>IFERROR(IF(MIN(TWZ[[#This Row],[Summ Cont Winter A]:[Cable Derating]])=0,"",MIN(TWZ[[#This Row],[Summ Cont Winter A]:[Cable Derating]])),"")</f>
        <v>43.439834253827435</v>
      </c>
      <c r="BG10" s="9">
        <f>IFERROR(TWZ[[#This Row],[Lowest MVA]]*1000/(TWZ[[#This Row],[Voltage]]*SQRT(3)),"")</f>
        <v>114</v>
      </c>
      <c r="BH10" s="9">
        <f t="shared" si="10"/>
        <v>114</v>
      </c>
      <c r="BI10" s="9" t="str">
        <f>TWZ[[#This Row],[From]]</f>
        <v>220 kV Bus</v>
      </c>
      <c r="BJ10" s="9" t="str">
        <f>TWZ[[#This Row],[To]]</f>
        <v>33 kV Bus</v>
      </c>
      <c r="BK10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Breaker-TWZ-CB2492-Protection</v>
      </c>
      <c r="BL10" s="9">
        <f>TWZ[[#This Row],[Voltage]]</f>
        <v>220</v>
      </c>
    </row>
    <row r="11" spans="1:64" s="1" customFormat="1" x14ac:dyDescent="0.25">
      <c r="A11" s="353" t="str">
        <f>CONCATENATE(TWZ[[#This Row],[Supply Level]],TWZ[[#This Row],[Station/Feeder]],TWZ[[#This Row],[Voltage]])</f>
        <v>GXPTWZ_GXP220</v>
      </c>
      <c r="B11" s="353" t="str">
        <f>CONCATENATE(TWZ[[#This Row],[Supply Level]],TWZ[[#This Row],[Station/Feeder]],TWZ[[#This Row],[Equipment ID]],TWZ[[#This Row],[Voltage]],TWZ[[#This Row],[Device type]])</f>
        <v>GXPTWZ_GXPTWZ-CB2492220Protection</v>
      </c>
      <c r="C11" s="6" t="s">
        <v>4</v>
      </c>
      <c r="D11" s="11" t="s">
        <v>78</v>
      </c>
      <c r="E11" s="6" t="s">
        <v>62</v>
      </c>
      <c r="F11" s="6" t="s">
        <v>63</v>
      </c>
      <c r="G11" s="27">
        <v>2</v>
      </c>
      <c r="H11" s="49" t="s">
        <v>271</v>
      </c>
      <c r="I11" s="7" t="s">
        <v>2327</v>
      </c>
      <c r="J11" s="7" t="s">
        <v>15</v>
      </c>
      <c r="K11" s="7" t="s">
        <v>34</v>
      </c>
      <c r="L11" s="7" t="s">
        <v>1423</v>
      </c>
      <c r="M11" s="43">
        <v>220</v>
      </c>
      <c r="N11" s="9" t="s">
        <v>0</v>
      </c>
      <c r="O11" s="9" t="str">
        <f t="shared" si="0"/>
        <v>-</v>
      </c>
      <c r="P11" s="9" t="s">
        <v>0</v>
      </c>
      <c r="Q11" s="9" t="str">
        <f t="shared" si="1"/>
        <v>-</v>
      </c>
      <c r="R11" s="9" t="s">
        <v>0</v>
      </c>
      <c r="S11" s="9" t="str">
        <f t="shared" si="2"/>
        <v>-</v>
      </c>
      <c r="T11" s="9" t="s">
        <v>0</v>
      </c>
      <c r="U11" s="9" t="str">
        <f t="shared" si="3"/>
        <v>-</v>
      </c>
      <c r="V11" s="9" t="s">
        <v>0</v>
      </c>
      <c r="W11" s="9" t="str">
        <f t="shared" si="4"/>
        <v>-</v>
      </c>
      <c r="X11" s="9">
        <v>115</v>
      </c>
      <c r="Y11" s="9">
        <f t="shared" si="5"/>
        <v>43.820885431492592</v>
      </c>
      <c r="Z11" s="9">
        <v>115</v>
      </c>
      <c r="AA11" s="9">
        <f t="shared" si="6"/>
        <v>43.820885431492592</v>
      </c>
      <c r="AB11" s="9">
        <v>600</v>
      </c>
      <c r="AC11" s="9">
        <f t="shared" si="7"/>
        <v>228.63070659909178</v>
      </c>
      <c r="AD11" s="9">
        <v>400</v>
      </c>
      <c r="AE11" s="12">
        <f t="shared" si="8"/>
        <v>152.4204710660612</v>
      </c>
      <c r="AF11" s="29" t="s">
        <v>0</v>
      </c>
      <c r="AG11" s="29" t="s">
        <v>0</v>
      </c>
      <c r="AH11" s="8" t="s">
        <v>0</v>
      </c>
      <c r="AI11" s="29" t="s">
        <v>0</v>
      </c>
      <c r="AJ11" s="32" t="s">
        <v>0</v>
      </c>
      <c r="AK11" s="29" t="s">
        <v>0</v>
      </c>
      <c r="AL11" s="32" t="s">
        <v>0</v>
      </c>
      <c r="AM11" s="29" t="s">
        <v>0</v>
      </c>
      <c r="AN11" s="32" t="s">
        <v>0</v>
      </c>
      <c r="AO11" s="29" t="s">
        <v>0</v>
      </c>
      <c r="AP11" s="32" t="s">
        <v>0</v>
      </c>
      <c r="AQ11" s="32" t="s">
        <v>0</v>
      </c>
      <c r="AR11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11" s="9" t="str">
        <f t="shared" si="9"/>
        <v>-</v>
      </c>
      <c r="AT11" s="9" t="str">
        <f>IF(RIGHT(TWZ[[#This Row],[Device type]],7)="Winding","-",TWZ[[#This Row],[Cont Winter MVA]])</f>
        <v>-</v>
      </c>
      <c r="AU11" s="9" t="str">
        <f>IF(RIGHT(TWZ[[#This Row],[Device type]],7)="Winding","-",TWZ[[#This Row],[Cont Shoulder MVA]])</f>
        <v>-</v>
      </c>
      <c r="AV11" s="9" t="str">
        <f>IF(RIGHT(TWZ[[#This Row],[Device type]],7)="Winding","-",TWZ[[#This Row],[Cont Summer MVA]])</f>
        <v>-</v>
      </c>
      <c r="AW11" s="9" t="str">
        <f>TWZ[[#This Row],[24 Hr Winter MVA]]</f>
        <v>-</v>
      </c>
      <c r="AX11" s="9" t="str">
        <f>TWZ[[#This Row],[24 Hr Summer MVA]]</f>
        <v>-</v>
      </c>
      <c r="AY11" s="9">
        <f>TWZ[[#This Row],[Forwards MVA]]</f>
        <v>43.820885431492592</v>
      </c>
      <c r="AZ11" s="9">
        <f>TWZ[[#This Row],[Relay MVA]]</f>
        <v>228.63070659909178</v>
      </c>
      <c r="BA11" s="9">
        <f>TWZ[[#This Row],[CT MVA]]</f>
        <v>152.4204710660612</v>
      </c>
      <c r="BB11" s="9" t="str">
        <f>TWZ[[#This Row],[Derating MVA]]</f>
        <v>-</v>
      </c>
      <c r="BC11" s="9" t="str">
        <f>TWZ[[#This Row],[Station/Feeder]]&amp;TWZ[[#This Row],[Lowest MVA]]</f>
        <v>TWZ_GXP43.8208854314926</v>
      </c>
      <c r="BD11" s="9" t="str">
        <f>CONCATENATE(TWZ[[#This Row],[Supply Level]],TWZ[[#This Row],[Station/Feeder]],TWZ[[#This Row],[Voltage]],TWZ[[#This Row],[Lowest A-No PTX]])</f>
        <v>GXPTWZ_GXP220115</v>
      </c>
      <c r="BE11" s="9" t="str">
        <f>CONCATENATE(TWZ[[#This Row],[Supply Level]],TWZ[[#This Row],[Station/Feeder]],TWZ[[#This Row],[Voltage]],TWZ[[#This Row],[Lowest A-PTX]])</f>
        <v>GXPTWZ_GXP220115</v>
      </c>
      <c r="BF11" s="9">
        <f>IFERROR(IF(MIN(TWZ[[#This Row],[Summ Cont Winter A]:[Cable Derating]])=0,"",MIN(TWZ[[#This Row],[Summ Cont Winter A]:[Cable Derating]])),"")</f>
        <v>43.820885431492592</v>
      </c>
      <c r="BG11" s="9">
        <f>IFERROR(TWZ[[#This Row],[Lowest MVA]]*1000/(TWZ[[#This Row],[Voltage]]*SQRT(3)),"")</f>
        <v>115</v>
      </c>
      <c r="BH11" s="9">
        <f t="shared" si="10"/>
        <v>115</v>
      </c>
      <c r="BI11" s="9" t="str">
        <f>TWZ[[#This Row],[From]]</f>
        <v>220 kV Bus</v>
      </c>
      <c r="BJ11" s="9" t="str">
        <f>TWZ[[#This Row],[To]]</f>
        <v>33 kV Bus</v>
      </c>
      <c r="BK11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Breaker-TWZ-CB2492-Protection</v>
      </c>
      <c r="BL11" s="9">
        <f>TWZ[[#This Row],[Voltage]]</f>
        <v>220</v>
      </c>
    </row>
    <row r="12" spans="1:64" s="1" customFormat="1" ht="15" customHeight="1" x14ac:dyDescent="0.25">
      <c r="A12" s="353" t="str">
        <f>CONCATENATE(TWZ[[#This Row],[Supply Level]],TWZ[[#This Row],[Station/Feeder]],TWZ[[#This Row],[Voltage]])</f>
        <v>GXPTWZ_GXP220</v>
      </c>
      <c r="B12" s="353" t="str">
        <f>CONCATENATE(TWZ[[#This Row],[Supply Level]],TWZ[[#This Row],[Station/Feeder]],TWZ[[#This Row],[Equipment ID]],TWZ[[#This Row],[Voltage]],TWZ[[#This Row],[Device type]])</f>
        <v>GXPTWZ_GXPT18220Bushings</v>
      </c>
      <c r="C12" s="6" t="s">
        <v>4</v>
      </c>
      <c r="D12" s="11" t="s">
        <v>78</v>
      </c>
      <c r="E12" s="6" t="s">
        <v>62</v>
      </c>
      <c r="F12" s="6" t="s">
        <v>63</v>
      </c>
      <c r="G12" s="27">
        <v>3</v>
      </c>
      <c r="H12" s="49" t="s">
        <v>271</v>
      </c>
      <c r="I12" s="7" t="s">
        <v>24</v>
      </c>
      <c r="J12" s="7" t="s">
        <v>19</v>
      </c>
      <c r="K12" s="7" t="s">
        <v>10</v>
      </c>
      <c r="L12" s="7" t="s">
        <v>18</v>
      </c>
      <c r="M12" s="43">
        <v>220</v>
      </c>
      <c r="N12" s="9">
        <v>630</v>
      </c>
      <c r="O12" s="9">
        <f t="shared" si="0"/>
        <v>240.06224192904637</v>
      </c>
      <c r="P12" s="9">
        <v>630</v>
      </c>
      <c r="Q12" s="9">
        <f t="shared" si="1"/>
        <v>240.06224192904637</v>
      </c>
      <c r="R12" s="9">
        <v>630</v>
      </c>
      <c r="S12" s="9">
        <f t="shared" si="2"/>
        <v>240.06224192904637</v>
      </c>
      <c r="T12" s="9" t="s">
        <v>0</v>
      </c>
      <c r="U12" s="9" t="str">
        <f t="shared" si="3"/>
        <v>-</v>
      </c>
      <c r="V12" s="9">
        <v>756</v>
      </c>
      <c r="W12" s="9">
        <f t="shared" si="4"/>
        <v>288.07469031485567</v>
      </c>
      <c r="X12" s="9" t="s">
        <v>0</v>
      </c>
      <c r="Y12" s="9" t="str">
        <f t="shared" si="5"/>
        <v>-</v>
      </c>
      <c r="Z12" s="9" t="s">
        <v>0</v>
      </c>
      <c r="AA12" s="9" t="str">
        <f t="shared" si="6"/>
        <v>-</v>
      </c>
      <c r="AB12" s="9" t="s">
        <v>0</v>
      </c>
      <c r="AC12" s="9" t="str">
        <f t="shared" si="7"/>
        <v>-</v>
      </c>
      <c r="AD12" s="9" t="s">
        <v>0</v>
      </c>
      <c r="AE12" s="12" t="str">
        <f t="shared" si="8"/>
        <v>-</v>
      </c>
      <c r="AF12" s="29" t="s">
        <v>0</v>
      </c>
      <c r="AG12" s="29" t="s">
        <v>0</v>
      </c>
      <c r="AH12" s="8" t="s">
        <v>0</v>
      </c>
      <c r="AI12" s="29" t="s">
        <v>0</v>
      </c>
      <c r="AJ12" s="32" t="s">
        <v>0</v>
      </c>
      <c r="AK12" s="29" t="s">
        <v>0</v>
      </c>
      <c r="AL12" s="32" t="s">
        <v>0</v>
      </c>
      <c r="AM12" s="29" t="s">
        <v>0</v>
      </c>
      <c r="AN12" s="32" t="s">
        <v>0</v>
      </c>
      <c r="AO12" s="29" t="s">
        <v>0</v>
      </c>
      <c r="AP12" s="32" t="s">
        <v>0</v>
      </c>
      <c r="AQ12" s="32" t="s">
        <v>0</v>
      </c>
      <c r="AR12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12" s="9" t="str">
        <f t="shared" si="9"/>
        <v>-</v>
      </c>
      <c r="AT12" s="9">
        <f>IF(RIGHT(TWZ[[#This Row],[Device type]],7)="Winding","-",TWZ[[#This Row],[Cont Winter MVA]])</f>
        <v>240.06224192904637</v>
      </c>
      <c r="AU12" s="9">
        <f>IF(RIGHT(TWZ[[#This Row],[Device type]],7)="Winding","-",TWZ[[#This Row],[Cont Shoulder MVA]])</f>
        <v>240.06224192904637</v>
      </c>
      <c r="AV12" s="9">
        <f>IF(RIGHT(TWZ[[#This Row],[Device type]],7)="Winding","-",TWZ[[#This Row],[Cont Summer MVA]])</f>
        <v>240.06224192904637</v>
      </c>
      <c r="AW12" s="9" t="str">
        <f>TWZ[[#This Row],[24 Hr Winter MVA]]</f>
        <v>-</v>
      </c>
      <c r="AX12" s="9">
        <f>TWZ[[#This Row],[24 Hr Summer MVA]]</f>
        <v>288.07469031485567</v>
      </c>
      <c r="AY12" s="9" t="str">
        <f>TWZ[[#This Row],[Forwards MVA]]</f>
        <v>-</v>
      </c>
      <c r="AZ12" s="9" t="str">
        <f>TWZ[[#This Row],[Relay MVA]]</f>
        <v>-</v>
      </c>
      <c r="BA12" s="9" t="str">
        <f>TWZ[[#This Row],[CT MVA]]</f>
        <v>-</v>
      </c>
      <c r="BB12" s="9" t="str">
        <f>TWZ[[#This Row],[Derating MVA]]</f>
        <v>-</v>
      </c>
      <c r="BC12" s="9" t="str">
        <f>TWZ[[#This Row],[Station/Feeder]]&amp;TWZ[[#This Row],[Lowest MVA]]</f>
        <v>TWZ_GXP240.062241929046</v>
      </c>
      <c r="BD12" s="9" t="str">
        <f>CONCATENATE(TWZ[[#This Row],[Supply Level]],TWZ[[#This Row],[Station/Feeder]],TWZ[[#This Row],[Voltage]],TWZ[[#This Row],[Lowest A-No PTX]])</f>
        <v>GXPTWZ_GXP220630</v>
      </c>
      <c r="BE12" s="9" t="str">
        <f>CONCATENATE(TWZ[[#This Row],[Supply Level]],TWZ[[#This Row],[Station/Feeder]],TWZ[[#This Row],[Voltage]],TWZ[[#This Row],[Lowest A-PTX]])</f>
        <v>GXPTWZ_GXP220630</v>
      </c>
      <c r="BF12" s="9">
        <f>IFERROR(IF(MIN(TWZ[[#This Row],[Summ Cont Winter A]:[Cable Derating]])=0,"",MIN(TWZ[[#This Row],[Summ Cont Winter A]:[Cable Derating]])),"")</f>
        <v>240.06224192904637</v>
      </c>
      <c r="BG12" s="9">
        <f>IFERROR(TWZ[[#This Row],[Lowest MVA]]*1000/(TWZ[[#This Row],[Voltage]]*SQRT(3)),"")</f>
        <v>630</v>
      </c>
      <c r="BH12" s="9">
        <f t="shared" si="10"/>
        <v>630</v>
      </c>
      <c r="BI12" s="9" t="str">
        <f>TWZ[[#This Row],[From]]</f>
        <v>220 kV Bus</v>
      </c>
      <c r="BJ12" s="9" t="str">
        <f>TWZ[[#This Row],[To]]</f>
        <v>33 kV Bus</v>
      </c>
      <c r="BK12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Transformer-T18-Bushings</v>
      </c>
      <c r="BL12" s="9">
        <f>TWZ[[#This Row],[Voltage]]</f>
        <v>220</v>
      </c>
    </row>
    <row r="13" spans="1:64" s="1" customFormat="1" ht="15" customHeight="1" x14ac:dyDescent="0.25">
      <c r="A13" s="353" t="str">
        <f>CONCATENATE(TWZ[[#This Row],[Supply Level]],TWZ[[#This Row],[Station/Feeder]],TWZ[[#This Row],[Voltage]])</f>
        <v>GXPTWZ_GXP220</v>
      </c>
      <c r="B13" s="353" t="str">
        <f>CONCATENATE(TWZ[[#This Row],[Supply Level]],TWZ[[#This Row],[Station/Feeder]],TWZ[[#This Row],[Equipment ID]],TWZ[[#This Row],[Voltage]],TWZ[[#This Row],[Device type]])</f>
        <v>GXPTWZ_GXPT18220Bushings</v>
      </c>
      <c r="C13" s="6" t="s">
        <v>4</v>
      </c>
      <c r="D13" s="11" t="s">
        <v>78</v>
      </c>
      <c r="E13" s="6" t="s">
        <v>62</v>
      </c>
      <c r="F13" s="6" t="s">
        <v>63</v>
      </c>
      <c r="G13" s="27">
        <v>3</v>
      </c>
      <c r="H13" s="49" t="s">
        <v>271</v>
      </c>
      <c r="I13" s="7" t="s">
        <v>24</v>
      </c>
      <c r="J13" s="7" t="s">
        <v>19</v>
      </c>
      <c r="K13" s="7" t="s">
        <v>10</v>
      </c>
      <c r="L13" s="7" t="s">
        <v>18</v>
      </c>
      <c r="M13" s="43">
        <v>220</v>
      </c>
      <c r="N13" s="9">
        <v>630</v>
      </c>
      <c r="O13" s="9">
        <f t="shared" si="0"/>
        <v>240.06224192904637</v>
      </c>
      <c r="P13" s="9">
        <v>630</v>
      </c>
      <c r="Q13" s="9">
        <f t="shared" si="1"/>
        <v>240.06224192904637</v>
      </c>
      <c r="R13" s="9">
        <v>630</v>
      </c>
      <c r="S13" s="9">
        <f t="shared" si="2"/>
        <v>240.06224192904637</v>
      </c>
      <c r="T13" s="9" t="s">
        <v>0</v>
      </c>
      <c r="U13" s="9" t="str">
        <f t="shared" si="3"/>
        <v>-</v>
      </c>
      <c r="V13" s="9">
        <v>756</v>
      </c>
      <c r="W13" s="9">
        <f t="shared" si="4"/>
        <v>288.07469031485567</v>
      </c>
      <c r="X13" s="9" t="s">
        <v>0</v>
      </c>
      <c r="Y13" s="9" t="str">
        <f t="shared" si="5"/>
        <v>-</v>
      </c>
      <c r="Z13" s="9" t="s">
        <v>0</v>
      </c>
      <c r="AA13" s="9" t="str">
        <f t="shared" si="6"/>
        <v>-</v>
      </c>
      <c r="AB13" s="9" t="s">
        <v>0</v>
      </c>
      <c r="AC13" s="9" t="str">
        <f t="shared" si="7"/>
        <v>-</v>
      </c>
      <c r="AD13" s="9" t="s">
        <v>0</v>
      </c>
      <c r="AE13" s="12" t="str">
        <f t="shared" si="8"/>
        <v>-</v>
      </c>
      <c r="AF13" s="29" t="s">
        <v>0</v>
      </c>
      <c r="AG13" s="29" t="s">
        <v>0</v>
      </c>
      <c r="AH13" s="8" t="s">
        <v>0</v>
      </c>
      <c r="AI13" s="29" t="s">
        <v>0</v>
      </c>
      <c r="AJ13" s="32" t="s">
        <v>0</v>
      </c>
      <c r="AK13" s="29" t="s">
        <v>0</v>
      </c>
      <c r="AL13" s="32" t="s">
        <v>0</v>
      </c>
      <c r="AM13" s="29" t="s">
        <v>0</v>
      </c>
      <c r="AN13" s="32" t="s">
        <v>0</v>
      </c>
      <c r="AO13" s="29" t="s">
        <v>0</v>
      </c>
      <c r="AP13" s="32" t="s">
        <v>0</v>
      </c>
      <c r="AQ13" s="32" t="s">
        <v>0</v>
      </c>
      <c r="AR13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13" s="9" t="str">
        <f t="shared" si="9"/>
        <v>-</v>
      </c>
      <c r="AT13" s="9">
        <f>IF(RIGHT(TWZ[[#This Row],[Device type]],7)="Winding","-",TWZ[[#This Row],[Cont Winter MVA]])</f>
        <v>240.06224192904637</v>
      </c>
      <c r="AU13" s="9">
        <f>IF(RIGHT(TWZ[[#This Row],[Device type]],7)="Winding","-",TWZ[[#This Row],[Cont Shoulder MVA]])</f>
        <v>240.06224192904637</v>
      </c>
      <c r="AV13" s="9">
        <f>IF(RIGHT(TWZ[[#This Row],[Device type]],7)="Winding","-",TWZ[[#This Row],[Cont Summer MVA]])</f>
        <v>240.06224192904637</v>
      </c>
      <c r="AW13" s="9" t="str">
        <f>TWZ[[#This Row],[24 Hr Winter MVA]]</f>
        <v>-</v>
      </c>
      <c r="AX13" s="9">
        <f>TWZ[[#This Row],[24 Hr Summer MVA]]</f>
        <v>288.07469031485567</v>
      </c>
      <c r="AY13" s="9" t="str">
        <f>TWZ[[#This Row],[Forwards MVA]]</f>
        <v>-</v>
      </c>
      <c r="AZ13" s="9" t="str">
        <f>TWZ[[#This Row],[Relay MVA]]</f>
        <v>-</v>
      </c>
      <c r="BA13" s="9" t="str">
        <f>TWZ[[#This Row],[CT MVA]]</f>
        <v>-</v>
      </c>
      <c r="BB13" s="9" t="str">
        <f>TWZ[[#This Row],[Derating MVA]]</f>
        <v>-</v>
      </c>
      <c r="BC13" s="9" t="str">
        <f>TWZ[[#This Row],[Station/Feeder]]&amp;TWZ[[#This Row],[Lowest MVA]]</f>
        <v>TWZ_GXP240.062241929046</v>
      </c>
      <c r="BD13" s="9" t="str">
        <f>CONCATENATE(TWZ[[#This Row],[Supply Level]],TWZ[[#This Row],[Station/Feeder]],TWZ[[#This Row],[Voltage]],TWZ[[#This Row],[Lowest A-No PTX]])</f>
        <v>GXPTWZ_GXP220630</v>
      </c>
      <c r="BE13" s="9" t="str">
        <f>CONCATENATE(TWZ[[#This Row],[Supply Level]],TWZ[[#This Row],[Station/Feeder]],TWZ[[#This Row],[Voltage]],TWZ[[#This Row],[Lowest A-PTX]])</f>
        <v>GXPTWZ_GXP220630</v>
      </c>
      <c r="BF13" s="9">
        <f>IFERROR(IF(MIN(TWZ[[#This Row],[Summ Cont Winter A]:[Cable Derating]])=0,"",MIN(TWZ[[#This Row],[Summ Cont Winter A]:[Cable Derating]])),"")</f>
        <v>240.06224192904637</v>
      </c>
      <c r="BG13" s="9">
        <f>IFERROR(TWZ[[#This Row],[Lowest MVA]]*1000/(TWZ[[#This Row],[Voltage]]*SQRT(3)),"")</f>
        <v>630</v>
      </c>
      <c r="BH13" s="9">
        <f t="shared" si="10"/>
        <v>630</v>
      </c>
      <c r="BI13" s="9" t="str">
        <f>TWZ[[#This Row],[From]]</f>
        <v>220 kV Bus</v>
      </c>
      <c r="BJ13" s="9" t="str">
        <f>TWZ[[#This Row],[To]]</f>
        <v>33 kV Bus</v>
      </c>
      <c r="BK13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Transformer-T18-Bushings</v>
      </c>
      <c r="BL13" s="9">
        <f>TWZ[[#This Row],[Voltage]]</f>
        <v>220</v>
      </c>
    </row>
    <row r="14" spans="1:64" s="1" customFormat="1" ht="15" customHeight="1" x14ac:dyDescent="0.25">
      <c r="A14" s="353" t="str">
        <f>CONCATENATE(TWZ[[#This Row],[Supply Level]],TWZ[[#This Row],[Station/Feeder]],TWZ[[#This Row],[Voltage]])</f>
        <v>GXPTWZ_GXP220</v>
      </c>
      <c r="B14" s="353" t="str">
        <f>CONCATENATE(TWZ[[#This Row],[Supply Level]],TWZ[[#This Row],[Station/Feeder]],TWZ[[#This Row],[Equipment ID]],TWZ[[#This Row],[Voltage]],TWZ[[#This Row],[Device type]])</f>
        <v>GXPTWZ_GXPT18220Bushings</v>
      </c>
      <c r="C14" s="6" t="s">
        <v>4</v>
      </c>
      <c r="D14" s="11" t="s">
        <v>78</v>
      </c>
      <c r="E14" s="6" t="s">
        <v>62</v>
      </c>
      <c r="F14" s="6" t="s">
        <v>63</v>
      </c>
      <c r="G14" s="27">
        <v>3</v>
      </c>
      <c r="H14" s="49" t="s">
        <v>271</v>
      </c>
      <c r="I14" s="7" t="s">
        <v>24</v>
      </c>
      <c r="J14" s="7" t="s">
        <v>19</v>
      </c>
      <c r="K14" s="7" t="s">
        <v>10</v>
      </c>
      <c r="L14" s="7" t="s">
        <v>18</v>
      </c>
      <c r="M14" s="43">
        <v>220</v>
      </c>
      <c r="N14" s="9">
        <v>630</v>
      </c>
      <c r="O14" s="9">
        <f t="shared" si="0"/>
        <v>240.06224192904637</v>
      </c>
      <c r="P14" s="9">
        <v>630</v>
      </c>
      <c r="Q14" s="9">
        <f t="shared" si="1"/>
        <v>240.06224192904637</v>
      </c>
      <c r="R14" s="9">
        <v>630</v>
      </c>
      <c r="S14" s="9">
        <f t="shared" si="2"/>
        <v>240.06224192904637</v>
      </c>
      <c r="T14" s="9" t="s">
        <v>0</v>
      </c>
      <c r="U14" s="9" t="str">
        <f t="shared" si="3"/>
        <v>-</v>
      </c>
      <c r="V14" s="9">
        <v>756</v>
      </c>
      <c r="W14" s="9">
        <f t="shared" si="4"/>
        <v>288.07469031485567</v>
      </c>
      <c r="X14" s="9" t="s">
        <v>0</v>
      </c>
      <c r="Y14" s="9" t="str">
        <f t="shared" si="5"/>
        <v>-</v>
      </c>
      <c r="Z14" s="9" t="s">
        <v>0</v>
      </c>
      <c r="AA14" s="9" t="str">
        <f t="shared" si="6"/>
        <v>-</v>
      </c>
      <c r="AB14" s="9" t="s">
        <v>0</v>
      </c>
      <c r="AC14" s="9" t="str">
        <f t="shared" si="7"/>
        <v>-</v>
      </c>
      <c r="AD14" s="9" t="s">
        <v>0</v>
      </c>
      <c r="AE14" s="12" t="str">
        <f t="shared" si="8"/>
        <v>-</v>
      </c>
      <c r="AF14" s="29" t="s">
        <v>0</v>
      </c>
      <c r="AG14" s="29" t="s">
        <v>0</v>
      </c>
      <c r="AH14" s="8" t="s">
        <v>0</v>
      </c>
      <c r="AI14" s="29" t="s">
        <v>0</v>
      </c>
      <c r="AJ14" s="32" t="s">
        <v>0</v>
      </c>
      <c r="AK14" s="29" t="s">
        <v>0</v>
      </c>
      <c r="AL14" s="32" t="s">
        <v>0</v>
      </c>
      <c r="AM14" s="29" t="s">
        <v>0</v>
      </c>
      <c r="AN14" s="32" t="s">
        <v>0</v>
      </c>
      <c r="AO14" s="29" t="s">
        <v>0</v>
      </c>
      <c r="AP14" s="32" t="s">
        <v>0</v>
      </c>
      <c r="AQ14" s="32" t="s">
        <v>0</v>
      </c>
      <c r="AR14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14" s="9" t="str">
        <f t="shared" si="9"/>
        <v>-</v>
      </c>
      <c r="AT14" s="9">
        <f>IF(RIGHT(TWZ[[#This Row],[Device type]],7)="Winding","-",TWZ[[#This Row],[Cont Winter MVA]])</f>
        <v>240.06224192904637</v>
      </c>
      <c r="AU14" s="9">
        <f>IF(RIGHT(TWZ[[#This Row],[Device type]],7)="Winding","-",TWZ[[#This Row],[Cont Shoulder MVA]])</f>
        <v>240.06224192904637</v>
      </c>
      <c r="AV14" s="9">
        <f>IF(RIGHT(TWZ[[#This Row],[Device type]],7)="Winding","-",TWZ[[#This Row],[Cont Summer MVA]])</f>
        <v>240.06224192904637</v>
      </c>
      <c r="AW14" s="9" t="str">
        <f>TWZ[[#This Row],[24 Hr Winter MVA]]</f>
        <v>-</v>
      </c>
      <c r="AX14" s="9">
        <f>TWZ[[#This Row],[24 Hr Summer MVA]]</f>
        <v>288.07469031485567</v>
      </c>
      <c r="AY14" s="9" t="str">
        <f>TWZ[[#This Row],[Forwards MVA]]</f>
        <v>-</v>
      </c>
      <c r="AZ14" s="9" t="str">
        <f>TWZ[[#This Row],[Relay MVA]]</f>
        <v>-</v>
      </c>
      <c r="BA14" s="9" t="str">
        <f>TWZ[[#This Row],[CT MVA]]</f>
        <v>-</v>
      </c>
      <c r="BB14" s="9" t="str">
        <f>TWZ[[#This Row],[Derating MVA]]</f>
        <v>-</v>
      </c>
      <c r="BC14" s="9" t="str">
        <f>TWZ[[#This Row],[Station/Feeder]]&amp;TWZ[[#This Row],[Lowest MVA]]</f>
        <v>TWZ_GXP240.062241929046</v>
      </c>
      <c r="BD14" s="9" t="str">
        <f>CONCATENATE(TWZ[[#This Row],[Supply Level]],TWZ[[#This Row],[Station/Feeder]],TWZ[[#This Row],[Voltage]],TWZ[[#This Row],[Lowest A-No PTX]])</f>
        <v>GXPTWZ_GXP220630</v>
      </c>
      <c r="BE14" s="9" t="str">
        <f>CONCATENATE(TWZ[[#This Row],[Supply Level]],TWZ[[#This Row],[Station/Feeder]],TWZ[[#This Row],[Voltage]],TWZ[[#This Row],[Lowest A-PTX]])</f>
        <v>GXPTWZ_GXP220630</v>
      </c>
      <c r="BF14" s="9">
        <f>IFERROR(IF(MIN(TWZ[[#This Row],[Summ Cont Winter A]:[Cable Derating]])=0,"",MIN(TWZ[[#This Row],[Summ Cont Winter A]:[Cable Derating]])),"")</f>
        <v>240.06224192904637</v>
      </c>
      <c r="BG14" s="9">
        <f>IFERROR(TWZ[[#This Row],[Lowest MVA]]*1000/(TWZ[[#This Row],[Voltage]]*SQRT(3)),"")</f>
        <v>630</v>
      </c>
      <c r="BH14" s="9">
        <f t="shared" si="10"/>
        <v>630</v>
      </c>
      <c r="BI14" s="9" t="str">
        <f>TWZ[[#This Row],[From]]</f>
        <v>220 kV Bus</v>
      </c>
      <c r="BJ14" s="9" t="str">
        <f>TWZ[[#This Row],[To]]</f>
        <v>33 kV Bus</v>
      </c>
      <c r="BK14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Transformer-T18-Bushings</v>
      </c>
      <c r="BL14" s="9">
        <f>TWZ[[#This Row],[Voltage]]</f>
        <v>220</v>
      </c>
    </row>
    <row r="15" spans="1:64" s="1" customFormat="1" ht="15" customHeight="1" x14ac:dyDescent="0.25">
      <c r="A15" s="353" t="str">
        <f>CONCATENATE(TWZ[[#This Row],[Supply Level]],TWZ[[#This Row],[Station/Feeder]],TWZ[[#This Row],[Voltage]])</f>
        <v>GXPTWZ_GXP33</v>
      </c>
      <c r="B15" s="353" t="str">
        <f>CONCATENATE(TWZ[[#This Row],[Supply Level]],TWZ[[#This Row],[Station/Feeder]],TWZ[[#This Row],[Equipment ID]],TWZ[[#This Row],[Voltage]],TWZ[[#This Row],[Device type]])</f>
        <v>GXPTWZ_GXPT1833Bushings</v>
      </c>
      <c r="C15" s="6" t="s">
        <v>4</v>
      </c>
      <c r="D15" s="11" t="s">
        <v>78</v>
      </c>
      <c r="E15" s="6" t="s">
        <v>62</v>
      </c>
      <c r="F15" s="6" t="s">
        <v>63</v>
      </c>
      <c r="G15" s="27">
        <v>3</v>
      </c>
      <c r="H15" s="49" t="s">
        <v>271</v>
      </c>
      <c r="I15" s="7" t="s">
        <v>24</v>
      </c>
      <c r="J15" s="7" t="s">
        <v>19</v>
      </c>
      <c r="K15" s="7" t="s">
        <v>10</v>
      </c>
      <c r="L15" s="7" t="s">
        <v>18</v>
      </c>
      <c r="M15" s="43">
        <v>33</v>
      </c>
      <c r="N15" s="9">
        <v>800</v>
      </c>
      <c r="O15" s="9">
        <f t="shared" si="0"/>
        <v>45.72614131981836</v>
      </c>
      <c r="P15" s="9">
        <v>800</v>
      </c>
      <c r="Q15" s="9">
        <f t="shared" si="1"/>
        <v>45.72614131981836</v>
      </c>
      <c r="R15" s="9">
        <v>800</v>
      </c>
      <c r="S15" s="9">
        <f t="shared" si="2"/>
        <v>45.72614131981836</v>
      </c>
      <c r="T15" s="9" t="s">
        <v>0</v>
      </c>
      <c r="U15" s="9" t="str">
        <f t="shared" si="3"/>
        <v>-</v>
      </c>
      <c r="V15" s="9">
        <v>960</v>
      </c>
      <c r="W15" s="9">
        <f t="shared" si="4"/>
        <v>54.871369583782027</v>
      </c>
      <c r="X15" s="9" t="s">
        <v>0</v>
      </c>
      <c r="Y15" s="9" t="str">
        <f t="shared" si="5"/>
        <v>-</v>
      </c>
      <c r="Z15" s="9" t="s">
        <v>0</v>
      </c>
      <c r="AA15" s="9" t="str">
        <f t="shared" si="6"/>
        <v>-</v>
      </c>
      <c r="AB15" s="9" t="s">
        <v>0</v>
      </c>
      <c r="AC15" s="9" t="str">
        <f t="shared" si="7"/>
        <v>-</v>
      </c>
      <c r="AD15" s="9" t="s">
        <v>0</v>
      </c>
      <c r="AE15" s="12" t="str">
        <f t="shared" si="8"/>
        <v>-</v>
      </c>
      <c r="AF15" s="29" t="s">
        <v>0</v>
      </c>
      <c r="AG15" s="29" t="s">
        <v>0</v>
      </c>
      <c r="AH15" s="8" t="s">
        <v>0</v>
      </c>
      <c r="AI15" s="29" t="s">
        <v>0</v>
      </c>
      <c r="AJ15" s="32" t="s">
        <v>0</v>
      </c>
      <c r="AK15" s="29" t="s">
        <v>0</v>
      </c>
      <c r="AL15" s="32" t="s">
        <v>0</v>
      </c>
      <c r="AM15" s="29" t="s">
        <v>0</v>
      </c>
      <c r="AN15" s="32" t="s">
        <v>0</v>
      </c>
      <c r="AO15" s="29" t="s">
        <v>0</v>
      </c>
      <c r="AP15" s="32" t="s">
        <v>0</v>
      </c>
      <c r="AQ15" s="32" t="s">
        <v>0</v>
      </c>
      <c r="AR15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15" s="9" t="str">
        <f t="shared" si="9"/>
        <v>-</v>
      </c>
      <c r="AT15" s="9">
        <f>IF(RIGHT(TWZ[[#This Row],[Device type]],7)="Winding","-",TWZ[[#This Row],[Cont Winter MVA]])</f>
        <v>45.72614131981836</v>
      </c>
      <c r="AU15" s="9">
        <f>IF(RIGHT(TWZ[[#This Row],[Device type]],7)="Winding","-",TWZ[[#This Row],[Cont Shoulder MVA]])</f>
        <v>45.72614131981836</v>
      </c>
      <c r="AV15" s="9">
        <f>IF(RIGHT(TWZ[[#This Row],[Device type]],7)="Winding","-",TWZ[[#This Row],[Cont Summer MVA]])</f>
        <v>45.72614131981836</v>
      </c>
      <c r="AW15" s="9" t="str">
        <f>TWZ[[#This Row],[24 Hr Winter MVA]]</f>
        <v>-</v>
      </c>
      <c r="AX15" s="9">
        <f>TWZ[[#This Row],[24 Hr Summer MVA]]</f>
        <v>54.871369583782027</v>
      </c>
      <c r="AY15" s="9" t="str">
        <f>TWZ[[#This Row],[Forwards MVA]]</f>
        <v>-</v>
      </c>
      <c r="AZ15" s="9" t="str">
        <f>TWZ[[#This Row],[Relay MVA]]</f>
        <v>-</v>
      </c>
      <c r="BA15" s="9" t="str">
        <f>TWZ[[#This Row],[CT MVA]]</f>
        <v>-</v>
      </c>
      <c r="BB15" s="9" t="str">
        <f>TWZ[[#This Row],[Derating MVA]]</f>
        <v>-</v>
      </c>
      <c r="BC15" s="9" t="str">
        <f>TWZ[[#This Row],[Station/Feeder]]&amp;TWZ[[#This Row],[Lowest MVA]]</f>
        <v>TWZ_GXP45.7261413198184</v>
      </c>
      <c r="BD15" s="9" t="str">
        <f>CONCATENATE(TWZ[[#This Row],[Supply Level]],TWZ[[#This Row],[Station/Feeder]],TWZ[[#This Row],[Voltage]],TWZ[[#This Row],[Lowest A-No PTX]])</f>
        <v>GXPTWZ_GXP33800</v>
      </c>
      <c r="BE15" s="9" t="str">
        <f>CONCATENATE(TWZ[[#This Row],[Supply Level]],TWZ[[#This Row],[Station/Feeder]],TWZ[[#This Row],[Voltage]],TWZ[[#This Row],[Lowest A-PTX]])</f>
        <v>GXPTWZ_GXP33800</v>
      </c>
      <c r="BF15" s="9">
        <f>IFERROR(IF(MIN(TWZ[[#This Row],[Summ Cont Winter A]:[Cable Derating]])=0,"",MIN(TWZ[[#This Row],[Summ Cont Winter A]:[Cable Derating]])),"")</f>
        <v>45.72614131981836</v>
      </c>
      <c r="BG15" s="9">
        <f>IFERROR(TWZ[[#This Row],[Lowest MVA]]*1000/(TWZ[[#This Row],[Voltage]]*SQRT(3)),"")</f>
        <v>800</v>
      </c>
      <c r="BH15" s="9">
        <f t="shared" si="10"/>
        <v>800</v>
      </c>
      <c r="BI15" s="9" t="str">
        <f>TWZ[[#This Row],[From]]</f>
        <v>220 kV Bus</v>
      </c>
      <c r="BJ15" s="9" t="str">
        <f>TWZ[[#This Row],[To]]</f>
        <v>33 kV Bus</v>
      </c>
      <c r="BK15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Transformer-T18-Bushings</v>
      </c>
      <c r="BL15" s="9">
        <f>TWZ[[#This Row],[Voltage]]</f>
        <v>33</v>
      </c>
    </row>
    <row r="16" spans="1:64" s="1" customFormat="1" ht="15" customHeight="1" x14ac:dyDescent="0.25">
      <c r="A16" s="353" t="str">
        <f>CONCATENATE(TWZ[[#This Row],[Supply Level]],TWZ[[#This Row],[Station/Feeder]],TWZ[[#This Row],[Voltage]])</f>
        <v>GXPTWZ_GXP33</v>
      </c>
      <c r="B16" s="353" t="str">
        <f>CONCATENATE(TWZ[[#This Row],[Supply Level]],TWZ[[#This Row],[Station/Feeder]],TWZ[[#This Row],[Equipment ID]],TWZ[[#This Row],[Voltage]],TWZ[[#This Row],[Device type]])</f>
        <v>GXPTWZ_GXPT1833Bushings</v>
      </c>
      <c r="C16" s="6" t="s">
        <v>4</v>
      </c>
      <c r="D16" s="11" t="s">
        <v>78</v>
      </c>
      <c r="E16" s="6" t="s">
        <v>62</v>
      </c>
      <c r="F16" s="6" t="s">
        <v>63</v>
      </c>
      <c r="G16" s="27">
        <v>3</v>
      </c>
      <c r="H16" s="49" t="s">
        <v>271</v>
      </c>
      <c r="I16" s="7" t="s">
        <v>24</v>
      </c>
      <c r="J16" s="7" t="s">
        <v>19</v>
      </c>
      <c r="K16" s="7" t="s">
        <v>10</v>
      </c>
      <c r="L16" s="7" t="s">
        <v>18</v>
      </c>
      <c r="M16" s="43">
        <v>33</v>
      </c>
      <c r="N16" s="9">
        <v>800</v>
      </c>
      <c r="O16" s="9">
        <f t="shared" si="0"/>
        <v>45.72614131981836</v>
      </c>
      <c r="P16" s="9">
        <v>800</v>
      </c>
      <c r="Q16" s="9">
        <f t="shared" si="1"/>
        <v>45.72614131981836</v>
      </c>
      <c r="R16" s="9">
        <v>800</v>
      </c>
      <c r="S16" s="9">
        <f t="shared" si="2"/>
        <v>45.72614131981836</v>
      </c>
      <c r="T16" s="9" t="s">
        <v>0</v>
      </c>
      <c r="U16" s="9" t="str">
        <f t="shared" si="3"/>
        <v>-</v>
      </c>
      <c r="V16" s="9">
        <v>960</v>
      </c>
      <c r="W16" s="9">
        <f t="shared" si="4"/>
        <v>54.871369583782027</v>
      </c>
      <c r="X16" s="9" t="s">
        <v>0</v>
      </c>
      <c r="Y16" s="9" t="str">
        <f t="shared" si="5"/>
        <v>-</v>
      </c>
      <c r="Z16" s="9" t="s">
        <v>0</v>
      </c>
      <c r="AA16" s="9" t="str">
        <f t="shared" si="6"/>
        <v>-</v>
      </c>
      <c r="AB16" s="9" t="s">
        <v>0</v>
      </c>
      <c r="AC16" s="9" t="str">
        <f t="shared" si="7"/>
        <v>-</v>
      </c>
      <c r="AD16" s="9" t="s">
        <v>0</v>
      </c>
      <c r="AE16" s="12" t="str">
        <f t="shared" si="8"/>
        <v>-</v>
      </c>
      <c r="AF16" s="29" t="s">
        <v>0</v>
      </c>
      <c r="AG16" s="29" t="s">
        <v>0</v>
      </c>
      <c r="AH16" s="8" t="s">
        <v>0</v>
      </c>
      <c r="AI16" s="29" t="s">
        <v>0</v>
      </c>
      <c r="AJ16" s="32" t="s">
        <v>0</v>
      </c>
      <c r="AK16" s="29" t="s">
        <v>0</v>
      </c>
      <c r="AL16" s="32" t="s">
        <v>0</v>
      </c>
      <c r="AM16" s="29" t="s">
        <v>0</v>
      </c>
      <c r="AN16" s="32" t="s">
        <v>0</v>
      </c>
      <c r="AO16" s="29" t="s">
        <v>0</v>
      </c>
      <c r="AP16" s="32" t="s">
        <v>0</v>
      </c>
      <c r="AQ16" s="32" t="s">
        <v>0</v>
      </c>
      <c r="AR16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16" s="9" t="str">
        <f t="shared" si="9"/>
        <v>-</v>
      </c>
      <c r="AT16" s="9">
        <f>IF(RIGHT(TWZ[[#This Row],[Device type]],7)="Winding","-",TWZ[[#This Row],[Cont Winter MVA]])</f>
        <v>45.72614131981836</v>
      </c>
      <c r="AU16" s="9">
        <f>IF(RIGHT(TWZ[[#This Row],[Device type]],7)="Winding","-",TWZ[[#This Row],[Cont Shoulder MVA]])</f>
        <v>45.72614131981836</v>
      </c>
      <c r="AV16" s="9">
        <f>IF(RIGHT(TWZ[[#This Row],[Device type]],7)="Winding","-",TWZ[[#This Row],[Cont Summer MVA]])</f>
        <v>45.72614131981836</v>
      </c>
      <c r="AW16" s="9" t="str">
        <f>TWZ[[#This Row],[24 Hr Winter MVA]]</f>
        <v>-</v>
      </c>
      <c r="AX16" s="9">
        <f>TWZ[[#This Row],[24 Hr Summer MVA]]</f>
        <v>54.871369583782027</v>
      </c>
      <c r="AY16" s="9" t="str">
        <f>TWZ[[#This Row],[Forwards MVA]]</f>
        <v>-</v>
      </c>
      <c r="AZ16" s="9" t="str">
        <f>TWZ[[#This Row],[Relay MVA]]</f>
        <v>-</v>
      </c>
      <c r="BA16" s="9" t="str">
        <f>TWZ[[#This Row],[CT MVA]]</f>
        <v>-</v>
      </c>
      <c r="BB16" s="9" t="str">
        <f>TWZ[[#This Row],[Derating MVA]]</f>
        <v>-</v>
      </c>
      <c r="BC16" s="9" t="str">
        <f>TWZ[[#This Row],[Station/Feeder]]&amp;TWZ[[#This Row],[Lowest MVA]]</f>
        <v>TWZ_GXP45.7261413198184</v>
      </c>
      <c r="BD16" s="9" t="str">
        <f>CONCATENATE(TWZ[[#This Row],[Supply Level]],TWZ[[#This Row],[Station/Feeder]],TWZ[[#This Row],[Voltage]],TWZ[[#This Row],[Lowest A-No PTX]])</f>
        <v>GXPTWZ_GXP33800</v>
      </c>
      <c r="BE16" s="9" t="str">
        <f>CONCATENATE(TWZ[[#This Row],[Supply Level]],TWZ[[#This Row],[Station/Feeder]],TWZ[[#This Row],[Voltage]],TWZ[[#This Row],[Lowest A-PTX]])</f>
        <v>GXPTWZ_GXP33800</v>
      </c>
      <c r="BF16" s="9">
        <f>IFERROR(IF(MIN(TWZ[[#This Row],[Summ Cont Winter A]:[Cable Derating]])=0,"",MIN(TWZ[[#This Row],[Summ Cont Winter A]:[Cable Derating]])),"")</f>
        <v>45.72614131981836</v>
      </c>
      <c r="BG16" s="9">
        <f>IFERROR(TWZ[[#This Row],[Lowest MVA]]*1000/(TWZ[[#This Row],[Voltage]]*SQRT(3)),"")</f>
        <v>800</v>
      </c>
      <c r="BH16" s="9">
        <f t="shared" si="10"/>
        <v>800</v>
      </c>
      <c r="BI16" s="9" t="str">
        <f>TWZ[[#This Row],[From]]</f>
        <v>220 kV Bus</v>
      </c>
      <c r="BJ16" s="9" t="str">
        <f>TWZ[[#This Row],[To]]</f>
        <v>33 kV Bus</v>
      </c>
      <c r="BK16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Transformer-T18-Bushings</v>
      </c>
      <c r="BL16" s="9">
        <f>TWZ[[#This Row],[Voltage]]</f>
        <v>33</v>
      </c>
    </row>
    <row r="17" spans="1:64" s="1" customFormat="1" ht="15" customHeight="1" x14ac:dyDescent="0.25">
      <c r="A17" s="353" t="str">
        <f>CONCATENATE(TWZ[[#This Row],[Supply Level]],TWZ[[#This Row],[Station/Feeder]],TWZ[[#This Row],[Voltage]])</f>
        <v>GXPTWZ_GXP33</v>
      </c>
      <c r="B17" s="353" t="str">
        <f>CONCATENATE(TWZ[[#This Row],[Supply Level]],TWZ[[#This Row],[Station/Feeder]],TWZ[[#This Row],[Equipment ID]],TWZ[[#This Row],[Voltage]],TWZ[[#This Row],[Device type]])</f>
        <v>GXPTWZ_GXPT1833Bushings</v>
      </c>
      <c r="C17" s="6" t="s">
        <v>4</v>
      </c>
      <c r="D17" s="11" t="s">
        <v>78</v>
      </c>
      <c r="E17" s="6" t="s">
        <v>62</v>
      </c>
      <c r="F17" s="6" t="s">
        <v>63</v>
      </c>
      <c r="G17" s="27">
        <v>3</v>
      </c>
      <c r="H17" s="49" t="s">
        <v>271</v>
      </c>
      <c r="I17" s="7" t="s">
        <v>24</v>
      </c>
      <c r="J17" s="7" t="s">
        <v>19</v>
      </c>
      <c r="K17" s="7" t="s">
        <v>10</v>
      </c>
      <c r="L17" s="7" t="s">
        <v>18</v>
      </c>
      <c r="M17" s="43">
        <v>33</v>
      </c>
      <c r="N17" s="9">
        <v>800</v>
      </c>
      <c r="O17" s="9">
        <f t="shared" si="0"/>
        <v>45.72614131981836</v>
      </c>
      <c r="P17" s="9">
        <v>800</v>
      </c>
      <c r="Q17" s="9">
        <f t="shared" si="1"/>
        <v>45.72614131981836</v>
      </c>
      <c r="R17" s="9">
        <v>800</v>
      </c>
      <c r="S17" s="9">
        <f t="shared" si="2"/>
        <v>45.72614131981836</v>
      </c>
      <c r="T17" s="9" t="s">
        <v>0</v>
      </c>
      <c r="U17" s="9" t="str">
        <f t="shared" si="3"/>
        <v>-</v>
      </c>
      <c r="V17" s="9">
        <v>960</v>
      </c>
      <c r="W17" s="9">
        <f t="shared" si="4"/>
        <v>54.871369583782027</v>
      </c>
      <c r="X17" s="9" t="s">
        <v>0</v>
      </c>
      <c r="Y17" s="9" t="str">
        <f t="shared" si="5"/>
        <v>-</v>
      </c>
      <c r="Z17" s="9" t="s">
        <v>0</v>
      </c>
      <c r="AA17" s="9" t="str">
        <f t="shared" si="6"/>
        <v>-</v>
      </c>
      <c r="AB17" s="9" t="s">
        <v>0</v>
      </c>
      <c r="AC17" s="9" t="str">
        <f t="shared" si="7"/>
        <v>-</v>
      </c>
      <c r="AD17" s="9" t="s">
        <v>0</v>
      </c>
      <c r="AE17" s="12" t="str">
        <f t="shared" si="8"/>
        <v>-</v>
      </c>
      <c r="AF17" s="29" t="s">
        <v>0</v>
      </c>
      <c r="AG17" s="29" t="s">
        <v>0</v>
      </c>
      <c r="AH17" s="8" t="s">
        <v>0</v>
      </c>
      <c r="AI17" s="29" t="s">
        <v>0</v>
      </c>
      <c r="AJ17" s="32" t="s">
        <v>0</v>
      </c>
      <c r="AK17" s="29" t="s">
        <v>0</v>
      </c>
      <c r="AL17" s="32" t="s">
        <v>0</v>
      </c>
      <c r="AM17" s="29" t="s">
        <v>0</v>
      </c>
      <c r="AN17" s="32" t="s">
        <v>0</v>
      </c>
      <c r="AO17" s="29" t="s">
        <v>0</v>
      </c>
      <c r="AP17" s="32" t="s">
        <v>0</v>
      </c>
      <c r="AQ17" s="32" t="s">
        <v>0</v>
      </c>
      <c r="AR17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17" s="9" t="str">
        <f t="shared" si="9"/>
        <v>-</v>
      </c>
      <c r="AT17" s="9">
        <f>IF(RIGHT(TWZ[[#This Row],[Device type]],7)="Winding","-",TWZ[[#This Row],[Cont Winter MVA]])</f>
        <v>45.72614131981836</v>
      </c>
      <c r="AU17" s="9">
        <f>IF(RIGHT(TWZ[[#This Row],[Device type]],7)="Winding","-",TWZ[[#This Row],[Cont Shoulder MVA]])</f>
        <v>45.72614131981836</v>
      </c>
      <c r="AV17" s="9">
        <f>IF(RIGHT(TWZ[[#This Row],[Device type]],7)="Winding","-",TWZ[[#This Row],[Cont Summer MVA]])</f>
        <v>45.72614131981836</v>
      </c>
      <c r="AW17" s="9" t="str">
        <f>TWZ[[#This Row],[24 Hr Winter MVA]]</f>
        <v>-</v>
      </c>
      <c r="AX17" s="9">
        <f>TWZ[[#This Row],[24 Hr Summer MVA]]</f>
        <v>54.871369583782027</v>
      </c>
      <c r="AY17" s="9" t="str">
        <f>TWZ[[#This Row],[Forwards MVA]]</f>
        <v>-</v>
      </c>
      <c r="AZ17" s="9" t="str">
        <f>TWZ[[#This Row],[Relay MVA]]</f>
        <v>-</v>
      </c>
      <c r="BA17" s="9" t="str">
        <f>TWZ[[#This Row],[CT MVA]]</f>
        <v>-</v>
      </c>
      <c r="BB17" s="9" t="str">
        <f>TWZ[[#This Row],[Derating MVA]]</f>
        <v>-</v>
      </c>
      <c r="BC17" s="9" t="str">
        <f>TWZ[[#This Row],[Station/Feeder]]&amp;TWZ[[#This Row],[Lowest MVA]]</f>
        <v>TWZ_GXP45.7261413198184</v>
      </c>
      <c r="BD17" s="9" t="str">
        <f>CONCATENATE(TWZ[[#This Row],[Supply Level]],TWZ[[#This Row],[Station/Feeder]],TWZ[[#This Row],[Voltage]],TWZ[[#This Row],[Lowest A-No PTX]])</f>
        <v>GXPTWZ_GXP33800</v>
      </c>
      <c r="BE17" s="9" t="str">
        <f>CONCATENATE(TWZ[[#This Row],[Supply Level]],TWZ[[#This Row],[Station/Feeder]],TWZ[[#This Row],[Voltage]],TWZ[[#This Row],[Lowest A-PTX]])</f>
        <v>GXPTWZ_GXP33800</v>
      </c>
      <c r="BF17" s="9">
        <f>IFERROR(IF(MIN(TWZ[[#This Row],[Summ Cont Winter A]:[Cable Derating]])=0,"",MIN(TWZ[[#This Row],[Summ Cont Winter A]:[Cable Derating]])),"")</f>
        <v>45.72614131981836</v>
      </c>
      <c r="BG17" s="9">
        <f>IFERROR(TWZ[[#This Row],[Lowest MVA]]*1000/(TWZ[[#This Row],[Voltage]]*SQRT(3)),"")</f>
        <v>800</v>
      </c>
      <c r="BH17" s="9">
        <f t="shared" si="10"/>
        <v>800</v>
      </c>
      <c r="BI17" s="9" t="str">
        <f>TWZ[[#This Row],[From]]</f>
        <v>220 kV Bus</v>
      </c>
      <c r="BJ17" s="9" t="str">
        <f>TWZ[[#This Row],[To]]</f>
        <v>33 kV Bus</v>
      </c>
      <c r="BK17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Transformer-T18-Bushings</v>
      </c>
      <c r="BL17" s="9">
        <f>TWZ[[#This Row],[Voltage]]</f>
        <v>33</v>
      </c>
    </row>
    <row r="18" spans="1:64" s="1" customFormat="1" ht="15" customHeight="1" x14ac:dyDescent="0.25">
      <c r="A18" s="353" t="str">
        <f>CONCATENATE(TWZ[[#This Row],[Supply Level]],TWZ[[#This Row],[Station/Feeder]],TWZ[[#This Row],[Voltage]])</f>
        <v>GXPTWZ_GXP33</v>
      </c>
      <c r="B18" s="353" t="str">
        <f>CONCATENATE(TWZ[[#This Row],[Supply Level]],TWZ[[#This Row],[Station/Feeder]],TWZ[[#This Row],[Equipment ID]],TWZ[[#This Row],[Voltage]],TWZ[[#This Row],[Device type]])</f>
        <v>GXPTWZ_GXPT1833Bushings</v>
      </c>
      <c r="C18" s="6" t="s">
        <v>4</v>
      </c>
      <c r="D18" s="11" t="s">
        <v>78</v>
      </c>
      <c r="E18" s="6" t="s">
        <v>62</v>
      </c>
      <c r="F18" s="6" t="s">
        <v>63</v>
      </c>
      <c r="G18" s="27">
        <v>3</v>
      </c>
      <c r="H18" s="49" t="s">
        <v>271</v>
      </c>
      <c r="I18" s="7" t="s">
        <v>24</v>
      </c>
      <c r="J18" s="7" t="s">
        <v>19</v>
      </c>
      <c r="K18" s="7" t="s">
        <v>10</v>
      </c>
      <c r="L18" s="7" t="s">
        <v>18</v>
      </c>
      <c r="M18" s="43">
        <v>33</v>
      </c>
      <c r="N18" s="9">
        <v>800</v>
      </c>
      <c r="O18" s="9">
        <f t="shared" si="0"/>
        <v>45.72614131981836</v>
      </c>
      <c r="P18" s="9">
        <v>800</v>
      </c>
      <c r="Q18" s="9">
        <f t="shared" si="1"/>
        <v>45.72614131981836</v>
      </c>
      <c r="R18" s="9">
        <v>800</v>
      </c>
      <c r="S18" s="9">
        <f t="shared" si="2"/>
        <v>45.72614131981836</v>
      </c>
      <c r="T18" s="9" t="s">
        <v>0</v>
      </c>
      <c r="U18" s="9" t="str">
        <f t="shared" si="3"/>
        <v>-</v>
      </c>
      <c r="V18" s="9">
        <v>960</v>
      </c>
      <c r="W18" s="9">
        <f t="shared" si="4"/>
        <v>54.871369583782027</v>
      </c>
      <c r="X18" s="9" t="s">
        <v>0</v>
      </c>
      <c r="Y18" s="9" t="str">
        <f t="shared" si="5"/>
        <v>-</v>
      </c>
      <c r="Z18" s="9" t="s">
        <v>0</v>
      </c>
      <c r="AA18" s="9" t="str">
        <f t="shared" si="6"/>
        <v>-</v>
      </c>
      <c r="AB18" s="9" t="s">
        <v>0</v>
      </c>
      <c r="AC18" s="9" t="str">
        <f t="shared" si="7"/>
        <v>-</v>
      </c>
      <c r="AD18" s="9" t="s">
        <v>0</v>
      </c>
      <c r="AE18" s="12" t="str">
        <f t="shared" si="8"/>
        <v>-</v>
      </c>
      <c r="AF18" s="29" t="s">
        <v>0</v>
      </c>
      <c r="AG18" s="29" t="s">
        <v>0</v>
      </c>
      <c r="AH18" s="8" t="s">
        <v>0</v>
      </c>
      <c r="AI18" s="29" t="s">
        <v>0</v>
      </c>
      <c r="AJ18" s="32" t="s">
        <v>0</v>
      </c>
      <c r="AK18" s="29" t="s">
        <v>0</v>
      </c>
      <c r="AL18" s="32" t="s">
        <v>0</v>
      </c>
      <c r="AM18" s="29" t="s">
        <v>0</v>
      </c>
      <c r="AN18" s="32" t="s">
        <v>0</v>
      </c>
      <c r="AO18" s="29" t="s">
        <v>0</v>
      </c>
      <c r="AP18" s="32" t="s">
        <v>0</v>
      </c>
      <c r="AQ18" s="32" t="s">
        <v>0</v>
      </c>
      <c r="AR18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18" s="9" t="str">
        <f t="shared" si="9"/>
        <v>-</v>
      </c>
      <c r="AT18" s="9">
        <f>IF(RIGHT(TWZ[[#This Row],[Device type]],7)="Winding","-",TWZ[[#This Row],[Cont Winter MVA]])</f>
        <v>45.72614131981836</v>
      </c>
      <c r="AU18" s="9">
        <f>IF(RIGHT(TWZ[[#This Row],[Device type]],7)="Winding","-",TWZ[[#This Row],[Cont Shoulder MVA]])</f>
        <v>45.72614131981836</v>
      </c>
      <c r="AV18" s="9">
        <f>IF(RIGHT(TWZ[[#This Row],[Device type]],7)="Winding","-",TWZ[[#This Row],[Cont Summer MVA]])</f>
        <v>45.72614131981836</v>
      </c>
      <c r="AW18" s="9" t="str">
        <f>TWZ[[#This Row],[24 Hr Winter MVA]]</f>
        <v>-</v>
      </c>
      <c r="AX18" s="9">
        <f>TWZ[[#This Row],[24 Hr Summer MVA]]</f>
        <v>54.871369583782027</v>
      </c>
      <c r="AY18" s="9" t="str">
        <f>TWZ[[#This Row],[Forwards MVA]]</f>
        <v>-</v>
      </c>
      <c r="AZ18" s="9" t="str">
        <f>TWZ[[#This Row],[Relay MVA]]</f>
        <v>-</v>
      </c>
      <c r="BA18" s="9" t="str">
        <f>TWZ[[#This Row],[CT MVA]]</f>
        <v>-</v>
      </c>
      <c r="BB18" s="9" t="str">
        <f>TWZ[[#This Row],[Derating MVA]]</f>
        <v>-</v>
      </c>
      <c r="BC18" s="9" t="str">
        <f>TWZ[[#This Row],[Station/Feeder]]&amp;TWZ[[#This Row],[Lowest MVA]]</f>
        <v>TWZ_GXP45.7261413198184</v>
      </c>
      <c r="BD18" s="9" t="str">
        <f>CONCATENATE(TWZ[[#This Row],[Supply Level]],TWZ[[#This Row],[Station/Feeder]],TWZ[[#This Row],[Voltage]],TWZ[[#This Row],[Lowest A-No PTX]])</f>
        <v>GXPTWZ_GXP33800</v>
      </c>
      <c r="BE18" s="9" t="str">
        <f>CONCATENATE(TWZ[[#This Row],[Supply Level]],TWZ[[#This Row],[Station/Feeder]],TWZ[[#This Row],[Voltage]],TWZ[[#This Row],[Lowest A-PTX]])</f>
        <v>GXPTWZ_GXP33800</v>
      </c>
      <c r="BF18" s="9">
        <f>IFERROR(IF(MIN(TWZ[[#This Row],[Summ Cont Winter A]:[Cable Derating]])=0,"",MIN(TWZ[[#This Row],[Summ Cont Winter A]:[Cable Derating]])),"")</f>
        <v>45.72614131981836</v>
      </c>
      <c r="BG18" s="9">
        <f>IFERROR(TWZ[[#This Row],[Lowest MVA]]*1000/(TWZ[[#This Row],[Voltage]]*SQRT(3)),"")</f>
        <v>800</v>
      </c>
      <c r="BH18" s="9">
        <f t="shared" si="10"/>
        <v>800</v>
      </c>
      <c r="BI18" s="9" t="str">
        <f>TWZ[[#This Row],[From]]</f>
        <v>220 kV Bus</v>
      </c>
      <c r="BJ18" s="9" t="str">
        <f>TWZ[[#This Row],[To]]</f>
        <v>33 kV Bus</v>
      </c>
      <c r="BK18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Transformer-T18-Bushings</v>
      </c>
      <c r="BL18" s="9">
        <f>TWZ[[#This Row],[Voltage]]</f>
        <v>33</v>
      </c>
    </row>
    <row r="19" spans="1:64" s="1" customFormat="1" ht="15" customHeight="1" x14ac:dyDescent="0.25">
      <c r="A19" s="353" t="str">
        <f>CONCATENATE(TWZ[[#This Row],[Supply Level]],TWZ[[#This Row],[Station/Feeder]],TWZ[[#This Row],[Voltage]])</f>
        <v>GXPTWZ_GXP220</v>
      </c>
      <c r="B19" s="353" t="str">
        <f>CONCATENATE(TWZ[[#This Row],[Supply Level]],TWZ[[#This Row],[Station/Feeder]],TWZ[[#This Row],[Equipment ID]],TWZ[[#This Row],[Voltage]],TWZ[[#This Row],[Device type]])</f>
        <v>GXPTWZ_GXPT18220HV Winding</v>
      </c>
      <c r="C19" s="6" t="s">
        <v>4</v>
      </c>
      <c r="D19" s="11" t="s">
        <v>78</v>
      </c>
      <c r="E19" s="6" t="s">
        <v>62</v>
      </c>
      <c r="F19" s="6" t="s">
        <v>63</v>
      </c>
      <c r="G19" s="27">
        <v>3</v>
      </c>
      <c r="H19" s="49" t="s">
        <v>271</v>
      </c>
      <c r="I19" s="7" t="s">
        <v>24</v>
      </c>
      <c r="J19" s="7" t="s">
        <v>19</v>
      </c>
      <c r="K19" s="7" t="s">
        <v>10</v>
      </c>
      <c r="L19" s="7" t="s">
        <v>36</v>
      </c>
      <c r="M19" s="43">
        <v>220</v>
      </c>
      <c r="N19" s="9">
        <v>52</v>
      </c>
      <c r="O19" s="9">
        <f t="shared" si="0"/>
        <v>19.814661238587956</v>
      </c>
      <c r="P19" s="9">
        <v>52</v>
      </c>
      <c r="Q19" s="9">
        <f t="shared" si="1"/>
        <v>19.814661238587956</v>
      </c>
      <c r="R19" s="9">
        <v>52</v>
      </c>
      <c r="S19" s="9">
        <f t="shared" si="2"/>
        <v>19.814661238587956</v>
      </c>
      <c r="T19" s="9">
        <v>72</v>
      </c>
      <c r="U19" s="9">
        <f t="shared" si="3"/>
        <v>27.435684791891013</v>
      </c>
      <c r="V19" s="9">
        <v>68</v>
      </c>
      <c r="W19" s="9">
        <f t="shared" si="4"/>
        <v>25.911480081230401</v>
      </c>
      <c r="X19" s="9" t="s">
        <v>0</v>
      </c>
      <c r="Y19" s="9" t="str">
        <f t="shared" si="5"/>
        <v>-</v>
      </c>
      <c r="Z19" s="9" t="s">
        <v>0</v>
      </c>
      <c r="AA19" s="9" t="str">
        <f t="shared" si="6"/>
        <v>-</v>
      </c>
      <c r="AB19" s="9" t="s">
        <v>0</v>
      </c>
      <c r="AC19" s="9" t="str">
        <f t="shared" si="7"/>
        <v>-</v>
      </c>
      <c r="AD19" s="9" t="s">
        <v>0</v>
      </c>
      <c r="AE19" s="12" t="str">
        <f t="shared" si="8"/>
        <v>-</v>
      </c>
      <c r="AF19" s="29" t="s">
        <v>0</v>
      </c>
      <c r="AG19" s="29" t="s">
        <v>0</v>
      </c>
      <c r="AH19" s="8" t="s">
        <v>0</v>
      </c>
      <c r="AI19" s="29" t="s">
        <v>0</v>
      </c>
      <c r="AJ19" s="32" t="s">
        <v>0</v>
      </c>
      <c r="AK19" s="29" t="s">
        <v>0</v>
      </c>
      <c r="AL19" s="32" t="s">
        <v>0</v>
      </c>
      <c r="AM19" s="29" t="s">
        <v>0</v>
      </c>
      <c r="AN19" s="32" t="s">
        <v>0</v>
      </c>
      <c r="AO19" s="29" t="s">
        <v>0</v>
      </c>
      <c r="AP19" s="32" t="s">
        <v>0</v>
      </c>
      <c r="AQ19" s="32" t="s">
        <v>0</v>
      </c>
      <c r="AR19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19" s="9" t="str">
        <f t="shared" si="9"/>
        <v>-</v>
      </c>
      <c r="AT19" s="9" t="str">
        <f>IF(RIGHT(TWZ[[#This Row],[Device type]],7)="Winding","-",TWZ[[#This Row],[Cont Winter MVA]])</f>
        <v>-</v>
      </c>
      <c r="AU19" s="9" t="str">
        <f>IF(RIGHT(TWZ[[#This Row],[Device type]],7)="Winding","-",TWZ[[#This Row],[Cont Shoulder MVA]])</f>
        <v>-</v>
      </c>
      <c r="AV19" s="9" t="str">
        <f>IF(RIGHT(TWZ[[#This Row],[Device type]],7)="Winding","-",TWZ[[#This Row],[Cont Summer MVA]])</f>
        <v>-</v>
      </c>
      <c r="AW19" s="9">
        <f>TWZ[[#This Row],[24 Hr Winter MVA]]</f>
        <v>27.435684791891013</v>
      </c>
      <c r="AX19" s="9">
        <f>TWZ[[#This Row],[24 Hr Summer MVA]]</f>
        <v>25.911480081230401</v>
      </c>
      <c r="AY19" s="9" t="str">
        <f>TWZ[[#This Row],[Forwards MVA]]</f>
        <v>-</v>
      </c>
      <c r="AZ19" s="9" t="str">
        <f>TWZ[[#This Row],[Relay MVA]]</f>
        <v>-</v>
      </c>
      <c r="BA19" s="9" t="str">
        <f>TWZ[[#This Row],[CT MVA]]</f>
        <v>-</v>
      </c>
      <c r="BB19" s="9" t="str">
        <f>TWZ[[#This Row],[Derating MVA]]</f>
        <v>-</v>
      </c>
      <c r="BC19" s="9" t="str">
        <f>TWZ[[#This Row],[Station/Feeder]]&amp;TWZ[[#This Row],[Lowest MVA]]</f>
        <v>TWZ_GXP25.9114800812304</v>
      </c>
      <c r="BD19" s="9" t="str">
        <f>CONCATENATE(TWZ[[#This Row],[Supply Level]],TWZ[[#This Row],[Station/Feeder]],TWZ[[#This Row],[Voltage]],TWZ[[#This Row],[Lowest A-No PTX]])</f>
        <v>GXPTWZ_GXP22068</v>
      </c>
      <c r="BE19" s="9" t="str">
        <f>CONCATENATE(TWZ[[#This Row],[Supply Level]],TWZ[[#This Row],[Station/Feeder]],TWZ[[#This Row],[Voltage]],TWZ[[#This Row],[Lowest A-PTX]])</f>
        <v>GXPTWZ_GXP22052</v>
      </c>
      <c r="BF19" s="9">
        <f>IFERROR(IF(MIN(TWZ[[#This Row],[Summ Cont Winter A]:[Cable Derating]])=0,"",MIN(TWZ[[#This Row],[Summ Cont Winter A]:[Cable Derating]])),"")</f>
        <v>25.911480081230401</v>
      </c>
      <c r="BG19" s="9">
        <f>IFERROR(TWZ[[#This Row],[Lowest MVA]]*1000/(TWZ[[#This Row],[Voltage]]*SQRT(3)),"")</f>
        <v>68</v>
      </c>
      <c r="BH19" s="9">
        <f t="shared" si="10"/>
        <v>52</v>
      </c>
      <c r="BI19" s="9" t="str">
        <f>TWZ[[#This Row],[From]]</f>
        <v>220 kV Bus</v>
      </c>
      <c r="BJ19" s="9" t="str">
        <f>TWZ[[#This Row],[To]]</f>
        <v>33 kV Bus</v>
      </c>
      <c r="BK19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Transformer-T18-HV Winding</v>
      </c>
      <c r="BL19" s="9">
        <f>TWZ[[#This Row],[Voltage]]</f>
        <v>220</v>
      </c>
    </row>
    <row r="20" spans="1:64" s="1" customFormat="1" ht="15" customHeight="1" x14ac:dyDescent="0.25">
      <c r="A20" s="353" t="str">
        <f>CONCATENATE(TWZ[[#This Row],[Supply Level]],TWZ[[#This Row],[Station/Feeder]],TWZ[[#This Row],[Voltage]])</f>
        <v>GXPTWZ_GXP33</v>
      </c>
      <c r="B20" s="353" t="str">
        <f>CONCATENATE(TWZ[[#This Row],[Supply Level]],TWZ[[#This Row],[Station/Feeder]],TWZ[[#This Row],[Equipment ID]],TWZ[[#This Row],[Voltage]],TWZ[[#This Row],[Device type]])</f>
        <v>GXPTWZ_GXPT1833LV Winding</v>
      </c>
      <c r="C20" s="6" t="s">
        <v>4</v>
      </c>
      <c r="D20" s="11" t="s">
        <v>78</v>
      </c>
      <c r="E20" s="6" t="s">
        <v>62</v>
      </c>
      <c r="F20" s="6" t="s">
        <v>63</v>
      </c>
      <c r="G20" s="27">
        <v>3</v>
      </c>
      <c r="H20" s="49" t="s">
        <v>271</v>
      </c>
      <c r="I20" s="7" t="s">
        <v>24</v>
      </c>
      <c r="J20" s="7" t="s">
        <v>19</v>
      </c>
      <c r="K20" s="7" t="s">
        <v>10</v>
      </c>
      <c r="L20" s="7" t="s">
        <v>37</v>
      </c>
      <c r="M20" s="43">
        <v>33</v>
      </c>
      <c r="N20" s="9">
        <v>350</v>
      </c>
      <c r="O20" s="9">
        <f t="shared" si="0"/>
        <v>20.00518682742053</v>
      </c>
      <c r="P20" s="9">
        <v>350</v>
      </c>
      <c r="Q20" s="9">
        <f t="shared" si="1"/>
        <v>20.00518682742053</v>
      </c>
      <c r="R20" s="9">
        <v>350</v>
      </c>
      <c r="S20" s="9">
        <f t="shared" si="2"/>
        <v>20.00518682742053</v>
      </c>
      <c r="T20" s="9">
        <v>479</v>
      </c>
      <c r="U20" s="9">
        <f t="shared" si="3"/>
        <v>27.378527115241244</v>
      </c>
      <c r="V20" s="9">
        <v>451</v>
      </c>
      <c r="W20" s="9">
        <f t="shared" si="4"/>
        <v>25.778112169047599</v>
      </c>
      <c r="X20" s="9" t="s">
        <v>0</v>
      </c>
      <c r="Y20" s="9" t="str">
        <f t="shared" si="5"/>
        <v>-</v>
      </c>
      <c r="Z20" s="9" t="s">
        <v>0</v>
      </c>
      <c r="AA20" s="9" t="str">
        <f t="shared" si="6"/>
        <v>-</v>
      </c>
      <c r="AB20" s="9" t="s">
        <v>0</v>
      </c>
      <c r="AC20" s="9" t="str">
        <f t="shared" si="7"/>
        <v>-</v>
      </c>
      <c r="AD20" s="9" t="s">
        <v>0</v>
      </c>
      <c r="AE20" s="12" t="str">
        <f t="shared" si="8"/>
        <v>-</v>
      </c>
      <c r="AF20" s="29" t="s">
        <v>0</v>
      </c>
      <c r="AG20" s="29" t="s">
        <v>0</v>
      </c>
      <c r="AH20" s="8" t="s">
        <v>0</v>
      </c>
      <c r="AI20" s="29" t="s">
        <v>0</v>
      </c>
      <c r="AJ20" s="32" t="s">
        <v>0</v>
      </c>
      <c r="AK20" s="29" t="s">
        <v>0</v>
      </c>
      <c r="AL20" s="32" t="s">
        <v>0</v>
      </c>
      <c r="AM20" s="29" t="s">
        <v>0</v>
      </c>
      <c r="AN20" s="32" t="s">
        <v>0</v>
      </c>
      <c r="AO20" s="29" t="s">
        <v>0</v>
      </c>
      <c r="AP20" s="32" t="s">
        <v>0</v>
      </c>
      <c r="AQ20" s="32" t="s">
        <v>0</v>
      </c>
      <c r="AR20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20" s="9" t="str">
        <f t="shared" si="9"/>
        <v>-</v>
      </c>
      <c r="AT20" s="9" t="str">
        <f>IF(RIGHT(TWZ[[#This Row],[Device type]],7)="Winding","-",TWZ[[#This Row],[Cont Winter MVA]])</f>
        <v>-</v>
      </c>
      <c r="AU20" s="9" t="str">
        <f>IF(RIGHT(TWZ[[#This Row],[Device type]],7)="Winding","-",TWZ[[#This Row],[Cont Shoulder MVA]])</f>
        <v>-</v>
      </c>
      <c r="AV20" s="9" t="str">
        <f>IF(RIGHT(TWZ[[#This Row],[Device type]],7)="Winding","-",TWZ[[#This Row],[Cont Summer MVA]])</f>
        <v>-</v>
      </c>
      <c r="AW20" s="9">
        <f>TWZ[[#This Row],[24 Hr Winter MVA]]</f>
        <v>27.378527115241244</v>
      </c>
      <c r="AX20" s="9">
        <f>TWZ[[#This Row],[24 Hr Summer MVA]]</f>
        <v>25.778112169047599</v>
      </c>
      <c r="AY20" s="9" t="str">
        <f>TWZ[[#This Row],[Forwards MVA]]</f>
        <v>-</v>
      </c>
      <c r="AZ20" s="9" t="str">
        <f>TWZ[[#This Row],[Relay MVA]]</f>
        <v>-</v>
      </c>
      <c r="BA20" s="9" t="str">
        <f>TWZ[[#This Row],[CT MVA]]</f>
        <v>-</v>
      </c>
      <c r="BB20" s="9" t="str">
        <f>TWZ[[#This Row],[Derating MVA]]</f>
        <v>-</v>
      </c>
      <c r="BC20" s="9" t="str">
        <f>TWZ[[#This Row],[Station/Feeder]]&amp;TWZ[[#This Row],[Lowest MVA]]</f>
        <v>TWZ_GXP25.7781121690476</v>
      </c>
      <c r="BD20" s="9" t="str">
        <f>CONCATENATE(TWZ[[#This Row],[Supply Level]],TWZ[[#This Row],[Station/Feeder]],TWZ[[#This Row],[Voltage]],TWZ[[#This Row],[Lowest A-No PTX]])</f>
        <v>GXPTWZ_GXP33451</v>
      </c>
      <c r="BE20" s="9" t="str">
        <f>CONCATENATE(TWZ[[#This Row],[Supply Level]],TWZ[[#This Row],[Station/Feeder]],TWZ[[#This Row],[Voltage]],TWZ[[#This Row],[Lowest A-PTX]])</f>
        <v>GXPTWZ_GXP33350</v>
      </c>
      <c r="BF20" s="9">
        <f>IFERROR(IF(MIN(TWZ[[#This Row],[Summ Cont Winter A]:[Cable Derating]])=0,"",MIN(TWZ[[#This Row],[Summ Cont Winter A]:[Cable Derating]])),"")</f>
        <v>25.778112169047599</v>
      </c>
      <c r="BG20" s="9">
        <f>IFERROR(TWZ[[#This Row],[Lowest MVA]]*1000/(TWZ[[#This Row],[Voltage]]*SQRT(3)),"")</f>
        <v>451</v>
      </c>
      <c r="BH20" s="9">
        <f t="shared" si="10"/>
        <v>350</v>
      </c>
      <c r="BI20" s="9" t="str">
        <f>TWZ[[#This Row],[From]]</f>
        <v>220 kV Bus</v>
      </c>
      <c r="BJ20" s="9" t="str">
        <f>TWZ[[#This Row],[To]]</f>
        <v>33 kV Bus</v>
      </c>
      <c r="BK20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Transformer-T18-LV Winding</v>
      </c>
      <c r="BL20" s="9">
        <f>TWZ[[#This Row],[Voltage]]</f>
        <v>33</v>
      </c>
    </row>
    <row r="21" spans="1:64" s="1" customFormat="1" ht="15" customHeight="1" x14ac:dyDescent="0.25">
      <c r="A21" s="353" t="str">
        <f>CONCATENATE(TWZ[[#This Row],[Supply Level]],TWZ[[#This Row],[Station/Feeder]],TWZ[[#This Row],[Voltage]])</f>
        <v>GXPTWZ_GXP33</v>
      </c>
      <c r="B21" s="353" t="str">
        <f>CONCATENATE(TWZ[[#This Row],[Supply Level]],TWZ[[#This Row],[Station/Feeder]],TWZ[[#This Row],[Equipment ID]],TWZ[[#This Row],[Voltage]],TWZ[[#This Row],[Device type]])</f>
        <v>GXPTWZ_GXPT1833Tap Changer</v>
      </c>
      <c r="C21" s="6" t="s">
        <v>4</v>
      </c>
      <c r="D21" s="11" t="s">
        <v>78</v>
      </c>
      <c r="E21" s="6" t="s">
        <v>62</v>
      </c>
      <c r="F21" s="6" t="s">
        <v>63</v>
      </c>
      <c r="G21" s="27">
        <v>3</v>
      </c>
      <c r="H21" s="49" t="s">
        <v>271</v>
      </c>
      <c r="I21" s="7" t="s">
        <v>24</v>
      </c>
      <c r="J21" s="7" t="s">
        <v>19</v>
      </c>
      <c r="K21" s="7" t="s">
        <v>10</v>
      </c>
      <c r="L21" s="7" t="s">
        <v>20</v>
      </c>
      <c r="M21" s="43">
        <v>33</v>
      </c>
      <c r="N21" s="9">
        <v>420</v>
      </c>
      <c r="O21" s="9">
        <f t="shared" si="0"/>
        <v>24.006224192904639</v>
      </c>
      <c r="P21" s="9">
        <v>420</v>
      </c>
      <c r="Q21" s="9">
        <f t="shared" si="1"/>
        <v>24.006224192904639</v>
      </c>
      <c r="R21" s="9">
        <v>420</v>
      </c>
      <c r="S21" s="9">
        <f t="shared" si="2"/>
        <v>24.006224192904639</v>
      </c>
      <c r="T21" s="9" t="s">
        <v>0</v>
      </c>
      <c r="U21" s="9" t="str">
        <f t="shared" si="3"/>
        <v>-</v>
      </c>
      <c r="V21" s="9">
        <v>504</v>
      </c>
      <c r="W21" s="9">
        <f t="shared" si="4"/>
        <v>28.807469031485564</v>
      </c>
      <c r="X21" s="9" t="s">
        <v>0</v>
      </c>
      <c r="Y21" s="9" t="str">
        <f t="shared" si="5"/>
        <v>-</v>
      </c>
      <c r="Z21" s="9" t="s">
        <v>0</v>
      </c>
      <c r="AA21" s="9" t="str">
        <f t="shared" si="6"/>
        <v>-</v>
      </c>
      <c r="AB21" s="9" t="s">
        <v>0</v>
      </c>
      <c r="AC21" s="9" t="str">
        <f t="shared" si="7"/>
        <v>-</v>
      </c>
      <c r="AD21" s="9" t="s">
        <v>0</v>
      </c>
      <c r="AE21" s="12" t="str">
        <f t="shared" si="8"/>
        <v>-</v>
      </c>
      <c r="AF21" s="29" t="s">
        <v>0</v>
      </c>
      <c r="AG21" s="29" t="s">
        <v>0</v>
      </c>
      <c r="AH21" s="8" t="s">
        <v>0</v>
      </c>
      <c r="AI21" s="29" t="s">
        <v>0</v>
      </c>
      <c r="AJ21" s="32" t="s">
        <v>0</v>
      </c>
      <c r="AK21" s="29" t="s">
        <v>0</v>
      </c>
      <c r="AL21" s="32" t="s">
        <v>0</v>
      </c>
      <c r="AM21" s="29" t="s">
        <v>0</v>
      </c>
      <c r="AN21" s="32" t="s">
        <v>0</v>
      </c>
      <c r="AO21" s="29" t="s">
        <v>0</v>
      </c>
      <c r="AP21" s="32" t="s">
        <v>0</v>
      </c>
      <c r="AQ21" s="32" t="s">
        <v>0</v>
      </c>
      <c r="AR21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21" s="9" t="str">
        <f t="shared" si="9"/>
        <v>-</v>
      </c>
      <c r="AT21" s="9">
        <f>IF(RIGHT(TWZ[[#This Row],[Device type]],7)="Winding","-",TWZ[[#This Row],[Cont Winter MVA]])</f>
        <v>24.006224192904639</v>
      </c>
      <c r="AU21" s="9">
        <f>IF(RIGHT(TWZ[[#This Row],[Device type]],7)="Winding","-",TWZ[[#This Row],[Cont Shoulder MVA]])</f>
        <v>24.006224192904639</v>
      </c>
      <c r="AV21" s="9">
        <f>IF(RIGHT(TWZ[[#This Row],[Device type]],7)="Winding","-",TWZ[[#This Row],[Cont Summer MVA]])</f>
        <v>24.006224192904639</v>
      </c>
      <c r="AW21" s="9" t="str">
        <f>TWZ[[#This Row],[24 Hr Winter MVA]]</f>
        <v>-</v>
      </c>
      <c r="AX21" s="9">
        <f>TWZ[[#This Row],[24 Hr Summer MVA]]</f>
        <v>28.807469031485564</v>
      </c>
      <c r="AY21" s="9" t="str">
        <f>TWZ[[#This Row],[Forwards MVA]]</f>
        <v>-</v>
      </c>
      <c r="AZ21" s="9" t="str">
        <f>TWZ[[#This Row],[Relay MVA]]</f>
        <v>-</v>
      </c>
      <c r="BA21" s="9" t="str">
        <f>TWZ[[#This Row],[CT MVA]]</f>
        <v>-</v>
      </c>
      <c r="BB21" s="9" t="str">
        <f>TWZ[[#This Row],[Derating MVA]]</f>
        <v>-</v>
      </c>
      <c r="BC21" s="9" t="str">
        <f>TWZ[[#This Row],[Station/Feeder]]&amp;TWZ[[#This Row],[Lowest MVA]]</f>
        <v>TWZ_GXP24.0062241929046</v>
      </c>
      <c r="BD21" s="9" t="str">
        <f>CONCATENATE(TWZ[[#This Row],[Supply Level]],TWZ[[#This Row],[Station/Feeder]],TWZ[[#This Row],[Voltage]],TWZ[[#This Row],[Lowest A-No PTX]])</f>
        <v>GXPTWZ_GXP33420</v>
      </c>
      <c r="BE21" s="9" t="str">
        <f>CONCATENATE(TWZ[[#This Row],[Supply Level]],TWZ[[#This Row],[Station/Feeder]],TWZ[[#This Row],[Voltage]],TWZ[[#This Row],[Lowest A-PTX]])</f>
        <v>GXPTWZ_GXP33420</v>
      </c>
      <c r="BF21" s="9">
        <f>IFERROR(IF(MIN(TWZ[[#This Row],[Summ Cont Winter A]:[Cable Derating]])=0,"",MIN(TWZ[[#This Row],[Summ Cont Winter A]:[Cable Derating]])),"")</f>
        <v>24.006224192904639</v>
      </c>
      <c r="BG21" s="9">
        <f>IFERROR(TWZ[[#This Row],[Lowest MVA]]*1000/(TWZ[[#This Row],[Voltage]]*SQRT(3)),"")</f>
        <v>420.00000000000006</v>
      </c>
      <c r="BH21" s="9">
        <f t="shared" si="10"/>
        <v>420</v>
      </c>
      <c r="BI21" s="9" t="str">
        <f>TWZ[[#This Row],[From]]</f>
        <v>220 kV Bus</v>
      </c>
      <c r="BJ21" s="9" t="str">
        <f>TWZ[[#This Row],[To]]</f>
        <v>33 kV Bus</v>
      </c>
      <c r="BK21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Transformer-T18-Tap Changer</v>
      </c>
      <c r="BL21" s="9">
        <f>TWZ[[#This Row],[Voltage]]</f>
        <v>33</v>
      </c>
    </row>
    <row r="22" spans="1:64" s="1" customFormat="1" ht="15" customHeight="1" x14ac:dyDescent="0.25">
      <c r="A22" s="353" t="str">
        <f>CONCATENATE(TWZ[[#This Row],[Supply Level]],TWZ[[#This Row],[Station/Feeder]],TWZ[[#This Row],[Voltage]])</f>
        <v>GXPTWZ_GXP220</v>
      </c>
      <c r="B22" s="353" t="str">
        <f>CONCATENATE(TWZ[[#This Row],[Supply Level]],TWZ[[#This Row],[Station/Feeder]],TWZ[[#This Row],[Equipment ID]],TWZ[[#This Row],[Voltage]],TWZ[[#This Row],[Device type]])</f>
        <v>GXPTWZ_GXPT18220Transformer</v>
      </c>
      <c r="C22" s="6" t="s">
        <v>4</v>
      </c>
      <c r="D22" s="11" t="s">
        <v>78</v>
      </c>
      <c r="E22" s="6" t="s">
        <v>62</v>
      </c>
      <c r="F22" s="6" t="s">
        <v>63</v>
      </c>
      <c r="G22" s="27">
        <v>3</v>
      </c>
      <c r="H22" s="49" t="s">
        <v>271</v>
      </c>
      <c r="I22" s="7" t="s">
        <v>24</v>
      </c>
      <c r="J22" s="7" t="s">
        <v>19</v>
      </c>
      <c r="K22" s="7" t="s">
        <v>10</v>
      </c>
      <c r="L22" s="7" t="s">
        <v>19</v>
      </c>
      <c r="M22" s="43">
        <v>220</v>
      </c>
      <c r="N22" s="9">
        <v>52</v>
      </c>
      <c r="O22" s="9">
        <f t="shared" si="0"/>
        <v>19.814661238587956</v>
      </c>
      <c r="P22" s="9">
        <v>52</v>
      </c>
      <c r="Q22" s="9">
        <f t="shared" si="1"/>
        <v>19.814661238587956</v>
      </c>
      <c r="R22" s="9">
        <v>52</v>
      </c>
      <c r="S22" s="9">
        <f t="shared" si="2"/>
        <v>19.814661238587956</v>
      </c>
      <c r="T22" s="9" t="s">
        <v>0</v>
      </c>
      <c r="U22" s="9" t="str">
        <f t="shared" si="3"/>
        <v>-</v>
      </c>
      <c r="V22" s="9">
        <v>68</v>
      </c>
      <c r="W22" s="9">
        <f t="shared" si="4"/>
        <v>25.911480081230401</v>
      </c>
      <c r="X22" s="9" t="s">
        <v>0</v>
      </c>
      <c r="Y22" s="9" t="str">
        <f t="shared" si="5"/>
        <v>-</v>
      </c>
      <c r="Z22" s="9" t="s">
        <v>0</v>
      </c>
      <c r="AA22" s="9" t="str">
        <f t="shared" si="6"/>
        <v>-</v>
      </c>
      <c r="AB22" s="9" t="s">
        <v>0</v>
      </c>
      <c r="AC22" s="9" t="str">
        <f t="shared" si="7"/>
        <v>-</v>
      </c>
      <c r="AD22" s="9" t="s">
        <v>0</v>
      </c>
      <c r="AE22" s="12" t="str">
        <f t="shared" si="8"/>
        <v>-</v>
      </c>
      <c r="AF22" s="29" t="s">
        <v>0</v>
      </c>
      <c r="AG22" s="29" t="s">
        <v>0</v>
      </c>
      <c r="AH22" s="8" t="s">
        <v>0</v>
      </c>
      <c r="AI22" s="29" t="s">
        <v>0</v>
      </c>
      <c r="AJ22" s="32" t="s">
        <v>0</v>
      </c>
      <c r="AK22" s="29" t="s">
        <v>0</v>
      </c>
      <c r="AL22" s="32" t="s">
        <v>0</v>
      </c>
      <c r="AM22" s="29" t="s">
        <v>0</v>
      </c>
      <c r="AN22" s="32" t="s">
        <v>0</v>
      </c>
      <c r="AO22" s="29" t="s">
        <v>0</v>
      </c>
      <c r="AP22" s="32" t="s">
        <v>0</v>
      </c>
      <c r="AQ22" s="32" t="s">
        <v>0</v>
      </c>
      <c r="AR22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22" s="9" t="str">
        <f t="shared" si="9"/>
        <v>-</v>
      </c>
      <c r="AT22" s="9">
        <f>IF(RIGHT(TWZ[[#This Row],[Device type]],7)="Winding","-",TWZ[[#This Row],[Cont Winter MVA]])</f>
        <v>19.814661238587956</v>
      </c>
      <c r="AU22" s="9">
        <f>IF(RIGHT(TWZ[[#This Row],[Device type]],7)="Winding","-",TWZ[[#This Row],[Cont Shoulder MVA]])</f>
        <v>19.814661238587956</v>
      </c>
      <c r="AV22" s="9">
        <f>IF(RIGHT(TWZ[[#This Row],[Device type]],7)="Winding","-",TWZ[[#This Row],[Cont Summer MVA]])</f>
        <v>19.814661238587956</v>
      </c>
      <c r="AW22" s="9" t="str">
        <f>TWZ[[#This Row],[24 Hr Winter MVA]]</f>
        <v>-</v>
      </c>
      <c r="AX22" s="9">
        <f>TWZ[[#This Row],[24 Hr Summer MVA]]</f>
        <v>25.911480081230401</v>
      </c>
      <c r="AY22" s="9" t="str">
        <f>TWZ[[#This Row],[Forwards MVA]]</f>
        <v>-</v>
      </c>
      <c r="AZ22" s="9" t="str">
        <f>TWZ[[#This Row],[Relay MVA]]</f>
        <v>-</v>
      </c>
      <c r="BA22" s="9" t="str">
        <f>TWZ[[#This Row],[CT MVA]]</f>
        <v>-</v>
      </c>
      <c r="BB22" s="9" t="str">
        <f>TWZ[[#This Row],[Derating MVA]]</f>
        <v>-</v>
      </c>
      <c r="BC22" s="9" t="str">
        <f>TWZ[[#This Row],[Station/Feeder]]&amp;TWZ[[#This Row],[Lowest MVA]]</f>
        <v>TWZ_GXP19.814661238588</v>
      </c>
      <c r="BD22" s="9" t="str">
        <f>CONCATENATE(TWZ[[#This Row],[Supply Level]],TWZ[[#This Row],[Station/Feeder]],TWZ[[#This Row],[Voltage]],TWZ[[#This Row],[Lowest A-No PTX]])</f>
        <v>GXPTWZ_GXP22052</v>
      </c>
      <c r="BE22" s="9" t="str">
        <f>CONCATENATE(TWZ[[#This Row],[Supply Level]],TWZ[[#This Row],[Station/Feeder]],TWZ[[#This Row],[Voltage]],TWZ[[#This Row],[Lowest A-PTX]])</f>
        <v>GXPTWZ_GXP22052</v>
      </c>
      <c r="BF22" s="9">
        <f>IFERROR(IF(MIN(TWZ[[#This Row],[Summ Cont Winter A]:[Cable Derating]])=0,"",MIN(TWZ[[#This Row],[Summ Cont Winter A]:[Cable Derating]])),"")</f>
        <v>19.814661238587956</v>
      </c>
      <c r="BG22" s="9">
        <f>IFERROR(TWZ[[#This Row],[Lowest MVA]]*1000/(TWZ[[#This Row],[Voltage]]*SQRT(3)),"")</f>
        <v>52.000000000000007</v>
      </c>
      <c r="BH22" s="9">
        <f t="shared" si="10"/>
        <v>52</v>
      </c>
      <c r="BI22" s="9" t="str">
        <f>TWZ[[#This Row],[From]]</f>
        <v>220 kV Bus</v>
      </c>
      <c r="BJ22" s="9" t="str">
        <f>TWZ[[#This Row],[To]]</f>
        <v>33 kV Bus</v>
      </c>
      <c r="BK22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Transformer-T18-Transformer</v>
      </c>
      <c r="BL22" s="9">
        <f>TWZ[[#This Row],[Voltage]]</f>
        <v>220</v>
      </c>
    </row>
    <row r="23" spans="1:64" s="1" customFormat="1" ht="15" customHeight="1" x14ac:dyDescent="0.25">
      <c r="A23" s="353" t="str">
        <f>CONCATENATE(TWZ[[#This Row],[Supply Level]],TWZ[[#This Row],[Station/Feeder]],TWZ[[#This Row],[Voltage]])</f>
        <v>GXPTWZ_GXP33</v>
      </c>
      <c r="B23" s="353" t="str">
        <f>CONCATENATE(TWZ[[#This Row],[Supply Level]],TWZ[[#This Row],[Station/Feeder]],TWZ[[#This Row],[Equipment ID]],TWZ[[#This Row],[Voltage]],TWZ[[#This Row],[Device type]])</f>
        <v>GXPTWZ_GXPT1833Transformer</v>
      </c>
      <c r="C23" s="6" t="s">
        <v>4</v>
      </c>
      <c r="D23" s="11" t="s">
        <v>78</v>
      </c>
      <c r="E23" s="6" t="s">
        <v>62</v>
      </c>
      <c r="F23" s="6" t="s">
        <v>63</v>
      </c>
      <c r="G23" s="27">
        <v>3</v>
      </c>
      <c r="H23" s="49" t="s">
        <v>271</v>
      </c>
      <c r="I23" s="7" t="s">
        <v>24</v>
      </c>
      <c r="J23" s="7" t="s">
        <v>19</v>
      </c>
      <c r="K23" s="7" t="s">
        <v>10</v>
      </c>
      <c r="L23" s="7" t="s">
        <v>19</v>
      </c>
      <c r="M23" s="43">
        <v>33</v>
      </c>
      <c r="N23" s="9">
        <v>350</v>
      </c>
      <c r="O23" s="9">
        <f t="shared" si="0"/>
        <v>20.00518682742053</v>
      </c>
      <c r="P23" s="9">
        <v>350</v>
      </c>
      <c r="Q23" s="9">
        <f t="shared" si="1"/>
        <v>20.00518682742053</v>
      </c>
      <c r="R23" s="9">
        <v>350</v>
      </c>
      <c r="S23" s="9">
        <f t="shared" si="2"/>
        <v>20.00518682742053</v>
      </c>
      <c r="T23" s="9" t="s">
        <v>0</v>
      </c>
      <c r="U23" s="9" t="str">
        <f t="shared" si="3"/>
        <v>-</v>
      </c>
      <c r="V23" s="9">
        <v>451</v>
      </c>
      <c r="W23" s="9">
        <f t="shared" si="4"/>
        <v>25.778112169047599</v>
      </c>
      <c r="X23" s="9" t="s">
        <v>0</v>
      </c>
      <c r="Y23" s="9" t="str">
        <f t="shared" si="5"/>
        <v>-</v>
      </c>
      <c r="Z23" s="9" t="s">
        <v>0</v>
      </c>
      <c r="AA23" s="9" t="str">
        <f t="shared" si="6"/>
        <v>-</v>
      </c>
      <c r="AB23" s="9" t="s">
        <v>0</v>
      </c>
      <c r="AC23" s="9" t="str">
        <f t="shared" si="7"/>
        <v>-</v>
      </c>
      <c r="AD23" s="9" t="s">
        <v>0</v>
      </c>
      <c r="AE23" s="12" t="str">
        <f t="shared" si="8"/>
        <v>-</v>
      </c>
      <c r="AF23" s="29" t="s">
        <v>0</v>
      </c>
      <c r="AG23" s="29" t="s">
        <v>0</v>
      </c>
      <c r="AH23" s="8" t="s">
        <v>0</v>
      </c>
      <c r="AI23" s="29" t="s">
        <v>0</v>
      </c>
      <c r="AJ23" s="32" t="s">
        <v>0</v>
      </c>
      <c r="AK23" s="29" t="s">
        <v>0</v>
      </c>
      <c r="AL23" s="32" t="s">
        <v>0</v>
      </c>
      <c r="AM23" s="29" t="s">
        <v>0</v>
      </c>
      <c r="AN23" s="32" t="s">
        <v>0</v>
      </c>
      <c r="AO23" s="29" t="s">
        <v>0</v>
      </c>
      <c r="AP23" s="32" t="s">
        <v>0</v>
      </c>
      <c r="AQ23" s="32" t="s">
        <v>0</v>
      </c>
      <c r="AR23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23" s="9" t="str">
        <f t="shared" si="9"/>
        <v>-</v>
      </c>
      <c r="AT23" s="9">
        <f>IF(RIGHT(TWZ[[#This Row],[Device type]],7)="Winding","-",TWZ[[#This Row],[Cont Winter MVA]])</f>
        <v>20.00518682742053</v>
      </c>
      <c r="AU23" s="9">
        <f>IF(RIGHT(TWZ[[#This Row],[Device type]],7)="Winding","-",TWZ[[#This Row],[Cont Shoulder MVA]])</f>
        <v>20.00518682742053</v>
      </c>
      <c r="AV23" s="9">
        <f>IF(RIGHT(TWZ[[#This Row],[Device type]],7)="Winding","-",TWZ[[#This Row],[Cont Summer MVA]])</f>
        <v>20.00518682742053</v>
      </c>
      <c r="AW23" s="9" t="str">
        <f>TWZ[[#This Row],[24 Hr Winter MVA]]</f>
        <v>-</v>
      </c>
      <c r="AX23" s="9">
        <f>TWZ[[#This Row],[24 Hr Summer MVA]]</f>
        <v>25.778112169047599</v>
      </c>
      <c r="AY23" s="9" t="str">
        <f>TWZ[[#This Row],[Forwards MVA]]</f>
        <v>-</v>
      </c>
      <c r="AZ23" s="9" t="str">
        <f>TWZ[[#This Row],[Relay MVA]]</f>
        <v>-</v>
      </c>
      <c r="BA23" s="9" t="str">
        <f>TWZ[[#This Row],[CT MVA]]</f>
        <v>-</v>
      </c>
      <c r="BB23" s="9" t="str">
        <f>TWZ[[#This Row],[Derating MVA]]</f>
        <v>-</v>
      </c>
      <c r="BC23" s="9" t="str">
        <f>TWZ[[#This Row],[Station/Feeder]]&amp;TWZ[[#This Row],[Lowest MVA]]</f>
        <v>TWZ_GXP20.0051868274205</v>
      </c>
      <c r="BD23" s="9" t="str">
        <f>CONCATENATE(TWZ[[#This Row],[Supply Level]],TWZ[[#This Row],[Station/Feeder]],TWZ[[#This Row],[Voltage]],TWZ[[#This Row],[Lowest A-No PTX]])</f>
        <v>GXPTWZ_GXP33350</v>
      </c>
      <c r="BE23" s="9" t="str">
        <f>CONCATENATE(TWZ[[#This Row],[Supply Level]],TWZ[[#This Row],[Station/Feeder]],TWZ[[#This Row],[Voltage]],TWZ[[#This Row],[Lowest A-PTX]])</f>
        <v>GXPTWZ_GXP33350</v>
      </c>
      <c r="BF23" s="9">
        <f>IFERROR(IF(MIN(TWZ[[#This Row],[Summ Cont Winter A]:[Cable Derating]])=0,"",MIN(TWZ[[#This Row],[Summ Cont Winter A]:[Cable Derating]])),"")</f>
        <v>20.00518682742053</v>
      </c>
      <c r="BG23" s="9">
        <f>IFERROR(TWZ[[#This Row],[Lowest MVA]]*1000/(TWZ[[#This Row],[Voltage]]*SQRT(3)),"")</f>
        <v>350</v>
      </c>
      <c r="BH23" s="9">
        <f t="shared" si="10"/>
        <v>350</v>
      </c>
      <c r="BI23" s="9" t="str">
        <f>TWZ[[#This Row],[From]]</f>
        <v>220 kV Bus</v>
      </c>
      <c r="BJ23" s="9" t="str">
        <f>TWZ[[#This Row],[To]]</f>
        <v>33 kV Bus</v>
      </c>
      <c r="BK23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Transformer-T18-Transformer</v>
      </c>
      <c r="BL23" s="9">
        <f>TWZ[[#This Row],[Voltage]]</f>
        <v>33</v>
      </c>
    </row>
    <row r="24" spans="1:64" s="1" customFormat="1" x14ac:dyDescent="0.25">
      <c r="A24" s="353" t="str">
        <f>CONCATENATE(TWZ[[#This Row],[Supply Level]],TWZ[[#This Row],[Station/Feeder]],TWZ[[#This Row],[Voltage]])</f>
        <v>GXPTWZ_GXP33</v>
      </c>
      <c r="B24" s="353" t="str">
        <f>CONCATENATE(TWZ[[#This Row],[Supply Level]],TWZ[[#This Row],[Station/Feeder]],TWZ[[#This Row],[Equipment ID]],TWZ[[#This Row],[Voltage]],TWZ[[#This Row],[Device type]])</f>
        <v>GXPTWZ_GXPTWZ-CB630233Circuit Breaker</v>
      </c>
      <c r="C24" s="6" t="s">
        <v>4</v>
      </c>
      <c r="D24" s="11" t="s">
        <v>78</v>
      </c>
      <c r="E24" s="6" t="s">
        <v>62</v>
      </c>
      <c r="F24" s="6" t="s">
        <v>63</v>
      </c>
      <c r="G24" s="27">
        <v>4</v>
      </c>
      <c r="H24" s="49" t="s">
        <v>271</v>
      </c>
      <c r="I24" s="7" t="s">
        <v>2328</v>
      </c>
      <c r="J24" s="7" t="s">
        <v>15</v>
      </c>
      <c r="K24" s="7" t="s">
        <v>11</v>
      </c>
      <c r="L24" s="7" t="s">
        <v>15</v>
      </c>
      <c r="M24" s="43">
        <v>33</v>
      </c>
      <c r="N24" s="9">
        <v>1200</v>
      </c>
      <c r="O24" s="9">
        <f t="shared" si="0"/>
        <v>68.589211979727537</v>
      </c>
      <c r="P24" s="9">
        <v>1200</v>
      </c>
      <c r="Q24" s="9">
        <f t="shared" si="1"/>
        <v>68.589211979727537</v>
      </c>
      <c r="R24" s="9">
        <v>1200</v>
      </c>
      <c r="S24" s="9">
        <f t="shared" si="2"/>
        <v>68.589211979727537</v>
      </c>
      <c r="T24" s="9" t="s">
        <v>0</v>
      </c>
      <c r="U24" s="9" t="str">
        <f t="shared" si="3"/>
        <v>-</v>
      </c>
      <c r="V24" s="9">
        <v>1200</v>
      </c>
      <c r="W24" s="9">
        <f t="shared" si="4"/>
        <v>68.589211979727537</v>
      </c>
      <c r="X24" s="9" t="s">
        <v>0</v>
      </c>
      <c r="Y24" s="9" t="str">
        <f t="shared" si="5"/>
        <v>-</v>
      </c>
      <c r="Z24" s="9" t="s">
        <v>0</v>
      </c>
      <c r="AA24" s="9" t="str">
        <f t="shared" si="6"/>
        <v>-</v>
      </c>
      <c r="AB24" s="9" t="s">
        <v>0</v>
      </c>
      <c r="AC24" s="9" t="str">
        <f t="shared" si="7"/>
        <v>-</v>
      </c>
      <c r="AD24" s="9" t="s">
        <v>0</v>
      </c>
      <c r="AE24" s="12" t="str">
        <f t="shared" si="8"/>
        <v>-</v>
      </c>
      <c r="AF24" s="29" t="s">
        <v>0</v>
      </c>
      <c r="AG24" s="29" t="s">
        <v>0</v>
      </c>
      <c r="AH24" s="8" t="s">
        <v>0</v>
      </c>
      <c r="AI24" s="29" t="s">
        <v>0</v>
      </c>
      <c r="AJ24" s="32" t="s">
        <v>0</v>
      </c>
      <c r="AK24" s="29" t="s">
        <v>0</v>
      </c>
      <c r="AL24" s="32" t="s">
        <v>0</v>
      </c>
      <c r="AM24" s="29" t="s">
        <v>0</v>
      </c>
      <c r="AN24" s="32" t="s">
        <v>0</v>
      </c>
      <c r="AO24" s="29" t="s">
        <v>0</v>
      </c>
      <c r="AP24" s="32" t="s">
        <v>0</v>
      </c>
      <c r="AQ24" s="32" t="s">
        <v>0</v>
      </c>
      <c r="AR24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24" s="9" t="str">
        <f t="shared" si="9"/>
        <v>-</v>
      </c>
      <c r="AT24" s="9">
        <f>IF(RIGHT(TWZ[[#This Row],[Device type]],7)="Winding","-",TWZ[[#This Row],[Cont Winter MVA]])</f>
        <v>68.589211979727537</v>
      </c>
      <c r="AU24" s="9">
        <f>IF(RIGHT(TWZ[[#This Row],[Device type]],7)="Winding","-",TWZ[[#This Row],[Cont Shoulder MVA]])</f>
        <v>68.589211979727537</v>
      </c>
      <c r="AV24" s="9">
        <f>IF(RIGHT(TWZ[[#This Row],[Device type]],7)="Winding","-",TWZ[[#This Row],[Cont Summer MVA]])</f>
        <v>68.589211979727537</v>
      </c>
      <c r="AW24" s="9" t="str">
        <f>TWZ[[#This Row],[24 Hr Winter MVA]]</f>
        <v>-</v>
      </c>
      <c r="AX24" s="9">
        <f>TWZ[[#This Row],[24 Hr Summer MVA]]</f>
        <v>68.589211979727537</v>
      </c>
      <c r="AY24" s="9" t="str">
        <f>TWZ[[#This Row],[Forwards MVA]]</f>
        <v>-</v>
      </c>
      <c r="AZ24" s="9" t="str">
        <f>TWZ[[#This Row],[Relay MVA]]</f>
        <v>-</v>
      </c>
      <c r="BA24" s="9" t="str">
        <f>TWZ[[#This Row],[CT MVA]]</f>
        <v>-</v>
      </c>
      <c r="BB24" s="9" t="str">
        <f>TWZ[[#This Row],[Derating MVA]]</f>
        <v>-</v>
      </c>
      <c r="BC24" s="9" t="str">
        <f>TWZ[[#This Row],[Station/Feeder]]&amp;TWZ[[#This Row],[Lowest MVA]]</f>
        <v>TWZ_GXP68.5892119797275</v>
      </c>
      <c r="BD24" s="9" t="str">
        <f>CONCATENATE(TWZ[[#This Row],[Supply Level]],TWZ[[#This Row],[Station/Feeder]],TWZ[[#This Row],[Voltage]],TWZ[[#This Row],[Lowest A-No PTX]])</f>
        <v>GXPTWZ_GXP331200</v>
      </c>
      <c r="BE24" s="9" t="str">
        <f>CONCATENATE(TWZ[[#This Row],[Supply Level]],TWZ[[#This Row],[Station/Feeder]],TWZ[[#This Row],[Voltage]],TWZ[[#This Row],[Lowest A-PTX]])</f>
        <v>GXPTWZ_GXP331200</v>
      </c>
      <c r="BF24" s="9">
        <f>IFERROR(IF(MIN(TWZ[[#This Row],[Summ Cont Winter A]:[Cable Derating]])=0,"",MIN(TWZ[[#This Row],[Summ Cont Winter A]:[Cable Derating]])),"")</f>
        <v>68.589211979727537</v>
      </c>
      <c r="BG24" s="9">
        <f>IFERROR(TWZ[[#This Row],[Lowest MVA]]*1000/(TWZ[[#This Row],[Voltage]]*SQRT(3)),"")</f>
        <v>1200</v>
      </c>
      <c r="BH24" s="9">
        <f t="shared" si="10"/>
        <v>1200</v>
      </c>
      <c r="BI24" s="9" t="str">
        <f>TWZ[[#This Row],[From]]</f>
        <v>220 kV Bus</v>
      </c>
      <c r="BJ24" s="9" t="str">
        <f>TWZ[[#This Row],[To]]</f>
        <v>33 kV Bus</v>
      </c>
      <c r="BK24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Breaker-TWZ-CB6302-Circuit Breaker</v>
      </c>
      <c r="BL24" s="9">
        <f>TWZ[[#This Row],[Voltage]]</f>
        <v>33</v>
      </c>
    </row>
    <row r="25" spans="1:64" s="1" customFormat="1" ht="15" customHeight="1" x14ac:dyDescent="0.25">
      <c r="A25" s="353" t="str">
        <f>CONCATENATE(TWZ[[#This Row],[Supply Level]],TWZ[[#This Row],[Station/Feeder]],TWZ[[#This Row],[Voltage]])</f>
        <v>GXPTWZ_GXP33</v>
      </c>
      <c r="B25" s="353" t="str">
        <f>CONCATENATE(TWZ[[#This Row],[Supply Level]],TWZ[[#This Row],[Station/Feeder]],TWZ[[#This Row],[Equipment ID]],TWZ[[#This Row],[Voltage]],TWZ[[#This Row],[Device type]])</f>
        <v>GXPTWZ_GXPTWZ-CB630233Current Transformer</v>
      </c>
      <c r="C25" s="6" t="s">
        <v>4</v>
      </c>
      <c r="D25" s="11" t="s">
        <v>78</v>
      </c>
      <c r="E25" s="6" t="s">
        <v>62</v>
      </c>
      <c r="F25" s="6" t="s">
        <v>63</v>
      </c>
      <c r="G25" s="27">
        <v>4</v>
      </c>
      <c r="H25" s="49" t="s">
        <v>271</v>
      </c>
      <c r="I25" s="7" t="s">
        <v>2328</v>
      </c>
      <c r="J25" s="7" t="s">
        <v>15</v>
      </c>
      <c r="K25" s="7" t="s">
        <v>12</v>
      </c>
      <c r="L25" s="7" t="s">
        <v>16</v>
      </c>
      <c r="M25" s="43">
        <v>33</v>
      </c>
      <c r="N25" s="9">
        <v>800</v>
      </c>
      <c r="O25" s="9">
        <f t="shared" si="0"/>
        <v>45.72614131981836</v>
      </c>
      <c r="P25" s="9">
        <v>800</v>
      </c>
      <c r="Q25" s="9">
        <f t="shared" si="1"/>
        <v>45.72614131981836</v>
      </c>
      <c r="R25" s="9">
        <v>800</v>
      </c>
      <c r="S25" s="9">
        <f t="shared" si="2"/>
        <v>45.72614131981836</v>
      </c>
      <c r="T25" s="9" t="s">
        <v>0</v>
      </c>
      <c r="U25" s="9" t="str">
        <f t="shared" si="3"/>
        <v>-</v>
      </c>
      <c r="V25" s="9">
        <v>800</v>
      </c>
      <c r="W25" s="9">
        <f t="shared" si="4"/>
        <v>45.72614131981836</v>
      </c>
      <c r="X25" s="9" t="s">
        <v>0</v>
      </c>
      <c r="Y25" s="9" t="str">
        <f t="shared" si="5"/>
        <v>-</v>
      </c>
      <c r="Z25" s="9" t="s">
        <v>0</v>
      </c>
      <c r="AA25" s="9" t="str">
        <f t="shared" si="6"/>
        <v>-</v>
      </c>
      <c r="AB25" s="9" t="s">
        <v>0</v>
      </c>
      <c r="AC25" s="9" t="str">
        <f t="shared" si="7"/>
        <v>-</v>
      </c>
      <c r="AD25" s="9" t="s">
        <v>0</v>
      </c>
      <c r="AE25" s="12" t="str">
        <f t="shared" si="8"/>
        <v>-</v>
      </c>
      <c r="AF25" s="29" t="s">
        <v>0</v>
      </c>
      <c r="AG25" s="29" t="s">
        <v>0</v>
      </c>
      <c r="AH25" s="8" t="s">
        <v>0</v>
      </c>
      <c r="AI25" s="29" t="s">
        <v>0</v>
      </c>
      <c r="AJ25" s="32" t="s">
        <v>0</v>
      </c>
      <c r="AK25" s="29" t="s">
        <v>0</v>
      </c>
      <c r="AL25" s="32" t="s">
        <v>0</v>
      </c>
      <c r="AM25" s="29" t="s">
        <v>0</v>
      </c>
      <c r="AN25" s="32" t="s">
        <v>0</v>
      </c>
      <c r="AO25" s="29" t="s">
        <v>0</v>
      </c>
      <c r="AP25" s="32" t="s">
        <v>0</v>
      </c>
      <c r="AQ25" s="32" t="s">
        <v>0</v>
      </c>
      <c r="AR25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25" s="9" t="str">
        <f t="shared" si="9"/>
        <v>-</v>
      </c>
      <c r="AT25" s="9">
        <f>IF(RIGHT(TWZ[[#This Row],[Device type]],7)="Winding","-",TWZ[[#This Row],[Cont Winter MVA]])</f>
        <v>45.72614131981836</v>
      </c>
      <c r="AU25" s="9">
        <f>IF(RIGHT(TWZ[[#This Row],[Device type]],7)="Winding","-",TWZ[[#This Row],[Cont Shoulder MVA]])</f>
        <v>45.72614131981836</v>
      </c>
      <c r="AV25" s="9">
        <f>IF(RIGHT(TWZ[[#This Row],[Device type]],7)="Winding","-",TWZ[[#This Row],[Cont Summer MVA]])</f>
        <v>45.72614131981836</v>
      </c>
      <c r="AW25" s="9" t="str">
        <f>TWZ[[#This Row],[24 Hr Winter MVA]]</f>
        <v>-</v>
      </c>
      <c r="AX25" s="9">
        <f>TWZ[[#This Row],[24 Hr Summer MVA]]</f>
        <v>45.72614131981836</v>
      </c>
      <c r="AY25" s="9" t="str">
        <f>TWZ[[#This Row],[Forwards MVA]]</f>
        <v>-</v>
      </c>
      <c r="AZ25" s="9" t="str">
        <f>TWZ[[#This Row],[Relay MVA]]</f>
        <v>-</v>
      </c>
      <c r="BA25" s="9" t="str">
        <f>TWZ[[#This Row],[CT MVA]]</f>
        <v>-</v>
      </c>
      <c r="BB25" s="9" t="str">
        <f>TWZ[[#This Row],[Derating MVA]]</f>
        <v>-</v>
      </c>
      <c r="BC25" s="9" t="str">
        <f>TWZ[[#This Row],[Station/Feeder]]&amp;TWZ[[#This Row],[Lowest MVA]]</f>
        <v>TWZ_GXP45.7261413198184</v>
      </c>
      <c r="BD25" s="9" t="str">
        <f>CONCATENATE(TWZ[[#This Row],[Supply Level]],TWZ[[#This Row],[Station/Feeder]],TWZ[[#This Row],[Voltage]],TWZ[[#This Row],[Lowest A-No PTX]])</f>
        <v>GXPTWZ_GXP33800</v>
      </c>
      <c r="BE25" s="9" t="str">
        <f>CONCATENATE(TWZ[[#This Row],[Supply Level]],TWZ[[#This Row],[Station/Feeder]],TWZ[[#This Row],[Voltage]],TWZ[[#This Row],[Lowest A-PTX]])</f>
        <v>GXPTWZ_GXP33800</v>
      </c>
      <c r="BF25" s="9">
        <f>IFERROR(IF(MIN(TWZ[[#This Row],[Summ Cont Winter A]:[Cable Derating]])=0,"",MIN(TWZ[[#This Row],[Summ Cont Winter A]:[Cable Derating]])),"")</f>
        <v>45.72614131981836</v>
      </c>
      <c r="BG25" s="9">
        <f>IFERROR(TWZ[[#This Row],[Lowest MVA]]*1000/(TWZ[[#This Row],[Voltage]]*SQRT(3)),"")</f>
        <v>800</v>
      </c>
      <c r="BH25" s="9">
        <f t="shared" si="10"/>
        <v>800</v>
      </c>
      <c r="BI25" s="9" t="str">
        <f>TWZ[[#This Row],[From]]</f>
        <v>220 kV Bus</v>
      </c>
      <c r="BJ25" s="9" t="str">
        <f>TWZ[[#This Row],[To]]</f>
        <v>33 kV Bus</v>
      </c>
      <c r="BK25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Breaker-TWZ-CB6302-Current Transformer</v>
      </c>
      <c r="BL25" s="9">
        <f>TWZ[[#This Row],[Voltage]]</f>
        <v>33</v>
      </c>
    </row>
    <row r="26" spans="1:64" s="1" customFormat="1" ht="15" customHeight="1" x14ac:dyDescent="0.25">
      <c r="A26" s="353" t="str">
        <f>CONCATENATE(TWZ[[#This Row],[Supply Level]],TWZ[[#This Row],[Station/Feeder]],TWZ[[#This Row],[Voltage]])</f>
        <v>GXPTWZ_GXP33</v>
      </c>
      <c r="B26" s="353" t="str">
        <f>CONCATENATE(TWZ[[#This Row],[Supply Level]],TWZ[[#This Row],[Station/Feeder]],TWZ[[#This Row],[Equipment ID]],TWZ[[#This Row],[Voltage]],TWZ[[#This Row],[Device type]])</f>
        <v>GXPTWZ_GXPTWZ-CB630233Current Transformer</v>
      </c>
      <c r="C26" s="6" t="s">
        <v>4</v>
      </c>
      <c r="D26" s="11" t="s">
        <v>78</v>
      </c>
      <c r="E26" s="6" t="s">
        <v>62</v>
      </c>
      <c r="F26" s="6" t="s">
        <v>63</v>
      </c>
      <c r="G26" s="27">
        <v>4</v>
      </c>
      <c r="H26" s="49" t="s">
        <v>271</v>
      </c>
      <c r="I26" s="7" t="s">
        <v>2328</v>
      </c>
      <c r="J26" s="7" t="s">
        <v>15</v>
      </c>
      <c r="K26" s="7" t="s">
        <v>12</v>
      </c>
      <c r="L26" s="7" t="s">
        <v>16</v>
      </c>
      <c r="M26" s="43">
        <v>33</v>
      </c>
      <c r="N26" s="9">
        <v>800</v>
      </c>
      <c r="O26" s="9">
        <f t="shared" si="0"/>
        <v>45.72614131981836</v>
      </c>
      <c r="P26" s="9">
        <v>800</v>
      </c>
      <c r="Q26" s="9">
        <f t="shared" si="1"/>
        <v>45.72614131981836</v>
      </c>
      <c r="R26" s="9">
        <v>800</v>
      </c>
      <c r="S26" s="9">
        <f t="shared" si="2"/>
        <v>45.72614131981836</v>
      </c>
      <c r="T26" s="9" t="s">
        <v>0</v>
      </c>
      <c r="U26" s="9" t="str">
        <f t="shared" si="3"/>
        <v>-</v>
      </c>
      <c r="V26" s="9">
        <v>800</v>
      </c>
      <c r="W26" s="9">
        <f t="shared" si="4"/>
        <v>45.72614131981836</v>
      </c>
      <c r="X26" s="9" t="s">
        <v>0</v>
      </c>
      <c r="Y26" s="9" t="str">
        <f t="shared" si="5"/>
        <v>-</v>
      </c>
      <c r="Z26" s="9" t="s">
        <v>0</v>
      </c>
      <c r="AA26" s="9" t="str">
        <f t="shared" si="6"/>
        <v>-</v>
      </c>
      <c r="AB26" s="9" t="s">
        <v>0</v>
      </c>
      <c r="AC26" s="9" t="str">
        <f t="shared" si="7"/>
        <v>-</v>
      </c>
      <c r="AD26" s="9" t="s">
        <v>0</v>
      </c>
      <c r="AE26" s="12" t="str">
        <f t="shared" si="8"/>
        <v>-</v>
      </c>
      <c r="AF26" s="29" t="s">
        <v>0</v>
      </c>
      <c r="AG26" s="29" t="s">
        <v>0</v>
      </c>
      <c r="AH26" s="8" t="s">
        <v>0</v>
      </c>
      <c r="AI26" s="29" t="s">
        <v>0</v>
      </c>
      <c r="AJ26" s="32" t="s">
        <v>0</v>
      </c>
      <c r="AK26" s="29" t="s">
        <v>0</v>
      </c>
      <c r="AL26" s="32" t="s">
        <v>0</v>
      </c>
      <c r="AM26" s="29" t="s">
        <v>0</v>
      </c>
      <c r="AN26" s="32" t="s">
        <v>0</v>
      </c>
      <c r="AO26" s="29" t="s">
        <v>0</v>
      </c>
      <c r="AP26" s="32" t="s">
        <v>0</v>
      </c>
      <c r="AQ26" s="32" t="s">
        <v>0</v>
      </c>
      <c r="AR26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26" s="9" t="str">
        <f t="shared" si="9"/>
        <v>-</v>
      </c>
      <c r="AT26" s="9">
        <f>IF(RIGHT(TWZ[[#This Row],[Device type]],7)="Winding","-",TWZ[[#This Row],[Cont Winter MVA]])</f>
        <v>45.72614131981836</v>
      </c>
      <c r="AU26" s="9">
        <f>IF(RIGHT(TWZ[[#This Row],[Device type]],7)="Winding","-",TWZ[[#This Row],[Cont Shoulder MVA]])</f>
        <v>45.72614131981836</v>
      </c>
      <c r="AV26" s="9">
        <f>IF(RIGHT(TWZ[[#This Row],[Device type]],7)="Winding","-",TWZ[[#This Row],[Cont Summer MVA]])</f>
        <v>45.72614131981836</v>
      </c>
      <c r="AW26" s="9" t="str">
        <f>TWZ[[#This Row],[24 Hr Winter MVA]]</f>
        <v>-</v>
      </c>
      <c r="AX26" s="9">
        <f>TWZ[[#This Row],[24 Hr Summer MVA]]</f>
        <v>45.72614131981836</v>
      </c>
      <c r="AY26" s="9" t="str">
        <f>TWZ[[#This Row],[Forwards MVA]]</f>
        <v>-</v>
      </c>
      <c r="AZ26" s="9" t="str">
        <f>TWZ[[#This Row],[Relay MVA]]</f>
        <v>-</v>
      </c>
      <c r="BA26" s="9" t="str">
        <f>TWZ[[#This Row],[CT MVA]]</f>
        <v>-</v>
      </c>
      <c r="BB26" s="9" t="str">
        <f>TWZ[[#This Row],[Derating MVA]]</f>
        <v>-</v>
      </c>
      <c r="BC26" s="9" t="str">
        <f>TWZ[[#This Row],[Station/Feeder]]&amp;TWZ[[#This Row],[Lowest MVA]]</f>
        <v>TWZ_GXP45.7261413198184</v>
      </c>
      <c r="BD26" s="9" t="str">
        <f>CONCATENATE(TWZ[[#This Row],[Supply Level]],TWZ[[#This Row],[Station/Feeder]],TWZ[[#This Row],[Voltage]],TWZ[[#This Row],[Lowest A-No PTX]])</f>
        <v>GXPTWZ_GXP33800</v>
      </c>
      <c r="BE26" s="9" t="str">
        <f>CONCATENATE(TWZ[[#This Row],[Supply Level]],TWZ[[#This Row],[Station/Feeder]],TWZ[[#This Row],[Voltage]],TWZ[[#This Row],[Lowest A-PTX]])</f>
        <v>GXPTWZ_GXP33800</v>
      </c>
      <c r="BF26" s="9">
        <f>IFERROR(IF(MIN(TWZ[[#This Row],[Summ Cont Winter A]:[Cable Derating]])=0,"",MIN(TWZ[[#This Row],[Summ Cont Winter A]:[Cable Derating]])),"")</f>
        <v>45.72614131981836</v>
      </c>
      <c r="BG26" s="9">
        <f>IFERROR(TWZ[[#This Row],[Lowest MVA]]*1000/(TWZ[[#This Row],[Voltage]]*SQRT(3)),"")</f>
        <v>800</v>
      </c>
      <c r="BH26" s="9">
        <f t="shared" si="10"/>
        <v>800</v>
      </c>
      <c r="BI26" s="9" t="str">
        <f>TWZ[[#This Row],[From]]</f>
        <v>220 kV Bus</v>
      </c>
      <c r="BJ26" s="9" t="str">
        <f>TWZ[[#This Row],[To]]</f>
        <v>33 kV Bus</v>
      </c>
      <c r="BK26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Breaker-TWZ-CB6302-Current Transformer</v>
      </c>
      <c r="BL26" s="9">
        <f>TWZ[[#This Row],[Voltage]]</f>
        <v>33</v>
      </c>
    </row>
    <row r="27" spans="1:64" s="1" customFormat="1" ht="15" customHeight="1" x14ac:dyDescent="0.25">
      <c r="A27" s="353" t="str">
        <f>CONCATENATE(TWZ[[#This Row],[Supply Level]],TWZ[[#This Row],[Station/Feeder]],TWZ[[#This Row],[Voltage]])</f>
        <v>GXPTWZ_GXP33</v>
      </c>
      <c r="B27" s="353" t="str">
        <f>CONCATENATE(TWZ[[#This Row],[Supply Level]],TWZ[[#This Row],[Station/Feeder]],TWZ[[#This Row],[Equipment ID]],TWZ[[#This Row],[Voltage]],TWZ[[#This Row],[Device type]])</f>
        <v>GXPTWZ_GXPTWZ-CB630233Current Transformer</v>
      </c>
      <c r="C27" s="6" t="s">
        <v>4</v>
      </c>
      <c r="D27" s="11" t="s">
        <v>78</v>
      </c>
      <c r="E27" s="6" t="s">
        <v>62</v>
      </c>
      <c r="F27" s="6" t="s">
        <v>63</v>
      </c>
      <c r="G27" s="27">
        <v>4</v>
      </c>
      <c r="H27" s="49" t="s">
        <v>271</v>
      </c>
      <c r="I27" s="7" t="s">
        <v>2328</v>
      </c>
      <c r="J27" s="7" t="s">
        <v>15</v>
      </c>
      <c r="K27" s="7" t="s">
        <v>12</v>
      </c>
      <c r="L27" s="7" t="s">
        <v>16</v>
      </c>
      <c r="M27" s="43">
        <v>33</v>
      </c>
      <c r="N27" s="9">
        <v>800</v>
      </c>
      <c r="O27" s="9">
        <f t="shared" si="0"/>
        <v>45.72614131981836</v>
      </c>
      <c r="P27" s="9">
        <v>800</v>
      </c>
      <c r="Q27" s="9">
        <f t="shared" si="1"/>
        <v>45.72614131981836</v>
      </c>
      <c r="R27" s="9">
        <v>800</v>
      </c>
      <c r="S27" s="9">
        <f t="shared" si="2"/>
        <v>45.72614131981836</v>
      </c>
      <c r="T27" s="9" t="s">
        <v>0</v>
      </c>
      <c r="U27" s="9" t="str">
        <f t="shared" si="3"/>
        <v>-</v>
      </c>
      <c r="V27" s="9">
        <v>800</v>
      </c>
      <c r="W27" s="9">
        <f t="shared" si="4"/>
        <v>45.72614131981836</v>
      </c>
      <c r="X27" s="9" t="s">
        <v>0</v>
      </c>
      <c r="Y27" s="9" t="str">
        <f t="shared" si="5"/>
        <v>-</v>
      </c>
      <c r="Z27" s="9" t="s">
        <v>0</v>
      </c>
      <c r="AA27" s="9" t="str">
        <f t="shared" si="6"/>
        <v>-</v>
      </c>
      <c r="AB27" s="9" t="s">
        <v>0</v>
      </c>
      <c r="AC27" s="9" t="str">
        <f t="shared" si="7"/>
        <v>-</v>
      </c>
      <c r="AD27" s="9" t="s">
        <v>0</v>
      </c>
      <c r="AE27" s="12" t="str">
        <f t="shared" si="8"/>
        <v>-</v>
      </c>
      <c r="AF27" s="29" t="s">
        <v>0</v>
      </c>
      <c r="AG27" s="29" t="s">
        <v>0</v>
      </c>
      <c r="AH27" s="8" t="s">
        <v>0</v>
      </c>
      <c r="AI27" s="29" t="s">
        <v>0</v>
      </c>
      <c r="AJ27" s="32" t="s">
        <v>0</v>
      </c>
      <c r="AK27" s="29" t="s">
        <v>0</v>
      </c>
      <c r="AL27" s="32" t="s">
        <v>0</v>
      </c>
      <c r="AM27" s="29" t="s">
        <v>0</v>
      </c>
      <c r="AN27" s="32" t="s">
        <v>0</v>
      </c>
      <c r="AO27" s="29" t="s">
        <v>0</v>
      </c>
      <c r="AP27" s="32" t="s">
        <v>0</v>
      </c>
      <c r="AQ27" s="32" t="s">
        <v>0</v>
      </c>
      <c r="AR27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27" s="9" t="str">
        <f t="shared" si="9"/>
        <v>-</v>
      </c>
      <c r="AT27" s="9">
        <f>IF(RIGHT(TWZ[[#This Row],[Device type]],7)="Winding","-",TWZ[[#This Row],[Cont Winter MVA]])</f>
        <v>45.72614131981836</v>
      </c>
      <c r="AU27" s="9">
        <f>IF(RIGHT(TWZ[[#This Row],[Device type]],7)="Winding","-",TWZ[[#This Row],[Cont Shoulder MVA]])</f>
        <v>45.72614131981836</v>
      </c>
      <c r="AV27" s="9">
        <f>IF(RIGHT(TWZ[[#This Row],[Device type]],7)="Winding","-",TWZ[[#This Row],[Cont Summer MVA]])</f>
        <v>45.72614131981836</v>
      </c>
      <c r="AW27" s="9" t="str">
        <f>TWZ[[#This Row],[24 Hr Winter MVA]]</f>
        <v>-</v>
      </c>
      <c r="AX27" s="9">
        <f>TWZ[[#This Row],[24 Hr Summer MVA]]</f>
        <v>45.72614131981836</v>
      </c>
      <c r="AY27" s="9" t="str">
        <f>TWZ[[#This Row],[Forwards MVA]]</f>
        <v>-</v>
      </c>
      <c r="AZ27" s="9" t="str">
        <f>TWZ[[#This Row],[Relay MVA]]</f>
        <v>-</v>
      </c>
      <c r="BA27" s="9" t="str">
        <f>TWZ[[#This Row],[CT MVA]]</f>
        <v>-</v>
      </c>
      <c r="BB27" s="9" t="str">
        <f>TWZ[[#This Row],[Derating MVA]]</f>
        <v>-</v>
      </c>
      <c r="BC27" s="9" t="str">
        <f>TWZ[[#This Row],[Station/Feeder]]&amp;TWZ[[#This Row],[Lowest MVA]]</f>
        <v>TWZ_GXP45.7261413198184</v>
      </c>
      <c r="BD27" s="9" t="str">
        <f>CONCATENATE(TWZ[[#This Row],[Supply Level]],TWZ[[#This Row],[Station/Feeder]],TWZ[[#This Row],[Voltage]],TWZ[[#This Row],[Lowest A-No PTX]])</f>
        <v>GXPTWZ_GXP33800</v>
      </c>
      <c r="BE27" s="9" t="str">
        <f>CONCATENATE(TWZ[[#This Row],[Supply Level]],TWZ[[#This Row],[Station/Feeder]],TWZ[[#This Row],[Voltage]],TWZ[[#This Row],[Lowest A-PTX]])</f>
        <v>GXPTWZ_GXP33800</v>
      </c>
      <c r="BF27" s="9">
        <f>IFERROR(IF(MIN(TWZ[[#This Row],[Summ Cont Winter A]:[Cable Derating]])=0,"",MIN(TWZ[[#This Row],[Summ Cont Winter A]:[Cable Derating]])),"")</f>
        <v>45.72614131981836</v>
      </c>
      <c r="BG27" s="9">
        <f>IFERROR(TWZ[[#This Row],[Lowest MVA]]*1000/(TWZ[[#This Row],[Voltage]]*SQRT(3)),"")</f>
        <v>800</v>
      </c>
      <c r="BH27" s="9">
        <f t="shared" si="10"/>
        <v>800</v>
      </c>
      <c r="BI27" s="9" t="str">
        <f>TWZ[[#This Row],[From]]</f>
        <v>220 kV Bus</v>
      </c>
      <c r="BJ27" s="9" t="str">
        <f>TWZ[[#This Row],[To]]</f>
        <v>33 kV Bus</v>
      </c>
      <c r="BK27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Breaker-TWZ-CB6302-Current Transformer</v>
      </c>
      <c r="BL27" s="9">
        <f>TWZ[[#This Row],[Voltage]]</f>
        <v>33</v>
      </c>
    </row>
    <row r="28" spans="1:64" s="1" customFormat="1" x14ac:dyDescent="0.25">
      <c r="A28" s="353" t="str">
        <f>CONCATENATE(TWZ[[#This Row],[Supply Level]],TWZ[[#This Row],[Station/Feeder]],TWZ[[#This Row],[Voltage]])</f>
        <v>GXPTWZ_GXP33</v>
      </c>
      <c r="B28" s="353" t="str">
        <f>CONCATENATE(TWZ[[#This Row],[Supply Level]],TWZ[[#This Row],[Station/Feeder]],TWZ[[#This Row],[Equipment ID]],TWZ[[#This Row],[Voltage]],TWZ[[#This Row],[Device type]])</f>
        <v>GXPTWZ_GXPTWZ-CB630233Protection</v>
      </c>
      <c r="C28" s="6" t="s">
        <v>4</v>
      </c>
      <c r="D28" s="11" t="s">
        <v>78</v>
      </c>
      <c r="E28" s="6" t="s">
        <v>62</v>
      </c>
      <c r="F28" s="6" t="s">
        <v>63</v>
      </c>
      <c r="G28" s="27">
        <v>4</v>
      </c>
      <c r="H28" s="49" t="s">
        <v>271</v>
      </c>
      <c r="I28" s="7" t="s">
        <v>2328</v>
      </c>
      <c r="J28" s="7" t="s">
        <v>15</v>
      </c>
      <c r="K28" s="7" t="s">
        <v>1121</v>
      </c>
      <c r="L28" s="7" t="s">
        <v>1423</v>
      </c>
      <c r="M28" s="43">
        <v>33</v>
      </c>
      <c r="N28" s="9" t="s">
        <v>0</v>
      </c>
      <c r="O28" s="9" t="str">
        <f t="shared" si="0"/>
        <v>-</v>
      </c>
      <c r="P28" s="9" t="s">
        <v>0</v>
      </c>
      <c r="Q28" s="9" t="str">
        <f t="shared" si="1"/>
        <v>-</v>
      </c>
      <c r="R28" s="9" t="s">
        <v>0</v>
      </c>
      <c r="S28" s="9" t="str">
        <f t="shared" si="2"/>
        <v>-</v>
      </c>
      <c r="T28" s="9" t="s">
        <v>0</v>
      </c>
      <c r="U28" s="9" t="str">
        <f t="shared" si="3"/>
        <v>-</v>
      </c>
      <c r="V28" s="9" t="s">
        <v>0</v>
      </c>
      <c r="W28" s="9" t="str">
        <f t="shared" si="4"/>
        <v>-</v>
      </c>
      <c r="X28" s="9">
        <v>623</v>
      </c>
      <c r="Y28" s="9">
        <f t="shared" si="5"/>
        <v>35.60923255280855</v>
      </c>
      <c r="Z28" s="9">
        <v>623</v>
      </c>
      <c r="AA28" s="9">
        <f t="shared" si="6"/>
        <v>35.60923255280855</v>
      </c>
      <c r="AB28" s="9">
        <v>2400</v>
      </c>
      <c r="AC28" s="9">
        <f t="shared" si="7"/>
        <v>137.17842395945507</v>
      </c>
      <c r="AD28" s="9">
        <v>960</v>
      </c>
      <c r="AE28" s="12">
        <f t="shared" si="8"/>
        <v>54.871369583782027</v>
      </c>
      <c r="AF28" s="29" t="s">
        <v>0</v>
      </c>
      <c r="AG28" s="29" t="s">
        <v>0</v>
      </c>
      <c r="AH28" s="8" t="s">
        <v>0</v>
      </c>
      <c r="AI28" s="29" t="s">
        <v>0</v>
      </c>
      <c r="AJ28" s="32" t="s">
        <v>0</v>
      </c>
      <c r="AK28" s="29" t="s">
        <v>0</v>
      </c>
      <c r="AL28" s="32" t="s">
        <v>0</v>
      </c>
      <c r="AM28" s="29" t="s">
        <v>0</v>
      </c>
      <c r="AN28" s="32" t="s">
        <v>0</v>
      </c>
      <c r="AO28" s="29" t="s">
        <v>0</v>
      </c>
      <c r="AP28" s="32" t="s">
        <v>0</v>
      </c>
      <c r="AQ28" s="32" t="s">
        <v>0</v>
      </c>
      <c r="AR28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28" s="9" t="str">
        <f t="shared" si="9"/>
        <v>-</v>
      </c>
      <c r="AT28" s="9" t="str">
        <f>IF(RIGHT(TWZ[[#This Row],[Device type]],7)="Winding","-",TWZ[[#This Row],[Cont Winter MVA]])</f>
        <v>-</v>
      </c>
      <c r="AU28" s="9" t="str">
        <f>IF(RIGHT(TWZ[[#This Row],[Device type]],7)="Winding","-",TWZ[[#This Row],[Cont Shoulder MVA]])</f>
        <v>-</v>
      </c>
      <c r="AV28" s="9" t="str">
        <f>IF(RIGHT(TWZ[[#This Row],[Device type]],7)="Winding","-",TWZ[[#This Row],[Cont Summer MVA]])</f>
        <v>-</v>
      </c>
      <c r="AW28" s="9" t="str">
        <f>TWZ[[#This Row],[24 Hr Winter MVA]]</f>
        <v>-</v>
      </c>
      <c r="AX28" s="9" t="str">
        <f>TWZ[[#This Row],[24 Hr Summer MVA]]</f>
        <v>-</v>
      </c>
      <c r="AY28" s="9">
        <f>TWZ[[#This Row],[Forwards MVA]]</f>
        <v>35.60923255280855</v>
      </c>
      <c r="AZ28" s="9">
        <f>TWZ[[#This Row],[Relay MVA]]</f>
        <v>137.17842395945507</v>
      </c>
      <c r="BA28" s="9">
        <f>TWZ[[#This Row],[CT MVA]]</f>
        <v>54.871369583782027</v>
      </c>
      <c r="BB28" s="9" t="str">
        <f>TWZ[[#This Row],[Derating MVA]]</f>
        <v>-</v>
      </c>
      <c r="BC28" s="9" t="str">
        <f>TWZ[[#This Row],[Station/Feeder]]&amp;TWZ[[#This Row],[Lowest MVA]]</f>
        <v>TWZ_GXP35.6092325528085</v>
      </c>
      <c r="BD28" s="9" t="str">
        <f>CONCATENATE(TWZ[[#This Row],[Supply Level]],TWZ[[#This Row],[Station/Feeder]],TWZ[[#This Row],[Voltage]],TWZ[[#This Row],[Lowest A-No PTX]])</f>
        <v>GXPTWZ_GXP33623</v>
      </c>
      <c r="BE28" s="9" t="str">
        <f>CONCATENATE(TWZ[[#This Row],[Supply Level]],TWZ[[#This Row],[Station/Feeder]],TWZ[[#This Row],[Voltage]],TWZ[[#This Row],[Lowest A-PTX]])</f>
        <v>GXPTWZ_GXP33623</v>
      </c>
      <c r="BF28" s="9">
        <f>IFERROR(IF(MIN(TWZ[[#This Row],[Summ Cont Winter A]:[Cable Derating]])=0,"",MIN(TWZ[[#This Row],[Summ Cont Winter A]:[Cable Derating]])),"")</f>
        <v>35.60923255280855</v>
      </c>
      <c r="BG28" s="9">
        <f>IFERROR(TWZ[[#This Row],[Lowest MVA]]*1000/(TWZ[[#This Row],[Voltage]]*SQRT(3)),"")</f>
        <v>623.00000000000011</v>
      </c>
      <c r="BH28" s="9">
        <f t="shared" si="10"/>
        <v>623</v>
      </c>
      <c r="BI28" s="9" t="str">
        <f>TWZ[[#This Row],[From]]</f>
        <v>220 kV Bus</v>
      </c>
      <c r="BJ28" s="9" t="str">
        <f>TWZ[[#This Row],[To]]</f>
        <v>33 kV Bus</v>
      </c>
      <c r="BK28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Breaker-TWZ-CB6302-Protection</v>
      </c>
      <c r="BL28" s="9">
        <f>TWZ[[#This Row],[Voltage]]</f>
        <v>33</v>
      </c>
    </row>
    <row r="29" spans="1:64" s="1" customFormat="1" ht="15" customHeight="1" x14ac:dyDescent="0.25">
      <c r="A29" s="353" t="str">
        <f>CONCATENATE(TWZ[[#This Row],[Supply Level]],TWZ[[#This Row],[Station/Feeder]],TWZ[[#This Row],[Voltage]])</f>
        <v>GXPTWZ_GXP33</v>
      </c>
      <c r="B29" s="353" t="str">
        <f>CONCATENATE(TWZ[[#This Row],[Supply Level]],TWZ[[#This Row],[Station/Feeder]],TWZ[[#This Row],[Equipment ID]],TWZ[[#This Row],[Voltage]],TWZ[[#This Row],[Device type]])</f>
        <v>GXPTWZ_GXPDS630433Disconnector</v>
      </c>
      <c r="C29" s="6" t="s">
        <v>4</v>
      </c>
      <c r="D29" s="11" t="s">
        <v>78</v>
      </c>
      <c r="E29" s="6" t="s">
        <v>62</v>
      </c>
      <c r="F29" s="6" t="s">
        <v>63</v>
      </c>
      <c r="G29" s="27">
        <v>5</v>
      </c>
      <c r="H29" s="49" t="s">
        <v>271</v>
      </c>
      <c r="I29" s="7" t="s">
        <v>25</v>
      </c>
      <c r="J29" s="7" t="s">
        <v>17</v>
      </c>
      <c r="K29" s="7" t="s">
        <v>13</v>
      </c>
      <c r="L29" s="7" t="s">
        <v>17</v>
      </c>
      <c r="M29" s="43">
        <v>33</v>
      </c>
      <c r="N29" s="9">
        <v>800</v>
      </c>
      <c r="O29" s="9">
        <f t="shared" si="0"/>
        <v>45.72614131981836</v>
      </c>
      <c r="P29" s="9">
        <v>800</v>
      </c>
      <c r="Q29" s="9">
        <f t="shared" si="1"/>
        <v>45.72614131981836</v>
      </c>
      <c r="R29" s="9">
        <v>800</v>
      </c>
      <c r="S29" s="9">
        <f t="shared" si="2"/>
        <v>45.72614131981836</v>
      </c>
      <c r="T29" s="9" t="s">
        <v>0</v>
      </c>
      <c r="U29" s="9" t="str">
        <f t="shared" si="3"/>
        <v>-</v>
      </c>
      <c r="V29" s="9">
        <v>800</v>
      </c>
      <c r="W29" s="9">
        <f t="shared" si="4"/>
        <v>45.72614131981836</v>
      </c>
      <c r="X29" s="9" t="s">
        <v>0</v>
      </c>
      <c r="Y29" s="9" t="str">
        <f t="shared" si="5"/>
        <v>-</v>
      </c>
      <c r="Z29" s="9" t="s">
        <v>0</v>
      </c>
      <c r="AA29" s="9" t="str">
        <f t="shared" si="6"/>
        <v>-</v>
      </c>
      <c r="AB29" s="9" t="s">
        <v>0</v>
      </c>
      <c r="AC29" s="9" t="str">
        <f t="shared" si="7"/>
        <v>-</v>
      </c>
      <c r="AD29" s="9" t="s">
        <v>0</v>
      </c>
      <c r="AE29" s="12" t="str">
        <f t="shared" si="8"/>
        <v>-</v>
      </c>
      <c r="AF29" s="29" t="s">
        <v>0</v>
      </c>
      <c r="AG29" s="29" t="s">
        <v>0</v>
      </c>
      <c r="AH29" s="8" t="s">
        <v>0</v>
      </c>
      <c r="AI29" s="29" t="s">
        <v>0</v>
      </c>
      <c r="AJ29" s="32" t="s">
        <v>0</v>
      </c>
      <c r="AK29" s="29" t="s">
        <v>0</v>
      </c>
      <c r="AL29" s="32" t="s">
        <v>0</v>
      </c>
      <c r="AM29" s="29" t="s">
        <v>0</v>
      </c>
      <c r="AN29" s="32" t="s">
        <v>0</v>
      </c>
      <c r="AO29" s="29" t="s">
        <v>0</v>
      </c>
      <c r="AP29" s="32" t="s">
        <v>0</v>
      </c>
      <c r="AQ29" s="32" t="s">
        <v>0</v>
      </c>
      <c r="AR29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29" s="9" t="str">
        <f t="shared" si="9"/>
        <v>-</v>
      </c>
      <c r="AT29" s="9">
        <f>IF(RIGHT(TWZ[[#This Row],[Device type]],7)="Winding","-",TWZ[[#This Row],[Cont Winter MVA]])</f>
        <v>45.72614131981836</v>
      </c>
      <c r="AU29" s="9">
        <f>IF(RIGHT(TWZ[[#This Row],[Device type]],7)="Winding","-",TWZ[[#This Row],[Cont Shoulder MVA]])</f>
        <v>45.72614131981836</v>
      </c>
      <c r="AV29" s="9">
        <f>IF(RIGHT(TWZ[[#This Row],[Device type]],7)="Winding","-",TWZ[[#This Row],[Cont Summer MVA]])</f>
        <v>45.72614131981836</v>
      </c>
      <c r="AW29" s="9" t="str">
        <f>TWZ[[#This Row],[24 Hr Winter MVA]]</f>
        <v>-</v>
      </c>
      <c r="AX29" s="9">
        <f>TWZ[[#This Row],[24 Hr Summer MVA]]</f>
        <v>45.72614131981836</v>
      </c>
      <c r="AY29" s="9" t="str">
        <f>TWZ[[#This Row],[Forwards MVA]]</f>
        <v>-</v>
      </c>
      <c r="AZ29" s="9" t="str">
        <f>TWZ[[#This Row],[Relay MVA]]</f>
        <v>-</v>
      </c>
      <c r="BA29" s="9" t="str">
        <f>TWZ[[#This Row],[CT MVA]]</f>
        <v>-</v>
      </c>
      <c r="BB29" s="9" t="str">
        <f>TWZ[[#This Row],[Derating MVA]]</f>
        <v>-</v>
      </c>
      <c r="BC29" s="9" t="str">
        <f>TWZ[[#This Row],[Station/Feeder]]&amp;TWZ[[#This Row],[Lowest MVA]]</f>
        <v>TWZ_GXP45.7261413198184</v>
      </c>
      <c r="BD29" s="9" t="str">
        <f>CONCATENATE(TWZ[[#This Row],[Supply Level]],TWZ[[#This Row],[Station/Feeder]],TWZ[[#This Row],[Voltage]],TWZ[[#This Row],[Lowest A-No PTX]])</f>
        <v>GXPTWZ_GXP33800</v>
      </c>
      <c r="BE29" s="9" t="str">
        <f>CONCATENATE(TWZ[[#This Row],[Supply Level]],TWZ[[#This Row],[Station/Feeder]],TWZ[[#This Row],[Voltage]],TWZ[[#This Row],[Lowest A-PTX]])</f>
        <v>GXPTWZ_GXP33800</v>
      </c>
      <c r="BF29" s="9">
        <f>IFERROR(IF(MIN(TWZ[[#This Row],[Summ Cont Winter A]:[Cable Derating]])=0,"",MIN(TWZ[[#This Row],[Summ Cont Winter A]:[Cable Derating]])),"")</f>
        <v>45.72614131981836</v>
      </c>
      <c r="BG29" s="9">
        <f>IFERROR(TWZ[[#This Row],[Lowest MVA]]*1000/(TWZ[[#This Row],[Voltage]]*SQRT(3)),"")</f>
        <v>800</v>
      </c>
      <c r="BH29" s="9">
        <f t="shared" si="10"/>
        <v>800</v>
      </c>
      <c r="BI29" s="9" t="str">
        <f>TWZ[[#This Row],[From]]</f>
        <v>220 kV Bus</v>
      </c>
      <c r="BJ29" s="9" t="str">
        <f>TWZ[[#This Row],[To]]</f>
        <v>33 kV Bus</v>
      </c>
      <c r="BK29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Disconnector-DS6304-Disconnector</v>
      </c>
      <c r="BL29" s="9">
        <f>TWZ[[#This Row],[Voltage]]</f>
        <v>33</v>
      </c>
    </row>
    <row r="30" spans="1:64" s="1" customFormat="1" ht="15" customHeight="1" x14ac:dyDescent="0.25">
      <c r="A30" s="353" t="str">
        <f>CONCATENATE(TWZ[[#This Row],[Supply Level]],TWZ[[#This Row],[Station/Feeder]],TWZ[[#This Row],[Voltage]])</f>
        <v>GXPTWZ_GXP33</v>
      </c>
      <c r="B30" s="353" t="str">
        <f>CONCATENATE(TWZ[[#This Row],[Supply Level]],TWZ[[#This Row],[Station/Feeder]],TWZ[[#This Row],[Equipment ID]],TWZ[[#This Row],[Voltage]],TWZ[[#This Row],[Device type]])</f>
        <v>GXPTWZ_GXPDS631433Disconnector</v>
      </c>
      <c r="C30" s="6" t="s">
        <v>4</v>
      </c>
      <c r="D30" s="11" t="s">
        <v>78</v>
      </c>
      <c r="E30" s="6" t="s">
        <v>63</v>
      </c>
      <c r="F30" s="6" t="s">
        <v>42</v>
      </c>
      <c r="G30" s="27">
        <v>6</v>
      </c>
      <c r="H30" s="49" t="s">
        <v>272</v>
      </c>
      <c r="I30" s="7" t="s">
        <v>49</v>
      </c>
      <c r="J30" s="7" t="s">
        <v>17</v>
      </c>
      <c r="K30" s="7" t="s">
        <v>46</v>
      </c>
      <c r="L30" s="7" t="s">
        <v>17</v>
      </c>
      <c r="M30" s="43">
        <v>33</v>
      </c>
      <c r="N30" s="8">
        <v>800</v>
      </c>
      <c r="O30" s="9">
        <f t="shared" si="0"/>
        <v>45.72614131981836</v>
      </c>
      <c r="P30" s="8">
        <v>800</v>
      </c>
      <c r="Q30" s="9">
        <f t="shared" si="1"/>
        <v>45.72614131981836</v>
      </c>
      <c r="R30" s="8">
        <v>800</v>
      </c>
      <c r="S30" s="9">
        <f t="shared" si="2"/>
        <v>45.72614131981836</v>
      </c>
      <c r="T30" s="9" t="s">
        <v>0</v>
      </c>
      <c r="U30" s="9" t="str">
        <f t="shared" si="3"/>
        <v>-</v>
      </c>
      <c r="V30" s="8">
        <v>800</v>
      </c>
      <c r="W30" s="9">
        <f t="shared" si="4"/>
        <v>45.72614131981836</v>
      </c>
      <c r="X30" s="9" t="s">
        <v>0</v>
      </c>
      <c r="Y30" s="9" t="str">
        <f t="shared" si="5"/>
        <v>-</v>
      </c>
      <c r="Z30" s="9" t="s">
        <v>0</v>
      </c>
      <c r="AA30" s="9" t="str">
        <f t="shared" si="6"/>
        <v>-</v>
      </c>
      <c r="AB30" s="9" t="s">
        <v>0</v>
      </c>
      <c r="AC30" s="9" t="str">
        <f t="shared" si="7"/>
        <v>-</v>
      </c>
      <c r="AD30" s="9" t="s">
        <v>0</v>
      </c>
      <c r="AE30" s="12" t="str">
        <f t="shared" si="8"/>
        <v>-</v>
      </c>
      <c r="AF30" s="29" t="s">
        <v>0</v>
      </c>
      <c r="AG30" s="29" t="s">
        <v>0</v>
      </c>
      <c r="AH30" s="8" t="s">
        <v>0</v>
      </c>
      <c r="AI30" s="29" t="s">
        <v>0</v>
      </c>
      <c r="AJ30" s="32" t="s">
        <v>0</v>
      </c>
      <c r="AK30" s="29" t="s">
        <v>0</v>
      </c>
      <c r="AL30" s="32" t="s">
        <v>0</v>
      </c>
      <c r="AM30" s="29" t="s">
        <v>0</v>
      </c>
      <c r="AN30" s="32" t="s">
        <v>0</v>
      </c>
      <c r="AO30" s="29" t="s">
        <v>0</v>
      </c>
      <c r="AP30" s="32" t="s">
        <v>0</v>
      </c>
      <c r="AQ30" s="32" t="s">
        <v>0</v>
      </c>
      <c r="AR30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30" s="9" t="str">
        <f t="shared" si="9"/>
        <v>-</v>
      </c>
      <c r="AT30" s="9">
        <f>IF(RIGHT(TWZ[[#This Row],[Device type]],7)="Winding","-",TWZ[[#This Row],[Cont Winter MVA]])</f>
        <v>45.72614131981836</v>
      </c>
      <c r="AU30" s="9">
        <f>IF(RIGHT(TWZ[[#This Row],[Device type]],7)="Winding","-",TWZ[[#This Row],[Cont Shoulder MVA]])</f>
        <v>45.72614131981836</v>
      </c>
      <c r="AV30" s="9">
        <f>IF(RIGHT(TWZ[[#This Row],[Device type]],7)="Winding","-",TWZ[[#This Row],[Cont Summer MVA]])</f>
        <v>45.72614131981836</v>
      </c>
      <c r="AW30" s="9" t="str">
        <f>TWZ[[#This Row],[24 Hr Winter MVA]]</f>
        <v>-</v>
      </c>
      <c r="AX30" s="9">
        <f>TWZ[[#This Row],[24 Hr Summer MVA]]</f>
        <v>45.72614131981836</v>
      </c>
      <c r="AY30" s="9" t="str">
        <f>TWZ[[#This Row],[Forwards MVA]]</f>
        <v>-</v>
      </c>
      <c r="AZ30" s="9" t="str">
        <f>TWZ[[#This Row],[Relay MVA]]</f>
        <v>-</v>
      </c>
      <c r="BA30" s="9" t="str">
        <f>TWZ[[#This Row],[CT MVA]]</f>
        <v>-</v>
      </c>
      <c r="BB30" s="9" t="str">
        <f>TWZ[[#This Row],[Derating MVA]]</f>
        <v>-</v>
      </c>
      <c r="BC30" s="9" t="str">
        <f>TWZ[[#This Row],[Station/Feeder]]&amp;TWZ[[#This Row],[Lowest MVA]]</f>
        <v>TWZ_GXP45.7261413198184</v>
      </c>
      <c r="BD30" s="9" t="str">
        <f>CONCATENATE(TWZ[[#This Row],[Supply Level]],TWZ[[#This Row],[Station/Feeder]],TWZ[[#This Row],[Voltage]],TWZ[[#This Row],[Lowest A-No PTX]])</f>
        <v>GXPTWZ_GXP33800</v>
      </c>
      <c r="BE30" s="9" t="str">
        <f>CONCATENATE(TWZ[[#This Row],[Supply Level]],TWZ[[#This Row],[Station/Feeder]],TWZ[[#This Row],[Voltage]],TWZ[[#This Row],[Lowest A-PTX]])</f>
        <v>GXPTWZ_GXP33800</v>
      </c>
      <c r="BF30" s="9">
        <f>IFERROR(IF(MIN(TWZ[[#This Row],[Summ Cont Winter A]:[Cable Derating]])=0,"",MIN(TWZ[[#This Row],[Summ Cont Winter A]:[Cable Derating]])),"")</f>
        <v>45.72614131981836</v>
      </c>
      <c r="BG30" s="9">
        <f>IFERROR(TWZ[[#This Row],[Lowest MVA]]*1000/(TWZ[[#This Row],[Voltage]]*SQRT(3)),"")</f>
        <v>800</v>
      </c>
      <c r="BH30" s="9">
        <f t="shared" si="10"/>
        <v>800</v>
      </c>
      <c r="BI30" s="9" t="str">
        <f>TWZ[[#This Row],[From]]</f>
        <v>33 kV Bus</v>
      </c>
      <c r="BJ30" s="9" t="str">
        <f>TWZ[[#This Row],[To]]</f>
        <v>CB6316</v>
      </c>
      <c r="BK30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Disconnector-DS6314-Disconnector</v>
      </c>
      <c r="BL30" s="9">
        <f>TWZ[[#This Row],[Voltage]]</f>
        <v>33</v>
      </c>
    </row>
    <row r="31" spans="1:64" s="1" customFormat="1" x14ac:dyDescent="0.25">
      <c r="A31" s="353" t="str">
        <f>CONCATENATE(TWZ[[#This Row],[Supply Level]],TWZ[[#This Row],[Station/Feeder]],TWZ[[#This Row],[Voltage]])</f>
        <v>GXPTWZ_GXP33</v>
      </c>
      <c r="B31" s="353" t="str">
        <f>CONCATENATE(TWZ[[#This Row],[Supply Level]],TWZ[[#This Row],[Station/Feeder]],TWZ[[#This Row],[Equipment ID]],TWZ[[#This Row],[Voltage]],TWZ[[#This Row],[Device type]])</f>
        <v>GXPTWZ_GXPTWZ-CB631233Circuit Breaker</v>
      </c>
      <c r="C31" s="6" t="s">
        <v>4</v>
      </c>
      <c r="D31" s="11" t="s">
        <v>78</v>
      </c>
      <c r="E31" s="6" t="s">
        <v>63</v>
      </c>
      <c r="F31" s="6" t="s">
        <v>42</v>
      </c>
      <c r="G31" s="27">
        <v>7</v>
      </c>
      <c r="H31" s="49" t="s">
        <v>272</v>
      </c>
      <c r="I31" s="7" t="s">
        <v>2329</v>
      </c>
      <c r="J31" s="7" t="s">
        <v>15</v>
      </c>
      <c r="K31" s="7" t="s">
        <v>43</v>
      </c>
      <c r="L31" s="7" t="s">
        <v>15</v>
      </c>
      <c r="M31" s="43">
        <v>33</v>
      </c>
      <c r="N31" s="8">
        <v>400</v>
      </c>
      <c r="O31" s="9">
        <f t="shared" si="0"/>
        <v>22.86307065990918</v>
      </c>
      <c r="P31" s="8">
        <v>400</v>
      </c>
      <c r="Q31" s="9">
        <f t="shared" si="1"/>
        <v>22.86307065990918</v>
      </c>
      <c r="R31" s="8">
        <v>400</v>
      </c>
      <c r="S31" s="9">
        <f t="shared" si="2"/>
        <v>22.86307065990918</v>
      </c>
      <c r="T31" s="9" t="s">
        <v>0</v>
      </c>
      <c r="U31" s="9" t="str">
        <f t="shared" si="3"/>
        <v>-</v>
      </c>
      <c r="V31" s="8">
        <v>400</v>
      </c>
      <c r="W31" s="9">
        <f t="shared" si="4"/>
        <v>22.86307065990918</v>
      </c>
      <c r="X31" s="9" t="s">
        <v>0</v>
      </c>
      <c r="Y31" s="9" t="str">
        <f t="shared" si="5"/>
        <v>-</v>
      </c>
      <c r="Z31" s="9" t="s">
        <v>0</v>
      </c>
      <c r="AA31" s="9" t="str">
        <f t="shared" si="6"/>
        <v>-</v>
      </c>
      <c r="AB31" s="9" t="s">
        <v>0</v>
      </c>
      <c r="AC31" s="9" t="str">
        <f t="shared" si="7"/>
        <v>-</v>
      </c>
      <c r="AD31" s="9" t="s">
        <v>0</v>
      </c>
      <c r="AE31" s="12" t="str">
        <f t="shared" si="8"/>
        <v>-</v>
      </c>
      <c r="AF31" s="29" t="s">
        <v>0</v>
      </c>
      <c r="AG31" s="29" t="s">
        <v>0</v>
      </c>
      <c r="AH31" s="8" t="s">
        <v>0</v>
      </c>
      <c r="AI31" s="29" t="s">
        <v>0</v>
      </c>
      <c r="AJ31" s="32" t="s">
        <v>0</v>
      </c>
      <c r="AK31" s="29" t="s">
        <v>0</v>
      </c>
      <c r="AL31" s="32" t="s">
        <v>0</v>
      </c>
      <c r="AM31" s="29" t="s">
        <v>0</v>
      </c>
      <c r="AN31" s="32" t="s">
        <v>0</v>
      </c>
      <c r="AO31" s="29" t="s">
        <v>0</v>
      </c>
      <c r="AP31" s="32" t="s">
        <v>0</v>
      </c>
      <c r="AQ31" s="32" t="s">
        <v>0</v>
      </c>
      <c r="AR31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31" s="9" t="str">
        <f t="shared" si="9"/>
        <v>-</v>
      </c>
      <c r="AT31" s="9">
        <f>IF(RIGHT(TWZ[[#This Row],[Device type]],7)="Winding","-",TWZ[[#This Row],[Cont Winter MVA]])</f>
        <v>22.86307065990918</v>
      </c>
      <c r="AU31" s="9">
        <f>IF(RIGHT(TWZ[[#This Row],[Device type]],7)="Winding","-",TWZ[[#This Row],[Cont Shoulder MVA]])</f>
        <v>22.86307065990918</v>
      </c>
      <c r="AV31" s="9">
        <f>IF(RIGHT(TWZ[[#This Row],[Device type]],7)="Winding","-",TWZ[[#This Row],[Cont Summer MVA]])</f>
        <v>22.86307065990918</v>
      </c>
      <c r="AW31" s="9" t="str">
        <f>TWZ[[#This Row],[24 Hr Winter MVA]]</f>
        <v>-</v>
      </c>
      <c r="AX31" s="9">
        <f>TWZ[[#This Row],[24 Hr Summer MVA]]</f>
        <v>22.86307065990918</v>
      </c>
      <c r="AY31" s="9" t="str">
        <f>TWZ[[#This Row],[Forwards MVA]]</f>
        <v>-</v>
      </c>
      <c r="AZ31" s="9" t="str">
        <f>TWZ[[#This Row],[Relay MVA]]</f>
        <v>-</v>
      </c>
      <c r="BA31" s="9" t="str">
        <f>TWZ[[#This Row],[CT MVA]]</f>
        <v>-</v>
      </c>
      <c r="BB31" s="9" t="str">
        <f>TWZ[[#This Row],[Derating MVA]]</f>
        <v>-</v>
      </c>
      <c r="BC31" s="9" t="str">
        <f>TWZ[[#This Row],[Station/Feeder]]&amp;TWZ[[#This Row],[Lowest MVA]]</f>
        <v>TWZ_GXP22.8630706599092</v>
      </c>
      <c r="BD31" s="9" t="str">
        <f>CONCATENATE(TWZ[[#This Row],[Supply Level]],TWZ[[#This Row],[Station/Feeder]],TWZ[[#This Row],[Voltage]],TWZ[[#This Row],[Lowest A-No PTX]])</f>
        <v>GXPTWZ_GXP33400</v>
      </c>
      <c r="BE31" s="9" t="str">
        <f>CONCATENATE(TWZ[[#This Row],[Supply Level]],TWZ[[#This Row],[Station/Feeder]],TWZ[[#This Row],[Voltage]],TWZ[[#This Row],[Lowest A-PTX]])</f>
        <v>GXPTWZ_GXP33400</v>
      </c>
      <c r="BF31" s="9">
        <f>IFERROR(IF(MIN(TWZ[[#This Row],[Summ Cont Winter A]:[Cable Derating]])=0,"",MIN(TWZ[[#This Row],[Summ Cont Winter A]:[Cable Derating]])),"")</f>
        <v>22.86307065990918</v>
      </c>
      <c r="BG31" s="9">
        <f>IFERROR(TWZ[[#This Row],[Lowest MVA]]*1000/(TWZ[[#This Row],[Voltage]]*SQRT(3)),"")</f>
        <v>400</v>
      </c>
      <c r="BH31" s="9">
        <f t="shared" si="10"/>
        <v>400</v>
      </c>
      <c r="BI31" s="9" t="str">
        <f>TWZ[[#This Row],[From]]</f>
        <v>33 kV Bus</v>
      </c>
      <c r="BJ31" s="9" t="str">
        <f>TWZ[[#This Row],[To]]</f>
        <v>CB6316</v>
      </c>
      <c r="BK31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Breaker-TWZ-CB6312-Circuit Breaker</v>
      </c>
      <c r="BL31" s="9">
        <f>TWZ[[#This Row],[Voltage]]</f>
        <v>33</v>
      </c>
    </row>
    <row r="32" spans="1:64" s="1" customFormat="1" ht="15" customHeight="1" x14ac:dyDescent="0.25">
      <c r="A32" s="353" t="str">
        <f>CONCATENATE(TWZ[[#This Row],[Supply Level]],TWZ[[#This Row],[Station/Feeder]],TWZ[[#This Row],[Voltage]])</f>
        <v>GXPTWZ_GXP33</v>
      </c>
      <c r="B32" s="353" t="str">
        <f>CONCATENATE(TWZ[[#This Row],[Supply Level]],TWZ[[#This Row],[Station/Feeder]],TWZ[[#This Row],[Equipment ID]],TWZ[[#This Row],[Voltage]],TWZ[[#This Row],[Device type]])</f>
        <v>GXPTWZ_GXPTWZ-CB631233Current Transformer</v>
      </c>
      <c r="C32" s="6" t="s">
        <v>4</v>
      </c>
      <c r="D32" s="11" t="s">
        <v>78</v>
      </c>
      <c r="E32" s="6" t="s">
        <v>63</v>
      </c>
      <c r="F32" s="6" t="s">
        <v>42</v>
      </c>
      <c r="G32" s="27">
        <v>7</v>
      </c>
      <c r="H32" s="49" t="s">
        <v>272</v>
      </c>
      <c r="I32" s="7" t="s">
        <v>2329</v>
      </c>
      <c r="J32" s="7" t="s">
        <v>15</v>
      </c>
      <c r="K32" s="7" t="s">
        <v>43</v>
      </c>
      <c r="L32" s="7" t="s">
        <v>16</v>
      </c>
      <c r="M32" s="43">
        <v>33</v>
      </c>
      <c r="N32" s="8">
        <v>400</v>
      </c>
      <c r="O32" s="9">
        <f t="shared" si="0"/>
        <v>22.86307065990918</v>
      </c>
      <c r="P32" s="8">
        <v>400</v>
      </c>
      <c r="Q32" s="9">
        <f t="shared" si="1"/>
        <v>22.86307065990918</v>
      </c>
      <c r="R32" s="8">
        <v>400</v>
      </c>
      <c r="S32" s="9">
        <f t="shared" si="2"/>
        <v>22.86307065990918</v>
      </c>
      <c r="T32" s="9" t="s">
        <v>0</v>
      </c>
      <c r="U32" s="9" t="str">
        <f t="shared" si="3"/>
        <v>-</v>
      </c>
      <c r="V32" s="8">
        <v>400</v>
      </c>
      <c r="W32" s="9">
        <f t="shared" si="4"/>
        <v>22.86307065990918</v>
      </c>
      <c r="X32" s="9" t="s">
        <v>0</v>
      </c>
      <c r="Y32" s="9" t="str">
        <f t="shared" si="5"/>
        <v>-</v>
      </c>
      <c r="Z32" s="9" t="s">
        <v>0</v>
      </c>
      <c r="AA32" s="9" t="str">
        <f t="shared" si="6"/>
        <v>-</v>
      </c>
      <c r="AB32" s="9" t="s">
        <v>0</v>
      </c>
      <c r="AC32" s="9" t="str">
        <f t="shared" si="7"/>
        <v>-</v>
      </c>
      <c r="AD32" s="9" t="s">
        <v>0</v>
      </c>
      <c r="AE32" s="12" t="str">
        <f t="shared" si="8"/>
        <v>-</v>
      </c>
      <c r="AF32" s="29" t="s">
        <v>0</v>
      </c>
      <c r="AG32" s="29" t="s">
        <v>0</v>
      </c>
      <c r="AH32" s="8" t="s">
        <v>0</v>
      </c>
      <c r="AI32" s="29" t="s">
        <v>0</v>
      </c>
      <c r="AJ32" s="32" t="s">
        <v>0</v>
      </c>
      <c r="AK32" s="29" t="s">
        <v>0</v>
      </c>
      <c r="AL32" s="32" t="s">
        <v>0</v>
      </c>
      <c r="AM32" s="29" t="s">
        <v>0</v>
      </c>
      <c r="AN32" s="32" t="s">
        <v>0</v>
      </c>
      <c r="AO32" s="29" t="s">
        <v>0</v>
      </c>
      <c r="AP32" s="32" t="s">
        <v>0</v>
      </c>
      <c r="AQ32" s="32" t="s">
        <v>0</v>
      </c>
      <c r="AR32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32" s="9" t="str">
        <f t="shared" si="9"/>
        <v>-</v>
      </c>
      <c r="AT32" s="9">
        <f>IF(RIGHT(TWZ[[#This Row],[Device type]],7)="Winding","-",TWZ[[#This Row],[Cont Winter MVA]])</f>
        <v>22.86307065990918</v>
      </c>
      <c r="AU32" s="9">
        <f>IF(RIGHT(TWZ[[#This Row],[Device type]],7)="Winding","-",TWZ[[#This Row],[Cont Shoulder MVA]])</f>
        <v>22.86307065990918</v>
      </c>
      <c r="AV32" s="9">
        <f>IF(RIGHT(TWZ[[#This Row],[Device type]],7)="Winding","-",TWZ[[#This Row],[Cont Summer MVA]])</f>
        <v>22.86307065990918</v>
      </c>
      <c r="AW32" s="9" t="str">
        <f>TWZ[[#This Row],[24 Hr Winter MVA]]</f>
        <v>-</v>
      </c>
      <c r="AX32" s="9">
        <f>TWZ[[#This Row],[24 Hr Summer MVA]]</f>
        <v>22.86307065990918</v>
      </c>
      <c r="AY32" s="9" t="str">
        <f>TWZ[[#This Row],[Forwards MVA]]</f>
        <v>-</v>
      </c>
      <c r="AZ32" s="9" t="str">
        <f>TWZ[[#This Row],[Relay MVA]]</f>
        <v>-</v>
      </c>
      <c r="BA32" s="9" t="str">
        <f>TWZ[[#This Row],[CT MVA]]</f>
        <v>-</v>
      </c>
      <c r="BB32" s="9" t="str">
        <f>TWZ[[#This Row],[Derating MVA]]</f>
        <v>-</v>
      </c>
      <c r="BC32" s="9" t="str">
        <f>TWZ[[#This Row],[Station/Feeder]]&amp;TWZ[[#This Row],[Lowest MVA]]</f>
        <v>TWZ_GXP22.8630706599092</v>
      </c>
      <c r="BD32" s="9" t="str">
        <f>CONCATENATE(TWZ[[#This Row],[Supply Level]],TWZ[[#This Row],[Station/Feeder]],TWZ[[#This Row],[Voltage]],TWZ[[#This Row],[Lowest A-No PTX]])</f>
        <v>GXPTWZ_GXP33400</v>
      </c>
      <c r="BE32" s="9" t="str">
        <f>CONCATENATE(TWZ[[#This Row],[Supply Level]],TWZ[[#This Row],[Station/Feeder]],TWZ[[#This Row],[Voltage]],TWZ[[#This Row],[Lowest A-PTX]])</f>
        <v>GXPTWZ_GXP33400</v>
      </c>
      <c r="BF32" s="9">
        <f>IFERROR(IF(MIN(TWZ[[#This Row],[Summ Cont Winter A]:[Cable Derating]])=0,"",MIN(TWZ[[#This Row],[Summ Cont Winter A]:[Cable Derating]])),"")</f>
        <v>22.86307065990918</v>
      </c>
      <c r="BG32" s="9">
        <f>IFERROR(TWZ[[#This Row],[Lowest MVA]]*1000/(TWZ[[#This Row],[Voltage]]*SQRT(3)),"")</f>
        <v>400</v>
      </c>
      <c r="BH32" s="9">
        <f t="shared" si="10"/>
        <v>400</v>
      </c>
      <c r="BI32" s="9" t="str">
        <f>TWZ[[#This Row],[From]]</f>
        <v>33 kV Bus</v>
      </c>
      <c r="BJ32" s="9" t="str">
        <f>TWZ[[#This Row],[To]]</f>
        <v>CB6316</v>
      </c>
      <c r="BK32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Breaker-TWZ-CB6312-Current Transformer</v>
      </c>
      <c r="BL32" s="9">
        <f>TWZ[[#This Row],[Voltage]]</f>
        <v>33</v>
      </c>
    </row>
    <row r="33" spans="1:64" s="1" customFormat="1" ht="15" customHeight="1" x14ac:dyDescent="0.25">
      <c r="A33" s="353" t="str">
        <f>CONCATENATE(TWZ[[#This Row],[Supply Level]],TWZ[[#This Row],[Station/Feeder]],TWZ[[#This Row],[Voltage]])</f>
        <v>GXPTWZ_GXP33</v>
      </c>
      <c r="B33" s="353" t="str">
        <f>CONCATENATE(TWZ[[#This Row],[Supply Level]],TWZ[[#This Row],[Station/Feeder]],TWZ[[#This Row],[Equipment ID]],TWZ[[#This Row],[Voltage]],TWZ[[#This Row],[Device type]])</f>
        <v>GXPTWZ_GXPTWZ-CB631233Current Transformer</v>
      </c>
      <c r="C33" s="6" t="s">
        <v>4</v>
      </c>
      <c r="D33" s="11" t="s">
        <v>78</v>
      </c>
      <c r="E33" s="6" t="s">
        <v>63</v>
      </c>
      <c r="F33" s="6" t="s">
        <v>42</v>
      </c>
      <c r="G33" s="27">
        <v>7</v>
      </c>
      <c r="H33" s="49" t="s">
        <v>272</v>
      </c>
      <c r="I33" s="7" t="s">
        <v>2329</v>
      </c>
      <c r="J33" s="7" t="s">
        <v>15</v>
      </c>
      <c r="K33" s="7" t="s">
        <v>43</v>
      </c>
      <c r="L33" s="7" t="s">
        <v>16</v>
      </c>
      <c r="M33" s="43">
        <v>33</v>
      </c>
      <c r="N33" s="8">
        <v>400</v>
      </c>
      <c r="O33" s="9">
        <f t="shared" si="0"/>
        <v>22.86307065990918</v>
      </c>
      <c r="P33" s="8">
        <v>400</v>
      </c>
      <c r="Q33" s="9">
        <f t="shared" si="1"/>
        <v>22.86307065990918</v>
      </c>
      <c r="R33" s="8">
        <v>400</v>
      </c>
      <c r="S33" s="9">
        <f t="shared" si="2"/>
        <v>22.86307065990918</v>
      </c>
      <c r="T33" s="9" t="s">
        <v>0</v>
      </c>
      <c r="U33" s="9" t="str">
        <f t="shared" si="3"/>
        <v>-</v>
      </c>
      <c r="V33" s="8">
        <v>400</v>
      </c>
      <c r="W33" s="9">
        <f t="shared" si="4"/>
        <v>22.86307065990918</v>
      </c>
      <c r="X33" s="9" t="s">
        <v>0</v>
      </c>
      <c r="Y33" s="9" t="str">
        <f t="shared" si="5"/>
        <v>-</v>
      </c>
      <c r="Z33" s="9" t="s">
        <v>0</v>
      </c>
      <c r="AA33" s="9" t="str">
        <f t="shared" si="6"/>
        <v>-</v>
      </c>
      <c r="AB33" s="9" t="s">
        <v>0</v>
      </c>
      <c r="AC33" s="9" t="str">
        <f t="shared" si="7"/>
        <v>-</v>
      </c>
      <c r="AD33" s="9" t="s">
        <v>0</v>
      </c>
      <c r="AE33" s="12" t="str">
        <f t="shared" si="8"/>
        <v>-</v>
      </c>
      <c r="AF33" s="29" t="s">
        <v>0</v>
      </c>
      <c r="AG33" s="29" t="s">
        <v>0</v>
      </c>
      <c r="AH33" s="8" t="s">
        <v>0</v>
      </c>
      <c r="AI33" s="29" t="s">
        <v>0</v>
      </c>
      <c r="AJ33" s="32" t="s">
        <v>0</v>
      </c>
      <c r="AK33" s="29" t="s">
        <v>0</v>
      </c>
      <c r="AL33" s="32" t="s">
        <v>0</v>
      </c>
      <c r="AM33" s="29" t="s">
        <v>0</v>
      </c>
      <c r="AN33" s="32" t="s">
        <v>0</v>
      </c>
      <c r="AO33" s="29" t="s">
        <v>0</v>
      </c>
      <c r="AP33" s="32" t="s">
        <v>0</v>
      </c>
      <c r="AQ33" s="32" t="s">
        <v>0</v>
      </c>
      <c r="AR33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33" s="9" t="str">
        <f t="shared" si="9"/>
        <v>-</v>
      </c>
      <c r="AT33" s="9">
        <f>IF(RIGHT(TWZ[[#This Row],[Device type]],7)="Winding","-",TWZ[[#This Row],[Cont Winter MVA]])</f>
        <v>22.86307065990918</v>
      </c>
      <c r="AU33" s="9">
        <f>IF(RIGHT(TWZ[[#This Row],[Device type]],7)="Winding","-",TWZ[[#This Row],[Cont Shoulder MVA]])</f>
        <v>22.86307065990918</v>
      </c>
      <c r="AV33" s="9">
        <f>IF(RIGHT(TWZ[[#This Row],[Device type]],7)="Winding","-",TWZ[[#This Row],[Cont Summer MVA]])</f>
        <v>22.86307065990918</v>
      </c>
      <c r="AW33" s="9" t="str">
        <f>TWZ[[#This Row],[24 Hr Winter MVA]]</f>
        <v>-</v>
      </c>
      <c r="AX33" s="9">
        <f>TWZ[[#This Row],[24 Hr Summer MVA]]</f>
        <v>22.86307065990918</v>
      </c>
      <c r="AY33" s="9" t="str">
        <f>TWZ[[#This Row],[Forwards MVA]]</f>
        <v>-</v>
      </c>
      <c r="AZ33" s="9" t="str">
        <f>TWZ[[#This Row],[Relay MVA]]</f>
        <v>-</v>
      </c>
      <c r="BA33" s="9" t="str">
        <f>TWZ[[#This Row],[CT MVA]]</f>
        <v>-</v>
      </c>
      <c r="BB33" s="9" t="str">
        <f>TWZ[[#This Row],[Derating MVA]]</f>
        <v>-</v>
      </c>
      <c r="BC33" s="9" t="str">
        <f>TWZ[[#This Row],[Station/Feeder]]&amp;TWZ[[#This Row],[Lowest MVA]]</f>
        <v>TWZ_GXP22.8630706599092</v>
      </c>
      <c r="BD33" s="9" t="str">
        <f>CONCATENATE(TWZ[[#This Row],[Supply Level]],TWZ[[#This Row],[Station/Feeder]],TWZ[[#This Row],[Voltage]],TWZ[[#This Row],[Lowest A-No PTX]])</f>
        <v>GXPTWZ_GXP33400</v>
      </c>
      <c r="BE33" s="9" t="str">
        <f>CONCATENATE(TWZ[[#This Row],[Supply Level]],TWZ[[#This Row],[Station/Feeder]],TWZ[[#This Row],[Voltage]],TWZ[[#This Row],[Lowest A-PTX]])</f>
        <v>GXPTWZ_GXP33400</v>
      </c>
      <c r="BF33" s="9">
        <f>IFERROR(IF(MIN(TWZ[[#This Row],[Summ Cont Winter A]:[Cable Derating]])=0,"",MIN(TWZ[[#This Row],[Summ Cont Winter A]:[Cable Derating]])),"")</f>
        <v>22.86307065990918</v>
      </c>
      <c r="BG33" s="9">
        <f>IFERROR(TWZ[[#This Row],[Lowest MVA]]*1000/(TWZ[[#This Row],[Voltage]]*SQRT(3)),"")</f>
        <v>400</v>
      </c>
      <c r="BH33" s="9">
        <f t="shared" si="10"/>
        <v>400</v>
      </c>
      <c r="BI33" s="9" t="str">
        <f>TWZ[[#This Row],[From]]</f>
        <v>33 kV Bus</v>
      </c>
      <c r="BJ33" s="9" t="str">
        <f>TWZ[[#This Row],[To]]</f>
        <v>CB6316</v>
      </c>
      <c r="BK33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Breaker-TWZ-CB6312-Current Transformer</v>
      </c>
      <c r="BL33" s="9">
        <f>TWZ[[#This Row],[Voltage]]</f>
        <v>33</v>
      </c>
    </row>
    <row r="34" spans="1:64" s="1" customFormat="1" ht="15" customHeight="1" x14ac:dyDescent="0.25">
      <c r="A34" s="353" t="str">
        <f>CONCATENATE(TWZ[[#This Row],[Supply Level]],TWZ[[#This Row],[Station/Feeder]],TWZ[[#This Row],[Voltage]])</f>
        <v>GXPTWZ_GXP33</v>
      </c>
      <c r="B34" s="353" t="str">
        <f>CONCATENATE(TWZ[[#This Row],[Supply Level]],TWZ[[#This Row],[Station/Feeder]],TWZ[[#This Row],[Equipment ID]],TWZ[[#This Row],[Voltage]],TWZ[[#This Row],[Device type]])</f>
        <v>GXPTWZ_GXPTWZ-CB631233Current Transformer</v>
      </c>
      <c r="C34" s="6" t="s">
        <v>4</v>
      </c>
      <c r="D34" s="11" t="s">
        <v>78</v>
      </c>
      <c r="E34" s="6" t="s">
        <v>63</v>
      </c>
      <c r="F34" s="6" t="s">
        <v>42</v>
      </c>
      <c r="G34" s="27">
        <v>7</v>
      </c>
      <c r="H34" s="49" t="s">
        <v>272</v>
      </c>
      <c r="I34" s="7" t="s">
        <v>2329</v>
      </c>
      <c r="J34" s="7" t="s">
        <v>15</v>
      </c>
      <c r="K34" s="7" t="s">
        <v>44</v>
      </c>
      <c r="L34" s="7" t="s">
        <v>16</v>
      </c>
      <c r="M34" s="43">
        <v>33</v>
      </c>
      <c r="N34" s="8">
        <v>400</v>
      </c>
      <c r="O34" s="9">
        <f t="shared" si="0"/>
        <v>22.86307065990918</v>
      </c>
      <c r="P34" s="8">
        <v>400</v>
      </c>
      <c r="Q34" s="9">
        <f t="shared" si="1"/>
        <v>22.86307065990918</v>
      </c>
      <c r="R34" s="8">
        <v>400</v>
      </c>
      <c r="S34" s="9">
        <f t="shared" si="2"/>
        <v>22.86307065990918</v>
      </c>
      <c r="T34" s="9" t="s">
        <v>0</v>
      </c>
      <c r="U34" s="9" t="str">
        <f t="shared" si="3"/>
        <v>-</v>
      </c>
      <c r="V34" s="8">
        <v>400</v>
      </c>
      <c r="W34" s="9">
        <f t="shared" si="4"/>
        <v>22.86307065990918</v>
      </c>
      <c r="X34" s="9" t="s">
        <v>0</v>
      </c>
      <c r="Y34" s="9" t="str">
        <f t="shared" si="5"/>
        <v>-</v>
      </c>
      <c r="Z34" s="9" t="s">
        <v>0</v>
      </c>
      <c r="AA34" s="9" t="str">
        <f t="shared" si="6"/>
        <v>-</v>
      </c>
      <c r="AB34" s="9" t="s">
        <v>0</v>
      </c>
      <c r="AC34" s="9" t="str">
        <f t="shared" si="7"/>
        <v>-</v>
      </c>
      <c r="AD34" s="9" t="s">
        <v>0</v>
      </c>
      <c r="AE34" s="12" t="str">
        <f t="shared" si="8"/>
        <v>-</v>
      </c>
      <c r="AF34" s="29" t="s">
        <v>0</v>
      </c>
      <c r="AG34" s="29" t="s">
        <v>0</v>
      </c>
      <c r="AH34" s="8" t="s">
        <v>0</v>
      </c>
      <c r="AI34" s="29" t="s">
        <v>0</v>
      </c>
      <c r="AJ34" s="32" t="s">
        <v>0</v>
      </c>
      <c r="AK34" s="29" t="s">
        <v>0</v>
      </c>
      <c r="AL34" s="32" t="s">
        <v>0</v>
      </c>
      <c r="AM34" s="29" t="s">
        <v>0</v>
      </c>
      <c r="AN34" s="32" t="s">
        <v>0</v>
      </c>
      <c r="AO34" s="29" t="s">
        <v>0</v>
      </c>
      <c r="AP34" s="32" t="s">
        <v>0</v>
      </c>
      <c r="AQ34" s="32" t="s">
        <v>0</v>
      </c>
      <c r="AR34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34" s="9" t="str">
        <f t="shared" si="9"/>
        <v>-</v>
      </c>
      <c r="AT34" s="9">
        <f>IF(RIGHT(TWZ[[#This Row],[Device type]],7)="Winding","-",TWZ[[#This Row],[Cont Winter MVA]])</f>
        <v>22.86307065990918</v>
      </c>
      <c r="AU34" s="9">
        <f>IF(RIGHT(TWZ[[#This Row],[Device type]],7)="Winding","-",TWZ[[#This Row],[Cont Shoulder MVA]])</f>
        <v>22.86307065990918</v>
      </c>
      <c r="AV34" s="9">
        <f>IF(RIGHT(TWZ[[#This Row],[Device type]],7)="Winding","-",TWZ[[#This Row],[Cont Summer MVA]])</f>
        <v>22.86307065990918</v>
      </c>
      <c r="AW34" s="9" t="str">
        <f>TWZ[[#This Row],[24 Hr Winter MVA]]</f>
        <v>-</v>
      </c>
      <c r="AX34" s="9">
        <f>TWZ[[#This Row],[24 Hr Summer MVA]]</f>
        <v>22.86307065990918</v>
      </c>
      <c r="AY34" s="9" t="str">
        <f>TWZ[[#This Row],[Forwards MVA]]</f>
        <v>-</v>
      </c>
      <c r="AZ34" s="9" t="str">
        <f>TWZ[[#This Row],[Relay MVA]]</f>
        <v>-</v>
      </c>
      <c r="BA34" s="9" t="str">
        <f>TWZ[[#This Row],[CT MVA]]</f>
        <v>-</v>
      </c>
      <c r="BB34" s="9" t="str">
        <f>TWZ[[#This Row],[Derating MVA]]</f>
        <v>-</v>
      </c>
      <c r="BC34" s="9" t="str">
        <f>TWZ[[#This Row],[Station/Feeder]]&amp;TWZ[[#This Row],[Lowest MVA]]</f>
        <v>TWZ_GXP22.8630706599092</v>
      </c>
      <c r="BD34" s="9" t="str">
        <f>CONCATENATE(TWZ[[#This Row],[Supply Level]],TWZ[[#This Row],[Station/Feeder]],TWZ[[#This Row],[Voltage]],TWZ[[#This Row],[Lowest A-No PTX]])</f>
        <v>GXPTWZ_GXP33400</v>
      </c>
      <c r="BE34" s="9" t="str">
        <f>CONCATENATE(TWZ[[#This Row],[Supply Level]],TWZ[[#This Row],[Station/Feeder]],TWZ[[#This Row],[Voltage]],TWZ[[#This Row],[Lowest A-PTX]])</f>
        <v>GXPTWZ_GXP33400</v>
      </c>
      <c r="BF34" s="9">
        <f>IFERROR(IF(MIN(TWZ[[#This Row],[Summ Cont Winter A]:[Cable Derating]])=0,"",MIN(TWZ[[#This Row],[Summ Cont Winter A]:[Cable Derating]])),"")</f>
        <v>22.86307065990918</v>
      </c>
      <c r="BG34" s="9">
        <f>IFERROR(TWZ[[#This Row],[Lowest MVA]]*1000/(TWZ[[#This Row],[Voltage]]*SQRT(3)),"")</f>
        <v>400</v>
      </c>
      <c r="BH34" s="9">
        <f t="shared" si="10"/>
        <v>400</v>
      </c>
      <c r="BI34" s="9" t="str">
        <f>TWZ[[#This Row],[From]]</f>
        <v>33 kV Bus</v>
      </c>
      <c r="BJ34" s="9" t="str">
        <f>TWZ[[#This Row],[To]]</f>
        <v>CB6316</v>
      </c>
      <c r="BK34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Breaker-TWZ-CB6312-Current Transformer</v>
      </c>
      <c r="BL34" s="9">
        <f>TWZ[[#This Row],[Voltage]]</f>
        <v>33</v>
      </c>
    </row>
    <row r="35" spans="1:64" s="1" customFormat="1" ht="15" customHeight="1" x14ac:dyDescent="0.25">
      <c r="A35" s="353" t="str">
        <f>CONCATENATE(TWZ[[#This Row],[Supply Level]],TWZ[[#This Row],[Station/Feeder]],TWZ[[#This Row],[Voltage]])</f>
        <v>GXPTWZ_GXP33</v>
      </c>
      <c r="B35" s="353" t="str">
        <f>CONCATENATE(TWZ[[#This Row],[Supply Level]],TWZ[[#This Row],[Station/Feeder]],TWZ[[#This Row],[Equipment ID]],TWZ[[#This Row],[Voltage]],TWZ[[#This Row],[Device type]])</f>
        <v>GXPTWZ_GXPTWZ-CB631233Current Transformer</v>
      </c>
      <c r="C35" s="6" t="s">
        <v>4</v>
      </c>
      <c r="D35" s="11" t="s">
        <v>78</v>
      </c>
      <c r="E35" s="6" t="s">
        <v>63</v>
      </c>
      <c r="F35" s="6" t="s">
        <v>42</v>
      </c>
      <c r="G35" s="27">
        <v>7</v>
      </c>
      <c r="H35" s="49" t="s">
        <v>272</v>
      </c>
      <c r="I35" s="7" t="s">
        <v>2329</v>
      </c>
      <c r="J35" s="7" t="s">
        <v>15</v>
      </c>
      <c r="K35" s="7" t="s">
        <v>44</v>
      </c>
      <c r="L35" s="7" t="s">
        <v>16</v>
      </c>
      <c r="M35" s="43">
        <v>33</v>
      </c>
      <c r="N35" s="8">
        <v>400</v>
      </c>
      <c r="O35" s="9">
        <f t="shared" si="0"/>
        <v>22.86307065990918</v>
      </c>
      <c r="P35" s="8">
        <v>400</v>
      </c>
      <c r="Q35" s="9">
        <f t="shared" si="1"/>
        <v>22.86307065990918</v>
      </c>
      <c r="R35" s="8">
        <v>400</v>
      </c>
      <c r="S35" s="9">
        <f t="shared" si="2"/>
        <v>22.86307065990918</v>
      </c>
      <c r="T35" s="9" t="s">
        <v>0</v>
      </c>
      <c r="U35" s="9" t="str">
        <f t="shared" si="3"/>
        <v>-</v>
      </c>
      <c r="V35" s="8">
        <v>400</v>
      </c>
      <c r="W35" s="9">
        <f t="shared" si="4"/>
        <v>22.86307065990918</v>
      </c>
      <c r="X35" s="9" t="s">
        <v>0</v>
      </c>
      <c r="Y35" s="9" t="str">
        <f t="shared" si="5"/>
        <v>-</v>
      </c>
      <c r="Z35" s="9" t="s">
        <v>0</v>
      </c>
      <c r="AA35" s="9" t="str">
        <f t="shared" si="6"/>
        <v>-</v>
      </c>
      <c r="AB35" s="9" t="s">
        <v>0</v>
      </c>
      <c r="AC35" s="9" t="str">
        <f t="shared" si="7"/>
        <v>-</v>
      </c>
      <c r="AD35" s="9" t="s">
        <v>0</v>
      </c>
      <c r="AE35" s="12" t="str">
        <f t="shared" si="8"/>
        <v>-</v>
      </c>
      <c r="AF35" s="29" t="s">
        <v>0</v>
      </c>
      <c r="AG35" s="29" t="s">
        <v>0</v>
      </c>
      <c r="AH35" s="8" t="s">
        <v>0</v>
      </c>
      <c r="AI35" s="29" t="s">
        <v>0</v>
      </c>
      <c r="AJ35" s="32" t="s">
        <v>0</v>
      </c>
      <c r="AK35" s="29" t="s">
        <v>0</v>
      </c>
      <c r="AL35" s="32" t="s">
        <v>0</v>
      </c>
      <c r="AM35" s="29" t="s">
        <v>0</v>
      </c>
      <c r="AN35" s="32" t="s">
        <v>0</v>
      </c>
      <c r="AO35" s="29" t="s">
        <v>0</v>
      </c>
      <c r="AP35" s="32" t="s">
        <v>0</v>
      </c>
      <c r="AQ35" s="32" t="s">
        <v>0</v>
      </c>
      <c r="AR35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35" s="9" t="str">
        <f t="shared" si="9"/>
        <v>-</v>
      </c>
      <c r="AT35" s="9">
        <f>IF(RIGHT(TWZ[[#This Row],[Device type]],7)="Winding","-",TWZ[[#This Row],[Cont Winter MVA]])</f>
        <v>22.86307065990918</v>
      </c>
      <c r="AU35" s="9">
        <f>IF(RIGHT(TWZ[[#This Row],[Device type]],7)="Winding","-",TWZ[[#This Row],[Cont Shoulder MVA]])</f>
        <v>22.86307065990918</v>
      </c>
      <c r="AV35" s="9">
        <f>IF(RIGHT(TWZ[[#This Row],[Device type]],7)="Winding","-",TWZ[[#This Row],[Cont Summer MVA]])</f>
        <v>22.86307065990918</v>
      </c>
      <c r="AW35" s="9" t="str">
        <f>TWZ[[#This Row],[24 Hr Winter MVA]]</f>
        <v>-</v>
      </c>
      <c r="AX35" s="9">
        <f>TWZ[[#This Row],[24 Hr Summer MVA]]</f>
        <v>22.86307065990918</v>
      </c>
      <c r="AY35" s="9" t="str">
        <f>TWZ[[#This Row],[Forwards MVA]]</f>
        <v>-</v>
      </c>
      <c r="AZ35" s="9" t="str">
        <f>TWZ[[#This Row],[Relay MVA]]</f>
        <v>-</v>
      </c>
      <c r="BA35" s="9" t="str">
        <f>TWZ[[#This Row],[CT MVA]]</f>
        <v>-</v>
      </c>
      <c r="BB35" s="9" t="str">
        <f>TWZ[[#This Row],[Derating MVA]]</f>
        <v>-</v>
      </c>
      <c r="BC35" s="9" t="str">
        <f>TWZ[[#This Row],[Station/Feeder]]&amp;TWZ[[#This Row],[Lowest MVA]]</f>
        <v>TWZ_GXP22.8630706599092</v>
      </c>
      <c r="BD35" s="9" t="str">
        <f>CONCATENATE(TWZ[[#This Row],[Supply Level]],TWZ[[#This Row],[Station/Feeder]],TWZ[[#This Row],[Voltage]],TWZ[[#This Row],[Lowest A-No PTX]])</f>
        <v>GXPTWZ_GXP33400</v>
      </c>
      <c r="BE35" s="9" t="str">
        <f>CONCATENATE(TWZ[[#This Row],[Supply Level]],TWZ[[#This Row],[Station/Feeder]],TWZ[[#This Row],[Voltage]],TWZ[[#This Row],[Lowest A-PTX]])</f>
        <v>GXPTWZ_GXP33400</v>
      </c>
      <c r="BF35" s="9">
        <f>IFERROR(IF(MIN(TWZ[[#This Row],[Summ Cont Winter A]:[Cable Derating]])=0,"",MIN(TWZ[[#This Row],[Summ Cont Winter A]:[Cable Derating]])),"")</f>
        <v>22.86307065990918</v>
      </c>
      <c r="BG35" s="9">
        <f>IFERROR(TWZ[[#This Row],[Lowest MVA]]*1000/(TWZ[[#This Row],[Voltage]]*SQRT(3)),"")</f>
        <v>400</v>
      </c>
      <c r="BH35" s="9">
        <f t="shared" si="10"/>
        <v>400</v>
      </c>
      <c r="BI35" s="9" t="str">
        <f>TWZ[[#This Row],[From]]</f>
        <v>33 kV Bus</v>
      </c>
      <c r="BJ35" s="9" t="str">
        <f>TWZ[[#This Row],[To]]</f>
        <v>CB6316</v>
      </c>
      <c r="BK35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Breaker-TWZ-CB6312-Current Transformer</v>
      </c>
      <c r="BL35" s="9">
        <f>TWZ[[#This Row],[Voltage]]</f>
        <v>33</v>
      </c>
    </row>
    <row r="36" spans="1:64" s="1" customFormat="1" ht="15" customHeight="1" x14ac:dyDescent="0.25">
      <c r="A36" s="353" t="str">
        <f>CONCATENATE(TWZ[[#This Row],[Supply Level]],TWZ[[#This Row],[Station/Feeder]],TWZ[[#This Row],[Voltage]])</f>
        <v>GXPTWZ_GXP33</v>
      </c>
      <c r="B36" s="353" t="str">
        <f>CONCATENATE(TWZ[[#This Row],[Supply Level]],TWZ[[#This Row],[Station/Feeder]],TWZ[[#This Row],[Equipment ID]],TWZ[[#This Row],[Voltage]],TWZ[[#This Row],[Device type]])</f>
        <v>GXPTWZ_GXPTWZ-CB631233Other Equipment</v>
      </c>
      <c r="C36" s="6" t="s">
        <v>4</v>
      </c>
      <c r="D36" s="11" t="s">
        <v>78</v>
      </c>
      <c r="E36" s="6" t="s">
        <v>63</v>
      </c>
      <c r="F36" s="6" t="s">
        <v>42</v>
      </c>
      <c r="G36" s="27">
        <v>7</v>
      </c>
      <c r="H36" s="49" t="s">
        <v>272</v>
      </c>
      <c r="I36" s="7" t="s">
        <v>2329</v>
      </c>
      <c r="J36" s="7" t="s">
        <v>15</v>
      </c>
      <c r="K36" s="7" t="s">
        <v>45</v>
      </c>
      <c r="L36" s="7" t="s">
        <v>48</v>
      </c>
      <c r="M36" s="43">
        <v>33</v>
      </c>
      <c r="N36" s="8">
        <v>120</v>
      </c>
      <c r="O36" s="9">
        <f t="shared" si="0"/>
        <v>6.8589211979727533</v>
      </c>
      <c r="P36" s="8">
        <v>120</v>
      </c>
      <c r="Q36" s="9">
        <f t="shared" si="1"/>
        <v>6.8589211979727533</v>
      </c>
      <c r="R36" s="8">
        <v>120</v>
      </c>
      <c r="S36" s="9">
        <f t="shared" si="2"/>
        <v>6.8589211979727533</v>
      </c>
      <c r="T36" s="9" t="s">
        <v>0</v>
      </c>
      <c r="U36" s="9" t="str">
        <f t="shared" si="3"/>
        <v>-</v>
      </c>
      <c r="V36" s="8">
        <v>120</v>
      </c>
      <c r="W36" s="9">
        <f t="shared" si="4"/>
        <v>6.8589211979727533</v>
      </c>
      <c r="X36" s="9" t="s">
        <v>0</v>
      </c>
      <c r="Y36" s="9" t="str">
        <f t="shared" si="5"/>
        <v>-</v>
      </c>
      <c r="Z36" s="9" t="s">
        <v>0</v>
      </c>
      <c r="AA36" s="9" t="str">
        <f t="shared" si="6"/>
        <v>-</v>
      </c>
      <c r="AB36" s="9" t="s">
        <v>0</v>
      </c>
      <c r="AC36" s="9" t="str">
        <f t="shared" si="7"/>
        <v>-</v>
      </c>
      <c r="AD36" s="9" t="s">
        <v>0</v>
      </c>
      <c r="AE36" s="12" t="str">
        <f t="shared" si="8"/>
        <v>-</v>
      </c>
      <c r="AF36" s="29" t="s">
        <v>0</v>
      </c>
      <c r="AG36" s="29" t="s">
        <v>0</v>
      </c>
      <c r="AH36" s="8" t="s">
        <v>0</v>
      </c>
      <c r="AI36" s="29" t="s">
        <v>0</v>
      </c>
      <c r="AJ36" s="32" t="s">
        <v>0</v>
      </c>
      <c r="AK36" s="29" t="s">
        <v>0</v>
      </c>
      <c r="AL36" s="32" t="s">
        <v>0</v>
      </c>
      <c r="AM36" s="29" t="s">
        <v>0</v>
      </c>
      <c r="AN36" s="32" t="s">
        <v>0</v>
      </c>
      <c r="AO36" s="29" t="s">
        <v>0</v>
      </c>
      <c r="AP36" s="32" t="s">
        <v>0</v>
      </c>
      <c r="AQ36" s="32" t="s">
        <v>0</v>
      </c>
      <c r="AR36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36" s="9" t="str">
        <f t="shared" si="9"/>
        <v>-</v>
      </c>
      <c r="AT36" s="9">
        <f>IF(RIGHT(TWZ[[#This Row],[Device type]],7)="Winding","-",TWZ[[#This Row],[Cont Winter MVA]])</f>
        <v>6.8589211979727533</v>
      </c>
      <c r="AU36" s="9">
        <f>IF(RIGHT(TWZ[[#This Row],[Device type]],7)="Winding","-",TWZ[[#This Row],[Cont Shoulder MVA]])</f>
        <v>6.8589211979727533</v>
      </c>
      <c r="AV36" s="9">
        <f>IF(RIGHT(TWZ[[#This Row],[Device type]],7)="Winding","-",TWZ[[#This Row],[Cont Summer MVA]])</f>
        <v>6.8589211979727533</v>
      </c>
      <c r="AW36" s="9" t="str">
        <f>TWZ[[#This Row],[24 Hr Winter MVA]]</f>
        <v>-</v>
      </c>
      <c r="AX36" s="9">
        <f>TWZ[[#This Row],[24 Hr Summer MVA]]</f>
        <v>6.8589211979727533</v>
      </c>
      <c r="AY36" s="9" t="str">
        <f>TWZ[[#This Row],[Forwards MVA]]</f>
        <v>-</v>
      </c>
      <c r="AZ36" s="9" t="str">
        <f>TWZ[[#This Row],[Relay MVA]]</f>
        <v>-</v>
      </c>
      <c r="BA36" s="9" t="str">
        <f>TWZ[[#This Row],[CT MVA]]</f>
        <v>-</v>
      </c>
      <c r="BB36" s="9" t="str">
        <f>TWZ[[#This Row],[Derating MVA]]</f>
        <v>-</v>
      </c>
      <c r="BC36" s="9" t="str">
        <f>TWZ[[#This Row],[Station/Feeder]]&amp;TWZ[[#This Row],[Lowest MVA]]</f>
        <v>TWZ_GXP6.85892119797275</v>
      </c>
      <c r="BD36" s="9" t="str">
        <f>CONCATENATE(TWZ[[#This Row],[Supply Level]],TWZ[[#This Row],[Station/Feeder]],TWZ[[#This Row],[Voltage]],TWZ[[#This Row],[Lowest A-No PTX]])</f>
        <v>GXPTWZ_GXP33120</v>
      </c>
      <c r="BE36" s="9" t="str">
        <f>CONCATENATE(TWZ[[#This Row],[Supply Level]],TWZ[[#This Row],[Station/Feeder]],TWZ[[#This Row],[Voltage]],TWZ[[#This Row],[Lowest A-PTX]])</f>
        <v>GXPTWZ_GXP33120</v>
      </c>
      <c r="BF36" s="9">
        <f>IFERROR(IF(MIN(TWZ[[#This Row],[Summ Cont Winter A]:[Cable Derating]])=0,"",MIN(TWZ[[#This Row],[Summ Cont Winter A]:[Cable Derating]])),"")</f>
        <v>6.8589211979727533</v>
      </c>
      <c r="BG36" s="9">
        <f>IFERROR(TWZ[[#This Row],[Lowest MVA]]*1000/(TWZ[[#This Row],[Voltage]]*SQRT(3)),"")</f>
        <v>120</v>
      </c>
      <c r="BH36" s="9">
        <f t="shared" si="10"/>
        <v>120</v>
      </c>
      <c r="BI36" s="9" t="str">
        <f>TWZ[[#This Row],[From]]</f>
        <v>33 kV Bus</v>
      </c>
      <c r="BJ36" s="9" t="str">
        <f>TWZ[[#This Row],[To]]</f>
        <v>CB6316</v>
      </c>
      <c r="BK36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Breaker-TWZ-CB6312-Other Equipment</v>
      </c>
      <c r="BL36" s="9">
        <f>TWZ[[#This Row],[Voltage]]</f>
        <v>33</v>
      </c>
    </row>
    <row r="37" spans="1:64" s="1" customFormat="1" x14ac:dyDescent="0.25">
      <c r="A37" s="353" t="str">
        <f>CONCATENATE(TWZ[[#This Row],[Supply Level]],TWZ[[#This Row],[Station/Feeder]],TWZ[[#This Row],[Voltage]])</f>
        <v>GXPTWZ_GXP33</v>
      </c>
      <c r="B37" s="353" t="str">
        <f>CONCATENATE(TWZ[[#This Row],[Supply Level]],TWZ[[#This Row],[Station/Feeder]],TWZ[[#This Row],[Equipment ID]],TWZ[[#This Row],[Voltage]],TWZ[[#This Row],[Device type]])</f>
        <v>GXPTWZ_GXPTWZ-CB631233Protection</v>
      </c>
      <c r="C37" s="6" t="s">
        <v>4</v>
      </c>
      <c r="D37" s="11" t="s">
        <v>78</v>
      </c>
      <c r="E37" s="6" t="s">
        <v>63</v>
      </c>
      <c r="F37" s="6" t="s">
        <v>42</v>
      </c>
      <c r="G37" s="27">
        <v>7</v>
      </c>
      <c r="H37" s="49" t="s">
        <v>2389</v>
      </c>
      <c r="I37" s="7" t="s">
        <v>2329</v>
      </c>
      <c r="J37" s="7" t="s">
        <v>15</v>
      </c>
      <c r="K37" s="7" t="s">
        <v>1121</v>
      </c>
      <c r="L37" s="7" t="s">
        <v>1423</v>
      </c>
      <c r="M37" s="43">
        <v>33</v>
      </c>
      <c r="N37" s="9" t="s">
        <v>0</v>
      </c>
      <c r="O37" s="9" t="str">
        <f t="shared" ref="O37:O69" si="11">IF(OR(N37="",N37="-"),"-",N37*$M37*SQRT(3)/1000)</f>
        <v>-</v>
      </c>
      <c r="P37" s="9" t="s">
        <v>0</v>
      </c>
      <c r="Q37" s="9" t="str">
        <f t="shared" ref="Q37:Q69" si="12">IF(OR(P37="",P37="-"),"-",P37*$M37*SQRT(3)/1000)</f>
        <v>-</v>
      </c>
      <c r="R37" s="9" t="s">
        <v>0</v>
      </c>
      <c r="S37" s="9" t="str">
        <f t="shared" ref="S37:S69" si="13">IF(OR(R37="",R37="-"),"-",R37*$M37*SQRT(3)/1000)</f>
        <v>-</v>
      </c>
      <c r="T37" s="9" t="s">
        <v>0</v>
      </c>
      <c r="U37" s="9" t="str">
        <f t="shared" ref="U37:U69" si="14">IF(OR(T37="",T37="-"),"-",T37*$M37*SQRT(3)/1000)</f>
        <v>-</v>
      </c>
      <c r="V37" s="9" t="s">
        <v>0</v>
      </c>
      <c r="W37" s="9" t="str">
        <f t="shared" ref="W37:W69" si="15">IF(OR(V37="",V37="-"),"-",V37*$M37*SQRT(3)/1000)</f>
        <v>-</v>
      </c>
      <c r="X37" s="9">
        <f>VLOOKUP(TWZ[[#This Row],[Equipment ID]],AEL_Protection_Data[#All],12,0)</f>
        <v>252</v>
      </c>
      <c r="Y37" s="9">
        <f t="shared" ref="Y37:Y69" si="16">IF(OR(X37="",X37="-"),"-",X37*$M37*SQRT(3)/1000)</f>
        <v>14.403734515742782</v>
      </c>
      <c r="Z37" s="9">
        <v>232</v>
      </c>
      <c r="AA37" s="9">
        <f t="shared" ref="AA37:AA69" si="17">IF(OR(Z37="",Z37="-"),"-",Z37*$M37*SQRT(3)/1000)</f>
        <v>13.260580982747324</v>
      </c>
      <c r="AB37" s="9">
        <v>1200</v>
      </c>
      <c r="AC37" s="9">
        <f t="shared" ref="AC37:AC69" si="18">IF(OR(AB37="",AB37="-"),"-",AB37*$M37*SQRT(3)/1000)</f>
        <v>68.589211979727537</v>
      </c>
      <c r="AD37" s="9">
        <v>480</v>
      </c>
      <c r="AE37" s="12">
        <f t="shared" ref="AE37:AE69" si="19">IF(OR(AD37="",AD37="-"),"-",AD37*$M37*SQRT(3)/1000)</f>
        <v>27.435684791891013</v>
      </c>
      <c r="AF37" s="29" t="s">
        <v>0</v>
      </c>
      <c r="AG37" s="29" t="s">
        <v>0</v>
      </c>
      <c r="AH37" s="8" t="s">
        <v>0</v>
      </c>
      <c r="AI37" s="29" t="s">
        <v>0</v>
      </c>
      <c r="AJ37" s="32" t="s">
        <v>0</v>
      </c>
      <c r="AK37" s="29" t="s">
        <v>0</v>
      </c>
      <c r="AL37" s="32" t="s">
        <v>0</v>
      </c>
      <c r="AM37" s="29" t="s">
        <v>0</v>
      </c>
      <c r="AN37" s="32" t="s">
        <v>0</v>
      </c>
      <c r="AO37" s="29" t="s">
        <v>0</v>
      </c>
      <c r="AP37" s="32" t="s">
        <v>0</v>
      </c>
      <c r="AQ37" s="32" t="s">
        <v>0</v>
      </c>
      <c r="AR37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37" s="9" t="str">
        <f t="shared" ref="AS37:AS69" si="20">IF(OR(AR37="",AR37="-"),"-",AR37*$M37*SQRT(3)/1000)</f>
        <v>-</v>
      </c>
      <c r="AT37" s="9" t="str">
        <f>IF(RIGHT(TWZ[[#This Row],[Device type]],7)="Winding","-",TWZ[[#This Row],[Cont Winter MVA]])</f>
        <v>-</v>
      </c>
      <c r="AU37" s="9" t="str">
        <f>IF(RIGHT(TWZ[[#This Row],[Device type]],7)="Winding","-",TWZ[[#This Row],[Cont Shoulder MVA]])</f>
        <v>-</v>
      </c>
      <c r="AV37" s="9" t="str">
        <f>IF(RIGHT(TWZ[[#This Row],[Device type]],7)="Winding","-",TWZ[[#This Row],[Cont Summer MVA]])</f>
        <v>-</v>
      </c>
      <c r="AW37" s="9" t="str">
        <f>TWZ[[#This Row],[24 Hr Winter MVA]]</f>
        <v>-</v>
      </c>
      <c r="AX37" s="9" t="str">
        <f>TWZ[[#This Row],[24 Hr Summer MVA]]</f>
        <v>-</v>
      </c>
      <c r="AY37" s="9">
        <f>TWZ[[#This Row],[Forwards MVA]]</f>
        <v>14.403734515742782</v>
      </c>
      <c r="AZ37" s="9">
        <f>TWZ[[#This Row],[Relay MVA]]</f>
        <v>68.589211979727537</v>
      </c>
      <c r="BA37" s="9">
        <f>TWZ[[#This Row],[CT MVA]]</f>
        <v>27.435684791891013</v>
      </c>
      <c r="BB37" s="9" t="str">
        <f>TWZ[[#This Row],[Derating MVA]]</f>
        <v>-</v>
      </c>
      <c r="BC37" s="9" t="str">
        <f>TWZ[[#This Row],[Station/Feeder]]&amp;TWZ[[#This Row],[Lowest MVA]]</f>
        <v>TWZ_GXP14.4037345157428</v>
      </c>
      <c r="BD37" s="9" t="str">
        <f>CONCATENATE(TWZ[[#This Row],[Supply Level]],TWZ[[#This Row],[Station/Feeder]],TWZ[[#This Row],[Voltage]],TWZ[[#This Row],[Lowest A-No PTX]])</f>
        <v>GXPTWZ_GXP33252</v>
      </c>
      <c r="BE37" s="9" t="str">
        <f>CONCATENATE(TWZ[[#This Row],[Supply Level]],TWZ[[#This Row],[Station/Feeder]],TWZ[[#This Row],[Voltage]],TWZ[[#This Row],[Lowest A-PTX]])</f>
        <v>GXPTWZ_GXP33232</v>
      </c>
      <c r="BF37" s="9">
        <f>IFERROR(IF(MIN(TWZ[[#This Row],[Summ Cont Winter A]:[Cable Derating]])=0,"",MIN(TWZ[[#This Row],[Summ Cont Winter A]:[Cable Derating]])),"")</f>
        <v>14.403734515742782</v>
      </c>
      <c r="BG37" s="9">
        <f>IFERROR(TWZ[[#This Row],[Lowest MVA]]*1000/(TWZ[[#This Row],[Voltage]]*SQRT(3)),"")</f>
        <v>252</v>
      </c>
      <c r="BH37" s="9">
        <f t="shared" ref="BH37:BH69" si="21">IF(MIN(N37,P37,R37,T37,V37,X37,Z37,AB37,AD37,AR37)=0,"",MIN(N37,P37,R37,T37,V37,X37,Z37,AB37,AD37,AR37))</f>
        <v>232</v>
      </c>
      <c r="BI37" s="9" t="str">
        <f>TWZ[[#This Row],[From]]</f>
        <v>33 kV Bus</v>
      </c>
      <c r="BJ37" s="9" t="str">
        <f>TWZ[[#This Row],[To]]</f>
        <v>CB6316</v>
      </c>
      <c r="BK37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Breaker-TWZ-CB6312-Protection</v>
      </c>
      <c r="BL37" s="9">
        <f>TWZ[[#This Row],[Voltage]]</f>
        <v>33</v>
      </c>
    </row>
    <row r="38" spans="1:64" s="1" customFormat="1" ht="15" customHeight="1" thickBot="1" x14ac:dyDescent="0.3">
      <c r="A38" s="354" t="str">
        <f>CONCATENATE(TWZ[[#This Row],[Supply Level]],TWZ[[#This Row],[Station/Feeder]],TWZ[[#This Row],[Voltage]])</f>
        <v>GXPTWZ_GXP33</v>
      </c>
      <c r="B38" s="354" t="str">
        <f>CONCATENATE(TWZ[[#This Row],[Supply Level]],TWZ[[#This Row],[Station/Feeder]],TWZ[[#This Row],[Equipment ID]],TWZ[[#This Row],[Voltage]],TWZ[[#This Row],[Device type]])</f>
        <v>GXPTWZ_GXPDS631633Disconnector</v>
      </c>
      <c r="C38" s="14" t="s">
        <v>4</v>
      </c>
      <c r="D38" s="13" t="s">
        <v>78</v>
      </c>
      <c r="E38" s="14" t="s">
        <v>63</v>
      </c>
      <c r="F38" s="14" t="s">
        <v>42</v>
      </c>
      <c r="G38" s="28">
        <v>8</v>
      </c>
      <c r="H38" s="156" t="s">
        <v>272</v>
      </c>
      <c r="I38" s="39" t="s">
        <v>50</v>
      </c>
      <c r="J38" s="39" t="s">
        <v>17</v>
      </c>
      <c r="K38" s="39" t="s">
        <v>47</v>
      </c>
      <c r="L38" s="39" t="s">
        <v>17</v>
      </c>
      <c r="M38" s="138">
        <v>33</v>
      </c>
      <c r="N38" s="15">
        <v>800</v>
      </c>
      <c r="O38" s="16">
        <f t="shared" si="11"/>
        <v>45.72614131981836</v>
      </c>
      <c r="P38" s="15">
        <v>800</v>
      </c>
      <c r="Q38" s="16">
        <f t="shared" si="12"/>
        <v>45.72614131981836</v>
      </c>
      <c r="R38" s="15">
        <v>800</v>
      </c>
      <c r="S38" s="16">
        <f t="shared" si="13"/>
        <v>45.72614131981836</v>
      </c>
      <c r="T38" s="16" t="s">
        <v>0</v>
      </c>
      <c r="U38" s="16" t="str">
        <f t="shared" si="14"/>
        <v>-</v>
      </c>
      <c r="V38" s="15">
        <v>800</v>
      </c>
      <c r="W38" s="16">
        <f t="shared" si="15"/>
        <v>45.72614131981836</v>
      </c>
      <c r="X38" s="16" t="s">
        <v>0</v>
      </c>
      <c r="Y38" s="16" t="str">
        <f t="shared" si="16"/>
        <v>-</v>
      </c>
      <c r="Z38" s="16" t="s">
        <v>0</v>
      </c>
      <c r="AA38" s="16" t="str">
        <f t="shared" si="17"/>
        <v>-</v>
      </c>
      <c r="AB38" s="16" t="s">
        <v>0</v>
      </c>
      <c r="AC38" s="16" t="str">
        <f t="shared" si="18"/>
        <v>-</v>
      </c>
      <c r="AD38" s="16" t="s">
        <v>0</v>
      </c>
      <c r="AE38" s="17" t="str">
        <f t="shared" si="19"/>
        <v>-</v>
      </c>
      <c r="AF38" s="126" t="s">
        <v>0</v>
      </c>
      <c r="AG38" s="126" t="s">
        <v>0</v>
      </c>
      <c r="AH38" s="15" t="s">
        <v>0</v>
      </c>
      <c r="AI38" s="126" t="s">
        <v>0</v>
      </c>
      <c r="AJ38" s="127" t="s">
        <v>0</v>
      </c>
      <c r="AK38" s="126" t="s">
        <v>0</v>
      </c>
      <c r="AL38" s="127" t="s">
        <v>0</v>
      </c>
      <c r="AM38" s="126" t="s">
        <v>0</v>
      </c>
      <c r="AN38" s="127" t="s">
        <v>0</v>
      </c>
      <c r="AO38" s="126" t="s">
        <v>0</v>
      </c>
      <c r="AP38" s="127" t="s">
        <v>0</v>
      </c>
      <c r="AQ38" s="127" t="s">
        <v>0</v>
      </c>
      <c r="AR38" s="16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38" s="16" t="str">
        <f t="shared" si="20"/>
        <v>-</v>
      </c>
      <c r="AT38" s="16">
        <f>IF(RIGHT(TWZ[[#This Row],[Device type]],7)="Winding","-",TWZ[[#This Row],[Cont Winter MVA]])</f>
        <v>45.72614131981836</v>
      </c>
      <c r="AU38" s="16">
        <f>IF(RIGHT(TWZ[[#This Row],[Device type]],7)="Winding","-",TWZ[[#This Row],[Cont Shoulder MVA]])</f>
        <v>45.72614131981836</v>
      </c>
      <c r="AV38" s="16">
        <f>IF(RIGHT(TWZ[[#This Row],[Device type]],7)="Winding","-",TWZ[[#This Row],[Cont Summer MVA]])</f>
        <v>45.72614131981836</v>
      </c>
      <c r="AW38" s="16" t="str">
        <f>TWZ[[#This Row],[24 Hr Winter MVA]]</f>
        <v>-</v>
      </c>
      <c r="AX38" s="16">
        <f>TWZ[[#This Row],[24 Hr Summer MVA]]</f>
        <v>45.72614131981836</v>
      </c>
      <c r="AY38" s="16" t="str">
        <f>TWZ[[#This Row],[Forwards MVA]]</f>
        <v>-</v>
      </c>
      <c r="AZ38" s="16" t="str">
        <f>TWZ[[#This Row],[Relay MVA]]</f>
        <v>-</v>
      </c>
      <c r="BA38" s="16" t="str">
        <f>TWZ[[#This Row],[CT MVA]]</f>
        <v>-</v>
      </c>
      <c r="BB38" s="16" t="str">
        <f>TWZ[[#This Row],[Derating MVA]]</f>
        <v>-</v>
      </c>
      <c r="BC38" s="16" t="str">
        <f>TWZ[[#This Row],[Station/Feeder]]&amp;TWZ[[#This Row],[Lowest MVA]]</f>
        <v>TWZ_GXP45.7261413198184</v>
      </c>
      <c r="BD38" s="16" t="str">
        <f>CONCATENATE(TWZ[[#This Row],[Supply Level]],TWZ[[#This Row],[Station/Feeder]],TWZ[[#This Row],[Voltage]],TWZ[[#This Row],[Lowest A-No PTX]])</f>
        <v>GXPTWZ_GXP33800</v>
      </c>
      <c r="BE38" s="16" t="str">
        <f>CONCATENATE(TWZ[[#This Row],[Supply Level]],TWZ[[#This Row],[Station/Feeder]],TWZ[[#This Row],[Voltage]],TWZ[[#This Row],[Lowest A-PTX]])</f>
        <v>GXPTWZ_GXP33800</v>
      </c>
      <c r="BF38" s="16">
        <f>IFERROR(IF(MIN(TWZ[[#This Row],[Summ Cont Winter A]:[Cable Derating]])=0,"",MIN(TWZ[[#This Row],[Summ Cont Winter A]:[Cable Derating]])),"")</f>
        <v>45.72614131981836</v>
      </c>
      <c r="BG38" s="16">
        <f>IFERROR(TWZ[[#This Row],[Lowest MVA]]*1000/(TWZ[[#This Row],[Voltage]]*SQRT(3)),"")</f>
        <v>800</v>
      </c>
      <c r="BH38" s="16">
        <f t="shared" si="21"/>
        <v>800</v>
      </c>
      <c r="BI38" s="16" t="str">
        <f>TWZ[[#This Row],[From]]</f>
        <v>33 kV Bus</v>
      </c>
      <c r="BJ38" s="16" t="str">
        <f>TWZ[[#This Row],[To]]</f>
        <v>CB6316</v>
      </c>
      <c r="BK38" s="129" t="str">
        <f>IF(TWZ[[#This Row],[Device type]]="-",TWZ[[#This Row],[Equipment Type]]&amp;"-"&amp;TWZ[[#This Row],[Equipment ID]],TWZ[[#This Row],[Equipment Type]]&amp;"-"&amp;TWZ[[#This Row],[Equipment ID]]&amp;"-"&amp;TWZ[[#This Row],[Device type]])</f>
        <v>Disconnector-DS6316-Disconnector</v>
      </c>
      <c r="BL38" s="16">
        <f>TWZ[[#This Row],[Voltage]]</f>
        <v>33</v>
      </c>
    </row>
    <row r="39" spans="1:64" s="422" customFormat="1" ht="15" customHeight="1" x14ac:dyDescent="0.25">
      <c r="A39" s="421" t="str">
        <f>CONCATENATE(TWZ[[#This Row],[Supply Level]],TWZ[[#This Row],[Station/Feeder]],TWZ[[#This Row],[Voltage]])</f>
        <v>SubTransmissionTWZ_GXP33</v>
      </c>
      <c r="B39" s="423" t="str">
        <f>CONCATENATE(TWZ[[#This Row],[Supply Level]],TWZ[[#This Row],[Station/Feeder]],TWZ[[#This Row],[Equipment ID]],TWZ[[#This Row],[Voltage]],TWZ[[#This Row],[Device type]])</f>
        <v>SubTransmissionTWZ_GXPWAXWING33-</v>
      </c>
      <c r="C39" s="173" t="s">
        <v>1245</v>
      </c>
      <c r="D39" s="10" t="s">
        <v>78</v>
      </c>
      <c r="E39" s="3" t="s">
        <v>42</v>
      </c>
      <c r="F39" s="3" t="s">
        <v>64</v>
      </c>
      <c r="G39" s="26">
        <v>1</v>
      </c>
      <c r="H39" s="188" t="s">
        <v>1289</v>
      </c>
      <c r="I39" s="38" t="s">
        <v>66</v>
      </c>
      <c r="J39" s="38" t="s">
        <v>69</v>
      </c>
      <c r="K39" s="38" t="s">
        <v>0</v>
      </c>
      <c r="L39" s="38" t="s">
        <v>0</v>
      </c>
      <c r="M39" s="139">
        <v>33</v>
      </c>
      <c r="N39" s="5">
        <v>398</v>
      </c>
      <c r="O39" s="5">
        <f t="shared" si="11"/>
        <v>22.748755306609635</v>
      </c>
      <c r="P39" s="5" t="s">
        <v>0</v>
      </c>
      <c r="Q39" s="5" t="str">
        <f t="shared" si="12"/>
        <v>-</v>
      </c>
      <c r="R39" s="5">
        <v>296</v>
      </c>
      <c r="S39" s="5">
        <f t="shared" si="13"/>
        <v>16.918672288332793</v>
      </c>
      <c r="T39" s="5" t="s">
        <v>0</v>
      </c>
      <c r="U39" s="5" t="str">
        <f t="shared" si="14"/>
        <v>-</v>
      </c>
      <c r="V39" s="5" t="s">
        <v>0</v>
      </c>
      <c r="W39" s="5" t="str">
        <f t="shared" si="15"/>
        <v>-</v>
      </c>
      <c r="X39" s="5" t="s">
        <v>0</v>
      </c>
      <c r="Y39" s="5" t="str">
        <f t="shared" si="16"/>
        <v>-</v>
      </c>
      <c r="Z39" s="5" t="s">
        <v>0</v>
      </c>
      <c r="AA39" s="5" t="str">
        <f t="shared" si="17"/>
        <v>-</v>
      </c>
      <c r="AB39" s="5" t="s">
        <v>0</v>
      </c>
      <c r="AC39" s="5" t="str">
        <f t="shared" si="18"/>
        <v>-</v>
      </c>
      <c r="AD39" s="5" t="s">
        <v>0</v>
      </c>
      <c r="AE39" s="158" t="str">
        <f t="shared" si="19"/>
        <v>-</v>
      </c>
      <c r="AF39" s="5" t="s">
        <v>0</v>
      </c>
      <c r="AG39" s="5" t="s">
        <v>0</v>
      </c>
      <c r="AH39" s="5">
        <v>7.6</v>
      </c>
      <c r="AI39" s="5" t="s">
        <v>0</v>
      </c>
      <c r="AJ39" s="139" t="s">
        <v>0</v>
      </c>
      <c r="AK39" s="5" t="s">
        <v>0</v>
      </c>
      <c r="AL39" s="139" t="s">
        <v>0</v>
      </c>
      <c r="AM39" s="5" t="s">
        <v>0</v>
      </c>
      <c r="AN39" s="139" t="s">
        <v>0</v>
      </c>
      <c r="AO39" s="5" t="s">
        <v>0</v>
      </c>
      <c r="AP39" s="139" t="s">
        <v>0</v>
      </c>
      <c r="AQ39" s="139" t="s">
        <v>0</v>
      </c>
      <c r="AR39" s="5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39" s="5" t="str">
        <f t="shared" si="20"/>
        <v>-</v>
      </c>
      <c r="AT39" s="5">
        <f>IF(RIGHT(TWZ[[#This Row],[Device type]],7)="Winding","-",TWZ[[#This Row],[Cont Winter MVA]])</f>
        <v>22.748755306609635</v>
      </c>
      <c r="AU39" s="5" t="str">
        <f>IF(RIGHT(TWZ[[#This Row],[Device type]],7)="Winding","-",TWZ[[#This Row],[Cont Shoulder MVA]])</f>
        <v>-</v>
      </c>
      <c r="AV39" s="5">
        <f>IF(RIGHT(TWZ[[#This Row],[Device type]],7)="Winding","-",TWZ[[#This Row],[Cont Summer MVA]])</f>
        <v>16.918672288332793</v>
      </c>
      <c r="AW39" s="5" t="str">
        <f>TWZ[[#This Row],[24 Hr Winter MVA]]</f>
        <v>-</v>
      </c>
      <c r="AX39" s="5" t="str">
        <f>TWZ[[#This Row],[24 Hr Summer MVA]]</f>
        <v>-</v>
      </c>
      <c r="AY39" s="5" t="str">
        <f>TWZ[[#This Row],[Forwards MVA]]</f>
        <v>-</v>
      </c>
      <c r="AZ39" s="5" t="str">
        <f>TWZ[[#This Row],[Relay MVA]]</f>
        <v>-</v>
      </c>
      <c r="BA39" s="5" t="str">
        <f>TWZ[[#This Row],[CT MVA]]</f>
        <v>-</v>
      </c>
      <c r="BB39" s="5" t="str">
        <f>TWZ[[#This Row],[Derating MVA]]</f>
        <v>-</v>
      </c>
      <c r="BC39" s="5" t="str">
        <f>TWZ[[#This Row],[Station/Feeder]]&amp;TWZ[[#This Row],[Lowest MVA]]</f>
        <v>TWZ_GXP16.9186722883328</v>
      </c>
      <c r="BD39" s="5" t="str">
        <f>CONCATENATE(TWZ[[#This Row],[Supply Level]],TWZ[[#This Row],[Station/Feeder]],TWZ[[#This Row],[Voltage]],TWZ[[#This Row],[Lowest A-No PTX]])</f>
        <v>SubTransmissionTWZ_GXP33296</v>
      </c>
      <c r="BE39" s="5" t="str">
        <f>CONCATENATE(TWZ[[#This Row],[Supply Level]],TWZ[[#This Row],[Station/Feeder]],TWZ[[#This Row],[Voltage]],TWZ[[#This Row],[Lowest A-PTX]])</f>
        <v>SubTransmissionTWZ_GXP33296</v>
      </c>
      <c r="BF39" s="5">
        <f>IFERROR(IF(MIN(TWZ[[#This Row],[Summ Cont Winter A]:[Cable Derating]])=0,"",MIN(TWZ[[#This Row],[Summ Cont Winter A]:[Cable Derating]])),"")</f>
        <v>16.918672288332793</v>
      </c>
      <c r="BG39" s="5">
        <f>IFERROR(TWZ[[#This Row],[Lowest MVA]]*1000/(TWZ[[#This Row],[Voltage]]*SQRT(3)),"")</f>
        <v>296</v>
      </c>
      <c r="BH39" s="5">
        <f t="shared" si="21"/>
        <v>296</v>
      </c>
      <c r="BI39" s="5" t="str">
        <f>TWZ[[#This Row],[From]]</f>
        <v>CB6316</v>
      </c>
      <c r="BJ39" s="5" t="str">
        <f>TWZ[[#This Row],[To]]</f>
        <v>Z69</v>
      </c>
      <c r="BK39" s="188" t="str">
        <f>IF(TWZ[[#This Row],[Device type]]="-",TWZ[[#This Row],[Equipment Type]]&amp;"-"&amp;TWZ[[#This Row],[Equipment ID]],TWZ[[#This Row],[Equipment Type]]&amp;"-"&amp;TWZ[[#This Row],[Equipment ID]]&amp;"-"&amp;TWZ[[#This Row],[Device type]])</f>
        <v>OH Line-WAXWING</v>
      </c>
      <c r="BL39" s="5">
        <f>TWZ[[#This Row],[Voltage]]</f>
        <v>33</v>
      </c>
    </row>
    <row r="40" spans="1:64" s="1" customFormat="1" ht="15" customHeight="1" x14ac:dyDescent="0.25">
      <c r="A40" s="353" t="str">
        <f>CONCATENATE(TWZ[[#This Row],[Supply Level]],TWZ[[#This Row],[Station/Feeder]],TWZ[[#This Row],[Voltage]])</f>
        <v>SubTransmissionTWZ_GXP33</v>
      </c>
      <c r="B40" s="354" t="str">
        <f>CONCATENATE(TWZ[[#This Row],[Supply Level]],TWZ[[#This Row],[Station/Feeder]],TWZ[[#This Row],[Equipment ID]],TWZ[[#This Row],[Voltage]],TWZ[[#This Row],[Device type]])</f>
        <v>SubTransmissionTWZ_GXPZ2133-</v>
      </c>
      <c r="C40" s="14" t="s">
        <v>1245</v>
      </c>
      <c r="D40" s="11" t="s">
        <v>78</v>
      </c>
      <c r="E40" s="6" t="s">
        <v>42</v>
      </c>
      <c r="F40" s="6" t="s">
        <v>64</v>
      </c>
      <c r="G40" s="27">
        <v>2</v>
      </c>
      <c r="H40" s="7" t="s">
        <v>273</v>
      </c>
      <c r="I40" s="7" t="s">
        <v>239</v>
      </c>
      <c r="J40" s="7" t="s">
        <v>240</v>
      </c>
      <c r="K40" s="7" t="s">
        <v>0</v>
      </c>
      <c r="L40" s="7" t="s">
        <v>0</v>
      </c>
      <c r="M40" s="43">
        <v>33</v>
      </c>
      <c r="N40" s="9">
        <v>800</v>
      </c>
      <c r="O40" s="9">
        <f t="shared" si="11"/>
        <v>45.72614131981836</v>
      </c>
      <c r="P40" s="9">
        <v>800</v>
      </c>
      <c r="Q40" s="9">
        <f t="shared" si="12"/>
        <v>45.72614131981836</v>
      </c>
      <c r="R40" s="9">
        <v>800</v>
      </c>
      <c r="S40" s="9">
        <f t="shared" si="13"/>
        <v>45.72614131981836</v>
      </c>
      <c r="T40" s="9" t="s">
        <v>0</v>
      </c>
      <c r="U40" s="9" t="str">
        <f t="shared" si="14"/>
        <v>-</v>
      </c>
      <c r="V40" s="9" t="s">
        <v>0</v>
      </c>
      <c r="W40" s="9" t="str">
        <f t="shared" si="15"/>
        <v>-</v>
      </c>
      <c r="X40" s="9" t="s">
        <v>0</v>
      </c>
      <c r="Y40" s="9" t="str">
        <f t="shared" si="16"/>
        <v>-</v>
      </c>
      <c r="Z40" s="9" t="s">
        <v>0</v>
      </c>
      <c r="AA40" s="9" t="str">
        <f t="shared" si="17"/>
        <v>-</v>
      </c>
      <c r="AB40" s="9" t="s">
        <v>0</v>
      </c>
      <c r="AC40" s="9" t="str">
        <f t="shared" si="18"/>
        <v>-</v>
      </c>
      <c r="AD40" s="9" t="s">
        <v>0</v>
      </c>
      <c r="AE40" s="12" t="str">
        <f t="shared" si="19"/>
        <v>-</v>
      </c>
      <c r="AF40" s="29" t="s">
        <v>0</v>
      </c>
      <c r="AG40" s="29" t="s">
        <v>0</v>
      </c>
      <c r="AH40" s="8" t="s">
        <v>0</v>
      </c>
      <c r="AI40" s="29" t="s">
        <v>0</v>
      </c>
      <c r="AJ40" s="32" t="s">
        <v>0</v>
      </c>
      <c r="AK40" s="29" t="s">
        <v>0</v>
      </c>
      <c r="AL40" s="32" t="s">
        <v>0</v>
      </c>
      <c r="AM40" s="29" t="s">
        <v>0</v>
      </c>
      <c r="AN40" s="32" t="s">
        <v>0</v>
      </c>
      <c r="AO40" s="29" t="s">
        <v>0</v>
      </c>
      <c r="AP40" s="32" t="s">
        <v>0</v>
      </c>
      <c r="AQ40" s="32" t="s">
        <v>0</v>
      </c>
      <c r="AR40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40" s="9" t="str">
        <f t="shared" si="20"/>
        <v>-</v>
      </c>
      <c r="AT40" s="9">
        <f>IF(RIGHT(TWZ[[#This Row],[Device type]],7)="Winding","-",TWZ[[#This Row],[Cont Winter MVA]])</f>
        <v>45.72614131981836</v>
      </c>
      <c r="AU40" s="9">
        <f>IF(RIGHT(TWZ[[#This Row],[Device type]],7)="Winding","-",TWZ[[#This Row],[Cont Shoulder MVA]])</f>
        <v>45.72614131981836</v>
      </c>
      <c r="AV40" s="9">
        <f>IF(RIGHT(TWZ[[#This Row],[Device type]],7)="Winding","-",TWZ[[#This Row],[Cont Summer MVA]])</f>
        <v>45.72614131981836</v>
      </c>
      <c r="AW40" s="9" t="str">
        <f>TWZ[[#This Row],[24 Hr Winter MVA]]</f>
        <v>-</v>
      </c>
      <c r="AX40" s="9" t="str">
        <f>TWZ[[#This Row],[24 Hr Summer MVA]]</f>
        <v>-</v>
      </c>
      <c r="AY40" s="9" t="str">
        <f>TWZ[[#This Row],[Forwards MVA]]</f>
        <v>-</v>
      </c>
      <c r="AZ40" s="9" t="str">
        <f>TWZ[[#This Row],[Relay MVA]]</f>
        <v>-</v>
      </c>
      <c r="BA40" s="9" t="str">
        <f>TWZ[[#This Row],[CT MVA]]</f>
        <v>-</v>
      </c>
      <c r="BB40" s="9" t="str">
        <f>TWZ[[#This Row],[Derating MVA]]</f>
        <v>-</v>
      </c>
      <c r="BC40" s="9" t="str">
        <f>TWZ[[#This Row],[Station/Feeder]]&amp;TWZ[[#This Row],[Lowest MVA]]</f>
        <v>TWZ_GXP45.7261413198184</v>
      </c>
      <c r="BD40" s="9" t="str">
        <f>CONCATENATE(TWZ[[#This Row],[Supply Level]],TWZ[[#This Row],[Station/Feeder]],TWZ[[#This Row],[Voltage]],TWZ[[#This Row],[Lowest A-No PTX]])</f>
        <v>SubTransmissionTWZ_GXP33800</v>
      </c>
      <c r="BE40" s="9" t="str">
        <f>CONCATENATE(TWZ[[#This Row],[Supply Level]],TWZ[[#This Row],[Station/Feeder]],TWZ[[#This Row],[Voltage]],TWZ[[#This Row],[Lowest A-PTX]])</f>
        <v>SubTransmissionTWZ_GXP33800</v>
      </c>
      <c r="BF40" s="9">
        <f>IFERROR(IF(MIN(TWZ[[#This Row],[Summ Cont Winter A]:[Cable Derating]])=0,"",MIN(TWZ[[#This Row],[Summ Cont Winter A]:[Cable Derating]])),"")</f>
        <v>45.72614131981836</v>
      </c>
      <c r="BG40" s="9">
        <f>IFERROR(TWZ[[#This Row],[Lowest MVA]]*1000/(TWZ[[#This Row],[Voltage]]*SQRT(3)),"")</f>
        <v>800</v>
      </c>
      <c r="BH40" s="9">
        <f t="shared" si="21"/>
        <v>800</v>
      </c>
      <c r="BI40" s="9" t="str">
        <f>TWZ[[#This Row],[From]]</f>
        <v>CB6316</v>
      </c>
      <c r="BJ40" s="9" t="str">
        <f>TWZ[[#This Row],[To]]</f>
        <v>Z69</v>
      </c>
      <c r="BK40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ABS-Z21</v>
      </c>
      <c r="BL40" s="9">
        <f>TWZ[[#This Row],[Voltage]]</f>
        <v>33</v>
      </c>
    </row>
    <row r="41" spans="1:64" s="1" customFormat="1" ht="15.75" customHeight="1" thickBot="1" x14ac:dyDescent="0.3">
      <c r="A41" s="354" t="str">
        <f>CONCATENATE(TWZ[[#This Row],[Supply Level]],TWZ[[#This Row],[Station/Feeder]],TWZ[[#This Row],[Voltage]])</f>
        <v>SubTransmissionTWZ_GXP33</v>
      </c>
      <c r="B41" s="354" t="str">
        <f>CONCATENATE(TWZ[[#This Row],[Supply Level]],TWZ[[#This Row],[Station/Feeder]],TWZ[[#This Row],[Equipment ID]],TWZ[[#This Row],[Voltage]],TWZ[[#This Row],[Device type]])</f>
        <v>SubTransmissionTWZ_GXPWAXWING33-</v>
      </c>
      <c r="C41" s="14" t="s">
        <v>1245</v>
      </c>
      <c r="D41" s="13" t="s">
        <v>78</v>
      </c>
      <c r="E41" s="14" t="s">
        <v>42</v>
      </c>
      <c r="F41" s="14" t="s">
        <v>64</v>
      </c>
      <c r="G41" s="28">
        <v>3</v>
      </c>
      <c r="H41" s="129" t="s">
        <v>1289</v>
      </c>
      <c r="I41" s="39" t="s">
        <v>66</v>
      </c>
      <c r="J41" s="39" t="s">
        <v>69</v>
      </c>
      <c r="K41" s="39" t="s">
        <v>0</v>
      </c>
      <c r="L41" s="39" t="s">
        <v>0</v>
      </c>
      <c r="M41" s="138">
        <v>33</v>
      </c>
      <c r="N41" s="16">
        <v>398</v>
      </c>
      <c r="O41" s="16">
        <f t="shared" si="11"/>
        <v>22.748755306609635</v>
      </c>
      <c r="P41" s="16" t="s">
        <v>0</v>
      </c>
      <c r="Q41" s="16" t="str">
        <f t="shared" si="12"/>
        <v>-</v>
      </c>
      <c r="R41" s="16">
        <v>296</v>
      </c>
      <c r="S41" s="16">
        <f t="shared" si="13"/>
        <v>16.918672288332793</v>
      </c>
      <c r="T41" s="16" t="s">
        <v>0</v>
      </c>
      <c r="U41" s="16" t="str">
        <f t="shared" si="14"/>
        <v>-</v>
      </c>
      <c r="V41" s="16" t="s">
        <v>0</v>
      </c>
      <c r="W41" s="16" t="str">
        <f t="shared" si="15"/>
        <v>-</v>
      </c>
      <c r="X41" s="16" t="s">
        <v>0</v>
      </c>
      <c r="Y41" s="16" t="str">
        <f t="shared" si="16"/>
        <v>-</v>
      </c>
      <c r="Z41" s="16" t="s">
        <v>0</v>
      </c>
      <c r="AA41" s="16" t="str">
        <f t="shared" si="17"/>
        <v>-</v>
      </c>
      <c r="AB41" s="16" t="s">
        <v>0</v>
      </c>
      <c r="AC41" s="16" t="str">
        <f t="shared" si="18"/>
        <v>-</v>
      </c>
      <c r="AD41" s="16" t="s">
        <v>0</v>
      </c>
      <c r="AE41" s="17" t="str">
        <f t="shared" si="19"/>
        <v>-</v>
      </c>
      <c r="AF41" s="16" t="s">
        <v>0</v>
      </c>
      <c r="AG41" s="16" t="s">
        <v>0</v>
      </c>
      <c r="AH41" s="16">
        <v>1878.3</v>
      </c>
      <c r="AI41" s="16" t="s">
        <v>0</v>
      </c>
      <c r="AJ41" s="138" t="s">
        <v>0</v>
      </c>
      <c r="AK41" s="16" t="s">
        <v>0</v>
      </c>
      <c r="AL41" s="138" t="s">
        <v>0</v>
      </c>
      <c r="AM41" s="16" t="s">
        <v>0</v>
      </c>
      <c r="AN41" s="138" t="s">
        <v>0</v>
      </c>
      <c r="AO41" s="16" t="s">
        <v>0</v>
      </c>
      <c r="AP41" s="138" t="s">
        <v>0</v>
      </c>
      <c r="AQ41" s="138" t="s">
        <v>0</v>
      </c>
      <c r="AR41" s="16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41" s="16" t="str">
        <f t="shared" si="20"/>
        <v>-</v>
      </c>
      <c r="AT41" s="16">
        <f>IF(RIGHT(TWZ[[#This Row],[Device type]],7)="Winding","-",TWZ[[#This Row],[Cont Winter MVA]])</f>
        <v>22.748755306609635</v>
      </c>
      <c r="AU41" s="16" t="str">
        <f>IF(RIGHT(TWZ[[#This Row],[Device type]],7)="Winding","-",TWZ[[#This Row],[Cont Shoulder MVA]])</f>
        <v>-</v>
      </c>
      <c r="AV41" s="16">
        <f>IF(RIGHT(TWZ[[#This Row],[Device type]],7)="Winding","-",TWZ[[#This Row],[Cont Summer MVA]])</f>
        <v>16.918672288332793</v>
      </c>
      <c r="AW41" s="16" t="str">
        <f>TWZ[[#This Row],[24 Hr Winter MVA]]</f>
        <v>-</v>
      </c>
      <c r="AX41" s="16" t="str">
        <f>TWZ[[#This Row],[24 Hr Summer MVA]]</f>
        <v>-</v>
      </c>
      <c r="AY41" s="16" t="str">
        <f>TWZ[[#This Row],[Forwards MVA]]</f>
        <v>-</v>
      </c>
      <c r="AZ41" s="16" t="str">
        <f>TWZ[[#This Row],[Relay MVA]]</f>
        <v>-</v>
      </c>
      <c r="BA41" s="16" t="str">
        <f>TWZ[[#This Row],[CT MVA]]</f>
        <v>-</v>
      </c>
      <c r="BB41" s="16" t="str">
        <f>TWZ[[#This Row],[Derating MVA]]</f>
        <v>-</v>
      </c>
      <c r="BC41" s="16" t="str">
        <f>TWZ[[#This Row],[Station/Feeder]]&amp;TWZ[[#This Row],[Lowest MVA]]</f>
        <v>TWZ_GXP16.9186722883328</v>
      </c>
      <c r="BD41" s="16" t="str">
        <f>CONCATENATE(TWZ[[#This Row],[Supply Level]],TWZ[[#This Row],[Station/Feeder]],TWZ[[#This Row],[Voltage]],TWZ[[#This Row],[Lowest A-No PTX]])</f>
        <v>SubTransmissionTWZ_GXP33296</v>
      </c>
      <c r="BE41" s="16" t="str">
        <f>CONCATENATE(TWZ[[#This Row],[Supply Level]],TWZ[[#This Row],[Station/Feeder]],TWZ[[#This Row],[Voltage]],TWZ[[#This Row],[Lowest A-PTX]])</f>
        <v>SubTransmissionTWZ_GXP33296</v>
      </c>
      <c r="BF41" s="16">
        <f>IFERROR(IF(MIN(TWZ[[#This Row],[Summ Cont Winter A]:[Cable Derating]])=0,"",MIN(TWZ[[#This Row],[Summ Cont Winter A]:[Cable Derating]])),"")</f>
        <v>16.918672288332793</v>
      </c>
      <c r="BG41" s="16">
        <f>IFERROR(TWZ[[#This Row],[Lowest MVA]]*1000/(TWZ[[#This Row],[Voltage]]*SQRT(3)),"")</f>
        <v>296</v>
      </c>
      <c r="BH41" s="16">
        <f t="shared" si="21"/>
        <v>296</v>
      </c>
      <c r="BI41" s="16" t="str">
        <f>TWZ[[#This Row],[From]]</f>
        <v>CB6316</v>
      </c>
      <c r="BJ41" s="16" t="str">
        <f>TWZ[[#This Row],[To]]</f>
        <v>Z69</v>
      </c>
      <c r="BK41" s="129" t="str">
        <f>IF(TWZ[[#This Row],[Device type]]="-",TWZ[[#This Row],[Equipment Type]]&amp;"-"&amp;TWZ[[#This Row],[Equipment ID]],TWZ[[#This Row],[Equipment Type]]&amp;"-"&amp;TWZ[[#This Row],[Equipment ID]]&amp;"-"&amp;TWZ[[#This Row],[Device type]])</f>
        <v>OH Line-WAXWING</v>
      </c>
      <c r="BL41" s="16">
        <f>TWZ[[#This Row],[Voltage]]</f>
        <v>33</v>
      </c>
    </row>
    <row r="42" spans="1:64" s="422" customFormat="1" ht="15" customHeight="1" x14ac:dyDescent="0.25">
      <c r="A42" s="421" t="str">
        <f>CONCATENATE(TWZ[[#This Row],[Supply Level]],TWZ[[#This Row],[Station/Feeder]],TWZ[[#This Row],[Voltage]])</f>
        <v>ZoneSubstationTVS33</v>
      </c>
      <c r="B42" s="421" t="str">
        <f>CONCATENATE(TWZ[[#This Row],[Supply Level]],TWZ[[#This Row],[Station/Feeder]],TWZ[[#This Row],[Equipment ID]],TWZ[[#This Row],[Voltage]],TWZ[[#This Row],[Device type]])</f>
        <v>ZoneSubstationTVSZ6933-</v>
      </c>
      <c r="C42" s="173" t="s">
        <v>1246</v>
      </c>
      <c r="D42" s="10" t="s">
        <v>236</v>
      </c>
      <c r="E42" s="3" t="s">
        <v>64</v>
      </c>
      <c r="F42" s="3" t="s">
        <v>243</v>
      </c>
      <c r="G42" s="26">
        <v>1</v>
      </c>
      <c r="H42" s="38" t="s">
        <v>273</v>
      </c>
      <c r="I42" s="38" t="s">
        <v>64</v>
      </c>
      <c r="J42" s="38" t="s">
        <v>240</v>
      </c>
      <c r="K42" s="38" t="s">
        <v>0</v>
      </c>
      <c r="L42" s="38" t="s">
        <v>0</v>
      </c>
      <c r="M42" s="139">
        <v>33</v>
      </c>
      <c r="N42" s="5" t="s">
        <v>0</v>
      </c>
      <c r="O42" s="5" t="str">
        <f t="shared" si="11"/>
        <v>-</v>
      </c>
      <c r="P42" s="5" t="s">
        <v>0</v>
      </c>
      <c r="Q42" s="5" t="str">
        <f t="shared" si="12"/>
        <v>-</v>
      </c>
      <c r="R42" s="5" t="s">
        <v>0</v>
      </c>
      <c r="S42" s="5" t="str">
        <f t="shared" si="13"/>
        <v>-</v>
      </c>
      <c r="T42" s="5" t="s">
        <v>0</v>
      </c>
      <c r="U42" s="5" t="str">
        <f t="shared" si="14"/>
        <v>-</v>
      </c>
      <c r="V42" s="5" t="s">
        <v>0</v>
      </c>
      <c r="W42" s="5" t="str">
        <f t="shared" si="15"/>
        <v>-</v>
      </c>
      <c r="X42" s="5" t="s">
        <v>0</v>
      </c>
      <c r="Y42" s="5" t="str">
        <f t="shared" si="16"/>
        <v>-</v>
      </c>
      <c r="Z42" s="5" t="s">
        <v>0</v>
      </c>
      <c r="AA42" s="5" t="str">
        <f t="shared" si="17"/>
        <v>-</v>
      </c>
      <c r="AB42" s="5" t="s">
        <v>0</v>
      </c>
      <c r="AC42" s="5" t="str">
        <f t="shared" si="18"/>
        <v>-</v>
      </c>
      <c r="AD42" s="5" t="s">
        <v>0</v>
      </c>
      <c r="AE42" s="158" t="str">
        <f t="shared" si="19"/>
        <v>-</v>
      </c>
      <c r="AF42" s="5" t="s">
        <v>0</v>
      </c>
      <c r="AG42" s="5" t="s">
        <v>0</v>
      </c>
      <c r="AH42" s="4" t="s">
        <v>0</v>
      </c>
      <c r="AI42" s="5" t="s">
        <v>0</v>
      </c>
      <c r="AJ42" s="139" t="s">
        <v>0</v>
      </c>
      <c r="AK42" s="5" t="s">
        <v>0</v>
      </c>
      <c r="AL42" s="139" t="s">
        <v>0</v>
      </c>
      <c r="AM42" s="5" t="s">
        <v>0</v>
      </c>
      <c r="AN42" s="139" t="s">
        <v>0</v>
      </c>
      <c r="AO42" s="5" t="s">
        <v>0</v>
      </c>
      <c r="AP42" s="139" t="s">
        <v>0</v>
      </c>
      <c r="AQ42" s="139" t="s">
        <v>0</v>
      </c>
      <c r="AR42" s="5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42" s="5" t="str">
        <f t="shared" si="20"/>
        <v>-</v>
      </c>
      <c r="AT42" s="5" t="str">
        <f>IF(RIGHT(TWZ[[#This Row],[Device type]],7)="Winding","-",TWZ[[#This Row],[Cont Winter MVA]])</f>
        <v>-</v>
      </c>
      <c r="AU42" s="5" t="str">
        <f>IF(RIGHT(TWZ[[#This Row],[Device type]],7)="Winding","-",TWZ[[#This Row],[Cont Shoulder MVA]])</f>
        <v>-</v>
      </c>
      <c r="AV42" s="5" t="str">
        <f>IF(RIGHT(TWZ[[#This Row],[Device type]],7)="Winding","-",TWZ[[#This Row],[Cont Summer MVA]])</f>
        <v>-</v>
      </c>
      <c r="AW42" s="5" t="str">
        <f>TWZ[[#This Row],[24 Hr Winter MVA]]</f>
        <v>-</v>
      </c>
      <c r="AX42" s="5" t="str">
        <f>TWZ[[#This Row],[24 Hr Summer MVA]]</f>
        <v>-</v>
      </c>
      <c r="AY42" s="5" t="str">
        <f>TWZ[[#This Row],[Forwards MVA]]</f>
        <v>-</v>
      </c>
      <c r="AZ42" s="5" t="str">
        <f>TWZ[[#This Row],[Relay MVA]]</f>
        <v>-</v>
      </c>
      <c r="BA42" s="5" t="str">
        <f>TWZ[[#This Row],[CT MVA]]</f>
        <v>-</v>
      </c>
      <c r="BB42" s="5" t="str">
        <f>TWZ[[#This Row],[Derating MVA]]</f>
        <v>-</v>
      </c>
      <c r="BC42" s="5" t="str">
        <f>TWZ[[#This Row],[Station/Feeder]]&amp;TWZ[[#This Row],[Lowest MVA]]</f>
        <v>TVS</v>
      </c>
      <c r="BD42" s="5" t="str">
        <f>CONCATENATE(TWZ[[#This Row],[Supply Level]],TWZ[[#This Row],[Station/Feeder]],TWZ[[#This Row],[Voltage]],TWZ[[#This Row],[Lowest A-No PTX]])</f>
        <v>ZoneSubstationTVS33</v>
      </c>
      <c r="BE42" s="5" t="str">
        <f>CONCATENATE(TWZ[[#This Row],[Supply Level]],TWZ[[#This Row],[Station/Feeder]],TWZ[[#This Row],[Voltage]],TWZ[[#This Row],[Lowest A-PTX]])</f>
        <v>ZoneSubstationTVS33</v>
      </c>
      <c r="BF42" s="5" t="str">
        <f>IFERROR(IF(MIN(TWZ[[#This Row],[Summ Cont Winter A]:[Cable Derating]])=0,"",MIN(TWZ[[#This Row],[Summ Cont Winter A]:[Cable Derating]])),"")</f>
        <v/>
      </c>
      <c r="BG42" s="5" t="str">
        <f>IFERROR(TWZ[[#This Row],[Lowest MVA]]*1000/(TWZ[[#This Row],[Voltage]]*SQRT(3)),"")</f>
        <v/>
      </c>
      <c r="BH42" s="5" t="str">
        <f t="shared" si="21"/>
        <v/>
      </c>
      <c r="BI42" s="5" t="str">
        <f>TWZ[[#This Row],[From]]</f>
        <v>Z69</v>
      </c>
      <c r="BJ42" s="5" t="str">
        <f>TWZ[[#This Row],[To]]</f>
        <v>11 kV Bus</v>
      </c>
      <c r="BK42" s="188" t="str">
        <f>IF(TWZ[[#This Row],[Device type]]="-",TWZ[[#This Row],[Equipment Type]]&amp;"-"&amp;TWZ[[#This Row],[Equipment ID]],TWZ[[#This Row],[Equipment Type]]&amp;"-"&amp;TWZ[[#This Row],[Equipment ID]]&amp;"-"&amp;TWZ[[#This Row],[Device type]])</f>
        <v>ABS-Z69</v>
      </c>
      <c r="BL42" s="5">
        <f>TWZ[[#This Row],[Voltage]]</f>
        <v>33</v>
      </c>
    </row>
    <row r="43" spans="1:64" s="1" customFormat="1" x14ac:dyDescent="0.25">
      <c r="A43" s="353" t="str">
        <f>CONCATENATE(TWZ[[#This Row],[Supply Level]],TWZ[[#This Row],[Station/Feeder]],TWZ[[#This Row],[Voltage]])</f>
        <v>ZoneSubstationTVS33</v>
      </c>
      <c r="B43" s="354" t="str">
        <f>CONCATENATE(TWZ[[#This Row],[Supply Level]],TWZ[[#This Row],[Station/Feeder]],TWZ[[#This Row],[Equipment ID]],TWZ[[#This Row],[Voltage]],TWZ[[#This Row],[Device type]])</f>
        <v>ZoneSubstationTVSTVS-Z6833Protection</v>
      </c>
      <c r="C43" s="14" t="s">
        <v>1246</v>
      </c>
      <c r="D43" s="11" t="s">
        <v>236</v>
      </c>
      <c r="E43" s="6" t="s">
        <v>64</v>
      </c>
      <c r="F43" s="6" t="s">
        <v>243</v>
      </c>
      <c r="G43" s="27">
        <v>2</v>
      </c>
      <c r="H43" s="7" t="s">
        <v>274</v>
      </c>
      <c r="I43" s="7" t="s">
        <v>2584</v>
      </c>
      <c r="J43" s="7" t="s">
        <v>15</v>
      </c>
      <c r="K43" s="7" t="s">
        <v>266</v>
      </c>
      <c r="L43" s="7" t="s">
        <v>1423</v>
      </c>
      <c r="M43" s="43">
        <v>33</v>
      </c>
      <c r="N43" s="9" t="s">
        <v>0</v>
      </c>
      <c r="O43" s="9" t="str">
        <f t="shared" si="11"/>
        <v>-</v>
      </c>
      <c r="P43" s="9" t="s">
        <v>0</v>
      </c>
      <c r="Q43" s="9" t="str">
        <f t="shared" si="12"/>
        <v>-</v>
      </c>
      <c r="R43" s="9" t="s">
        <v>0</v>
      </c>
      <c r="S43" s="9" t="str">
        <f t="shared" si="13"/>
        <v>-</v>
      </c>
      <c r="T43" s="9" t="s">
        <v>0</v>
      </c>
      <c r="U43" s="9" t="str">
        <f t="shared" si="14"/>
        <v>-</v>
      </c>
      <c r="V43" s="9" t="s">
        <v>0</v>
      </c>
      <c r="W43" s="9" t="str">
        <f t="shared" si="15"/>
        <v>-</v>
      </c>
      <c r="X43" s="9">
        <f>VLOOKUP(TWZ[[#This Row],[Equipment ID]],AEL_Protection_Data[#All],12,0)</f>
        <v>150</v>
      </c>
      <c r="Y43" s="9">
        <f t="shared" si="16"/>
        <v>8.5736514974659421</v>
      </c>
      <c r="Z43" s="9">
        <v>150</v>
      </c>
      <c r="AA43" s="9">
        <f t="shared" si="17"/>
        <v>8.5736514974659421</v>
      </c>
      <c r="AB43" s="9" t="s">
        <v>0</v>
      </c>
      <c r="AC43" s="9" t="str">
        <f t="shared" si="18"/>
        <v>-</v>
      </c>
      <c r="AD43" s="9" t="s">
        <v>0</v>
      </c>
      <c r="AE43" s="12" t="str">
        <f t="shared" si="19"/>
        <v>-</v>
      </c>
      <c r="AF43" s="29" t="s">
        <v>0</v>
      </c>
      <c r="AG43" s="29" t="s">
        <v>0</v>
      </c>
      <c r="AH43" s="8" t="s">
        <v>0</v>
      </c>
      <c r="AI43" s="29" t="s">
        <v>0</v>
      </c>
      <c r="AJ43" s="32" t="s">
        <v>0</v>
      </c>
      <c r="AK43" s="29" t="s">
        <v>0</v>
      </c>
      <c r="AL43" s="32" t="s">
        <v>0</v>
      </c>
      <c r="AM43" s="29" t="s">
        <v>0</v>
      </c>
      <c r="AN43" s="32" t="s">
        <v>0</v>
      </c>
      <c r="AO43" s="29" t="s">
        <v>0</v>
      </c>
      <c r="AP43" s="32" t="s">
        <v>0</v>
      </c>
      <c r="AQ43" s="32" t="s">
        <v>0</v>
      </c>
      <c r="AR43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43" s="9" t="str">
        <f t="shared" si="20"/>
        <v>-</v>
      </c>
      <c r="AT43" s="9" t="str">
        <f>IF(RIGHT(TWZ[[#This Row],[Device type]],7)="Winding","-",TWZ[[#This Row],[Cont Winter MVA]])</f>
        <v>-</v>
      </c>
      <c r="AU43" s="9" t="str">
        <f>IF(RIGHT(TWZ[[#This Row],[Device type]],7)="Winding","-",TWZ[[#This Row],[Cont Shoulder MVA]])</f>
        <v>-</v>
      </c>
      <c r="AV43" s="9" t="str">
        <f>IF(RIGHT(TWZ[[#This Row],[Device type]],7)="Winding","-",TWZ[[#This Row],[Cont Summer MVA]])</f>
        <v>-</v>
      </c>
      <c r="AW43" s="9" t="str">
        <f>TWZ[[#This Row],[24 Hr Winter MVA]]</f>
        <v>-</v>
      </c>
      <c r="AX43" s="9" t="str">
        <f>TWZ[[#This Row],[24 Hr Summer MVA]]</f>
        <v>-</v>
      </c>
      <c r="AY43" s="9">
        <f>TWZ[[#This Row],[Forwards MVA]]</f>
        <v>8.5736514974659421</v>
      </c>
      <c r="AZ43" s="9" t="str">
        <f>TWZ[[#This Row],[Relay MVA]]</f>
        <v>-</v>
      </c>
      <c r="BA43" s="9" t="str">
        <f>TWZ[[#This Row],[CT MVA]]</f>
        <v>-</v>
      </c>
      <c r="BB43" s="9" t="str">
        <f>TWZ[[#This Row],[Derating MVA]]</f>
        <v>-</v>
      </c>
      <c r="BC43" s="9" t="str">
        <f>TWZ[[#This Row],[Station/Feeder]]&amp;TWZ[[#This Row],[Lowest MVA]]</f>
        <v>TVS8.57365149746594</v>
      </c>
      <c r="BD43" s="9" t="str">
        <f>CONCATENATE(TWZ[[#This Row],[Supply Level]],TWZ[[#This Row],[Station/Feeder]],TWZ[[#This Row],[Voltage]],TWZ[[#This Row],[Lowest A-No PTX]])</f>
        <v>ZoneSubstationTVS33150</v>
      </c>
      <c r="BE43" s="9" t="str">
        <f>CONCATENATE(TWZ[[#This Row],[Supply Level]],TWZ[[#This Row],[Station/Feeder]],TWZ[[#This Row],[Voltage]],TWZ[[#This Row],[Lowest A-PTX]])</f>
        <v>ZoneSubstationTVS33150</v>
      </c>
      <c r="BF43" s="9">
        <f>IFERROR(IF(MIN(TWZ[[#This Row],[Summ Cont Winter A]:[Cable Derating]])=0,"",MIN(TWZ[[#This Row],[Summ Cont Winter A]:[Cable Derating]])),"")</f>
        <v>8.5736514974659421</v>
      </c>
      <c r="BG43" s="9">
        <f>IFERROR(TWZ[[#This Row],[Lowest MVA]]*1000/(TWZ[[#This Row],[Voltage]]*SQRT(3)),"")</f>
        <v>150</v>
      </c>
      <c r="BH43" s="9">
        <f t="shared" si="21"/>
        <v>150</v>
      </c>
      <c r="BI43" s="9" t="str">
        <f>TWZ[[#This Row],[From]]</f>
        <v>Z69</v>
      </c>
      <c r="BJ43" s="9" t="str">
        <f>TWZ[[#This Row],[To]]</f>
        <v>11 kV Bus</v>
      </c>
      <c r="BK43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Breaker-TVS-Z68-Protection</v>
      </c>
      <c r="BL43" s="9">
        <f>TWZ[[#This Row],[Voltage]]</f>
        <v>33</v>
      </c>
    </row>
    <row r="44" spans="1:64" s="1" customFormat="1" ht="15" customHeight="1" x14ac:dyDescent="0.25">
      <c r="A44" s="353" t="str">
        <f>CONCATENATE(TWZ[[#This Row],[Supply Level]],TWZ[[#This Row],[Station/Feeder]],TWZ[[#This Row],[Voltage]])</f>
        <v>ZoneSubstationTVS33</v>
      </c>
      <c r="B44" s="354" t="str">
        <f>CONCATENATE(TWZ[[#This Row],[Supply Level]],TWZ[[#This Row],[Station/Feeder]],TWZ[[#This Row],[Equipment ID]],TWZ[[#This Row],[Voltage]],TWZ[[#This Row],[Device type]])</f>
        <v>ZoneSubstationTVSZ6733-</v>
      </c>
      <c r="C44" s="14" t="s">
        <v>1246</v>
      </c>
      <c r="D44" s="11" t="s">
        <v>236</v>
      </c>
      <c r="E44" s="6" t="s">
        <v>64</v>
      </c>
      <c r="F44" s="6" t="s">
        <v>243</v>
      </c>
      <c r="G44" s="27">
        <v>3</v>
      </c>
      <c r="H44" s="7" t="s">
        <v>273</v>
      </c>
      <c r="I44" s="7" t="s">
        <v>242</v>
      </c>
      <c r="J44" s="7" t="s">
        <v>240</v>
      </c>
      <c r="K44" s="7" t="s">
        <v>0</v>
      </c>
      <c r="L44" s="7" t="s">
        <v>0</v>
      </c>
      <c r="M44" s="43">
        <v>33</v>
      </c>
      <c r="N44" s="9" t="s">
        <v>0</v>
      </c>
      <c r="O44" s="9" t="str">
        <f t="shared" si="11"/>
        <v>-</v>
      </c>
      <c r="P44" s="9" t="s">
        <v>0</v>
      </c>
      <c r="Q44" s="9" t="str">
        <f t="shared" si="12"/>
        <v>-</v>
      </c>
      <c r="R44" s="9" t="s">
        <v>0</v>
      </c>
      <c r="S44" s="9" t="str">
        <f t="shared" si="13"/>
        <v>-</v>
      </c>
      <c r="T44" s="9" t="s">
        <v>0</v>
      </c>
      <c r="U44" s="9" t="str">
        <f t="shared" si="14"/>
        <v>-</v>
      </c>
      <c r="V44" s="9" t="s">
        <v>0</v>
      </c>
      <c r="W44" s="9" t="str">
        <f t="shared" si="15"/>
        <v>-</v>
      </c>
      <c r="X44" s="9" t="s">
        <v>0</v>
      </c>
      <c r="Y44" s="9" t="str">
        <f t="shared" si="16"/>
        <v>-</v>
      </c>
      <c r="Z44" s="9" t="s">
        <v>0</v>
      </c>
      <c r="AA44" s="9" t="str">
        <f t="shared" si="17"/>
        <v>-</v>
      </c>
      <c r="AB44" s="9" t="s">
        <v>0</v>
      </c>
      <c r="AC44" s="9" t="str">
        <f t="shared" si="18"/>
        <v>-</v>
      </c>
      <c r="AD44" s="9" t="s">
        <v>0</v>
      </c>
      <c r="AE44" s="12" t="str">
        <f t="shared" si="19"/>
        <v>-</v>
      </c>
      <c r="AF44" s="29" t="s">
        <v>0</v>
      </c>
      <c r="AG44" s="29" t="s">
        <v>0</v>
      </c>
      <c r="AH44" s="8" t="s">
        <v>0</v>
      </c>
      <c r="AI44" s="29" t="s">
        <v>0</v>
      </c>
      <c r="AJ44" s="32" t="s">
        <v>0</v>
      </c>
      <c r="AK44" s="29" t="s">
        <v>0</v>
      </c>
      <c r="AL44" s="32" t="s">
        <v>0</v>
      </c>
      <c r="AM44" s="29" t="s">
        <v>0</v>
      </c>
      <c r="AN44" s="32" t="s">
        <v>0</v>
      </c>
      <c r="AO44" s="29" t="s">
        <v>0</v>
      </c>
      <c r="AP44" s="32" t="s">
        <v>0</v>
      </c>
      <c r="AQ44" s="32" t="s">
        <v>0</v>
      </c>
      <c r="AR44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44" s="9" t="str">
        <f t="shared" si="20"/>
        <v>-</v>
      </c>
      <c r="AT44" s="9" t="str">
        <f>IF(RIGHT(TWZ[[#This Row],[Device type]],7)="Winding","-",TWZ[[#This Row],[Cont Winter MVA]])</f>
        <v>-</v>
      </c>
      <c r="AU44" s="9" t="str">
        <f>IF(RIGHT(TWZ[[#This Row],[Device type]],7)="Winding","-",TWZ[[#This Row],[Cont Shoulder MVA]])</f>
        <v>-</v>
      </c>
      <c r="AV44" s="9" t="str">
        <f>IF(RIGHT(TWZ[[#This Row],[Device type]],7)="Winding","-",TWZ[[#This Row],[Cont Summer MVA]])</f>
        <v>-</v>
      </c>
      <c r="AW44" s="9" t="str">
        <f>TWZ[[#This Row],[24 Hr Winter MVA]]</f>
        <v>-</v>
      </c>
      <c r="AX44" s="9" t="str">
        <f>TWZ[[#This Row],[24 Hr Summer MVA]]</f>
        <v>-</v>
      </c>
      <c r="AY44" s="9" t="str">
        <f>TWZ[[#This Row],[Forwards MVA]]</f>
        <v>-</v>
      </c>
      <c r="AZ44" s="9" t="str">
        <f>TWZ[[#This Row],[Relay MVA]]</f>
        <v>-</v>
      </c>
      <c r="BA44" s="9" t="str">
        <f>TWZ[[#This Row],[CT MVA]]</f>
        <v>-</v>
      </c>
      <c r="BB44" s="9" t="str">
        <f>TWZ[[#This Row],[Derating MVA]]</f>
        <v>-</v>
      </c>
      <c r="BC44" s="9" t="str">
        <f>TWZ[[#This Row],[Station/Feeder]]&amp;TWZ[[#This Row],[Lowest MVA]]</f>
        <v>TVS</v>
      </c>
      <c r="BD44" s="9" t="str">
        <f>CONCATENATE(TWZ[[#This Row],[Supply Level]],TWZ[[#This Row],[Station/Feeder]],TWZ[[#This Row],[Voltage]],TWZ[[#This Row],[Lowest A-No PTX]])</f>
        <v>ZoneSubstationTVS33</v>
      </c>
      <c r="BE44" s="9" t="str">
        <f>CONCATENATE(TWZ[[#This Row],[Supply Level]],TWZ[[#This Row],[Station/Feeder]],TWZ[[#This Row],[Voltage]],TWZ[[#This Row],[Lowest A-PTX]])</f>
        <v>ZoneSubstationTVS33</v>
      </c>
      <c r="BF44" s="9" t="str">
        <f>IFERROR(IF(MIN(TWZ[[#This Row],[Summ Cont Winter A]:[Cable Derating]])=0,"",MIN(TWZ[[#This Row],[Summ Cont Winter A]:[Cable Derating]])),"")</f>
        <v/>
      </c>
      <c r="BG44" s="9" t="str">
        <f>IFERROR(TWZ[[#This Row],[Lowest MVA]]*1000/(TWZ[[#This Row],[Voltage]]*SQRT(3)),"")</f>
        <v/>
      </c>
      <c r="BH44" s="9" t="str">
        <f t="shared" si="21"/>
        <v/>
      </c>
      <c r="BI44" s="9" t="str">
        <f>TWZ[[#This Row],[From]]</f>
        <v>Z69</v>
      </c>
      <c r="BJ44" s="9" t="str">
        <f>TWZ[[#This Row],[To]]</f>
        <v>11 kV Bus</v>
      </c>
      <c r="BK44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ABS-Z67</v>
      </c>
      <c r="BL44" s="9">
        <f>TWZ[[#This Row],[Voltage]]</f>
        <v>33</v>
      </c>
    </row>
    <row r="45" spans="1:64" s="1" customFormat="1" ht="15" customHeight="1" x14ac:dyDescent="0.25">
      <c r="A45" s="353" t="str">
        <f>CONCATENATE(TWZ[[#This Row],[Supply Level]],TWZ[[#This Row],[Station/Feeder]],TWZ[[#This Row],[Voltage]])</f>
        <v>ZoneSubstationTVS33</v>
      </c>
      <c r="B45" s="354" t="str">
        <f>CONCATENATE(TWZ[[#This Row],[Supply Level]],TWZ[[#This Row],[Station/Feeder]],TWZ[[#This Row],[Equipment ID]],TWZ[[#This Row],[Voltage]],TWZ[[#This Row],[Device type]])</f>
        <v>ZoneSubstationTVSZ6333-</v>
      </c>
      <c r="C45" s="14" t="s">
        <v>1246</v>
      </c>
      <c r="D45" s="11" t="s">
        <v>236</v>
      </c>
      <c r="E45" s="6" t="s">
        <v>64</v>
      </c>
      <c r="F45" s="6" t="s">
        <v>243</v>
      </c>
      <c r="G45" s="27">
        <v>4</v>
      </c>
      <c r="H45" s="7" t="s">
        <v>273</v>
      </c>
      <c r="I45" s="7" t="s">
        <v>244</v>
      </c>
      <c r="J45" s="7" t="s">
        <v>240</v>
      </c>
      <c r="K45" s="7" t="s">
        <v>0</v>
      </c>
      <c r="L45" s="7" t="s">
        <v>0</v>
      </c>
      <c r="M45" s="43">
        <v>33</v>
      </c>
      <c r="N45" s="9" t="s">
        <v>0</v>
      </c>
      <c r="O45" s="9" t="str">
        <f t="shared" si="11"/>
        <v>-</v>
      </c>
      <c r="P45" s="9" t="s">
        <v>0</v>
      </c>
      <c r="Q45" s="9" t="str">
        <f t="shared" si="12"/>
        <v>-</v>
      </c>
      <c r="R45" s="9" t="s">
        <v>0</v>
      </c>
      <c r="S45" s="9" t="str">
        <f t="shared" si="13"/>
        <v>-</v>
      </c>
      <c r="T45" s="9" t="s">
        <v>0</v>
      </c>
      <c r="U45" s="9" t="str">
        <f t="shared" si="14"/>
        <v>-</v>
      </c>
      <c r="V45" s="9" t="s">
        <v>0</v>
      </c>
      <c r="W45" s="9" t="str">
        <f t="shared" si="15"/>
        <v>-</v>
      </c>
      <c r="X45" s="9" t="s">
        <v>0</v>
      </c>
      <c r="Y45" s="9" t="str">
        <f t="shared" si="16"/>
        <v>-</v>
      </c>
      <c r="Z45" s="9" t="s">
        <v>0</v>
      </c>
      <c r="AA45" s="9" t="str">
        <f t="shared" si="17"/>
        <v>-</v>
      </c>
      <c r="AB45" s="9" t="s">
        <v>0</v>
      </c>
      <c r="AC45" s="9" t="str">
        <f t="shared" si="18"/>
        <v>-</v>
      </c>
      <c r="AD45" s="9" t="s">
        <v>0</v>
      </c>
      <c r="AE45" s="12" t="str">
        <f t="shared" si="19"/>
        <v>-</v>
      </c>
      <c r="AF45" s="29" t="s">
        <v>0</v>
      </c>
      <c r="AG45" s="29" t="s">
        <v>0</v>
      </c>
      <c r="AH45" s="8" t="s">
        <v>0</v>
      </c>
      <c r="AI45" s="29" t="s">
        <v>0</v>
      </c>
      <c r="AJ45" s="32" t="s">
        <v>0</v>
      </c>
      <c r="AK45" s="29" t="s">
        <v>0</v>
      </c>
      <c r="AL45" s="32" t="s">
        <v>0</v>
      </c>
      <c r="AM45" s="29" t="s">
        <v>0</v>
      </c>
      <c r="AN45" s="32" t="s">
        <v>0</v>
      </c>
      <c r="AO45" s="29" t="s">
        <v>0</v>
      </c>
      <c r="AP45" s="32" t="s">
        <v>0</v>
      </c>
      <c r="AQ45" s="32" t="s">
        <v>0</v>
      </c>
      <c r="AR45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45" s="9" t="str">
        <f t="shared" si="20"/>
        <v>-</v>
      </c>
      <c r="AT45" s="9" t="str">
        <f>IF(RIGHT(TWZ[[#This Row],[Device type]],7)="Winding","-",TWZ[[#This Row],[Cont Winter MVA]])</f>
        <v>-</v>
      </c>
      <c r="AU45" s="9" t="str">
        <f>IF(RIGHT(TWZ[[#This Row],[Device type]],7)="Winding","-",TWZ[[#This Row],[Cont Shoulder MVA]])</f>
        <v>-</v>
      </c>
      <c r="AV45" s="9" t="str">
        <f>IF(RIGHT(TWZ[[#This Row],[Device type]],7)="Winding","-",TWZ[[#This Row],[Cont Summer MVA]])</f>
        <v>-</v>
      </c>
      <c r="AW45" s="9" t="str">
        <f>TWZ[[#This Row],[24 Hr Winter MVA]]</f>
        <v>-</v>
      </c>
      <c r="AX45" s="9" t="str">
        <f>TWZ[[#This Row],[24 Hr Summer MVA]]</f>
        <v>-</v>
      </c>
      <c r="AY45" s="9" t="str">
        <f>TWZ[[#This Row],[Forwards MVA]]</f>
        <v>-</v>
      </c>
      <c r="AZ45" s="9" t="str">
        <f>TWZ[[#This Row],[Relay MVA]]</f>
        <v>-</v>
      </c>
      <c r="BA45" s="9" t="str">
        <f>TWZ[[#This Row],[CT MVA]]</f>
        <v>-</v>
      </c>
      <c r="BB45" s="9" t="str">
        <f>TWZ[[#This Row],[Derating MVA]]</f>
        <v>-</v>
      </c>
      <c r="BC45" s="9" t="str">
        <f>TWZ[[#This Row],[Station/Feeder]]&amp;TWZ[[#This Row],[Lowest MVA]]</f>
        <v>TVS</v>
      </c>
      <c r="BD45" s="9" t="str">
        <f>CONCATENATE(TWZ[[#This Row],[Supply Level]],TWZ[[#This Row],[Station/Feeder]],TWZ[[#This Row],[Voltage]],TWZ[[#This Row],[Lowest A-No PTX]])</f>
        <v>ZoneSubstationTVS33</v>
      </c>
      <c r="BE45" s="9" t="str">
        <f>CONCATENATE(TWZ[[#This Row],[Supply Level]],TWZ[[#This Row],[Station/Feeder]],TWZ[[#This Row],[Voltage]],TWZ[[#This Row],[Lowest A-PTX]])</f>
        <v>ZoneSubstationTVS33</v>
      </c>
      <c r="BF45" s="9" t="str">
        <f>IFERROR(IF(MIN(TWZ[[#This Row],[Summ Cont Winter A]:[Cable Derating]])=0,"",MIN(TWZ[[#This Row],[Summ Cont Winter A]:[Cable Derating]])),"")</f>
        <v/>
      </c>
      <c r="BG45" s="9" t="str">
        <f>IFERROR(TWZ[[#This Row],[Lowest MVA]]*1000/(TWZ[[#This Row],[Voltage]]*SQRT(3)),"")</f>
        <v/>
      </c>
      <c r="BH45" s="9" t="str">
        <f t="shared" si="21"/>
        <v/>
      </c>
      <c r="BI45" s="9" t="str">
        <f>TWZ[[#This Row],[From]]</f>
        <v>Z69</v>
      </c>
      <c r="BJ45" s="9" t="str">
        <f>TWZ[[#This Row],[To]]</f>
        <v>11 kV Bus</v>
      </c>
      <c r="BK45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ABS-Z63</v>
      </c>
      <c r="BL45" s="9">
        <f>TWZ[[#This Row],[Voltage]]</f>
        <v>33</v>
      </c>
    </row>
    <row r="46" spans="1:64" s="1" customFormat="1" ht="15" customHeight="1" x14ac:dyDescent="0.25">
      <c r="A46" s="353" t="str">
        <f>CONCATENATE(TWZ[[#This Row],[Supply Level]],TWZ[[#This Row],[Station/Feeder]],TWZ[[#This Row],[Voltage]])</f>
        <v>ZoneSubstationTVS33</v>
      </c>
      <c r="B46" s="354" t="str">
        <f>CONCATENATE(TWZ[[#This Row],[Supply Level]],TWZ[[#This Row],[Station/Feeder]],TWZ[[#This Row],[Equipment ID]],TWZ[[#This Row],[Voltage]],TWZ[[#This Row],[Device type]])</f>
        <v>ZoneSubstationTVSE12033HV Winding</v>
      </c>
      <c r="C46" s="14" t="s">
        <v>1246</v>
      </c>
      <c r="D46" s="11" t="s">
        <v>236</v>
      </c>
      <c r="E46" s="6" t="s">
        <v>64</v>
      </c>
      <c r="F46" s="6" t="s">
        <v>243</v>
      </c>
      <c r="G46" s="27">
        <v>5</v>
      </c>
      <c r="H46" s="7" t="s">
        <v>275</v>
      </c>
      <c r="I46" s="7" t="s">
        <v>245</v>
      </c>
      <c r="J46" s="7" t="s">
        <v>19</v>
      </c>
      <c r="K46" s="7" t="s">
        <v>0</v>
      </c>
      <c r="L46" s="7" t="s">
        <v>36</v>
      </c>
      <c r="M46" s="43">
        <v>33</v>
      </c>
      <c r="N46" s="9">
        <f>6250/(TWZ[[#This Row],[Voltage]]*SQRT(3))</f>
        <v>109.34664189197458</v>
      </c>
      <c r="O46" s="9">
        <f t="shared" si="11"/>
        <v>6.25</v>
      </c>
      <c r="P46" s="9" t="s">
        <v>0</v>
      </c>
      <c r="Q46" s="9" t="str">
        <f t="shared" si="12"/>
        <v>-</v>
      </c>
      <c r="R46" s="9" t="s">
        <v>0</v>
      </c>
      <c r="S46" s="9" t="str">
        <f>IF(OR(R46="",R46="-"),"-",R46*$M46*SQRT(3)/1000)</f>
        <v>-</v>
      </c>
      <c r="T46" s="9" t="s">
        <v>0</v>
      </c>
      <c r="U46" s="9" t="str">
        <f t="shared" si="14"/>
        <v>-</v>
      </c>
      <c r="V46" s="9" t="s">
        <v>0</v>
      </c>
      <c r="W46" s="9" t="str">
        <f t="shared" si="15"/>
        <v>-</v>
      </c>
      <c r="X46" s="9" t="s">
        <v>0</v>
      </c>
      <c r="Y46" s="9" t="str">
        <f t="shared" si="16"/>
        <v>-</v>
      </c>
      <c r="Z46" s="9" t="s">
        <v>0</v>
      </c>
      <c r="AA46" s="9" t="str">
        <f t="shared" si="17"/>
        <v>-</v>
      </c>
      <c r="AB46" s="9" t="s">
        <v>0</v>
      </c>
      <c r="AC46" s="9" t="str">
        <f t="shared" si="18"/>
        <v>-</v>
      </c>
      <c r="AD46" s="9" t="s">
        <v>0</v>
      </c>
      <c r="AE46" s="12" t="str">
        <f t="shared" si="19"/>
        <v>-</v>
      </c>
      <c r="AF46" s="29" t="s">
        <v>0</v>
      </c>
      <c r="AG46" s="29" t="s">
        <v>0</v>
      </c>
      <c r="AH46" s="8" t="s">
        <v>0</v>
      </c>
      <c r="AI46" s="29" t="s">
        <v>0</v>
      </c>
      <c r="AJ46" s="32" t="s">
        <v>0</v>
      </c>
      <c r="AK46" s="29" t="s">
        <v>0</v>
      </c>
      <c r="AL46" s="32" t="s">
        <v>0</v>
      </c>
      <c r="AM46" s="29" t="s">
        <v>0</v>
      </c>
      <c r="AN46" s="32" t="s">
        <v>0</v>
      </c>
      <c r="AO46" s="29" t="s">
        <v>0</v>
      </c>
      <c r="AP46" s="32" t="s">
        <v>0</v>
      </c>
      <c r="AQ46" s="32" t="s">
        <v>0</v>
      </c>
      <c r="AR46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46" s="9" t="str">
        <f t="shared" si="20"/>
        <v>-</v>
      </c>
      <c r="AT46" s="9" t="str">
        <f>IF(RIGHT(TWZ[[#This Row],[Device type]],7)="Winding","-",TWZ[[#This Row],[Cont Winter MVA]])</f>
        <v>-</v>
      </c>
      <c r="AU46" s="9" t="str">
        <f>IF(RIGHT(TWZ[[#This Row],[Device type]],7)="Winding","-",TWZ[[#This Row],[Cont Shoulder MVA]])</f>
        <v>-</v>
      </c>
      <c r="AV46" s="9" t="str">
        <f>IF(RIGHT(TWZ[[#This Row],[Device type]],7)="Winding","-",TWZ[[#This Row],[Cont Summer MVA]])</f>
        <v>-</v>
      </c>
      <c r="AW46" s="9" t="str">
        <f>TWZ[[#This Row],[24 Hr Winter MVA]]</f>
        <v>-</v>
      </c>
      <c r="AX46" s="9" t="str">
        <f>TWZ[[#This Row],[24 Hr Summer MVA]]</f>
        <v>-</v>
      </c>
      <c r="AY46" s="9" t="str">
        <f>TWZ[[#This Row],[Forwards MVA]]</f>
        <v>-</v>
      </c>
      <c r="AZ46" s="9" t="str">
        <f>TWZ[[#This Row],[Relay MVA]]</f>
        <v>-</v>
      </c>
      <c r="BA46" s="9" t="str">
        <f>TWZ[[#This Row],[CT MVA]]</f>
        <v>-</v>
      </c>
      <c r="BB46" s="9" t="str">
        <f>TWZ[[#This Row],[Derating MVA]]</f>
        <v>-</v>
      </c>
      <c r="BC46" s="9" t="str">
        <f>TWZ[[#This Row],[Station/Feeder]]&amp;TWZ[[#This Row],[Lowest MVA]]</f>
        <v>TVS</v>
      </c>
      <c r="BD46" s="9" t="str">
        <f>CONCATENATE(TWZ[[#This Row],[Supply Level]],TWZ[[#This Row],[Station/Feeder]],TWZ[[#This Row],[Voltage]],TWZ[[#This Row],[Lowest A-No PTX]])</f>
        <v>ZoneSubstationTVS33</v>
      </c>
      <c r="BE46" s="9" t="str">
        <f>CONCATENATE(TWZ[[#This Row],[Supply Level]],TWZ[[#This Row],[Station/Feeder]],TWZ[[#This Row],[Voltage]],TWZ[[#This Row],[Lowest A-PTX]])</f>
        <v>ZoneSubstationTVS33109.346641891975</v>
      </c>
      <c r="BF46" s="9" t="str">
        <f>IFERROR(IF(MIN(TWZ[[#This Row],[Summ Cont Winter A]:[Cable Derating]])=0,"",MIN(TWZ[[#This Row],[Summ Cont Winter A]:[Cable Derating]])),"")</f>
        <v/>
      </c>
      <c r="BG46" s="9" t="str">
        <f>IFERROR(TWZ[[#This Row],[Lowest MVA]]*1000/(TWZ[[#This Row],[Voltage]]*SQRT(3)),"")</f>
        <v/>
      </c>
      <c r="BH46" s="9">
        <f>IF(MIN(N46,P46,R46,T46,V46,X46,Z46,AB46,AD46,AR46)=0,"",MIN(N46,P46,R46,T46,V46,X46,Z46,AB46,AD46,AR46))</f>
        <v>109.34664189197458</v>
      </c>
      <c r="BI46" s="9" t="str">
        <f>TWZ[[#This Row],[From]]</f>
        <v>Z69</v>
      </c>
      <c r="BJ46" s="9" t="str">
        <f>TWZ[[#This Row],[To]]</f>
        <v>11 kV Bus</v>
      </c>
      <c r="BK46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Transformer-E120-HV Winding</v>
      </c>
      <c r="BL46" s="9">
        <f>TWZ[[#This Row],[Voltage]]</f>
        <v>33</v>
      </c>
    </row>
    <row r="47" spans="1:64" s="1" customFormat="1" ht="15" customHeight="1" x14ac:dyDescent="0.25">
      <c r="A47" s="353" t="str">
        <f>CONCATENATE(TWZ[[#This Row],[Supply Level]],TWZ[[#This Row],[Station/Feeder]],TWZ[[#This Row],[Voltage]])</f>
        <v>ZoneSubstationTVS11</v>
      </c>
      <c r="B47" s="354" t="str">
        <f>CONCATENATE(TWZ[[#This Row],[Supply Level]],TWZ[[#This Row],[Station/Feeder]],TWZ[[#This Row],[Equipment ID]],TWZ[[#This Row],[Voltage]],TWZ[[#This Row],[Device type]])</f>
        <v>ZoneSubstationTVSE12011LV Winding</v>
      </c>
      <c r="C47" s="14" t="s">
        <v>1246</v>
      </c>
      <c r="D47" s="11" t="s">
        <v>236</v>
      </c>
      <c r="E47" s="6" t="s">
        <v>64</v>
      </c>
      <c r="F47" s="6" t="s">
        <v>243</v>
      </c>
      <c r="G47" s="27">
        <v>6</v>
      </c>
      <c r="H47" s="7" t="s">
        <v>275</v>
      </c>
      <c r="I47" s="7" t="s">
        <v>245</v>
      </c>
      <c r="J47" s="7" t="s">
        <v>19</v>
      </c>
      <c r="K47" s="7" t="s">
        <v>0</v>
      </c>
      <c r="L47" s="7" t="s">
        <v>37</v>
      </c>
      <c r="M47" s="43">
        <v>11</v>
      </c>
      <c r="N47" s="9">
        <f>6250/(TWZ[[#This Row],[Voltage]]*SQRT(3))</f>
        <v>328.03992567592377</v>
      </c>
      <c r="O47" s="9">
        <f t="shared" si="11"/>
        <v>6.25</v>
      </c>
      <c r="P47" s="9" t="s">
        <v>0</v>
      </c>
      <c r="Q47" s="9" t="str">
        <f t="shared" si="12"/>
        <v>-</v>
      </c>
      <c r="R47" s="9" t="s">
        <v>0</v>
      </c>
      <c r="S47" s="9" t="str">
        <f>IF(OR(R47="",R47="-"),"-",R47*$M47*SQRT(3)/1000)</f>
        <v>-</v>
      </c>
      <c r="T47" s="9" t="s">
        <v>0</v>
      </c>
      <c r="U47" s="9" t="str">
        <f t="shared" si="14"/>
        <v>-</v>
      </c>
      <c r="V47" s="9" t="s">
        <v>0</v>
      </c>
      <c r="W47" s="9" t="str">
        <f t="shared" si="15"/>
        <v>-</v>
      </c>
      <c r="X47" s="9" t="s">
        <v>0</v>
      </c>
      <c r="Y47" s="9" t="str">
        <f t="shared" si="16"/>
        <v>-</v>
      </c>
      <c r="Z47" s="9" t="s">
        <v>0</v>
      </c>
      <c r="AA47" s="9" t="str">
        <f t="shared" si="17"/>
        <v>-</v>
      </c>
      <c r="AB47" s="9" t="s">
        <v>0</v>
      </c>
      <c r="AC47" s="9" t="str">
        <f t="shared" si="18"/>
        <v>-</v>
      </c>
      <c r="AD47" s="9" t="s">
        <v>0</v>
      </c>
      <c r="AE47" s="12" t="str">
        <f t="shared" si="19"/>
        <v>-</v>
      </c>
      <c r="AF47" s="29" t="s">
        <v>0</v>
      </c>
      <c r="AG47" s="29" t="s">
        <v>0</v>
      </c>
      <c r="AH47" s="8" t="s">
        <v>0</v>
      </c>
      <c r="AI47" s="29" t="s">
        <v>0</v>
      </c>
      <c r="AJ47" s="32" t="s">
        <v>0</v>
      </c>
      <c r="AK47" s="29" t="s">
        <v>0</v>
      </c>
      <c r="AL47" s="32" t="s">
        <v>0</v>
      </c>
      <c r="AM47" s="29" t="s">
        <v>0</v>
      </c>
      <c r="AN47" s="32" t="s">
        <v>0</v>
      </c>
      <c r="AO47" s="29" t="s">
        <v>0</v>
      </c>
      <c r="AP47" s="32" t="s">
        <v>0</v>
      </c>
      <c r="AQ47" s="32" t="s">
        <v>0</v>
      </c>
      <c r="AR47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47" s="9" t="str">
        <f t="shared" si="20"/>
        <v>-</v>
      </c>
      <c r="AT47" s="9" t="str">
        <f>IF(RIGHT(TWZ[[#This Row],[Device type]],7)="Winding","-",TWZ[[#This Row],[Cont Winter MVA]])</f>
        <v>-</v>
      </c>
      <c r="AU47" s="9" t="str">
        <f>IF(RIGHT(TWZ[[#This Row],[Device type]],7)="Winding","-",TWZ[[#This Row],[Cont Shoulder MVA]])</f>
        <v>-</v>
      </c>
      <c r="AV47" s="9" t="str">
        <f>IF(RIGHT(TWZ[[#This Row],[Device type]],7)="Winding","-",TWZ[[#This Row],[Cont Summer MVA]])</f>
        <v>-</v>
      </c>
      <c r="AW47" s="9" t="str">
        <f>TWZ[[#This Row],[24 Hr Winter MVA]]</f>
        <v>-</v>
      </c>
      <c r="AX47" s="9" t="str">
        <f>TWZ[[#This Row],[24 Hr Summer MVA]]</f>
        <v>-</v>
      </c>
      <c r="AY47" s="9" t="str">
        <f>TWZ[[#This Row],[Forwards MVA]]</f>
        <v>-</v>
      </c>
      <c r="AZ47" s="9" t="str">
        <f>TWZ[[#This Row],[Relay MVA]]</f>
        <v>-</v>
      </c>
      <c r="BA47" s="9" t="str">
        <f>TWZ[[#This Row],[CT MVA]]</f>
        <v>-</v>
      </c>
      <c r="BB47" s="9" t="str">
        <f>TWZ[[#This Row],[Derating MVA]]</f>
        <v>-</v>
      </c>
      <c r="BC47" s="9" t="str">
        <f>TWZ[[#This Row],[Station/Feeder]]&amp;TWZ[[#This Row],[Lowest MVA]]</f>
        <v>TVS</v>
      </c>
      <c r="BD47" s="9" t="str">
        <f>CONCATENATE(TWZ[[#This Row],[Supply Level]],TWZ[[#This Row],[Station/Feeder]],TWZ[[#This Row],[Voltage]],TWZ[[#This Row],[Lowest A-No PTX]])</f>
        <v>ZoneSubstationTVS11</v>
      </c>
      <c r="BE47" s="9" t="str">
        <f>CONCATENATE(TWZ[[#This Row],[Supply Level]],TWZ[[#This Row],[Station/Feeder]],TWZ[[#This Row],[Voltage]],TWZ[[#This Row],[Lowest A-PTX]])</f>
        <v>ZoneSubstationTVS11328.039925675924</v>
      </c>
      <c r="BF47" s="9" t="str">
        <f>IFERROR(IF(MIN(TWZ[[#This Row],[Summ Cont Winter A]:[Cable Derating]])=0,"",MIN(TWZ[[#This Row],[Summ Cont Winter A]:[Cable Derating]])),"")</f>
        <v/>
      </c>
      <c r="BG47" s="9" t="str">
        <f>IFERROR(TWZ[[#This Row],[Lowest MVA]]*1000/(TWZ[[#This Row],[Voltage]]*SQRT(3)),"")</f>
        <v/>
      </c>
      <c r="BH47" s="9">
        <f>IF(MIN(N47,P47,R47,T47,V47,X47,Z47,AB47,AD47,AR47)=0,"",MIN(N47,P47,R47,T47,V47,X47,Z47,AB47,AD47,AR47))</f>
        <v>328.03992567592377</v>
      </c>
      <c r="BI47" s="9" t="str">
        <f>TWZ[[#This Row],[From]]</f>
        <v>Z69</v>
      </c>
      <c r="BJ47" s="9" t="str">
        <f>TWZ[[#This Row],[To]]</f>
        <v>11 kV Bus</v>
      </c>
      <c r="BK47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Transformer-E120-LV Winding</v>
      </c>
      <c r="BL47" s="9">
        <f>TWZ[[#This Row],[Voltage]]</f>
        <v>11</v>
      </c>
    </row>
    <row r="48" spans="1:64" s="1" customFormat="1" ht="15" customHeight="1" x14ac:dyDescent="0.25">
      <c r="A48" s="353" t="str">
        <f>CONCATENATE(TWZ[[#This Row],[Supply Level]],TWZ[[#This Row],[Station/Feeder]],TWZ[[#This Row],[Voltage]])</f>
        <v>ZoneSubstationTVS11</v>
      </c>
      <c r="B48" s="354" t="str">
        <f>CONCATENATE(TWZ[[#This Row],[Supply Level]],TWZ[[#This Row],[Station/Feeder]],TWZ[[#This Row],[Equipment ID]],TWZ[[#This Row],[Voltage]],TWZ[[#This Row],[Device type]])</f>
        <v>ZoneSubstationTVSZ6211-</v>
      </c>
      <c r="C48" s="14" t="s">
        <v>1246</v>
      </c>
      <c r="D48" s="11" t="s">
        <v>236</v>
      </c>
      <c r="E48" s="6" t="s">
        <v>64</v>
      </c>
      <c r="F48" s="6" t="s">
        <v>243</v>
      </c>
      <c r="G48" s="27">
        <v>7</v>
      </c>
      <c r="H48" s="7" t="s">
        <v>273</v>
      </c>
      <c r="I48" s="7" t="s">
        <v>246</v>
      </c>
      <c r="J48" s="7" t="s">
        <v>240</v>
      </c>
      <c r="K48" s="7" t="s">
        <v>0</v>
      </c>
      <c r="L48" s="7" t="s">
        <v>0</v>
      </c>
      <c r="M48" s="43">
        <v>11</v>
      </c>
      <c r="N48" s="9" t="s">
        <v>0</v>
      </c>
      <c r="O48" s="9" t="str">
        <f t="shared" si="11"/>
        <v>-</v>
      </c>
      <c r="P48" s="9" t="s">
        <v>0</v>
      </c>
      <c r="Q48" s="9" t="str">
        <f t="shared" si="12"/>
        <v>-</v>
      </c>
      <c r="R48" s="9" t="s">
        <v>0</v>
      </c>
      <c r="S48" s="9" t="str">
        <f t="shared" si="13"/>
        <v>-</v>
      </c>
      <c r="T48" s="9" t="s">
        <v>0</v>
      </c>
      <c r="U48" s="9" t="str">
        <f t="shared" si="14"/>
        <v>-</v>
      </c>
      <c r="V48" s="9" t="s">
        <v>0</v>
      </c>
      <c r="W48" s="9" t="str">
        <f t="shared" si="15"/>
        <v>-</v>
      </c>
      <c r="X48" s="9" t="s">
        <v>0</v>
      </c>
      <c r="Y48" s="9" t="str">
        <f t="shared" si="16"/>
        <v>-</v>
      </c>
      <c r="Z48" s="9" t="s">
        <v>0</v>
      </c>
      <c r="AA48" s="9" t="str">
        <f t="shared" si="17"/>
        <v>-</v>
      </c>
      <c r="AB48" s="9" t="s">
        <v>0</v>
      </c>
      <c r="AC48" s="9" t="str">
        <f t="shared" si="18"/>
        <v>-</v>
      </c>
      <c r="AD48" s="9" t="s">
        <v>0</v>
      </c>
      <c r="AE48" s="12" t="str">
        <f t="shared" si="19"/>
        <v>-</v>
      </c>
      <c r="AF48" s="29" t="s">
        <v>0</v>
      </c>
      <c r="AG48" s="29" t="s">
        <v>0</v>
      </c>
      <c r="AH48" s="8" t="s">
        <v>0</v>
      </c>
      <c r="AI48" s="29" t="s">
        <v>0</v>
      </c>
      <c r="AJ48" s="32" t="s">
        <v>0</v>
      </c>
      <c r="AK48" s="29" t="s">
        <v>0</v>
      </c>
      <c r="AL48" s="32" t="s">
        <v>0</v>
      </c>
      <c r="AM48" s="29" t="s">
        <v>0</v>
      </c>
      <c r="AN48" s="32" t="s">
        <v>0</v>
      </c>
      <c r="AO48" s="29" t="s">
        <v>0</v>
      </c>
      <c r="AP48" s="32" t="s">
        <v>0</v>
      </c>
      <c r="AQ48" s="32" t="s">
        <v>0</v>
      </c>
      <c r="AR48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48" s="9" t="str">
        <f t="shared" si="20"/>
        <v>-</v>
      </c>
      <c r="AT48" s="9" t="str">
        <f>IF(RIGHT(TWZ[[#This Row],[Device type]],7)="Winding","-",TWZ[[#This Row],[Cont Winter MVA]])</f>
        <v>-</v>
      </c>
      <c r="AU48" s="9" t="str">
        <f>IF(RIGHT(TWZ[[#This Row],[Device type]],7)="Winding","-",TWZ[[#This Row],[Cont Shoulder MVA]])</f>
        <v>-</v>
      </c>
      <c r="AV48" s="9" t="str">
        <f>IF(RIGHT(TWZ[[#This Row],[Device type]],7)="Winding","-",TWZ[[#This Row],[Cont Summer MVA]])</f>
        <v>-</v>
      </c>
      <c r="AW48" s="9" t="str">
        <f>TWZ[[#This Row],[24 Hr Winter MVA]]</f>
        <v>-</v>
      </c>
      <c r="AX48" s="9" t="str">
        <f>TWZ[[#This Row],[24 Hr Summer MVA]]</f>
        <v>-</v>
      </c>
      <c r="AY48" s="9" t="str">
        <f>TWZ[[#This Row],[Forwards MVA]]</f>
        <v>-</v>
      </c>
      <c r="AZ48" s="9" t="str">
        <f>TWZ[[#This Row],[Relay MVA]]</f>
        <v>-</v>
      </c>
      <c r="BA48" s="9" t="str">
        <f>TWZ[[#This Row],[CT MVA]]</f>
        <v>-</v>
      </c>
      <c r="BB48" s="9" t="str">
        <f>TWZ[[#This Row],[Derating MVA]]</f>
        <v>-</v>
      </c>
      <c r="BC48" s="9" t="str">
        <f>TWZ[[#This Row],[Station/Feeder]]&amp;TWZ[[#This Row],[Lowest MVA]]</f>
        <v>TVS</v>
      </c>
      <c r="BD48" s="9" t="str">
        <f>CONCATENATE(TWZ[[#This Row],[Supply Level]],TWZ[[#This Row],[Station/Feeder]],TWZ[[#This Row],[Voltage]],TWZ[[#This Row],[Lowest A-No PTX]])</f>
        <v>ZoneSubstationTVS11</v>
      </c>
      <c r="BE48" s="9" t="str">
        <f>CONCATENATE(TWZ[[#This Row],[Supply Level]],TWZ[[#This Row],[Station/Feeder]],TWZ[[#This Row],[Voltage]],TWZ[[#This Row],[Lowest A-PTX]])</f>
        <v>ZoneSubstationTVS11</v>
      </c>
      <c r="BF48" s="9" t="str">
        <f>IFERROR(IF(MIN(TWZ[[#This Row],[Summ Cont Winter A]:[Cable Derating]])=0,"",MIN(TWZ[[#This Row],[Summ Cont Winter A]:[Cable Derating]])),"")</f>
        <v/>
      </c>
      <c r="BG48" s="9" t="str">
        <f>IFERROR(TWZ[[#This Row],[Lowest MVA]]*1000/(TWZ[[#This Row],[Voltage]]*SQRT(3)),"")</f>
        <v/>
      </c>
      <c r="BH48" s="9" t="str">
        <f t="shared" si="21"/>
        <v/>
      </c>
      <c r="BI48" s="9" t="str">
        <f>TWZ[[#This Row],[From]]</f>
        <v>Z69</v>
      </c>
      <c r="BJ48" s="9" t="str">
        <f>TWZ[[#This Row],[To]]</f>
        <v>11 kV Bus</v>
      </c>
      <c r="BK48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ABS-Z62</v>
      </c>
      <c r="BL48" s="9">
        <f>TWZ[[#This Row],[Voltage]]</f>
        <v>11</v>
      </c>
    </row>
    <row r="49" spans="1:64" s="1" customFormat="1" ht="15" customHeight="1" x14ac:dyDescent="0.25">
      <c r="A49" s="353" t="str">
        <f>CONCATENATE(TWZ[[#This Row],[Supply Level]],TWZ[[#This Row],[Station/Feeder]],TWZ[[#This Row],[Voltage]])</f>
        <v>ZoneSubstationTVS11</v>
      </c>
      <c r="B49" s="354" t="str">
        <f>CONCATENATE(TWZ[[#This Row],[Supply Level]],TWZ[[#This Row],[Station/Feeder]],TWZ[[#This Row],[Equipment ID]],TWZ[[#This Row],[Voltage]],TWZ[[#This Row],[Device type]])</f>
        <v>ZoneSubstationTVSZ6111-</v>
      </c>
      <c r="C49" s="14" t="s">
        <v>1246</v>
      </c>
      <c r="D49" s="11" t="s">
        <v>236</v>
      </c>
      <c r="E49" s="6" t="s">
        <v>64</v>
      </c>
      <c r="F49" s="6" t="s">
        <v>243</v>
      </c>
      <c r="G49" s="27">
        <v>8</v>
      </c>
      <c r="H49" s="7" t="s">
        <v>273</v>
      </c>
      <c r="I49" s="7" t="s">
        <v>247</v>
      </c>
      <c r="J49" s="7" t="s">
        <v>249</v>
      </c>
      <c r="K49" s="7" t="s">
        <v>0</v>
      </c>
      <c r="L49" s="7" t="s">
        <v>0</v>
      </c>
      <c r="M49" s="43">
        <v>11</v>
      </c>
      <c r="N49" s="9">
        <v>600</v>
      </c>
      <c r="O49" s="9">
        <f t="shared" si="11"/>
        <v>11.43153532995459</v>
      </c>
      <c r="P49" s="9">
        <v>600</v>
      </c>
      <c r="Q49" s="9">
        <f t="shared" si="12"/>
        <v>11.43153532995459</v>
      </c>
      <c r="R49" s="9">
        <v>600</v>
      </c>
      <c r="S49" s="9">
        <f t="shared" si="13"/>
        <v>11.43153532995459</v>
      </c>
      <c r="T49" s="9" t="s">
        <v>0</v>
      </c>
      <c r="U49" s="9" t="str">
        <f t="shared" si="14"/>
        <v>-</v>
      </c>
      <c r="V49" s="9" t="s">
        <v>0</v>
      </c>
      <c r="W49" s="9" t="str">
        <f t="shared" si="15"/>
        <v>-</v>
      </c>
      <c r="X49" s="9" t="s">
        <v>0</v>
      </c>
      <c r="Y49" s="9" t="str">
        <f t="shared" si="16"/>
        <v>-</v>
      </c>
      <c r="Z49" s="9" t="s">
        <v>0</v>
      </c>
      <c r="AA49" s="9" t="str">
        <f t="shared" si="17"/>
        <v>-</v>
      </c>
      <c r="AB49" s="9" t="s">
        <v>0</v>
      </c>
      <c r="AC49" s="9" t="str">
        <f t="shared" si="18"/>
        <v>-</v>
      </c>
      <c r="AD49" s="9" t="s">
        <v>0</v>
      </c>
      <c r="AE49" s="12" t="str">
        <f t="shared" si="19"/>
        <v>-</v>
      </c>
      <c r="AF49" s="29" t="s">
        <v>0</v>
      </c>
      <c r="AG49" s="29" t="s">
        <v>0</v>
      </c>
      <c r="AH49" s="8" t="s">
        <v>0</v>
      </c>
      <c r="AI49" s="29" t="s">
        <v>0</v>
      </c>
      <c r="AJ49" s="32" t="s">
        <v>0</v>
      </c>
      <c r="AK49" s="29" t="s">
        <v>0</v>
      </c>
      <c r="AL49" s="32" t="s">
        <v>0</v>
      </c>
      <c r="AM49" s="29" t="s">
        <v>0</v>
      </c>
      <c r="AN49" s="32" t="s">
        <v>0</v>
      </c>
      <c r="AO49" s="29" t="s">
        <v>0</v>
      </c>
      <c r="AP49" s="32" t="s">
        <v>0</v>
      </c>
      <c r="AQ49" s="32" t="s">
        <v>0</v>
      </c>
      <c r="AR49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49" s="9" t="str">
        <f t="shared" si="20"/>
        <v>-</v>
      </c>
      <c r="AT49" s="9">
        <f>IF(RIGHT(TWZ[[#This Row],[Device type]],7)="Winding","-",TWZ[[#This Row],[Cont Winter MVA]])</f>
        <v>11.43153532995459</v>
      </c>
      <c r="AU49" s="9">
        <f>IF(RIGHT(TWZ[[#This Row],[Device type]],7)="Winding","-",TWZ[[#This Row],[Cont Shoulder MVA]])</f>
        <v>11.43153532995459</v>
      </c>
      <c r="AV49" s="9">
        <f>IF(RIGHT(TWZ[[#This Row],[Device type]],7)="Winding","-",TWZ[[#This Row],[Cont Summer MVA]])</f>
        <v>11.43153532995459</v>
      </c>
      <c r="AW49" s="9" t="str">
        <f>TWZ[[#This Row],[24 Hr Winter MVA]]</f>
        <v>-</v>
      </c>
      <c r="AX49" s="9" t="str">
        <f>TWZ[[#This Row],[24 Hr Summer MVA]]</f>
        <v>-</v>
      </c>
      <c r="AY49" s="9" t="str">
        <f>TWZ[[#This Row],[Forwards MVA]]</f>
        <v>-</v>
      </c>
      <c r="AZ49" s="9" t="str">
        <f>TWZ[[#This Row],[Relay MVA]]</f>
        <v>-</v>
      </c>
      <c r="BA49" s="9" t="str">
        <f>TWZ[[#This Row],[CT MVA]]</f>
        <v>-</v>
      </c>
      <c r="BB49" s="9" t="str">
        <f>TWZ[[#This Row],[Derating MVA]]</f>
        <v>-</v>
      </c>
      <c r="BC49" s="9" t="str">
        <f>TWZ[[#This Row],[Station/Feeder]]&amp;TWZ[[#This Row],[Lowest MVA]]</f>
        <v>TVS11.4315353299546</v>
      </c>
      <c r="BD49" s="9" t="str">
        <f>CONCATENATE(TWZ[[#This Row],[Supply Level]],TWZ[[#This Row],[Station/Feeder]],TWZ[[#This Row],[Voltage]],TWZ[[#This Row],[Lowest A-No PTX]])</f>
        <v>ZoneSubstationTVS11600</v>
      </c>
      <c r="BE49" s="9" t="str">
        <f>CONCATENATE(TWZ[[#This Row],[Supply Level]],TWZ[[#This Row],[Station/Feeder]],TWZ[[#This Row],[Voltage]],TWZ[[#This Row],[Lowest A-PTX]])</f>
        <v>ZoneSubstationTVS11600</v>
      </c>
      <c r="BF49" s="9">
        <f>IFERROR(IF(MIN(TWZ[[#This Row],[Summ Cont Winter A]:[Cable Derating]])=0,"",MIN(TWZ[[#This Row],[Summ Cont Winter A]:[Cable Derating]])),"")</f>
        <v>11.43153532995459</v>
      </c>
      <c r="BG49" s="9">
        <f>IFERROR(TWZ[[#This Row],[Lowest MVA]]*1000/(TWZ[[#This Row],[Voltage]]*SQRT(3)),"")</f>
        <v>600</v>
      </c>
      <c r="BH49" s="9">
        <f t="shared" si="21"/>
        <v>600</v>
      </c>
      <c r="BI49" s="9" t="str">
        <f>TWZ[[#This Row],[From]]</f>
        <v>Z69</v>
      </c>
      <c r="BJ49" s="9" t="str">
        <f>TWZ[[#This Row],[To]]</f>
        <v>11 kV Bus</v>
      </c>
      <c r="BK49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Link-Z61</v>
      </c>
      <c r="BL49" s="9">
        <f>TWZ[[#This Row],[Voltage]]</f>
        <v>11</v>
      </c>
    </row>
    <row r="50" spans="1:64" s="1" customFormat="1" ht="15" customHeight="1" x14ac:dyDescent="0.25">
      <c r="A50" s="353" t="str">
        <f>CONCATENATE(TWZ[[#This Row],[Supply Level]],TWZ[[#This Row],[Station/Feeder]],TWZ[[#This Row],[Voltage]])</f>
        <v>ZoneSubstationTVS11</v>
      </c>
      <c r="B50" s="354" t="str">
        <f>CONCATENATE(TWZ[[#This Row],[Supply Level]],TWZ[[#This Row],[Station/Feeder]],TWZ[[#This Row],[Equipment ID]],TWZ[[#This Row],[Voltage]],TWZ[[#This Row],[Device type]])</f>
        <v>ZoneSubstationTVSTVS-Z611-</v>
      </c>
      <c r="C50" s="14" t="s">
        <v>1246</v>
      </c>
      <c r="D50" s="11" t="s">
        <v>236</v>
      </c>
      <c r="E50" s="6" t="s">
        <v>64</v>
      </c>
      <c r="F50" s="6" t="s">
        <v>243</v>
      </c>
      <c r="G50" s="27">
        <v>9</v>
      </c>
      <c r="H50" s="7" t="s">
        <v>274</v>
      </c>
      <c r="I50" s="7" t="s">
        <v>2585</v>
      </c>
      <c r="J50" s="7" t="s">
        <v>15</v>
      </c>
      <c r="K50" s="7" t="s">
        <v>248</v>
      </c>
      <c r="L50" s="7" t="s">
        <v>0</v>
      </c>
      <c r="M50" s="43">
        <v>11</v>
      </c>
      <c r="N50" s="9" t="s">
        <v>0</v>
      </c>
      <c r="O50" s="9" t="str">
        <f t="shared" si="11"/>
        <v>-</v>
      </c>
      <c r="P50" s="9" t="s">
        <v>0</v>
      </c>
      <c r="Q50" s="9" t="str">
        <f t="shared" si="12"/>
        <v>-</v>
      </c>
      <c r="R50" s="9" t="s">
        <v>0</v>
      </c>
      <c r="S50" s="9" t="str">
        <f t="shared" si="13"/>
        <v>-</v>
      </c>
      <c r="T50" s="9" t="s">
        <v>0</v>
      </c>
      <c r="U50" s="9" t="str">
        <f t="shared" si="14"/>
        <v>-</v>
      </c>
      <c r="V50" s="9" t="s">
        <v>0</v>
      </c>
      <c r="W50" s="9" t="str">
        <f t="shared" si="15"/>
        <v>-</v>
      </c>
      <c r="X50" s="9" t="s">
        <v>0</v>
      </c>
      <c r="Y50" s="9" t="str">
        <f t="shared" si="16"/>
        <v>-</v>
      </c>
      <c r="Z50" s="9" t="s">
        <v>0</v>
      </c>
      <c r="AA50" s="9" t="str">
        <f t="shared" si="17"/>
        <v>-</v>
      </c>
      <c r="AB50" s="9" t="s">
        <v>0</v>
      </c>
      <c r="AC50" s="9" t="str">
        <f t="shared" si="18"/>
        <v>-</v>
      </c>
      <c r="AD50" s="9" t="s">
        <v>0</v>
      </c>
      <c r="AE50" s="12" t="str">
        <f t="shared" si="19"/>
        <v>-</v>
      </c>
      <c r="AF50" s="29" t="s">
        <v>0</v>
      </c>
      <c r="AG50" s="29" t="s">
        <v>0</v>
      </c>
      <c r="AH50" s="8" t="s">
        <v>0</v>
      </c>
      <c r="AI50" s="29" t="s">
        <v>0</v>
      </c>
      <c r="AJ50" s="32" t="s">
        <v>0</v>
      </c>
      <c r="AK50" s="29" t="s">
        <v>0</v>
      </c>
      <c r="AL50" s="32" t="s">
        <v>0</v>
      </c>
      <c r="AM50" s="29" t="s">
        <v>0</v>
      </c>
      <c r="AN50" s="32" t="s">
        <v>0</v>
      </c>
      <c r="AO50" s="29" t="s">
        <v>0</v>
      </c>
      <c r="AP50" s="32" t="s">
        <v>0</v>
      </c>
      <c r="AQ50" s="32" t="s">
        <v>0</v>
      </c>
      <c r="AR50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50" s="9" t="str">
        <f t="shared" si="20"/>
        <v>-</v>
      </c>
      <c r="AT50" s="9" t="str">
        <f>IF(RIGHT(TWZ[[#This Row],[Device type]],7)="Winding","-",TWZ[[#This Row],[Cont Winter MVA]])</f>
        <v>-</v>
      </c>
      <c r="AU50" s="9" t="str">
        <f>IF(RIGHT(TWZ[[#This Row],[Device type]],7)="Winding","-",TWZ[[#This Row],[Cont Shoulder MVA]])</f>
        <v>-</v>
      </c>
      <c r="AV50" s="9" t="str">
        <f>IF(RIGHT(TWZ[[#This Row],[Device type]],7)="Winding","-",TWZ[[#This Row],[Cont Summer MVA]])</f>
        <v>-</v>
      </c>
      <c r="AW50" s="9" t="str">
        <f>TWZ[[#This Row],[24 Hr Winter MVA]]</f>
        <v>-</v>
      </c>
      <c r="AX50" s="9" t="str">
        <f>TWZ[[#This Row],[24 Hr Summer MVA]]</f>
        <v>-</v>
      </c>
      <c r="AY50" s="9" t="str">
        <f>TWZ[[#This Row],[Forwards MVA]]</f>
        <v>-</v>
      </c>
      <c r="AZ50" s="9" t="str">
        <f>TWZ[[#This Row],[Relay MVA]]</f>
        <v>-</v>
      </c>
      <c r="BA50" s="9" t="str">
        <f>TWZ[[#This Row],[CT MVA]]</f>
        <v>-</v>
      </c>
      <c r="BB50" s="9" t="str">
        <f>TWZ[[#This Row],[Derating MVA]]</f>
        <v>-</v>
      </c>
      <c r="BC50" s="9" t="str">
        <f>TWZ[[#This Row],[Station/Feeder]]&amp;TWZ[[#This Row],[Lowest MVA]]</f>
        <v>TVS</v>
      </c>
      <c r="BD50" s="9" t="str">
        <f>CONCATENATE(TWZ[[#This Row],[Supply Level]],TWZ[[#This Row],[Station/Feeder]],TWZ[[#This Row],[Voltage]],TWZ[[#This Row],[Lowest A-No PTX]])</f>
        <v>ZoneSubstationTVS11</v>
      </c>
      <c r="BE50" s="9" t="str">
        <f>CONCATENATE(TWZ[[#This Row],[Supply Level]],TWZ[[#This Row],[Station/Feeder]],TWZ[[#This Row],[Voltage]],TWZ[[#This Row],[Lowest A-PTX]])</f>
        <v>ZoneSubstationTVS11</v>
      </c>
      <c r="BF50" s="9" t="str">
        <f>IFERROR(IF(MIN(TWZ[[#This Row],[Summ Cont Winter A]:[Cable Derating]])=0,"",MIN(TWZ[[#This Row],[Summ Cont Winter A]:[Cable Derating]])),"")</f>
        <v/>
      </c>
      <c r="BG50" s="9" t="str">
        <f>IFERROR(TWZ[[#This Row],[Lowest MVA]]*1000/(TWZ[[#This Row],[Voltage]]*SQRT(3)),"")</f>
        <v/>
      </c>
      <c r="BH50" s="9" t="str">
        <f t="shared" si="21"/>
        <v/>
      </c>
      <c r="BI50" s="9" t="str">
        <f>TWZ[[#This Row],[From]]</f>
        <v>Z69</v>
      </c>
      <c r="BJ50" s="9" t="str">
        <f>TWZ[[#This Row],[To]]</f>
        <v>11 kV Bus</v>
      </c>
      <c r="BK50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Breaker-TVS-Z6</v>
      </c>
      <c r="BL50" s="9">
        <f>TWZ[[#This Row],[Voltage]]</f>
        <v>11</v>
      </c>
    </row>
    <row r="51" spans="1:64" s="1" customFormat="1" ht="15" customHeight="1" x14ac:dyDescent="0.25">
      <c r="A51" s="353" t="str">
        <f>CONCATENATE(TWZ[[#This Row],[Supply Level]],TWZ[[#This Row],[Station/Feeder]],TWZ[[#This Row],[Voltage]])</f>
        <v>ZoneSubstationTVS11</v>
      </c>
      <c r="B51" s="354" t="str">
        <f>CONCATENATE(TWZ[[#This Row],[Supply Level]],TWZ[[#This Row],[Station/Feeder]],TWZ[[#This Row],[Equipment ID]],TWZ[[#This Row],[Voltage]],TWZ[[#This Row],[Device type]])</f>
        <v>ZoneSubstationTVS3-1c 400 mm² AL XLPE11-</v>
      </c>
      <c r="C51" s="14" t="s">
        <v>1246</v>
      </c>
      <c r="D51" s="11" t="s">
        <v>236</v>
      </c>
      <c r="E51" s="6" t="s">
        <v>64</v>
      </c>
      <c r="F51" s="6" t="s">
        <v>243</v>
      </c>
      <c r="G51" s="27">
        <v>10</v>
      </c>
      <c r="H51" s="7" t="s">
        <v>276</v>
      </c>
      <c r="I51" s="7" t="s">
        <v>566</v>
      </c>
      <c r="J51" s="7" t="s">
        <v>250</v>
      </c>
      <c r="K51" s="7" t="s">
        <v>0</v>
      </c>
      <c r="L51" s="7" t="s">
        <v>0</v>
      </c>
      <c r="M51" s="43">
        <v>11</v>
      </c>
      <c r="N51" s="9">
        <v>537</v>
      </c>
      <c r="O51" s="9">
        <f t="shared" si="11"/>
        <v>10.231224120309358</v>
      </c>
      <c r="P51" s="9">
        <v>537</v>
      </c>
      <c r="Q51" s="9">
        <f t="shared" si="12"/>
        <v>10.231224120309358</v>
      </c>
      <c r="R51" s="9">
        <v>537</v>
      </c>
      <c r="S51" s="9">
        <f t="shared" si="13"/>
        <v>10.231224120309358</v>
      </c>
      <c r="T51" s="9" t="s">
        <v>0</v>
      </c>
      <c r="U51" s="9" t="str">
        <f t="shared" si="14"/>
        <v>-</v>
      </c>
      <c r="V51" s="9" t="s">
        <v>0</v>
      </c>
      <c r="W51" s="9" t="str">
        <f t="shared" si="15"/>
        <v>-</v>
      </c>
      <c r="X51" s="9" t="s">
        <v>0</v>
      </c>
      <c r="Y51" s="9" t="str">
        <f t="shared" si="16"/>
        <v>-</v>
      </c>
      <c r="Z51" s="9" t="s">
        <v>0</v>
      </c>
      <c r="AA51" s="9" t="str">
        <f t="shared" si="17"/>
        <v>-</v>
      </c>
      <c r="AB51" s="9" t="s">
        <v>0</v>
      </c>
      <c r="AC51" s="9" t="str">
        <f t="shared" si="18"/>
        <v>-</v>
      </c>
      <c r="AD51" s="9" t="s">
        <v>0</v>
      </c>
      <c r="AE51" s="12" t="str">
        <f t="shared" si="19"/>
        <v>-</v>
      </c>
      <c r="AF51" s="29">
        <v>1</v>
      </c>
      <c r="AG51" s="29" t="s">
        <v>265</v>
      </c>
      <c r="AH51" s="8">
        <v>40</v>
      </c>
      <c r="AI51" s="29">
        <v>0.9</v>
      </c>
      <c r="AJ51" s="32">
        <v>0.97</v>
      </c>
      <c r="AK51" s="29">
        <v>15</v>
      </c>
      <c r="AL51" s="32">
        <v>1</v>
      </c>
      <c r="AM51" s="29">
        <v>1.5</v>
      </c>
      <c r="AN51" s="32">
        <v>0.9</v>
      </c>
      <c r="AO51" s="29">
        <v>4</v>
      </c>
      <c r="AP51" s="32">
        <v>0.15</v>
      </c>
      <c r="AQ51" s="32">
        <v>0.7</v>
      </c>
      <c r="AR51" s="9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328.16069999999996</v>
      </c>
      <c r="AS51" s="9">
        <f t="shared" si="20"/>
        <v>6.2523010599210478</v>
      </c>
      <c r="AT51" s="9">
        <f>IF(RIGHT(TWZ[[#This Row],[Device type]],7)="Winding","-",TWZ[[#This Row],[Cont Winter MVA]])</f>
        <v>10.231224120309358</v>
      </c>
      <c r="AU51" s="9">
        <f>IF(RIGHT(TWZ[[#This Row],[Device type]],7)="Winding","-",TWZ[[#This Row],[Cont Shoulder MVA]])</f>
        <v>10.231224120309358</v>
      </c>
      <c r="AV51" s="9">
        <f>IF(RIGHT(TWZ[[#This Row],[Device type]],7)="Winding","-",TWZ[[#This Row],[Cont Summer MVA]])</f>
        <v>10.231224120309358</v>
      </c>
      <c r="AW51" s="9" t="str">
        <f>TWZ[[#This Row],[24 Hr Winter MVA]]</f>
        <v>-</v>
      </c>
      <c r="AX51" s="9" t="str">
        <f>TWZ[[#This Row],[24 Hr Summer MVA]]</f>
        <v>-</v>
      </c>
      <c r="AY51" s="9" t="str">
        <f>TWZ[[#This Row],[Forwards MVA]]</f>
        <v>-</v>
      </c>
      <c r="AZ51" s="9" t="str">
        <f>TWZ[[#This Row],[Relay MVA]]</f>
        <v>-</v>
      </c>
      <c r="BA51" s="9" t="str">
        <f>TWZ[[#This Row],[CT MVA]]</f>
        <v>-</v>
      </c>
      <c r="BB51" s="9">
        <f>TWZ[[#This Row],[Derating MVA]]</f>
        <v>6.2523010599210478</v>
      </c>
      <c r="BC51" s="9" t="str">
        <f>TWZ[[#This Row],[Station/Feeder]]&amp;TWZ[[#This Row],[Lowest MVA]]</f>
        <v>TVS6.25230105992105</v>
      </c>
      <c r="BD51" s="9" t="str">
        <f>CONCATENATE(TWZ[[#This Row],[Supply Level]],TWZ[[#This Row],[Station/Feeder]],TWZ[[#This Row],[Voltage]],TWZ[[#This Row],[Lowest A-No PTX]])</f>
        <v>ZoneSubstationTVS11328.1607</v>
      </c>
      <c r="BE51" s="9" t="str">
        <f>CONCATENATE(TWZ[[#This Row],[Supply Level]],TWZ[[#This Row],[Station/Feeder]],TWZ[[#This Row],[Voltage]],TWZ[[#This Row],[Lowest A-PTX]])</f>
        <v>ZoneSubstationTVS11328.1607</v>
      </c>
      <c r="BF51" s="9">
        <f>IFERROR(IF(MIN(TWZ[[#This Row],[Summ Cont Winter A]:[Cable Derating]])=0,"",MIN(TWZ[[#This Row],[Summ Cont Winter A]:[Cable Derating]])),"")</f>
        <v>6.2523010599210478</v>
      </c>
      <c r="BG51" s="9">
        <f>IFERROR(TWZ[[#This Row],[Lowest MVA]]*1000/(TWZ[[#This Row],[Voltage]]*SQRT(3)),"")</f>
        <v>328.16069999999996</v>
      </c>
      <c r="BH51" s="9">
        <f t="shared" si="21"/>
        <v>328.16069999999996</v>
      </c>
      <c r="BI51" s="9" t="str">
        <f>TWZ[[#This Row],[From]]</f>
        <v>Z69</v>
      </c>
      <c r="BJ51" s="9" t="str">
        <f>TWZ[[#This Row],[To]]</f>
        <v>11 kV Bus</v>
      </c>
      <c r="BK51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Cable-3-1c 400 mm² AL XLPE</v>
      </c>
      <c r="BL51" s="9">
        <f>TWZ[[#This Row],[Voltage]]</f>
        <v>11</v>
      </c>
    </row>
    <row r="52" spans="1:64" s="1" customFormat="1" ht="15" customHeight="1" thickBot="1" x14ac:dyDescent="0.3">
      <c r="A52" s="354" t="str">
        <f>CONCATENATE(TWZ[[#This Row],[Supply Level]],TWZ[[#This Row],[Station/Feeder]],TWZ[[#This Row],[Voltage]])</f>
        <v>ZoneSubstationTVS11</v>
      </c>
      <c r="B52" s="354" t="str">
        <f>CONCATENATE(TWZ[[#This Row],[Supply Level]],TWZ[[#This Row],[Station/Feeder]],TWZ[[#This Row],[Equipment ID]],TWZ[[#This Row],[Voltage]],TWZ[[#This Row],[Device type]])</f>
        <v>ZoneSubstationTVSTVS-Z611-</v>
      </c>
      <c r="C52" s="14" t="s">
        <v>1246</v>
      </c>
      <c r="D52" s="13" t="s">
        <v>236</v>
      </c>
      <c r="E52" s="14" t="s">
        <v>64</v>
      </c>
      <c r="F52" s="14" t="s">
        <v>243</v>
      </c>
      <c r="G52" s="28">
        <v>11</v>
      </c>
      <c r="H52" s="39" t="s">
        <v>274</v>
      </c>
      <c r="I52" s="39" t="s">
        <v>2585</v>
      </c>
      <c r="J52" s="39" t="s">
        <v>15</v>
      </c>
      <c r="K52" s="39" t="s">
        <v>248</v>
      </c>
      <c r="L52" s="39" t="s">
        <v>0</v>
      </c>
      <c r="M52" s="138">
        <v>11</v>
      </c>
      <c r="N52" s="16" t="s">
        <v>0</v>
      </c>
      <c r="O52" s="16" t="str">
        <f t="shared" si="11"/>
        <v>-</v>
      </c>
      <c r="P52" s="16" t="s">
        <v>0</v>
      </c>
      <c r="Q52" s="16" t="str">
        <f t="shared" si="12"/>
        <v>-</v>
      </c>
      <c r="R52" s="16" t="s">
        <v>0</v>
      </c>
      <c r="S52" s="16" t="str">
        <f t="shared" si="13"/>
        <v>-</v>
      </c>
      <c r="T52" s="16" t="s">
        <v>0</v>
      </c>
      <c r="U52" s="16" t="str">
        <f t="shared" si="14"/>
        <v>-</v>
      </c>
      <c r="V52" s="16" t="s">
        <v>0</v>
      </c>
      <c r="W52" s="16" t="str">
        <f t="shared" si="15"/>
        <v>-</v>
      </c>
      <c r="X52" s="16" t="s">
        <v>0</v>
      </c>
      <c r="Y52" s="16" t="str">
        <f t="shared" si="16"/>
        <v>-</v>
      </c>
      <c r="Z52" s="16" t="s">
        <v>0</v>
      </c>
      <c r="AA52" s="16" t="str">
        <f t="shared" si="17"/>
        <v>-</v>
      </c>
      <c r="AB52" s="16" t="s">
        <v>0</v>
      </c>
      <c r="AC52" s="16" t="str">
        <f t="shared" si="18"/>
        <v>-</v>
      </c>
      <c r="AD52" s="16">
        <v>600</v>
      </c>
      <c r="AE52" s="17">
        <f t="shared" si="19"/>
        <v>11.43153532995459</v>
      </c>
      <c r="AF52" s="126" t="s">
        <v>0</v>
      </c>
      <c r="AG52" s="126" t="s">
        <v>0</v>
      </c>
      <c r="AH52" s="15" t="s">
        <v>0</v>
      </c>
      <c r="AI52" s="126" t="s">
        <v>0</v>
      </c>
      <c r="AJ52" s="127" t="s">
        <v>0</v>
      </c>
      <c r="AK52" s="126" t="s">
        <v>0</v>
      </c>
      <c r="AL52" s="127" t="s">
        <v>0</v>
      </c>
      <c r="AM52" s="126" t="s">
        <v>0</v>
      </c>
      <c r="AN52" s="127" t="s">
        <v>0</v>
      </c>
      <c r="AO52" s="126" t="s">
        <v>0</v>
      </c>
      <c r="AP52" s="127" t="s">
        <v>0</v>
      </c>
      <c r="AQ52" s="127" t="s">
        <v>0</v>
      </c>
      <c r="AR52" s="16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52" s="16" t="str">
        <f t="shared" si="20"/>
        <v>-</v>
      </c>
      <c r="AT52" s="16" t="str">
        <f>IF(RIGHT(TWZ[[#This Row],[Device type]],7)="Winding","-",TWZ[[#This Row],[Cont Winter MVA]])</f>
        <v>-</v>
      </c>
      <c r="AU52" s="16" t="str">
        <f>IF(RIGHT(TWZ[[#This Row],[Device type]],7)="Winding","-",TWZ[[#This Row],[Cont Shoulder MVA]])</f>
        <v>-</v>
      </c>
      <c r="AV52" s="16" t="str">
        <f>IF(RIGHT(TWZ[[#This Row],[Device type]],7)="Winding","-",TWZ[[#This Row],[Cont Summer MVA]])</f>
        <v>-</v>
      </c>
      <c r="AW52" s="16" t="str">
        <f>TWZ[[#This Row],[24 Hr Winter MVA]]</f>
        <v>-</v>
      </c>
      <c r="AX52" s="16" t="str">
        <f>TWZ[[#This Row],[24 Hr Summer MVA]]</f>
        <v>-</v>
      </c>
      <c r="AY52" s="16" t="str">
        <f>TWZ[[#This Row],[Forwards MVA]]</f>
        <v>-</v>
      </c>
      <c r="AZ52" s="16" t="str">
        <f>TWZ[[#This Row],[Relay MVA]]</f>
        <v>-</v>
      </c>
      <c r="BA52" s="16">
        <f>TWZ[[#This Row],[CT MVA]]</f>
        <v>11.43153532995459</v>
      </c>
      <c r="BB52" s="16" t="str">
        <f>TWZ[[#This Row],[Derating MVA]]</f>
        <v>-</v>
      </c>
      <c r="BC52" s="16" t="str">
        <f>TWZ[[#This Row],[Station/Feeder]]&amp;TWZ[[#This Row],[Lowest MVA]]</f>
        <v>TVS11.4315353299546</v>
      </c>
      <c r="BD52" s="16" t="str">
        <f>CONCATENATE(TWZ[[#This Row],[Supply Level]],TWZ[[#This Row],[Station/Feeder]],TWZ[[#This Row],[Voltage]],TWZ[[#This Row],[Lowest A-No PTX]])</f>
        <v>ZoneSubstationTVS11600</v>
      </c>
      <c r="BE52" s="16" t="str">
        <f>CONCATENATE(TWZ[[#This Row],[Supply Level]],TWZ[[#This Row],[Station/Feeder]],TWZ[[#This Row],[Voltage]],TWZ[[#This Row],[Lowest A-PTX]])</f>
        <v>ZoneSubstationTVS11600</v>
      </c>
      <c r="BF52" s="16">
        <f>IFERROR(IF(MIN(TWZ[[#This Row],[Summ Cont Winter A]:[Cable Derating]])=0,"",MIN(TWZ[[#This Row],[Summ Cont Winter A]:[Cable Derating]])),"")</f>
        <v>11.43153532995459</v>
      </c>
      <c r="BG52" s="16">
        <f>IFERROR(TWZ[[#This Row],[Lowest MVA]]*1000/(TWZ[[#This Row],[Voltage]]*SQRT(3)),"")</f>
        <v>600</v>
      </c>
      <c r="BH52" s="16">
        <f t="shared" si="21"/>
        <v>600</v>
      </c>
      <c r="BI52" s="16" t="str">
        <f>TWZ[[#This Row],[From]]</f>
        <v>Z69</v>
      </c>
      <c r="BJ52" s="16" t="str">
        <f>TWZ[[#This Row],[To]]</f>
        <v>11 kV Bus</v>
      </c>
      <c r="BK52" s="129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Breaker-TVS-Z6</v>
      </c>
      <c r="BL52" s="16">
        <f>TWZ[[#This Row],[Voltage]]</f>
        <v>11</v>
      </c>
    </row>
    <row r="53" spans="1:64" s="422" customFormat="1" x14ac:dyDescent="0.25">
      <c r="A53" s="421" t="str">
        <f>CONCATENATE(TWZ[[#This Row],[Supply Level]],TWZ[[#This Row],[Station/Feeder]],TWZ[[#This Row],[Voltage]])</f>
        <v>DistributionFeederZ1_Urban No. 111</v>
      </c>
      <c r="B53" s="423" t="str">
        <f>CONCATENATE(TWZ[[#This Row],[Supply Level]],TWZ[[#This Row],[Station/Feeder]],TWZ[[#This Row],[Equipment ID]],TWZ[[#This Row],[Voltage]],TWZ[[#This Row],[Device type]])</f>
        <v>DistributionFeederZ1_Urban No. 1TVS-Z111Protection</v>
      </c>
      <c r="C53" s="173" t="s">
        <v>1276</v>
      </c>
      <c r="D53" s="10" t="s">
        <v>102</v>
      </c>
      <c r="E53" s="3" t="s">
        <v>243</v>
      </c>
      <c r="F53" s="3" t="s">
        <v>267</v>
      </c>
      <c r="G53" s="26">
        <v>1</v>
      </c>
      <c r="H53" s="38" t="s">
        <v>274</v>
      </c>
      <c r="I53" s="38" t="s">
        <v>2586</v>
      </c>
      <c r="J53" s="38" t="s">
        <v>15</v>
      </c>
      <c r="K53" s="38" t="s">
        <v>1128</v>
      </c>
      <c r="L53" s="38" t="s">
        <v>1423</v>
      </c>
      <c r="M53" s="139">
        <v>11</v>
      </c>
      <c r="N53" s="5" t="s">
        <v>0</v>
      </c>
      <c r="O53" s="5" t="str">
        <f t="shared" si="11"/>
        <v>-</v>
      </c>
      <c r="P53" s="5" t="s">
        <v>0</v>
      </c>
      <c r="Q53" s="5" t="str">
        <f t="shared" si="12"/>
        <v>-</v>
      </c>
      <c r="R53" s="5" t="s">
        <v>0</v>
      </c>
      <c r="S53" s="5" t="str">
        <f t="shared" si="13"/>
        <v>-</v>
      </c>
      <c r="T53" s="5" t="s">
        <v>0</v>
      </c>
      <c r="U53" s="5" t="str">
        <f t="shared" si="14"/>
        <v>-</v>
      </c>
      <c r="V53" s="5" t="s">
        <v>0</v>
      </c>
      <c r="W53" s="5" t="str">
        <f t="shared" si="15"/>
        <v>-</v>
      </c>
      <c r="X53" s="5">
        <f>VLOOKUP(TWZ[[#This Row],[Equipment ID]],AEL_Protection_Data[#All],12,0)</f>
        <v>152</v>
      </c>
      <c r="Y53" s="5">
        <f t="shared" si="16"/>
        <v>2.8959889502551626</v>
      </c>
      <c r="Z53" s="5">
        <v>152</v>
      </c>
      <c r="AA53" s="5">
        <f t="shared" si="17"/>
        <v>2.8959889502551626</v>
      </c>
      <c r="AB53" s="5" t="s">
        <v>0</v>
      </c>
      <c r="AC53" s="5" t="str">
        <f t="shared" si="18"/>
        <v>-</v>
      </c>
      <c r="AD53" s="5" t="s">
        <v>0</v>
      </c>
      <c r="AE53" s="158" t="str">
        <f t="shared" si="19"/>
        <v>-</v>
      </c>
      <c r="AF53" s="5" t="s">
        <v>0</v>
      </c>
      <c r="AG53" s="5" t="s">
        <v>0</v>
      </c>
      <c r="AH53" s="4" t="s">
        <v>0</v>
      </c>
      <c r="AI53" s="5" t="s">
        <v>0</v>
      </c>
      <c r="AJ53" s="139" t="s">
        <v>0</v>
      </c>
      <c r="AK53" s="5" t="s">
        <v>0</v>
      </c>
      <c r="AL53" s="139" t="s">
        <v>0</v>
      </c>
      <c r="AM53" s="5" t="s">
        <v>0</v>
      </c>
      <c r="AN53" s="139" t="s">
        <v>0</v>
      </c>
      <c r="AO53" s="5" t="s">
        <v>0</v>
      </c>
      <c r="AP53" s="139" t="s">
        <v>0</v>
      </c>
      <c r="AQ53" s="139" t="s">
        <v>0</v>
      </c>
      <c r="AR53" s="5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53" s="5" t="str">
        <f t="shared" si="20"/>
        <v>-</v>
      </c>
      <c r="AT53" s="5" t="str">
        <f>IF(RIGHT(TWZ[[#This Row],[Device type]],7)="Winding","-",TWZ[[#This Row],[Cont Winter MVA]])</f>
        <v>-</v>
      </c>
      <c r="AU53" s="5" t="str">
        <f>IF(RIGHT(TWZ[[#This Row],[Device type]],7)="Winding","-",TWZ[[#This Row],[Cont Shoulder MVA]])</f>
        <v>-</v>
      </c>
      <c r="AV53" s="5" t="str">
        <f>IF(RIGHT(TWZ[[#This Row],[Device type]],7)="Winding","-",TWZ[[#This Row],[Cont Summer MVA]])</f>
        <v>-</v>
      </c>
      <c r="AW53" s="5" t="str">
        <f>TWZ[[#This Row],[24 Hr Winter MVA]]</f>
        <v>-</v>
      </c>
      <c r="AX53" s="5" t="str">
        <f>TWZ[[#This Row],[24 Hr Summer MVA]]</f>
        <v>-</v>
      </c>
      <c r="AY53" s="5">
        <f>TWZ[[#This Row],[Forwards MVA]]</f>
        <v>2.8959889502551626</v>
      </c>
      <c r="AZ53" s="5" t="str">
        <f>TWZ[[#This Row],[Relay MVA]]</f>
        <v>-</v>
      </c>
      <c r="BA53" s="5" t="str">
        <f>TWZ[[#This Row],[CT MVA]]</f>
        <v>-</v>
      </c>
      <c r="BB53" s="5" t="str">
        <f>TWZ[[#This Row],[Derating MVA]]</f>
        <v>-</v>
      </c>
      <c r="BC53" s="5" t="str">
        <f>TWZ[[#This Row],[Station/Feeder]]&amp;TWZ[[#This Row],[Lowest MVA]]</f>
        <v>Z1_Urban No. 12.89598895025516</v>
      </c>
      <c r="BD53" s="5" t="str">
        <f>CONCATENATE(TWZ[[#This Row],[Supply Level]],TWZ[[#This Row],[Station/Feeder]],TWZ[[#This Row],[Voltage]],TWZ[[#This Row],[Lowest A-No PTX]])</f>
        <v>DistributionFeederZ1_Urban No. 111152</v>
      </c>
      <c r="BE53" s="5" t="str">
        <f>CONCATENATE(TWZ[[#This Row],[Supply Level]],TWZ[[#This Row],[Station/Feeder]],TWZ[[#This Row],[Voltage]],TWZ[[#This Row],[Lowest A-PTX]])</f>
        <v>DistributionFeederZ1_Urban No. 111152</v>
      </c>
      <c r="BF53" s="5">
        <f>IFERROR(IF(MIN(TWZ[[#This Row],[Summ Cont Winter A]:[Cable Derating]])=0,"",MIN(TWZ[[#This Row],[Summ Cont Winter A]:[Cable Derating]])),"")</f>
        <v>2.8959889502551626</v>
      </c>
      <c r="BG53" s="5">
        <f>IFERROR(TWZ[[#This Row],[Lowest MVA]]*1000/(TWZ[[#This Row],[Voltage]]*SQRT(3)),"")</f>
        <v>152</v>
      </c>
      <c r="BH53" s="5">
        <f t="shared" si="21"/>
        <v>152</v>
      </c>
      <c r="BI53" s="5" t="str">
        <f>TWZ[[#This Row],[From]]</f>
        <v>11 kV Bus</v>
      </c>
      <c r="BJ53" s="5" t="str">
        <f>TWZ[[#This Row],[To]]</f>
        <v>Z110</v>
      </c>
      <c r="BK53" s="188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Breaker-TVS-Z1-Protection</v>
      </c>
      <c r="BL53" s="5">
        <f>TWZ[[#This Row],[Voltage]]</f>
        <v>11</v>
      </c>
    </row>
    <row r="54" spans="1:64" s="1" customFormat="1" ht="15" customHeight="1" x14ac:dyDescent="0.25">
      <c r="A54" s="353" t="str">
        <f>CONCATENATE(TWZ[[#This Row],[Supply Level]],TWZ[[#This Row],[Station/Feeder]],TWZ[[#This Row],[Voltage]])</f>
        <v>DistributionFeederZ1_Urban No. 111</v>
      </c>
      <c r="B54" s="354" t="str">
        <f>CONCATENATE(TWZ[[#This Row],[Supply Level]],TWZ[[#This Row],[Station/Feeder]],TWZ[[#This Row],[Equipment ID]],TWZ[[#This Row],[Voltage]],TWZ[[#This Row],[Device type]])</f>
        <v>DistributionFeederZ1_Urban No. 11-3c 185 mm² AL XLPE11-</v>
      </c>
      <c r="C54" s="14" t="s">
        <v>1276</v>
      </c>
      <c r="D54" s="11" t="s">
        <v>102</v>
      </c>
      <c r="E54" s="6" t="s">
        <v>243</v>
      </c>
      <c r="F54" s="6" t="s">
        <v>267</v>
      </c>
      <c r="G54" s="27">
        <v>2</v>
      </c>
      <c r="H54" s="7" t="s">
        <v>277</v>
      </c>
      <c r="I54" s="7" t="s">
        <v>574</v>
      </c>
      <c r="J54" s="7" t="s">
        <v>250</v>
      </c>
      <c r="K54" s="7" t="s">
        <v>0</v>
      </c>
      <c r="L54" s="7" t="s">
        <v>0</v>
      </c>
      <c r="M54" s="43">
        <v>11</v>
      </c>
      <c r="N54" s="9">
        <v>367</v>
      </c>
      <c r="O54" s="9">
        <f t="shared" si="11"/>
        <v>6.9922891101555571</v>
      </c>
      <c r="P54" s="9">
        <v>367</v>
      </c>
      <c r="Q54" s="9">
        <f t="shared" si="12"/>
        <v>6.9922891101555571</v>
      </c>
      <c r="R54" s="9">
        <v>367</v>
      </c>
      <c r="S54" s="9">
        <f t="shared" si="13"/>
        <v>6.9922891101555571</v>
      </c>
      <c r="T54" s="9" t="s">
        <v>0</v>
      </c>
      <c r="U54" s="9" t="str">
        <f t="shared" si="14"/>
        <v>-</v>
      </c>
      <c r="V54" s="9" t="s">
        <v>0</v>
      </c>
      <c r="W54" s="9" t="str">
        <f t="shared" si="15"/>
        <v>-</v>
      </c>
      <c r="X54" s="9" t="s">
        <v>0</v>
      </c>
      <c r="Y54" s="9" t="str">
        <f t="shared" si="16"/>
        <v>-</v>
      </c>
      <c r="Z54" s="9" t="s">
        <v>0</v>
      </c>
      <c r="AA54" s="9" t="str">
        <f t="shared" si="17"/>
        <v>-</v>
      </c>
      <c r="AB54" s="9" t="s">
        <v>0</v>
      </c>
      <c r="AC54" s="9" t="str">
        <f t="shared" si="18"/>
        <v>-</v>
      </c>
      <c r="AD54" s="9" t="s">
        <v>0</v>
      </c>
      <c r="AE54" s="12" t="str">
        <f t="shared" si="19"/>
        <v>-</v>
      </c>
      <c r="AF54" s="29">
        <v>3</v>
      </c>
      <c r="AG54" s="29" t="s">
        <v>265</v>
      </c>
      <c r="AH54" s="8">
        <v>19.100000000000001</v>
      </c>
      <c r="AI54" s="29">
        <v>1</v>
      </c>
      <c r="AJ54" s="32">
        <v>0.98</v>
      </c>
      <c r="AK54" s="29">
        <v>15</v>
      </c>
      <c r="AL54" s="32">
        <v>1</v>
      </c>
      <c r="AM54" s="29">
        <v>1.2</v>
      </c>
      <c r="AN54" s="32">
        <v>1</v>
      </c>
      <c r="AO54" s="29">
        <v>4</v>
      </c>
      <c r="AP54" s="32">
        <v>0.5</v>
      </c>
      <c r="AQ54" s="32">
        <v>0.83499999999999996</v>
      </c>
      <c r="AR54" s="9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300.31609999999995</v>
      </c>
      <c r="AS54" s="9">
        <f t="shared" si="20"/>
        <v>5.7217901788402914</v>
      </c>
      <c r="AT54" s="9">
        <f>IF(RIGHT(TWZ[[#This Row],[Device type]],7)="Winding","-",TWZ[[#This Row],[Cont Winter MVA]])</f>
        <v>6.9922891101555571</v>
      </c>
      <c r="AU54" s="9">
        <f>IF(RIGHT(TWZ[[#This Row],[Device type]],7)="Winding","-",TWZ[[#This Row],[Cont Shoulder MVA]])</f>
        <v>6.9922891101555571</v>
      </c>
      <c r="AV54" s="9">
        <f>IF(RIGHT(TWZ[[#This Row],[Device type]],7)="Winding","-",TWZ[[#This Row],[Cont Summer MVA]])</f>
        <v>6.9922891101555571</v>
      </c>
      <c r="AW54" s="9" t="str">
        <f>TWZ[[#This Row],[24 Hr Winter MVA]]</f>
        <v>-</v>
      </c>
      <c r="AX54" s="9" t="str">
        <f>TWZ[[#This Row],[24 Hr Summer MVA]]</f>
        <v>-</v>
      </c>
      <c r="AY54" s="9" t="str">
        <f>TWZ[[#This Row],[Forwards MVA]]</f>
        <v>-</v>
      </c>
      <c r="AZ54" s="9" t="str">
        <f>TWZ[[#This Row],[Relay MVA]]</f>
        <v>-</v>
      </c>
      <c r="BA54" s="9" t="str">
        <f>TWZ[[#This Row],[CT MVA]]</f>
        <v>-</v>
      </c>
      <c r="BB54" s="9">
        <f>TWZ[[#This Row],[Derating MVA]]</f>
        <v>5.7217901788402914</v>
      </c>
      <c r="BC54" s="9" t="str">
        <f>TWZ[[#This Row],[Station/Feeder]]&amp;TWZ[[#This Row],[Lowest MVA]]</f>
        <v>Z1_Urban No. 15.72179017884029</v>
      </c>
      <c r="BD54" s="9" t="str">
        <f>CONCATENATE(TWZ[[#This Row],[Supply Level]],TWZ[[#This Row],[Station/Feeder]],TWZ[[#This Row],[Voltage]],TWZ[[#This Row],[Lowest A-No PTX]])</f>
        <v>DistributionFeederZ1_Urban No. 111300.3161</v>
      </c>
      <c r="BE54" s="9" t="str">
        <f>CONCATENATE(TWZ[[#This Row],[Supply Level]],TWZ[[#This Row],[Station/Feeder]],TWZ[[#This Row],[Voltage]],TWZ[[#This Row],[Lowest A-PTX]])</f>
        <v>DistributionFeederZ1_Urban No. 111300.3161</v>
      </c>
      <c r="BF54" s="9">
        <f>IFERROR(IF(MIN(TWZ[[#This Row],[Summ Cont Winter A]:[Cable Derating]])=0,"",MIN(TWZ[[#This Row],[Summ Cont Winter A]:[Cable Derating]])),"")</f>
        <v>5.7217901788402914</v>
      </c>
      <c r="BG54" s="9">
        <f>IFERROR(TWZ[[#This Row],[Lowest MVA]]*1000/(TWZ[[#This Row],[Voltage]]*SQRT(3)),"")</f>
        <v>300.31609999999995</v>
      </c>
      <c r="BH54" s="9">
        <f t="shared" si="21"/>
        <v>300.31609999999995</v>
      </c>
      <c r="BI54" s="9" t="str">
        <f>TWZ[[#This Row],[From]]</f>
        <v>11 kV Bus</v>
      </c>
      <c r="BJ54" s="9" t="str">
        <f>TWZ[[#This Row],[To]]</f>
        <v>Z110</v>
      </c>
      <c r="BK54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Cable-1-3c 185 mm² AL XLPE</v>
      </c>
      <c r="BL54" s="9">
        <f>TWZ[[#This Row],[Voltage]]</f>
        <v>11</v>
      </c>
    </row>
    <row r="55" spans="1:64" s="1" customFormat="1" ht="15" customHeight="1" x14ac:dyDescent="0.25">
      <c r="A55" s="353" t="str">
        <f>CONCATENATE(TWZ[[#This Row],[Supply Level]],TWZ[[#This Row],[Station/Feeder]],TWZ[[#This Row],[Voltage]])</f>
        <v>DistributionFeederZ1_Urban No. 111</v>
      </c>
      <c r="B55" s="354" t="str">
        <f>CONCATENATE(TWZ[[#This Row],[Supply Level]],TWZ[[#This Row],[Station/Feeder]],TWZ[[#This Row],[Equipment ID]],TWZ[[#This Row],[Voltage]],TWZ[[#This Row],[Device type]])</f>
        <v>DistributionFeederZ1_Urban No. 1Z10111-</v>
      </c>
      <c r="C55" s="14" t="s">
        <v>1276</v>
      </c>
      <c r="D55" s="11" t="s">
        <v>102</v>
      </c>
      <c r="E55" s="6" t="s">
        <v>243</v>
      </c>
      <c r="F55" s="6" t="s">
        <v>267</v>
      </c>
      <c r="G55" s="27">
        <v>3</v>
      </c>
      <c r="H55" s="7" t="s">
        <v>273</v>
      </c>
      <c r="I55" s="7" t="s">
        <v>290</v>
      </c>
      <c r="J55" s="7" t="s">
        <v>249</v>
      </c>
      <c r="K55" s="7" t="s">
        <v>0</v>
      </c>
      <c r="L55" s="7" t="s">
        <v>0</v>
      </c>
      <c r="M55" s="43">
        <v>11</v>
      </c>
      <c r="N55" s="9">
        <v>300</v>
      </c>
      <c r="O55" s="9">
        <f t="shared" si="11"/>
        <v>5.715767664977295</v>
      </c>
      <c r="P55" s="9" t="s">
        <v>0</v>
      </c>
      <c r="Q55" s="9" t="str">
        <f t="shared" si="12"/>
        <v>-</v>
      </c>
      <c r="R55" s="9" t="s">
        <v>0</v>
      </c>
      <c r="S55" s="9" t="str">
        <f t="shared" si="13"/>
        <v>-</v>
      </c>
      <c r="T55" s="9" t="s">
        <v>0</v>
      </c>
      <c r="U55" s="9" t="str">
        <f t="shared" si="14"/>
        <v>-</v>
      </c>
      <c r="V55" s="9" t="s">
        <v>0</v>
      </c>
      <c r="W55" s="9" t="str">
        <f t="shared" si="15"/>
        <v>-</v>
      </c>
      <c r="X55" s="9" t="s">
        <v>0</v>
      </c>
      <c r="Y55" s="9" t="str">
        <f t="shared" si="16"/>
        <v>-</v>
      </c>
      <c r="Z55" s="9" t="s">
        <v>0</v>
      </c>
      <c r="AA55" s="9" t="str">
        <f t="shared" si="17"/>
        <v>-</v>
      </c>
      <c r="AB55" s="9" t="s">
        <v>0</v>
      </c>
      <c r="AC55" s="9" t="str">
        <f t="shared" si="18"/>
        <v>-</v>
      </c>
      <c r="AD55" s="9" t="s">
        <v>0</v>
      </c>
      <c r="AE55" s="12" t="str">
        <f t="shared" si="19"/>
        <v>-</v>
      </c>
      <c r="AF55" s="9" t="s">
        <v>0</v>
      </c>
      <c r="AG55" s="9" t="s">
        <v>0</v>
      </c>
      <c r="AH55" s="9" t="s">
        <v>0</v>
      </c>
      <c r="AI55" s="9" t="s">
        <v>0</v>
      </c>
      <c r="AJ55" s="32" t="s">
        <v>0</v>
      </c>
      <c r="AK55" s="9" t="s">
        <v>0</v>
      </c>
      <c r="AL55" s="32" t="s">
        <v>0</v>
      </c>
      <c r="AM55" s="9" t="s">
        <v>0</v>
      </c>
      <c r="AN55" s="32" t="s">
        <v>0</v>
      </c>
      <c r="AO55" s="9" t="s">
        <v>0</v>
      </c>
      <c r="AP55" s="43" t="s">
        <v>0</v>
      </c>
      <c r="AQ55" s="32" t="s">
        <v>0</v>
      </c>
      <c r="AR55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55" s="9" t="str">
        <f t="shared" si="20"/>
        <v>-</v>
      </c>
      <c r="AT55" s="9">
        <f>IF(RIGHT(TWZ[[#This Row],[Device type]],7)="Winding","-",TWZ[[#This Row],[Cont Winter MVA]])</f>
        <v>5.715767664977295</v>
      </c>
      <c r="AU55" s="9" t="str">
        <f>IF(RIGHT(TWZ[[#This Row],[Device type]],7)="Winding","-",TWZ[[#This Row],[Cont Shoulder MVA]])</f>
        <v>-</v>
      </c>
      <c r="AV55" s="9" t="str">
        <f>IF(RIGHT(TWZ[[#This Row],[Device type]],7)="Winding","-",TWZ[[#This Row],[Cont Summer MVA]])</f>
        <v>-</v>
      </c>
      <c r="AW55" s="9" t="str">
        <f>TWZ[[#This Row],[24 Hr Winter MVA]]</f>
        <v>-</v>
      </c>
      <c r="AX55" s="9" t="str">
        <f>TWZ[[#This Row],[24 Hr Summer MVA]]</f>
        <v>-</v>
      </c>
      <c r="AY55" s="9" t="str">
        <f>TWZ[[#This Row],[Forwards MVA]]</f>
        <v>-</v>
      </c>
      <c r="AZ55" s="9" t="str">
        <f>TWZ[[#This Row],[Relay MVA]]</f>
        <v>-</v>
      </c>
      <c r="BA55" s="9" t="str">
        <f>TWZ[[#This Row],[CT MVA]]</f>
        <v>-</v>
      </c>
      <c r="BB55" s="9" t="str">
        <f>TWZ[[#This Row],[Derating MVA]]</f>
        <v>-</v>
      </c>
      <c r="BC55" s="9" t="str">
        <f>TWZ[[#This Row],[Station/Feeder]]&amp;TWZ[[#This Row],[Lowest MVA]]</f>
        <v>Z1_Urban No. 15.7157676649773</v>
      </c>
      <c r="BD55" s="9" t="str">
        <f>CONCATENATE(TWZ[[#This Row],[Supply Level]],TWZ[[#This Row],[Station/Feeder]],TWZ[[#This Row],[Voltage]],TWZ[[#This Row],[Lowest A-No PTX]])</f>
        <v>DistributionFeederZ1_Urban No. 111300</v>
      </c>
      <c r="BE55" s="9" t="str">
        <f>CONCATENATE(TWZ[[#This Row],[Supply Level]],TWZ[[#This Row],[Station/Feeder]],TWZ[[#This Row],[Voltage]],TWZ[[#This Row],[Lowest A-PTX]])</f>
        <v>DistributionFeederZ1_Urban No. 111300</v>
      </c>
      <c r="BF55" s="9">
        <f>IFERROR(IF(MIN(TWZ[[#This Row],[Summ Cont Winter A]:[Cable Derating]])=0,"",MIN(TWZ[[#This Row],[Summ Cont Winter A]:[Cable Derating]])),"")</f>
        <v>5.715767664977295</v>
      </c>
      <c r="BG55" s="9">
        <f>IFERROR(TWZ[[#This Row],[Lowest MVA]]*1000/(TWZ[[#This Row],[Voltage]]*SQRT(3)),"")</f>
        <v>300</v>
      </c>
      <c r="BH55" s="9">
        <f t="shared" si="21"/>
        <v>300</v>
      </c>
      <c r="BI55" s="9" t="str">
        <f>TWZ[[#This Row],[From]]</f>
        <v>11 kV Bus</v>
      </c>
      <c r="BJ55" s="9" t="str">
        <f>TWZ[[#This Row],[To]]</f>
        <v>Z110</v>
      </c>
      <c r="BK55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Link-Z101</v>
      </c>
      <c r="BL55" s="9">
        <f>TWZ[[#This Row],[Voltage]]</f>
        <v>11</v>
      </c>
    </row>
    <row r="56" spans="1:64" s="1" customFormat="1" ht="15" customHeight="1" x14ac:dyDescent="0.25">
      <c r="A56" s="353" t="str">
        <f>CONCATENATE(TWZ[[#This Row],[Supply Level]],TWZ[[#This Row],[Station/Feeder]],TWZ[[#This Row],[Voltage]])</f>
        <v>DistributionFeederZ1_Urban No. 111</v>
      </c>
      <c r="B56" s="354" t="str">
        <f>CONCATENATE(TWZ[[#This Row],[Supply Level]],TWZ[[#This Row],[Station/Feeder]],TWZ[[#This Row],[Equipment ID]],TWZ[[#This Row],[Voltage]],TWZ[[#This Row],[Device type]])</f>
        <v>DistributionFeederZ1_Urban No. 11-3c 300 mm² AL XLPE11-</v>
      </c>
      <c r="C56" s="14" t="s">
        <v>1276</v>
      </c>
      <c r="D56" s="11" t="s">
        <v>102</v>
      </c>
      <c r="E56" s="6" t="s">
        <v>243</v>
      </c>
      <c r="F56" s="6" t="s">
        <v>267</v>
      </c>
      <c r="G56" s="27">
        <v>4</v>
      </c>
      <c r="H56" s="7" t="s">
        <v>277</v>
      </c>
      <c r="I56" s="7" t="s">
        <v>575</v>
      </c>
      <c r="J56" s="7" t="s">
        <v>250</v>
      </c>
      <c r="K56" s="7" t="s">
        <v>0</v>
      </c>
      <c r="L56" s="7" t="s">
        <v>0</v>
      </c>
      <c r="M56" s="43">
        <v>11</v>
      </c>
      <c r="N56" s="9">
        <v>476</v>
      </c>
      <c r="O56" s="9">
        <f t="shared" si="11"/>
        <v>9.0690180284306408</v>
      </c>
      <c r="P56" s="9">
        <v>476</v>
      </c>
      <c r="Q56" s="9">
        <f t="shared" si="12"/>
        <v>9.0690180284306408</v>
      </c>
      <c r="R56" s="9">
        <v>476</v>
      </c>
      <c r="S56" s="9">
        <f t="shared" si="13"/>
        <v>9.0690180284306408</v>
      </c>
      <c r="T56" s="9" t="s">
        <v>0</v>
      </c>
      <c r="U56" s="9" t="str">
        <f t="shared" si="14"/>
        <v>-</v>
      </c>
      <c r="V56" s="9" t="s">
        <v>0</v>
      </c>
      <c r="W56" s="9" t="str">
        <f t="shared" si="15"/>
        <v>-</v>
      </c>
      <c r="X56" s="9" t="s">
        <v>0</v>
      </c>
      <c r="Y56" s="9" t="str">
        <f t="shared" si="16"/>
        <v>-</v>
      </c>
      <c r="Z56" s="9" t="s">
        <v>0</v>
      </c>
      <c r="AA56" s="9" t="str">
        <f t="shared" si="17"/>
        <v>-</v>
      </c>
      <c r="AB56" s="9" t="s">
        <v>0</v>
      </c>
      <c r="AC56" s="9" t="str">
        <f t="shared" si="18"/>
        <v>-</v>
      </c>
      <c r="AD56" s="9" t="s">
        <v>0</v>
      </c>
      <c r="AE56" s="12" t="str">
        <f t="shared" si="19"/>
        <v>-</v>
      </c>
      <c r="AF56" s="29">
        <v>3</v>
      </c>
      <c r="AG56" s="29" t="s">
        <v>265</v>
      </c>
      <c r="AH56" s="8">
        <v>179.8</v>
      </c>
      <c r="AI56" s="29">
        <v>1</v>
      </c>
      <c r="AJ56" s="32">
        <v>0.98</v>
      </c>
      <c r="AK56" s="29">
        <v>15</v>
      </c>
      <c r="AL56" s="32">
        <v>1</v>
      </c>
      <c r="AM56" s="29">
        <v>1.2</v>
      </c>
      <c r="AN56" s="32">
        <v>1</v>
      </c>
      <c r="AO56" s="29">
        <v>3</v>
      </c>
      <c r="AP56" s="32">
        <v>0.5</v>
      </c>
      <c r="AQ56" s="32">
        <v>0.84499999999999997</v>
      </c>
      <c r="AR56" s="9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394.17559999999997</v>
      </c>
      <c r="AS56" s="9">
        <f t="shared" si="20"/>
        <v>7.5100538293434136</v>
      </c>
      <c r="AT56" s="9">
        <f>IF(RIGHT(TWZ[[#This Row],[Device type]],7)="Winding","-",TWZ[[#This Row],[Cont Winter MVA]])</f>
        <v>9.0690180284306408</v>
      </c>
      <c r="AU56" s="9">
        <f>IF(RIGHT(TWZ[[#This Row],[Device type]],7)="Winding","-",TWZ[[#This Row],[Cont Shoulder MVA]])</f>
        <v>9.0690180284306408</v>
      </c>
      <c r="AV56" s="9">
        <f>IF(RIGHT(TWZ[[#This Row],[Device type]],7)="Winding","-",TWZ[[#This Row],[Cont Summer MVA]])</f>
        <v>9.0690180284306408</v>
      </c>
      <c r="AW56" s="9" t="str">
        <f>TWZ[[#This Row],[24 Hr Winter MVA]]</f>
        <v>-</v>
      </c>
      <c r="AX56" s="9" t="str">
        <f>TWZ[[#This Row],[24 Hr Summer MVA]]</f>
        <v>-</v>
      </c>
      <c r="AY56" s="9" t="str">
        <f>TWZ[[#This Row],[Forwards MVA]]</f>
        <v>-</v>
      </c>
      <c r="AZ56" s="9" t="str">
        <f>TWZ[[#This Row],[Relay MVA]]</f>
        <v>-</v>
      </c>
      <c r="BA56" s="9" t="str">
        <f>TWZ[[#This Row],[CT MVA]]</f>
        <v>-</v>
      </c>
      <c r="BB56" s="9">
        <f>TWZ[[#This Row],[Derating MVA]]</f>
        <v>7.5100538293434136</v>
      </c>
      <c r="BC56" s="9" t="str">
        <f>TWZ[[#This Row],[Station/Feeder]]&amp;TWZ[[#This Row],[Lowest MVA]]</f>
        <v>Z1_Urban No. 17.51005382934341</v>
      </c>
      <c r="BD56" s="9" t="str">
        <f>CONCATENATE(TWZ[[#This Row],[Supply Level]],TWZ[[#This Row],[Station/Feeder]],TWZ[[#This Row],[Voltage]],TWZ[[#This Row],[Lowest A-No PTX]])</f>
        <v>DistributionFeederZ1_Urban No. 111394.1756</v>
      </c>
      <c r="BE56" s="9" t="str">
        <f>CONCATENATE(TWZ[[#This Row],[Supply Level]],TWZ[[#This Row],[Station/Feeder]],TWZ[[#This Row],[Voltage]],TWZ[[#This Row],[Lowest A-PTX]])</f>
        <v>DistributionFeederZ1_Urban No. 111394.1756</v>
      </c>
      <c r="BF56" s="9">
        <f>IFERROR(IF(MIN(TWZ[[#This Row],[Summ Cont Winter A]:[Cable Derating]])=0,"",MIN(TWZ[[#This Row],[Summ Cont Winter A]:[Cable Derating]])),"")</f>
        <v>7.5100538293434136</v>
      </c>
      <c r="BG56" s="9">
        <f>IFERROR(TWZ[[#This Row],[Lowest MVA]]*1000/(TWZ[[#This Row],[Voltage]]*SQRT(3)),"")</f>
        <v>394.17559999999997</v>
      </c>
      <c r="BH56" s="9">
        <f t="shared" si="21"/>
        <v>394.17559999999997</v>
      </c>
      <c r="BI56" s="9" t="str">
        <f>TWZ[[#This Row],[From]]</f>
        <v>11 kV Bus</v>
      </c>
      <c r="BJ56" s="9" t="str">
        <f>TWZ[[#This Row],[To]]</f>
        <v>Z110</v>
      </c>
      <c r="BK56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Cable-1-3c 300 mm² AL XLPE</v>
      </c>
      <c r="BL56" s="9">
        <f>TWZ[[#This Row],[Voltage]]</f>
        <v>11</v>
      </c>
    </row>
    <row r="57" spans="1:64" s="1" customFormat="1" ht="15" customHeight="1" x14ac:dyDescent="0.25">
      <c r="A57" s="353" t="str">
        <f>CONCATENATE(TWZ[[#This Row],[Supply Level]],TWZ[[#This Row],[Station/Feeder]],TWZ[[#This Row],[Voltage]])</f>
        <v>DistributionFeederZ1_Urban No. 111</v>
      </c>
      <c r="B57" s="354" t="str">
        <f>CONCATENATE(TWZ[[#This Row],[Supply Level]],TWZ[[#This Row],[Station/Feeder]],TWZ[[#This Row],[Equipment ID]],TWZ[[#This Row],[Voltage]],TWZ[[#This Row],[Device type]])</f>
        <v>DistributionFeederZ1_Urban No. 1MINK11-</v>
      </c>
      <c r="C57" s="6" t="s">
        <v>1276</v>
      </c>
      <c r="D57" s="11" t="s">
        <v>102</v>
      </c>
      <c r="E57" s="6" t="s">
        <v>243</v>
      </c>
      <c r="F57" s="6" t="s">
        <v>267</v>
      </c>
      <c r="G57" s="8">
        <v>5</v>
      </c>
      <c r="H57" s="7" t="s">
        <v>273</v>
      </c>
      <c r="I57" s="7" t="s">
        <v>282</v>
      </c>
      <c r="J57" s="7" t="s">
        <v>69</v>
      </c>
      <c r="K57" s="7" t="s">
        <v>0</v>
      </c>
      <c r="L57" s="7" t="s">
        <v>0</v>
      </c>
      <c r="M57" s="43">
        <v>11</v>
      </c>
      <c r="N57" s="9">
        <v>251</v>
      </c>
      <c r="O57" s="9">
        <f>IF(OR(N57="",N57="-"),"-",N57*$M57*SQRT(3)/1000)</f>
        <v>4.7821922796976697</v>
      </c>
      <c r="P57" s="9" t="s">
        <v>0</v>
      </c>
      <c r="Q57" s="9" t="str">
        <f>IF(OR(P57="",P57="-"),"-",P57*$M57*SQRT(3)/1000)</f>
        <v>-</v>
      </c>
      <c r="R57" s="9">
        <v>189</v>
      </c>
      <c r="S57" s="9">
        <f>IF(OR(R57="",R57="-"),"-",R57*$M57*SQRT(3)/1000)</f>
        <v>3.6009336289356955</v>
      </c>
      <c r="T57" s="9"/>
      <c r="U57" s="9" t="str">
        <f>IF(OR(T57="",T57="-"),"-",T57*$M57*SQRT(3)/1000)</f>
        <v>-</v>
      </c>
      <c r="V57" s="9"/>
      <c r="W57" s="9" t="str">
        <f>IF(OR(V57="",V57="-"),"-",V57*$M57*SQRT(3)/1000)</f>
        <v>-</v>
      </c>
      <c r="X57" s="9"/>
      <c r="Y57" s="9" t="str">
        <f>IF(OR(X57="",X57="-"),"-",X57*$M57*SQRT(3)/1000)</f>
        <v>-</v>
      </c>
      <c r="Z57" s="9"/>
      <c r="AA57" s="9" t="str">
        <f>IF(OR(Z57="",Z57="-"),"-",Z57*$M57*SQRT(3)/1000)</f>
        <v>-</v>
      </c>
      <c r="AB57" s="9"/>
      <c r="AC57" s="9" t="str">
        <f>IF(OR(AB57="",AB57="-"),"-",AB57*$M57*SQRT(3)/1000)</f>
        <v>-</v>
      </c>
      <c r="AD57" s="9"/>
      <c r="AE57" s="9" t="str">
        <f>IF(OR(AD57="",AD57="-"),"-",AD57*$M57*SQRT(3)/1000)</f>
        <v>-</v>
      </c>
      <c r="AF57" s="9"/>
      <c r="AG57" s="9"/>
      <c r="AH57" s="9"/>
      <c r="AI57" s="9"/>
      <c r="AJ57" s="43"/>
      <c r="AK57" s="9"/>
      <c r="AL57" s="43"/>
      <c r="AM57" s="9"/>
      <c r="AN57" s="43"/>
      <c r="AO57" s="9"/>
      <c r="AP57" s="43"/>
      <c r="AQ57" s="43"/>
      <c r="AR57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57" s="9" t="str">
        <f>IF(OR(AR57="",AR57="-"),"-",AR57*$M57*SQRT(3)/1000)</f>
        <v>-</v>
      </c>
      <c r="AT57" s="9">
        <f>IF(RIGHT(TWZ[[#This Row],[Device type]],7)="Winding","-",TWZ[[#This Row],[Cont Winter MVA]])</f>
        <v>4.7821922796976697</v>
      </c>
      <c r="AU57" s="9" t="str">
        <f>IF(RIGHT(TWZ[[#This Row],[Device type]],7)="Winding","-",TWZ[[#This Row],[Cont Shoulder MVA]])</f>
        <v>-</v>
      </c>
      <c r="AV57" s="9">
        <f>IF(RIGHT(TWZ[[#This Row],[Device type]],7)="Winding","-",TWZ[[#This Row],[Cont Summer MVA]])</f>
        <v>3.6009336289356955</v>
      </c>
      <c r="AW57" s="9" t="str">
        <f>TWZ[[#This Row],[24 Hr Winter MVA]]</f>
        <v>-</v>
      </c>
      <c r="AX57" s="9" t="str">
        <f>TWZ[[#This Row],[24 Hr Summer MVA]]</f>
        <v>-</v>
      </c>
      <c r="AY57" s="9" t="str">
        <f>TWZ[[#This Row],[Forwards MVA]]</f>
        <v>-</v>
      </c>
      <c r="AZ57" s="9" t="str">
        <f>TWZ[[#This Row],[Relay MVA]]</f>
        <v>-</v>
      </c>
      <c r="BA57" s="9" t="str">
        <f>TWZ[[#This Row],[CT MVA]]</f>
        <v>-</v>
      </c>
      <c r="BB57" s="9" t="str">
        <f>TWZ[[#This Row],[Derating MVA]]</f>
        <v>-</v>
      </c>
      <c r="BC57" s="9" t="str">
        <f>TWZ[[#This Row],[Station/Feeder]]&amp;TWZ[[#This Row],[Lowest MVA]]</f>
        <v>Z1_Urban No. 13.6009336289357</v>
      </c>
      <c r="BD57" s="9" t="str">
        <f>CONCATENATE(TWZ[[#This Row],[Supply Level]],TWZ[[#This Row],[Station/Feeder]],TWZ[[#This Row],[Voltage]],TWZ[[#This Row],[Lowest A-No PTX]])</f>
        <v>DistributionFeederZ1_Urban No. 111189</v>
      </c>
      <c r="BE57" s="9" t="str">
        <f>CONCATENATE(TWZ[[#This Row],[Supply Level]],TWZ[[#This Row],[Station/Feeder]],TWZ[[#This Row],[Voltage]],TWZ[[#This Row],[Lowest A-PTX]])</f>
        <v>DistributionFeederZ1_Urban No. 111189</v>
      </c>
      <c r="BF57" s="9">
        <f>IFERROR(IF(MIN(TWZ[[#This Row],[Summ Cont Winter A]:[Cable Derating]])=0,"",MIN(TWZ[[#This Row],[Summ Cont Winter A]:[Cable Derating]])),"")</f>
        <v>3.6009336289356955</v>
      </c>
      <c r="BG57" s="9">
        <f>IFERROR(TWZ[[#This Row],[Lowest MVA]]*1000/(TWZ[[#This Row],[Voltage]]*SQRT(3)),"")</f>
        <v>189</v>
      </c>
      <c r="BH57" s="9">
        <f>IF(MIN(N57,P57,R57,T57,V57,X57,Z57,AB57,AD57,AR57)=0,"",MIN(N57,P57,R57,T57,V57,X57,Z57,AB57,AD57,AR57))</f>
        <v>189</v>
      </c>
      <c r="BI57" s="9" t="str">
        <f>TWZ[[#This Row],[From]]</f>
        <v>11 kV Bus</v>
      </c>
      <c r="BJ57" s="9" t="str">
        <f>TWZ[[#This Row],[To]]</f>
        <v>Z110</v>
      </c>
      <c r="BK57" s="46" t="str">
        <f>IF(TWZ[[#This Row],[Device type]]="-",TWZ[[#This Row],[Equipment Type]]&amp;" - "&amp;TWZ[[#This Row],[Equipment ID]],TWZ[[#This Row],[Equipment Type]]&amp;" - "&amp;TWZ[[#This Row],[Equipment ID]]&amp;" - "&amp;TWZ[[#This Row],[Device type]])</f>
        <v>OH Line - MINK</v>
      </c>
      <c r="BL57" s="9">
        <f>TWZ[[#This Row],[Voltage]]</f>
        <v>11</v>
      </c>
    </row>
    <row r="58" spans="1:64" s="1" customFormat="1" ht="15" customHeight="1" x14ac:dyDescent="0.25">
      <c r="A58" s="353" t="str">
        <f>CONCATENATE(TWZ[[#This Row],[Supply Level]],TWZ[[#This Row],[Station/Feeder]],TWZ[[#This Row],[Voltage]])</f>
        <v>DistributionFeederZ1_Urban No. 111</v>
      </c>
      <c r="B58" s="354" t="str">
        <f>CONCATENATE(TWZ[[#This Row],[Supply Level]],TWZ[[#This Row],[Station/Feeder]],TWZ[[#This Row],[Equipment ID]],TWZ[[#This Row],[Voltage]],TWZ[[#This Row],[Device type]])</f>
        <v>DistributionFeederZ1_Urban No. 11-3c 150mm2 AL PILC11-</v>
      </c>
      <c r="C58" s="14" t="s">
        <v>1276</v>
      </c>
      <c r="D58" s="11" t="s">
        <v>102</v>
      </c>
      <c r="E58" s="6" t="s">
        <v>243</v>
      </c>
      <c r="F58" s="6" t="s">
        <v>267</v>
      </c>
      <c r="G58" s="27">
        <v>6</v>
      </c>
      <c r="H58" s="7" t="s">
        <v>276</v>
      </c>
      <c r="I58" s="7" t="s">
        <v>281</v>
      </c>
      <c r="J58" s="7" t="s">
        <v>250</v>
      </c>
      <c r="K58" s="7" t="s">
        <v>0</v>
      </c>
      <c r="L58" s="7" t="s">
        <v>0</v>
      </c>
      <c r="M58" s="43">
        <v>11</v>
      </c>
      <c r="N58" s="9">
        <v>265</v>
      </c>
      <c r="O58" s="9">
        <f t="shared" si="11"/>
        <v>5.0489281040632772</v>
      </c>
      <c r="P58" s="9">
        <v>265</v>
      </c>
      <c r="Q58" s="9">
        <f t="shared" si="12"/>
        <v>5.0489281040632772</v>
      </c>
      <c r="R58" s="9">
        <v>265</v>
      </c>
      <c r="S58" s="9">
        <f t="shared" si="13"/>
        <v>5.0489281040632772</v>
      </c>
      <c r="T58" s="9" t="s">
        <v>0</v>
      </c>
      <c r="U58" s="9" t="str">
        <f t="shared" si="14"/>
        <v>-</v>
      </c>
      <c r="V58" s="9" t="s">
        <v>0</v>
      </c>
      <c r="W58" s="9" t="str">
        <f t="shared" si="15"/>
        <v>-</v>
      </c>
      <c r="X58" s="9" t="s">
        <v>0</v>
      </c>
      <c r="Y58" s="9" t="str">
        <f t="shared" si="16"/>
        <v>-</v>
      </c>
      <c r="Z58" s="9" t="s">
        <v>0</v>
      </c>
      <c r="AA58" s="9" t="str">
        <f t="shared" si="17"/>
        <v>-</v>
      </c>
      <c r="AB58" s="9" t="s">
        <v>0</v>
      </c>
      <c r="AC58" s="9" t="str">
        <f t="shared" si="18"/>
        <v>-</v>
      </c>
      <c r="AD58" s="9" t="s">
        <v>0</v>
      </c>
      <c r="AE58" s="12" t="str">
        <f t="shared" si="19"/>
        <v>-</v>
      </c>
      <c r="AF58" s="29">
        <v>3</v>
      </c>
      <c r="AG58" s="29" t="s">
        <v>265</v>
      </c>
      <c r="AH58" s="8">
        <v>84.3</v>
      </c>
      <c r="AI58" s="29">
        <v>1</v>
      </c>
      <c r="AJ58" s="32">
        <v>0.98</v>
      </c>
      <c r="AK58" s="29">
        <v>15</v>
      </c>
      <c r="AL58" s="32">
        <v>1</v>
      </c>
      <c r="AM58" s="29">
        <v>1.2</v>
      </c>
      <c r="AN58" s="32">
        <v>1</v>
      </c>
      <c r="AO58" s="29">
        <v>1</v>
      </c>
      <c r="AP58" s="32">
        <v>0</v>
      </c>
      <c r="AQ58" s="32">
        <v>1</v>
      </c>
      <c r="AR58" s="9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259.7</v>
      </c>
      <c r="AS58" s="9">
        <f t="shared" si="20"/>
        <v>4.9479495419820116</v>
      </c>
      <c r="AT58" s="9">
        <f>IF(RIGHT(TWZ[[#This Row],[Device type]],7)="Winding","-",TWZ[[#This Row],[Cont Winter MVA]])</f>
        <v>5.0489281040632772</v>
      </c>
      <c r="AU58" s="9">
        <f>IF(RIGHT(TWZ[[#This Row],[Device type]],7)="Winding","-",TWZ[[#This Row],[Cont Shoulder MVA]])</f>
        <v>5.0489281040632772</v>
      </c>
      <c r="AV58" s="9">
        <f>IF(RIGHT(TWZ[[#This Row],[Device type]],7)="Winding","-",TWZ[[#This Row],[Cont Summer MVA]])</f>
        <v>5.0489281040632772</v>
      </c>
      <c r="AW58" s="9" t="str">
        <f>TWZ[[#This Row],[24 Hr Winter MVA]]</f>
        <v>-</v>
      </c>
      <c r="AX58" s="9" t="str">
        <f>TWZ[[#This Row],[24 Hr Summer MVA]]</f>
        <v>-</v>
      </c>
      <c r="AY58" s="9" t="str">
        <f>TWZ[[#This Row],[Forwards MVA]]</f>
        <v>-</v>
      </c>
      <c r="AZ58" s="9" t="str">
        <f>TWZ[[#This Row],[Relay MVA]]</f>
        <v>-</v>
      </c>
      <c r="BA58" s="9" t="str">
        <f>TWZ[[#This Row],[CT MVA]]</f>
        <v>-</v>
      </c>
      <c r="BB58" s="9">
        <f>TWZ[[#This Row],[Derating MVA]]</f>
        <v>4.9479495419820116</v>
      </c>
      <c r="BC58" s="9" t="str">
        <f>TWZ[[#This Row],[Station/Feeder]]&amp;TWZ[[#This Row],[Lowest MVA]]</f>
        <v>Z1_Urban No. 14.94794954198201</v>
      </c>
      <c r="BD58" s="9" t="str">
        <f>CONCATENATE(TWZ[[#This Row],[Supply Level]],TWZ[[#This Row],[Station/Feeder]],TWZ[[#This Row],[Voltage]],TWZ[[#This Row],[Lowest A-No PTX]])</f>
        <v>DistributionFeederZ1_Urban No. 111259.7</v>
      </c>
      <c r="BE58" s="9" t="str">
        <f>CONCATENATE(TWZ[[#This Row],[Supply Level]],TWZ[[#This Row],[Station/Feeder]],TWZ[[#This Row],[Voltage]],TWZ[[#This Row],[Lowest A-PTX]])</f>
        <v>DistributionFeederZ1_Urban No. 111259.7</v>
      </c>
      <c r="BF58" s="9">
        <f>IFERROR(IF(MIN(TWZ[[#This Row],[Summ Cont Winter A]:[Cable Derating]])=0,"",MIN(TWZ[[#This Row],[Summ Cont Winter A]:[Cable Derating]])),"")</f>
        <v>4.9479495419820116</v>
      </c>
      <c r="BG58" s="9">
        <f>IFERROR(TWZ[[#This Row],[Lowest MVA]]*1000/(TWZ[[#This Row],[Voltage]]*SQRT(3)),"")</f>
        <v>259.7</v>
      </c>
      <c r="BH58" s="9">
        <f t="shared" si="21"/>
        <v>259.7</v>
      </c>
      <c r="BI58" s="9" t="str">
        <f>TWZ[[#This Row],[From]]</f>
        <v>11 kV Bus</v>
      </c>
      <c r="BJ58" s="9" t="str">
        <f>TWZ[[#This Row],[To]]</f>
        <v>Z110</v>
      </c>
      <c r="BK58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Cable-1-3c 150mm2 AL PILC</v>
      </c>
      <c r="BL58" s="9">
        <f>TWZ[[#This Row],[Voltage]]</f>
        <v>11</v>
      </c>
    </row>
    <row r="59" spans="1:64" s="1" customFormat="1" ht="15" customHeight="1" x14ac:dyDescent="0.25">
      <c r="A59" s="353" t="str">
        <f>CONCATENATE(TWZ[[#This Row],[Supply Level]],TWZ[[#This Row],[Station/Feeder]],TWZ[[#This Row],[Voltage]])</f>
        <v>DistributionFeederZ1_Urban No. 111</v>
      </c>
      <c r="B59" s="354" t="str">
        <f>CONCATENATE(TWZ[[#This Row],[Supply Level]],TWZ[[#This Row],[Station/Feeder]],TWZ[[#This Row],[Equipment ID]],TWZ[[#This Row],[Voltage]],TWZ[[#This Row],[Device type]])</f>
        <v>DistributionFeederZ1_Urban No. 1Z11011-</v>
      </c>
      <c r="C59" s="14" t="s">
        <v>1276</v>
      </c>
      <c r="D59" s="11" t="s">
        <v>102</v>
      </c>
      <c r="E59" s="6" t="s">
        <v>243</v>
      </c>
      <c r="F59" s="6" t="s">
        <v>267</v>
      </c>
      <c r="G59" s="27">
        <v>7</v>
      </c>
      <c r="H59" s="7" t="s">
        <v>273</v>
      </c>
      <c r="I59" s="7" t="s">
        <v>267</v>
      </c>
      <c r="J59" s="7" t="s">
        <v>278</v>
      </c>
      <c r="K59" s="7" t="s">
        <v>0</v>
      </c>
      <c r="L59" s="7" t="s">
        <v>0</v>
      </c>
      <c r="M59" s="43">
        <v>11</v>
      </c>
      <c r="N59" s="9">
        <v>630</v>
      </c>
      <c r="O59" s="9">
        <f t="shared" si="11"/>
        <v>12.00311209645232</v>
      </c>
      <c r="P59" s="9">
        <v>630</v>
      </c>
      <c r="Q59" s="9">
        <f t="shared" si="12"/>
        <v>12.00311209645232</v>
      </c>
      <c r="R59" s="9">
        <v>630</v>
      </c>
      <c r="S59" s="9">
        <f t="shared" si="13"/>
        <v>12.00311209645232</v>
      </c>
      <c r="T59" s="9" t="s">
        <v>0</v>
      </c>
      <c r="U59" s="9" t="str">
        <f t="shared" si="14"/>
        <v>-</v>
      </c>
      <c r="V59" s="9" t="s">
        <v>0</v>
      </c>
      <c r="W59" s="9" t="str">
        <f t="shared" si="15"/>
        <v>-</v>
      </c>
      <c r="X59" s="9" t="s">
        <v>0</v>
      </c>
      <c r="Y59" s="9" t="str">
        <f t="shared" si="16"/>
        <v>-</v>
      </c>
      <c r="Z59" s="9" t="s">
        <v>0</v>
      </c>
      <c r="AA59" s="9" t="str">
        <f t="shared" si="17"/>
        <v>-</v>
      </c>
      <c r="AB59" s="9" t="s">
        <v>0</v>
      </c>
      <c r="AC59" s="9" t="str">
        <f t="shared" si="18"/>
        <v>-</v>
      </c>
      <c r="AD59" s="9" t="s">
        <v>0</v>
      </c>
      <c r="AE59" s="12" t="str">
        <f t="shared" si="19"/>
        <v>-</v>
      </c>
      <c r="AF59" s="29" t="s">
        <v>0</v>
      </c>
      <c r="AG59" s="29" t="s">
        <v>0</v>
      </c>
      <c r="AH59" s="8" t="s">
        <v>0</v>
      </c>
      <c r="AI59" s="29" t="s">
        <v>0</v>
      </c>
      <c r="AJ59" s="32" t="s">
        <v>0</v>
      </c>
      <c r="AK59" s="29" t="s">
        <v>0</v>
      </c>
      <c r="AL59" s="32" t="s">
        <v>0</v>
      </c>
      <c r="AM59" s="29" t="s">
        <v>0</v>
      </c>
      <c r="AN59" s="32" t="s">
        <v>0</v>
      </c>
      <c r="AO59" s="29" t="s">
        <v>0</v>
      </c>
      <c r="AP59" s="32" t="s">
        <v>0</v>
      </c>
      <c r="AQ59" s="32" t="s">
        <v>0</v>
      </c>
      <c r="AR59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59" s="9" t="str">
        <f t="shared" si="20"/>
        <v>-</v>
      </c>
      <c r="AT59" s="9">
        <f>IF(RIGHT(TWZ[[#This Row],[Device type]],7)="Winding","-",TWZ[[#This Row],[Cont Winter MVA]])</f>
        <v>12.00311209645232</v>
      </c>
      <c r="AU59" s="9">
        <f>IF(RIGHT(TWZ[[#This Row],[Device type]],7)="Winding","-",TWZ[[#This Row],[Cont Shoulder MVA]])</f>
        <v>12.00311209645232</v>
      </c>
      <c r="AV59" s="9">
        <f>IF(RIGHT(TWZ[[#This Row],[Device type]],7)="Winding","-",TWZ[[#This Row],[Cont Summer MVA]])</f>
        <v>12.00311209645232</v>
      </c>
      <c r="AW59" s="9" t="str">
        <f>TWZ[[#This Row],[24 Hr Winter MVA]]</f>
        <v>-</v>
      </c>
      <c r="AX59" s="9" t="str">
        <f>TWZ[[#This Row],[24 Hr Summer MVA]]</f>
        <v>-</v>
      </c>
      <c r="AY59" s="9" t="str">
        <f>TWZ[[#This Row],[Forwards MVA]]</f>
        <v>-</v>
      </c>
      <c r="AZ59" s="9" t="str">
        <f>TWZ[[#This Row],[Relay MVA]]</f>
        <v>-</v>
      </c>
      <c r="BA59" s="9" t="str">
        <f>TWZ[[#This Row],[CT MVA]]</f>
        <v>-</v>
      </c>
      <c r="BB59" s="9" t="str">
        <f>TWZ[[#This Row],[Derating MVA]]</f>
        <v>-</v>
      </c>
      <c r="BC59" s="9" t="str">
        <f>TWZ[[#This Row],[Station/Feeder]]&amp;TWZ[[#This Row],[Lowest MVA]]</f>
        <v>Z1_Urban No. 112.0031120964523</v>
      </c>
      <c r="BD59" s="9" t="str">
        <f>CONCATENATE(TWZ[[#This Row],[Supply Level]],TWZ[[#This Row],[Station/Feeder]],TWZ[[#This Row],[Voltage]],TWZ[[#This Row],[Lowest A-No PTX]])</f>
        <v>DistributionFeederZ1_Urban No. 111630</v>
      </c>
      <c r="BE59" s="9" t="str">
        <f>CONCATENATE(TWZ[[#This Row],[Supply Level]],TWZ[[#This Row],[Station/Feeder]],TWZ[[#This Row],[Voltage]],TWZ[[#This Row],[Lowest A-PTX]])</f>
        <v>DistributionFeederZ1_Urban No. 111630</v>
      </c>
      <c r="BF59" s="9">
        <f>IFERROR(IF(MIN(TWZ[[#This Row],[Summ Cont Winter A]:[Cable Derating]])=0,"",MIN(TWZ[[#This Row],[Summ Cont Winter A]:[Cable Derating]])),"")</f>
        <v>12.00311209645232</v>
      </c>
      <c r="BG59" s="9">
        <f>IFERROR(TWZ[[#This Row],[Lowest MVA]]*1000/(TWZ[[#This Row],[Voltage]]*SQRT(3)),"")</f>
        <v>630</v>
      </c>
      <c r="BH59" s="9">
        <f t="shared" si="21"/>
        <v>630</v>
      </c>
      <c r="BI59" s="9" t="str">
        <f>TWZ[[#This Row],[From]]</f>
        <v>11 kV Bus</v>
      </c>
      <c r="BJ59" s="9" t="str">
        <f>TWZ[[#This Row],[To]]</f>
        <v>Z110</v>
      </c>
      <c r="BK59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Switch-Z110</v>
      </c>
      <c r="BL59" s="9">
        <f>TWZ[[#This Row],[Voltage]]</f>
        <v>11</v>
      </c>
    </row>
    <row r="60" spans="1:64" s="1" customFormat="1" x14ac:dyDescent="0.25">
      <c r="A60" s="353" t="str">
        <f>CONCATENATE(TWZ[[#This Row],[Supply Level]],TWZ[[#This Row],[Station/Feeder]],TWZ[[#This Row],[Voltage]])</f>
        <v>DistributionFeederZ2_Urban No. 211</v>
      </c>
      <c r="B60" s="354" t="str">
        <f>CONCATENATE(TWZ[[#This Row],[Supply Level]],TWZ[[#This Row],[Station/Feeder]],TWZ[[#This Row],[Equipment ID]],TWZ[[#This Row],[Voltage]],TWZ[[#This Row],[Device type]])</f>
        <v>DistributionFeederZ2_Urban No. 2TVS-Z211Protection</v>
      </c>
      <c r="C60" s="14" t="s">
        <v>1276</v>
      </c>
      <c r="D60" s="11" t="s">
        <v>114</v>
      </c>
      <c r="E60" s="6" t="s">
        <v>243</v>
      </c>
      <c r="F60" s="6" t="s">
        <v>279</v>
      </c>
      <c r="G60" s="27">
        <v>1</v>
      </c>
      <c r="H60" s="7" t="s">
        <v>274</v>
      </c>
      <c r="I60" s="7" t="s">
        <v>2587</v>
      </c>
      <c r="J60" s="7" t="s">
        <v>15</v>
      </c>
      <c r="K60" s="7" t="s">
        <v>1128</v>
      </c>
      <c r="L60" s="7" t="s">
        <v>1423</v>
      </c>
      <c r="M60" s="43">
        <v>11</v>
      </c>
      <c r="N60" s="9" t="s">
        <v>0</v>
      </c>
      <c r="O60" s="9" t="str">
        <f t="shared" si="11"/>
        <v>-</v>
      </c>
      <c r="P60" s="9" t="s">
        <v>0</v>
      </c>
      <c r="Q60" s="9" t="str">
        <f t="shared" si="12"/>
        <v>-</v>
      </c>
      <c r="R60" s="9" t="s">
        <v>0</v>
      </c>
      <c r="S60" s="9" t="str">
        <f t="shared" si="13"/>
        <v>-</v>
      </c>
      <c r="T60" s="9" t="s">
        <v>0</v>
      </c>
      <c r="U60" s="9" t="str">
        <f t="shared" si="14"/>
        <v>-</v>
      </c>
      <c r="V60" s="9" t="s">
        <v>0</v>
      </c>
      <c r="W60" s="9" t="str">
        <f t="shared" si="15"/>
        <v>-</v>
      </c>
      <c r="X60" s="9">
        <f>VLOOKUP(TWZ[[#This Row],[Equipment ID]],AEL_Protection_Data[#All],12,0)</f>
        <v>152</v>
      </c>
      <c r="Y60" s="9">
        <f t="shared" si="16"/>
        <v>2.8959889502551626</v>
      </c>
      <c r="Z60" s="9">
        <v>152</v>
      </c>
      <c r="AA60" s="9">
        <f t="shared" si="17"/>
        <v>2.8959889502551626</v>
      </c>
      <c r="AB60" s="9" t="s">
        <v>0</v>
      </c>
      <c r="AC60" s="9" t="str">
        <f t="shared" si="18"/>
        <v>-</v>
      </c>
      <c r="AD60" s="9" t="s">
        <v>0</v>
      </c>
      <c r="AE60" s="12" t="str">
        <f t="shared" si="19"/>
        <v>-</v>
      </c>
      <c r="AF60" s="29" t="s">
        <v>0</v>
      </c>
      <c r="AG60" s="29" t="s">
        <v>0</v>
      </c>
      <c r="AH60" s="8" t="s">
        <v>0</v>
      </c>
      <c r="AI60" s="29" t="s">
        <v>0</v>
      </c>
      <c r="AJ60" s="32" t="s">
        <v>0</v>
      </c>
      <c r="AK60" s="29" t="s">
        <v>0</v>
      </c>
      <c r="AL60" s="32" t="s">
        <v>0</v>
      </c>
      <c r="AM60" s="29" t="s">
        <v>0</v>
      </c>
      <c r="AN60" s="32" t="s">
        <v>0</v>
      </c>
      <c r="AO60" s="29" t="s">
        <v>0</v>
      </c>
      <c r="AP60" s="32" t="s">
        <v>0</v>
      </c>
      <c r="AQ60" s="32" t="s">
        <v>0</v>
      </c>
      <c r="AR60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60" s="9" t="str">
        <f t="shared" si="20"/>
        <v>-</v>
      </c>
      <c r="AT60" s="9" t="str">
        <f>IF(RIGHT(TWZ[[#This Row],[Device type]],7)="Winding","-",TWZ[[#This Row],[Cont Winter MVA]])</f>
        <v>-</v>
      </c>
      <c r="AU60" s="9" t="str">
        <f>IF(RIGHT(TWZ[[#This Row],[Device type]],7)="Winding","-",TWZ[[#This Row],[Cont Shoulder MVA]])</f>
        <v>-</v>
      </c>
      <c r="AV60" s="9" t="str">
        <f>IF(RIGHT(TWZ[[#This Row],[Device type]],7)="Winding","-",TWZ[[#This Row],[Cont Summer MVA]])</f>
        <v>-</v>
      </c>
      <c r="AW60" s="9" t="str">
        <f>TWZ[[#This Row],[24 Hr Winter MVA]]</f>
        <v>-</v>
      </c>
      <c r="AX60" s="9" t="str">
        <f>TWZ[[#This Row],[24 Hr Summer MVA]]</f>
        <v>-</v>
      </c>
      <c r="AY60" s="9">
        <f>TWZ[[#This Row],[Forwards MVA]]</f>
        <v>2.8959889502551626</v>
      </c>
      <c r="AZ60" s="9" t="str">
        <f>TWZ[[#This Row],[Relay MVA]]</f>
        <v>-</v>
      </c>
      <c r="BA60" s="9" t="str">
        <f>TWZ[[#This Row],[CT MVA]]</f>
        <v>-</v>
      </c>
      <c r="BB60" s="9" t="str">
        <f>TWZ[[#This Row],[Derating MVA]]</f>
        <v>-</v>
      </c>
      <c r="BC60" s="9" t="str">
        <f>TWZ[[#This Row],[Station/Feeder]]&amp;TWZ[[#This Row],[Lowest MVA]]</f>
        <v>Z2_Urban No. 22.89598895025516</v>
      </c>
      <c r="BD60" s="9" t="str">
        <f>CONCATENATE(TWZ[[#This Row],[Supply Level]],TWZ[[#This Row],[Station/Feeder]],TWZ[[#This Row],[Voltage]],TWZ[[#This Row],[Lowest A-No PTX]])</f>
        <v>DistributionFeederZ2_Urban No. 211152</v>
      </c>
      <c r="BE60" s="9" t="str">
        <f>CONCATENATE(TWZ[[#This Row],[Supply Level]],TWZ[[#This Row],[Station/Feeder]],TWZ[[#This Row],[Voltage]],TWZ[[#This Row],[Lowest A-PTX]])</f>
        <v>DistributionFeederZ2_Urban No. 211152</v>
      </c>
      <c r="BF60" s="9">
        <f>IFERROR(IF(MIN(TWZ[[#This Row],[Summ Cont Winter A]:[Cable Derating]])=0,"",MIN(TWZ[[#This Row],[Summ Cont Winter A]:[Cable Derating]])),"")</f>
        <v>2.8959889502551626</v>
      </c>
      <c r="BG60" s="9">
        <f>IFERROR(TWZ[[#This Row],[Lowest MVA]]*1000/(TWZ[[#This Row],[Voltage]]*SQRT(3)),"")</f>
        <v>152</v>
      </c>
      <c r="BH60" s="9">
        <f t="shared" si="21"/>
        <v>152</v>
      </c>
      <c r="BI60" s="9" t="str">
        <f>TWZ[[#This Row],[From]]</f>
        <v>11 kV Bus</v>
      </c>
      <c r="BJ60" s="9" t="str">
        <f>TWZ[[#This Row],[To]]</f>
        <v>Pole 12571</v>
      </c>
      <c r="BK60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Breaker-TVS-Z2-Protection</v>
      </c>
      <c r="BL60" s="9">
        <f>TWZ[[#This Row],[Voltage]]</f>
        <v>11</v>
      </c>
    </row>
    <row r="61" spans="1:64" s="1" customFormat="1" ht="15" customHeight="1" x14ac:dyDescent="0.25">
      <c r="A61" s="353" t="str">
        <f>CONCATENATE(TWZ[[#This Row],[Supply Level]],TWZ[[#This Row],[Station/Feeder]],TWZ[[#This Row],[Voltage]])</f>
        <v>DistributionFeederZ2_Urban No. 211</v>
      </c>
      <c r="B61" s="354" t="str">
        <f>CONCATENATE(TWZ[[#This Row],[Supply Level]],TWZ[[#This Row],[Station/Feeder]],TWZ[[#This Row],[Equipment ID]],TWZ[[#This Row],[Voltage]],TWZ[[#This Row],[Device type]])</f>
        <v>DistributionFeederZ2_Urban No. 21-3c 185 mm² Cu XLPE11-</v>
      </c>
      <c r="C61" s="14" t="s">
        <v>1276</v>
      </c>
      <c r="D61" s="11" t="s">
        <v>114</v>
      </c>
      <c r="E61" s="6" t="s">
        <v>243</v>
      </c>
      <c r="F61" s="6" t="s">
        <v>279</v>
      </c>
      <c r="G61" s="27">
        <v>2</v>
      </c>
      <c r="H61" s="7" t="s">
        <v>277</v>
      </c>
      <c r="I61" s="7" t="s">
        <v>576</v>
      </c>
      <c r="J61" s="7" t="s">
        <v>250</v>
      </c>
      <c r="K61" s="7" t="s">
        <v>0</v>
      </c>
      <c r="L61" s="7" t="s">
        <v>0</v>
      </c>
      <c r="M61" s="43">
        <v>11</v>
      </c>
      <c r="N61" s="9">
        <v>469</v>
      </c>
      <c r="O61" s="9">
        <f t="shared" si="11"/>
        <v>8.9356501162478388</v>
      </c>
      <c r="P61" s="9">
        <v>469</v>
      </c>
      <c r="Q61" s="9">
        <f t="shared" si="12"/>
        <v>8.9356501162478388</v>
      </c>
      <c r="R61" s="9">
        <v>469</v>
      </c>
      <c r="S61" s="9">
        <f t="shared" si="13"/>
        <v>8.9356501162478388</v>
      </c>
      <c r="T61" s="9" t="s">
        <v>0</v>
      </c>
      <c r="U61" s="9" t="str">
        <f t="shared" si="14"/>
        <v>-</v>
      </c>
      <c r="V61" s="9" t="s">
        <v>0</v>
      </c>
      <c r="W61" s="9" t="str">
        <f t="shared" si="15"/>
        <v>-</v>
      </c>
      <c r="X61" s="9" t="s">
        <v>0</v>
      </c>
      <c r="Y61" s="9" t="str">
        <f t="shared" si="16"/>
        <v>-</v>
      </c>
      <c r="Z61" s="9" t="s">
        <v>0</v>
      </c>
      <c r="AA61" s="9" t="str">
        <f t="shared" si="17"/>
        <v>-</v>
      </c>
      <c r="AB61" s="9" t="s">
        <v>0</v>
      </c>
      <c r="AC61" s="9" t="str">
        <f t="shared" si="18"/>
        <v>-</v>
      </c>
      <c r="AD61" s="9" t="s">
        <v>0</v>
      </c>
      <c r="AE61" s="12" t="str">
        <f t="shared" si="19"/>
        <v>-</v>
      </c>
      <c r="AF61" s="29">
        <v>3</v>
      </c>
      <c r="AG61" s="29" t="s">
        <v>265</v>
      </c>
      <c r="AH61" s="8">
        <v>15.8</v>
      </c>
      <c r="AI61" s="29">
        <v>1</v>
      </c>
      <c r="AJ61" s="32">
        <v>0.98</v>
      </c>
      <c r="AK61" s="29">
        <v>15</v>
      </c>
      <c r="AL61" s="32">
        <v>1</v>
      </c>
      <c r="AM61" s="29">
        <v>1.2</v>
      </c>
      <c r="AN61" s="32">
        <v>1</v>
      </c>
      <c r="AO61" s="29">
        <v>4</v>
      </c>
      <c r="AP61" s="32">
        <v>0.5</v>
      </c>
      <c r="AQ61" s="32">
        <v>0.83499999999999996</v>
      </c>
      <c r="AR61" s="9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383.78269999999998</v>
      </c>
      <c r="AS61" s="9">
        <f t="shared" si="20"/>
        <v>7.3120424901256058</v>
      </c>
      <c r="AT61" s="9">
        <f>IF(RIGHT(TWZ[[#This Row],[Device type]],7)="Winding","-",TWZ[[#This Row],[Cont Winter MVA]])</f>
        <v>8.9356501162478388</v>
      </c>
      <c r="AU61" s="9">
        <f>IF(RIGHT(TWZ[[#This Row],[Device type]],7)="Winding","-",TWZ[[#This Row],[Cont Shoulder MVA]])</f>
        <v>8.9356501162478388</v>
      </c>
      <c r="AV61" s="9">
        <f>IF(RIGHT(TWZ[[#This Row],[Device type]],7)="Winding","-",TWZ[[#This Row],[Cont Summer MVA]])</f>
        <v>8.9356501162478388</v>
      </c>
      <c r="AW61" s="9" t="str">
        <f>TWZ[[#This Row],[24 Hr Winter MVA]]</f>
        <v>-</v>
      </c>
      <c r="AX61" s="9" t="str">
        <f>TWZ[[#This Row],[24 Hr Summer MVA]]</f>
        <v>-</v>
      </c>
      <c r="AY61" s="9" t="str">
        <f>TWZ[[#This Row],[Forwards MVA]]</f>
        <v>-</v>
      </c>
      <c r="AZ61" s="9" t="str">
        <f>TWZ[[#This Row],[Relay MVA]]</f>
        <v>-</v>
      </c>
      <c r="BA61" s="9" t="str">
        <f>TWZ[[#This Row],[CT MVA]]</f>
        <v>-</v>
      </c>
      <c r="BB61" s="9">
        <f>TWZ[[#This Row],[Derating MVA]]</f>
        <v>7.3120424901256058</v>
      </c>
      <c r="BC61" s="9" t="str">
        <f>TWZ[[#This Row],[Station/Feeder]]&amp;TWZ[[#This Row],[Lowest MVA]]</f>
        <v>Z2_Urban No. 27.31204249012561</v>
      </c>
      <c r="BD61" s="9" t="str">
        <f>CONCATENATE(TWZ[[#This Row],[Supply Level]],TWZ[[#This Row],[Station/Feeder]],TWZ[[#This Row],[Voltage]],TWZ[[#This Row],[Lowest A-No PTX]])</f>
        <v>DistributionFeederZ2_Urban No. 211383.7827</v>
      </c>
      <c r="BE61" s="9" t="str">
        <f>CONCATENATE(TWZ[[#This Row],[Supply Level]],TWZ[[#This Row],[Station/Feeder]],TWZ[[#This Row],[Voltage]],TWZ[[#This Row],[Lowest A-PTX]])</f>
        <v>DistributionFeederZ2_Urban No. 211383.7827</v>
      </c>
      <c r="BF61" s="9">
        <f>IFERROR(IF(MIN(TWZ[[#This Row],[Summ Cont Winter A]:[Cable Derating]])=0,"",MIN(TWZ[[#This Row],[Summ Cont Winter A]:[Cable Derating]])),"")</f>
        <v>7.3120424901256058</v>
      </c>
      <c r="BG61" s="9">
        <f>IFERROR(TWZ[[#This Row],[Lowest MVA]]*1000/(TWZ[[#This Row],[Voltage]]*SQRT(3)),"")</f>
        <v>383.78269999999998</v>
      </c>
      <c r="BH61" s="9">
        <f t="shared" si="21"/>
        <v>383.78269999999998</v>
      </c>
      <c r="BI61" s="9" t="str">
        <f>TWZ[[#This Row],[From]]</f>
        <v>11 kV Bus</v>
      </c>
      <c r="BJ61" s="9" t="str">
        <f>TWZ[[#This Row],[To]]</f>
        <v>Pole 12571</v>
      </c>
      <c r="BK61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Cable-1-3c 185 mm² Cu XLPE</v>
      </c>
      <c r="BL61" s="9">
        <f>TWZ[[#This Row],[Voltage]]</f>
        <v>11</v>
      </c>
    </row>
    <row r="62" spans="1:64" s="1" customFormat="1" ht="15" customHeight="1" x14ac:dyDescent="0.25">
      <c r="A62" s="353" t="str">
        <f>CONCATENATE(TWZ[[#This Row],[Supply Level]],TWZ[[#This Row],[Station/Feeder]],TWZ[[#This Row],[Voltage]])</f>
        <v>DistributionFeederZ2_Urban No. 211</v>
      </c>
      <c r="B62" s="354" t="str">
        <f>CONCATENATE(TWZ[[#This Row],[Supply Level]],TWZ[[#This Row],[Station/Feeder]],TWZ[[#This Row],[Equipment ID]],TWZ[[#This Row],[Voltage]],TWZ[[#This Row],[Device type]])</f>
        <v>DistributionFeederZ2_Urban No. 2Z20111-</v>
      </c>
      <c r="C62" s="14" t="s">
        <v>1276</v>
      </c>
      <c r="D62" s="11" t="s">
        <v>114</v>
      </c>
      <c r="E62" s="6" t="s">
        <v>243</v>
      </c>
      <c r="F62" s="6" t="s">
        <v>279</v>
      </c>
      <c r="G62" s="27">
        <v>3</v>
      </c>
      <c r="H62" s="7" t="s">
        <v>273</v>
      </c>
      <c r="I62" s="7" t="s">
        <v>291</v>
      </c>
      <c r="J62" s="7" t="s">
        <v>249</v>
      </c>
      <c r="K62" s="7" t="s">
        <v>0</v>
      </c>
      <c r="L62" s="7" t="s">
        <v>0</v>
      </c>
      <c r="M62" s="43">
        <v>11</v>
      </c>
      <c r="N62" s="9" t="s">
        <v>0</v>
      </c>
      <c r="O62" s="9" t="str">
        <f t="shared" si="11"/>
        <v>-</v>
      </c>
      <c r="P62" s="9" t="s">
        <v>0</v>
      </c>
      <c r="Q62" s="9" t="str">
        <f t="shared" si="12"/>
        <v>-</v>
      </c>
      <c r="R62" s="9" t="s">
        <v>0</v>
      </c>
      <c r="S62" s="9" t="str">
        <f t="shared" si="13"/>
        <v>-</v>
      </c>
      <c r="T62" s="9" t="s">
        <v>0</v>
      </c>
      <c r="U62" s="9" t="str">
        <f t="shared" si="14"/>
        <v>-</v>
      </c>
      <c r="V62" s="9" t="s">
        <v>0</v>
      </c>
      <c r="W62" s="9" t="str">
        <f t="shared" si="15"/>
        <v>-</v>
      </c>
      <c r="X62" s="9" t="s">
        <v>0</v>
      </c>
      <c r="Y62" s="9" t="str">
        <f t="shared" si="16"/>
        <v>-</v>
      </c>
      <c r="Z62" s="9" t="s">
        <v>0</v>
      </c>
      <c r="AA62" s="9" t="str">
        <f t="shared" si="17"/>
        <v>-</v>
      </c>
      <c r="AB62" s="9" t="s">
        <v>0</v>
      </c>
      <c r="AC62" s="9" t="str">
        <f t="shared" si="18"/>
        <v>-</v>
      </c>
      <c r="AD62" s="9" t="s">
        <v>0</v>
      </c>
      <c r="AE62" s="12" t="str">
        <f t="shared" si="19"/>
        <v>-</v>
      </c>
      <c r="AF62" s="9" t="s">
        <v>0</v>
      </c>
      <c r="AG62" s="9" t="s">
        <v>0</v>
      </c>
      <c r="AH62" s="9" t="s">
        <v>0</v>
      </c>
      <c r="AI62" s="9" t="s">
        <v>0</v>
      </c>
      <c r="AJ62" s="32" t="s">
        <v>0</v>
      </c>
      <c r="AK62" s="9" t="s">
        <v>0</v>
      </c>
      <c r="AL62" s="32" t="s">
        <v>0</v>
      </c>
      <c r="AM62" s="9" t="s">
        <v>0</v>
      </c>
      <c r="AN62" s="32" t="s">
        <v>0</v>
      </c>
      <c r="AO62" s="9" t="s">
        <v>0</v>
      </c>
      <c r="AP62" s="43" t="s">
        <v>0</v>
      </c>
      <c r="AQ62" s="32" t="s">
        <v>0</v>
      </c>
      <c r="AR62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62" s="9" t="str">
        <f t="shared" si="20"/>
        <v>-</v>
      </c>
      <c r="AT62" s="9" t="str">
        <f>IF(RIGHT(TWZ[[#This Row],[Device type]],7)="Winding","-",TWZ[[#This Row],[Cont Winter MVA]])</f>
        <v>-</v>
      </c>
      <c r="AU62" s="9" t="str">
        <f>IF(RIGHT(TWZ[[#This Row],[Device type]],7)="Winding","-",TWZ[[#This Row],[Cont Shoulder MVA]])</f>
        <v>-</v>
      </c>
      <c r="AV62" s="9" t="str">
        <f>IF(RIGHT(TWZ[[#This Row],[Device type]],7)="Winding","-",TWZ[[#This Row],[Cont Summer MVA]])</f>
        <v>-</v>
      </c>
      <c r="AW62" s="9" t="str">
        <f>TWZ[[#This Row],[24 Hr Winter MVA]]</f>
        <v>-</v>
      </c>
      <c r="AX62" s="9" t="str">
        <f>TWZ[[#This Row],[24 Hr Summer MVA]]</f>
        <v>-</v>
      </c>
      <c r="AY62" s="9" t="str">
        <f>TWZ[[#This Row],[Forwards MVA]]</f>
        <v>-</v>
      </c>
      <c r="AZ62" s="9" t="str">
        <f>TWZ[[#This Row],[Relay MVA]]</f>
        <v>-</v>
      </c>
      <c r="BA62" s="9" t="str">
        <f>TWZ[[#This Row],[CT MVA]]</f>
        <v>-</v>
      </c>
      <c r="BB62" s="9" t="str">
        <f>TWZ[[#This Row],[Derating MVA]]</f>
        <v>-</v>
      </c>
      <c r="BC62" s="9" t="str">
        <f>TWZ[[#This Row],[Station/Feeder]]&amp;TWZ[[#This Row],[Lowest MVA]]</f>
        <v>Z2_Urban No. 2</v>
      </c>
      <c r="BD62" s="9" t="str">
        <f>CONCATENATE(TWZ[[#This Row],[Supply Level]],TWZ[[#This Row],[Station/Feeder]],TWZ[[#This Row],[Voltage]],TWZ[[#This Row],[Lowest A-No PTX]])</f>
        <v>DistributionFeederZ2_Urban No. 211</v>
      </c>
      <c r="BE62" s="9" t="str">
        <f>CONCATENATE(TWZ[[#This Row],[Supply Level]],TWZ[[#This Row],[Station/Feeder]],TWZ[[#This Row],[Voltage]],TWZ[[#This Row],[Lowest A-PTX]])</f>
        <v>DistributionFeederZ2_Urban No. 211</v>
      </c>
      <c r="BF62" s="9" t="str">
        <f>IFERROR(IF(MIN(TWZ[[#This Row],[Summ Cont Winter A]:[Cable Derating]])=0,"",MIN(TWZ[[#This Row],[Summ Cont Winter A]:[Cable Derating]])),"")</f>
        <v/>
      </c>
      <c r="BG62" s="9" t="str">
        <f>IFERROR(TWZ[[#This Row],[Lowest MVA]]*1000/(TWZ[[#This Row],[Voltage]]*SQRT(3)),"")</f>
        <v/>
      </c>
      <c r="BH62" s="9" t="str">
        <f t="shared" si="21"/>
        <v/>
      </c>
      <c r="BI62" s="9" t="str">
        <f>TWZ[[#This Row],[From]]</f>
        <v>11 kV Bus</v>
      </c>
      <c r="BJ62" s="9" t="str">
        <f>TWZ[[#This Row],[To]]</f>
        <v>Pole 12571</v>
      </c>
      <c r="BK62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Link-Z201</v>
      </c>
      <c r="BL62" s="9">
        <f>TWZ[[#This Row],[Voltage]]</f>
        <v>11</v>
      </c>
    </row>
    <row r="63" spans="1:64" s="1" customFormat="1" ht="15" customHeight="1" x14ac:dyDescent="0.25">
      <c r="A63" s="353" t="str">
        <f>CONCATENATE(TWZ[[#This Row],[Supply Level]],TWZ[[#This Row],[Station/Feeder]],TWZ[[#This Row],[Voltage]])</f>
        <v>DistributionFeederZ2_Urban No. 211</v>
      </c>
      <c r="B63" s="354" t="str">
        <f>CONCATENATE(TWZ[[#This Row],[Supply Level]],TWZ[[#This Row],[Station/Feeder]],TWZ[[#This Row],[Equipment ID]],TWZ[[#This Row],[Voltage]],TWZ[[#This Row],[Device type]])</f>
        <v>DistributionFeederZ2_Urban No. 21-3c 300 mm² AL XLPE11-</v>
      </c>
      <c r="C63" s="14" t="s">
        <v>1276</v>
      </c>
      <c r="D63" s="11" t="s">
        <v>114</v>
      </c>
      <c r="E63" s="6" t="s">
        <v>243</v>
      </c>
      <c r="F63" s="6" t="s">
        <v>279</v>
      </c>
      <c r="G63" s="27">
        <v>4</v>
      </c>
      <c r="H63" s="7" t="s">
        <v>277</v>
      </c>
      <c r="I63" s="7" t="s">
        <v>575</v>
      </c>
      <c r="J63" s="7" t="s">
        <v>250</v>
      </c>
      <c r="K63" s="7" t="s">
        <v>0</v>
      </c>
      <c r="L63" s="7" t="s">
        <v>0</v>
      </c>
      <c r="M63" s="43">
        <v>11</v>
      </c>
      <c r="N63" s="9">
        <v>476</v>
      </c>
      <c r="O63" s="9">
        <f t="shared" si="11"/>
        <v>9.0690180284306408</v>
      </c>
      <c r="P63" s="9">
        <v>476</v>
      </c>
      <c r="Q63" s="9">
        <f t="shared" si="12"/>
        <v>9.0690180284306408</v>
      </c>
      <c r="R63" s="9">
        <v>476</v>
      </c>
      <c r="S63" s="9">
        <f t="shared" si="13"/>
        <v>9.0690180284306408</v>
      </c>
      <c r="T63" s="9" t="s">
        <v>0</v>
      </c>
      <c r="U63" s="9" t="str">
        <f t="shared" si="14"/>
        <v>-</v>
      </c>
      <c r="V63" s="9" t="s">
        <v>0</v>
      </c>
      <c r="W63" s="9" t="str">
        <f t="shared" si="15"/>
        <v>-</v>
      </c>
      <c r="X63" s="9" t="s">
        <v>0</v>
      </c>
      <c r="Y63" s="9" t="str">
        <f t="shared" si="16"/>
        <v>-</v>
      </c>
      <c r="Z63" s="9" t="s">
        <v>0</v>
      </c>
      <c r="AA63" s="9" t="str">
        <f t="shared" si="17"/>
        <v>-</v>
      </c>
      <c r="AB63" s="9" t="s">
        <v>0</v>
      </c>
      <c r="AC63" s="9" t="str">
        <f t="shared" si="18"/>
        <v>-</v>
      </c>
      <c r="AD63" s="9" t="s">
        <v>0</v>
      </c>
      <c r="AE63" s="12" t="str">
        <f t="shared" si="19"/>
        <v>-</v>
      </c>
      <c r="AF63" s="29">
        <v>3</v>
      </c>
      <c r="AG63" s="29" t="s">
        <v>265</v>
      </c>
      <c r="AH63" s="8">
        <v>182.4</v>
      </c>
      <c r="AI63" s="29">
        <v>1</v>
      </c>
      <c r="AJ63" s="32">
        <v>0.98</v>
      </c>
      <c r="AK63" s="29">
        <v>15</v>
      </c>
      <c r="AL63" s="32">
        <v>1</v>
      </c>
      <c r="AM63" s="29">
        <v>1.2</v>
      </c>
      <c r="AN63" s="32">
        <v>1</v>
      </c>
      <c r="AO63" s="29">
        <v>3</v>
      </c>
      <c r="AP63" s="32">
        <v>0.5</v>
      </c>
      <c r="AQ63" s="32">
        <v>0.84499999999999997</v>
      </c>
      <c r="AR63" s="9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394.17559999999997</v>
      </c>
      <c r="AS63" s="9">
        <f t="shared" si="20"/>
        <v>7.5100538293434136</v>
      </c>
      <c r="AT63" s="9">
        <f>IF(RIGHT(TWZ[[#This Row],[Device type]],7)="Winding","-",TWZ[[#This Row],[Cont Winter MVA]])</f>
        <v>9.0690180284306408</v>
      </c>
      <c r="AU63" s="9">
        <f>IF(RIGHT(TWZ[[#This Row],[Device type]],7)="Winding","-",TWZ[[#This Row],[Cont Shoulder MVA]])</f>
        <v>9.0690180284306408</v>
      </c>
      <c r="AV63" s="9">
        <f>IF(RIGHT(TWZ[[#This Row],[Device type]],7)="Winding","-",TWZ[[#This Row],[Cont Summer MVA]])</f>
        <v>9.0690180284306408</v>
      </c>
      <c r="AW63" s="9" t="str">
        <f>TWZ[[#This Row],[24 Hr Winter MVA]]</f>
        <v>-</v>
      </c>
      <c r="AX63" s="9" t="str">
        <f>TWZ[[#This Row],[24 Hr Summer MVA]]</f>
        <v>-</v>
      </c>
      <c r="AY63" s="9" t="str">
        <f>TWZ[[#This Row],[Forwards MVA]]</f>
        <v>-</v>
      </c>
      <c r="AZ63" s="9" t="str">
        <f>TWZ[[#This Row],[Relay MVA]]</f>
        <v>-</v>
      </c>
      <c r="BA63" s="9" t="str">
        <f>TWZ[[#This Row],[CT MVA]]</f>
        <v>-</v>
      </c>
      <c r="BB63" s="9">
        <f>TWZ[[#This Row],[Derating MVA]]</f>
        <v>7.5100538293434136</v>
      </c>
      <c r="BC63" s="9" t="str">
        <f>TWZ[[#This Row],[Station/Feeder]]&amp;TWZ[[#This Row],[Lowest MVA]]</f>
        <v>Z2_Urban No. 27.51005382934341</v>
      </c>
      <c r="BD63" s="9" t="str">
        <f>CONCATENATE(TWZ[[#This Row],[Supply Level]],TWZ[[#This Row],[Station/Feeder]],TWZ[[#This Row],[Voltage]],TWZ[[#This Row],[Lowest A-No PTX]])</f>
        <v>DistributionFeederZ2_Urban No. 211394.1756</v>
      </c>
      <c r="BE63" s="9" t="str">
        <f>CONCATENATE(TWZ[[#This Row],[Supply Level]],TWZ[[#This Row],[Station/Feeder]],TWZ[[#This Row],[Voltage]],TWZ[[#This Row],[Lowest A-PTX]])</f>
        <v>DistributionFeederZ2_Urban No. 211394.1756</v>
      </c>
      <c r="BF63" s="9">
        <f>IFERROR(IF(MIN(TWZ[[#This Row],[Summ Cont Winter A]:[Cable Derating]])=0,"",MIN(TWZ[[#This Row],[Summ Cont Winter A]:[Cable Derating]])),"")</f>
        <v>7.5100538293434136</v>
      </c>
      <c r="BG63" s="9">
        <f>IFERROR(TWZ[[#This Row],[Lowest MVA]]*1000/(TWZ[[#This Row],[Voltage]]*SQRT(3)),"")</f>
        <v>394.17559999999997</v>
      </c>
      <c r="BH63" s="9">
        <f t="shared" si="21"/>
        <v>394.17559999999997</v>
      </c>
      <c r="BI63" s="9" t="str">
        <f>TWZ[[#This Row],[From]]</f>
        <v>11 kV Bus</v>
      </c>
      <c r="BJ63" s="9" t="str">
        <f>TWZ[[#This Row],[To]]</f>
        <v>Pole 12571</v>
      </c>
      <c r="BK63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Cable-1-3c 300 mm² AL XLPE</v>
      </c>
      <c r="BL63" s="9">
        <f>TWZ[[#This Row],[Voltage]]</f>
        <v>11</v>
      </c>
    </row>
    <row r="64" spans="1:64" s="1" customFormat="1" ht="15" customHeight="1" x14ac:dyDescent="0.25">
      <c r="A64" s="353" t="str">
        <f>CONCATENATE(TWZ[[#This Row],[Supply Level]],TWZ[[#This Row],[Station/Feeder]],TWZ[[#This Row],[Voltage]])</f>
        <v>DistributionFeederZ2_Urban No. 211</v>
      </c>
      <c r="B64" s="354" t="str">
        <f>CONCATENATE(TWZ[[#This Row],[Supply Level]],TWZ[[#This Row],[Station/Feeder]],TWZ[[#This Row],[Equipment ID]],TWZ[[#This Row],[Voltage]],TWZ[[#This Row],[Device type]])</f>
        <v>DistributionFeederZ2_Urban No. 2Z1511-</v>
      </c>
      <c r="C64" s="14" t="s">
        <v>1276</v>
      </c>
      <c r="D64" s="11" t="s">
        <v>114</v>
      </c>
      <c r="E64" s="6" t="s">
        <v>243</v>
      </c>
      <c r="F64" s="6" t="s">
        <v>279</v>
      </c>
      <c r="G64" s="27">
        <v>5</v>
      </c>
      <c r="H64" s="7" t="s">
        <v>273</v>
      </c>
      <c r="I64" s="7" t="s">
        <v>283</v>
      </c>
      <c r="J64" s="7" t="s">
        <v>249</v>
      </c>
      <c r="K64" s="7" t="s">
        <v>0</v>
      </c>
      <c r="L64" s="7" t="s">
        <v>0</v>
      </c>
      <c r="M64" s="43">
        <v>11</v>
      </c>
      <c r="N64" s="9">
        <v>300</v>
      </c>
      <c r="O64" s="9">
        <f t="shared" si="11"/>
        <v>5.715767664977295</v>
      </c>
      <c r="P64" s="9">
        <v>300</v>
      </c>
      <c r="Q64" s="9">
        <f t="shared" si="12"/>
        <v>5.715767664977295</v>
      </c>
      <c r="R64" s="9">
        <v>300</v>
      </c>
      <c r="S64" s="9">
        <f t="shared" si="13"/>
        <v>5.715767664977295</v>
      </c>
      <c r="T64" s="9" t="s">
        <v>0</v>
      </c>
      <c r="U64" s="9" t="str">
        <f t="shared" si="14"/>
        <v>-</v>
      </c>
      <c r="V64" s="9" t="s">
        <v>0</v>
      </c>
      <c r="W64" s="9" t="str">
        <f t="shared" si="15"/>
        <v>-</v>
      </c>
      <c r="X64" s="9" t="s">
        <v>0</v>
      </c>
      <c r="Y64" s="9" t="str">
        <f t="shared" si="16"/>
        <v>-</v>
      </c>
      <c r="Z64" s="9" t="s">
        <v>0</v>
      </c>
      <c r="AA64" s="9" t="str">
        <f t="shared" si="17"/>
        <v>-</v>
      </c>
      <c r="AB64" s="9" t="s">
        <v>0</v>
      </c>
      <c r="AC64" s="9" t="str">
        <f t="shared" si="18"/>
        <v>-</v>
      </c>
      <c r="AD64" s="9" t="s">
        <v>0</v>
      </c>
      <c r="AE64" s="12" t="str">
        <f t="shared" si="19"/>
        <v>-</v>
      </c>
      <c r="AF64" s="29" t="s">
        <v>0</v>
      </c>
      <c r="AG64" s="29" t="s">
        <v>0</v>
      </c>
      <c r="AH64" s="8" t="s">
        <v>0</v>
      </c>
      <c r="AI64" s="29" t="s">
        <v>0</v>
      </c>
      <c r="AJ64" s="32" t="s">
        <v>0</v>
      </c>
      <c r="AK64" s="29" t="s">
        <v>0</v>
      </c>
      <c r="AL64" s="32" t="s">
        <v>0</v>
      </c>
      <c r="AM64" s="29" t="s">
        <v>0</v>
      </c>
      <c r="AN64" s="32" t="s">
        <v>0</v>
      </c>
      <c r="AO64" s="29" t="s">
        <v>0</v>
      </c>
      <c r="AP64" s="32" t="s">
        <v>0</v>
      </c>
      <c r="AQ64" s="32" t="s">
        <v>0</v>
      </c>
      <c r="AR64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64" s="9" t="str">
        <f t="shared" si="20"/>
        <v>-</v>
      </c>
      <c r="AT64" s="9">
        <f>IF(RIGHT(TWZ[[#This Row],[Device type]],7)="Winding","-",TWZ[[#This Row],[Cont Winter MVA]])</f>
        <v>5.715767664977295</v>
      </c>
      <c r="AU64" s="9">
        <f>IF(RIGHT(TWZ[[#This Row],[Device type]],7)="Winding","-",TWZ[[#This Row],[Cont Shoulder MVA]])</f>
        <v>5.715767664977295</v>
      </c>
      <c r="AV64" s="9">
        <f>IF(RIGHT(TWZ[[#This Row],[Device type]],7)="Winding","-",TWZ[[#This Row],[Cont Summer MVA]])</f>
        <v>5.715767664977295</v>
      </c>
      <c r="AW64" s="9" t="str">
        <f>TWZ[[#This Row],[24 Hr Winter MVA]]</f>
        <v>-</v>
      </c>
      <c r="AX64" s="9" t="str">
        <f>TWZ[[#This Row],[24 Hr Summer MVA]]</f>
        <v>-</v>
      </c>
      <c r="AY64" s="9" t="str">
        <f>TWZ[[#This Row],[Forwards MVA]]</f>
        <v>-</v>
      </c>
      <c r="AZ64" s="9" t="str">
        <f>TWZ[[#This Row],[Relay MVA]]</f>
        <v>-</v>
      </c>
      <c r="BA64" s="9" t="str">
        <f>TWZ[[#This Row],[CT MVA]]</f>
        <v>-</v>
      </c>
      <c r="BB64" s="9" t="str">
        <f>TWZ[[#This Row],[Derating MVA]]</f>
        <v>-</v>
      </c>
      <c r="BC64" s="9" t="str">
        <f>TWZ[[#This Row],[Station/Feeder]]&amp;TWZ[[#This Row],[Lowest MVA]]</f>
        <v>Z2_Urban No. 25.7157676649773</v>
      </c>
      <c r="BD64" s="9" t="str">
        <f>CONCATENATE(TWZ[[#This Row],[Supply Level]],TWZ[[#This Row],[Station/Feeder]],TWZ[[#This Row],[Voltage]],TWZ[[#This Row],[Lowest A-No PTX]])</f>
        <v>DistributionFeederZ2_Urban No. 211300</v>
      </c>
      <c r="BE64" s="9" t="str">
        <f>CONCATENATE(TWZ[[#This Row],[Supply Level]],TWZ[[#This Row],[Station/Feeder]],TWZ[[#This Row],[Voltage]],TWZ[[#This Row],[Lowest A-PTX]])</f>
        <v>DistributionFeederZ2_Urban No. 211300</v>
      </c>
      <c r="BF64" s="9">
        <f>IFERROR(IF(MIN(TWZ[[#This Row],[Summ Cont Winter A]:[Cable Derating]])=0,"",MIN(TWZ[[#This Row],[Summ Cont Winter A]:[Cable Derating]])),"")</f>
        <v>5.715767664977295</v>
      </c>
      <c r="BG64" s="9">
        <f>IFERROR(TWZ[[#This Row],[Lowest MVA]]*1000/(TWZ[[#This Row],[Voltage]]*SQRT(3)),"")</f>
        <v>300</v>
      </c>
      <c r="BH64" s="9">
        <f t="shared" si="21"/>
        <v>300</v>
      </c>
      <c r="BI64" s="9" t="str">
        <f>TWZ[[#This Row],[From]]</f>
        <v>11 kV Bus</v>
      </c>
      <c r="BJ64" s="9" t="str">
        <f>TWZ[[#This Row],[To]]</f>
        <v>Pole 12571</v>
      </c>
      <c r="BK64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Link-Z15</v>
      </c>
      <c r="BL64" s="9">
        <f>TWZ[[#This Row],[Voltage]]</f>
        <v>11</v>
      </c>
    </row>
    <row r="65" spans="1:64" s="1" customFormat="1" ht="15" customHeight="1" x14ac:dyDescent="0.25">
      <c r="A65" s="353" t="str">
        <f>CONCATENATE(TWZ[[#This Row],[Supply Level]],TWZ[[#This Row],[Station/Feeder]],TWZ[[#This Row],[Voltage]])</f>
        <v>DistributionFeederZ2_Urban No. 211</v>
      </c>
      <c r="B65" s="354" t="str">
        <f>CONCATENATE(TWZ[[#This Row],[Supply Level]],TWZ[[#This Row],[Station/Feeder]],TWZ[[#This Row],[Equipment ID]],TWZ[[#This Row],[Voltage]],TWZ[[#This Row],[Device type]])</f>
        <v>DistributionFeederZ2_Urban No. 2MINK11-</v>
      </c>
      <c r="C65" s="14" t="s">
        <v>1276</v>
      </c>
      <c r="D65" s="11" t="s">
        <v>114</v>
      </c>
      <c r="E65" s="6" t="s">
        <v>243</v>
      </c>
      <c r="F65" s="6" t="s">
        <v>279</v>
      </c>
      <c r="G65" s="27">
        <v>6</v>
      </c>
      <c r="H65" s="7" t="s">
        <v>1289</v>
      </c>
      <c r="I65" s="7" t="s">
        <v>282</v>
      </c>
      <c r="J65" s="7" t="s">
        <v>69</v>
      </c>
      <c r="K65" s="7" t="s">
        <v>0</v>
      </c>
      <c r="L65" s="7" t="s">
        <v>0</v>
      </c>
      <c r="M65" s="43">
        <v>11</v>
      </c>
      <c r="N65" s="9">
        <v>251</v>
      </c>
      <c r="O65" s="9">
        <f t="shared" si="11"/>
        <v>4.7821922796976697</v>
      </c>
      <c r="P65" s="9" t="s">
        <v>0</v>
      </c>
      <c r="Q65" s="9" t="str">
        <f t="shared" si="12"/>
        <v>-</v>
      </c>
      <c r="R65" s="9">
        <v>189</v>
      </c>
      <c r="S65" s="9">
        <f t="shared" si="13"/>
        <v>3.6009336289356955</v>
      </c>
      <c r="T65" s="9" t="s">
        <v>0</v>
      </c>
      <c r="U65" s="9" t="str">
        <f t="shared" si="14"/>
        <v>-</v>
      </c>
      <c r="V65" s="9" t="s">
        <v>0</v>
      </c>
      <c r="W65" s="9" t="str">
        <f t="shared" si="15"/>
        <v>-</v>
      </c>
      <c r="X65" s="9" t="s">
        <v>0</v>
      </c>
      <c r="Y65" s="9" t="str">
        <f t="shared" si="16"/>
        <v>-</v>
      </c>
      <c r="Z65" s="9" t="s">
        <v>0</v>
      </c>
      <c r="AA65" s="9" t="str">
        <f t="shared" si="17"/>
        <v>-</v>
      </c>
      <c r="AB65" s="9" t="s">
        <v>0</v>
      </c>
      <c r="AC65" s="9" t="str">
        <f t="shared" si="18"/>
        <v>-</v>
      </c>
      <c r="AD65" s="9" t="s">
        <v>0</v>
      </c>
      <c r="AE65" s="12" t="str">
        <f t="shared" si="19"/>
        <v>-</v>
      </c>
      <c r="AF65" s="29" t="s">
        <v>0</v>
      </c>
      <c r="AG65" s="29" t="s">
        <v>0</v>
      </c>
      <c r="AH65" s="8">
        <v>65.459999999999994</v>
      </c>
      <c r="AI65" s="29" t="s">
        <v>0</v>
      </c>
      <c r="AJ65" s="32" t="s">
        <v>0</v>
      </c>
      <c r="AK65" s="29" t="s">
        <v>0</v>
      </c>
      <c r="AL65" s="32" t="s">
        <v>0</v>
      </c>
      <c r="AM65" s="29" t="s">
        <v>0</v>
      </c>
      <c r="AN65" s="32" t="s">
        <v>0</v>
      </c>
      <c r="AO65" s="29" t="s">
        <v>0</v>
      </c>
      <c r="AP65" s="32" t="s">
        <v>0</v>
      </c>
      <c r="AQ65" s="32" t="s">
        <v>0</v>
      </c>
      <c r="AR65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65" s="9" t="str">
        <f t="shared" si="20"/>
        <v>-</v>
      </c>
      <c r="AT65" s="9">
        <f>IF(RIGHT(TWZ[[#This Row],[Device type]],7)="Winding","-",TWZ[[#This Row],[Cont Winter MVA]])</f>
        <v>4.7821922796976697</v>
      </c>
      <c r="AU65" s="9" t="str">
        <f>IF(RIGHT(TWZ[[#This Row],[Device type]],7)="Winding","-",TWZ[[#This Row],[Cont Shoulder MVA]])</f>
        <v>-</v>
      </c>
      <c r="AV65" s="9">
        <f>IF(RIGHT(TWZ[[#This Row],[Device type]],7)="Winding","-",TWZ[[#This Row],[Cont Summer MVA]])</f>
        <v>3.6009336289356955</v>
      </c>
      <c r="AW65" s="9" t="str">
        <f>TWZ[[#This Row],[24 Hr Winter MVA]]</f>
        <v>-</v>
      </c>
      <c r="AX65" s="9" t="str">
        <f>TWZ[[#This Row],[24 Hr Summer MVA]]</f>
        <v>-</v>
      </c>
      <c r="AY65" s="9" t="str">
        <f>TWZ[[#This Row],[Forwards MVA]]</f>
        <v>-</v>
      </c>
      <c r="AZ65" s="9" t="str">
        <f>TWZ[[#This Row],[Relay MVA]]</f>
        <v>-</v>
      </c>
      <c r="BA65" s="9" t="str">
        <f>TWZ[[#This Row],[CT MVA]]</f>
        <v>-</v>
      </c>
      <c r="BB65" s="9" t="str">
        <f>TWZ[[#This Row],[Derating MVA]]</f>
        <v>-</v>
      </c>
      <c r="BC65" s="9" t="str">
        <f>TWZ[[#This Row],[Station/Feeder]]&amp;TWZ[[#This Row],[Lowest MVA]]</f>
        <v>Z2_Urban No. 23.6009336289357</v>
      </c>
      <c r="BD65" s="9" t="str">
        <f>CONCATENATE(TWZ[[#This Row],[Supply Level]],TWZ[[#This Row],[Station/Feeder]],TWZ[[#This Row],[Voltage]],TWZ[[#This Row],[Lowest A-No PTX]])</f>
        <v>DistributionFeederZ2_Urban No. 211189</v>
      </c>
      <c r="BE65" s="9" t="str">
        <f>CONCATENATE(TWZ[[#This Row],[Supply Level]],TWZ[[#This Row],[Station/Feeder]],TWZ[[#This Row],[Voltage]],TWZ[[#This Row],[Lowest A-PTX]])</f>
        <v>DistributionFeederZ2_Urban No. 211189</v>
      </c>
      <c r="BF65" s="9">
        <f>IFERROR(IF(MIN(TWZ[[#This Row],[Summ Cont Winter A]:[Cable Derating]])=0,"",MIN(TWZ[[#This Row],[Summ Cont Winter A]:[Cable Derating]])),"")</f>
        <v>3.6009336289356955</v>
      </c>
      <c r="BG65" s="9">
        <f>IFERROR(TWZ[[#This Row],[Lowest MVA]]*1000/(TWZ[[#This Row],[Voltage]]*SQRT(3)),"")</f>
        <v>189</v>
      </c>
      <c r="BH65" s="9">
        <f t="shared" si="21"/>
        <v>189</v>
      </c>
      <c r="BI65" s="9" t="str">
        <f>TWZ[[#This Row],[From]]</f>
        <v>11 kV Bus</v>
      </c>
      <c r="BJ65" s="9" t="str">
        <f>TWZ[[#This Row],[To]]</f>
        <v>Pole 12571</v>
      </c>
      <c r="BK65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OH Line-MINK</v>
      </c>
      <c r="BL65" s="9">
        <f>TWZ[[#This Row],[Voltage]]</f>
        <v>11</v>
      </c>
    </row>
    <row r="66" spans="1:64" s="1" customFormat="1" x14ac:dyDescent="0.25">
      <c r="A66" s="353" t="str">
        <f>CONCATENATE(TWZ[[#This Row],[Supply Level]],TWZ[[#This Row],[Station/Feeder]],TWZ[[#This Row],[Voltage]])</f>
        <v>DistributionFeederZ3_Industrial11</v>
      </c>
      <c r="B66" s="354" t="str">
        <f>CONCATENATE(TWZ[[#This Row],[Supply Level]],TWZ[[#This Row],[Station/Feeder]],TWZ[[#This Row],[Equipment ID]],TWZ[[#This Row],[Voltage]],TWZ[[#This Row],[Device type]])</f>
        <v>DistributionFeederZ3_IndustrialTVS-Z311Protection</v>
      </c>
      <c r="C66" s="14" t="s">
        <v>1276</v>
      </c>
      <c r="D66" s="11" t="s">
        <v>125</v>
      </c>
      <c r="E66" s="6" t="s">
        <v>243</v>
      </c>
      <c r="F66" s="6" t="s">
        <v>285</v>
      </c>
      <c r="G66" s="27">
        <v>1</v>
      </c>
      <c r="H66" s="7" t="s">
        <v>274</v>
      </c>
      <c r="I66" s="7" t="s">
        <v>2588</v>
      </c>
      <c r="J66" s="7" t="s">
        <v>15</v>
      </c>
      <c r="K66" s="7" t="s">
        <v>1128</v>
      </c>
      <c r="L66" s="7" t="s">
        <v>1423</v>
      </c>
      <c r="M66" s="43">
        <v>11</v>
      </c>
      <c r="N66" s="9" t="s">
        <v>0</v>
      </c>
      <c r="O66" s="9" t="str">
        <f t="shared" ref="O66" si="22">IF(OR(N66="",N66="-"),"-",N66*$M66*SQRT(3)/1000)</f>
        <v>-</v>
      </c>
      <c r="P66" s="9" t="s">
        <v>0</v>
      </c>
      <c r="Q66" s="9" t="str">
        <f t="shared" si="12"/>
        <v>-</v>
      </c>
      <c r="R66" s="9" t="s">
        <v>0</v>
      </c>
      <c r="S66" s="9" t="str">
        <f t="shared" si="13"/>
        <v>-</v>
      </c>
      <c r="T66" s="9" t="s">
        <v>0</v>
      </c>
      <c r="U66" s="9" t="str">
        <f t="shared" si="14"/>
        <v>-</v>
      </c>
      <c r="V66" s="9" t="s">
        <v>0</v>
      </c>
      <c r="W66" s="9" t="str">
        <f t="shared" si="15"/>
        <v>-</v>
      </c>
      <c r="X66" s="9">
        <f>VLOOKUP(TWZ[[#This Row],[Equipment ID]],AEL_Protection_Data[#All],12,0)</f>
        <v>150</v>
      </c>
      <c r="Y66" s="9">
        <f t="shared" si="16"/>
        <v>2.8578838324886475</v>
      </c>
      <c r="Z66" s="9">
        <v>150</v>
      </c>
      <c r="AA66" s="9">
        <f t="shared" si="17"/>
        <v>2.8578838324886475</v>
      </c>
      <c r="AB66" s="9" t="s">
        <v>0</v>
      </c>
      <c r="AC66" s="9" t="str">
        <f t="shared" si="18"/>
        <v>-</v>
      </c>
      <c r="AD66" s="9" t="s">
        <v>0</v>
      </c>
      <c r="AE66" s="12" t="str">
        <f t="shared" si="19"/>
        <v>-</v>
      </c>
      <c r="AF66" s="29" t="s">
        <v>0</v>
      </c>
      <c r="AG66" s="29" t="s">
        <v>0</v>
      </c>
      <c r="AH66" s="8" t="s">
        <v>0</v>
      </c>
      <c r="AI66" s="29" t="s">
        <v>0</v>
      </c>
      <c r="AJ66" s="32" t="s">
        <v>0</v>
      </c>
      <c r="AK66" s="29" t="s">
        <v>0</v>
      </c>
      <c r="AL66" s="32" t="s">
        <v>0</v>
      </c>
      <c r="AM66" s="29" t="s">
        <v>0</v>
      </c>
      <c r="AN66" s="32" t="s">
        <v>0</v>
      </c>
      <c r="AO66" s="29" t="s">
        <v>0</v>
      </c>
      <c r="AP66" s="32" t="s">
        <v>0</v>
      </c>
      <c r="AQ66" s="32" t="s">
        <v>0</v>
      </c>
      <c r="AR66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66" s="9" t="str">
        <f t="shared" si="20"/>
        <v>-</v>
      </c>
      <c r="AT66" s="9" t="str">
        <f>IF(RIGHT(TWZ[[#This Row],[Device type]],7)="Winding","-",TWZ[[#This Row],[Cont Winter MVA]])</f>
        <v>-</v>
      </c>
      <c r="AU66" s="9" t="str">
        <f>IF(RIGHT(TWZ[[#This Row],[Device type]],7)="Winding","-",TWZ[[#This Row],[Cont Shoulder MVA]])</f>
        <v>-</v>
      </c>
      <c r="AV66" s="9" t="str">
        <f>IF(RIGHT(TWZ[[#This Row],[Device type]],7)="Winding","-",TWZ[[#This Row],[Cont Summer MVA]])</f>
        <v>-</v>
      </c>
      <c r="AW66" s="9" t="str">
        <f>TWZ[[#This Row],[24 Hr Winter MVA]]</f>
        <v>-</v>
      </c>
      <c r="AX66" s="9" t="str">
        <f>TWZ[[#This Row],[24 Hr Summer MVA]]</f>
        <v>-</v>
      </c>
      <c r="AY66" s="9">
        <f>TWZ[[#This Row],[Forwards MVA]]</f>
        <v>2.8578838324886475</v>
      </c>
      <c r="AZ66" s="9" t="str">
        <f>TWZ[[#This Row],[Relay MVA]]</f>
        <v>-</v>
      </c>
      <c r="BA66" s="9" t="str">
        <f>TWZ[[#This Row],[CT MVA]]</f>
        <v>-</v>
      </c>
      <c r="BB66" s="9" t="str">
        <f>TWZ[[#This Row],[Derating MVA]]</f>
        <v>-</v>
      </c>
      <c r="BC66" s="9" t="str">
        <f>TWZ[[#This Row],[Station/Feeder]]&amp;TWZ[[#This Row],[Lowest MVA]]</f>
        <v>Z3_Industrial2.85788383248865</v>
      </c>
      <c r="BD66" s="9" t="str">
        <f>CONCATENATE(TWZ[[#This Row],[Supply Level]],TWZ[[#This Row],[Station/Feeder]],TWZ[[#This Row],[Voltage]],TWZ[[#This Row],[Lowest A-No PTX]])</f>
        <v>DistributionFeederZ3_Industrial11150</v>
      </c>
      <c r="BE66" s="9" t="str">
        <f>CONCATENATE(TWZ[[#This Row],[Supply Level]],TWZ[[#This Row],[Station/Feeder]],TWZ[[#This Row],[Voltage]],TWZ[[#This Row],[Lowest A-PTX]])</f>
        <v>DistributionFeederZ3_Industrial11150</v>
      </c>
      <c r="BF66" s="9">
        <f>IFERROR(IF(MIN(TWZ[[#This Row],[Summ Cont Winter A]:[Cable Derating]])=0,"",MIN(TWZ[[#This Row],[Summ Cont Winter A]:[Cable Derating]])),"")</f>
        <v>2.8578838324886475</v>
      </c>
      <c r="BG66" s="9">
        <f>IFERROR(TWZ[[#This Row],[Lowest MVA]]*1000/(TWZ[[#This Row],[Voltage]]*SQRT(3)),"")</f>
        <v>150</v>
      </c>
      <c r="BH66" s="9">
        <f t="shared" si="21"/>
        <v>150</v>
      </c>
      <c r="BI66" s="9" t="str">
        <f>TWZ[[#This Row],[From]]</f>
        <v>11 kV Bus</v>
      </c>
      <c r="BJ66" s="9" t="str">
        <f>TWZ[[#This Row],[To]]</f>
        <v>E48</v>
      </c>
      <c r="BK66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Breaker-TVS-Z3-Protection</v>
      </c>
      <c r="BL66" s="9">
        <f>TWZ[[#This Row],[Voltage]]</f>
        <v>11</v>
      </c>
    </row>
    <row r="67" spans="1:64" s="1" customFormat="1" ht="15" customHeight="1" x14ac:dyDescent="0.25">
      <c r="A67" s="353" t="str">
        <f>CONCATENATE(TWZ[[#This Row],[Supply Level]],TWZ[[#This Row],[Station/Feeder]],TWZ[[#This Row],[Voltage]])</f>
        <v>DistributionFeederZ3_Industrial11</v>
      </c>
      <c r="B67" s="354" t="str">
        <f>CONCATENATE(TWZ[[#This Row],[Supply Level]],TWZ[[#This Row],[Station/Feeder]],TWZ[[#This Row],[Equipment ID]],TWZ[[#This Row],[Voltage]],TWZ[[#This Row],[Device type]])</f>
        <v>DistributionFeederZ3_Industrial1-3c 150 mm² Cu XLPE11-</v>
      </c>
      <c r="C67" s="14" t="s">
        <v>1276</v>
      </c>
      <c r="D67" s="11" t="s">
        <v>125</v>
      </c>
      <c r="E67" s="6" t="s">
        <v>243</v>
      </c>
      <c r="F67" s="6" t="s">
        <v>285</v>
      </c>
      <c r="G67" s="27">
        <v>2</v>
      </c>
      <c r="H67" s="7" t="s">
        <v>277</v>
      </c>
      <c r="I67" s="7" t="s">
        <v>577</v>
      </c>
      <c r="J67" s="7" t="s">
        <v>250</v>
      </c>
      <c r="K67" s="7" t="s">
        <v>0</v>
      </c>
      <c r="L67" s="7" t="s">
        <v>0</v>
      </c>
      <c r="M67" s="43">
        <v>11</v>
      </c>
      <c r="N67" s="9">
        <v>414</v>
      </c>
      <c r="O67" s="9">
        <f t="shared" si="11"/>
        <v>7.887759377668667</v>
      </c>
      <c r="P67" s="9">
        <v>414</v>
      </c>
      <c r="Q67" s="9">
        <f t="shared" si="12"/>
        <v>7.887759377668667</v>
      </c>
      <c r="R67" s="9">
        <v>414</v>
      </c>
      <c r="S67" s="9">
        <f t="shared" si="13"/>
        <v>7.887759377668667</v>
      </c>
      <c r="T67" s="9" t="s">
        <v>0</v>
      </c>
      <c r="U67" s="9" t="str">
        <f t="shared" si="14"/>
        <v>-</v>
      </c>
      <c r="V67" s="9" t="s">
        <v>0</v>
      </c>
      <c r="W67" s="9" t="str">
        <f t="shared" si="15"/>
        <v>-</v>
      </c>
      <c r="X67" s="9" t="s">
        <v>0</v>
      </c>
      <c r="Y67" s="9" t="str">
        <f t="shared" si="16"/>
        <v>-</v>
      </c>
      <c r="Z67" s="9" t="s">
        <v>0</v>
      </c>
      <c r="AA67" s="9" t="str">
        <f t="shared" si="17"/>
        <v>-</v>
      </c>
      <c r="AB67" s="9" t="s">
        <v>0</v>
      </c>
      <c r="AC67" s="9" t="str">
        <f t="shared" si="18"/>
        <v>-</v>
      </c>
      <c r="AD67" s="9" t="s">
        <v>0</v>
      </c>
      <c r="AE67" s="12" t="str">
        <f t="shared" si="19"/>
        <v>-</v>
      </c>
      <c r="AF67" s="29">
        <v>3</v>
      </c>
      <c r="AG67" s="29" t="s">
        <v>265</v>
      </c>
      <c r="AH67" s="8">
        <v>15.6</v>
      </c>
      <c r="AI67" s="29">
        <v>1</v>
      </c>
      <c r="AJ67" s="32">
        <v>0.98</v>
      </c>
      <c r="AK67" s="29">
        <v>15</v>
      </c>
      <c r="AL67" s="32">
        <v>1</v>
      </c>
      <c r="AM67" s="29">
        <v>1.2</v>
      </c>
      <c r="AN67" s="32">
        <v>1</v>
      </c>
      <c r="AO67" s="29">
        <v>4</v>
      </c>
      <c r="AP67" s="32">
        <v>0.5</v>
      </c>
      <c r="AQ67" s="32">
        <v>0.83499999999999996</v>
      </c>
      <c r="AR67" s="9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338.77619999999996</v>
      </c>
      <c r="AS67" s="9">
        <f t="shared" si="20"/>
        <v>6.4545534987462689</v>
      </c>
      <c r="AT67" s="9">
        <f>IF(RIGHT(TWZ[[#This Row],[Device type]],7)="Winding","-",TWZ[[#This Row],[Cont Winter MVA]])</f>
        <v>7.887759377668667</v>
      </c>
      <c r="AU67" s="9">
        <f>IF(RIGHT(TWZ[[#This Row],[Device type]],7)="Winding","-",TWZ[[#This Row],[Cont Shoulder MVA]])</f>
        <v>7.887759377668667</v>
      </c>
      <c r="AV67" s="9">
        <f>IF(RIGHT(TWZ[[#This Row],[Device type]],7)="Winding","-",TWZ[[#This Row],[Cont Summer MVA]])</f>
        <v>7.887759377668667</v>
      </c>
      <c r="AW67" s="9" t="str">
        <f>TWZ[[#This Row],[24 Hr Winter MVA]]</f>
        <v>-</v>
      </c>
      <c r="AX67" s="9" t="str">
        <f>TWZ[[#This Row],[24 Hr Summer MVA]]</f>
        <v>-</v>
      </c>
      <c r="AY67" s="9" t="str">
        <f>TWZ[[#This Row],[Forwards MVA]]</f>
        <v>-</v>
      </c>
      <c r="AZ67" s="9" t="str">
        <f>TWZ[[#This Row],[Relay MVA]]</f>
        <v>-</v>
      </c>
      <c r="BA67" s="9" t="str">
        <f>TWZ[[#This Row],[CT MVA]]</f>
        <v>-</v>
      </c>
      <c r="BB67" s="9">
        <f>TWZ[[#This Row],[Derating MVA]]</f>
        <v>6.4545534987462689</v>
      </c>
      <c r="BC67" s="9" t="str">
        <f>TWZ[[#This Row],[Station/Feeder]]&amp;TWZ[[#This Row],[Lowest MVA]]</f>
        <v>Z3_Industrial6.45455349874627</v>
      </c>
      <c r="BD67" s="9" t="str">
        <f>CONCATENATE(TWZ[[#This Row],[Supply Level]],TWZ[[#This Row],[Station/Feeder]],TWZ[[#This Row],[Voltage]],TWZ[[#This Row],[Lowest A-No PTX]])</f>
        <v>DistributionFeederZ3_Industrial11338.7762</v>
      </c>
      <c r="BE67" s="9" t="str">
        <f>CONCATENATE(TWZ[[#This Row],[Supply Level]],TWZ[[#This Row],[Station/Feeder]],TWZ[[#This Row],[Voltage]],TWZ[[#This Row],[Lowest A-PTX]])</f>
        <v>DistributionFeederZ3_Industrial11338.7762</v>
      </c>
      <c r="BF67" s="9">
        <f>IFERROR(IF(MIN(TWZ[[#This Row],[Summ Cont Winter A]:[Cable Derating]])=0,"",MIN(TWZ[[#This Row],[Summ Cont Winter A]:[Cable Derating]])),"")</f>
        <v>6.4545534987462689</v>
      </c>
      <c r="BG67" s="9">
        <f>IFERROR(TWZ[[#This Row],[Lowest MVA]]*1000/(TWZ[[#This Row],[Voltage]]*SQRT(3)),"")</f>
        <v>338.7761999999999</v>
      </c>
      <c r="BH67" s="9">
        <f t="shared" si="21"/>
        <v>338.77619999999996</v>
      </c>
      <c r="BI67" s="9" t="str">
        <f>TWZ[[#This Row],[From]]</f>
        <v>11 kV Bus</v>
      </c>
      <c r="BJ67" s="9" t="str">
        <f>TWZ[[#This Row],[To]]</f>
        <v>E48</v>
      </c>
      <c r="BK67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Cable-1-3c 150 mm² Cu XLPE</v>
      </c>
      <c r="BL67" s="9">
        <f>TWZ[[#This Row],[Voltage]]</f>
        <v>11</v>
      </c>
    </row>
    <row r="68" spans="1:64" s="1" customFormat="1" ht="15" customHeight="1" x14ac:dyDescent="0.25">
      <c r="A68" s="353" t="str">
        <f>CONCATENATE(TWZ[[#This Row],[Supply Level]],TWZ[[#This Row],[Station/Feeder]],TWZ[[#This Row],[Voltage]])</f>
        <v>DistributionFeederZ3_Industrial11</v>
      </c>
      <c r="B68" s="354" t="str">
        <f>CONCATENATE(TWZ[[#This Row],[Supply Level]],TWZ[[#This Row],[Station/Feeder]],TWZ[[#This Row],[Equipment ID]],TWZ[[#This Row],[Voltage]],TWZ[[#This Row],[Device type]])</f>
        <v>DistributionFeederZ3_Industrial1-3c 185 mm² AL XLPE11-</v>
      </c>
      <c r="C68" s="14" t="s">
        <v>1276</v>
      </c>
      <c r="D68" s="11" t="s">
        <v>125</v>
      </c>
      <c r="E68" s="6" t="s">
        <v>243</v>
      </c>
      <c r="F68" s="6" t="s">
        <v>285</v>
      </c>
      <c r="G68" s="27">
        <v>3</v>
      </c>
      <c r="H68" s="7" t="s">
        <v>277</v>
      </c>
      <c r="I68" s="7" t="s">
        <v>574</v>
      </c>
      <c r="J68" s="7" t="s">
        <v>250</v>
      </c>
      <c r="K68" s="7" t="s">
        <v>0</v>
      </c>
      <c r="L68" s="7" t="s">
        <v>0</v>
      </c>
      <c r="M68" s="43">
        <v>11</v>
      </c>
      <c r="N68" s="9">
        <v>367</v>
      </c>
      <c r="O68" s="9">
        <f t="shared" si="11"/>
        <v>6.9922891101555571</v>
      </c>
      <c r="P68" s="9">
        <v>367</v>
      </c>
      <c r="Q68" s="9">
        <f t="shared" si="12"/>
        <v>6.9922891101555571</v>
      </c>
      <c r="R68" s="9">
        <v>367</v>
      </c>
      <c r="S68" s="9">
        <f t="shared" si="13"/>
        <v>6.9922891101555571</v>
      </c>
      <c r="T68" s="9" t="s">
        <v>0</v>
      </c>
      <c r="U68" s="9" t="str">
        <f t="shared" si="14"/>
        <v>-</v>
      </c>
      <c r="V68" s="9" t="s">
        <v>0</v>
      </c>
      <c r="W68" s="9" t="str">
        <f t="shared" si="15"/>
        <v>-</v>
      </c>
      <c r="X68" s="9" t="s">
        <v>0</v>
      </c>
      <c r="Y68" s="9" t="str">
        <f t="shared" si="16"/>
        <v>-</v>
      </c>
      <c r="Z68" s="9" t="s">
        <v>0</v>
      </c>
      <c r="AA68" s="9" t="str">
        <f t="shared" si="17"/>
        <v>-</v>
      </c>
      <c r="AB68" s="9" t="s">
        <v>0</v>
      </c>
      <c r="AC68" s="9" t="str">
        <f t="shared" si="18"/>
        <v>-</v>
      </c>
      <c r="AD68" s="9" t="s">
        <v>0</v>
      </c>
      <c r="AE68" s="12" t="str">
        <f t="shared" si="19"/>
        <v>-</v>
      </c>
      <c r="AF68" s="29">
        <v>3</v>
      </c>
      <c r="AG68" s="29" t="s">
        <v>265</v>
      </c>
      <c r="AH68" s="8">
        <v>5</v>
      </c>
      <c r="AI68" s="29">
        <v>1</v>
      </c>
      <c r="AJ68" s="32">
        <v>0.98</v>
      </c>
      <c r="AK68" s="29">
        <v>15</v>
      </c>
      <c r="AL68" s="32">
        <v>1</v>
      </c>
      <c r="AM68" s="29">
        <v>1.2</v>
      </c>
      <c r="AN68" s="32">
        <v>1</v>
      </c>
      <c r="AO68" s="29">
        <v>1</v>
      </c>
      <c r="AP68" s="32">
        <v>0</v>
      </c>
      <c r="AQ68" s="32">
        <v>1</v>
      </c>
      <c r="AR68" s="9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359.65999999999997</v>
      </c>
      <c r="AS68" s="9">
        <f t="shared" si="20"/>
        <v>6.8524433279524457</v>
      </c>
      <c r="AT68" s="9">
        <f>IF(RIGHT(TWZ[[#This Row],[Device type]],7)="Winding","-",TWZ[[#This Row],[Cont Winter MVA]])</f>
        <v>6.9922891101555571</v>
      </c>
      <c r="AU68" s="9">
        <f>IF(RIGHT(TWZ[[#This Row],[Device type]],7)="Winding","-",TWZ[[#This Row],[Cont Shoulder MVA]])</f>
        <v>6.9922891101555571</v>
      </c>
      <c r="AV68" s="9">
        <f>IF(RIGHT(TWZ[[#This Row],[Device type]],7)="Winding","-",TWZ[[#This Row],[Cont Summer MVA]])</f>
        <v>6.9922891101555571</v>
      </c>
      <c r="AW68" s="9" t="str">
        <f>TWZ[[#This Row],[24 Hr Winter MVA]]</f>
        <v>-</v>
      </c>
      <c r="AX68" s="9" t="str">
        <f>TWZ[[#This Row],[24 Hr Summer MVA]]</f>
        <v>-</v>
      </c>
      <c r="AY68" s="9" t="str">
        <f>TWZ[[#This Row],[Forwards MVA]]</f>
        <v>-</v>
      </c>
      <c r="AZ68" s="9" t="str">
        <f>TWZ[[#This Row],[Relay MVA]]</f>
        <v>-</v>
      </c>
      <c r="BA68" s="9" t="str">
        <f>TWZ[[#This Row],[CT MVA]]</f>
        <v>-</v>
      </c>
      <c r="BB68" s="9">
        <f>TWZ[[#This Row],[Derating MVA]]</f>
        <v>6.8524433279524457</v>
      </c>
      <c r="BC68" s="9" t="str">
        <f>TWZ[[#This Row],[Station/Feeder]]&amp;TWZ[[#This Row],[Lowest MVA]]</f>
        <v>Z3_Industrial6.85244332795245</v>
      </c>
      <c r="BD68" s="9" t="str">
        <f>CONCATENATE(TWZ[[#This Row],[Supply Level]],TWZ[[#This Row],[Station/Feeder]],TWZ[[#This Row],[Voltage]],TWZ[[#This Row],[Lowest A-No PTX]])</f>
        <v>DistributionFeederZ3_Industrial11359.66</v>
      </c>
      <c r="BE68" s="9" t="str">
        <f>CONCATENATE(TWZ[[#This Row],[Supply Level]],TWZ[[#This Row],[Station/Feeder]],TWZ[[#This Row],[Voltage]],TWZ[[#This Row],[Lowest A-PTX]])</f>
        <v>DistributionFeederZ3_Industrial11359.66</v>
      </c>
      <c r="BF68" s="9">
        <f>IFERROR(IF(MIN(TWZ[[#This Row],[Summ Cont Winter A]:[Cable Derating]])=0,"",MIN(TWZ[[#This Row],[Summ Cont Winter A]:[Cable Derating]])),"")</f>
        <v>6.8524433279524457</v>
      </c>
      <c r="BG68" s="9">
        <f>IFERROR(TWZ[[#This Row],[Lowest MVA]]*1000/(TWZ[[#This Row],[Voltage]]*SQRT(3)),"")</f>
        <v>359.65999999999997</v>
      </c>
      <c r="BH68" s="9">
        <f t="shared" si="21"/>
        <v>359.65999999999997</v>
      </c>
      <c r="BI68" s="9" t="str">
        <f>TWZ[[#This Row],[From]]</f>
        <v>11 kV Bus</v>
      </c>
      <c r="BJ68" s="9" t="str">
        <f>TWZ[[#This Row],[To]]</f>
        <v>E48</v>
      </c>
      <c r="BK68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Cable-1-3c 185 mm² AL XLPE</v>
      </c>
      <c r="BL68" s="9">
        <f>TWZ[[#This Row],[Voltage]]</f>
        <v>11</v>
      </c>
    </row>
    <row r="69" spans="1:64" s="1" customFormat="1" ht="15" customHeight="1" x14ac:dyDescent="0.25">
      <c r="A69" s="353" t="str">
        <f>CONCATENATE(TWZ[[#This Row],[Supply Level]],TWZ[[#This Row],[Station/Feeder]],TWZ[[#This Row],[Voltage]])</f>
        <v>DistributionFeederZ3_Industrial11</v>
      </c>
      <c r="B69" s="354" t="str">
        <f>CONCATENATE(TWZ[[#This Row],[Supply Level]],TWZ[[#This Row],[Station/Feeder]],TWZ[[#This Row],[Equipment ID]],TWZ[[#This Row],[Voltage]],TWZ[[#This Row],[Device type]])</f>
        <v>DistributionFeederZ3_IndustrialZ30111-</v>
      </c>
      <c r="C69" s="14" t="s">
        <v>1276</v>
      </c>
      <c r="D69" s="11" t="s">
        <v>125</v>
      </c>
      <c r="E69" s="6" t="s">
        <v>243</v>
      </c>
      <c r="F69" s="6" t="s">
        <v>285</v>
      </c>
      <c r="G69" s="27">
        <v>4</v>
      </c>
      <c r="H69" s="7" t="s">
        <v>273</v>
      </c>
      <c r="I69" s="7" t="s">
        <v>287</v>
      </c>
      <c r="J69" s="7" t="s">
        <v>249</v>
      </c>
      <c r="K69" s="7" t="s">
        <v>0</v>
      </c>
      <c r="L69" s="7" t="s">
        <v>0</v>
      </c>
      <c r="M69" s="43">
        <v>11</v>
      </c>
      <c r="N69" s="9" t="s">
        <v>0</v>
      </c>
      <c r="O69" s="9" t="str">
        <f t="shared" si="11"/>
        <v>-</v>
      </c>
      <c r="P69" s="9" t="s">
        <v>0</v>
      </c>
      <c r="Q69" s="9" t="str">
        <f t="shared" si="12"/>
        <v>-</v>
      </c>
      <c r="R69" s="9" t="s">
        <v>0</v>
      </c>
      <c r="S69" s="9" t="str">
        <f t="shared" si="13"/>
        <v>-</v>
      </c>
      <c r="T69" s="9" t="s">
        <v>0</v>
      </c>
      <c r="U69" s="9" t="str">
        <f t="shared" si="14"/>
        <v>-</v>
      </c>
      <c r="V69" s="9" t="s">
        <v>0</v>
      </c>
      <c r="W69" s="9" t="str">
        <f t="shared" si="15"/>
        <v>-</v>
      </c>
      <c r="X69" s="9" t="s">
        <v>0</v>
      </c>
      <c r="Y69" s="9" t="str">
        <f t="shared" si="16"/>
        <v>-</v>
      </c>
      <c r="Z69" s="9" t="s">
        <v>0</v>
      </c>
      <c r="AA69" s="9" t="str">
        <f t="shared" si="17"/>
        <v>-</v>
      </c>
      <c r="AB69" s="9" t="s">
        <v>0</v>
      </c>
      <c r="AC69" s="9" t="str">
        <f t="shared" si="18"/>
        <v>-</v>
      </c>
      <c r="AD69" s="9" t="s">
        <v>0</v>
      </c>
      <c r="AE69" s="12" t="str">
        <f t="shared" si="19"/>
        <v>-</v>
      </c>
      <c r="AF69" s="9" t="s">
        <v>0</v>
      </c>
      <c r="AG69" s="9" t="s">
        <v>0</v>
      </c>
      <c r="AH69" s="9" t="s">
        <v>0</v>
      </c>
      <c r="AI69" s="9" t="s">
        <v>0</v>
      </c>
      <c r="AJ69" s="32" t="s">
        <v>0</v>
      </c>
      <c r="AK69" s="9" t="s">
        <v>0</v>
      </c>
      <c r="AL69" s="32" t="s">
        <v>0</v>
      </c>
      <c r="AM69" s="9" t="s">
        <v>0</v>
      </c>
      <c r="AN69" s="32" t="s">
        <v>0</v>
      </c>
      <c r="AO69" s="9" t="s">
        <v>0</v>
      </c>
      <c r="AP69" s="43" t="s">
        <v>0</v>
      </c>
      <c r="AQ69" s="32" t="s">
        <v>0</v>
      </c>
      <c r="AR69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69" s="9" t="str">
        <f t="shared" si="20"/>
        <v>-</v>
      </c>
      <c r="AT69" s="9" t="str">
        <f>IF(RIGHT(TWZ[[#This Row],[Device type]],7)="Winding","-",TWZ[[#This Row],[Cont Winter MVA]])</f>
        <v>-</v>
      </c>
      <c r="AU69" s="9" t="str">
        <f>IF(RIGHT(TWZ[[#This Row],[Device type]],7)="Winding","-",TWZ[[#This Row],[Cont Shoulder MVA]])</f>
        <v>-</v>
      </c>
      <c r="AV69" s="9" t="str">
        <f>IF(RIGHT(TWZ[[#This Row],[Device type]],7)="Winding","-",TWZ[[#This Row],[Cont Summer MVA]])</f>
        <v>-</v>
      </c>
      <c r="AW69" s="9" t="str">
        <f>TWZ[[#This Row],[24 Hr Winter MVA]]</f>
        <v>-</v>
      </c>
      <c r="AX69" s="9" t="str">
        <f>TWZ[[#This Row],[24 Hr Summer MVA]]</f>
        <v>-</v>
      </c>
      <c r="AY69" s="9" t="str">
        <f>TWZ[[#This Row],[Forwards MVA]]</f>
        <v>-</v>
      </c>
      <c r="AZ69" s="9" t="str">
        <f>TWZ[[#This Row],[Relay MVA]]</f>
        <v>-</v>
      </c>
      <c r="BA69" s="9" t="str">
        <f>TWZ[[#This Row],[CT MVA]]</f>
        <v>-</v>
      </c>
      <c r="BB69" s="9" t="str">
        <f>TWZ[[#This Row],[Derating MVA]]</f>
        <v>-</v>
      </c>
      <c r="BC69" s="9" t="str">
        <f>TWZ[[#This Row],[Station/Feeder]]&amp;TWZ[[#This Row],[Lowest MVA]]</f>
        <v>Z3_Industrial</v>
      </c>
      <c r="BD69" s="9" t="str">
        <f>CONCATENATE(TWZ[[#This Row],[Supply Level]],TWZ[[#This Row],[Station/Feeder]],TWZ[[#This Row],[Voltage]],TWZ[[#This Row],[Lowest A-No PTX]])</f>
        <v>DistributionFeederZ3_Industrial11</v>
      </c>
      <c r="BE69" s="9" t="str">
        <f>CONCATENATE(TWZ[[#This Row],[Supply Level]],TWZ[[#This Row],[Station/Feeder]],TWZ[[#This Row],[Voltage]],TWZ[[#This Row],[Lowest A-PTX]])</f>
        <v>DistributionFeederZ3_Industrial11</v>
      </c>
      <c r="BF69" s="9" t="str">
        <f>IFERROR(IF(MIN(TWZ[[#This Row],[Summ Cont Winter A]:[Cable Derating]])=0,"",MIN(TWZ[[#This Row],[Summ Cont Winter A]:[Cable Derating]])),"")</f>
        <v/>
      </c>
      <c r="BG69" s="9" t="str">
        <f>IFERROR(TWZ[[#This Row],[Lowest MVA]]*1000/(TWZ[[#This Row],[Voltage]]*SQRT(3)),"")</f>
        <v/>
      </c>
      <c r="BH69" s="9" t="str">
        <f t="shared" si="21"/>
        <v/>
      </c>
      <c r="BI69" s="9" t="str">
        <f>TWZ[[#This Row],[From]]</f>
        <v>11 kV Bus</v>
      </c>
      <c r="BJ69" s="9" t="str">
        <f>TWZ[[#This Row],[To]]</f>
        <v>E48</v>
      </c>
      <c r="BK69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Link-Z301</v>
      </c>
      <c r="BL69" s="9">
        <f>TWZ[[#This Row],[Voltage]]</f>
        <v>11</v>
      </c>
    </row>
    <row r="70" spans="1:64" s="1" customFormat="1" ht="15" customHeight="1" x14ac:dyDescent="0.25">
      <c r="A70" s="353" t="str">
        <f>CONCATENATE(TWZ[[#This Row],[Supply Level]],TWZ[[#This Row],[Station/Feeder]],TWZ[[#This Row],[Voltage]])</f>
        <v>DistributionFeederZ3_Industrial11</v>
      </c>
      <c r="B70" s="354" t="str">
        <f>CONCATENATE(TWZ[[#This Row],[Supply Level]],TWZ[[#This Row],[Station/Feeder]],TWZ[[#This Row],[Equipment ID]],TWZ[[#This Row],[Voltage]],TWZ[[#This Row],[Device type]])</f>
        <v>DistributionFeederZ3_IndustrialZ30411-</v>
      </c>
      <c r="C70" s="14" t="s">
        <v>1276</v>
      </c>
      <c r="D70" s="11" t="s">
        <v>125</v>
      </c>
      <c r="E70" s="6" t="s">
        <v>243</v>
      </c>
      <c r="F70" s="6" t="s">
        <v>285</v>
      </c>
      <c r="G70" s="27">
        <v>5</v>
      </c>
      <c r="H70" s="7" t="s">
        <v>273</v>
      </c>
      <c r="I70" s="7" t="s">
        <v>288</v>
      </c>
      <c r="J70" s="7" t="s">
        <v>289</v>
      </c>
      <c r="K70" s="7" t="s">
        <v>0</v>
      </c>
      <c r="L70" s="7" t="s">
        <v>0</v>
      </c>
      <c r="M70" s="43">
        <v>11</v>
      </c>
      <c r="N70" s="9" t="s">
        <v>0</v>
      </c>
      <c r="O70" s="9" t="str">
        <f t="shared" ref="O70:O77" si="23">IF(OR(N70="",N70="-"),"-",N70*$M70*SQRT(3)/1000)</f>
        <v>-</v>
      </c>
      <c r="P70" s="9" t="s">
        <v>0</v>
      </c>
      <c r="Q70" s="9" t="str">
        <f t="shared" ref="Q70:Q77" si="24">IF(OR(P70="",P70="-"),"-",P70*$M70*SQRT(3)/1000)</f>
        <v>-</v>
      </c>
      <c r="R70" s="9" t="s">
        <v>0</v>
      </c>
      <c r="S70" s="9" t="str">
        <f t="shared" ref="S70:S77" si="25">IF(OR(R70="",R70="-"),"-",R70*$M70*SQRT(3)/1000)</f>
        <v>-</v>
      </c>
      <c r="T70" s="9" t="s">
        <v>0</v>
      </c>
      <c r="U70" s="9" t="str">
        <f t="shared" ref="U70:U77" si="26">IF(OR(T70="",T70="-"),"-",T70*$M70*SQRT(3)/1000)</f>
        <v>-</v>
      </c>
      <c r="V70" s="9" t="s">
        <v>0</v>
      </c>
      <c r="W70" s="9" t="str">
        <f t="shared" ref="W70:W77" si="27">IF(OR(V70="",V70="-"),"-",V70*$M70*SQRT(3)/1000)</f>
        <v>-</v>
      </c>
      <c r="X70" s="9" t="s">
        <v>0</v>
      </c>
      <c r="Y70" s="9" t="str">
        <f t="shared" ref="Y70:Y77" si="28">IF(OR(X70="",X70="-"),"-",X70*$M70*SQRT(3)/1000)</f>
        <v>-</v>
      </c>
      <c r="Z70" s="9" t="s">
        <v>0</v>
      </c>
      <c r="AA70" s="9" t="str">
        <f t="shared" ref="AA70:AA77" si="29">IF(OR(Z70="",Z70="-"),"-",Z70*$M70*SQRT(3)/1000)</f>
        <v>-</v>
      </c>
      <c r="AB70" s="9" t="s">
        <v>0</v>
      </c>
      <c r="AC70" s="9" t="str">
        <f t="shared" ref="AC70:AC77" si="30">IF(OR(AB70="",AB70="-"),"-",AB70*$M70*SQRT(3)/1000)</f>
        <v>-</v>
      </c>
      <c r="AD70" s="9" t="s">
        <v>0</v>
      </c>
      <c r="AE70" s="12" t="str">
        <f t="shared" ref="AE70:AE77" si="31">IF(OR(AD70="",AD70="-"),"-",AD70*$M70*SQRT(3)/1000)</f>
        <v>-</v>
      </c>
      <c r="AF70" s="9" t="s">
        <v>0</v>
      </c>
      <c r="AG70" s="9" t="s">
        <v>0</v>
      </c>
      <c r="AH70" s="9" t="s">
        <v>0</v>
      </c>
      <c r="AI70" s="9" t="s">
        <v>0</v>
      </c>
      <c r="AJ70" s="32" t="s">
        <v>0</v>
      </c>
      <c r="AK70" s="9" t="s">
        <v>0</v>
      </c>
      <c r="AL70" s="32" t="s">
        <v>0</v>
      </c>
      <c r="AM70" s="9" t="s">
        <v>0</v>
      </c>
      <c r="AN70" s="32" t="s">
        <v>0</v>
      </c>
      <c r="AO70" s="9" t="s">
        <v>0</v>
      </c>
      <c r="AP70" s="43" t="s">
        <v>0</v>
      </c>
      <c r="AQ70" s="32" t="s">
        <v>0</v>
      </c>
      <c r="AR70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70" s="9" t="str">
        <f t="shared" ref="AS70:AS77" si="32">IF(OR(AR70="",AR70="-"),"-",AR70*$M70*SQRT(3)/1000)</f>
        <v>-</v>
      </c>
      <c r="AT70" s="9" t="str">
        <f>IF(RIGHT(TWZ[[#This Row],[Device type]],7)="Winding","-",TWZ[[#This Row],[Cont Winter MVA]])</f>
        <v>-</v>
      </c>
      <c r="AU70" s="9" t="str">
        <f>IF(RIGHT(TWZ[[#This Row],[Device type]],7)="Winding","-",TWZ[[#This Row],[Cont Shoulder MVA]])</f>
        <v>-</v>
      </c>
      <c r="AV70" s="9" t="str">
        <f>IF(RIGHT(TWZ[[#This Row],[Device type]],7)="Winding","-",TWZ[[#This Row],[Cont Summer MVA]])</f>
        <v>-</v>
      </c>
      <c r="AW70" s="9" t="str">
        <f>TWZ[[#This Row],[24 Hr Winter MVA]]</f>
        <v>-</v>
      </c>
      <c r="AX70" s="9" t="str">
        <f>TWZ[[#This Row],[24 Hr Summer MVA]]</f>
        <v>-</v>
      </c>
      <c r="AY70" s="9" t="str">
        <f>TWZ[[#This Row],[Forwards MVA]]</f>
        <v>-</v>
      </c>
      <c r="AZ70" s="9" t="str">
        <f>TWZ[[#This Row],[Relay MVA]]</f>
        <v>-</v>
      </c>
      <c r="BA70" s="9" t="str">
        <f>TWZ[[#This Row],[CT MVA]]</f>
        <v>-</v>
      </c>
      <c r="BB70" s="9" t="str">
        <f>TWZ[[#This Row],[Derating MVA]]</f>
        <v>-</v>
      </c>
      <c r="BC70" s="9" t="str">
        <f>TWZ[[#This Row],[Station/Feeder]]&amp;TWZ[[#This Row],[Lowest MVA]]</f>
        <v>Z3_Industrial</v>
      </c>
      <c r="BD70" s="9" t="str">
        <f>CONCATENATE(TWZ[[#This Row],[Supply Level]],TWZ[[#This Row],[Station/Feeder]],TWZ[[#This Row],[Voltage]],TWZ[[#This Row],[Lowest A-No PTX]])</f>
        <v>DistributionFeederZ3_Industrial11</v>
      </c>
      <c r="BE70" s="9" t="str">
        <f>CONCATENATE(TWZ[[#This Row],[Supply Level]],TWZ[[#This Row],[Station/Feeder]],TWZ[[#This Row],[Voltage]],TWZ[[#This Row],[Lowest A-PTX]])</f>
        <v>DistributionFeederZ3_Industrial11</v>
      </c>
      <c r="BF70" s="9" t="str">
        <f>IFERROR(IF(MIN(TWZ[[#This Row],[Summ Cont Winter A]:[Cable Derating]])=0,"",MIN(TWZ[[#This Row],[Summ Cont Winter A]:[Cable Derating]])),"")</f>
        <v/>
      </c>
      <c r="BG70" s="9" t="str">
        <f>IFERROR(TWZ[[#This Row],[Lowest MVA]]*1000/(TWZ[[#This Row],[Voltage]]*SQRT(3)),"")</f>
        <v/>
      </c>
      <c r="BH70" s="9" t="str">
        <f t="shared" ref="BH70:BH81" si="33">IF(MIN(N70,P70,R70,T70,V70,X70,Z70,AB70,AD70,AR70)=0,"",MIN(N70,P70,R70,T70,V70,X70,Z70,AB70,AD70,AR70))</f>
        <v/>
      </c>
      <c r="BI70" s="9" t="str">
        <f>TWZ[[#This Row],[From]]</f>
        <v>11 kV Bus</v>
      </c>
      <c r="BJ70" s="9" t="str">
        <f>TWZ[[#This Row],[To]]</f>
        <v>E48</v>
      </c>
      <c r="BK70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Fuse-Z304</v>
      </c>
      <c r="BL70" s="9">
        <f>TWZ[[#This Row],[Voltage]]</f>
        <v>11</v>
      </c>
    </row>
    <row r="71" spans="1:64" s="1" customFormat="1" ht="15" customHeight="1" x14ac:dyDescent="0.25">
      <c r="A71" s="353" t="str">
        <f>CONCATENATE(TWZ[[#This Row],[Supply Level]],TWZ[[#This Row],[Station/Feeder]],TWZ[[#This Row],[Voltage]])</f>
        <v>DistributionFeederZ3_Industrial11</v>
      </c>
      <c r="B71" s="354" t="str">
        <f>CONCATENATE(TWZ[[#This Row],[Supply Level]],TWZ[[#This Row],[Station/Feeder]],TWZ[[#This Row],[Equipment ID]],TWZ[[#This Row],[Voltage]],TWZ[[#This Row],[Device type]])</f>
        <v>DistributionFeederZ3_Industrial1-3c 35 mm² AL PILC11-</v>
      </c>
      <c r="C71" s="14" t="s">
        <v>1276</v>
      </c>
      <c r="D71" s="11" t="s">
        <v>125</v>
      </c>
      <c r="E71" s="6" t="s">
        <v>243</v>
      </c>
      <c r="F71" s="6" t="s">
        <v>285</v>
      </c>
      <c r="G71" s="27">
        <v>6</v>
      </c>
      <c r="H71" s="7" t="s">
        <v>277</v>
      </c>
      <c r="I71" s="7" t="s">
        <v>578</v>
      </c>
      <c r="J71" s="7" t="s">
        <v>250</v>
      </c>
      <c r="K71" s="7" t="s">
        <v>0</v>
      </c>
      <c r="L71" s="7" t="s">
        <v>0</v>
      </c>
      <c r="M71" s="43">
        <v>11</v>
      </c>
      <c r="N71" s="9">
        <v>115</v>
      </c>
      <c r="O71" s="9">
        <f t="shared" si="23"/>
        <v>2.1910442715746297</v>
      </c>
      <c r="P71" s="9">
        <v>115</v>
      </c>
      <c r="Q71" s="9">
        <f t="shared" si="24"/>
        <v>2.1910442715746297</v>
      </c>
      <c r="R71" s="9">
        <v>115</v>
      </c>
      <c r="S71" s="9">
        <f t="shared" si="25"/>
        <v>2.1910442715746297</v>
      </c>
      <c r="T71" s="9" t="s">
        <v>0</v>
      </c>
      <c r="U71" s="9" t="str">
        <f t="shared" si="26"/>
        <v>-</v>
      </c>
      <c r="V71" s="9" t="s">
        <v>0</v>
      </c>
      <c r="W71" s="9" t="str">
        <f t="shared" si="27"/>
        <v>-</v>
      </c>
      <c r="X71" s="9" t="s">
        <v>0</v>
      </c>
      <c r="Y71" s="9" t="str">
        <f t="shared" si="28"/>
        <v>-</v>
      </c>
      <c r="Z71" s="9" t="s">
        <v>0</v>
      </c>
      <c r="AA71" s="9" t="str">
        <f t="shared" si="29"/>
        <v>-</v>
      </c>
      <c r="AB71" s="9" t="s">
        <v>0</v>
      </c>
      <c r="AC71" s="9" t="str">
        <f t="shared" si="30"/>
        <v>-</v>
      </c>
      <c r="AD71" s="9" t="s">
        <v>0</v>
      </c>
      <c r="AE71" s="12" t="str">
        <f t="shared" si="31"/>
        <v>-</v>
      </c>
      <c r="AF71" s="29">
        <v>3</v>
      </c>
      <c r="AG71" s="29" t="s">
        <v>265</v>
      </c>
      <c r="AH71" s="8">
        <v>37.799999999999997</v>
      </c>
      <c r="AI71" s="29">
        <v>0.9</v>
      </c>
      <c r="AJ71" s="32">
        <v>0.99</v>
      </c>
      <c r="AK71" s="29">
        <v>15</v>
      </c>
      <c r="AL71" s="32">
        <v>1</v>
      </c>
      <c r="AM71" s="29">
        <v>1.2</v>
      </c>
      <c r="AN71" s="32">
        <v>1</v>
      </c>
      <c r="AO71" s="29">
        <v>3</v>
      </c>
      <c r="AP71" s="32">
        <v>0.15</v>
      </c>
      <c r="AQ71" s="32">
        <v>0.75</v>
      </c>
      <c r="AR71" s="9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85.387499999999989</v>
      </c>
      <c r="AS71" s="9">
        <f t="shared" si="32"/>
        <v>1.626850371644162</v>
      </c>
      <c r="AT71" s="9">
        <f>IF(RIGHT(TWZ[[#This Row],[Device type]],7)="Winding","-",TWZ[[#This Row],[Cont Winter MVA]])</f>
        <v>2.1910442715746297</v>
      </c>
      <c r="AU71" s="9">
        <f>IF(RIGHT(TWZ[[#This Row],[Device type]],7)="Winding","-",TWZ[[#This Row],[Cont Shoulder MVA]])</f>
        <v>2.1910442715746297</v>
      </c>
      <c r="AV71" s="9">
        <f>IF(RIGHT(TWZ[[#This Row],[Device type]],7)="Winding","-",TWZ[[#This Row],[Cont Summer MVA]])</f>
        <v>2.1910442715746297</v>
      </c>
      <c r="AW71" s="9" t="str">
        <f>TWZ[[#This Row],[24 Hr Winter MVA]]</f>
        <v>-</v>
      </c>
      <c r="AX71" s="9" t="str">
        <f>TWZ[[#This Row],[24 Hr Summer MVA]]</f>
        <v>-</v>
      </c>
      <c r="AY71" s="9" t="str">
        <f>TWZ[[#This Row],[Forwards MVA]]</f>
        <v>-</v>
      </c>
      <c r="AZ71" s="9" t="str">
        <f>TWZ[[#This Row],[Relay MVA]]</f>
        <v>-</v>
      </c>
      <c r="BA71" s="9" t="str">
        <f>TWZ[[#This Row],[CT MVA]]</f>
        <v>-</v>
      </c>
      <c r="BB71" s="9">
        <f>TWZ[[#This Row],[Derating MVA]]</f>
        <v>1.626850371644162</v>
      </c>
      <c r="BC71" s="9" t="str">
        <f>TWZ[[#This Row],[Station/Feeder]]&amp;TWZ[[#This Row],[Lowest MVA]]</f>
        <v>Z3_Industrial1.62685037164416</v>
      </c>
      <c r="BD71" s="9" t="str">
        <f>CONCATENATE(TWZ[[#This Row],[Supply Level]],TWZ[[#This Row],[Station/Feeder]],TWZ[[#This Row],[Voltage]],TWZ[[#This Row],[Lowest A-No PTX]])</f>
        <v>DistributionFeederZ3_Industrial1185.3875</v>
      </c>
      <c r="BE71" s="9" t="str">
        <f>CONCATENATE(TWZ[[#This Row],[Supply Level]],TWZ[[#This Row],[Station/Feeder]],TWZ[[#This Row],[Voltage]],TWZ[[#This Row],[Lowest A-PTX]])</f>
        <v>DistributionFeederZ3_Industrial1185.3875</v>
      </c>
      <c r="BF71" s="9">
        <f>IFERROR(IF(MIN(TWZ[[#This Row],[Summ Cont Winter A]:[Cable Derating]])=0,"",MIN(TWZ[[#This Row],[Summ Cont Winter A]:[Cable Derating]])),"")</f>
        <v>1.626850371644162</v>
      </c>
      <c r="BG71" s="9">
        <f>IFERROR(TWZ[[#This Row],[Lowest MVA]]*1000/(TWZ[[#This Row],[Voltage]]*SQRT(3)),"")</f>
        <v>85.387499999999974</v>
      </c>
      <c r="BH71" s="9">
        <f t="shared" si="33"/>
        <v>85.387499999999989</v>
      </c>
      <c r="BI71" s="9" t="str">
        <f>TWZ[[#This Row],[From]]</f>
        <v>11 kV Bus</v>
      </c>
      <c r="BJ71" s="9" t="str">
        <f>TWZ[[#This Row],[To]]</f>
        <v>E48</v>
      </c>
      <c r="BK71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Cable-1-3c 35 mm² AL PILC</v>
      </c>
      <c r="BL71" s="9">
        <f>TWZ[[#This Row],[Voltage]]</f>
        <v>11</v>
      </c>
    </row>
    <row r="72" spans="1:64" s="1" customFormat="1" ht="15" customHeight="1" x14ac:dyDescent="0.25">
      <c r="A72" s="353" t="str">
        <f>CONCATENATE(TWZ[[#This Row],[Supply Level]],TWZ[[#This Row],[Station/Feeder]],TWZ[[#This Row],[Voltage]])</f>
        <v>DistributionFeederZ3_Industrial11</v>
      </c>
      <c r="B72" s="354" t="str">
        <f>CONCATENATE(TWZ[[#This Row],[Supply Level]],TWZ[[#This Row],[Station/Feeder]],TWZ[[#This Row],[Equipment ID]],TWZ[[#This Row],[Voltage]],TWZ[[#This Row],[Device type]])</f>
        <v>DistributionFeederZ3_Industrial1-3c 0.0225 in² Cu PILC11-</v>
      </c>
      <c r="C72" s="14" t="s">
        <v>1276</v>
      </c>
      <c r="D72" s="11" t="s">
        <v>125</v>
      </c>
      <c r="E72" s="6" t="s">
        <v>243</v>
      </c>
      <c r="F72" s="6" t="s">
        <v>285</v>
      </c>
      <c r="G72" s="27">
        <v>7</v>
      </c>
      <c r="H72" s="7" t="s">
        <v>277</v>
      </c>
      <c r="I72" s="7" t="s">
        <v>579</v>
      </c>
      <c r="J72" s="7" t="s">
        <v>250</v>
      </c>
      <c r="K72" s="7" t="s">
        <v>0</v>
      </c>
      <c r="L72" s="7" t="s">
        <v>0</v>
      </c>
      <c r="M72" s="43">
        <v>11</v>
      </c>
      <c r="N72" s="9">
        <v>100</v>
      </c>
      <c r="O72" s="9">
        <f t="shared" si="23"/>
        <v>1.9052558883257651</v>
      </c>
      <c r="P72" s="9">
        <v>100</v>
      </c>
      <c r="Q72" s="9">
        <f t="shared" si="24"/>
        <v>1.9052558883257651</v>
      </c>
      <c r="R72" s="9">
        <v>100</v>
      </c>
      <c r="S72" s="9">
        <f t="shared" si="25"/>
        <v>1.9052558883257651</v>
      </c>
      <c r="T72" s="9" t="s">
        <v>0</v>
      </c>
      <c r="U72" s="9" t="str">
        <f t="shared" si="26"/>
        <v>-</v>
      </c>
      <c r="V72" s="9" t="s">
        <v>0</v>
      </c>
      <c r="W72" s="9" t="str">
        <f t="shared" si="27"/>
        <v>-</v>
      </c>
      <c r="X72" s="9" t="s">
        <v>0</v>
      </c>
      <c r="Y72" s="9" t="str">
        <f t="shared" si="28"/>
        <v>-</v>
      </c>
      <c r="Z72" s="9" t="s">
        <v>0</v>
      </c>
      <c r="AA72" s="9" t="str">
        <f t="shared" si="29"/>
        <v>-</v>
      </c>
      <c r="AB72" s="9" t="s">
        <v>0</v>
      </c>
      <c r="AC72" s="9" t="str">
        <f t="shared" si="30"/>
        <v>-</v>
      </c>
      <c r="AD72" s="9" t="s">
        <v>0</v>
      </c>
      <c r="AE72" s="12" t="str">
        <f t="shared" si="31"/>
        <v>-</v>
      </c>
      <c r="AF72" s="29">
        <v>3</v>
      </c>
      <c r="AG72" s="29" t="s">
        <v>265</v>
      </c>
      <c r="AH72" s="8">
        <v>126.6</v>
      </c>
      <c r="AI72" s="29">
        <v>0.9</v>
      </c>
      <c r="AJ72" s="32">
        <v>0.99</v>
      </c>
      <c r="AK72" s="29">
        <v>15</v>
      </c>
      <c r="AL72" s="32">
        <v>1</v>
      </c>
      <c r="AM72" s="29">
        <v>1.2</v>
      </c>
      <c r="AN72" s="32">
        <v>1</v>
      </c>
      <c r="AO72" s="29">
        <v>1</v>
      </c>
      <c r="AP72" s="32">
        <v>0</v>
      </c>
      <c r="AQ72" s="32">
        <v>1</v>
      </c>
      <c r="AR72" s="9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99</v>
      </c>
      <c r="AS72" s="9">
        <f t="shared" si="32"/>
        <v>1.8862033294425073</v>
      </c>
      <c r="AT72" s="9">
        <f>IF(RIGHT(TWZ[[#This Row],[Device type]],7)="Winding","-",TWZ[[#This Row],[Cont Winter MVA]])</f>
        <v>1.9052558883257651</v>
      </c>
      <c r="AU72" s="9">
        <f>IF(RIGHT(TWZ[[#This Row],[Device type]],7)="Winding","-",TWZ[[#This Row],[Cont Shoulder MVA]])</f>
        <v>1.9052558883257651</v>
      </c>
      <c r="AV72" s="9">
        <f>IF(RIGHT(TWZ[[#This Row],[Device type]],7)="Winding","-",TWZ[[#This Row],[Cont Summer MVA]])</f>
        <v>1.9052558883257651</v>
      </c>
      <c r="AW72" s="9" t="str">
        <f>TWZ[[#This Row],[24 Hr Winter MVA]]</f>
        <v>-</v>
      </c>
      <c r="AX72" s="9" t="str">
        <f>TWZ[[#This Row],[24 Hr Summer MVA]]</f>
        <v>-</v>
      </c>
      <c r="AY72" s="9" t="str">
        <f>TWZ[[#This Row],[Forwards MVA]]</f>
        <v>-</v>
      </c>
      <c r="AZ72" s="9" t="str">
        <f>TWZ[[#This Row],[Relay MVA]]</f>
        <v>-</v>
      </c>
      <c r="BA72" s="9" t="str">
        <f>TWZ[[#This Row],[CT MVA]]</f>
        <v>-</v>
      </c>
      <c r="BB72" s="9">
        <f>TWZ[[#This Row],[Derating MVA]]</f>
        <v>1.8862033294425073</v>
      </c>
      <c r="BC72" s="9" t="str">
        <f>TWZ[[#This Row],[Station/Feeder]]&amp;TWZ[[#This Row],[Lowest MVA]]</f>
        <v>Z3_Industrial1.88620332944251</v>
      </c>
      <c r="BD72" s="9" t="str">
        <f>CONCATENATE(TWZ[[#This Row],[Supply Level]],TWZ[[#This Row],[Station/Feeder]],TWZ[[#This Row],[Voltage]],TWZ[[#This Row],[Lowest A-No PTX]])</f>
        <v>DistributionFeederZ3_Industrial1199</v>
      </c>
      <c r="BE72" s="9" t="str">
        <f>CONCATENATE(TWZ[[#This Row],[Supply Level]],TWZ[[#This Row],[Station/Feeder]],TWZ[[#This Row],[Voltage]],TWZ[[#This Row],[Lowest A-PTX]])</f>
        <v>DistributionFeederZ3_Industrial1199</v>
      </c>
      <c r="BF72" s="9">
        <f>IFERROR(IF(MIN(TWZ[[#This Row],[Summ Cont Winter A]:[Cable Derating]])=0,"",MIN(TWZ[[#This Row],[Summ Cont Winter A]:[Cable Derating]])),"")</f>
        <v>1.8862033294425073</v>
      </c>
      <c r="BG72" s="9">
        <f>IFERROR(TWZ[[#This Row],[Lowest MVA]]*1000/(TWZ[[#This Row],[Voltage]]*SQRT(3)),"")</f>
        <v>99</v>
      </c>
      <c r="BH72" s="9">
        <f t="shared" si="33"/>
        <v>99</v>
      </c>
      <c r="BI72" s="9" t="str">
        <f>TWZ[[#This Row],[From]]</f>
        <v>11 kV Bus</v>
      </c>
      <c r="BJ72" s="9" t="str">
        <f>TWZ[[#This Row],[To]]</f>
        <v>E48</v>
      </c>
      <c r="BK72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Cable-1-3c 0.0225 in² Cu PILC</v>
      </c>
      <c r="BL72" s="9">
        <f>TWZ[[#This Row],[Voltage]]</f>
        <v>11</v>
      </c>
    </row>
    <row r="73" spans="1:64" s="1" customFormat="1" ht="15" customHeight="1" x14ac:dyDescent="0.25">
      <c r="A73" s="353" t="str">
        <f>CONCATENATE(TWZ[[#This Row],[Supply Level]],TWZ[[#This Row],[Station/Feeder]],TWZ[[#This Row],[Voltage]])</f>
        <v>DistributionFeederZ3_Industrial11</v>
      </c>
      <c r="B73" s="354" t="str">
        <f>CONCATENATE(TWZ[[#This Row],[Supply Level]],TWZ[[#This Row],[Station/Feeder]],TWZ[[#This Row],[Equipment ID]],TWZ[[#This Row],[Voltage]],TWZ[[#This Row],[Device type]])</f>
        <v>DistributionFeederZ3_Industrial1-3c 0.04 in² Cu PILC11-</v>
      </c>
      <c r="C73" s="14" t="s">
        <v>1276</v>
      </c>
      <c r="D73" s="11" t="s">
        <v>125</v>
      </c>
      <c r="E73" s="6" t="s">
        <v>243</v>
      </c>
      <c r="F73" s="6" t="s">
        <v>285</v>
      </c>
      <c r="G73" s="27">
        <v>8</v>
      </c>
      <c r="H73" s="7" t="s">
        <v>273</v>
      </c>
      <c r="I73" s="7" t="s">
        <v>580</v>
      </c>
      <c r="J73" s="7" t="s">
        <v>250</v>
      </c>
      <c r="K73" s="7" t="s">
        <v>0</v>
      </c>
      <c r="L73" s="7" t="s">
        <v>0</v>
      </c>
      <c r="M73" s="43">
        <v>11</v>
      </c>
      <c r="N73" s="9">
        <v>125</v>
      </c>
      <c r="O73" s="9">
        <f t="shared" si="23"/>
        <v>2.3815698604072062</v>
      </c>
      <c r="P73" s="9">
        <v>125</v>
      </c>
      <c r="Q73" s="9">
        <f t="shared" si="24"/>
        <v>2.3815698604072062</v>
      </c>
      <c r="R73" s="9">
        <v>125</v>
      </c>
      <c r="S73" s="9">
        <f t="shared" si="25"/>
        <v>2.3815698604072062</v>
      </c>
      <c r="T73" s="9" t="s">
        <v>0</v>
      </c>
      <c r="U73" s="9" t="str">
        <f t="shared" si="26"/>
        <v>-</v>
      </c>
      <c r="V73" s="9" t="s">
        <v>0</v>
      </c>
      <c r="W73" s="9" t="str">
        <f t="shared" si="27"/>
        <v>-</v>
      </c>
      <c r="X73" s="9" t="s">
        <v>0</v>
      </c>
      <c r="Y73" s="9" t="str">
        <f t="shared" si="28"/>
        <v>-</v>
      </c>
      <c r="Z73" s="9" t="s">
        <v>0</v>
      </c>
      <c r="AA73" s="9" t="str">
        <f t="shared" si="29"/>
        <v>-</v>
      </c>
      <c r="AB73" s="9" t="s">
        <v>0</v>
      </c>
      <c r="AC73" s="9" t="str">
        <f t="shared" si="30"/>
        <v>-</v>
      </c>
      <c r="AD73" s="9" t="s">
        <v>0</v>
      </c>
      <c r="AE73" s="12" t="str">
        <f t="shared" si="31"/>
        <v>-</v>
      </c>
      <c r="AF73" s="29">
        <v>3</v>
      </c>
      <c r="AG73" s="29" t="s">
        <v>265</v>
      </c>
      <c r="AH73" s="8">
        <v>18.8</v>
      </c>
      <c r="AI73" s="29">
        <v>0.9</v>
      </c>
      <c r="AJ73" s="32">
        <v>0.99</v>
      </c>
      <c r="AK73" s="29">
        <v>15</v>
      </c>
      <c r="AL73" s="32">
        <v>1</v>
      </c>
      <c r="AM73" s="29">
        <v>1.2</v>
      </c>
      <c r="AN73" s="32">
        <v>1</v>
      </c>
      <c r="AO73" s="29">
        <v>1</v>
      </c>
      <c r="AP73" s="32">
        <v>0</v>
      </c>
      <c r="AQ73" s="32">
        <v>1</v>
      </c>
      <c r="AR73" s="9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123.75</v>
      </c>
      <c r="AS73" s="9">
        <f t="shared" si="32"/>
        <v>2.3577541618031344</v>
      </c>
      <c r="AT73" s="9">
        <f>IF(RIGHT(TWZ[[#This Row],[Device type]],7)="Winding","-",TWZ[[#This Row],[Cont Winter MVA]])</f>
        <v>2.3815698604072062</v>
      </c>
      <c r="AU73" s="9">
        <f>IF(RIGHT(TWZ[[#This Row],[Device type]],7)="Winding","-",TWZ[[#This Row],[Cont Shoulder MVA]])</f>
        <v>2.3815698604072062</v>
      </c>
      <c r="AV73" s="9">
        <f>IF(RIGHT(TWZ[[#This Row],[Device type]],7)="Winding","-",TWZ[[#This Row],[Cont Summer MVA]])</f>
        <v>2.3815698604072062</v>
      </c>
      <c r="AW73" s="9" t="str">
        <f>TWZ[[#This Row],[24 Hr Winter MVA]]</f>
        <v>-</v>
      </c>
      <c r="AX73" s="9" t="str">
        <f>TWZ[[#This Row],[24 Hr Summer MVA]]</f>
        <v>-</v>
      </c>
      <c r="AY73" s="9" t="str">
        <f>TWZ[[#This Row],[Forwards MVA]]</f>
        <v>-</v>
      </c>
      <c r="AZ73" s="9" t="str">
        <f>TWZ[[#This Row],[Relay MVA]]</f>
        <v>-</v>
      </c>
      <c r="BA73" s="9" t="str">
        <f>TWZ[[#This Row],[CT MVA]]</f>
        <v>-</v>
      </c>
      <c r="BB73" s="9">
        <f>TWZ[[#This Row],[Derating MVA]]</f>
        <v>2.3577541618031344</v>
      </c>
      <c r="BC73" s="9" t="str">
        <f>TWZ[[#This Row],[Station/Feeder]]&amp;TWZ[[#This Row],[Lowest MVA]]</f>
        <v>Z3_Industrial2.35775416180313</v>
      </c>
      <c r="BD73" s="9" t="str">
        <f>CONCATENATE(TWZ[[#This Row],[Supply Level]],TWZ[[#This Row],[Station/Feeder]],TWZ[[#This Row],[Voltage]],TWZ[[#This Row],[Lowest A-No PTX]])</f>
        <v>DistributionFeederZ3_Industrial11123.75</v>
      </c>
      <c r="BE73" s="9" t="str">
        <f>CONCATENATE(TWZ[[#This Row],[Supply Level]],TWZ[[#This Row],[Station/Feeder]],TWZ[[#This Row],[Voltage]],TWZ[[#This Row],[Lowest A-PTX]])</f>
        <v>DistributionFeederZ3_Industrial11123.75</v>
      </c>
      <c r="BF73" s="9">
        <f>IFERROR(IF(MIN(TWZ[[#This Row],[Summ Cont Winter A]:[Cable Derating]])=0,"",MIN(TWZ[[#This Row],[Summ Cont Winter A]:[Cable Derating]])),"")</f>
        <v>2.3577541618031344</v>
      </c>
      <c r="BG73" s="9">
        <f>IFERROR(TWZ[[#This Row],[Lowest MVA]]*1000/(TWZ[[#This Row],[Voltage]]*SQRT(3)),"")</f>
        <v>123.75</v>
      </c>
      <c r="BH73" s="9">
        <f t="shared" si="33"/>
        <v>123.75</v>
      </c>
      <c r="BI73" s="9" t="str">
        <f>TWZ[[#This Row],[From]]</f>
        <v>11 kV Bus</v>
      </c>
      <c r="BJ73" s="9" t="str">
        <f>TWZ[[#This Row],[To]]</f>
        <v>E48</v>
      </c>
      <c r="BK73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Cable-1-3c 0.04 in² Cu PILC</v>
      </c>
      <c r="BL73" s="9">
        <f>TWZ[[#This Row],[Voltage]]</f>
        <v>11</v>
      </c>
    </row>
    <row r="74" spans="1:64" s="1" customFormat="1" x14ac:dyDescent="0.25">
      <c r="A74" s="353" t="str">
        <f>CONCATENATE(TWZ[[#This Row],[Supply Level]],TWZ[[#This Row],[Station/Feeder]],TWZ[[#This Row],[Voltage]])</f>
        <v>DistributionFeederZ4_Twizel Rural11</v>
      </c>
      <c r="B74" s="354" t="str">
        <f>CONCATENATE(TWZ[[#This Row],[Supply Level]],TWZ[[#This Row],[Station/Feeder]],TWZ[[#This Row],[Equipment ID]],TWZ[[#This Row],[Voltage]],TWZ[[#This Row],[Device type]])</f>
        <v>DistributionFeederZ4_Twizel RuralTVS-Z411Protection</v>
      </c>
      <c r="C74" s="14" t="s">
        <v>1276</v>
      </c>
      <c r="D74" s="11" t="s">
        <v>133</v>
      </c>
      <c r="E74" s="6" t="s">
        <v>243</v>
      </c>
      <c r="F74" s="6" t="s">
        <v>292</v>
      </c>
      <c r="G74" s="27">
        <v>1</v>
      </c>
      <c r="H74" s="7" t="s">
        <v>274</v>
      </c>
      <c r="I74" s="7" t="s">
        <v>2589</v>
      </c>
      <c r="J74" s="7" t="s">
        <v>15</v>
      </c>
      <c r="K74" s="7" t="s">
        <v>1128</v>
      </c>
      <c r="L74" s="7" t="s">
        <v>1423</v>
      </c>
      <c r="M74" s="43">
        <v>11</v>
      </c>
      <c r="N74" s="9" t="s">
        <v>0</v>
      </c>
      <c r="O74" s="9" t="str">
        <f t="shared" si="23"/>
        <v>-</v>
      </c>
      <c r="P74" s="9" t="s">
        <v>0</v>
      </c>
      <c r="Q74" s="9" t="str">
        <f t="shared" si="24"/>
        <v>-</v>
      </c>
      <c r="R74" s="9" t="s">
        <v>0</v>
      </c>
      <c r="S74" s="9" t="str">
        <f t="shared" si="25"/>
        <v>-</v>
      </c>
      <c r="T74" s="9" t="s">
        <v>0</v>
      </c>
      <c r="U74" s="9" t="str">
        <f t="shared" si="26"/>
        <v>-</v>
      </c>
      <c r="V74" s="9" t="s">
        <v>0</v>
      </c>
      <c r="W74" s="9" t="str">
        <f t="shared" si="27"/>
        <v>-</v>
      </c>
      <c r="X74" s="9">
        <f>VLOOKUP(TWZ[[#This Row],[Equipment ID]],AEL_Protection_Data[#All],11,0)</f>
        <v>152</v>
      </c>
      <c r="Y74" s="9">
        <f t="shared" si="28"/>
        <v>2.8959889502551626</v>
      </c>
      <c r="Z74" s="9">
        <v>152</v>
      </c>
      <c r="AA74" s="9">
        <f t="shared" si="29"/>
        <v>2.8959889502551626</v>
      </c>
      <c r="AB74" s="9" t="s">
        <v>0</v>
      </c>
      <c r="AC74" s="9" t="str">
        <f t="shared" si="30"/>
        <v>-</v>
      </c>
      <c r="AD74" s="9" t="s">
        <v>0</v>
      </c>
      <c r="AE74" s="12" t="str">
        <f t="shared" si="31"/>
        <v>-</v>
      </c>
      <c r="AF74" s="29" t="s">
        <v>0</v>
      </c>
      <c r="AG74" s="29" t="s">
        <v>0</v>
      </c>
      <c r="AH74" s="8" t="s">
        <v>0</v>
      </c>
      <c r="AI74" s="29" t="s">
        <v>0</v>
      </c>
      <c r="AJ74" s="32" t="s">
        <v>0</v>
      </c>
      <c r="AK74" s="29" t="s">
        <v>0</v>
      </c>
      <c r="AL74" s="32" t="s">
        <v>0</v>
      </c>
      <c r="AM74" s="29" t="s">
        <v>0</v>
      </c>
      <c r="AN74" s="32" t="s">
        <v>0</v>
      </c>
      <c r="AO74" s="29" t="s">
        <v>0</v>
      </c>
      <c r="AP74" s="32" t="s">
        <v>0</v>
      </c>
      <c r="AQ74" s="32" t="s">
        <v>0</v>
      </c>
      <c r="AR74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74" s="9" t="str">
        <f t="shared" si="32"/>
        <v>-</v>
      </c>
      <c r="AT74" s="9" t="str">
        <f>IF(RIGHT(TWZ[[#This Row],[Device type]],7)="Winding","-",TWZ[[#This Row],[Cont Winter MVA]])</f>
        <v>-</v>
      </c>
      <c r="AU74" s="9" t="str">
        <f>IF(RIGHT(TWZ[[#This Row],[Device type]],7)="Winding","-",TWZ[[#This Row],[Cont Shoulder MVA]])</f>
        <v>-</v>
      </c>
      <c r="AV74" s="9" t="str">
        <f>IF(RIGHT(TWZ[[#This Row],[Device type]],7)="Winding","-",TWZ[[#This Row],[Cont Summer MVA]])</f>
        <v>-</v>
      </c>
      <c r="AW74" s="9" t="str">
        <f>TWZ[[#This Row],[24 Hr Winter MVA]]</f>
        <v>-</v>
      </c>
      <c r="AX74" s="9" t="str">
        <f>TWZ[[#This Row],[24 Hr Summer MVA]]</f>
        <v>-</v>
      </c>
      <c r="AY74" s="9">
        <f>TWZ[[#This Row],[Forwards MVA]]</f>
        <v>2.8959889502551626</v>
      </c>
      <c r="AZ74" s="9" t="str">
        <f>TWZ[[#This Row],[Relay MVA]]</f>
        <v>-</v>
      </c>
      <c r="BA74" s="9" t="str">
        <f>TWZ[[#This Row],[CT MVA]]</f>
        <v>-</v>
      </c>
      <c r="BB74" s="9" t="str">
        <f>TWZ[[#This Row],[Derating MVA]]</f>
        <v>-</v>
      </c>
      <c r="BC74" s="9" t="str">
        <f>TWZ[[#This Row],[Station/Feeder]]&amp;TWZ[[#This Row],[Lowest MVA]]</f>
        <v>Z4_Twizel Rural2.89598895025516</v>
      </c>
      <c r="BD74" s="9" t="str">
        <f>CONCATENATE(TWZ[[#This Row],[Supply Level]],TWZ[[#This Row],[Station/Feeder]],TWZ[[#This Row],[Voltage]],TWZ[[#This Row],[Lowest A-No PTX]])</f>
        <v>DistributionFeederZ4_Twizel Rural11152</v>
      </c>
      <c r="BE74" s="9" t="str">
        <f>CONCATENATE(TWZ[[#This Row],[Supply Level]],TWZ[[#This Row],[Station/Feeder]],TWZ[[#This Row],[Voltage]],TWZ[[#This Row],[Lowest A-PTX]])</f>
        <v>DistributionFeederZ4_Twizel Rural11152</v>
      </c>
      <c r="BF74" s="9">
        <f>IFERROR(IF(MIN(TWZ[[#This Row],[Summ Cont Winter A]:[Cable Derating]])=0,"",MIN(TWZ[[#This Row],[Summ Cont Winter A]:[Cable Derating]])),"")</f>
        <v>2.8959889502551626</v>
      </c>
      <c r="BG74" s="9">
        <f>IFERROR(TWZ[[#This Row],[Lowest MVA]]*1000/(TWZ[[#This Row],[Voltage]]*SQRT(3)),"")</f>
        <v>152</v>
      </c>
      <c r="BH74" s="9">
        <f t="shared" si="33"/>
        <v>152</v>
      </c>
      <c r="BI74" s="9" t="str">
        <f>TWZ[[#This Row],[From]]</f>
        <v>11 kV Bus</v>
      </c>
      <c r="BJ74" s="9" t="str">
        <f>TWZ[[#This Row],[To]]</f>
        <v>Z401</v>
      </c>
      <c r="BK74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Circuit Breaker-TVS-Z4-Protection</v>
      </c>
      <c r="BL74" s="9">
        <f>TWZ[[#This Row],[Voltage]]</f>
        <v>11</v>
      </c>
    </row>
    <row r="75" spans="1:64" s="1" customFormat="1" ht="15" customHeight="1" x14ac:dyDescent="0.25">
      <c r="A75" s="353" t="str">
        <f>CONCATENATE(TWZ[[#This Row],[Supply Level]],TWZ[[#This Row],[Station/Feeder]],TWZ[[#This Row],[Voltage]])</f>
        <v>DistributionFeederZ4_Twizel Rural11</v>
      </c>
      <c r="B75" s="354" t="str">
        <f>CONCATENATE(TWZ[[#This Row],[Supply Level]],TWZ[[#This Row],[Station/Feeder]],TWZ[[#This Row],[Equipment ID]],TWZ[[#This Row],[Voltage]],TWZ[[#This Row],[Device type]])</f>
        <v>DistributionFeederZ4_Twizel Rural1-3c 150 mm² Cu XLPE11-</v>
      </c>
      <c r="C75" s="14" t="s">
        <v>1276</v>
      </c>
      <c r="D75" s="11" t="s">
        <v>133</v>
      </c>
      <c r="E75" s="6" t="s">
        <v>243</v>
      </c>
      <c r="F75" s="6" t="s">
        <v>2850</v>
      </c>
      <c r="G75" s="27">
        <v>2</v>
      </c>
      <c r="H75" s="7" t="s">
        <v>277</v>
      </c>
      <c r="I75" s="7" t="s">
        <v>577</v>
      </c>
      <c r="J75" s="7" t="s">
        <v>250</v>
      </c>
      <c r="K75" s="7" t="s">
        <v>0</v>
      </c>
      <c r="L75" s="7" t="s">
        <v>0</v>
      </c>
      <c r="M75" s="43">
        <v>11</v>
      </c>
      <c r="N75" s="9">
        <v>414</v>
      </c>
      <c r="O75" s="9">
        <f t="shared" si="23"/>
        <v>7.887759377668667</v>
      </c>
      <c r="P75" s="9">
        <v>414</v>
      </c>
      <c r="Q75" s="9">
        <f t="shared" si="24"/>
        <v>7.887759377668667</v>
      </c>
      <c r="R75" s="9">
        <v>414</v>
      </c>
      <c r="S75" s="9">
        <f t="shared" si="25"/>
        <v>7.887759377668667</v>
      </c>
      <c r="T75" s="9" t="s">
        <v>0</v>
      </c>
      <c r="U75" s="9" t="str">
        <f t="shared" si="26"/>
        <v>-</v>
      </c>
      <c r="V75" s="9" t="s">
        <v>0</v>
      </c>
      <c r="W75" s="9" t="str">
        <f t="shared" si="27"/>
        <v>-</v>
      </c>
      <c r="X75" s="9" t="s">
        <v>0</v>
      </c>
      <c r="Y75" s="9" t="str">
        <f t="shared" si="28"/>
        <v>-</v>
      </c>
      <c r="Z75" s="9" t="s">
        <v>0</v>
      </c>
      <c r="AA75" s="9" t="str">
        <f t="shared" si="29"/>
        <v>-</v>
      </c>
      <c r="AB75" s="9" t="s">
        <v>0</v>
      </c>
      <c r="AC75" s="9" t="str">
        <f t="shared" si="30"/>
        <v>-</v>
      </c>
      <c r="AD75" s="9" t="s">
        <v>0</v>
      </c>
      <c r="AE75" s="12" t="str">
        <f t="shared" si="31"/>
        <v>-</v>
      </c>
      <c r="AF75" s="29">
        <v>3</v>
      </c>
      <c r="AG75" s="29" t="s">
        <v>265</v>
      </c>
      <c r="AH75" s="8">
        <v>12.5</v>
      </c>
      <c r="AI75" s="29">
        <v>1</v>
      </c>
      <c r="AJ75" s="32">
        <v>0.98</v>
      </c>
      <c r="AK75" s="29">
        <v>15</v>
      </c>
      <c r="AL75" s="32">
        <v>1</v>
      </c>
      <c r="AM75" s="29">
        <v>1.2</v>
      </c>
      <c r="AN75" s="32">
        <v>1</v>
      </c>
      <c r="AO75" s="29">
        <v>4</v>
      </c>
      <c r="AP75" s="32">
        <v>0.5</v>
      </c>
      <c r="AQ75" s="32">
        <v>0.83499999999999996</v>
      </c>
      <c r="AR75" s="9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338.77619999999996</v>
      </c>
      <c r="AS75" s="9">
        <f t="shared" si="32"/>
        <v>6.4545534987462689</v>
      </c>
      <c r="AT75" s="9">
        <f>IF(RIGHT(TWZ[[#This Row],[Device type]],7)="Winding","-",TWZ[[#This Row],[Cont Winter MVA]])</f>
        <v>7.887759377668667</v>
      </c>
      <c r="AU75" s="9">
        <f>IF(RIGHT(TWZ[[#This Row],[Device type]],7)="Winding","-",TWZ[[#This Row],[Cont Shoulder MVA]])</f>
        <v>7.887759377668667</v>
      </c>
      <c r="AV75" s="9">
        <f>IF(RIGHT(TWZ[[#This Row],[Device type]],7)="Winding","-",TWZ[[#This Row],[Cont Summer MVA]])</f>
        <v>7.887759377668667</v>
      </c>
      <c r="AW75" s="9" t="str">
        <f>TWZ[[#This Row],[24 Hr Winter MVA]]</f>
        <v>-</v>
      </c>
      <c r="AX75" s="9" t="str">
        <f>TWZ[[#This Row],[24 Hr Summer MVA]]</f>
        <v>-</v>
      </c>
      <c r="AY75" s="9" t="str">
        <f>TWZ[[#This Row],[Forwards MVA]]</f>
        <v>-</v>
      </c>
      <c r="AZ75" s="9" t="str">
        <f>TWZ[[#This Row],[Relay MVA]]</f>
        <v>-</v>
      </c>
      <c r="BA75" s="9" t="str">
        <f>TWZ[[#This Row],[CT MVA]]</f>
        <v>-</v>
      </c>
      <c r="BB75" s="9">
        <f>TWZ[[#This Row],[Derating MVA]]</f>
        <v>6.4545534987462689</v>
      </c>
      <c r="BC75" s="9" t="str">
        <f>TWZ[[#This Row],[Station/Feeder]]&amp;TWZ[[#This Row],[Lowest MVA]]</f>
        <v>Z4_Twizel Rural6.45455349874627</v>
      </c>
      <c r="BD75" s="9" t="str">
        <f>CONCATENATE(TWZ[[#This Row],[Supply Level]],TWZ[[#This Row],[Station/Feeder]],TWZ[[#This Row],[Voltage]],TWZ[[#This Row],[Lowest A-No PTX]])</f>
        <v>DistributionFeederZ4_Twizel Rural11338.7762</v>
      </c>
      <c r="BE75" s="9" t="str">
        <f>CONCATENATE(TWZ[[#This Row],[Supply Level]],TWZ[[#This Row],[Station/Feeder]],TWZ[[#This Row],[Voltage]],TWZ[[#This Row],[Lowest A-PTX]])</f>
        <v>DistributionFeederZ4_Twizel Rural11338.7762</v>
      </c>
      <c r="BF75" s="9">
        <f>IFERROR(IF(MIN(TWZ[[#This Row],[Summ Cont Winter A]:[Cable Derating]])=0,"",MIN(TWZ[[#This Row],[Summ Cont Winter A]:[Cable Derating]])),"")</f>
        <v>6.4545534987462689</v>
      </c>
      <c r="BG75" s="9">
        <f>IFERROR(TWZ[[#This Row],[Lowest MVA]]*1000/(TWZ[[#This Row],[Voltage]]*SQRT(3)),"")</f>
        <v>338.7761999999999</v>
      </c>
      <c r="BH75" s="9">
        <f t="shared" si="33"/>
        <v>338.77619999999996</v>
      </c>
      <c r="BI75" s="9" t="str">
        <f>TWZ[[#This Row],[From]]</f>
        <v>11 kV Bus</v>
      </c>
      <c r="BJ75" s="9" t="str">
        <f>TWZ[[#This Row],[To]]</f>
        <v>Pole 18576</v>
      </c>
      <c r="BK75" s="46" t="str">
        <f>IF(TWZ[[#This Row],[Device type]]="-",TWZ[[#This Row],[Equipment Type]]&amp;"-"&amp;TWZ[[#This Row],[Equipment ID]],TWZ[[#This Row],[Equipment Type]]&amp;"-"&amp;TWZ[[#This Row],[Equipment ID]]&amp;"-"&amp;TWZ[[#This Row],[Device type]])</f>
        <v>Cable-1-3c 150 mm² Cu XLPE</v>
      </c>
      <c r="BL75" s="9">
        <f>TWZ[[#This Row],[Voltage]]</f>
        <v>11</v>
      </c>
    </row>
    <row r="76" spans="1:64" s="1" customFormat="1" ht="15" customHeight="1" x14ac:dyDescent="0.25">
      <c r="A76" s="353" t="str">
        <f>CONCATENATE(TWZ[[#This Row],[Supply Level]],TWZ[[#This Row],[Station/Feeder]],TWZ[[#This Row],[Voltage]])</f>
        <v>DistributionFeederZ4_Twizel Rural11</v>
      </c>
      <c r="B76" s="354" t="str">
        <f>CONCATENATE(TWZ[[#This Row],[Supply Level]],TWZ[[#This Row],[Station/Feeder]],TWZ[[#This Row],[Equipment ID]],TWZ[[#This Row],[Voltage]],TWZ[[#This Row],[Device type]])</f>
        <v>DistributionFeederZ4_Twizel RuralZ40111-</v>
      </c>
      <c r="C76" s="14" t="s">
        <v>1276</v>
      </c>
      <c r="D76" s="13" t="s">
        <v>133</v>
      </c>
      <c r="E76" s="14" t="s">
        <v>243</v>
      </c>
      <c r="F76" s="6" t="s">
        <v>2850</v>
      </c>
      <c r="G76" s="28">
        <v>3</v>
      </c>
      <c r="H76" s="39" t="s">
        <v>273</v>
      </c>
      <c r="I76" s="39" t="s">
        <v>292</v>
      </c>
      <c r="J76" s="39" t="s">
        <v>249</v>
      </c>
      <c r="K76" s="39" t="s">
        <v>0</v>
      </c>
      <c r="L76" s="39" t="s">
        <v>0</v>
      </c>
      <c r="M76" s="138">
        <v>11</v>
      </c>
      <c r="N76" s="16" t="s">
        <v>0</v>
      </c>
      <c r="O76" s="16" t="str">
        <f t="shared" si="23"/>
        <v>-</v>
      </c>
      <c r="P76" s="16" t="s">
        <v>0</v>
      </c>
      <c r="Q76" s="16" t="str">
        <f t="shared" si="24"/>
        <v>-</v>
      </c>
      <c r="R76" s="16" t="s">
        <v>0</v>
      </c>
      <c r="S76" s="16" t="str">
        <f t="shared" si="25"/>
        <v>-</v>
      </c>
      <c r="T76" s="16" t="s">
        <v>0</v>
      </c>
      <c r="U76" s="16" t="str">
        <f t="shared" si="26"/>
        <v>-</v>
      </c>
      <c r="V76" s="16" t="s">
        <v>0</v>
      </c>
      <c r="W76" s="16" t="str">
        <f t="shared" si="27"/>
        <v>-</v>
      </c>
      <c r="X76" s="16" t="s">
        <v>0</v>
      </c>
      <c r="Y76" s="16" t="str">
        <f t="shared" si="28"/>
        <v>-</v>
      </c>
      <c r="Z76" s="16" t="s">
        <v>0</v>
      </c>
      <c r="AA76" s="16" t="str">
        <f t="shared" si="29"/>
        <v>-</v>
      </c>
      <c r="AB76" s="16" t="s">
        <v>0</v>
      </c>
      <c r="AC76" s="16" t="str">
        <f t="shared" si="30"/>
        <v>-</v>
      </c>
      <c r="AD76" s="16" t="s">
        <v>0</v>
      </c>
      <c r="AE76" s="17" t="str">
        <f t="shared" si="31"/>
        <v>-</v>
      </c>
      <c r="AF76" s="16" t="s">
        <v>0</v>
      </c>
      <c r="AG76" s="16" t="s">
        <v>0</v>
      </c>
      <c r="AH76" s="15" t="s">
        <v>0</v>
      </c>
      <c r="AI76" s="16" t="s">
        <v>0</v>
      </c>
      <c r="AJ76" s="127" t="s">
        <v>0</v>
      </c>
      <c r="AK76" s="16" t="s">
        <v>0</v>
      </c>
      <c r="AL76" s="127" t="s">
        <v>0</v>
      </c>
      <c r="AM76" s="16" t="s">
        <v>0</v>
      </c>
      <c r="AN76" s="127" t="s">
        <v>0</v>
      </c>
      <c r="AO76" s="16" t="s">
        <v>0</v>
      </c>
      <c r="AP76" s="138" t="s">
        <v>0</v>
      </c>
      <c r="AQ76" s="127" t="s">
        <v>0</v>
      </c>
      <c r="AR76" s="16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76" s="16" t="str">
        <f t="shared" si="32"/>
        <v>-</v>
      </c>
      <c r="AT76" s="16" t="str">
        <f>IF(RIGHT(TWZ[[#This Row],[Device type]],7)="Winding","-",TWZ[[#This Row],[Cont Winter MVA]])</f>
        <v>-</v>
      </c>
      <c r="AU76" s="16" t="str">
        <f>IF(RIGHT(TWZ[[#This Row],[Device type]],7)="Winding","-",TWZ[[#This Row],[Cont Shoulder MVA]])</f>
        <v>-</v>
      </c>
      <c r="AV76" s="16" t="str">
        <f>IF(RIGHT(TWZ[[#This Row],[Device type]],7)="Winding","-",TWZ[[#This Row],[Cont Summer MVA]])</f>
        <v>-</v>
      </c>
      <c r="AW76" s="16" t="str">
        <f>TWZ[[#This Row],[24 Hr Winter MVA]]</f>
        <v>-</v>
      </c>
      <c r="AX76" s="16" t="str">
        <f>TWZ[[#This Row],[24 Hr Summer MVA]]</f>
        <v>-</v>
      </c>
      <c r="AY76" s="16" t="str">
        <f>TWZ[[#This Row],[Forwards MVA]]</f>
        <v>-</v>
      </c>
      <c r="AZ76" s="16" t="str">
        <f>TWZ[[#This Row],[Relay MVA]]</f>
        <v>-</v>
      </c>
      <c r="BA76" s="16" t="str">
        <f>TWZ[[#This Row],[CT MVA]]</f>
        <v>-</v>
      </c>
      <c r="BB76" s="16" t="str">
        <f>TWZ[[#This Row],[Derating MVA]]</f>
        <v>-</v>
      </c>
      <c r="BC76" s="16" t="str">
        <f>TWZ[[#This Row],[Station/Feeder]]&amp;TWZ[[#This Row],[Lowest MVA]]</f>
        <v>Z4_Twizel Rural</v>
      </c>
      <c r="BD76" s="16" t="str">
        <f>CONCATENATE(TWZ[[#This Row],[Supply Level]],TWZ[[#This Row],[Station/Feeder]],TWZ[[#This Row],[Voltage]],TWZ[[#This Row],[Lowest A-No PTX]])</f>
        <v>DistributionFeederZ4_Twizel Rural11</v>
      </c>
      <c r="BE76" s="16" t="str">
        <f>CONCATENATE(TWZ[[#This Row],[Supply Level]],TWZ[[#This Row],[Station/Feeder]],TWZ[[#This Row],[Voltage]],TWZ[[#This Row],[Lowest A-PTX]])</f>
        <v>DistributionFeederZ4_Twizel Rural11</v>
      </c>
      <c r="BF76" s="16" t="str">
        <f>IFERROR(IF(MIN(TWZ[[#This Row],[Summ Cont Winter A]:[Cable Derating]])=0,"",MIN(TWZ[[#This Row],[Summ Cont Winter A]:[Cable Derating]])),"")</f>
        <v/>
      </c>
      <c r="BG76" s="16" t="str">
        <f>IFERROR(TWZ[[#This Row],[Lowest MVA]]*1000/(TWZ[[#This Row],[Voltage]]*SQRT(3)),"")</f>
        <v/>
      </c>
      <c r="BH76" s="16" t="str">
        <f t="shared" si="33"/>
        <v/>
      </c>
      <c r="BI76" s="16" t="str">
        <f>TWZ[[#This Row],[From]]</f>
        <v>11 kV Bus</v>
      </c>
      <c r="BJ76" s="16" t="str">
        <f>TWZ[[#This Row],[To]]</f>
        <v>Pole 18576</v>
      </c>
      <c r="BK76" s="129" t="str">
        <f>IF(TWZ[[#This Row],[Device type]]="-",TWZ[[#This Row],[Equipment Type]]&amp;"-"&amp;TWZ[[#This Row],[Equipment ID]],TWZ[[#This Row],[Equipment Type]]&amp;"-"&amp;TWZ[[#This Row],[Equipment ID]]&amp;"-"&amp;TWZ[[#This Row],[Device type]])</f>
        <v>Link-Z401</v>
      </c>
      <c r="BL76" s="16">
        <f>TWZ[[#This Row],[Voltage]]</f>
        <v>11</v>
      </c>
    </row>
    <row r="77" spans="1:64" s="1" customFormat="1" ht="15" customHeight="1" x14ac:dyDescent="0.25">
      <c r="A77" s="353" t="str">
        <f>CONCATENATE(TWZ[[#This Row],[Supply Level]],TWZ[[#This Row],[Station/Feeder]],TWZ[[#This Row],[Voltage]])</f>
        <v>DistributionFeederZ4_Twizel Rural11</v>
      </c>
      <c r="B77" s="354" t="str">
        <f>CONCATENATE(TWZ[[#This Row],[Supply Level]],TWZ[[#This Row],[Station/Feeder]],TWZ[[#This Row],[Equipment ID]],TWZ[[#This Row],[Voltage]],TWZ[[#This Row],[Device type]])</f>
        <v>DistributionFeederZ4_Twizel Rural1-3c 300 mm² AL XLPE11-</v>
      </c>
      <c r="C77" s="14" t="s">
        <v>1276</v>
      </c>
      <c r="D77" s="13" t="s">
        <v>133</v>
      </c>
      <c r="E77" s="14" t="s">
        <v>496</v>
      </c>
      <c r="F77" s="6" t="s">
        <v>2850</v>
      </c>
      <c r="G77" s="8">
        <v>4</v>
      </c>
      <c r="H77" s="39" t="s">
        <v>273</v>
      </c>
      <c r="I77" s="7" t="s">
        <v>575</v>
      </c>
      <c r="J77" s="7" t="s">
        <v>250</v>
      </c>
      <c r="K77" s="7" t="s">
        <v>0</v>
      </c>
      <c r="L77" s="7" t="s">
        <v>0</v>
      </c>
      <c r="M77" s="138">
        <v>11</v>
      </c>
      <c r="N77" s="9">
        <v>476</v>
      </c>
      <c r="O77" s="9">
        <f t="shared" si="23"/>
        <v>9.0690180284306408</v>
      </c>
      <c r="P77" s="9">
        <v>476</v>
      </c>
      <c r="Q77" s="9">
        <f t="shared" si="24"/>
        <v>9.0690180284306408</v>
      </c>
      <c r="R77" s="9">
        <v>476</v>
      </c>
      <c r="S77" s="9">
        <f t="shared" si="25"/>
        <v>9.0690180284306408</v>
      </c>
      <c r="T77" s="9" t="s">
        <v>0</v>
      </c>
      <c r="U77" s="9" t="str">
        <f t="shared" si="26"/>
        <v>-</v>
      </c>
      <c r="V77" s="9" t="s">
        <v>0</v>
      </c>
      <c r="W77" s="9" t="str">
        <f t="shared" si="27"/>
        <v>-</v>
      </c>
      <c r="X77" s="9" t="s">
        <v>0</v>
      </c>
      <c r="Y77" s="9" t="str">
        <f t="shared" si="28"/>
        <v>-</v>
      </c>
      <c r="Z77" s="9" t="s">
        <v>0</v>
      </c>
      <c r="AA77" s="9" t="str">
        <f t="shared" si="29"/>
        <v>-</v>
      </c>
      <c r="AB77" s="9" t="s">
        <v>0</v>
      </c>
      <c r="AC77" s="9" t="str">
        <f t="shared" si="30"/>
        <v>-</v>
      </c>
      <c r="AD77" s="9" t="s">
        <v>0</v>
      </c>
      <c r="AE77" s="9" t="str">
        <f t="shared" si="31"/>
        <v>-</v>
      </c>
      <c r="AF77" s="9">
        <v>3</v>
      </c>
      <c r="AG77" s="9" t="s">
        <v>265</v>
      </c>
      <c r="AH77" s="9">
        <v>179.8</v>
      </c>
      <c r="AI77" s="9">
        <v>1</v>
      </c>
      <c r="AJ77" s="43">
        <v>0.98</v>
      </c>
      <c r="AK77" s="9">
        <v>15</v>
      </c>
      <c r="AL77" s="43">
        <v>1</v>
      </c>
      <c r="AM77" s="9">
        <v>1.2</v>
      </c>
      <c r="AN77" s="43">
        <v>1</v>
      </c>
      <c r="AO77" s="9">
        <v>3</v>
      </c>
      <c r="AP77" s="43">
        <v>0.5</v>
      </c>
      <c r="AQ77" s="43">
        <v>0.84499999999999997</v>
      </c>
      <c r="AR77" s="9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394.17559999999997</v>
      </c>
      <c r="AS77" s="9">
        <f t="shared" si="32"/>
        <v>7.5100538293434136</v>
      </c>
      <c r="AT77" s="9">
        <f>IF(RIGHT(TWZ[[#This Row],[Device type]],7)="Winding","-",TWZ[[#This Row],[Cont Winter MVA]])</f>
        <v>9.0690180284306408</v>
      </c>
      <c r="AU77" s="9">
        <f>IF(RIGHT(TWZ[[#This Row],[Device type]],7)="Winding","-",TWZ[[#This Row],[Cont Shoulder MVA]])</f>
        <v>9.0690180284306408</v>
      </c>
      <c r="AV77" s="9">
        <f>IF(RIGHT(TWZ[[#This Row],[Device type]],7)="Winding","-",TWZ[[#This Row],[Cont Summer MVA]])</f>
        <v>9.0690180284306408</v>
      </c>
      <c r="AW77" s="9" t="str">
        <f>TWZ[[#This Row],[24 Hr Winter MVA]]</f>
        <v>-</v>
      </c>
      <c r="AX77" s="9" t="str">
        <f>TWZ[[#This Row],[24 Hr Summer MVA]]</f>
        <v>-</v>
      </c>
      <c r="AY77" s="9" t="str">
        <f>TWZ[[#This Row],[Forwards MVA]]</f>
        <v>-</v>
      </c>
      <c r="AZ77" s="9" t="str">
        <f>TWZ[[#This Row],[Relay MVA]]</f>
        <v>-</v>
      </c>
      <c r="BA77" s="9" t="str">
        <f>TWZ[[#This Row],[CT MVA]]</f>
        <v>-</v>
      </c>
      <c r="BB77" s="9">
        <f>TWZ[[#This Row],[Derating MVA]]</f>
        <v>7.5100538293434136</v>
      </c>
      <c r="BC77" s="9" t="str">
        <f>TWZ[[#This Row],[Station/Feeder]]&amp;TWZ[[#This Row],[Lowest MVA]]</f>
        <v>Z4_Twizel Rural7.51005382934341</v>
      </c>
      <c r="BD77" s="16" t="str">
        <f>CONCATENATE(TWZ[[#This Row],[Supply Level]],TWZ[[#This Row],[Station/Feeder]],TWZ[[#This Row],[Voltage]],TWZ[[#This Row],[Lowest A-No PTX]])</f>
        <v>DistributionFeederZ4_Twizel Rural11394.1756</v>
      </c>
      <c r="BE77" s="16" t="str">
        <f>CONCATENATE(TWZ[[#This Row],[Supply Level]],TWZ[[#This Row],[Station/Feeder]],TWZ[[#This Row],[Voltage]],TWZ[[#This Row],[Lowest A-PTX]])</f>
        <v>DistributionFeederZ4_Twizel Rural11394.1756</v>
      </c>
      <c r="BF77" s="9">
        <f>IFERROR(IF(MIN(TWZ[[#This Row],[Summ Cont Winter A]:[Cable Derating]])=0,"",MIN(TWZ[[#This Row],[Summ Cont Winter A]:[Cable Derating]])),"")</f>
        <v>7.5100538293434136</v>
      </c>
      <c r="BG77" s="9">
        <f>IFERROR(TWZ[[#This Row],[Lowest MVA]]*1000/(TWZ[[#This Row],[Voltage]]*SQRT(3)),"")</f>
        <v>394.17559999999997</v>
      </c>
      <c r="BH77" s="9">
        <f>IF(MIN(N77,P77,R77,T77,V77,X77,Z77,AB77,AD77,AR77)=0,"",MIN(N77,P77,R77,T77,V77,X77,Z77,AB77,AD77,AR77))</f>
        <v>394.17559999999997</v>
      </c>
      <c r="BI77" s="9" t="str">
        <f>TWZ[[#This Row],[From]]</f>
        <v>12 kV Bus</v>
      </c>
      <c r="BJ77" s="9" t="str">
        <f>TWZ[[#This Row],[To]]</f>
        <v>Pole 18576</v>
      </c>
      <c r="BK77" s="46" t="str">
        <f>IF(TWZ[[#This Row],[Device type]]="-",TWZ[[#This Row],[Equipment Type]]&amp;" - "&amp;TWZ[[#This Row],[Equipment ID]],TWZ[[#This Row],[Equipment Type]]&amp;" - "&amp;TWZ[[#This Row],[Equipment ID]]&amp;" - "&amp;TWZ[[#This Row],[Device type]])</f>
        <v>Cable - 1-3c 300 mm² AL XLPE</v>
      </c>
      <c r="BL77" s="9">
        <f>TWZ[[#This Row],[Voltage]]</f>
        <v>11</v>
      </c>
    </row>
    <row r="78" spans="1:64" s="1" customFormat="1" ht="15" customHeight="1" x14ac:dyDescent="0.25">
      <c r="A78" s="353" t="str">
        <f>CONCATENATE(TWZ[[#This Row],[Supply Level]],TWZ[[#This Row],[Station/Feeder]],TWZ[[#This Row],[Voltage]])</f>
        <v>DistributionFeederZ4_Twizel Rural11</v>
      </c>
      <c r="B78" s="354" t="str">
        <f>CONCATENATE(TWZ[[#This Row],[Supply Level]],TWZ[[#This Row],[Station/Feeder]],TWZ[[#This Row],[Equipment ID]],TWZ[[#This Row],[Voltage]],TWZ[[#This Row],[Device type]])</f>
        <v>DistributionFeederZ4_Twizel RuralMINK11-</v>
      </c>
      <c r="C78" s="6" t="s">
        <v>1276</v>
      </c>
      <c r="D78" s="6" t="s">
        <v>133</v>
      </c>
      <c r="E78" s="6" t="s">
        <v>243</v>
      </c>
      <c r="F78" s="6" t="s">
        <v>2850</v>
      </c>
      <c r="G78" s="8">
        <v>5</v>
      </c>
      <c r="H78" s="39" t="s">
        <v>273</v>
      </c>
      <c r="I78" s="7" t="s">
        <v>282</v>
      </c>
      <c r="J78" s="7" t="s">
        <v>2851</v>
      </c>
      <c r="K78" s="7" t="s">
        <v>0</v>
      </c>
      <c r="L78" s="7" t="s">
        <v>0</v>
      </c>
      <c r="M78" s="138">
        <v>11</v>
      </c>
      <c r="N78" s="9">
        <v>251</v>
      </c>
      <c r="O78" s="9">
        <f>IF(OR(N78="",N78="-"),"-",N78*$M78*SQRT(3)/1000)</f>
        <v>4.7821922796976697</v>
      </c>
      <c r="P78" s="9" t="s">
        <v>0</v>
      </c>
      <c r="Q78" s="9" t="str">
        <f>IF(OR(P78="",P78="-"),"-",P78*$M78*SQRT(3)/1000)</f>
        <v>-</v>
      </c>
      <c r="R78" s="9">
        <v>189</v>
      </c>
      <c r="S78" s="9">
        <f>IF(OR(R78="",R78="-"),"-",R78*$M78*SQRT(3)/1000)</f>
        <v>3.6009336289356955</v>
      </c>
      <c r="T78" s="9" t="s">
        <v>0</v>
      </c>
      <c r="U78" s="9" t="str">
        <f t="shared" ref="U78" si="34">IF(OR(T78="",T78="-"),"-",T78*$M78*SQRT(3)/1000)</f>
        <v>-</v>
      </c>
      <c r="V78" s="9" t="s">
        <v>0</v>
      </c>
      <c r="W78" s="9" t="str">
        <f>IF(OR(V78="",V78="-"),"-",V78*$M78*SQRT(3)/1000)</f>
        <v>-</v>
      </c>
      <c r="X78" s="9"/>
      <c r="Y78" s="9" t="str">
        <f>IF(OR(X78="",X78="-"),"-",X78*$M78*SQRT(3)/1000)</f>
        <v>-</v>
      </c>
      <c r="Z78" s="9"/>
      <c r="AA78" s="9" t="str">
        <f>IF(OR(Z78="",Z78="-"),"-",Z78*$M78*SQRT(3)/1000)</f>
        <v>-</v>
      </c>
      <c r="AB78" s="9"/>
      <c r="AC78" s="9" t="str">
        <f>IF(OR(AB78="",AB78="-"),"-",AB78*$M78*SQRT(3)/1000)</f>
        <v>-</v>
      </c>
      <c r="AD78" s="9"/>
      <c r="AE78" s="9" t="str">
        <f>IF(OR(AD78="",AD78="-"),"-",AD78*$M78*SQRT(3)/1000)</f>
        <v>-</v>
      </c>
      <c r="AF78" s="9"/>
      <c r="AG78" s="9"/>
      <c r="AH78" s="9"/>
      <c r="AI78" s="9"/>
      <c r="AJ78" s="43"/>
      <c r="AK78" s="9"/>
      <c r="AL78" s="43"/>
      <c r="AM78" s="9"/>
      <c r="AN78" s="43"/>
      <c r="AO78" s="9"/>
      <c r="AP78" s="43"/>
      <c r="AQ78" s="43"/>
      <c r="AR78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78" s="9" t="str">
        <f>IF(OR(AR78="",AR78="-"),"-",AR78*$M78*SQRT(3)/1000)</f>
        <v>-</v>
      </c>
      <c r="AT78" s="9">
        <f>IF(RIGHT(TWZ[[#This Row],[Device type]],7)="Winding","-",TWZ[[#This Row],[Cont Winter MVA]])</f>
        <v>4.7821922796976697</v>
      </c>
      <c r="AU78" s="9" t="str">
        <f>IF(RIGHT(TWZ[[#This Row],[Device type]],7)="Winding","-",TWZ[[#This Row],[Cont Shoulder MVA]])</f>
        <v>-</v>
      </c>
      <c r="AV78" s="9">
        <f>IF(RIGHT(TWZ[[#This Row],[Device type]],7)="Winding","-",TWZ[[#This Row],[Cont Summer MVA]])</f>
        <v>3.6009336289356955</v>
      </c>
      <c r="AW78" s="9" t="str">
        <f>TWZ[[#This Row],[24 Hr Winter MVA]]</f>
        <v>-</v>
      </c>
      <c r="AX78" s="9" t="str">
        <f>TWZ[[#This Row],[24 Hr Summer MVA]]</f>
        <v>-</v>
      </c>
      <c r="AY78" s="9" t="str">
        <f>TWZ[[#This Row],[Forwards MVA]]</f>
        <v>-</v>
      </c>
      <c r="AZ78" s="9" t="str">
        <f>TWZ[[#This Row],[Relay MVA]]</f>
        <v>-</v>
      </c>
      <c r="BA78" s="9" t="str">
        <f>TWZ[[#This Row],[CT MVA]]</f>
        <v>-</v>
      </c>
      <c r="BB78" s="9" t="str">
        <f>TWZ[[#This Row],[Derating MVA]]</f>
        <v>-</v>
      </c>
      <c r="BC78" s="9" t="str">
        <f>TWZ[[#This Row],[Station/Feeder]]&amp;TWZ[[#This Row],[Lowest MVA]]</f>
        <v>Z4_Twizel Rural3.6009336289357</v>
      </c>
      <c r="BD78" s="16" t="str">
        <f>CONCATENATE(TWZ[[#This Row],[Supply Level]],TWZ[[#This Row],[Station/Feeder]],TWZ[[#This Row],[Voltage]],TWZ[[#This Row],[Lowest A-No PTX]])</f>
        <v>DistributionFeederZ4_Twizel Rural11189</v>
      </c>
      <c r="BE78" s="16" t="str">
        <f>CONCATENATE(TWZ[[#This Row],[Supply Level]],TWZ[[#This Row],[Station/Feeder]],TWZ[[#This Row],[Voltage]],TWZ[[#This Row],[Lowest A-PTX]])</f>
        <v>DistributionFeederZ4_Twizel Rural11189</v>
      </c>
      <c r="BF78" s="9">
        <f>IFERROR(IF(MIN(TWZ[[#This Row],[Summ Cont Winter A]:[Cable Derating]])=0,"",MIN(TWZ[[#This Row],[Summ Cont Winter A]:[Cable Derating]])),"")</f>
        <v>3.6009336289356955</v>
      </c>
      <c r="BG78" s="9">
        <f>IFERROR(TWZ[[#This Row],[Lowest MVA]]*1000/(TWZ[[#This Row],[Voltage]]*SQRT(3)),"")</f>
        <v>189</v>
      </c>
      <c r="BH78" s="9">
        <f>IF(MIN(N78,P78,R78,T78,V78,X78,Z78,AB78,AD78,AR78)=0,"",MIN(N78,P78,R78,T78,V78,X78,Z78,AB78,AD78,AR78))</f>
        <v>189</v>
      </c>
      <c r="BI78" s="9" t="str">
        <f>TWZ[[#This Row],[From]]</f>
        <v>11 kV Bus</v>
      </c>
      <c r="BJ78" s="9" t="str">
        <f>TWZ[[#This Row],[To]]</f>
        <v>Pole 18576</v>
      </c>
      <c r="BK78" s="46" t="str">
        <f>IF(TWZ[[#This Row],[Device type]]="-",TWZ[[#This Row],[Equipment Type]]&amp;" - "&amp;TWZ[[#This Row],[Equipment ID]],TWZ[[#This Row],[Equipment Type]]&amp;" - "&amp;TWZ[[#This Row],[Equipment ID]]&amp;" - "&amp;TWZ[[#This Row],[Device type]])</f>
        <v>OH line - MINK</v>
      </c>
      <c r="BL78" s="9">
        <f>TWZ[[#This Row],[Voltage]]</f>
        <v>11</v>
      </c>
    </row>
    <row r="79" spans="1:64" s="1" customFormat="1" ht="15" customHeight="1" x14ac:dyDescent="0.25">
      <c r="A79" s="353" t="str">
        <f>CONCATENATE(TWZ[[#This Row],[Supply Level]],TWZ[[#This Row],[Station/Feeder]],TWZ[[#This Row],[Voltage]])</f>
        <v>DistributionFeederZ5_Spare11</v>
      </c>
      <c r="B79" s="353" t="str">
        <f>CONCATENATE(TWZ[[#This Row],[Supply Level]],TWZ[[#This Row],[Station/Feeder]],TWZ[[#This Row],[Equipment ID]],TWZ[[#This Row],[Voltage]],TWZ[[#This Row],[Device type]])</f>
        <v>DistributionFeederZ5_SpareTVS-Z511-</v>
      </c>
      <c r="C79" s="6" t="s">
        <v>1276</v>
      </c>
      <c r="D79" s="6" t="s">
        <v>1404</v>
      </c>
      <c r="E79" s="6" t="s">
        <v>243</v>
      </c>
      <c r="F79" s="6" t="s">
        <v>1405</v>
      </c>
      <c r="G79" s="8">
        <v>1</v>
      </c>
      <c r="H79" s="7" t="s">
        <v>274</v>
      </c>
      <c r="I79" s="7" t="s">
        <v>2590</v>
      </c>
      <c r="J79" s="7" t="s">
        <v>15</v>
      </c>
      <c r="K79" s="7" t="s">
        <v>0</v>
      </c>
      <c r="L79" s="7" t="s">
        <v>0</v>
      </c>
      <c r="M79" s="43">
        <v>11</v>
      </c>
      <c r="N79" s="9" t="s">
        <v>0</v>
      </c>
      <c r="O79" s="9" t="str">
        <f>IF(OR(N79="",N79="-"),"-",N79*$M79*SQRT(3)/1000)</f>
        <v>-</v>
      </c>
      <c r="P79" s="9" t="s">
        <v>0</v>
      </c>
      <c r="Q79" s="9" t="str">
        <f>IF(OR(P79="",P79="-"),"-",P79*$M79*SQRT(3)/1000)</f>
        <v>-</v>
      </c>
      <c r="R79" s="9" t="s">
        <v>0</v>
      </c>
      <c r="S79" s="9" t="str">
        <f>IF(OR(R79="",R79="-"),"-",R79*$M79*SQRT(3)/1000)</f>
        <v>-</v>
      </c>
      <c r="T79" s="9" t="s">
        <v>0</v>
      </c>
      <c r="U79" s="9" t="str">
        <f>IF(OR(T79="",T79="-"),"-",T79*$M79*SQRT(3)/1000)</f>
        <v>-</v>
      </c>
      <c r="V79" s="9" t="s">
        <v>0</v>
      </c>
      <c r="W79" s="9" t="str">
        <f>IF(OR(V79="",V79="-"),"-",V79*$M79*SQRT(3)/1000)</f>
        <v>-</v>
      </c>
      <c r="X79" s="9" t="s">
        <v>0</v>
      </c>
      <c r="Y79" s="9" t="str">
        <f>IF(OR(X79="",X79="-"),"-",X79*$M79*SQRT(3)/1000)</f>
        <v>-</v>
      </c>
      <c r="Z79" s="9" t="s">
        <v>0</v>
      </c>
      <c r="AA79" s="9" t="str">
        <f>IF(OR(Z79="",Z79="-"),"-",Z79*$M79*SQRT(3)/1000)</f>
        <v>-</v>
      </c>
      <c r="AB79" s="9" t="s">
        <v>0</v>
      </c>
      <c r="AC79" s="9" t="str">
        <f>IF(OR(AB79="",AB79="-"),"-",AB79*$M79*SQRT(3)/1000)</f>
        <v>-</v>
      </c>
      <c r="AD79" s="9" t="s">
        <v>0</v>
      </c>
      <c r="AE79" s="9" t="str">
        <f>IF(OR(AD79="",AD79="-"),"-",AD79*$M79*SQRT(3)/1000)</f>
        <v>-</v>
      </c>
      <c r="AF79" s="9" t="s">
        <v>0</v>
      </c>
      <c r="AG79" s="9" t="s">
        <v>0</v>
      </c>
      <c r="AH79" s="9" t="s">
        <v>0</v>
      </c>
      <c r="AI79" s="9" t="s">
        <v>0</v>
      </c>
      <c r="AJ79" s="43" t="s">
        <v>0</v>
      </c>
      <c r="AK79" s="9" t="s">
        <v>0</v>
      </c>
      <c r="AL79" s="43" t="s">
        <v>0</v>
      </c>
      <c r="AM79" s="9" t="s">
        <v>0</v>
      </c>
      <c r="AN79" s="43" t="s">
        <v>0</v>
      </c>
      <c r="AO79" s="9" t="s">
        <v>0</v>
      </c>
      <c r="AP79" s="43" t="s">
        <v>0</v>
      </c>
      <c r="AQ79" s="43" t="s">
        <v>0</v>
      </c>
      <c r="AR79" s="9" t="s">
        <v>0</v>
      </c>
      <c r="AS79" s="9" t="s">
        <v>0</v>
      </c>
      <c r="AT79" s="9" t="s">
        <v>0</v>
      </c>
      <c r="AU79" s="9" t="s">
        <v>0</v>
      </c>
      <c r="AV79" s="9" t="s">
        <v>0</v>
      </c>
      <c r="AW79" s="9" t="s">
        <v>0</v>
      </c>
      <c r="AX79" s="9" t="s">
        <v>0</v>
      </c>
      <c r="AY79" s="9" t="str">
        <f>TWZ[[#This Row],[Forwards MVA]]</f>
        <v>-</v>
      </c>
      <c r="AZ79" s="9" t="s">
        <v>0</v>
      </c>
      <c r="BA79" s="9" t="s">
        <v>0</v>
      </c>
      <c r="BB79" s="9" t="s">
        <v>0</v>
      </c>
      <c r="BC79" s="9" t="str">
        <f>TWZ[[#This Row],[Station/Feeder]]&amp;TWZ[[#This Row],[Lowest MVA]]</f>
        <v>Z5_Spare</v>
      </c>
      <c r="BD79" s="9" t="str">
        <f>CONCATENATE(TWZ[[#This Row],[Supply Level]],TWZ[[#This Row],[Station/Feeder]],TWZ[[#This Row],[Voltage]],TWZ[[#This Row],[Lowest A-No PTX]])</f>
        <v>DistributionFeederZ5_Spare11</v>
      </c>
      <c r="BE79" s="9" t="str">
        <f>CONCATENATE(TWZ[[#This Row],[Supply Level]],TWZ[[#This Row],[Station/Feeder]],TWZ[[#This Row],[Voltage]],TWZ[[#This Row],[Lowest A-PTX]])</f>
        <v>DistributionFeederZ5_Spare11</v>
      </c>
      <c r="BF79" s="9" t="str">
        <f>IFERROR(IF(MIN(TWZ[[#This Row],[Summ Cont Winter A]:[Cable Derating]])=0,"",MIN(TWZ[[#This Row],[Summ Cont Winter A]:[Cable Derating]])),"")</f>
        <v/>
      </c>
      <c r="BG79" s="9" t="str">
        <f>IFERROR(TWZ[[#This Row],[Lowest MVA]]*1000/(TWZ[[#This Row],[Voltage]]*SQRT(3)),"")</f>
        <v/>
      </c>
      <c r="BH79" s="9" t="str">
        <f t="shared" si="33"/>
        <v/>
      </c>
      <c r="BI79" s="9" t="s">
        <v>243</v>
      </c>
      <c r="BJ79" s="9" t="s">
        <v>292</v>
      </c>
      <c r="BK79" s="46" t="s">
        <v>1403</v>
      </c>
      <c r="BL79" s="9">
        <v>11</v>
      </c>
    </row>
    <row r="80" spans="1:64" s="1" customFormat="1" x14ac:dyDescent="0.25">
      <c r="A80" s="353" t="str">
        <f>CONCATENATE(TWZ[[#This Row],[Supply Level]],TWZ[[#This Row],[Station/Feeder]],TWZ[[#This Row],[Voltage]])</f>
        <v>DistributionFeederZ9_Local Supply11</v>
      </c>
      <c r="B80" s="354" t="str">
        <f>CONCATENATE(TWZ[[#This Row],[Supply Level]],TWZ[[#This Row],[Station/Feeder]],TWZ[[#This Row],[Equipment ID]],TWZ[[#This Row],[Voltage]],TWZ[[#This Row],[Device type]])</f>
        <v>DistributionFeederZ9_Local SupplyTVS-Z911Protection</v>
      </c>
      <c r="C80" s="14" t="s">
        <v>1276</v>
      </c>
      <c r="D80" s="6" t="s">
        <v>1366</v>
      </c>
      <c r="E80" s="6" t="s">
        <v>243</v>
      </c>
      <c r="F80" s="6" t="s">
        <v>245</v>
      </c>
      <c r="G80" s="8">
        <v>1</v>
      </c>
      <c r="H80" s="7" t="s">
        <v>274</v>
      </c>
      <c r="I80" s="7" t="s">
        <v>2591</v>
      </c>
      <c r="J80" s="7" t="s">
        <v>15</v>
      </c>
      <c r="K80" s="7" t="s">
        <v>1128</v>
      </c>
      <c r="L80" s="7" t="s">
        <v>1423</v>
      </c>
      <c r="M80" s="43">
        <v>11</v>
      </c>
      <c r="N80" s="9">
        <v>10</v>
      </c>
      <c r="O80" s="9">
        <f>IF(OR(N80="",N80="-"),"-",N80*$M80*SQRT(3)/1000)</f>
        <v>0.19052558883257648</v>
      </c>
      <c r="P80" s="9">
        <v>10</v>
      </c>
      <c r="Q80" s="9">
        <f>IF(OR(P80="",P80="-"),"-",P80*$M80*SQRT(3)/1000)</f>
        <v>0.19052558883257648</v>
      </c>
      <c r="R80" s="9">
        <v>10</v>
      </c>
      <c r="S80" s="9">
        <f>IF(OR(R80="",R80="-"),"-",R80*$M80*SQRT(3)/1000)</f>
        <v>0.19052558883257648</v>
      </c>
      <c r="T80" s="9" t="s">
        <v>0</v>
      </c>
      <c r="U80" s="9" t="str">
        <f>IF(OR(T80="",T80="-"),"-",T80*$M80*SQRT(3)/1000)</f>
        <v>-</v>
      </c>
      <c r="V80" s="9" t="s">
        <v>0</v>
      </c>
      <c r="W80" s="9" t="str">
        <f>IF(OR(V80="",V80="-"),"-",V80*$M80*SQRT(3)/1000)</f>
        <v>-</v>
      </c>
      <c r="X80" s="9">
        <f>VLOOKUP(TWZ[[#This Row],[Equipment ID]],AEL_Protection_Data[#All],12,0)</f>
        <v>30</v>
      </c>
      <c r="Y80" s="9">
        <f>IF(OR(X80="",X80="-"),"-",X80*$M80*SQRT(3)/1000)</f>
        <v>0.57157676649772948</v>
      </c>
      <c r="Z80" s="9">
        <v>30</v>
      </c>
      <c r="AA80" s="9">
        <f>IF(OR(Z80="",Z80="-"),"-",Z80*$M80*SQRT(3)/1000)</f>
        <v>0.57157676649772948</v>
      </c>
      <c r="AB80" s="9" t="s">
        <v>0</v>
      </c>
      <c r="AC80" s="9" t="str">
        <f>IF(OR(AB80="",AB80="-"),"-",AB80*$M80*SQRT(3)/1000)</f>
        <v>-</v>
      </c>
      <c r="AD80" s="9" t="s">
        <v>0</v>
      </c>
      <c r="AE80" s="9" t="str">
        <f>IF(OR(AD80="",AD80="-"),"-",AD80*$M80*SQRT(3)/1000)</f>
        <v>-</v>
      </c>
      <c r="AF80" s="9" t="s">
        <v>0</v>
      </c>
      <c r="AG80" s="9" t="s">
        <v>0</v>
      </c>
      <c r="AH80" s="9" t="s">
        <v>0</v>
      </c>
      <c r="AI80" s="9" t="s">
        <v>0</v>
      </c>
      <c r="AJ80" s="43" t="s">
        <v>0</v>
      </c>
      <c r="AK80" s="9" t="s">
        <v>0</v>
      </c>
      <c r="AL80" s="43" t="s">
        <v>0</v>
      </c>
      <c r="AM80" s="9" t="s">
        <v>0</v>
      </c>
      <c r="AN80" s="43" t="s">
        <v>0</v>
      </c>
      <c r="AO80" s="9" t="s">
        <v>0</v>
      </c>
      <c r="AP80" s="43" t="s">
        <v>0</v>
      </c>
      <c r="AQ80" s="43" t="s">
        <v>0</v>
      </c>
      <c r="AR80" s="9" t="str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-</v>
      </c>
      <c r="AS80" s="9" t="str">
        <f>IF(OR(AR80="",AR80="-"),"-",AR80*$M80*SQRT(3)/1000)</f>
        <v>-</v>
      </c>
      <c r="AT80" s="9" t="s">
        <v>0</v>
      </c>
      <c r="AU80" s="9" t="s">
        <v>0</v>
      </c>
      <c r="AV80" s="9" t="s">
        <v>0</v>
      </c>
      <c r="AW80" s="9" t="s">
        <v>0</v>
      </c>
      <c r="AX80" s="9" t="str">
        <f>TWZ[[#This Row],[24 Hr Summer MVA]]</f>
        <v>-</v>
      </c>
      <c r="AY80" s="9">
        <f>TWZ[[#This Row],[Forwards MVA]]</f>
        <v>0.57157676649772948</v>
      </c>
      <c r="AZ80" s="9" t="str">
        <f>TWZ[[#This Row],[Relay MVA]]</f>
        <v>-</v>
      </c>
      <c r="BA80" s="9" t="str">
        <f>TWZ[[#This Row],[CT MVA]]</f>
        <v>-</v>
      </c>
      <c r="BB80" s="9" t="str">
        <f>TWZ[[#This Row],[Derating MVA]]</f>
        <v>-</v>
      </c>
      <c r="BC80" s="9" t="str">
        <f>TWZ[[#This Row],[Station/Feeder]]&amp;TWZ[[#This Row],[Lowest MVA]]</f>
        <v>Z9_Local Supply0.571576766497729</v>
      </c>
      <c r="BD80" s="9" t="str">
        <f>CONCATENATE(TWZ[[#This Row],[Supply Level]],TWZ[[#This Row],[Station/Feeder]],TWZ[[#This Row],[Voltage]],TWZ[[#This Row],[Lowest A-No PTX]])</f>
        <v>DistributionFeederZ9_Local Supply1130</v>
      </c>
      <c r="BE80" s="9" t="str">
        <f>CONCATENATE(TWZ[[#This Row],[Supply Level]],TWZ[[#This Row],[Station/Feeder]],TWZ[[#This Row],[Voltage]],TWZ[[#This Row],[Lowest A-PTX]])</f>
        <v>DistributionFeederZ9_Local Supply1110</v>
      </c>
      <c r="BF80" s="9">
        <f>IFERROR(IF(MIN(TWZ[[#This Row],[Summ Cont Winter A]:[Cable Derating]])=0,"",MIN(TWZ[[#This Row],[Summ Cont Winter A]:[Cable Derating]])),"")</f>
        <v>0.57157676649772948</v>
      </c>
      <c r="BG80" s="9">
        <f>IFERROR(TWZ[[#This Row],[Lowest MVA]]*1000/(TWZ[[#This Row],[Voltage]]*SQRT(3)),"")</f>
        <v>30.000000000000004</v>
      </c>
      <c r="BH80" s="9">
        <f t="shared" si="33"/>
        <v>10</v>
      </c>
      <c r="BI80" s="9" t="str">
        <f>TWZ[[#This Row],[From]]</f>
        <v>11 kV Bus</v>
      </c>
      <c r="BJ80" s="9" t="str">
        <f>TWZ[[#This Row],[To]]</f>
        <v>E120</v>
      </c>
      <c r="BK80" s="46" t="str">
        <f>IF(TWZ[[#This Row],[Device type]]="-",TWZ[[#This Row],[Equipment Type]]&amp;" - "&amp;TWZ[[#This Row],[Equipment ID]],TWZ[[#This Row],[Equipment Type]]&amp;" - "&amp;TWZ[[#This Row],[Equipment ID]]&amp;" - "&amp;TWZ[[#This Row],[Device type]])</f>
        <v>Circuit Breaker - TVS-Z9 - Protection</v>
      </c>
      <c r="BL80" s="9">
        <f>TWZ[[#This Row],[Voltage]]</f>
        <v>11</v>
      </c>
    </row>
    <row r="81" spans="1:64" s="1" customFormat="1" ht="15" customHeight="1" x14ac:dyDescent="0.25">
      <c r="A81" s="354" t="str">
        <f>CONCATENATE(TWZ[[#This Row],[Supply Level]],TWZ[[#This Row],[Station/Feeder]],TWZ[[#This Row],[Voltage]])</f>
        <v>DistributionFeederZ9_Local Supply11</v>
      </c>
      <c r="B81" s="354" t="str">
        <f>CONCATENATE(TWZ[[#This Row],[Supply Level]],TWZ[[#This Row],[Station/Feeder]],TWZ[[#This Row],[Equipment ID]],TWZ[[#This Row],[Voltage]],TWZ[[#This Row],[Device type]])</f>
        <v>DistributionFeederZ9_Local Supply1-3c 95 mm² Cu XLPE11-</v>
      </c>
      <c r="C81" s="14" t="s">
        <v>1276</v>
      </c>
      <c r="D81" s="6" t="s">
        <v>1366</v>
      </c>
      <c r="E81" s="6" t="s">
        <v>496</v>
      </c>
      <c r="F81" s="6" t="s">
        <v>245</v>
      </c>
      <c r="G81" s="8">
        <v>2</v>
      </c>
      <c r="H81" s="7" t="s">
        <v>273</v>
      </c>
      <c r="I81" s="7" t="s">
        <v>1368</v>
      </c>
      <c r="J81" s="7" t="s">
        <v>250</v>
      </c>
      <c r="K81" s="7" t="s">
        <v>0</v>
      </c>
      <c r="L81" s="7" t="s">
        <v>0</v>
      </c>
      <c r="M81" s="43">
        <v>11</v>
      </c>
      <c r="N81" s="9">
        <v>251.6</v>
      </c>
      <c r="O81" s="9">
        <f>IF(OR(N81="",N81="-"),"-",N81*$M81*SQRT(3)/1000)</f>
        <v>4.7936238150276242</v>
      </c>
      <c r="P81" s="9">
        <v>251.6</v>
      </c>
      <c r="Q81" s="9">
        <f>IF(OR(P81="",P81="-"),"-",P81*$M81*SQRT(3)/1000)</f>
        <v>4.7936238150276242</v>
      </c>
      <c r="R81" s="9">
        <v>251.6</v>
      </c>
      <c r="S81" s="9">
        <f>IF(OR(R81="",R81="-"),"-",R81*$M81*SQRT(3)/1000)</f>
        <v>4.7936238150276242</v>
      </c>
      <c r="T81" s="9" t="s">
        <v>0</v>
      </c>
      <c r="U81" s="9" t="str">
        <f>IF(OR(T81="",T81="-"),"-",T81*$M81*SQRT(3)/1000)</f>
        <v>-</v>
      </c>
      <c r="V81" s="9" t="s">
        <v>0</v>
      </c>
      <c r="W81" s="9" t="str">
        <f>IF(OR(V81="",V81="-"),"-",V81*$M81*SQRT(3)/1000)</f>
        <v>-</v>
      </c>
      <c r="X81" s="9" t="s">
        <v>0</v>
      </c>
      <c r="Y81" s="9" t="str">
        <f>IF(OR(X81="",X81="-"),"-",X81*$M81*SQRT(3)/1000)</f>
        <v>-</v>
      </c>
      <c r="Z81" s="9" t="s">
        <v>0</v>
      </c>
      <c r="AA81" s="9" t="str">
        <f>IF(OR(Z81="",Z81="-"),"-",Z81*$M81*SQRT(3)/1000)</f>
        <v>-</v>
      </c>
      <c r="AB81" s="9" t="s">
        <v>0</v>
      </c>
      <c r="AC81" s="9" t="str">
        <f>IF(OR(AB81="",AB81="-"),"-",AB81*$M81*SQRT(3)/1000)</f>
        <v>-</v>
      </c>
      <c r="AD81" s="9" t="s">
        <v>0</v>
      </c>
      <c r="AE81" s="9" t="str">
        <f>IF(OR(AD81="",AD81="-"),"-",AD81*$M81*SQRT(3)/1000)</f>
        <v>-</v>
      </c>
      <c r="AF81" s="9">
        <v>3</v>
      </c>
      <c r="AG81" s="9" t="s">
        <v>265</v>
      </c>
      <c r="AH81" s="9">
        <v>3</v>
      </c>
      <c r="AI81" s="9">
        <v>0.9</v>
      </c>
      <c r="AJ81" s="43">
        <v>1</v>
      </c>
      <c r="AK81" s="9">
        <v>15</v>
      </c>
      <c r="AL81" s="43">
        <v>1</v>
      </c>
      <c r="AM81" s="9">
        <v>1.2</v>
      </c>
      <c r="AN81" s="43">
        <v>1</v>
      </c>
      <c r="AO81" s="9">
        <v>1</v>
      </c>
      <c r="AP81" s="43">
        <v>0</v>
      </c>
      <c r="AQ81" s="43">
        <v>1</v>
      </c>
      <c r="AR81" s="9">
        <f>IFERROR(IF(TWZ[[#This Row],[Equipment Type]]="Cable",MAX(TWZ[[#This Row],[Cont Winter A]],TWZ[[#This Row],[Cont Shoulder A]],TWZ[[#This Row],[Cont Summer A]])*(TWZ[[#This Row],[Depth Factor]]*TWZ[[#This Row],[Soil Temp Factor]]*TWZ[[#This Row],[Soil TR Factor]]*TWZ[[#This Row],[Mutual Heat Factor]]),"-"),"-")</f>
        <v>251.6</v>
      </c>
      <c r="AS81" s="9">
        <f>IF(OR(AR81="",AR81="-"),"-",AR81*$M81*SQRT(3)/1000)</f>
        <v>4.7936238150276242</v>
      </c>
      <c r="AT81" s="9">
        <f>IF(RIGHT(TWZ[[#This Row],[Device type]],7)="Winding","-",TWZ[[#This Row],[Cont Winter MVA]])</f>
        <v>4.7936238150276242</v>
      </c>
      <c r="AU81" s="9">
        <f>IF(RIGHT(TWZ[[#This Row],[Device type]],7)="Winding","-",TWZ[[#This Row],[Cont Shoulder MVA]])</f>
        <v>4.7936238150276242</v>
      </c>
      <c r="AV81" s="9">
        <f>IF(RIGHT(TWZ[[#This Row],[Device type]],7)="Winding","-",TWZ[[#This Row],[Cont Summer MVA]])</f>
        <v>4.7936238150276242</v>
      </c>
      <c r="AW81" s="9" t="str">
        <f>TWZ[[#This Row],[24 Hr Winter MVA]]</f>
        <v>-</v>
      </c>
      <c r="AX81" s="9" t="str">
        <f>TWZ[[#This Row],[24 Hr Summer MVA]]</f>
        <v>-</v>
      </c>
      <c r="AY81" s="9" t="str">
        <f>TWZ[[#This Row],[Forwards MVA]]</f>
        <v>-</v>
      </c>
      <c r="AZ81" s="9" t="str">
        <f>TWZ[[#This Row],[Relay MVA]]</f>
        <v>-</v>
      </c>
      <c r="BA81" s="9" t="str">
        <f>TWZ[[#This Row],[CT MVA]]</f>
        <v>-</v>
      </c>
      <c r="BB81" s="9">
        <f>TWZ[[#This Row],[Derating MVA]]</f>
        <v>4.7936238150276242</v>
      </c>
      <c r="BC81" s="9" t="str">
        <f>TWZ[[#This Row],[Station/Feeder]]&amp;TWZ[[#This Row],[Lowest MVA]]</f>
        <v>Z9_Local Supply4.79362381502762</v>
      </c>
      <c r="BD81" s="9" t="str">
        <f>CONCATENATE(TWZ[[#This Row],[Supply Level]],TWZ[[#This Row],[Station/Feeder]],TWZ[[#This Row],[Voltage]],TWZ[[#This Row],[Lowest A-No PTX]])</f>
        <v>DistributionFeederZ9_Local Supply11251.6</v>
      </c>
      <c r="BE81" s="9" t="str">
        <f>CONCATENATE(TWZ[[#This Row],[Supply Level]],TWZ[[#This Row],[Station/Feeder]],TWZ[[#This Row],[Voltage]],TWZ[[#This Row],[Lowest A-PTX]])</f>
        <v>DistributionFeederZ9_Local Supply11251.6</v>
      </c>
      <c r="BF81" s="9">
        <f>IFERROR(IF(MIN(TWZ[[#This Row],[Summ Cont Winter A]:[Cable Derating]])=0,"",MIN(TWZ[[#This Row],[Summ Cont Winter A]:[Cable Derating]])),"")</f>
        <v>4.7936238150276242</v>
      </c>
      <c r="BG81" s="9">
        <f>IFERROR(TWZ[[#This Row],[Lowest MVA]]*1000/(TWZ[[#This Row],[Voltage]]*SQRT(3)),"")</f>
        <v>251.59999999999997</v>
      </c>
      <c r="BH81" s="9">
        <f t="shared" si="33"/>
        <v>251.6</v>
      </c>
      <c r="BI81" s="9" t="str">
        <f>TWZ[[#This Row],[From]]</f>
        <v>12 kV Bus</v>
      </c>
      <c r="BJ81" s="9" t="str">
        <f>TWZ[[#This Row],[To]]</f>
        <v>E120</v>
      </c>
      <c r="BK81" s="46" t="str">
        <f>IF(TWZ[[#This Row],[Device type]]="-",TWZ[[#This Row],[Equipment Type]]&amp;" - "&amp;TWZ[[#This Row],[Equipment ID]],TWZ[[#This Row],[Equipment Type]]&amp;" - "&amp;TWZ[[#This Row],[Equipment ID]]&amp;" - "&amp;TWZ[[#This Row],[Device type]])</f>
        <v>Cable - 1-3c 95 mm² Cu XLPE</v>
      </c>
      <c r="BL81" s="9">
        <f>TWZ[[#This Row],[Voltage]]</f>
        <v>11</v>
      </c>
    </row>
    <row r="82" spans="1:64" s="1" customFormat="1" x14ac:dyDescent="0.25">
      <c r="A82" s="355"/>
      <c r="B82" s="355"/>
      <c r="C82" s="322"/>
      <c r="D82" s="42"/>
      <c r="E82" s="42"/>
      <c r="F82" s="42"/>
      <c r="G82" s="42"/>
      <c r="H82" s="42"/>
      <c r="I82" s="42"/>
      <c r="J82" s="42"/>
      <c r="K82" s="42"/>
      <c r="L82" s="42"/>
      <c r="M82" s="50"/>
      <c r="N82" s="42" t="s">
        <v>0</v>
      </c>
      <c r="O82" s="42" t="s">
        <v>0</v>
      </c>
      <c r="P82" s="42" t="s">
        <v>0</v>
      </c>
      <c r="Q82" s="42" t="s">
        <v>0</v>
      </c>
      <c r="R82" s="42" t="s">
        <v>0</v>
      </c>
      <c r="S82" s="42" t="s">
        <v>0</v>
      </c>
      <c r="T82" s="42" t="s">
        <v>0</v>
      </c>
      <c r="U82" s="42" t="s">
        <v>0</v>
      </c>
      <c r="V82" s="42" t="s">
        <v>0</v>
      </c>
      <c r="W82" s="42" t="s">
        <v>0</v>
      </c>
      <c r="X82" s="42" t="s">
        <v>0</v>
      </c>
      <c r="Y82" s="42" t="s">
        <v>0</v>
      </c>
      <c r="Z82" s="42" t="s">
        <v>0</v>
      </c>
      <c r="AA82" s="42" t="s">
        <v>0</v>
      </c>
      <c r="AB82" s="42" t="s">
        <v>0</v>
      </c>
      <c r="AC82" s="42" t="s">
        <v>0</v>
      </c>
      <c r="AD82" s="42" t="s">
        <v>0</v>
      </c>
      <c r="AE82" s="42" t="s">
        <v>0</v>
      </c>
      <c r="AF82" s="42" t="s">
        <v>0</v>
      </c>
      <c r="AG82" s="42" t="s">
        <v>0</v>
      </c>
      <c r="AH82" s="42" t="s">
        <v>0</v>
      </c>
      <c r="AI82" s="42" t="s">
        <v>0</v>
      </c>
      <c r="AJ82" s="42" t="s">
        <v>0</v>
      </c>
      <c r="AK82" s="42" t="s">
        <v>0</v>
      </c>
      <c r="AL82" s="42" t="s">
        <v>0</v>
      </c>
      <c r="AM82" s="42" t="s">
        <v>0</v>
      </c>
      <c r="AN82" s="42" t="s">
        <v>0</v>
      </c>
      <c r="AO82" s="42" t="s">
        <v>0</v>
      </c>
      <c r="AP82" s="42" t="s">
        <v>0</v>
      </c>
      <c r="AQ82" s="42" t="s">
        <v>0</v>
      </c>
      <c r="AR82" s="42" t="s">
        <v>0</v>
      </c>
      <c r="AS82" s="42" t="s">
        <v>0</v>
      </c>
      <c r="AT82" s="51">
        <f>IF(SUBTOTAL(105,TWZ[Summ Cont Winter A])=0,"",SUBTOTAL(105,TWZ[Summ Cont Winter A]))</f>
        <v>1.9052558883257651</v>
      </c>
      <c r="AU82" s="51">
        <f>IF(SUBTOTAL(105,TWZ[Summ Cont Shoulder MVA])=0,"",SUBTOTAL(105,TWZ[Summ Cont Shoulder MVA]))</f>
        <v>1.9052558883257651</v>
      </c>
      <c r="AV82" s="51">
        <f>IF(SUBTOTAL(105,TWZ[Summ Cont Summer A])=0,"",SUBTOTAL(105,TWZ[Summ Cont Summer A]))</f>
        <v>1.9052558883257651</v>
      </c>
      <c r="AW82" s="51">
        <f>IF(SUBTOTAL(105,TWZ[Summ Post Winter A])=0,"",SUBTOTAL(105,TWZ[Summ Post Winter A]))</f>
        <v>27.378527115241244</v>
      </c>
      <c r="AX82" s="51">
        <f>IF(SUBTOTAL(105,TWZ[Summ Post Summer A])=0,"",SUBTOTAL(105,TWZ[Summ Post Summer A]))</f>
        <v>6.8589211979727533</v>
      </c>
      <c r="AY82" s="51">
        <f>IF(SUBTOTAL(105,TWZ[Summ Forward A])=0,"",SUBTOTAL(105,TWZ[Summ Forward A]))</f>
        <v>0.57157676649772948</v>
      </c>
      <c r="AZ82" s="51">
        <f>IF(SUBTOTAL(105,TWZ[Summ Reverse A])=0,"",SUBTOTAL(105,TWZ[Summ Reverse A]))</f>
        <v>68.589211979727537</v>
      </c>
      <c r="BA82" s="51">
        <f>IF(SUBTOTAL(105,TWZ[Summ CT A])=0,"",SUBTOTAL(105,TWZ[Summ CT A]))</f>
        <v>11.43153532995459</v>
      </c>
      <c r="BB82" s="51">
        <f>IF(SUBTOTAL(105,TWZ[Cable Derating])=0,"",SUBTOTAL(105,TWZ[Cable Derating]))</f>
        <v>1.626850371644162</v>
      </c>
      <c r="BC82" s="51" t="s">
        <v>0</v>
      </c>
      <c r="BD82" s="51" t="s">
        <v>0</v>
      </c>
      <c r="BE82" s="51"/>
      <c r="BF82" s="51">
        <f>SUBTOTAL(105,TWZ[Lowest MVA])</f>
        <v>0.57157676649772948</v>
      </c>
      <c r="BG82" s="51" t="s">
        <v>0</v>
      </c>
      <c r="BH82" s="51"/>
      <c r="BI82" s="42" t="s">
        <v>0</v>
      </c>
      <c r="BJ82" s="42" t="s">
        <v>0</v>
      </c>
      <c r="BK82" s="42" t="s">
        <v>0</v>
      </c>
      <c r="BL82" s="42" t="s">
        <v>0</v>
      </c>
    </row>
  </sheetData>
  <sortState xmlns:xlrd2="http://schemas.microsoft.com/office/spreadsheetml/2017/richdata2" ref="J3:V25">
    <sortCondition ref="J3:J25"/>
  </sortState>
  <mergeCells count="31">
    <mergeCell ref="BJ2:BJ3"/>
    <mergeCell ref="BL2:BL3"/>
    <mergeCell ref="AT1:BL1"/>
    <mergeCell ref="AT2:AV2"/>
    <mergeCell ref="AW2:AX2"/>
    <mergeCell ref="AY2:BA2"/>
    <mergeCell ref="BB2:BB3"/>
    <mergeCell ref="BK2:BK3"/>
    <mergeCell ref="BI2:BI3"/>
    <mergeCell ref="BF2:BH2"/>
    <mergeCell ref="E1:H1"/>
    <mergeCell ref="AF1:AS1"/>
    <mergeCell ref="X1:AE1"/>
    <mergeCell ref="X2:Y2"/>
    <mergeCell ref="Z2:AA2"/>
    <mergeCell ref="AB2:AC2"/>
    <mergeCell ref="AD2:AE2"/>
    <mergeCell ref="T2:U2"/>
    <mergeCell ref="V2:W2"/>
    <mergeCell ref="N2:O2"/>
    <mergeCell ref="P2:Q2"/>
    <mergeCell ref="R2:S2"/>
    <mergeCell ref="N1:S1"/>
    <mergeCell ref="T1:W1"/>
    <mergeCell ref="I1:J1"/>
    <mergeCell ref="K1:L1"/>
    <mergeCell ref="AI2:AJ2"/>
    <mergeCell ref="AK2:AL2"/>
    <mergeCell ref="AM2:AN2"/>
    <mergeCell ref="AO2:AQ2"/>
    <mergeCell ref="AR2:AS2"/>
  </mergeCells>
  <phoneticPr fontId="35" type="noConversion"/>
  <pageMargins left="0.7" right="0.7" top="0.75" bottom="0.75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0000000}">
          <x14:formula1>
            <xm:f>'Dropdown List'!$A$2:$A$15</xm:f>
          </x14:formula1>
          <xm:sqref>C5:C81</xm:sqref>
        </x14:dataValidation>
        <x14:dataValidation type="list" allowBlank="1" showInputMessage="1" showErrorMessage="1" xr:uid="{00000000-0002-0000-0C00-000001000000}">
          <x14:formula1>
            <xm:f>'Dropdown List'!$G$27:$G$35</xm:f>
          </x14:formula1>
          <xm:sqref>D5:D81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>
    <tabColor theme="1"/>
  </sheetPr>
  <dimension ref="A1"/>
  <sheetViews>
    <sheetView workbookViewId="0">
      <selection activeCell="L30" sqref="L30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G123"/>
  <sheetViews>
    <sheetView topLeftCell="A87" zoomScale="115" zoomScaleNormal="115" workbookViewId="0">
      <selection activeCell="D111" sqref="D111"/>
    </sheetView>
  </sheetViews>
  <sheetFormatPr defaultRowHeight="15" x14ac:dyDescent="0.25"/>
  <cols>
    <col min="1" max="1" width="20.85546875" bestFit="1" customWidth="1"/>
    <col min="2" max="2" width="20.42578125" bestFit="1" customWidth="1"/>
    <col min="3" max="3" width="18.140625" bestFit="1" customWidth="1"/>
    <col min="4" max="4" width="27.5703125" bestFit="1" customWidth="1"/>
    <col min="5" max="5" width="22.5703125" bestFit="1" customWidth="1"/>
    <col min="6" max="6" width="102.28515625" bestFit="1" customWidth="1"/>
    <col min="7" max="7" width="14.85546875" bestFit="1" customWidth="1"/>
    <col min="8" max="8" width="3.5703125" customWidth="1"/>
    <col min="9" max="9" width="18.5703125" bestFit="1" customWidth="1"/>
    <col min="10" max="10" width="4.42578125" bestFit="1" customWidth="1"/>
    <col min="11" max="11" width="13.42578125" bestFit="1" customWidth="1"/>
    <col min="12" max="12" width="14.28515625" bestFit="1" customWidth="1"/>
    <col min="13" max="13" width="102.28515625" bestFit="1" customWidth="1"/>
  </cols>
  <sheetData>
    <row r="1" spans="1:6" s="24" customFormat="1" ht="15.75" thickBot="1" x14ac:dyDescent="0.3">
      <c r="A1" s="267" t="s">
        <v>67</v>
      </c>
      <c r="B1" s="266" t="s">
        <v>1184</v>
      </c>
      <c r="C1" s="266" t="s">
        <v>1222</v>
      </c>
      <c r="D1" s="266" t="s">
        <v>1223</v>
      </c>
      <c r="E1" s="266" t="s">
        <v>1224</v>
      </c>
      <c r="F1" s="266" t="s">
        <v>1225</v>
      </c>
    </row>
    <row r="2" spans="1:6" x14ac:dyDescent="0.25">
      <c r="A2" s="268" t="s">
        <v>4</v>
      </c>
      <c r="B2" s="259" t="s">
        <v>0</v>
      </c>
      <c r="C2" s="259" t="s">
        <v>0</v>
      </c>
      <c r="D2" s="259" t="s">
        <v>0</v>
      </c>
      <c r="E2" s="259" t="s">
        <v>0</v>
      </c>
      <c r="F2" s="259"/>
    </row>
    <row r="3" spans="1:6" ht="15.75" x14ac:dyDescent="0.25">
      <c r="A3" s="260" t="s">
        <v>1245</v>
      </c>
      <c r="B3" s="265" t="s">
        <v>1245</v>
      </c>
      <c r="C3" s="265" t="s">
        <v>1166</v>
      </c>
      <c r="D3" s="265" t="s">
        <v>1147</v>
      </c>
      <c r="E3" s="265" t="str">
        <f>C3&amp;" ("&amp;D3&amp;")"</f>
        <v>ST1 (N-1)</v>
      </c>
      <c r="F3" s="272" t="s">
        <v>1226</v>
      </c>
    </row>
    <row r="4" spans="1:6" ht="15.75" x14ac:dyDescent="0.25">
      <c r="A4" s="260" t="s">
        <v>1246</v>
      </c>
      <c r="B4" s="260" t="s">
        <v>1245</v>
      </c>
      <c r="C4" s="260" t="s">
        <v>1172</v>
      </c>
      <c r="D4" s="260" t="s">
        <v>1147</v>
      </c>
      <c r="E4" s="260" t="str">
        <f t="shared" ref="E4:E26" si="0">C4&amp;" ("&amp;D4&amp;")"</f>
        <v>ST2 (N-1)</v>
      </c>
      <c r="F4" s="262" t="s">
        <v>1227</v>
      </c>
    </row>
    <row r="5" spans="1:6" ht="15.75" x14ac:dyDescent="0.25">
      <c r="A5" s="260" t="s">
        <v>1277</v>
      </c>
      <c r="B5" s="260" t="s">
        <v>1245</v>
      </c>
      <c r="C5" s="260" t="s">
        <v>1173</v>
      </c>
      <c r="D5" s="260" t="s">
        <v>1232</v>
      </c>
      <c r="E5" s="260" t="str">
        <f t="shared" si="0"/>
        <v>ST3 (N-1 SW)</v>
      </c>
      <c r="F5" s="262" t="s">
        <v>1228</v>
      </c>
    </row>
    <row r="6" spans="1:6" ht="15.75" x14ac:dyDescent="0.25">
      <c r="A6" s="260" t="s">
        <v>1274</v>
      </c>
      <c r="B6" s="260" t="s">
        <v>1245</v>
      </c>
      <c r="C6" s="260" t="s">
        <v>1183</v>
      </c>
      <c r="D6" s="260" t="s">
        <v>1269</v>
      </c>
      <c r="E6" s="260" t="str">
        <f t="shared" si="0"/>
        <v>ST4 (N-0.75 SW)</v>
      </c>
      <c r="F6" s="262" t="s">
        <v>1229</v>
      </c>
    </row>
    <row r="7" spans="1:6" ht="15.75" x14ac:dyDescent="0.25">
      <c r="A7" s="260" t="s">
        <v>1276</v>
      </c>
      <c r="B7" s="260" t="s">
        <v>1245</v>
      </c>
      <c r="C7" s="260" t="s">
        <v>1171</v>
      </c>
      <c r="D7" s="260" t="s">
        <v>1239</v>
      </c>
      <c r="E7" s="260" t="str">
        <f t="shared" si="0"/>
        <v>ST5 (N-0.5 SW)</v>
      </c>
      <c r="F7" s="262" t="s">
        <v>1230</v>
      </c>
    </row>
    <row r="8" spans="1:6" ht="16.5" thickBot="1" x14ac:dyDescent="0.3">
      <c r="A8" s="263" t="s">
        <v>1206</v>
      </c>
      <c r="B8" s="260" t="s">
        <v>1245</v>
      </c>
      <c r="C8" s="260" t="s">
        <v>1160</v>
      </c>
      <c r="D8" s="260" t="s">
        <v>1145</v>
      </c>
      <c r="E8" s="260" t="str">
        <f t="shared" si="0"/>
        <v>ST6 (N)</v>
      </c>
      <c r="F8" s="262" t="s">
        <v>1231</v>
      </c>
    </row>
    <row r="9" spans="1:6" ht="15.75" x14ac:dyDescent="0.25">
      <c r="A9" s="273"/>
      <c r="B9" s="260" t="s">
        <v>1274</v>
      </c>
      <c r="C9" s="260" t="s">
        <v>1192</v>
      </c>
      <c r="D9" s="260" t="s">
        <v>1147</v>
      </c>
      <c r="E9" s="260" t="s">
        <v>1251</v>
      </c>
      <c r="F9" s="262" t="s">
        <v>1226</v>
      </c>
    </row>
    <row r="10" spans="1:6" ht="15.75" x14ac:dyDescent="0.25">
      <c r="A10" s="273"/>
      <c r="B10" s="260" t="s">
        <v>1274</v>
      </c>
      <c r="C10" s="260" t="s">
        <v>1191</v>
      </c>
      <c r="D10" s="260" t="s">
        <v>1147</v>
      </c>
      <c r="E10" s="260" t="s">
        <v>1253</v>
      </c>
      <c r="F10" s="262" t="s">
        <v>1227</v>
      </c>
    </row>
    <row r="11" spans="1:6" ht="15.75" x14ac:dyDescent="0.25">
      <c r="A11" s="273"/>
      <c r="B11" s="260" t="s">
        <v>1274</v>
      </c>
      <c r="C11" s="260" t="s">
        <v>1195</v>
      </c>
      <c r="D11" s="260" t="s">
        <v>1232</v>
      </c>
      <c r="E11" s="260" t="s">
        <v>1273</v>
      </c>
      <c r="F11" s="262" t="s">
        <v>1228</v>
      </c>
    </row>
    <row r="12" spans="1:6" ht="15.75" x14ac:dyDescent="0.25">
      <c r="A12" s="273"/>
      <c r="B12" s="260" t="s">
        <v>1274</v>
      </c>
      <c r="C12" s="260" t="s">
        <v>1194</v>
      </c>
      <c r="D12" s="260" t="s">
        <v>1232</v>
      </c>
      <c r="E12" s="260" t="s">
        <v>1252</v>
      </c>
      <c r="F12" s="262" t="s">
        <v>1233</v>
      </c>
    </row>
    <row r="13" spans="1:6" ht="15.75" x14ac:dyDescent="0.25">
      <c r="A13" s="273"/>
      <c r="B13" s="260" t="s">
        <v>1274</v>
      </c>
      <c r="C13" s="260" t="s">
        <v>1190</v>
      </c>
      <c r="D13" s="260" t="s">
        <v>1239</v>
      </c>
      <c r="E13" s="260" t="s">
        <v>1272</v>
      </c>
      <c r="F13" s="262" t="s">
        <v>1234</v>
      </c>
    </row>
    <row r="14" spans="1:6" ht="15.75" x14ac:dyDescent="0.25">
      <c r="A14" s="273"/>
      <c r="B14" s="260" t="s">
        <v>1274</v>
      </c>
      <c r="C14" s="260" t="s">
        <v>1189</v>
      </c>
      <c r="D14" s="260" t="s">
        <v>1145</v>
      </c>
      <c r="E14" s="260" t="s">
        <v>1250</v>
      </c>
      <c r="F14" s="262" t="s">
        <v>1235</v>
      </c>
    </row>
    <row r="15" spans="1:6" ht="15.75" x14ac:dyDescent="0.25">
      <c r="B15" s="260" t="s">
        <v>1246</v>
      </c>
      <c r="C15" s="260" t="s">
        <v>1192</v>
      </c>
      <c r="D15" s="260" t="s">
        <v>1147</v>
      </c>
      <c r="E15" s="260" t="str">
        <f t="shared" si="0"/>
        <v>ZS1 (N-1)</v>
      </c>
      <c r="F15" s="262" t="s">
        <v>1226</v>
      </c>
    </row>
    <row r="16" spans="1:6" ht="15.75" x14ac:dyDescent="0.25">
      <c r="B16" s="260" t="s">
        <v>1246</v>
      </c>
      <c r="C16" s="260" t="s">
        <v>1191</v>
      </c>
      <c r="D16" s="260" t="s">
        <v>1147</v>
      </c>
      <c r="E16" s="260" t="str">
        <f t="shared" si="0"/>
        <v>ZS2 (N-1)</v>
      </c>
      <c r="F16" s="262" t="s">
        <v>1227</v>
      </c>
    </row>
    <row r="17" spans="1:7" ht="15.75" x14ac:dyDescent="0.25">
      <c r="B17" s="260" t="s">
        <v>1246</v>
      </c>
      <c r="C17" s="260" t="s">
        <v>1195</v>
      </c>
      <c r="D17" s="260" t="s">
        <v>1232</v>
      </c>
      <c r="E17" s="260" t="str">
        <f t="shared" si="0"/>
        <v>ZS3 (N-1 SW)</v>
      </c>
      <c r="F17" s="262" t="s">
        <v>1228</v>
      </c>
    </row>
    <row r="18" spans="1:7" ht="15.75" x14ac:dyDescent="0.25">
      <c r="B18" s="260" t="s">
        <v>1246</v>
      </c>
      <c r="C18" s="260" t="s">
        <v>1194</v>
      </c>
      <c r="D18" s="260" t="s">
        <v>1232</v>
      </c>
      <c r="E18" s="260" t="str">
        <f t="shared" si="0"/>
        <v>ZS4 (N-1 SW)</v>
      </c>
      <c r="F18" s="262" t="s">
        <v>1233</v>
      </c>
    </row>
    <row r="19" spans="1:7" ht="15.75" x14ac:dyDescent="0.25">
      <c r="B19" s="260" t="s">
        <v>1246</v>
      </c>
      <c r="C19" s="260" t="s">
        <v>1190</v>
      </c>
      <c r="D19" s="260" t="s">
        <v>1239</v>
      </c>
      <c r="E19" s="260" t="str">
        <f t="shared" si="0"/>
        <v>ZS5 (N-0.5 SW)</v>
      </c>
      <c r="F19" s="261" t="s">
        <v>1234</v>
      </c>
    </row>
    <row r="20" spans="1:7" ht="15.75" x14ac:dyDescent="0.25">
      <c r="B20" s="260" t="s">
        <v>1246</v>
      </c>
      <c r="C20" s="260" t="s">
        <v>1189</v>
      </c>
      <c r="D20" s="260" t="s">
        <v>1145</v>
      </c>
      <c r="E20" s="260" t="str">
        <f t="shared" si="0"/>
        <v>ZS6 (N)</v>
      </c>
      <c r="F20" s="262" t="s">
        <v>1235</v>
      </c>
    </row>
    <row r="21" spans="1:7" ht="15.75" x14ac:dyDescent="0.25">
      <c r="B21" s="260" t="s">
        <v>1276</v>
      </c>
      <c r="C21" s="260" t="s">
        <v>1203</v>
      </c>
      <c r="D21" s="260" t="s">
        <v>1232</v>
      </c>
      <c r="E21" s="260" t="str">
        <f t="shared" si="0"/>
        <v>DF1 (N-1 SW)</v>
      </c>
      <c r="F21" s="262" t="s">
        <v>1236</v>
      </c>
    </row>
    <row r="22" spans="1:7" ht="15.75" x14ac:dyDescent="0.25">
      <c r="B22" s="260" t="s">
        <v>1276</v>
      </c>
      <c r="C22" s="260" t="s">
        <v>1202</v>
      </c>
      <c r="D22" s="260" t="s">
        <v>1232</v>
      </c>
      <c r="E22" s="260" t="str">
        <f t="shared" si="0"/>
        <v>DF2 (N-1 SW)</v>
      </c>
      <c r="F22" s="262" t="s">
        <v>1237</v>
      </c>
    </row>
    <row r="23" spans="1:7" ht="15.75" x14ac:dyDescent="0.25">
      <c r="B23" s="260" t="s">
        <v>1276</v>
      </c>
      <c r="C23" s="260" t="s">
        <v>1200</v>
      </c>
      <c r="D23" s="260" t="s">
        <v>1232</v>
      </c>
      <c r="E23" s="260" t="str">
        <f t="shared" si="0"/>
        <v>DF3 (N-1 SW)</v>
      </c>
      <c r="F23" s="262" t="s">
        <v>1238</v>
      </c>
    </row>
    <row r="24" spans="1:7" ht="15.75" x14ac:dyDescent="0.25">
      <c r="B24" s="260" t="s">
        <v>1276</v>
      </c>
      <c r="C24" s="260" t="s">
        <v>1201</v>
      </c>
      <c r="D24" s="260" t="s">
        <v>1239</v>
      </c>
      <c r="E24" s="260" t="str">
        <f t="shared" si="0"/>
        <v>DF4 (N-0.5 SW)</v>
      </c>
      <c r="F24" s="262" t="s">
        <v>1240</v>
      </c>
    </row>
    <row r="25" spans="1:7" ht="15.75" x14ac:dyDescent="0.25">
      <c r="B25" s="260" t="s">
        <v>1276</v>
      </c>
      <c r="C25" s="260" t="s">
        <v>1199</v>
      </c>
      <c r="D25" s="260" t="s">
        <v>1145</v>
      </c>
      <c r="E25" s="260" t="str">
        <f t="shared" si="0"/>
        <v>DF5 (N)</v>
      </c>
      <c r="F25" s="262" t="s">
        <v>1241</v>
      </c>
    </row>
    <row r="26" spans="1:7" ht="16.5" thickBot="1" x14ac:dyDescent="0.3">
      <c r="B26" s="263" t="s">
        <v>1276</v>
      </c>
      <c r="C26" s="263" t="s">
        <v>1198</v>
      </c>
      <c r="D26" s="263" t="s">
        <v>1145</v>
      </c>
      <c r="E26" s="263" t="str">
        <f t="shared" si="0"/>
        <v>DF6 (N)</v>
      </c>
      <c r="F26" s="264" t="s">
        <v>1242</v>
      </c>
    </row>
    <row r="27" spans="1:7" ht="15.75" thickBot="1" x14ac:dyDescent="0.3">
      <c r="A27" s="267" t="s">
        <v>365</v>
      </c>
      <c r="B27" s="267" t="s">
        <v>366</v>
      </c>
      <c r="C27" s="267" t="s">
        <v>74</v>
      </c>
      <c r="D27" s="267" t="s">
        <v>75</v>
      </c>
      <c r="E27" s="267" t="s">
        <v>76</v>
      </c>
      <c r="F27" s="267" t="s">
        <v>77</v>
      </c>
      <c r="G27" s="267" t="s">
        <v>78</v>
      </c>
    </row>
    <row r="28" spans="1:7" x14ac:dyDescent="0.25">
      <c r="A28" s="268" t="s">
        <v>79</v>
      </c>
      <c r="B28" s="268" t="s">
        <v>80</v>
      </c>
      <c r="C28" s="268" t="s">
        <v>81</v>
      </c>
      <c r="D28" s="268" t="s">
        <v>82</v>
      </c>
      <c r="E28" s="268" t="s">
        <v>225</v>
      </c>
      <c r="F28" s="268" t="s">
        <v>226</v>
      </c>
      <c r="G28" s="268" t="s">
        <v>70</v>
      </c>
    </row>
    <row r="29" spans="1:7" x14ac:dyDescent="0.25">
      <c r="A29" s="260" t="s">
        <v>103</v>
      </c>
      <c r="B29" s="260" t="s">
        <v>224</v>
      </c>
      <c r="C29" s="260" t="s">
        <v>92</v>
      </c>
      <c r="D29" s="265" t="s">
        <v>93</v>
      </c>
      <c r="E29" s="260" t="s">
        <v>83</v>
      </c>
      <c r="F29" s="260" t="s">
        <v>227</v>
      </c>
      <c r="G29" s="260" t="s">
        <v>236</v>
      </c>
    </row>
    <row r="30" spans="1:7" x14ac:dyDescent="0.25">
      <c r="A30" s="260" t="s">
        <v>115</v>
      </c>
      <c r="B30" s="260" t="s">
        <v>91</v>
      </c>
      <c r="C30" s="260" t="s">
        <v>105</v>
      </c>
      <c r="D30" s="265" t="s">
        <v>1317</v>
      </c>
      <c r="E30" s="260" t="s">
        <v>94</v>
      </c>
      <c r="F30" s="260" t="s">
        <v>228</v>
      </c>
      <c r="G30" s="260" t="s">
        <v>102</v>
      </c>
    </row>
    <row r="31" spans="1:7" x14ac:dyDescent="0.25">
      <c r="A31" s="260" t="s">
        <v>90</v>
      </c>
      <c r="B31" s="260" t="s">
        <v>104</v>
      </c>
      <c r="C31" s="260" t="s">
        <v>116</v>
      </c>
      <c r="D31" s="260" t="s">
        <v>1324</v>
      </c>
      <c r="E31" s="260" t="s">
        <v>107</v>
      </c>
      <c r="F31" s="260" t="s">
        <v>229</v>
      </c>
      <c r="G31" s="260" t="s">
        <v>114</v>
      </c>
    </row>
    <row r="32" spans="1:7" x14ac:dyDescent="0.25">
      <c r="A32" s="260" t="s">
        <v>158</v>
      </c>
      <c r="B32" s="260" t="s">
        <v>1355</v>
      </c>
      <c r="C32" s="260" t="s">
        <v>127</v>
      </c>
      <c r="D32" s="260" t="s">
        <v>106</v>
      </c>
      <c r="E32" s="260" t="s">
        <v>118</v>
      </c>
      <c r="F32" s="260" t="s">
        <v>230</v>
      </c>
      <c r="G32" s="260" t="s">
        <v>125</v>
      </c>
    </row>
    <row r="33" spans="1:7" x14ac:dyDescent="0.25">
      <c r="A33" s="260" t="s">
        <v>166</v>
      </c>
      <c r="B33" s="260" t="s">
        <v>1354</v>
      </c>
      <c r="C33" s="260" t="s">
        <v>134</v>
      </c>
      <c r="D33" s="260" t="s">
        <v>1318</v>
      </c>
      <c r="E33" s="260" t="s">
        <v>129</v>
      </c>
      <c r="F33" s="260" t="s">
        <v>231</v>
      </c>
      <c r="G33" s="260" t="s">
        <v>133</v>
      </c>
    </row>
    <row r="34" spans="1:7" x14ac:dyDescent="0.25">
      <c r="A34" s="260" t="s">
        <v>174</v>
      </c>
      <c r="B34" s="260" t="s">
        <v>126</v>
      </c>
      <c r="C34" s="260" t="s">
        <v>139</v>
      </c>
      <c r="D34" s="260" t="s">
        <v>1319</v>
      </c>
      <c r="E34" s="260" t="s">
        <v>164</v>
      </c>
      <c r="F34" s="260" t="s">
        <v>232</v>
      </c>
      <c r="G34" s="260" t="s">
        <v>1404</v>
      </c>
    </row>
    <row r="35" spans="1:7" x14ac:dyDescent="0.25">
      <c r="A35" s="260" t="s">
        <v>180</v>
      </c>
      <c r="B35" s="260" t="s">
        <v>159</v>
      </c>
      <c r="C35" s="260"/>
      <c r="D35" s="260" t="s">
        <v>1320</v>
      </c>
      <c r="E35" s="260" t="s">
        <v>173</v>
      </c>
      <c r="F35" s="260" t="s">
        <v>233</v>
      </c>
      <c r="G35" s="260" t="s">
        <v>1366</v>
      </c>
    </row>
    <row r="36" spans="1:7" x14ac:dyDescent="0.25">
      <c r="A36" s="260" t="s">
        <v>346</v>
      </c>
      <c r="B36" s="260" t="s">
        <v>167</v>
      </c>
      <c r="C36" s="260"/>
      <c r="D36" s="260" t="s">
        <v>1321</v>
      </c>
      <c r="E36" s="260" t="s">
        <v>179</v>
      </c>
      <c r="F36" s="260" t="s">
        <v>1138</v>
      </c>
      <c r="G36" s="260"/>
    </row>
    <row r="37" spans="1:7" x14ac:dyDescent="0.25">
      <c r="A37" s="260"/>
      <c r="B37" s="260" t="s">
        <v>175</v>
      </c>
      <c r="C37" s="260"/>
      <c r="D37" s="288" t="s">
        <v>1305</v>
      </c>
      <c r="E37" s="260" t="s">
        <v>1443</v>
      </c>
      <c r="F37" s="260" t="s">
        <v>97</v>
      </c>
      <c r="G37" s="260"/>
    </row>
    <row r="38" spans="1:7" x14ac:dyDescent="0.25">
      <c r="A38" s="260"/>
      <c r="B38" s="260" t="s">
        <v>181</v>
      </c>
      <c r="C38" s="260"/>
      <c r="D38" s="288" t="s">
        <v>1313</v>
      </c>
      <c r="E38" s="260" t="s">
        <v>1444</v>
      </c>
      <c r="F38" s="260" t="s">
        <v>109</v>
      </c>
      <c r="G38" s="260"/>
    </row>
    <row r="39" spans="1:7" x14ac:dyDescent="0.25">
      <c r="A39" s="260"/>
      <c r="B39" s="260" t="s">
        <v>184</v>
      </c>
      <c r="C39" s="260"/>
      <c r="D39" s="288" t="s">
        <v>1306</v>
      </c>
      <c r="E39" s="260" t="s">
        <v>84</v>
      </c>
      <c r="F39" s="260" t="s">
        <v>120</v>
      </c>
      <c r="G39" s="260"/>
    </row>
    <row r="40" spans="1:7" x14ac:dyDescent="0.25">
      <c r="A40" s="260"/>
      <c r="B40" s="260" t="s">
        <v>1381</v>
      </c>
      <c r="C40" s="260"/>
      <c r="D40" s="288" t="s">
        <v>1308</v>
      </c>
      <c r="E40" s="260" t="s">
        <v>95</v>
      </c>
      <c r="F40" s="260" t="s">
        <v>130</v>
      </c>
      <c r="G40" s="260"/>
    </row>
    <row r="41" spans="1:7" x14ac:dyDescent="0.25">
      <c r="A41" s="260"/>
      <c r="B41" s="260" t="s">
        <v>1382</v>
      </c>
      <c r="C41" s="260"/>
      <c r="D41" s="260" t="s">
        <v>117</v>
      </c>
      <c r="E41" s="260" t="s">
        <v>163</v>
      </c>
      <c r="F41" s="260" t="s">
        <v>136</v>
      </c>
      <c r="G41" s="260"/>
    </row>
    <row r="42" spans="1:7" x14ac:dyDescent="0.25">
      <c r="A42" s="260"/>
      <c r="B42" s="260" t="s">
        <v>733</v>
      </c>
      <c r="C42" s="260"/>
      <c r="D42" s="260" t="s">
        <v>128</v>
      </c>
      <c r="E42" s="260" t="s">
        <v>172</v>
      </c>
      <c r="F42" s="260" t="s">
        <v>140</v>
      </c>
      <c r="G42" s="260"/>
    </row>
    <row r="43" spans="1:7" x14ac:dyDescent="0.25">
      <c r="A43" s="260"/>
      <c r="B43" s="260"/>
      <c r="C43" s="260"/>
      <c r="D43" s="260" t="s">
        <v>135</v>
      </c>
      <c r="E43" s="260" t="s">
        <v>178</v>
      </c>
      <c r="F43" s="260" t="s">
        <v>85</v>
      </c>
      <c r="G43" s="260"/>
    </row>
    <row r="44" spans="1:7" x14ac:dyDescent="0.25">
      <c r="A44" s="260"/>
      <c r="B44" s="260"/>
      <c r="C44" s="260"/>
      <c r="D44" s="288" t="s">
        <v>1309</v>
      </c>
      <c r="E44" s="260"/>
      <c r="F44" s="260" t="s">
        <v>96</v>
      </c>
      <c r="G44" s="260"/>
    </row>
    <row r="45" spans="1:7" x14ac:dyDescent="0.25">
      <c r="A45" s="260"/>
      <c r="B45" s="260"/>
      <c r="C45" s="260"/>
      <c r="D45" s="260" t="s">
        <v>143</v>
      </c>
      <c r="E45" s="260"/>
      <c r="F45" s="260" t="s">
        <v>108</v>
      </c>
      <c r="G45" s="260"/>
    </row>
    <row r="46" spans="1:7" x14ac:dyDescent="0.25">
      <c r="A46" s="260"/>
      <c r="B46" s="260"/>
      <c r="C46" s="260"/>
      <c r="D46" s="260" t="s">
        <v>146</v>
      </c>
      <c r="E46" s="260"/>
      <c r="F46" s="260" t="s">
        <v>119</v>
      </c>
      <c r="G46" s="260"/>
    </row>
    <row r="47" spans="1:7" x14ac:dyDescent="0.25">
      <c r="A47" s="260"/>
      <c r="B47" s="260"/>
      <c r="C47" s="260"/>
      <c r="D47" s="288" t="s">
        <v>1310</v>
      </c>
      <c r="E47" s="260"/>
      <c r="F47" s="260" t="s">
        <v>86</v>
      </c>
      <c r="G47" s="260"/>
    </row>
    <row r="48" spans="1:7" x14ac:dyDescent="0.25">
      <c r="A48" s="260"/>
      <c r="B48" s="260"/>
      <c r="C48" s="260"/>
      <c r="D48" s="260" t="s">
        <v>151</v>
      </c>
      <c r="E48" s="260"/>
      <c r="F48" s="260" t="s">
        <v>98</v>
      </c>
      <c r="G48" s="260"/>
    </row>
    <row r="49" spans="1:7" x14ac:dyDescent="0.25">
      <c r="A49" s="260"/>
      <c r="B49" s="260"/>
      <c r="C49" s="260"/>
      <c r="D49" s="260" t="s">
        <v>153</v>
      </c>
      <c r="E49" s="260"/>
      <c r="F49" s="260" t="s">
        <v>110</v>
      </c>
      <c r="G49" s="260"/>
    </row>
    <row r="50" spans="1:7" x14ac:dyDescent="0.25">
      <c r="A50" s="260"/>
      <c r="B50" s="260"/>
      <c r="C50" s="260"/>
      <c r="D50" s="260" t="s">
        <v>155</v>
      </c>
      <c r="E50" s="260"/>
      <c r="F50" s="260" t="s">
        <v>121</v>
      </c>
      <c r="G50" s="260"/>
    </row>
    <row r="51" spans="1:7" x14ac:dyDescent="0.25">
      <c r="A51" s="260"/>
      <c r="B51" s="260"/>
      <c r="C51" s="260"/>
      <c r="D51" s="260" t="s">
        <v>156</v>
      </c>
      <c r="E51" s="260"/>
      <c r="F51" s="260" t="s">
        <v>87</v>
      </c>
      <c r="G51" s="260"/>
    </row>
    <row r="52" spans="1:7" x14ac:dyDescent="0.25">
      <c r="A52" s="260"/>
      <c r="B52" s="260"/>
      <c r="C52" s="260"/>
      <c r="D52" s="260" t="s">
        <v>157</v>
      </c>
      <c r="E52" s="260"/>
      <c r="F52" s="260" t="s">
        <v>99</v>
      </c>
      <c r="G52" s="260"/>
    </row>
    <row r="53" spans="1:7" x14ac:dyDescent="0.25">
      <c r="A53" s="260"/>
      <c r="B53" s="260"/>
      <c r="C53" s="260"/>
      <c r="D53" s="260" t="s">
        <v>1311</v>
      </c>
      <c r="E53" s="260"/>
      <c r="F53" s="260" t="s">
        <v>111</v>
      </c>
      <c r="G53" s="260"/>
    </row>
    <row r="54" spans="1:7" x14ac:dyDescent="0.25">
      <c r="A54" s="260"/>
      <c r="B54" s="260"/>
      <c r="C54" s="260"/>
      <c r="D54" s="288" t="s">
        <v>1307</v>
      </c>
      <c r="E54" s="260"/>
      <c r="F54" s="260" t="s">
        <v>122</v>
      </c>
      <c r="G54" s="260"/>
    </row>
    <row r="55" spans="1:7" x14ac:dyDescent="0.25">
      <c r="A55" s="260"/>
      <c r="B55" s="260"/>
      <c r="C55" s="260"/>
      <c r="D55" s="288" t="s">
        <v>1312</v>
      </c>
      <c r="E55" s="260"/>
      <c r="F55" s="260" t="s">
        <v>88</v>
      </c>
      <c r="G55" s="260"/>
    </row>
    <row r="56" spans="1:7" x14ac:dyDescent="0.25">
      <c r="A56" s="260"/>
      <c r="B56" s="260"/>
      <c r="C56" s="260"/>
      <c r="D56" s="260" t="s">
        <v>161</v>
      </c>
      <c r="E56" s="260"/>
      <c r="F56" s="260" t="s">
        <v>100</v>
      </c>
      <c r="G56" s="260"/>
    </row>
    <row r="57" spans="1:7" x14ac:dyDescent="0.25">
      <c r="A57" s="260"/>
      <c r="B57" s="260"/>
      <c r="C57" s="260"/>
      <c r="D57" s="260" t="s">
        <v>1362</v>
      </c>
      <c r="E57" s="260"/>
      <c r="F57" s="260" t="s">
        <v>112</v>
      </c>
      <c r="G57" s="260"/>
    </row>
    <row r="58" spans="1:7" x14ac:dyDescent="0.25">
      <c r="A58" s="260"/>
      <c r="B58" s="260"/>
      <c r="C58" s="260"/>
      <c r="D58" s="260" t="s">
        <v>170</v>
      </c>
      <c r="E58" s="260"/>
      <c r="F58" s="260" t="s">
        <v>123</v>
      </c>
      <c r="G58" s="260"/>
    </row>
    <row r="59" spans="1:7" x14ac:dyDescent="0.25">
      <c r="A59" s="260"/>
      <c r="B59" s="260"/>
      <c r="C59" s="260"/>
      <c r="D59" s="260" t="s">
        <v>994</v>
      </c>
      <c r="E59" s="260"/>
      <c r="F59" s="260" t="s">
        <v>131</v>
      </c>
      <c r="G59" s="260"/>
    </row>
    <row r="60" spans="1:7" x14ac:dyDescent="0.25">
      <c r="A60" s="260"/>
      <c r="B60" s="260"/>
      <c r="C60" s="260"/>
      <c r="D60" s="260" t="s">
        <v>176</v>
      </c>
      <c r="E60" s="260"/>
      <c r="F60" s="260" t="s">
        <v>137</v>
      </c>
      <c r="G60" s="260"/>
    </row>
    <row r="61" spans="1:7" x14ac:dyDescent="0.25">
      <c r="A61" s="260"/>
      <c r="B61" s="260"/>
      <c r="C61" s="260"/>
      <c r="D61" s="260" t="s">
        <v>1328</v>
      </c>
      <c r="E61" s="260"/>
      <c r="F61" s="260" t="s">
        <v>141</v>
      </c>
      <c r="G61" s="260"/>
    </row>
    <row r="62" spans="1:7" x14ac:dyDescent="0.25">
      <c r="A62" s="260"/>
      <c r="B62" s="260"/>
      <c r="C62" s="260"/>
      <c r="D62" s="260" t="s">
        <v>182</v>
      </c>
      <c r="E62" s="260"/>
      <c r="F62" s="260" t="s">
        <v>144</v>
      </c>
      <c r="G62" s="260"/>
    </row>
    <row r="63" spans="1:7" x14ac:dyDescent="0.25">
      <c r="A63" s="260"/>
      <c r="B63" s="260"/>
      <c r="C63" s="260"/>
      <c r="D63" s="260" t="s">
        <v>185</v>
      </c>
      <c r="E63" s="260"/>
      <c r="F63" s="260" t="s">
        <v>147</v>
      </c>
      <c r="G63" s="260"/>
    </row>
    <row r="64" spans="1:7" x14ac:dyDescent="0.25">
      <c r="A64" s="260"/>
      <c r="B64" s="260"/>
      <c r="C64" s="260"/>
      <c r="D64" s="260" t="s">
        <v>187</v>
      </c>
      <c r="E64" s="260"/>
      <c r="F64" s="260" t="s">
        <v>149</v>
      </c>
      <c r="G64" s="260"/>
    </row>
    <row r="65" spans="1:7" x14ac:dyDescent="0.25">
      <c r="A65" s="260"/>
      <c r="B65" s="260"/>
      <c r="C65" s="260"/>
      <c r="D65" s="260" t="s">
        <v>1330</v>
      </c>
      <c r="E65" s="260"/>
      <c r="F65" s="260" t="s">
        <v>152</v>
      </c>
      <c r="G65" s="260"/>
    </row>
    <row r="66" spans="1:7" x14ac:dyDescent="0.25">
      <c r="A66" s="260"/>
      <c r="B66" s="260"/>
      <c r="C66" s="260"/>
      <c r="D66" s="260" t="s">
        <v>189</v>
      </c>
      <c r="E66" s="260"/>
      <c r="F66" s="260" t="s">
        <v>154</v>
      </c>
      <c r="G66" s="260"/>
    </row>
    <row r="67" spans="1:7" x14ac:dyDescent="0.25">
      <c r="A67" s="260"/>
      <c r="B67" s="260"/>
      <c r="C67" s="260"/>
      <c r="D67" s="260" t="s">
        <v>191</v>
      </c>
      <c r="E67" s="260"/>
      <c r="F67" s="260" t="s">
        <v>89</v>
      </c>
      <c r="G67" s="260"/>
    </row>
    <row r="68" spans="1:7" x14ac:dyDescent="0.25">
      <c r="A68" s="260"/>
      <c r="B68" s="260"/>
      <c r="C68" s="260"/>
      <c r="D68" s="260" t="s">
        <v>1329</v>
      </c>
      <c r="E68" s="260"/>
      <c r="F68" s="260" t="s">
        <v>101</v>
      </c>
      <c r="G68" s="260"/>
    </row>
    <row r="69" spans="1:7" x14ac:dyDescent="0.25">
      <c r="A69" s="260"/>
      <c r="B69" s="260"/>
      <c r="C69" s="260"/>
      <c r="D69" s="260" t="s">
        <v>193</v>
      </c>
      <c r="E69" s="260"/>
      <c r="F69" s="260" t="s">
        <v>113</v>
      </c>
      <c r="G69" s="260"/>
    </row>
    <row r="70" spans="1:7" x14ac:dyDescent="0.25">
      <c r="A70" s="260"/>
      <c r="B70" s="260"/>
      <c r="C70" s="260"/>
      <c r="D70" s="260" t="s">
        <v>195</v>
      </c>
      <c r="E70" s="260"/>
      <c r="F70" s="260" t="s">
        <v>124</v>
      </c>
      <c r="G70" s="260"/>
    </row>
    <row r="71" spans="1:7" x14ac:dyDescent="0.25">
      <c r="A71" s="260"/>
      <c r="B71" s="260"/>
      <c r="C71" s="260"/>
      <c r="D71" s="260" t="s">
        <v>197</v>
      </c>
      <c r="E71" s="260"/>
      <c r="F71" s="260" t="s">
        <v>132</v>
      </c>
      <c r="G71" s="260"/>
    </row>
    <row r="72" spans="1:7" x14ac:dyDescent="0.25">
      <c r="A72" s="260"/>
      <c r="B72" s="260"/>
      <c r="C72" s="260"/>
      <c r="D72" s="260" t="s">
        <v>1331</v>
      </c>
      <c r="E72" s="260"/>
      <c r="F72" s="260" t="s">
        <v>138</v>
      </c>
      <c r="G72" s="260"/>
    </row>
    <row r="73" spans="1:7" x14ac:dyDescent="0.25">
      <c r="A73" s="260"/>
      <c r="B73" s="260"/>
      <c r="C73" s="260"/>
      <c r="D73" s="260" t="s">
        <v>199</v>
      </c>
      <c r="E73" s="260"/>
      <c r="F73" s="260" t="s">
        <v>142</v>
      </c>
      <c r="G73" s="260"/>
    </row>
    <row r="74" spans="1:7" x14ac:dyDescent="0.25">
      <c r="A74" s="260"/>
      <c r="B74" s="260"/>
      <c r="C74" s="260"/>
      <c r="D74" s="260" t="s">
        <v>162</v>
      </c>
      <c r="E74" s="260"/>
      <c r="F74" s="260" t="s">
        <v>145</v>
      </c>
      <c r="G74" s="260"/>
    </row>
    <row r="75" spans="1:7" x14ac:dyDescent="0.25">
      <c r="A75" s="260"/>
      <c r="B75" s="260"/>
      <c r="C75" s="260"/>
      <c r="D75" s="260" t="s">
        <v>1361</v>
      </c>
      <c r="E75" s="260"/>
      <c r="F75" s="260" t="s">
        <v>148</v>
      </c>
      <c r="G75" s="260"/>
    </row>
    <row r="76" spans="1:7" x14ac:dyDescent="0.25">
      <c r="A76" s="260"/>
      <c r="B76" s="260"/>
      <c r="C76" s="260"/>
      <c r="D76" s="260" t="s">
        <v>171</v>
      </c>
      <c r="E76" s="260"/>
      <c r="F76" s="260" t="s">
        <v>150</v>
      </c>
      <c r="G76" s="260"/>
    </row>
    <row r="77" spans="1:7" x14ac:dyDescent="0.25">
      <c r="A77" s="260"/>
      <c r="B77" s="260"/>
      <c r="C77" s="260"/>
      <c r="D77" s="260" t="s">
        <v>177</v>
      </c>
      <c r="E77" s="260"/>
      <c r="F77" s="260" t="s">
        <v>1446</v>
      </c>
      <c r="G77" s="260"/>
    </row>
    <row r="78" spans="1:7" x14ac:dyDescent="0.25">
      <c r="A78" s="260"/>
      <c r="B78" s="260"/>
      <c r="C78" s="260"/>
      <c r="D78" s="260" t="s">
        <v>183</v>
      </c>
      <c r="E78" s="260"/>
      <c r="F78" s="260" t="s">
        <v>1447</v>
      </c>
      <c r="G78" s="260"/>
    </row>
    <row r="79" spans="1:7" x14ac:dyDescent="0.25">
      <c r="A79" s="260"/>
      <c r="B79" s="260"/>
      <c r="C79" s="260"/>
      <c r="D79" s="260" t="s">
        <v>186</v>
      </c>
      <c r="E79" s="260"/>
      <c r="F79" s="260" t="s">
        <v>2573</v>
      </c>
      <c r="G79" s="260"/>
    </row>
    <row r="80" spans="1:7" x14ac:dyDescent="0.25">
      <c r="A80" s="260"/>
      <c r="B80" s="260"/>
      <c r="C80" s="260"/>
      <c r="D80" s="260" t="s">
        <v>188</v>
      </c>
      <c r="E80" s="260"/>
      <c r="F80" s="260" t="s">
        <v>2708</v>
      </c>
      <c r="G80" s="260"/>
    </row>
    <row r="81" spans="1:7" x14ac:dyDescent="0.25">
      <c r="A81" s="260"/>
      <c r="B81" s="260"/>
      <c r="C81" s="260"/>
      <c r="D81" s="260" t="s">
        <v>190</v>
      </c>
      <c r="E81" s="260"/>
      <c r="F81" s="260"/>
      <c r="G81" s="260"/>
    </row>
    <row r="82" spans="1:7" x14ac:dyDescent="0.25">
      <c r="A82" s="260"/>
      <c r="B82" s="260"/>
      <c r="C82" s="260"/>
      <c r="D82" s="260" t="s">
        <v>192</v>
      </c>
      <c r="E82" s="260"/>
      <c r="F82" s="260"/>
      <c r="G82" s="260"/>
    </row>
    <row r="83" spans="1:7" x14ac:dyDescent="0.25">
      <c r="A83" s="260"/>
      <c r="B83" s="260"/>
      <c r="C83" s="260"/>
      <c r="D83" s="260" t="s">
        <v>194</v>
      </c>
      <c r="E83" s="260"/>
      <c r="F83" s="260"/>
      <c r="G83" s="260"/>
    </row>
    <row r="84" spans="1:7" x14ac:dyDescent="0.25">
      <c r="A84" s="260"/>
      <c r="B84" s="260"/>
      <c r="C84" s="260"/>
      <c r="D84" s="260" t="s">
        <v>196</v>
      </c>
      <c r="E84" s="260"/>
      <c r="F84" s="260"/>
      <c r="G84" s="260"/>
    </row>
    <row r="85" spans="1:7" x14ac:dyDescent="0.25">
      <c r="A85" s="260"/>
      <c r="B85" s="260"/>
      <c r="C85" s="260"/>
      <c r="D85" s="260" t="s">
        <v>198</v>
      </c>
      <c r="E85" s="260"/>
      <c r="F85" s="260"/>
      <c r="G85" s="260"/>
    </row>
    <row r="86" spans="1:7" x14ac:dyDescent="0.25">
      <c r="A86" s="260"/>
      <c r="B86" s="260"/>
      <c r="C86" s="260"/>
      <c r="D86" s="260" t="s">
        <v>200</v>
      </c>
      <c r="E86" s="260"/>
      <c r="F86" s="260"/>
      <c r="G86" s="260"/>
    </row>
    <row r="87" spans="1:7" x14ac:dyDescent="0.25">
      <c r="A87" s="260"/>
      <c r="B87" s="260"/>
      <c r="C87" s="260"/>
      <c r="D87" s="260" t="s">
        <v>201</v>
      </c>
      <c r="E87" s="260"/>
      <c r="F87" s="260"/>
      <c r="G87" s="260"/>
    </row>
    <row r="88" spans="1:7" x14ac:dyDescent="0.25">
      <c r="A88" s="260"/>
      <c r="B88" s="260"/>
      <c r="C88" s="260"/>
      <c r="D88" s="260" t="s">
        <v>204</v>
      </c>
      <c r="E88" s="260"/>
      <c r="F88" s="260"/>
      <c r="G88" s="260"/>
    </row>
    <row r="89" spans="1:7" x14ac:dyDescent="0.25">
      <c r="A89" s="260"/>
      <c r="B89" s="260"/>
      <c r="C89" s="260"/>
      <c r="D89" s="260" t="s">
        <v>1360</v>
      </c>
      <c r="E89" s="260"/>
      <c r="F89" s="260"/>
      <c r="G89" s="260"/>
    </row>
    <row r="90" spans="1:7" x14ac:dyDescent="0.25">
      <c r="A90" s="260"/>
      <c r="B90" s="260"/>
      <c r="C90" s="260"/>
      <c r="D90" s="260" t="s">
        <v>234</v>
      </c>
      <c r="E90" s="260"/>
      <c r="F90" s="260"/>
      <c r="G90" s="260"/>
    </row>
    <row r="91" spans="1:7" x14ac:dyDescent="0.25">
      <c r="A91" s="260"/>
      <c r="B91" s="260"/>
      <c r="C91" s="260"/>
      <c r="D91" s="260" t="s">
        <v>207</v>
      </c>
      <c r="E91" s="260"/>
      <c r="F91" s="260"/>
      <c r="G91" s="260"/>
    </row>
    <row r="92" spans="1:7" x14ac:dyDescent="0.25">
      <c r="A92" s="260"/>
      <c r="B92" s="260"/>
      <c r="C92" s="260"/>
      <c r="D92" s="260" t="s">
        <v>210</v>
      </c>
      <c r="E92" s="260"/>
      <c r="F92" s="260"/>
      <c r="G92" s="260"/>
    </row>
    <row r="93" spans="1:7" x14ac:dyDescent="0.25">
      <c r="A93" s="260"/>
      <c r="B93" s="260"/>
      <c r="C93" s="260"/>
      <c r="D93" s="260" t="s">
        <v>1412</v>
      </c>
      <c r="E93" s="260"/>
      <c r="F93" s="260"/>
      <c r="G93" s="260"/>
    </row>
    <row r="94" spans="1:7" x14ac:dyDescent="0.25">
      <c r="A94" s="260"/>
      <c r="B94" s="260"/>
      <c r="C94" s="260"/>
      <c r="D94" s="260" t="s">
        <v>213</v>
      </c>
      <c r="E94" s="260"/>
      <c r="F94" s="260"/>
      <c r="G94" s="260"/>
    </row>
    <row r="95" spans="1:7" x14ac:dyDescent="0.25">
      <c r="A95" s="260"/>
      <c r="B95" s="260"/>
      <c r="C95" s="260"/>
      <c r="D95" s="260" t="s">
        <v>216</v>
      </c>
      <c r="E95" s="260"/>
      <c r="F95" s="260"/>
      <c r="G95" s="260"/>
    </row>
    <row r="96" spans="1:7" x14ac:dyDescent="0.25">
      <c r="A96" s="260"/>
      <c r="B96" s="260"/>
      <c r="C96" s="260"/>
      <c r="D96" s="260" t="s">
        <v>1332</v>
      </c>
      <c r="E96" s="260"/>
      <c r="F96" s="260"/>
      <c r="G96" s="260"/>
    </row>
    <row r="97" spans="1:7" x14ac:dyDescent="0.25">
      <c r="A97" s="260"/>
      <c r="B97" s="260"/>
      <c r="C97" s="260"/>
      <c r="D97" s="260" t="s">
        <v>218</v>
      </c>
      <c r="E97" s="260"/>
      <c r="F97" s="260"/>
      <c r="G97" s="260"/>
    </row>
    <row r="98" spans="1:7" x14ac:dyDescent="0.25">
      <c r="A98" s="260"/>
      <c r="B98" s="260"/>
      <c r="C98" s="260"/>
      <c r="D98" s="260" t="s">
        <v>1414</v>
      </c>
      <c r="E98" s="260"/>
      <c r="F98" s="260"/>
      <c r="G98" s="260"/>
    </row>
    <row r="99" spans="1:7" x14ac:dyDescent="0.25">
      <c r="A99" s="260"/>
      <c r="B99" s="260"/>
      <c r="C99" s="260"/>
      <c r="D99" s="260" t="s">
        <v>1415</v>
      </c>
      <c r="E99" s="260"/>
      <c r="F99" s="260"/>
      <c r="G99" s="260"/>
    </row>
    <row r="100" spans="1:7" x14ac:dyDescent="0.25">
      <c r="A100" s="260"/>
      <c r="B100" s="260"/>
      <c r="C100" s="260"/>
      <c r="D100" s="260" t="s">
        <v>219</v>
      </c>
      <c r="E100" s="260"/>
      <c r="F100" s="260"/>
      <c r="G100" s="260"/>
    </row>
    <row r="101" spans="1:7" x14ac:dyDescent="0.25">
      <c r="A101" s="260"/>
      <c r="B101" s="260"/>
      <c r="C101" s="260"/>
      <c r="D101" s="260" t="s">
        <v>220</v>
      </c>
      <c r="E101" s="260"/>
      <c r="F101" s="260"/>
      <c r="G101" s="260"/>
    </row>
    <row r="102" spans="1:7" x14ac:dyDescent="0.25">
      <c r="A102" s="260"/>
      <c r="B102" s="260"/>
      <c r="C102" s="260"/>
      <c r="D102" s="260" t="s">
        <v>1413</v>
      </c>
      <c r="E102" s="260"/>
      <c r="F102" s="260"/>
      <c r="G102" s="260"/>
    </row>
    <row r="103" spans="1:7" x14ac:dyDescent="0.25">
      <c r="A103" s="260"/>
      <c r="B103" s="260"/>
      <c r="C103" s="260"/>
      <c r="D103" s="260" t="s">
        <v>221</v>
      </c>
      <c r="E103" s="260"/>
      <c r="F103" s="260"/>
      <c r="G103" s="260"/>
    </row>
    <row r="104" spans="1:7" x14ac:dyDescent="0.25">
      <c r="A104" s="260"/>
      <c r="B104" s="260"/>
      <c r="C104" s="260"/>
      <c r="D104" s="260" t="s">
        <v>222</v>
      </c>
      <c r="E104" s="260"/>
      <c r="F104" s="260"/>
      <c r="G104" s="260"/>
    </row>
    <row r="105" spans="1:7" x14ac:dyDescent="0.25">
      <c r="A105" s="260"/>
      <c r="B105" s="260"/>
      <c r="C105" s="260"/>
      <c r="D105" s="260" t="s">
        <v>1333</v>
      </c>
      <c r="E105" s="260"/>
      <c r="F105" s="260"/>
      <c r="G105" s="260"/>
    </row>
    <row r="106" spans="1:7" x14ac:dyDescent="0.25">
      <c r="A106" s="260"/>
      <c r="B106" s="260"/>
      <c r="C106" s="260"/>
      <c r="D106" s="260" t="s">
        <v>223</v>
      </c>
      <c r="E106" s="260"/>
      <c r="F106" s="260"/>
      <c r="G106" s="260"/>
    </row>
    <row r="107" spans="1:7" x14ac:dyDescent="0.25">
      <c r="A107" s="260"/>
      <c r="B107" s="260"/>
      <c r="C107" s="260"/>
      <c r="D107" s="260" t="s">
        <v>2096</v>
      </c>
      <c r="E107" s="260"/>
      <c r="F107" s="260"/>
      <c r="G107" s="260"/>
    </row>
    <row r="108" spans="1:7" x14ac:dyDescent="0.25">
      <c r="A108" s="260"/>
      <c r="B108" s="260"/>
      <c r="C108" s="260"/>
      <c r="D108" s="260" t="s">
        <v>160</v>
      </c>
      <c r="E108" s="260"/>
      <c r="F108" s="260"/>
      <c r="G108" s="260"/>
    </row>
    <row r="109" spans="1:7" x14ac:dyDescent="0.25">
      <c r="A109" s="260"/>
      <c r="B109" s="260"/>
      <c r="C109" s="260"/>
      <c r="D109" s="260" t="s">
        <v>168</v>
      </c>
      <c r="E109" s="260"/>
      <c r="F109" s="260"/>
      <c r="G109" s="260"/>
    </row>
    <row r="110" spans="1:7" x14ac:dyDescent="0.25">
      <c r="A110" s="260"/>
      <c r="B110" s="260"/>
      <c r="C110" s="260"/>
      <c r="D110" s="260" t="s">
        <v>202</v>
      </c>
      <c r="E110" s="260"/>
      <c r="F110" s="260"/>
      <c r="G110" s="260"/>
    </row>
    <row r="111" spans="1:7" x14ac:dyDescent="0.25">
      <c r="A111" s="260"/>
      <c r="B111" s="260"/>
      <c r="C111" s="260"/>
      <c r="D111" s="260" t="s">
        <v>2853</v>
      </c>
      <c r="E111" s="260"/>
      <c r="F111" s="260"/>
      <c r="G111" s="260"/>
    </row>
    <row r="112" spans="1:7" x14ac:dyDescent="0.25">
      <c r="A112" s="260"/>
      <c r="B112" s="260"/>
      <c r="C112" s="260"/>
      <c r="D112" s="260" t="s">
        <v>208</v>
      </c>
      <c r="E112" s="260"/>
      <c r="F112" s="260"/>
      <c r="G112" s="260"/>
    </row>
    <row r="113" spans="1:7" x14ac:dyDescent="0.25">
      <c r="A113" s="260"/>
      <c r="B113" s="260"/>
      <c r="C113" s="260"/>
      <c r="D113" s="260" t="s">
        <v>2854</v>
      </c>
      <c r="E113" s="260"/>
      <c r="F113" s="260"/>
      <c r="G113" s="260"/>
    </row>
    <row r="114" spans="1:7" x14ac:dyDescent="0.25">
      <c r="A114" s="260"/>
      <c r="B114" s="260"/>
      <c r="C114" s="260"/>
      <c r="D114" s="260" t="s">
        <v>214</v>
      </c>
      <c r="E114" s="260"/>
      <c r="F114" s="260"/>
      <c r="G114" s="260"/>
    </row>
    <row r="115" spans="1:7" x14ac:dyDescent="0.25">
      <c r="A115" s="260"/>
      <c r="B115" s="260"/>
      <c r="C115" s="260"/>
      <c r="D115" s="260" t="s">
        <v>217</v>
      </c>
      <c r="E115" s="260"/>
      <c r="F115" s="260"/>
      <c r="G115" s="260"/>
    </row>
    <row r="116" spans="1:7" x14ac:dyDescent="0.25">
      <c r="A116" s="260"/>
      <c r="B116" s="260"/>
      <c r="C116" s="260"/>
      <c r="D116" s="260" t="s">
        <v>165</v>
      </c>
      <c r="E116" s="260"/>
      <c r="F116" s="260"/>
      <c r="G116" s="260"/>
    </row>
    <row r="117" spans="1:7" x14ac:dyDescent="0.25">
      <c r="A117" s="260"/>
      <c r="B117" s="260"/>
      <c r="C117" s="260"/>
      <c r="D117" s="260" t="s">
        <v>169</v>
      </c>
      <c r="E117" s="260"/>
      <c r="F117" s="260"/>
      <c r="G117" s="260"/>
    </row>
    <row r="118" spans="1:7" x14ac:dyDescent="0.25">
      <c r="A118" s="260"/>
      <c r="B118" s="260"/>
      <c r="C118" s="260"/>
      <c r="D118" s="260" t="s">
        <v>203</v>
      </c>
      <c r="E118" s="260"/>
      <c r="F118" s="260"/>
      <c r="G118" s="260"/>
    </row>
    <row r="119" spans="1:7" x14ac:dyDescent="0.25">
      <c r="A119" s="260"/>
      <c r="B119" s="260"/>
      <c r="C119" s="260"/>
      <c r="D119" s="260" t="s">
        <v>206</v>
      </c>
      <c r="E119" s="260"/>
      <c r="F119" s="260"/>
      <c r="G119" s="260"/>
    </row>
    <row r="120" spans="1:7" x14ac:dyDescent="0.25">
      <c r="A120" s="260"/>
      <c r="B120" s="260"/>
      <c r="C120" s="260"/>
      <c r="D120" s="260" t="s">
        <v>209</v>
      </c>
      <c r="E120" s="260"/>
      <c r="F120" s="260"/>
      <c r="G120" s="260"/>
    </row>
    <row r="121" spans="1:7" x14ac:dyDescent="0.25">
      <c r="A121" s="260"/>
      <c r="B121" s="260"/>
      <c r="C121" s="260"/>
      <c r="D121" s="260" t="s">
        <v>235</v>
      </c>
      <c r="E121" s="260"/>
      <c r="F121" s="260"/>
      <c r="G121" s="260"/>
    </row>
    <row r="122" spans="1:7" x14ac:dyDescent="0.25">
      <c r="A122" s="260"/>
      <c r="B122" s="260"/>
      <c r="C122" s="260"/>
      <c r="D122" s="260" t="s">
        <v>212</v>
      </c>
      <c r="E122" s="260"/>
      <c r="F122" s="260"/>
      <c r="G122" s="260"/>
    </row>
    <row r="123" spans="1:7" ht="15.75" thickBot="1" x14ac:dyDescent="0.3">
      <c r="A123" s="263"/>
      <c r="B123" s="263"/>
      <c r="C123" s="263"/>
      <c r="D123" s="263" t="s">
        <v>215</v>
      </c>
      <c r="E123" s="263"/>
      <c r="F123" s="263"/>
      <c r="G123" s="263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382"/>
  <sheetViews>
    <sheetView zoomScale="115" zoomScaleNormal="115" workbookViewId="0">
      <selection activeCell="C378" sqref="C378"/>
    </sheetView>
  </sheetViews>
  <sheetFormatPr defaultRowHeight="15" x14ac:dyDescent="0.25"/>
  <cols>
    <col min="1" max="1" width="16.28515625" style="48" bestFit="1" customWidth="1"/>
    <col min="2" max="2" width="13.7109375" style="41" bestFit="1" customWidth="1"/>
    <col min="3" max="3" width="17.42578125" bestFit="1" customWidth="1"/>
    <col min="4" max="4" width="9.7109375" bestFit="1" customWidth="1"/>
    <col min="5" max="5" width="19.7109375" bestFit="1" customWidth="1"/>
    <col min="6" max="6" width="10.140625" customWidth="1"/>
    <col min="7" max="7" width="38.42578125" bestFit="1" customWidth="1"/>
    <col min="8" max="8" width="44.42578125" style="48" bestFit="1" customWidth="1"/>
    <col min="9" max="9" width="22.85546875" style="48" bestFit="1" customWidth="1"/>
    <col min="10" max="10" width="16.5703125" style="269" bestFit="1" customWidth="1"/>
    <col min="11" max="11" width="14.5703125" style="269" bestFit="1" customWidth="1"/>
    <col min="12" max="12" width="18.7109375" style="269" bestFit="1" customWidth="1"/>
  </cols>
  <sheetData>
    <row r="1" spans="1:12" s="41" customFormat="1" x14ac:dyDescent="0.25">
      <c r="A1" s="41" t="s">
        <v>21</v>
      </c>
      <c r="B1" s="335" t="s">
        <v>2204</v>
      </c>
      <c r="C1" s="335" t="s">
        <v>1971</v>
      </c>
      <c r="D1" s="335" t="s">
        <v>4</v>
      </c>
      <c r="E1" s="335" t="s">
        <v>1529</v>
      </c>
      <c r="F1" s="335" t="s">
        <v>1260</v>
      </c>
      <c r="G1" s="335" t="s">
        <v>1530</v>
      </c>
      <c r="H1" s="335" t="s">
        <v>1972</v>
      </c>
      <c r="I1" s="335" t="s">
        <v>295</v>
      </c>
      <c r="J1" s="269" t="s">
        <v>1973</v>
      </c>
      <c r="K1" s="269" t="s">
        <v>1531</v>
      </c>
      <c r="L1" s="269" t="s">
        <v>2330</v>
      </c>
    </row>
    <row r="2" spans="1:12" x14ac:dyDescent="0.25">
      <c r="A2" s="336" t="str">
        <f>AEL_Protection_Data[[#This Row],[Zone Sub]]&amp;"-"&amp;AEL_Protection_Data[[#This Row],[CB ID]]</f>
        <v>ABY-CB2742</v>
      </c>
      <c r="B2" s="335" t="s">
        <v>79</v>
      </c>
      <c r="C2" s="334" t="s">
        <v>1528</v>
      </c>
      <c r="D2" s="334" t="s">
        <v>365</v>
      </c>
      <c r="E2" s="334" t="s">
        <v>1532</v>
      </c>
      <c r="F2" s="336" t="s">
        <v>314</v>
      </c>
      <c r="G2" s="334" t="s">
        <v>1533</v>
      </c>
      <c r="H2" s="334" t="s">
        <v>115</v>
      </c>
      <c r="I2" s="336" t="s">
        <v>1534</v>
      </c>
      <c r="J2" s="269">
        <v>11</v>
      </c>
      <c r="K2" s="269">
        <v>225</v>
      </c>
      <c r="L2" s="269">
        <f>IF(AEL_Protection_Data[[#This Row],[ID]]=A1,MIN(AEL_Protection_Data[[#This Row],[Pickup (A)]],K1),IF(AEL_Protection_Data[[#This Row],[ID]]=A3,MIN(AEL_Protection_Data[[#This Row],[Pickup (A)]],K3),AEL_Protection_Data[[#This Row],[Pickup (A)]]))</f>
        <v>225</v>
      </c>
    </row>
    <row r="3" spans="1:12" x14ac:dyDescent="0.25">
      <c r="A3" s="336" t="str">
        <f>AEL_Protection_Data[[#This Row],[Zone Sub]]&amp;"-"&amp;AEL_Protection_Data[[#This Row],[CB ID]]</f>
        <v>ABY-CB2732</v>
      </c>
      <c r="B3" s="335" t="s">
        <v>79</v>
      </c>
      <c r="C3" s="334" t="s">
        <v>1528</v>
      </c>
      <c r="D3" s="334" t="s">
        <v>365</v>
      </c>
      <c r="E3" s="334" t="s">
        <v>1532</v>
      </c>
      <c r="F3" s="336" t="s">
        <v>313</v>
      </c>
      <c r="G3" s="334" t="s">
        <v>1535</v>
      </c>
      <c r="H3" s="334" t="s">
        <v>103</v>
      </c>
      <c r="I3" s="336" t="s">
        <v>1534</v>
      </c>
      <c r="J3" s="269">
        <v>11</v>
      </c>
      <c r="K3" s="269">
        <v>225</v>
      </c>
      <c r="L3" s="269">
        <f>IF(AEL_Protection_Data[[#This Row],[ID]]=A2,MIN(AEL_Protection_Data[[#This Row],[Pickup (A)]],K2),IF(AEL_Protection_Data[[#This Row],[ID]]=A4,MIN(AEL_Protection_Data[[#This Row],[Pickup (A)]],K4),AEL_Protection_Data[[#This Row],[Pickup (A)]]))</f>
        <v>225</v>
      </c>
    </row>
    <row r="4" spans="1:12" x14ac:dyDescent="0.25">
      <c r="A4" s="336" t="str">
        <f>AEL_Protection_Data[[#This Row],[Zone Sub]]&amp;"-"&amp;AEL_Protection_Data[[#This Row],[CB ID]]</f>
        <v>ABY-CB2722</v>
      </c>
      <c r="B4" s="335" t="s">
        <v>79</v>
      </c>
      <c r="C4" s="334" t="s">
        <v>1528</v>
      </c>
      <c r="D4" s="334" t="s">
        <v>365</v>
      </c>
      <c r="E4" s="334" t="s">
        <v>1532</v>
      </c>
      <c r="F4" s="336" t="s">
        <v>310</v>
      </c>
      <c r="G4" s="334" t="s">
        <v>1536</v>
      </c>
      <c r="H4" s="334" t="s">
        <v>90</v>
      </c>
      <c r="I4" s="336" t="s">
        <v>1534</v>
      </c>
      <c r="J4" s="269">
        <v>11</v>
      </c>
      <c r="K4" s="269">
        <v>450</v>
      </c>
      <c r="L4" s="269">
        <f>IF(AEL_Protection_Data[[#This Row],[ID]]=A3,MIN(AEL_Protection_Data[[#This Row],[Pickup (A)]],K3),IF(AEL_Protection_Data[[#This Row],[ID]]=A5,MIN(AEL_Protection_Data[[#This Row],[Pickup (A)]],K5),AEL_Protection_Data[[#This Row],[Pickup (A)]]))</f>
        <v>450</v>
      </c>
    </row>
    <row r="5" spans="1:12" x14ac:dyDescent="0.25">
      <c r="A5" s="336" t="str">
        <f>AEL_Protection_Data[[#This Row],[Zone Sub]]&amp;"-"&amp;AEL_Protection_Data[[#This Row],[CB ID]]</f>
        <v>ABY-CB4242</v>
      </c>
      <c r="B5" s="335" t="s">
        <v>79</v>
      </c>
      <c r="C5" s="334" t="s">
        <v>1528</v>
      </c>
      <c r="D5" s="334" t="s">
        <v>365</v>
      </c>
      <c r="E5" s="334" t="s">
        <v>1532</v>
      </c>
      <c r="F5" s="336" t="s">
        <v>330</v>
      </c>
      <c r="G5" s="334" t="s">
        <v>1537</v>
      </c>
      <c r="H5" s="334" t="s">
        <v>1974</v>
      </c>
      <c r="I5" s="336" t="s">
        <v>1538</v>
      </c>
      <c r="J5" s="269">
        <v>33</v>
      </c>
      <c r="K5" s="269">
        <v>150</v>
      </c>
      <c r="L5" s="269">
        <f>IF(AEL_Protection_Data[[#This Row],[ID]]=A4,MIN(AEL_Protection_Data[[#This Row],[Pickup (A)]],K4),IF(AEL_Protection_Data[[#This Row],[ID]]=A6,MIN(AEL_Protection_Data[[#This Row],[Pickup (A)]],K6),AEL_Protection_Data[[#This Row],[Pickup (A)]]))</f>
        <v>150</v>
      </c>
    </row>
    <row r="6" spans="1:12" x14ac:dyDescent="0.25">
      <c r="A6" s="336" t="str">
        <f>AEL_Protection_Data[[#This Row],[Zone Sub]]&amp;"-"&amp;AEL_Protection_Data[[#This Row],[CB ID]]</f>
        <v>FLE-F150</v>
      </c>
      <c r="B6" s="335" t="s">
        <v>158</v>
      </c>
      <c r="C6" s="334" t="s">
        <v>1528</v>
      </c>
      <c r="D6" s="334" t="s">
        <v>365</v>
      </c>
      <c r="E6" s="334" t="s">
        <v>1540</v>
      </c>
      <c r="F6" s="336" t="s">
        <v>1541</v>
      </c>
      <c r="G6" s="334" t="s">
        <v>1542</v>
      </c>
      <c r="H6" s="334" t="s">
        <v>1975</v>
      </c>
      <c r="I6" s="336" t="s">
        <v>1543</v>
      </c>
      <c r="J6" s="269">
        <v>11</v>
      </c>
      <c r="K6" s="269">
        <v>100</v>
      </c>
      <c r="L6" s="269">
        <f>IF(AEL_Protection_Data[[#This Row],[ID]]=A5,MIN(AEL_Protection_Data[[#This Row],[Pickup (A)]],K5),IF(AEL_Protection_Data[[#This Row],[ID]]=A7,MIN(AEL_Protection_Data[[#This Row],[Pickup (A)]],K7),AEL_Protection_Data[[#This Row],[Pickup (A)]]))</f>
        <v>100</v>
      </c>
    </row>
    <row r="7" spans="1:12" x14ac:dyDescent="0.25">
      <c r="A7" s="336" t="str">
        <f>AEL_Protection_Data[[#This Row],[Zone Sub]]&amp;"-"&amp;AEL_Protection_Data[[#This Row],[CB ID]]</f>
        <v>FLE-F138</v>
      </c>
      <c r="B7" s="335" t="s">
        <v>158</v>
      </c>
      <c r="C7" s="334" t="s">
        <v>1528</v>
      </c>
      <c r="D7" s="334" t="s">
        <v>365</v>
      </c>
      <c r="E7" s="334" t="s">
        <v>1532</v>
      </c>
      <c r="F7" s="336" t="s">
        <v>1544</v>
      </c>
      <c r="G7" s="334" t="s">
        <v>1545</v>
      </c>
      <c r="H7" s="334" t="s">
        <v>1976</v>
      </c>
      <c r="I7" s="336" t="s">
        <v>1546</v>
      </c>
      <c r="J7" s="269">
        <v>11</v>
      </c>
      <c r="K7" s="269">
        <v>70</v>
      </c>
      <c r="L7" s="269">
        <f>IF(AEL_Protection_Data[[#This Row],[ID]]=A6,MIN(AEL_Protection_Data[[#This Row],[Pickup (A)]],K6),IF(AEL_Protection_Data[[#This Row],[ID]]=A8,MIN(AEL_Protection_Data[[#This Row],[Pickup (A)]],K8),AEL_Protection_Data[[#This Row],[Pickup (A)]]))</f>
        <v>70</v>
      </c>
    </row>
    <row r="8" spans="1:12" x14ac:dyDescent="0.25">
      <c r="A8" s="336" t="str">
        <f>AEL_Protection_Data[[#This Row],[Zone Sub]]&amp;"-"&amp;AEL_Protection_Data[[#This Row],[CB ID]]</f>
        <v>FLE-F295</v>
      </c>
      <c r="B8" s="335" t="s">
        <v>158</v>
      </c>
      <c r="C8" s="334" t="s">
        <v>1528</v>
      </c>
      <c r="D8" s="334" t="s">
        <v>365</v>
      </c>
      <c r="E8" s="334" t="s">
        <v>1540</v>
      </c>
      <c r="F8" s="336" t="s">
        <v>1547</v>
      </c>
      <c r="G8" s="334" t="s">
        <v>1548</v>
      </c>
      <c r="H8" s="334" t="s">
        <v>1977</v>
      </c>
      <c r="I8" s="336" t="s">
        <v>1549</v>
      </c>
      <c r="J8" s="269">
        <v>11</v>
      </c>
      <c r="K8" s="269">
        <v>50</v>
      </c>
      <c r="L8" s="269">
        <f>IF(AEL_Protection_Data[[#This Row],[ID]]=A7,MIN(AEL_Protection_Data[[#This Row],[Pickup (A)]],K7),IF(AEL_Protection_Data[[#This Row],[ID]]=A9,MIN(AEL_Protection_Data[[#This Row],[Pickup (A)]],K9),AEL_Protection_Data[[#This Row],[Pickup (A)]]))</f>
        <v>50</v>
      </c>
    </row>
    <row r="9" spans="1:12" x14ac:dyDescent="0.25">
      <c r="A9" s="336" t="str">
        <f>AEL_Protection_Data[[#This Row],[Zone Sub]]&amp;"-"&amp;AEL_Protection_Data[[#This Row],[CB ID]]</f>
        <v>FLE-F392</v>
      </c>
      <c r="B9" s="335" t="s">
        <v>158</v>
      </c>
      <c r="C9" s="334" t="s">
        <v>1528</v>
      </c>
      <c r="D9" s="334" t="s">
        <v>365</v>
      </c>
      <c r="E9" s="334" t="s">
        <v>1540</v>
      </c>
      <c r="F9" s="336" t="s">
        <v>1550</v>
      </c>
      <c r="G9" s="334" t="s">
        <v>1551</v>
      </c>
      <c r="H9" s="334" t="s">
        <v>1978</v>
      </c>
      <c r="I9" s="336" t="s">
        <v>1539</v>
      </c>
      <c r="J9" s="269">
        <v>11</v>
      </c>
      <c r="K9" s="269">
        <v>60</v>
      </c>
      <c r="L9" s="269">
        <f>IF(AEL_Protection_Data[[#This Row],[ID]]=A8,MIN(AEL_Protection_Data[[#This Row],[Pickup (A)]],K8),IF(AEL_Protection_Data[[#This Row],[ID]]=A10,MIN(AEL_Protection_Data[[#This Row],[Pickup (A)]],K10),AEL_Protection_Data[[#This Row],[Pickup (A)]]))</f>
        <v>60</v>
      </c>
    </row>
    <row r="10" spans="1:12" x14ac:dyDescent="0.25">
      <c r="A10" s="336" t="str">
        <f>AEL_Protection_Data[[#This Row],[Zone Sub]]&amp;"-"&amp;AEL_Protection_Data[[#This Row],[CB ID]]</f>
        <v>FLE-F323</v>
      </c>
      <c r="B10" s="335" t="s">
        <v>158</v>
      </c>
      <c r="C10" s="334" t="s">
        <v>1528</v>
      </c>
      <c r="D10" s="334" t="s">
        <v>365</v>
      </c>
      <c r="E10" s="334" t="s">
        <v>1532</v>
      </c>
      <c r="F10" s="336" t="s">
        <v>1419</v>
      </c>
      <c r="G10" s="334" t="s">
        <v>1552</v>
      </c>
      <c r="H10" s="334" t="s">
        <v>1979</v>
      </c>
      <c r="I10" s="336" t="s">
        <v>1534</v>
      </c>
      <c r="J10" s="269">
        <v>33</v>
      </c>
      <c r="K10" s="269">
        <v>100</v>
      </c>
      <c r="L10" s="269">
        <f>IF(AEL_Protection_Data[[#This Row],[ID]]=A9,MIN(AEL_Protection_Data[[#This Row],[Pickup (A)]],K9),IF(AEL_Protection_Data[[#This Row],[ID]]=A11,MIN(AEL_Protection_Data[[#This Row],[Pickup (A)]],K11),AEL_Protection_Data[[#This Row],[Pickup (A)]]))</f>
        <v>100</v>
      </c>
    </row>
    <row r="11" spans="1:12" x14ac:dyDescent="0.25">
      <c r="A11" s="336" t="str">
        <f>AEL_Protection_Data[[#This Row],[Zone Sub]]&amp;"-"&amp;AEL_Protection_Data[[#This Row],[CB ID]]</f>
        <v>FLE-F377</v>
      </c>
      <c r="B11" s="335" t="s">
        <v>158</v>
      </c>
      <c r="C11" s="334" t="s">
        <v>1528</v>
      </c>
      <c r="D11" s="334" t="s">
        <v>365</v>
      </c>
      <c r="E11" s="334" t="s">
        <v>1532</v>
      </c>
      <c r="F11" s="336" t="s">
        <v>349</v>
      </c>
      <c r="G11" s="334" t="s">
        <v>1553</v>
      </c>
      <c r="H11" s="334" t="s">
        <v>1980</v>
      </c>
      <c r="I11" s="336" t="s">
        <v>1539</v>
      </c>
      <c r="J11" s="269">
        <v>11</v>
      </c>
      <c r="K11" s="269">
        <v>280</v>
      </c>
      <c r="L11" s="269">
        <f>IF(AEL_Protection_Data[[#This Row],[ID]]=A10,MIN(AEL_Protection_Data[[#This Row],[Pickup (A)]],K10),IF(AEL_Protection_Data[[#This Row],[ID]]=A12,MIN(AEL_Protection_Data[[#This Row],[Pickup (A)]],K12),AEL_Protection_Data[[#This Row],[Pickup (A)]]))</f>
        <v>280</v>
      </c>
    </row>
    <row r="12" spans="1:12" x14ac:dyDescent="0.25">
      <c r="A12" s="336" t="str">
        <f>AEL_Protection_Data[[#This Row],[Zone Sub]]&amp;"-"&amp;AEL_Protection_Data[[#This Row],[CB ID]]</f>
        <v>FLE-F374</v>
      </c>
      <c r="B12" s="335" t="s">
        <v>158</v>
      </c>
      <c r="C12" s="334" t="s">
        <v>1528</v>
      </c>
      <c r="D12" s="334" t="s">
        <v>365</v>
      </c>
      <c r="E12" s="334" t="s">
        <v>1532</v>
      </c>
      <c r="F12" s="336" t="s">
        <v>354</v>
      </c>
      <c r="G12" s="334" t="s">
        <v>1554</v>
      </c>
      <c r="H12" s="334" t="s">
        <v>166</v>
      </c>
      <c r="I12" s="336" t="s">
        <v>1539</v>
      </c>
      <c r="J12" s="269">
        <v>11</v>
      </c>
      <c r="K12" s="269">
        <v>192</v>
      </c>
      <c r="L12" s="269">
        <f>IF(AEL_Protection_Data[[#This Row],[ID]]=A11,MIN(AEL_Protection_Data[[#This Row],[Pickup (A)]],K11),IF(AEL_Protection_Data[[#This Row],[ID]]=A13,MIN(AEL_Protection_Data[[#This Row],[Pickup (A)]],K13),AEL_Protection_Data[[#This Row],[Pickup (A)]]))</f>
        <v>192</v>
      </c>
    </row>
    <row r="13" spans="1:12" x14ac:dyDescent="0.25">
      <c r="A13" s="336" t="str">
        <f>AEL_Protection_Data[[#This Row],[Zone Sub]]&amp;"-"&amp;AEL_Protection_Data[[#This Row],[CB ID]]</f>
        <v>FLE-F380</v>
      </c>
      <c r="B13" s="335" t="s">
        <v>158</v>
      </c>
      <c r="C13" s="334" t="s">
        <v>1528</v>
      </c>
      <c r="D13" s="334" t="s">
        <v>365</v>
      </c>
      <c r="E13" s="334" t="s">
        <v>1532</v>
      </c>
      <c r="F13" s="336" t="s">
        <v>355</v>
      </c>
      <c r="G13" s="334" t="s">
        <v>1555</v>
      </c>
      <c r="H13" s="334" t="s">
        <v>1981</v>
      </c>
      <c r="I13" s="336" t="s">
        <v>1539</v>
      </c>
      <c r="J13" s="269">
        <v>11</v>
      </c>
      <c r="K13" s="269">
        <v>192</v>
      </c>
      <c r="L13" s="269">
        <f>IF(AEL_Protection_Data[[#This Row],[ID]]=A12,MIN(AEL_Protection_Data[[#This Row],[Pickup (A)]],K12),IF(AEL_Protection_Data[[#This Row],[ID]]=A14,MIN(AEL_Protection_Data[[#This Row],[Pickup (A)]],K14),AEL_Protection_Data[[#This Row],[Pickup (A)]]))</f>
        <v>192</v>
      </c>
    </row>
    <row r="14" spans="1:12" x14ac:dyDescent="0.25">
      <c r="A14" s="336" t="str">
        <f>AEL_Protection_Data[[#This Row],[Zone Sub]]&amp;"-"&amp;AEL_Protection_Data[[#This Row],[CB ID]]</f>
        <v>FLE-F383</v>
      </c>
      <c r="B14" s="335" t="s">
        <v>158</v>
      </c>
      <c r="C14" s="334" t="s">
        <v>1528</v>
      </c>
      <c r="D14" s="334" t="s">
        <v>365</v>
      </c>
      <c r="E14" s="334" t="s">
        <v>1532</v>
      </c>
      <c r="F14" s="336" t="s">
        <v>356</v>
      </c>
      <c r="G14" s="334" t="s">
        <v>1556</v>
      </c>
      <c r="H14" s="334" t="s">
        <v>1982</v>
      </c>
      <c r="I14" s="336" t="s">
        <v>1539</v>
      </c>
      <c r="J14" s="269">
        <v>11</v>
      </c>
      <c r="K14" s="269">
        <v>192</v>
      </c>
      <c r="L14" s="269">
        <f>IF(AEL_Protection_Data[[#This Row],[ID]]=A13,MIN(AEL_Protection_Data[[#This Row],[Pickup (A)]],K13),IF(AEL_Protection_Data[[#This Row],[ID]]=A15,MIN(AEL_Protection_Data[[#This Row],[Pickup (A)]],K15),AEL_Protection_Data[[#This Row],[Pickup (A)]]))</f>
        <v>192</v>
      </c>
    </row>
    <row r="15" spans="1:12" x14ac:dyDescent="0.25">
      <c r="A15" s="336" t="str">
        <f>AEL_Protection_Data[[#This Row],[Zone Sub]]&amp;"-"&amp;AEL_Protection_Data[[#This Row],[CB ID]]</f>
        <v>FLE-F341</v>
      </c>
      <c r="B15" s="335" t="s">
        <v>158</v>
      </c>
      <c r="C15" s="334" t="s">
        <v>1528</v>
      </c>
      <c r="D15" s="334" t="s">
        <v>365</v>
      </c>
      <c r="E15" s="334" t="s">
        <v>1532</v>
      </c>
      <c r="F15" s="336" t="s">
        <v>1557</v>
      </c>
      <c r="G15" s="334" t="s">
        <v>1558</v>
      </c>
      <c r="H15" s="334" t="s">
        <v>1983</v>
      </c>
      <c r="I15" s="336" t="s">
        <v>1559</v>
      </c>
      <c r="J15" s="269">
        <v>11</v>
      </c>
      <c r="K15" s="269">
        <v>100</v>
      </c>
      <c r="L15" s="269">
        <f>IF(AEL_Protection_Data[[#This Row],[ID]]=A14,MIN(AEL_Protection_Data[[#This Row],[Pickup (A)]],K14),IF(AEL_Protection_Data[[#This Row],[ID]]=A16,MIN(AEL_Protection_Data[[#This Row],[Pickup (A)]],K16),AEL_Protection_Data[[#This Row],[Pickup (A)]]))</f>
        <v>100</v>
      </c>
    </row>
    <row r="16" spans="1:12" x14ac:dyDescent="0.25">
      <c r="A16" s="336" t="str">
        <f>AEL_Protection_Data[[#This Row],[Zone Sub]]&amp;"-"&amp;AEL_Protection_Data[[#This Row],[CB ID]]</f>
        <v>FLE-F287</v>
      </c>
      <c r="B16" s="335" t="s">
        <v>158</v>
      </c>
      <c r="C16" s="334" t="s">
        <v>1528</v>
      </c>
      <c r="D16" s="334" t="s">
        <v>365</v>
      </c>
      <c r="E16" s="334" t="s">
        <v>1532</v>
      </c>
      <c r="F16" s="336" t="s">
        <v>1560</v>
      </c>
      <c r="G16" s="334" t="s">
        <v>1561</v>
      </c>
      <c r="H16" s="334" t="s">
        <v>1984</v>
      </c>
      <c r="I16" s="336" t="s">
        <v>1549</v>
      </c>
      <c r="J16" s="269">
        <v>11</v>
      </c>
      <c r="K16" s="269">
        <v>100</v>
      </c>
      <c r="L16" s="269">
        <f>IF(AEL_Protection_Data[[#This Row],[ID]]=A15,MIN(AEL_Protection_Data[[#This Row],[Pickup (A)]],K15),IF(AEL_Protection_Data[[#This Row],[ID]]=A17,MIN(AEL_Protection_Data[[#This Row],[Pickup (A)]],K17),AEL_Protection_Data[[#This Row],[Pickup (A)]]))</f>
        <v>100</v>
      </c>
    </row>
    <row r="17" spans="1:12" x14ac:dyDescent="0.25">
      <c r="A17" s="336" t="str">
        <f>AEL_Protection_Data[[#This Row],[Zone Sub]]&amp;"-"&amp;AEL_Protection_Data[[#This Row],[CB ID]]</f>
        <v>FLE-F189</v>
      </c>
      <c r="B17" s="335" t="s">
        <v>158</v>
      </c>
      <c r="C17" s="334" t="s">
        <v>1528</v>
      </c>
      <c r="D17" s="334" t="s">
        <v>365</v>
      </c>
      <c r="E17" s="334" t="s">
        <v>1532</v>
      </c>
      <c r="F17" s="336" t="s">
        <v>1562</v>
      </c>
      <c r="G17" s="334" t="s">
        <v>1554</v>
      </c>
      <c r="H17" s="334" t="s">
        <v>1985</v>
      </c>
      <c r="I17" s="336" t="s">
        <v>1563</v>
      </c>
      <c r="J17" s="269">
        <v>11</v>
      </c>
      <c r="K17" s="269">
        <v>80</v>
      </c>
      <c r="L17" s="269">
        <f>IF(AEL_Protection_Data[[#This Row],[ID]]=A16,MIN(AEL_Protection_Data[[#This Row],[Pickup (A)]],K16),IF(AEL_Protection_Data[[#This Row],[ID]]=A18,MIN(AEL_Protection_Data[[#This Row],[Pickup (A)]],K18),AEL_Protection_Data[[#This Row],[Pickup (A)]]))</f>
        <v>80</v>
      </c>
    </row>
    <row r="18" spans="1:12" x14ac:dyDescent="0.25">
      <c r="A18" s="336" t="str">
        <f>AEL_Protection_Data[[#This Row],[Zone Sub]]&amp;"-"&amp;AEL_Protection_Data[[#This Row],[CB ID]]</f>
        <v>FLE-F359</v>
      </c>
      <c r="B18" s="335" t="s">
        <v>158</v>
      </c>
      <c r="C18" s="334" t="s">
        <v>1528</v>
      </c>
      <c r="D18" s="334" t="s">
        <v>365</v>
      </c>
      <c r="E18" s="334" t="s">
        <v>1532</v>
      </c>
      <c r="F18" s="336" t="s">
        <v>1564</v>
      </c>
      <c r="G18" s="334" t="s">
        <v>1565</v>
      </c>
      <c r="H18" s="334" t="s">
        <v>1986</v>
      </c>
      <c r="I18" s="336" t="s">
        <v>1546</v>
      </c>
      <c r="J18" s="269">
        <v>11</v>
      </c>
      <c r="K18" s="269">
        <v>100</v>
      </c>
      <c r="L18" s="269">
        <f>IF(AEL_Protection_Data[[#This Row],[ID]]=A17,MIN(AEL_Protection_Data[[#This Row],[Pickup (A)]],K17),IF(AEL_Protection_Data[[#This Row],[ID]]=A19,MIN(AEL_Protection_Data[[#This Row],[Pickup (A)]],K19),AEL_Protection_Data[[#This Row],[Pickup (A)]]))</f>
        <v>100</v>
      </c>
    </row>
    <row r="19" spans="1:12" x14ac:dyDescent="0.25">
      <c r="A19" s="336" t="str">
        <f>AEL_Protection_Data[[#This Row],[Zone Sub]]&amp;"-"&amp;AEL_Protection_Data[[#This Row],[CB ID]]</f>
        <v>FLE-F418</v>
      </c>
      <c r="B19" s="335" t="s">
        <v>158</v>
      </c>
      <c r="C19" s="334" t="s">
        <v>1528</v>
      </c>
      <c r="D19" s="334" t="s">
        <v>365</v>
      </c>
      <c r="E19" s="334" t="s">
        <v>1532</v>
      </c>
      <c r="F19" s="336" t="s">
        <v>1566</v>
      </c>
      <c r="G19" s="334" t="s">
        <v>1567</v>
      </c>
      <c r="H19" s="334" t="s">
        <v>1987</v>
      </c>
      <c r="I19" s="336" t="s">
        <v>1568</v>
      </c>
      <c r="J19" s="269">
        <v>11</v>
      </c>
      <c r="K19" s="269">
        <v>100</v>
      </c>
      <c r="L19" s="269">
        <f>IF(AEL_Protection_Data[[#This Row],[ID]]=A18,MIN(AEL_Protection_Data[[#This Row],[Pickup (A)]],K18),IF(AEL_Protection_Data[[#This Row],[ID]]=A20,MIN(AEL_Protection_Data[[#This Row],[Pickup (A)]],K20),AEL_Protection_Data[[#This Row],[Pickup (A)]]))</f>
        <v>100</v>
      </c>
    </row>
    <row r="20" spans="1:12" x14ac:dyDescent="0.25">
      <c r="A20" s="336" t="str">
        <f>AEL_Protection_Data[[#This Row],[Zone Sub]]&amp;"-"&amp;AEL_Protection_Data[[#This Row],[CB ID]]</f>
        <v>FLE-F426</v>
      </c>
      <c r="B20" s="335" t="s">
        <v>158</v>
      </c>
      <c r="C20" s="334" t="s">
        <v>1528</v>
      </c>
      <c r="D20" s="334" t="s">
        <v>365</v>
      </c>
      <c r="E20" s="334" t="s">
        <v>1532</v>
      </c>
      <c r="F20" s="336" t="s">
        <v>1569</v>
      </c>
      <c r="G20" s="334" t="s">
        <v>1570</v>
      </c>
      <c r="H20" s="334" t="s">
        <v>1988</v>
      </c>
      <c r="I20" s="336" t="s">
        <v>1568</v>
      </c>
      <c r="J20" s="269">
        <v>11</v>
      </c>
      <c r="K20" s="269">
        <v>50</v>
      </c>
      <c r="L20" s="269">
        <f>IF(AEL_Protection_Data[[#This Row],[ID]]=A19,MIN(AEL_Protection_Data[[#This Row],[Pickup (A)]],K19),IF(AEL_Protection_Data[[#This Row],[ID]]=A21,MIN(AEL_Protection_Data[[#This Row],[Pickup (A)]],K21),AEL_Protection_Data[[#This Row],[Pickup (A)]]))</f>
        <v>50</v>
      </c>
    </row>
    <row r="21" spans="1:12" x14ac:dyDescent="0.25">
      <c r="A21" s="336" t="str">
        <f>AEL_Protection_Data[[#This Row],[Zone Sub]]&amp;"-"&amp;AEL_Protection_Data[[#This Row],[CB ID]]</f>
        <v>OPU-F400</v>
      </c>
      <c r="B21" s="335" t="s">
        <v>346</v>
      </c>
      <c r="C21" s="334" t="s">
        <v>1528</v>
      </c>
      <c r="D21" s="334" t="s">
        <v>365</v>
      </c>
      <c r="E21" s="334" t="s">
        <v>1540</v>
      </c>
      <c r="F21" s="336" t="s">
        <v>334</v>
      </c>
      <c r="G21" s="334" t="s">
        <v>1571</v>
      </c>
      <c r="H21" s="334" t="s">
        <v>1989</v>
      </c>
      <c r="I21" s="336" t="s">
        <v>1572</v>
      </c>
      <c r="J21" s="269">
        <v>33</v>
      </c>
      <c r="K21" s="269">
        <v>150</v>
      </c>
      <c r="L21" s="269">
        <f>IF(AEL_Protection_Data[[#This Row],[ID]]=A20,MIN(AEL_Protection_Data[[#This Row],[Pickup (A)]],K20),IF(AEL_Protection_Data[[#This Row],[ID]]=A22,MIN(AEL_Protection_Data[[#This Row],[Pickup (A)]],K22),AEL_Protection_Data[[#This Row],[Pickup (A)]]))</f>
        <v>150</v>
      </c>
    </row>
    <row r="22" spans="1:12" x14ac:dyDescent="0.25">
      <c r="A22" s="336" t="str">
        <f>AEL_Protection_Data[[#This Row],[Zone Sub]]&amp;"-"&amp;AEL_Protection_Data[[#This Row],[CB ID]]</f>
        <v>FLE-F329</v>
      </c>
      <c r="B22" s="335" t="s">
        <v>158</v>
      </c>
      <c r="C22" s="334" t="s">
        <v>1528</v>
      </c>
      <c r="D22" s="334" t="s">
        <v>365</v>
      </c>
      <c r="E22" s="334" t="s">
        <v>1540</v>
      </c>
      <c r="F22" s="336" t="s">
        <v>347</v>
      </c>
      <c r="G22" s="334" t="s">
        <v>1573</v>
      </c>
      <c r="H22" s="334" t="s">
        <v>1990</v>
      </c>
      <c r="I22" s="336" t="s">
        <v>1574</v>
      </c>
      <c r="J22" s="269">
        <v>33</v>
      </c>
      <c r="K22" s="269">
        <v>176.8</v>
      </c>
      <c r="L22" s="269">
        <f>IF(AEL_Protection_Data[[#This Row],[ID]]=A21,MIN(AEL_Protection_Data[[#This Row],[Pickup (A)]],K21),IF(AEL_Protection_Data[[#This Row],[ID]]=A23,MIN(AEL_Protection_Data[[#This Row],[Pickup (A)]],K23),AEL_Protection_Data[[#This Row],[Pickup (A)]]))</f>
        <v>176.8</v>
      </c>
    </row>
    <row r="23" spans="1:12" x14ac:dyDescent="0.25">
      <c r="A23" s="336" t="str">
        <f>AEL_Protection_Data[[#This Row],[Zone Sub]]&amp;"-T2-"&amp;AEL_Protection_Data[[#This Row],[CB ID]]</f>
        <v>BPD-T2-CB522</v>
      </c>
      <c r="B23" s="335" t="s">
        <v>80</v>
      </c>
      <c r="C23" s="334" t="s">
        <v>1575</v>
      </c>
      <c r="D23" s="334" t="s">
        <v>366</v>
      </c>
      <c r="E23" s="334" t="s">
        <v>1576</v>
      </c>
      <c r="F23" s="336" t="s">
        <v>731</v>
      </c>
      <c r="G23" s="334" t="s">
        <v>1577</v>
      </c>
      <c r="H23" s="334" t="s">
        <v>1991</v>
      </c>
      <c r="I23" s="336" t="s">
        <v>1578</v>
      </c>
      <c r="J23" s="269">
        <v>33</v>
      </c>
      <c r="K23" s="269">
        <v>370</v>
      </c>
      <c r="L23" s="269">
        <f>IF(AEL_Protection_Data[[#This Row],[ID]]=A22,MIN(AEL_Protection_Data[[#This Row],[Pickup (A)]],K22),IF(AEL_Protection_Data[[#This Row],[ID]]=A24,MIN(AEL_Protection_Data[[#This Row],[Pickup (A)]],K24),AEL_Protection_Data[[#This Row],[Pickup (A)]]))</f>
        <v>370</v>
      </c>
    </row>
    <row r="24" spans="1:12" x14ac:dyDescent="0.25">
      <c r="A24" s="336" t="str">
        <f>AEL_Protection_Data[[#This Row],[Zone Sub]]&amp;"-T2-"&amp;AEL_Protection_Data[[#This Row],[CB ID]]</f>
        <v>BPD-T2-CB482</v>
      </c>
      <c r="B24" s="335" t="s">
        <v>80</v>
      </c>
      <c r="C24" s="334" t="s">
        <v>1575</v>
      </c>
      <c r="D24" s="334" t="s">
        <v>366</v>
      </c>
      <c r="E24" s="334" t="s">
        <v>1579</v>
      </c>
      <c r="F24" s="336" t="s">
        <v>706</v>
      </c>
      <c r="G24" s="334" t="s">
        <v>1580</v>
      </c>
      <c r="H24" s="334" t="s">
        <v>1992</v>
      </c>
      <c r="I24" s="336" t="s">
        <v>1578</v>
      </c>
      <c r="J24" s="269">
        <v>110</v>
      </c>
      <c r="K24" s="269">
        <v>146</v>
      </c>
      <c r="L24" s="269">
        <f>IF(AEL_Protection_Data[[#This Row],[ID]]=A23,MIN(AEL_Protection_Data[[#This Row],[Pickup (A)]],K23),IF(AEL_Protection_Data[[#This Row],[ID]]=A25,MIN(AEL_Protection_Data[[#This Row],[Pickup (A)]],K25),AEL_Protection_Data[[#This Row],[Pickup (A)]]))</f>
        <v>146</v>
      </c>
    </row>
    <row r="25" spans="1:12" x14ac:dyDescent="0.25">
      <c r="A25" s="336" t="str">
        <f>AEL_Protection_Data[[#This Row],[Zone Sub]]&amp;"-T1-"&amp;AEL_Protection_Data[[#This Row],[CB ID]]</f>
        <v>BPD-T1-CB442</v>
      </c>
      <c r="B25" s="335" t="s">
        <v>80</v>
      </c>
      <c r="C25" s="334" t="s">
        <v>1575</v>
      </c>
      <c r="D25" s="334" t="s">
        <v>366</v>
      </c>
      <c r="E25" s="334" t="s">
        <v>1579</v>
      </c>
      <c r="F25" s="336" t="s">
        <v>705</v>
      </c>
      <c r="G25" s="334" t="s">
        <v>1580</v>
      </c>
      <c r="H25" s="334" t="s">
        <v>1993</v>
      </c>
      <c r="I25" s="336" t="s">
        <v>1578</v>
      </c>
      <c r="J25" s="269">
        <v>110</v>
      </c>
      <c r="K25" s="269">
        <v>292</v>
      </c>
      <c r="L25" s="269">
        <f>IF(AEL_Protection_Data[[#This Row],[ID]]=A24,MIN(AEL_Protection_Data[[#This Row],[Pickup (A)]],K24),IF(AEL_Protection_Data[[#This Row],[ID]]=A26,MIN(AEL_Protection_Data[[#This Row],[Pickup (A)]],K26),AEL_Protection_Data[[#This Row],[Pickup (A)]]))</f>
        <v>292</v>
      </c>
    </row>
    <row r="26" spans="1:12" x14ac:dyDescent="0.25">
      <c r="A26" s="336" t="str">
        <f>AEL_Protection_Data[[#This Row],[Zone Sub]]&amp;"-T1-"&amp;AEL_Protection_Data[[#This Row],[CB ID]]</f>
        <v>BPD-T1-CB3602</v>
      </c>
      <c r="B26" s="335" t="s">
        <v>80</v>
      </c>
      <c r="C26" s="334" t="s">
        <v>1575</v>
      </c>
      <c r="D26" s="334" t="s">
        <v>366</v>
      </c>
      <c r="E26" s="334" t="s">
        <v>1579</v>
      </c>
      <c r="F26" s="336" t="s">
        <v>736</v>
      </c>
      <c r="G26" s="334" t="s">
        <v>1577</v>
      </c>
      <c r="H26" s="334" t="s">
        <v>1994</v>
      </c>
      <c r="I26" s="336" t="s">
        <v>1578</v>
      </c>
      <c r="J26" s="269">
        <v>33</v>
      </c>
      <c r="K26" s="269">
        <v>492</v>
      </c>
      <c r="L26" s="269">
        <f>IF(AEL_Protection_Data[[#This Row],[ID]]=A25,MIN(AEL_Protection_Data[[#This Row],[Pickup (A)]],K25),IF(AEL_Protection_Data[[#This Row],[ID]]=A27,MIN(AEL_Protection_Data[[#This Row],[Pickup (A)]],K27),AEL_Protection_Data[[#This Row],[Pickup (A)]]))</f>
        <v>492</v>
      </c>
    </row>
    <row r="27" spans="1:12" x14ac:dyDescent="0.25">
      <c r="A27" s="336" t="str">
        <f>AEL_Protection_Data[[#This Row],[Zone Sub]]&amp;"-T1-"&amp;AEL_Protection_Data[[#This Row],[CB ID]]</f>
        <v>BPD-T1-CB35</v>
      </c>
      <c r="B27" s="335" t="s">
        <v>80</v>
      </c>
      <c r="C27" s="334" t="s">
        <v>1575</v>
      </c>
      <c r="D27" s="334" t="s">
        <v>366</v>
      </c>
      <c r="E27" s="334" t="s">
        <v>1584</v>
      </c>
      <c r="F27" s="336" t="s">
        <v>587</v>
      </c>
      <c r="G27" s="334" t="s">
        <v>1585</v>
      </c>
      <c r="H27" s="334" t="s">
        <v>1995</v>
      </c>
      <c r="I27" s="336" t="s">
        <v>1578</v>
      </c>
      <c r="J27" s="269">
        <v>11</v>
      </c>
      <c r="K27" s="269">
        <v>2208</v>
      </c>
      <c r="L27" s="269">
        <f>IF(AEL_Protection_Data[[#This Row],[ID]]=A26,MIN(AEL_Protection_Data[[#This Row],[Pickup (A)]],K26),IF(AEL_Protection_Data[[#This Row],[ID]]=A28,MIN(AEL_Protection_Data[[#This Row],[Pickup (A)]],K28),AEL_Protection_Data[[#This Row],[Pickup (A)]]))</f>
        <v>2208</v>
      </c>
    </row>
    <row r="28" spans="1:12" x14ac:dyDescent="0.25">
      <c r="A28" s="336" t="str">
        <f>AEL_Protection_Data[[#This Row],[Zone Sub]]&amp;"-T1-"&amp;AEL_Protection_Data[[#This Row],[CB ID]]</f>
        <v>BPD-T1-CB1</v>
      </c>
      <c r="B28" s="335" t="s">
        <v>80</v>
      </c>
      <c r="C28" s="334" t="s">
        <v>1575</v>
      </c>
      <c r="D28" s="334" t="s">
        <v>366</v>
      </c>
      <c r="E28" s="334" t="s">
        <v>1532</v>
      </c>
      <c r="F28" s="336" t="s">
        <v>502</v>
      </c>
      <c r="G28" s="334" t="s">
        <v>1586</v>
      </c>
      <c r="H28" s="334" t="s">
        <v>1355</v>
      </c>
      <c r="I28" s="336" t="s">
        <v>1539</v>
      </c>
      <c r="J28" s="269">
        <v>11</v>
      </c>
      <c r="K28" s="269">
        <v>400</v>
      </c>
      <c r="L28" s="269">
        <f>IF(AEL_Protection_Data[[#This Row],[ID]]=A27,MIN(AEL_Protection_Data[[#This Row],[Pickup (A)]],K27),IF(AEL_Protection_Data[[#This Row],[ID]]=A29,MIN(AEL_Protection_Data[[#This Row],[Pickup (A)]],K29),AEL_Protection_Data[[#This Row],[Pickup (A)]]))</f>
        <v>400</v>
      </c>
    </row>
    <row r="29" spans="1:12" x14ac:dyDescent="0.25">
      <c r="A29" s="336" t="str">
        <f>AEL_Protection_Data[[#This Row],[Zone Sub]]&amp;"-T1-"&amp;AEL_Protection_Data[[#This Row],[CB ID]]</f>
        <v>BPD-T1-CB2</v>
      </c>
      <c r="B29" s="335" t="s">
        <v>80</v>
      </c>
      <c r="C29" s="334" t="s">
        <v>1575</v>
      </c>
      <c r="D29" s="334" t="s">
        <v>366</v>
      </c>
      <c r="E29" s="334" t="s">
        <v>1532</v>
      </c>
      <c r="F29" s="336" t="s">
        <v>507</v>
      </c>
      <c r="G29" s="334" t="s">
        <v>1587</v>
      </c>
      <c r="H29" s="334" t="s">
        <v>1354</v>
      </c>
      <c r="I29" s="336" t="s">
        <v>1539</v>
      </c>
      <c r="J29" s="269">
        <v>11</v>
      </c>
      <c r="K29" s="269">
        <v>400</v>
      </c>
      <c r="L29" s="269">
        <f>IF(AEL_Protection_Data[[#This Row],[ID]]=A28,MIN(AEL_Protection_Data[[#This Row],[Pickup (A)]],K28),IF(AEL_Protection_Data[[#This Row],[ID]]=A30,MIN(AEL_Protection_Data[[#This Row],[Pickup (A)]],K30),AEL_Protection_Data[[#This Row],[Pickup (A)]]))</f>
        <v>400</v>
      </c>
    </row>
    <row r="30" spans="1:12" x14ac:dyDescent="0.25">
      <c r="A30" s="336" t="str">
        <f>AEL_Protection_Data[[#This Row],[Zone Sub]]&amp;"-T1-"&amp;AEL_Protection_Data[[#This Row],[CB ID]]</f>
        <v>BPD-T1-CB31</v>
      </c>
      <c r="B30" s="335" t="s">
        <v>80</v>
      </c>
      <c r="C30" s="334" t="s">
        <v>1575</v>
      </c>
      <c r="D30" s="334" t="s">
        <v>366</v>
      </c>
      <c r="E30" s="334" t="s">
        <v>1532</v>
      </c>
      <c r="F30" s="336" t="s">
        <v>2464</v>
      </c>
      <c r="G30" s="334" t="s">
        <v>2521</v>
      </c>
      <c r="H30" s="334" t="s">
        <v>2522</v>
      </c>
      <c r="I30" s="336" t="s">
        <v>1539</v>
      </c>
      <c r="J30" s="269">
        <v>11</v>
      </c>
      <c r="K30" s="269">
        <v>1000</v>
      </c>
      <c r="L30" s="269">
        <f>IF(AEL_Protection_Data[[#This Row],[ID]]=A29,MIN(AEL_Protection_Data[[#This Row],[Pickup (A)]],K29),IF(AEL_Protection_Data[[#This Row],[ID]]=A31,MIN(AEL_Protection_Data[[#This Row],[Pickup (A)]],K31),AEL_Protection_Data[[#This Row],[Pickup (A)]]))</f>
        <v>1000</v>
      </c>
    </row>
    <row r="31" spans="1:12" x14ac:dyDescent="0.25">
      <c r="A31" s="336" t="str">
        <f>AEL_Protection_Data[[#This Row],[Zone Sub]]&amp;"-T2-"&amp;AEL_Protection_Data[[#This Row],[CB ID]]</f>
        <v>BPD-T2-CB32</v>
      </c>
      <c r="B31" s="335" t="s">
        <v>80</v>
      </c>
      <c r="C31" s="334" t="s">
        <v>1575</v>
      </c>
      <c r="D31" s="334" t="s">
        <v>366</v>
      </c>
      <c r="E31" s="334" t="s">
        <v>1532</v>
      </c>
      <c r="F31" s="336" t="s">
        <v>373</v>
      </c>
      <c r="G31" s="334" t="s">
        <v>2523</v>
      </c>
      <c r="H31" s="334" t="s">
        <v>2524</v>
      </c>
      <c r="I31" s="336" t="s">
        <v>1588</v>
      </c>
      <c r="J31" s="269">
        <v>11</v>
      </c>
      <c r="K31" s="269">
        <v>1000</v>
      </c>
      <c r="L31" s="269">
        <f>IF(AEL_Protection_Data[[#This Row],[ID]]=A30,MIN(AEL_Protection_Data[[#This Row],[Pickup (A)]],K30),IF(AEL_Protection_Data[[#This Row],[ID]]=A32,MIN(AEL_Protection_Data[[#This Row],[Pickup (A)]],K32),AEL_Protection_Data[[#This Row],[Pickup (A)]]))</f>
        <v>1000</v>
      </c>
    </row>
    <row r="32" spans="1:12" x14ac:dyDescent="0.25">
      <c r="A32" s="336" t="str">
        <f>AEL_Protection_Data[[#This Row],[Zone Sub]]&amp;"-T2-"&amp;AEL_Protection_Data[[#This Row],[CB ID]]</f>
        <v>BPD-T2-CB36</v>
      </c>
      <c r="B32" s="335" t="s">
        <v>80</v>
      </c>
      <c r="C32" s="334" t="s">
        <v>1575</v>
      </c>
      <c r="D32" s="334" t="s">
        <v>366</v>
      </c>
      <c r="E32" s="334" t="s">
        <v>1584</v>
      </c>
      <c r="F32" s="336" t="s">
        <v>588</v>
      </c>
      <c r="G32" s="334" t="s">
        <v>1590</v>
      </c>
      <c r="H32" s="334" t="s">
        <v>1996</v>
      </c>
      <c r="I32" s="336" t="s">
        <v>1578</v>
      </c>
      <c r="J32" s="269">
        <v>11</v>
      </c>
      <c r="K32" s="269">
        <v>1100</v>
      </c>
      <c r="L32" s="269">
        <f>IF(AEL_Protection_Data[[#This Row],[ID]]=A31,MIN(AEL_Protection_Data[[#This Row],[Pickup (A)]],K31),IF(AEL_Protection_Data[[#This Row],[ID]]=A33,MIN(AEL_Protection_Data[[#This Row],[Pickup (A)]],K33),AEL_Protection_Data[[#This Row],[Pickup (A)]]))</f>
        <v>1100</v>
      </c>
    </row>
    <row r="33" spans="1:12" x14ac:dyDescent="0.25">
      <c r="A33" s="336" t="str">
        <f>AEL_Protection_Data[[#This Row],[Zone Sub]]&amp;"-T2-"&amp;AEL_Protection_Data[[#This Row],[CB ID]]</f>
        <v>BPD-T2-CB11</v>
      </c>
      <c r="B33" s="335" t="s">
        <v>80</v>
      </c>
      <c r="C33" s="334" t="s">
        <v>1575</v>
      </c>
      <c r="D33" s="334" t="s">
        <v>366</v>
      </c>
      <c r="E33" s="334" t="s">
        <v>1532</v>
      </c>
      <c r="F33" s="336" t="s">
        <v>607</v>
      </c>
      <c r="G33" s="334" t="s">
        <v>1591</v>
      </c>
      <c r="H33" s="334" t="s">
        <v>1997</v>
      </c>
      <c r="I33" s="336" t="s">
        <v>1588</v>
      </c>
      <c r="J33" s="269">
        <v>11</v>
      </c>
      <c r="K33" s="269">
        <v>400</v>
      </c>
      <c r="L33" s="269">
        <f>IF(AEL_Protection_Data[[#This Row],[ID]]=A32,MIN(AEL_Protection_Data[[#This Row],[Pickup (A)]],K32),IF(AEL_Protection_Data[[#This Row],[ID]]=A34,MIN(AEL_Protection_Data[[#This Row],[Pickup (A)]],K34),AEL_Protection_Data[[#This Row],[Pickup (A)]]))</f>
        <v>400</v>
      </c>
    </row>
    <row r="34" spans="1:12" x14ac:dyDescent="0.25">
      <c r="A34" s="336" t="str">
        <f>AEL_Protection_Data[[#This Row],[Zone Sub]]&amp;"-T2-"&amp;AEL_Protection_Data[[#This Row],[CB ID]]</f>
        <v>BPD-T2-CB12</v>
      </c>
      <c r="B34" s="335" t="s">
        <v>80</v>
      </c>
      <c r="C34" s="334" t="s">
        <v>1575</v>
      </c>
      <c r="D34" s="334" t="s">
        <v>366</v>
      </c>
      <c r="E34" s="334" t="s">
        <v>1532</v>
      </c>
      <c r="F34" s="336" t="s">
        <v>610</v>
      </c>
      <c r="G34" s="334" t="s">
        <v>1592</v>
      </c>
      <c r="H34" s="334" t="s">
        <v>91</v>
      </c>
      <c r="I34" s="336" t="s">
        <v>1588</v>
      </c>
      <c r="J34" s="269">
        <v>11</v>
      </c>
      <c r="K34" s="269">
        <v>400</v>
      </c>
      <c r="L34" s="269">
        <f>IF(AEL_Protection_Data[[#This Row],[ID]]=A33,MIN(AEL_Protection_Data[[#This Row],[Pickup (A)]],K33),IF(AEL_Protection_Data[[#This Row],[ID]]=A35,MIN(AEL_Protection_Data[[#This Row],[Pickup (A)]],K35),AEL_Protection_Data[[#This Row],[Pickup (A)]]))</f>
        <v>400</v>
      </c>
    </row>
    <row r="35" spans="1:12" x14ac:dyDescent="0.25">
      <c r="A35" s="336" t="str">
        <f>AEL_Protection_Data[[#This Row],[Zone Sub]]&amp;"-T2-"&amp;AEL_Protection_Data[[#This Row],[CB ID]]</f>
        <v>BPD-T2-CB13</v>
      </c>
      <c r="B35" s="335" t="s">
        <v>80</v>
      </c>
      <c r="C35" s="334" t="s">
        <v>1575</v>
      </c>
      <c r="D35" s="334" t="s">
        <v>366</v>
      </c>
      <c r="E35" s="334" t="s">
        <v>1532</v>
      </c>
      <c r="F35" s="336" t="s">
        <v>611</v>
      </c>
      <c r="G35" s="334" t="s">
        <v>1593</v>
      </c>
      <c r="H35" s="334" t="s">
        <v>104</v>
      </c>
      <c r="I35" s="336" t="s">
        <v>1588</v>
      </c>
      <c r="J35" s="269">
        <v>11</v>
      </c>
      <c r="K35" s="269">
        <v>400</v>
      </c>
      <c r="L35" s="269">
        <f>IF(AEL_Protection_Data[[#This Row],[ID]]=A34,MIN(AEL_Protection_Data[[#This Row],[Pickup (A)]],K34),IF(AEL_Protection_Data[[#This Row],[ID]]=A36,MIN(AEL_Protection_Data[[#This Row],[Pickup (A)]],K36),AEL_Protection_Data[[#This Row],[Pickup (A)]]))</f>
        <v>400</v>
      </c>
    </row>
    <row r="36" spans="1:12" x14ac:dyDescent="0.25">
      <c r="A36" s="336" t="str">
        <f>AEL_Protection_Data[[#This Row],[Zone Sub]]&amp;"-T2-"&amp;AEL_Protection_Data[[#This Row],[CB ID]]</f>
        <v>BPD-T2-CB14</v>
      </c>
      <c r="B36" s="335" t="s">
        <v>80</v>
      </c>
      <c r="C36" s="334" t="s">
        <v>1575</v>
      </c>
      <c r="D36" s="334" t="s">
        <v>366</v>
      </c>
      <c r="E36" s="334" t="s">
        <v>1532</v>
      </c>
      <c r="F36" s="336" t="s">
        <v>1594</v>
      </c>
      <c r="G36" s="334" t="s">
        <v>1595</v>
      </c>
      <c r="H36" s="334" t="s">
        <v>1998</v>
      </c>
      <c r="I36" s="336" t="s">
        <v>1588</v>
      </c>
      <c r="J36" s="269">
        <v>11</v>
      </c>
      <c r="K36" s="269">
        <v>400</v>
      </c>
      <c r="L36" s="269">
        <f>IF(AEL_Protection_Data[[#This Row],[ID]]=A35,MIN(AEL_Protection_Data[[#This Row],[Pickup (A)]],K35),IF(AEL_Protection_Data[[#This Row],[ID]]=A37,MIN(AEL_Protection_Data[[#This Row],[Pickup (A)]],K37),AEL_Protection_Data[[#This Row],[Pickup (A)]]))</f>
        <v>400</v>
      </c>
    </row>
    <row r="37" spans="1:12" x14ac:dyDescent="0.25">
      <c r="A37" s="336" t="str">
        <f>AEL_Protection_Data[[#This Row],[Zone Sub]]&amp;"-T2-"&amp;AEL_Protection_Data[[#This Row],[CB ID]]</f>
        <v>BPD-T2-CB15</v>
      </c>
      <c r="B37" s="335" t="s">
        <v>80</v>
      </c>
      <c r="C37" s="334" t="s">
        <v>1575</v>
      </c>
      <c r="D37" s="334" t="s">
        <v>366</v>
      </c>
      <c r="E37" s="334" t="s">
        <v>1532</v>
      </c>
      <c r="F37" s="336" t="s">
        <v>1596</v>
      </c>
      <c r="G37" s="334" t="s">
        <v>1597</v>
      </c>
      <c r="H37" s="334" t="s">
        <v>1999</v>
      </c>
      <c r="I37" s="336" t="s">
        <v>1588</v>
      </c>
      <c r="J37" s="269">
        <v>11</v>
      </c>
      <c r="K37" s="269">
        <v>60</v>
      </c>
      <c r="L37" s="269">
        <f>IF(AEL_Protection_Data[[#This Row],[ID]]=A36,MIN(AEL_Protection_Data[[#This Row],[Pickup (A)]],K36),IF(AEL_Protection_Data[[#This Row],[ID]]=A38,MIN(AEL_Protection_Data[[#This Row],[Pickup (A)]],K38),AEL_Protection_Data[[#This Row],[Pickup (A)]]))</f>
        <v>60</v>
      </c>
    </row>
    <row r="38" spans="1:12" x14ac:dyDescent="0.25">
      <c r="A38" s="336" t="str">
        <f>AEL_Protection_Data[[#This Row],[Zone Sub]]&amp;"-"&amp;AEL_Protection_Data[[#This Row],[CB ID]]</f>
        <v>BPD-W590</v>
      </c>
      <c r="B38" s="335" t="s">
        <v>80</v>
      </c>
      <c r="C38" s="334" t="s">
        <v>1575</v>
      </c>
      <c r="D38" s="334" t="s">
        <v>366</v>
      </c>
      <c r="E38" s="334" t="s">
        <v>1532</v>
      </c>
      <c r="F38" s="336" t="s">
        <v>1601</v>
      </c>
      <c r="G38" s="334" t="s">
        <v>1602</v>
      </c>
      <c r="H38" s="334" t="s">
        <v>2001</v>
      </c>
      <c r="I38" s="336" t="s">
        <v>1603</v>
      </c>
      <c r="J38" s="269">
        <v>11</v>
      </c>
      <c r="K38" s="269">
        <v>140</v>
      </c>
      <c r="L38" s="269">
        <f>IF(AEL_Protection_Data[[#This Row],[ID]]=A37,MIN(AEL_Protection_Data[[#This Row],[Pickup (A)]],K37),IF(AEL_Protection_Data[[#This Row],[ID]]=A39,MIN(AEL_Protection_Data[[#This Row],[Pickup (A)]],K39),AEL_Protection_Data[[#This Row],[Pickup (A)]]))</f>
        <v>140</v>
      </c>
    </row>
    <row r="39" spans="1:12" x14ac:dyDescent="0.25">
      <c r="A39" s="336" t="str">
        <f>AEL_Protection_Data[[#This Row],[Zone Sub]]&amp;"-"&amp;AEL_Protection_Data[[#This Row],[CB ID]]</f>
        <v>BPD-W608</v>
      </c>
      <c r="B39" s="335" t="s">
        <v>80</v>
      </c>
      <c r="C39" s="334" t="s">
        <v>1575</v>
      </c>
      <c r="D39" s="334" t="s">
        <v>366</v>
      </c>
      <c r="E39" s="334" t="s">
        <v>1532</v>
      </c>
      <c r="F39" s="336" t="s">
        <v>1604</v>
      </c>
      <c r="G39" s="334" t="s">
        <v>1605</v>
      </c>
      <c r="H39" s="334" t="s">
        <v>2002</v>
      </c>
      <c r="I39" s="336" t="s">
        <v>1603</v>
      </c>
      <c r="J39" s="269">
        <v>11</v>
      </c>
      <c r="K39" s="269">
        <v>250</v>
      </c>
      <c r="L39" s="269">
        <f>IF(AEL_Protection_Data[[#This Row],[ID]]=A38,MIN(AEL_Protection_Data[[#This Row],[Pickup (A)]],K38),IF(AEL_Protection_Data[[#This Row],[ID]]=A40,MIN(AEL_Protection_Data[[#This Row],[Pickup (A)]],K40),AEL_Protection_Data[[#This Row],[Pickup (A)]]))</f>
        <v>250</v>
      </c>
    </row>
    <row r="40" spans="1:12" x14ac:dyDescent="0.25">
      <c r="A40" s="336" t="str">
        <f>AEL_Protection_Data[[#This Row],[Zone Sub]]&amp;"-"&amp;AEL_Protection_Data[[#This Row],[CB ID]]</f>
        <v>BPD-W611</v>
      </c>
      <c r="B40" s="335" t="s">
        <v>80</v>
      </c>
      <c r="C40" s="334" t="s">
        <v>1575</v>
      </c>
      <c r="D40" s="334" t="s">
        <v>366</v>
      </c>
      <c r="E40" s="334" t="s">
        <v>1532</v>
      </c>
      <c r="F40" s="336" t="s">
        <v>1606</v>
      </c>
      <c r="G40" s="334" t="s">
        <v>1607</v>
      </c>
      <c r="H40" s="334" t="s">
        <v>2003</v>
      </c>
      <c r="I40" s="336" t="s">
        <v>1603</v>
      </c>
      <c r="J40" s="269">
        <v>11</v>
      </c>
      <c r="K40" s="269">
        <v>250</v>
      </c>
      <c r="L40" s="269">
        <f>IF(AEL_Protection_Data[[#This Row],[ID]]=A39,MIN(AEL_Protection_Data[[#This Row],[Pickup (A)]],K39),IF(AEL_Protection_Data[[#This Row],[ID]]=A41,MIN(AEL_Protection_Data[[#This Row],[Pickup (A)]],K41),AEL_Protection_Data[[#This Row],[Pickup (A)]]))</f>
        <v>250</v>
      </c>
    </row>
    <row r="41" spans="1:12" x14ac:dyDescent="0.25">
      <c r="A41" s="336" t="str">
        <f>AEL_Protection_Data[[#This Row],[Zone Sub]]&amp;"-"&amp;AEL_Protection_Data[[#This Row],[CB ID]]</f>
        <v>BPD-CB642</v>
      </c>
      <c r="B41" s="335" t="s">
        <v>80</v>
      </c>
      <c r="C41" s="334" t="s">
        <v>1575</v>
      </c>
      <c r="D41" s="334" t="s">
        <v>366</v>
      </c>
      <c r="E41" s="334" t="s">
        <v>1579</v>
      </c>
      <c r="F41" s="336" t="s">
        <v>1608</v>
      </c>
      <c r="G41" s="334" t="s">
        <v>378</v>
      </c>
      <c r="H41" s="334" t="s">
        <v>2004</v>
      </c>
      <c r="I41" s="336" t="s">
        <v>1538</v>
      </c>
      <c r="J41" s="269">
        <v>33</v>
      </c>
      <c r="K41" s="269">
        <v>369</v>
      </c>
      <c r="L41" s="269">
        <f>IF(AEL_Protection_Data[[#This Row],[ID]]=A40,MIN(AEL_Protection_Data[[#This Row],[Pickup (A)]],K40),IF(AEL_Protection_Data[[#This Row],[ID]]=A42,MIN(AEL_Protection_Data[[#This Row],[Pickup (A)]],K42),AEL_Protection_Data[[#This Row],[Pickup (A)]]))</f>
        <v>369</v>
      </c>
    </row>
    <row r="42" spans="1:12" x14ac:dyDescent="0.25">
      <c r="A42" s="336" t="str">
        <f>AEL_Protection_Data[[#This Row],[Zone Sub]]&amp;"-"&amp;AEL_Protection_Data[[#This Row],[CB ID]]</f>
        <v>CNR-CB35</v>
      </c>
      <c r="B42" s="335" t="s">
        <v>159</v>
      </c>
      <c r="C42" s="334" t="s">
        <v>1575</v>
      </c>
      <c r="D42" s="334" t="s">
        <v>366</v>
      </c>
      <c r="E42" s="334" t="s">
        <v>1584</v>
      </c>
      <c r="F42" s="336" t="s">
        <v>587</v>
      </c>
      <c r="G42" s="334" t="s">
        <v>1609</v>
      </c>
      <c r="H42" s="334" t="s">
        <v>2005</v>
      </c>
      <c r="I42" s="336" t="s">
        <v>1539</v>
      </c>
      <c r="J42" s="269">
        <v>11</v>
      </c>
      <c r="K42" s="269">
        <v>1104</v>
      </c>
      <c r="L42" s="269">
        <f>IF(AEL_Protection_Data[[#This Row],[ID]]=A41,MIN(AEL_Protection_Data[[#This Row],[Pickup (A)]],K41),IF(AEL_Protection_Data[[#This Row],[ID]]=A43,MIN(AEL_Protection_Data[[#This Row],[Pickup (A)]],K43),AEL_Protection_Data[[#This Row],[Pickup (A)]]))</f>
        <v>1104</v>
      </c>
    </row>
    <row r="43" spans="1:12" x14ac:dyDescent="0.25">
      <c r="A43" s="336" t="str">
        <f>AEL_Protection_Data[[#This Row],[Zone Sub]]&amp;"-"&amp;AEL_Protection_Data[[#This Row],[CB ID]]</f>
        <v>CNR-CB35</v>
      </c>
      <c r="B43" s="335" t="s">
        <v>159</v>
      </c>
      <c r="C43" s="334" t="s">
        <v>1575</v>
      </c>
      <c r="D43" s="334" t="s">
        <v>366</v>
      </c>
      <c r="E43" s="334" t="s">
        <v>2520</v>
      </c>
      <c r="F43" s="336" t="s">
        <v>587</v>
      </c>
      <c r="G43" s="334" t="s">
        <v>1609</v>
      </c>
      <c r="H43" s="334" t="s">
        <v>2005</v>
      </c>
      <c r="I43" s="336" t="s">
        <v>1539</v>
      </c>
      <c r="J43" s="269">
        <v>11</v>
      </c>
      <c r="K43" s="269">
        <v>1200</v>
      </c>
      <c r="L43" s="269">
        <f>IF(AEL_Protection_Data[[#This Row],[ID]]=A42,MIN(AEL_Protection_Data[[#This Row],[Pickup (A)]],K42),IF(AEL_Protection_Data[[#This Row],[ID]]=A44,MIN(AEL_Protection_Data[[#This Row],[Pickup (A)]],K44),AEL_Protection_Data[[#This Row],[Pickup (A)]]))</f>
        <v>1104</v>
      </c>
    </row>
    <row r="44" spans="1:12" x14ac:dyDescent="0.25">
      <c r="A44" s="336" t="str">
        <f>AEL_Protection_Data[[#This Row],[Zone Sub]]&amp;"-"&amp;AEL_Protection_Data[[#This Row],[CB ID]]</f>
        <v>CNR-CB36</v>
      </c>
      <c r="B44" s="335" t="s">
        <v>159</v>
      </c>
      <c r="C44" s="334" t="s">
        <v>1575</v>
      </c>
      <c r="D44" s="334" t="s">
        <v>366</v>
      </c>
      <c r="E44" s="334" t="s">
        <v>1584</v>
      </c>
      <c r="F44" s="336" t="s">
        <v>588</v>
      </c>
      <c r="G44" s="334" t="s">
        <v>1610</v>
      </c>
      <c r="H44" s="334" t="s">
        <v>2006</v>
      </c>
      <c r="I44" s="336" t="s">
        <v>1539</v>
      </c>
      <c r="J44" s="269">
        <v>11</v>
      </c>
      <c r="K44" s="269">
        <v>144</v>
      </c>
      <c r="L44" s="269">
        <f>IF(AEL_Protection_Data[[#This Row],[ID]]=A43,MIN(AEL_Protection_Data[[#This Row],[Pickup (A)]],K43),IF(AEL_Protection_Data[[#This Row],[ID]]=A45,MIN(AEL_Protection_Data[[#This Row],[Pickup (A)]],K45),AEL_Protection_Data[[#This Row],[Pickup (A)]]))</f>
        <v>144</v>
      </c>
    </row>
    <row r="45" spans="1:12" x14ac:dyDescent="0.25">
      <c r="A45" s="336" t="str">
        <f>AEL_Protection_Data[[#This Row],[Zone Sub]]&amp;"-"&amp;AEL_Protection_Data[[#This Row],[CB ID]]</f>
        <v>CNR-CB36</v>
      </c>
      <c r="B45" s="335" t="s">
        <v>159</v>
      </c>
      <c r="C45" s="334" t="s">
        <v>1575</v>
      </c>
      <c r="D45" s="334" t="s">
        <v>366</v>
      </c>
      <c r="E45" s="334" t="s">
        <v>2520</v>
      </c>
      <c r="F45" s="336" t="s">
        <v>588</v>
      </c>
      <c r="G45" s="334" t="s">
        <v>1610</v>
      </c>
      <c r="H45" s="334" t="s">
        <v>2006</v>
      </c>
      <c r="I45" s="336" t="s">
        <v>1539</v>
      </c>
      <c r="J45" s="269">
        <v>11</v>
      </c>
      <c r="K45" s="269">
        <v>800</v>
      </c>
      <c r="L45" s="269">
        <f>IF(AEL_Protection_Data[[#This Row],[ID]]=A44,MIN(AEL_Protection_Data[[#This Row],[Pickup (A)]],K44),IF(AEL_Protection_Data[[#This Row],[ID]]=A46,MIN(AEL_Protection_Data[[#This Row],[Pickup (A)]],K46),AEL_Protection_Data[[#This Row],[Pickup (A)]]))</f>
        <v>144</v>
      </c>
    </row>
    <row r="46" spans="1:12" x14ac:dyDescent="0.25">
      <c r="A46" s="336" t="str">
        <f>AEL_Protection_Data[[#This Row],[Zone Sub]]&amp;"-"&amp;AEL_Protection_Data[[#This Row],[CB ID]]</f>
        <v>CNR-CB31</v>
      </c>
      <c r="B46" s="335" t="s">
        <v>159</v>
      </c>
      <c r="C46" s="334" t="s">
        <v>1575</v>
      </c>
      <c r="D46" s="334" t="s">
        <v>366</v>
      </c>
      <c r="E46" s="334" t="s">
        <v>2520</v>
      </c>
      <c r="F46" s="336" t="s">
        <v>2464</v>
      </c>
      <c r="G46" s="334" t="s">
        <v>2525</v>
      </c>
      <c r="H46" s="334" t="s">
        <v>2526</v>
      </c>
      <c r="I46" s="336" t="s">
        <v>1539</v>
      </c>
      <c r="J46" s="269">
        <v>11</v>
      </c>
      <c r="K46" s="269">
        <v>1200</v>
      </c>
      <c r="L46" s="269">
        <f>IF(AEL_Protection_Data[[#This Row],[ID]]=A45,MIN(AEL_Protection_Data[[#This Row],[Pickup (A)]],K45),IF(AEL_Protection_Data[[#This Row],[ID]]=A47,MIN(AEL_Protection_Data[[#This Row],[Pickup (A)]],K47),AEL_Protection_Data[[#This Row],[Pickup (A)]]))</f>
        <v>1200</v>
      </c>
    </row>
    <row r="47" spans="1:12" x14ac:dyDescent="0.25">
      <c r="A47" s="336" t="str">
        <f>AEL_Protection_Data[[#This Row],[Zone Sub]]&amp;"-"&amp;AEL_Protection_Data[[#This Row],[CB ID]]</f>
        <v>CNR-CB32</v>
      </c>
      <c r="B47" s="335" t="s">
        <v>159</v>
      </c>
      <c r="C47" s="334" t="s">
        <v>1575</v>
      </c>
      <c r="D47" s="334" t="s">
        <v>366</v>
      </c>
      <c r="E47" s="334" t="s">
        <v>2520</v>
      </c>
      <c r="F47" s="336" t="s">
        <v>373</v>
      </c>
      <c r="G47" s="334" t="s">
        <v>2527</v>
      </c>
      <c r="H47" s="334" t="s">
        <v>2528</v>
      </c>
      <c r="I47" s="336" t="s">
        <v>1539</v>
      </c>
      <c r="J47" s="269">
        <v>11</v>
      </c>
      <c r="K47" s="269">
        <v>1200</v>
      </c>
      <c r="L47" s="269">
        <f>IF(AEL_Protection_Data[[#This Row],[ID]]=A46,MIN(AEL_Protection_Data[[#This Row],[Pickup (A)]],K46),IF(AEL_Protection_Data[[#This Row],[ID]]=A48,MIN(AEL_Protection_Data[[#This Row],[Pickup (A)]],K48),AEL_Protection_Data[[#This Row],[Pickup (A)]]))</f>
        <v>1200</v>
      </c>
    </row>
    <row r="48" spans="1:12" x14ac:dyDescent="0.25">
      <c r="A48" s="336" t="str">
        <f>AEL_Protection_Data[[#This Row],[Zone Sub]]&amp;"-"&amp;AEL_Protection_Data[[#This Row],[CB ID]]</f>
        <v>CNR-CB8</v>
      </c>
      <c r="B48" s="335" t="s">
        <v>159</v>
      </c>
      <c r="C48" s="334" t="s">
        <v>1575</v>
      </c>
      <c r="D48" s="334" t="s">
        <v>366</v>
      </c>
      <c r="E48" s="334" t="s">
        <v>1611</v>
      </c>
      <c r="F48" s="336" t="s">
        <v>522</v>
      </c>
      <c r="G48" s="334" t="s">
        <v>1612</v>
      </c>
      <c r="H48" s="334" t="s">
        <v>167</v>
      </c>
      <c r="I48" s="336" t="s">
        <v>1539</v>
      </c>
      <c r="J48" s="269">
        <v>11</v>
      </c>
      <c r="K48" s="269">
        <v>402</v>
      </c>
      <c r="L48" s="269">
        <f>IF(AEL_Protection_Data[[#This Row],[ID]]=A47,MIN(AEL_Protection_Data[[#This Row],[Pickup (A)]],K47),IF(AEL_Protection_Data[[#This Row],[ID]]=A49,MIN(AEL_Protection_Data[[#This Row],[Pickup (A)]],K49),AEL_Protection_Data[[#This Row],[Pickup (A)]]))</f>
        <v>402</v>
      </c>
    </row>
    <row r="49" spans="1:12" x14ac:dyDescent="0.25">
      <c r="A49" s="336" t="str">
        <f>AEL_Protection_Data[[#This Row],[Zone Sub]]&amp;"-"&amp;AEL_Protection_Data[[#This Row],[CB ID]]</f>
        <v>CNR-CB9</v>
      </c>
      <c r="B49" s="335" t="s">
        <v>159</v>
      </c>
      <c r="C49" s="334" t="s">
        <v>1575</v>
      </c>
      <c r="D49" s="334" t="s">
        <v>366</v>
      </c>
      <c r="E49" s="334" t="s">
        <v>1611</v>
      </c>
      <c r="F49" s="336" t="s">
        <v>526</v>
      </c>
      <c r="G49" s="334" t="s">
        <v>1613</v>
      </c>
      <c r="H49" s="334" t="s">
        <v>2007</v>
      </c>
      <c r="I49" s="336" t="s">
        <v>1539</v>
      </c>
      <c r="J49" s="269">
        <v>11</v>
      </c>
      <c r="K49" s="269">
        <v>402</v>
      </c>
      <c r="L49" s="269">
        <f>IF(AEL_Protection_Data[[#This Row],[ID]]=A48,MIN(AEL_Protection_Data[[#This Row],[Pickup (A)]],K48),IF(AEL_Protection_Data[[#This Row],[ID]]=A50,MIN(AEL_Protection_Data[[#This Row],[Pickup (A)]],K50),AEL_Protection_Data[[#This Row],[Pickup (A)]]))</f>
        <v>402</v>
      </c>
    </row>
    <row r="50" spans="1:12" x14ac:dyDescent="0.25">
      <c r="A50" s="336" t="str">
        <f>AEL_Protection_Data[[#This Row],[Zone Sub]]&amp;"-"&amp;AEL_Protection_Data[[#This Row],[CB ID]]</f>
        <v>CNR-CB11</v>
      </c>
      <c r="B50" s="335" t="s">
        <v>159</v>
      </c>
      <c r="C50" s="334" t="s">
        <v>1575</v>
      </c>
      <c r="D50" s="334" t="s">
        <v>366</v>
      </c>
      <c r="E50" s="334" t="s">
        <v>1611</v>
      </c>
      <c r="F50" s="336" t="s">
        <v>607</v>
      </c>
      <c r="G50" s="334" t="s">
        <v>1614</v>
      </c>
      <c r="H50" s="334" t="s">
        <v>2008</v>
      </c>
      <c r="I50" s="336" t="s">
        <v>1539</v>
      </c>
      <c r="J50" s="269">
        <v>11</v>
      </c>
      <c r="K50" s="269">
        <v>402</v>
      </c>
      <c r="L50" s="269">
        <f>IF(AEL_Protection_Data[[#This Row],[ID]]=A49,MIN(AEL_Protection_Data[[#This Row],[Pickup (A)]],K49),IF(AEL_Protection_Data[[#This Row],[ID]]=A51,MIN(AEL_Protection_Data[[#This Row],[Pickup (A)]],K51),AEL_Protection_Data[[#This Row],[Pickup (A)]]))</f>
        <v>402</v>
      </c>
    </row>
    <row r="51" spans="1:12" x14ac:dyDescent="0.25">
      <c r="A51" s="336" t="str">
        <f>AEL_Protection_Data[[#This Row],[Zone Sub]]&amp;"-"&amp;AEL_Protection_Data[[#This Row],[CB ID]]</f>
        <v>CNR-CB12</v>
      </c>
      <c r="B51" s="335" t="s">
        <v>159</v>
      </c>
      <c r="C51" s="334" t="s">
        <v>1575</v>
      </c>
      <c r="D51" s="334" t="s">
        <v>366</v>
      </c>
      <c r="E51" s="334" t="s">
        <v>1611</v>
      </c>
      <c r="F51" s="336" t="s">
        <v>610</v>
      </c>
      <c r="G51" s="334" t="s">
        <v>1615</v>
      </c>
      <c r="H51" s="334" t="s">
        <v>184</v>
      </c>
      <c r="I51" s="336" t="s">
        <v>1539</v>
      </c>
      <c r="J51" s="269">
        <v>11</v>
      </c>
      <c r="K51" s="269">
        <v>402</v>
      </c>
      <c r="L51" s="269">
        <f>IF(AEL_Protection_Data[[#This Row],[ID]]=A50,MIN(AEL_Protection_Data[[#This Row],[Pickup (A)]],K50),IF(AEL_Protection_Data[[#This Row],[ID]]=A52,MIN(AEL_Protection_Data[[#This Row],[Pickup (A)]],K52),AEL_Protection_Data[[#This Row],[Pickup (A)]]))</f>
        <v>402</v>
      </c>
    </row>
    <row r="52" spans="1:12" x14ac:dyDescent="0.25">
      <c r="A52" s="336" t="str">
        <f>AEL_Protection_Data[[#This Row],[Zone Sub]]&amp;"-"&amp;AEL_Protection_Data[[#This Row],[CB ID]]</f>
        <v>STU-CB4</v>
      </c>
      <c r="B52" s="335" t="s">
        <v>1148</v>
      </c>
      <c r="C52" s="334" t="s">
        <v>1616</v>
      </c>
      <c r="D52" s="334" t="s">
        <v>74</v>
      </c>
      <c r="E52" s="334" t="s">
        <v>1532</v>
      </c>
      <c r="F52" s="336" t="s">
        <v>498</v>
      </c>
      <c r="G52" s="334" t="s">
        <v>1617</v>
      </c>
      <c r="H52" s="334" t="s">
        <v>2009</v>
      </c>
      <c r="I52" s="336" t="s">
        <v>1534</v>
      </c>
      <c r="J52" s="269">
        <v>11</v>
      </c>
      <c r="K52" s="269">
        <v>900</v>
      </c>
      <c r="L52" s="269">
        <f>IF(AEL_Protection_Data[[#This Row],[ID]]=A51,MIN(AEL_Protection_Data[[#This Row],[Pickup (A)]],K51),IF(AEL_Protection_Data[[#This Row],[ID]]=A53,MIN(AEL_Protection_Data[[#This Row],[Pickup (A)]],K53),AEL_Protection_Data[[#This Row],[Pickup (A)]]))</f>
        <v>900</v>
      </c>
    </row>
    <row r="53" spans="1:12" x14ac:dyDescent="0.25">
      <c r="A53" s="336" t="str">
        <f>AEL_Protection_Data[[#This Row],[Zone Sub]]&amp;"-"&amp;AEL_Protection_Data[[#This Row],[CB ID]]</f>
        <v>STU-CB6</v>
      </c>
      <c r="B53" s="335" t="s">
        <v>1148</v>
      </c>
      <c r="C53" s="334" t="s">
        <v>1616</v>
      </c>
      <c r="D53" s="334" t="s">
        <v>74</v>
      </c>
      <c r="E53" s="334" t="s">
        <v>1532</v>
      </c>
      <c r="F53" s="336" t="s">
        <v>500</v>
      </c>
      <c r="G53" s="334" t="s">
        <v>1618</v>
      </c>
      <c r="H53" s="334" t="s">
        <v>2010</v>
      </c>
      <c r="I53" s="336" t="s">
        <v>1534</v>
      </c>
      <c r="J53" s="269">
        <v>11</v>
      </c>
      <c r="K53" s="269">
        <v>900</v>
      </c>
      <c r="L53" s="269">
        <f>IF(AEL_Protection_Data[[#This Row],[ID]]=A52,MIN(AEL_Protection_Data[[#This Row],[Pickup (A)]],K52),IF(AEL_Protection_Data[[#This Row],[ID]]=A54,MIN(AEL_Protection_Data[[#This Row],[Pickup (A)]],K54),AEL_Protection_Data[[#This Row],[Pickup (A)]]))</f>
        <v>900</v>
      </c>
    </row>
    <row r="54" spans="1:12" x14ac:dyDescent="0.25">
      <c r="A54" s="336" t="str">
        <f>AEL_Protection_Data[[#This Row],[Zone Sub]]&amp;"-"&amp;AEL_Protection_Data[[#This Row],[CB ID]]</f>
        <v>STU-CB5</v>
      </c>
      <c r="B54" s="335" t="s">
        <v>1148</v>
      </c>
      <c r="C54" s="334" t="s">
        <v>1616</v>
      </c>
      <c r="D54" s="334" t="s">
        <v>74</v>
      </c>
      <c r="E54" s="334" t="s">
        <v>1532</v>
      </c>
      <c r="F54" s="336" t="s">
        <v>592</v>
      </c>
      <c r="G54" s="334" t="s">
        <v>746</v>
      </c>
      <c r="H54" s="334" t="s">
        <v>2529</v>
      </c>
      <c r="I54" s="336" t="s">
        <v>1534</v>
      </c>
      <c r="J54" s="269">
        <v>11</v>
      </c>
      <c r="K54" s="269">
        <v>744</v>
      </c>
      <c r="L54" s="269">
        <f>IF(AEL_Protection_Data[[#This Row],[ID]]=A53,MIN(AEL_Protection_Data[[#This Row],[Pickup (A)]],K53),IF(AEL_Protection_Data[[#This Row],[ID]]=A55,MIN(AEL_Protection_Data[[#This Row],[Pickup (A)]],K55),AEL_Protection_Data[[#This Row],[Pickup (A)]]))</f>
        <v>744</v>
      </c>
    </row>
    <row r="55" spans="1:12" x14ac:dyDescent="0.25">
      <c r="A55" s="336" t="str">
        <f>AEL_Protection_Data[[#This Row],[Zone Sub]]&amp;"-"&amp;AEL_Protection_Data[[#This Row],[CB ID]]</f>
        <v>STU-CB1</v>
      </c>
      <c r="B55" s="335" t="s">
        <v>1148</v>
      </c>
      <c r="C55" s="334" t="s">
        <v>1616</v>
      </c>
      <c r="D55" s="334" t="s">
        <v>74</v>
      </c>
      <c r="E55" s="334" t="s">
        <v>1532</v>
      </c>
      <c r="F55" s="336" t="s">
        <v>502</v>
      </c>
      <c r="G55" s="334" t="s">
        <v>1619</v>
      </c>
      <c r="H55" s="334" t="s">
        <v>2011</v>
      </c>
      <c r="I55" s="336" t="s">
        <v>1534</v>
      </c>
      <c r="J55" s="269">
        <v>11</v>
      </c>
      <c r="K55" s="269">
        <v>360</v>
      </c>
      <c r="L55" s="269">
        <f>IF(AEL_Protection_Data[[#This Row],[ID]]=A54,MIN(AEL_Protection_Data[[#This Row],[Pickup (A)]],K54),IF(AEL_Protection_Data[[#This Row],[ID]]=A56,MIN(AEL_Protection_Data[[#This Row],[Pickup (A)]],K56),AEL_Protection_Data[[#This Row],[Pickup (A)]]))</f>
        <v>360</v>
      </c>
    </row>
    <row r="56" spans="1:12" x14ac:dyDescent="0.25">
      <c r="A56" s="336" t="str">
        <f>AEL_Protection_Data[[#This Row],[Zone Sub]]&amp;"-"&amp;AEL_Protection_Data[[#This Row],[CB ID]]</f>
        <v>STU-CB2</v>
      </c>
      <c r="B56" s="335" t="s">
        <v>1148</v>
      </c>
      <c r="C56" s="334" t="s">
        <v>1616</v>
      </c>
      <c r="D56" s="334" t="s">
        <v>74</v>
      </c>
      <c r="E56" s="334" t="s">
        <v>1532</v>
      </c>
      <c r="F56" s="336" t="s">
        <v>507</v>
      </c>
      <c r="G56" s="334" t="s">
        <v>1620</v>
      </c>
      <c r="H56" s="334" t="s">
        <v>105</v>
      </c>
      <c r="I56" s="336" t="s">
        <v>1534</v>
      </c>
      <c r="J56" s="269">
        <v>11</v>
      </c>
      <c r="K56" s="269">
        <v>300</v>
      </c>
      <c r="L56" s="269">
        <f>IF(AEL_Protection_Data[[#This Row],[ID]]=A55,MIN(AEL_Protection_Data[[#This Row],[Pickup (A)]],K55),IF(AEL_Protection_Data[[#This Row],[ID]]=A57,MIN(AEL_Protection_Data[[#This Row],[Pickup (A)]],K57),AEL_Protection_Data[[#This Row],[Pickup (A)]]))</f>
        <v>300</v>
      </c>
    </row>
    <row r="57" spans="1:12" x14ac:dyDescent="0.25">
      <c r="A57" s="336" t="str">
        <f>AEL_Protection_Data[[#This Row],[Zone Sub]]&amp;"-"&amp;AEL_Protection_Data[[#This Row],[CB ID]]</f>
        <v>STU-CB3</v>
      </c>
      <c r="B57" s="335" t="s">
        <v>1148</v>
      </c>
      <c r="C57" s="334" t="s">
        <v>1616</v>
      </c>
      <c r="D57" s="334" t="s">
        <v>74</v>
      </c>
      <c r="E57" s="334" t="s">
        <v>1532</v>
      </c>
      <c r="F57" s="336" t="s">
        <v>511</v>
      </c>
      <c r="G57" s="334" t="s">
        <v>1621</v>
      </c>
      <c r="H57" s="334" t="s">
        <v>116</v>
      </c>
      <c r="I57" s="336" t="s">
        <v>1534</v>
      </c>
      <c r="J57" s="269">
        <v>11</v>
      </c>
      <c r="K57" s="269">
        <v>300</v>
      </c>
      <c r="L57" s="269">
        <f>IF(AEL_Protection_Data[[#This Row],[ID]]=A56,MIN(AEL_Protection_Data[[#This Row],[Pickup (A)]],K56),IF(AEL_Protection_Data[[#This Row],[ID]]=A58,MIN(AEL_Protection_Data[[#This Row],[Pickup (A)]],K58),AEL_Protection_Data[[#This Row],[Pickup (A)]]))</f>
        <v>300</v>
      </c>
    </row>
    <row r="58" spans="1:12" x14ac:dyDescent="0.25">
      <c r="A58" s="336" t="str">
        <f>AEL_Protection_Data[[#This Row],[Zone Sub]]&amp;"-"&amp;AEL_Protection_Data[[#This Row],[CB ID]]</f>
        <v>STU-CB7</v>
      </c>
      <c r="B58" s="335" t="s">
        <v>1148</v>
      </c>
      <c r="C58" s="334" t="s">
        <v>1616</v>
      </c>
      <c r="D58" s="334" t="s">
        <v>74</v>
      </c>
      <c r="E58" s="334" t="s">
        <v>1532</v>
      </c>
      <c r="F58" s="336" t="s">
        <v>512</v>
      </c>
      <c r="G58" s="334" t="s">
        <v>1622</v>
      </c>
      <c r="H58" s="334" t="s">
        <v>127</v>
      </c>
      <c r="I58" s="336" t="s">
        <v>1534</v>
      </c>
      <c r="J58" s="269">
        <v>11</v>
      </c>
      <c r="K58" s="269">
        <v>360</v>
      </c>
      <c r="L58" s="269">
        <f>IF(AEL_Protection_Data[[#This Row],[ID]]=A57,MIN(AEL_Protection_Data[[#This Row],[Pickup (A)]],K57),IF(AEL_Protection_Data[[#This Row],[ID]]=A59,MIN(AEL_Protection_Data[[#This Row],[Pickup (A)]],K59),AEL_Protection_Data[[#This Row],[Pickup (A)]]))</f>
        <v>360</v>
      </c>
    </row>
    <row r="59" spans="1:12" x14ac:dyDescent="0.25">
      <c r="A59" s="336" t="str">
        <f>AEL_Protection_Data[[#This Row],[Zone Sub]]&amp;"-"&amp;AEL_Protection_Data[[#This Row],[CB ID]]</f>
        <v>STU-CB8</v>
      </c>
      <c r="B59" s="335" t="s">
        <v>1148</v>
      </c>
      <c r="C59" s="334" t="s">
        <v>1616</v>
      </c>
      <c r="D59" s="334" t="s">
        <v>74</v>
      </c>
      <c r="E59" s="334" t="s">
        <v>1532</v>
      </c>
      <c r="F59" s="336" t="s">
        <v>522</v>
      </c>
      <c r="G59" s="334" t="s">
        <v>1623</v>
      </c>
      <c r="H59" s="334" t="s">
        <v>2012</v>
      </c>
      <c r="I59" s="336" t="s">
        <v>1534</v>
      </c>
      <c r="J59" s="269">
        <v>11</v>
      </c>
      <c r="K59" s="269">
        <v>360</v>
      </c>
      <c r="L59" s="269">
        <f>IF(AEL_Protection_Data[[#This Row],[ID]]=A58,MIN(AEL_Protection_Data[[#This Row],[Pickup (A)]],K58),IF(AEL_Protection_Data[[#This Row],[ID]]=A60,MIN(AEL_Protection_Data[[#This Row],[Pickup (A)]],K60),AEL_Protection_Data[[#This Row],[Pickup (A)]]))</f>
        <v>360</v>
      </c>
    </row>
    <row r="60" spans="1:12" x14ac:dyDescent="0.25">
      <c r="A60" s="336" t="str">
        <f>AEL_Protection_Data[[#This Row],[Zone Sub]]&amp;"-"&amp;AEL_Protection_Data[[#This Row],[CB ID]]</f>
        <v>STU-CB9</v>
      </c>
      <c r="B60" s="335" t="s">
        <v>1148</v>
      </c>
      <c r="C60" s="334" t="s">
        <v>1616</v>
      </c>
      <c r="D60" s="334" t="s">
        <v>74</v>
      </c>
      <c r="E60" s="334" t="s">
        <v>1532</v>
      </c>
      <c r="F60" s="336" t="s">
        <v>526</v>
      </c>
      <c r="G60" s="334" t="s">
        <v>1624</v>
      </c>
      <c r="H60" s="334" t="s">
        <v>139</v>
      </c>
      <c r="I60" s="336" t="s">
        <v>1534</v>
      </c>
      <c r="J60" s="269">
        <v>11</v>
      </c>
      <c r="K60" s="269">
        <v>300</v>
      </c>
      <c r="L60" s="269">
        <f>IF(AEL_Protection_Data[[#This Row],[ID]]=A59,MIN(AEL_Protection_Data[[#This Row],[Pickup (A)]],K59),IF(AEL_Protection_Data[[#This Row],[ID]]=A61,MIN(AEL_Protection_Data[[#This Row],[Pickup (A)]],K61),AEL_Protection_Data[[#This Row],[Pickup (A)]]))</f>
        <v>300</v>
      </c>
    </row>
    <row r="61" spans="1:12" x14ac:dyDescent="0.25">
      <c r="A61" s="336" t="str">
        <f>AEL_Protection_Data[[#This Row],[Zone Sub]]&amp;"-"&amp;AEL_Protection_Data[[#This Row],[CB ID]]</f>
        <v>STU-W196</v>
      </c>
      <c r="B61" s="335" t="s">
        <v>1148</v>
      </c>
      <c r="C61" s="334" t="s">
        <v>1616</v>
      </c>
      <c r="D61" s="334" t="s">
        <v>74</v>
      </c>
      <c r="E61" s="334" t="s">
        <v>1532</v>
      </c>
      <c r="F61" s="336" t="s">
        <v>1625</v>
      </c>
      <c r="G61" s="334" t="s">
        <v>1626</v>
      </c>
      <c r="H61" s="334" t="s">
        <v>2013</v>
      </c>
      <c r="I61" s="336" t="s">
        <v>1600</v>
      </c>
      <c r="J61" s="269">
        <v>11</v>
      </c>
      <c r="K61" s="269">
        <v>150</v>
      </c>
      <c r="L61" s="269">
        <f>IF(AEL_Protection_Data[[#This Row],[ID]]=A60,MIN(AEL_Protection_Data[[#This Row],[Pickup (A)]],K60),IF(AEL_Protection_Data[[#This Row],[ID]]=A62,MIN(AEL_Protection_Data[[#This Row],[Pickup (A)]],K62),AEL_Protection_Data[[#This Row],[Pickup (A)]]))</f>
        <v>150</v>
      </c>
    </row>
    <row r="62" spans="1:12" x14ac:dyDescent="0.25">
      <c r="A62" s="336" t="str">
        <f>AEL_Protection_Data[[#This Row],[Zone Sub]]&amp;"-"&amp;AEL_Protection_Data[[#This Row],[CB ID]]</f>
        <v>STU-W411</v>
      </c>
      <c r="B62" s="335" t="s">
        <v>1148</v>
      </c>
      <c r="C62" s="334" t="s">
        <v>1616</v>
      </c>
      <c r="D62" s="334" t="s">
        <v>74</v>
      </c>
      <c r="E62" s="334" t="s">
        <v>1532</v>
      </c>
      <c r="F62" s="336" t="s">
        <v>1627</v>
      </c>
      <c r="G62" s="334" t="s">
        <v>1628</v>
      </c>
      <c r="H62" s="334" t="s">
        <v>2014</v>
      </c>
      <c r="I62" s="336" t="s">
        <v>1572</v>
      </c>
      <c r="J62" s="269">
        <v>11</v>
      </c>
      <c r="K62" s="269">
        <v>220</v>
      </c>
      <c r="L62" s="269">
        <f>IF(AEL_Protection_Data[[#This Row],[ID]]=A61,MIN(AEL_Protection_Data[[#This Row],[Pickup (A)]],K61),IF(AEL_Protection_Data[[#This Row],[ID]]=A63,MIN(AEL_Protection_Data[[#This Row],[Pickup (A)]],K63),AEL_Protection_Data[[#This Row],[Pickup (A)]]))</f>
        <v>220</v>
      </c>
    </row>
    <row r="63" spans="1:12" x14ac:dyDescent="0.25">
      <c r="A63" s="336" t="str">
        <f>AEL_Protection_Data[[#This Row],[Zone Sub]]&amp;"-"&amp;AEL_Protection_Data[[#This Row],[CB ID]]</f>
        <v>STU-W515</v>
      </c>
      <c r="B63" s="335" t="s">
        <v>1148</v>
      </c>
      <c r="C63" s="334" t="s">
        <v>1616</v>
      </c>
      <c r="D63" s="334" t="s">
        <v>74</v>
      </c>
      <c r="E63" s="334" t="s">
        <v>1532</v>
      </c>
      <c r="F63" s="336" t="s">
        <v>1629</v>
      </c>
      <c r="G63" s="334" t="s">
        <v>1630</v>
      </c>
      <c r="H63" s="334" t="s">
        <v>2015</v>
      </c>
      <c r="I63" s="336" t="s">
        <v>1572</v>
      </c>
      <c r="J63" s="269">
        <v>11</v>
      </c>
      <c r="K63" s="269">
        <v>150</v>
      </c>
      <c r="L63" s="269">
        <f>IF(AEL_Protection_Data[[#This Row],[ID]]=A62,MIN(AEL_Protection_Data[[#This Row],[Pickup (A)]],K62),IF(AEL_Protection_Data[[#This Row],[ID]]=A64,MIN(AEL_Protection_Data[[#This Row],[Pickup (A)]],K64),AEL_Protection_Data[[#This Row],[Pickup (A)]]))</f>
        <v>150</v>
      </c>
    </row>
    <row r="64" spans="1:12" x14ac:dyDescent="0.25">
      <c r="A64" s="336" t="str">
        <f>AEL_Protection_Data[[#This Row],[Zone Sub]]&amp;"-"&amp;AEL_Protection_Data[[#This Row],[CB ID]]</f>
        <v>STU-W366</v>
      </c>
      <c r="B64" s="335" t="s">
        <v>1148</v>
      </c>
      <c r="C64" s="334" t="s">
        <v>1616</v>
      </c>
      <c r="D64" s="334" t="s">
        <v>74</v>
      </c>
      <c r="E64" s="334" t="s">
        <v>1532</v>
      </c>
      <c r="F64" s="336" t="s">
        <v>1631</v>
      </c>
      <c r="G64" s="334" t="s">
        <v>1632</v>
      </c>
      <c r="H64" s="334" t="s">
        <v>2016</v>
      </c>
      <c r="I64" s="336" t="s">
        <v>1546</v>
      </c>
      <c r="J64" s="269">
        <v>11</v>
      </c>
      <c r="K64" s="269">
        <v>260</v>
      </c>
      <c r="L64" s="269">
        <f>IF(AEL_Protection_Data[[#This Row],[ID]]=A63,MIN(AEL_Protection_Data[[#This Row],[Pickup (A)]],K63),IF(AEL_Protection_Data[[#This Row],[ID]]=A65,MIN(AEL_Protection_Data[[#This Row],[Pickup (A)]],K65),AEL_Protection_Data[[#This Row],[Pickup (A)]]))</f>
        <v>260</v>
      </c>
    </row>
    <row r="65" spans="1:12" x14ac:dyDescent="0.25">
      <c r="A65" s="336" t="str">
        <f>AEL_Protection_Data[[#This Row],[Zone Sub]]&amp;"-"&amp;AEL_Protection_Data[[#This Row],[CB ID]]</f>
        <v>STU-W365</v>
      </c>
      <c r="B65" s="335" t="s">
        <v>1148</v>
      </c>
      <c r="C65" s="334" t="s">
        <v>1616</v>
      </c>
      <c r="D65" s="334" t="s">
        <v>74</v>
      </c>
      <c r="E65" s="334" t="s">
        <v>1532</v>
      </c>
      <c r="F65" s="336" t="s">
        <v>1633</v>
      </c>
      <c r="G65" s="334" t="s">
        <v>1634</v>
      </c>
      <c r="H65" s="334" t="s">
        <v>2017</v>
      </c>
      <c r="I65" s="336" t="s">
        <v>1546</v>
      </c>
      <c r="J65" s="269">
        <v>11</v>
      </c>
      <c r="K65" s="269">
        <v>260</v>
      </c>
      <c r="L65" s="269">
        <f>IF(AEL_Protection_Data[[#This Row],[ID]]=A64,MIN(AEL_Protection_Data[[#This Row],[Pickup (A)]],K64),IF(AEL_Protection_Data[[#This Row],[ID]]=A66,MIN(AEL_Protection_Data[[#This Row],[Pickup (A)]],K66),AEL_Protection_Data[[#This Row],[Pickup (A)]]))</f>
        <v>260</v>
      </c>
    </row>
    <row r="66" spans="1:12" x14ac:dyDescent="0.25">
      <c r="A66" s="336" t="str">
        <f>AEL_Protection_Data[[#This Row],[Zone Sub]]&amp;"-"&amp;AEL_Protection_Data[[#This Row],[CB ID]]</f>
        <v>STU-W499</v>
      </c>
      <c r="B66" s="335" t="s">
        <v>1148</v>
      </c>
      <c r="C66" s="334" t="s">
        <v>1616</v>
      </c>
      <c r="D66" s="334" t="s">
        <v>74</v>
      </c>
      <c r="E66" s="334" t="s">
        <v>1532</v>
      </c>
      <c r="F66" s="336" t="s">
        <v>1635</v>
      </c>
      <c r="G66" s="334" t="s">
        <v>1636</v>
      </c>
      <c r="H66" s="334" t="s">
        <v>2018</v>
      </c>
      <c r="I66" s="336" t="s">
        <v>1546</v>
      </c>
      <c r="J66" s="269">
        <v>11</v>
      </c>
      <c r="K66" s="269">
        <v>150</v>
      </c>
      <c r="L66" s="269">
        <f>IF(AEL_Protection_Data[[#This Row],[ID]]=A65,MIN(AEL_Protection_Data[[#This Row],[Pickup (A)]],K65),IF(AEL_Protection_Data[[#This Row],[ID]]=A67,MIN(AEL_Protection_Data[[#This Row],[Pickup (A)]],K67),AEL_Protection_Data[[#This Row],[Pickup (A)]]))</f>
        <v>150</v>
      </c>
    </row>
    <row r="67" spans="1:12" x14ac:dyDescent="0.25">
      <c r="A67" s="336" t="str">
        <f>AEL_Protection_Data[[#This Row],[Zone Sub]]&amp;"-"&amp;AEL_Protection_Data[[#This Row],[CB ID]]</f>
        <v>STU-W465</v>
      </c>
      <c r="B67" s="335" t="s">
        <v>1148</v>
      </c>
      <c r="C67" s="334" t="s">
        <v>1616</v>
      </c>
      <c r="D67" s="334" t="s">
        <v>74</v>
      </c>
      <c r="E67" s="334" t="s">
        <v>1532</v>
      </c>
      <c r="F67" s="336" t="s">
        <v>1637</v>
      </c>
      <c r="G67" s="334" t="s">
        <v>1638</v>
      </c>
      <c r="H67" s="334" t="s">
        <v>2019</v>
      </c>
      <c r="I67" s="336" t="s">
        <v>1639</v>
      </c>
      <c r="J67" s="269">
        <v>11</v>
      </c>
      <c r="K67" s="269">
        <v>100</v>
      </c>
      <c r="L67" s="269">
        <f>IF(AEL_Protection_Data[[#This Row],[ID]]=A66,MIN(AEL_Protection_Data[[#This Row],[Pickup (A)]],K66),IF(AEL_Protection_Data[[#This Row],[ID]]=A68,MIN(AEL_Protection_Data[[#This Row],[Pickup (A)]],K68),AEL_Protection_Data[[#This Row],[Pickup (A)]]))</f>
        <v>100</v>
      </c>
    </row>
    <row r="68" spans="1:12" x14ac:dyDescent="0.25">
      <c r="A68" s="336" t="str">
        <f>AEL_Protection_Data[[#This Row],[Zone Sub]]&amp;"-"&amp;AEL_Protection_Data[[#This Row],[CB ID]]</f>
        <v>STU-W245</v>
      </c>
      <c r="B68" s="335" t="s">
        <v>1148</v>
      </c>
      <c r="C68" s="334" t="s">
        <v>1616</v>
      </c>
      <c r="D68" s="334" t="s">
        <v>74</v>
      </c>
      <c r="E68" s="334" t="s">
        <v>1532</v>
      </c>
      <c r="F68" s="336" t="s">
        <v>1640</v>
      </c>
      <c r="G68" s="334" t="s">
        <v>1641</v>
      </c>
      <c r="H68" s="334" t="s">
        <v>2020</v>
      </c>
      <c r="I68" s="336" t="s">
        <v>1642</v>
      </c>
      <c r="J68" s="269">
        <v>11</v>
      </c>
      <c r="K68" s="269">
        <v>150</v>
      </c>
      <c r="L68" s="269">
        <f>IF(AEL_Protection_Data[[#This Row],[ID]]=A67,MIN(AEL_Protection_Data[[#This Row],[Pickup (A)]],K67),IF(AEL_Protection_Data[[#This Row],[ID]]=A69,MIN(AEL_Protection_Data[[#This Row],[Pickup (A)]],K69),AEL_Protection_Data[[#This Row],[Pickup (A)]]))</f>
        <v>150</v>
      </c>
    </row>
    <row r="69" spans="1:12" x14ac:dyDescent="0.25">
      <c r="A69" s="336" t="str">
        <f>AEL_Protection_Data[[#This Row],[Zone Sub]]&amp;"-"&amp;AEL_Protection_Data[[#This Row],[CB ID]]</f>
        <v>STU-W664</v>
      </c>
      <c r="B69" s="335" t="s">
        <v>1148</v>
      </c>
      <c r="C69" s="334" t="s">
        <v>1616</v>
      </c>
      <c r="D69" s="334" t="s">
        <v>74</v>
      </c>
      <c r="E69" s="334" t="s">
        <v>1532</v>
      </c>
      <c r="F69" s="336" t="s">
        <v>1643</v>
      </c>
      <c r="G69" s="334" t="s">
        <v>1644</v>
      </c>
      <c r="H69" s="334" t="s">
        <v>2021</v>
      </c>
      <c r="I69" s="336" t="s">
        <v>1572</v>
      </c>
      <c r="J69" s="269">
        <v>11</v>
      </c>
      <c r="K69" s="269">
        <v>170</v>
      </c>
      <c r="L69" s="269">
        <f>IF(AEL_Protection_Data[[#This Row],[ID]]=A68,MIN(AEL_Protection_Data[[#This Row],[Pickup (A)]],K68),IF(AEL_Protection_Data[[#This Row],[ID]]=A70,MIN(AEL_Protection_Data[[#This Row],[Pickup (A)]],K70),AEL_Protection_Data[[#This Row],[Pickup (A)]]))</f>
        <v>170</v>
      </c>
    </row>
    <row r="70" spans="1:12" x14ac:dyDescent="0.25">
      <c r="A70" s="336" t="str">
        <f>AEL_Protection_Data[[#This Row],[Zone Sub]]&amp;"-"&amp;AEL_Protection_Data[[#This Row],[CB ID]]</f>
        <v>STU-W685</v>
      </c>
      <c r="B70" s="335" t="s">
        <v>1148</v>
      </c>
      <c r="C70" s="334" t="s">
        <v>1616</v>
      </c>
      <c r="D70" s="334" t="s">
        <v>74</v>
      </c>
      <c r="E70" s="334" t="s">
        <v>1532</v>
      </c>
      <c r="F70" s="336" t="s">
        <v>1645</v>
      </c>
      <c r="G70" s="334" t="s">
        <v>1646</v>
      </c>
      <c r="H70" s="334" t="s">
        <v>2022</v>
      </c>
      <c r="I70" s="336" t="s">
        <v>1568</v>
      </c>
      <c r="J70" s="269">
        <v>11</v>
      </c>
      <c r="K70" s="269">
        <v>200</v>
      </c>
      <c r="L70" s="269">
        <f>IF(AEL_Protection_Data[[#This Row],[ID]]=A69,MIN(AEL_Protection_Data[[#This Row],[Pickup (A)]],K69),IF(AEL_Protection_Data[[#This Row],[ID]]=A71,MIN(AEL_Protection_Data[[#This Row],[Pickup (A)]],K71),AEL_Protection_Data[[#This Row],[Pickup (A)]]))</f>
        <v>200</v>
      </c>
    </row>
    <row r="71" spans="1:12" x14ac:dyDescent="0.25">
      <c r="A71" s="336" t="str">
        <f>AEL_Protection_Data[[#This Row],[Zone Sub]]&amp;"-"&amp;AEL_Protection_Data[[#This Row],[CB ID]]</f>
        <v>STU-W176</v>
      </c>
      <c r="B71" s="335" t="s">
        <v>1148</v>
      </c>
      <c r="C71" s="334" t="s">
        <v>1616</v>
      </c>
      <c r="D71" s="334" t="s">
        <v>74</v>
      </c>
      <c r="E71" s="334" t="s">
        <v>1532</v>
      </c>
      <c r="F71" s="336" t="s">
        <v>1598</v>
      </c>
      <c r="G71" s="334" t="s">
        <v>1599</v>
      </c>
      <c r="H71" s="334" t="s">
        <v>2000</v>
      </c>
      <c r="I71" s="336" t="s">
        <v>1603</v>
      </c>
      <c r="J71" s="269">
        <v>11</v>
      </c>
      <c r="K71" s="269">
        <v>190</v>
      </c>
      <c r="L71" s="269">
        <f>IF(AEL_Protection_Data[[#This Row],[ID]]=A70,MIN(AEL_Protection_Data[[#This Row],[Pickup (A)]],K70),IF(AEL_Protection_Data[[#This Row],[ID]]=A72,MIN(AEL_Protection_Data[[#This Row],[Pickup (A)]],K72),AEL_Protection_Data[[#This Row],[Pickup (A)]]))</f>
        <v>190</v>
      </c>
    </row>
    <row r="72" spans="1:12" x14ac:dyDescent="0.25">
      <c r="A72" s="336" t="str">
        <f>AEL_Protection_Data[[#This Row],[Zone Sub]]&amp;"-CB"&amp;AEL_Protection_Data[[#This Row],[CB ID]]</f>
        <v>TIM-CB2752</v>
      </c>
      <c r="B72" s="335" t="s">
        <v>82</v>
      </c>
      <c r="C72" s="334" t="s">
        <v>1647</v>
      </c>
      <c r="D72" s="334" t="s">
        <v>75</v>
      </c>
      <c r="E72" s="334" t="s">
        <v>1532</v>
      </c>
      <c r="F72" s="336" t="s">
        <v>1648</v>
      </c>
      <c r="G72" s="334" t="s">
        <v>1649</v>
      </c>
      <c r="H72" s="334" t="s">
        <v>2023</v>
      </c>
      <c r="I72" s="336" t="s">
        <v>1650</v>
      </c>
      <c r="J72" s="269">
        <v>11</v>
      </c>
      <c r="K72" s="269">
        <v>1800</v>
      </c>
      <c r="L72" s="269">
        <f>IF(AEL_Protection_Data[[#This Row],[ID]]=A71,MIN(AEL_Protection_Data[[#This Row],[Pickup (A)]],K71),IF(AEL_Protection_Data[[#This Row],[ID]]=A73,MIN(AEL_Protection_Data[[#This Row],[Pickup (A)]],K73),AEL_Protection_Data[[#This Row],[Pickup (A)]]))</f>
        <v>1800</v>
      </c>
    </row>
    <row r="73" spans="1:12" x14ac:dyDescent="0.25">
      <c r="A73" s="336" t="str">
        <f>AEL_Protection_Data[[#This Row],[Zone Sub]]&amp;"-CB"&amp;AEL_Protection_Data[[#This Row],[CB ID]]</f>
        <v>TIM-CB2842</v>
      </c>
      <c r="B73" s="335" t="s">
        <v>82</v>
      </c>
      <c r="C73" s="334" t="s">
        <v>1647</v>
      </c>
      <c r="D73" s="334" t="s">
        <v>75</v>
      </c>
      <c r="E73" s="334" t="s">
        <v>1532</v>
      </c>
      <c r="F73" s="336" t="s">
        <v>1651</v>
      </c>
      <c r="G73" s="334" t="s">
        <v>1652</v>
      </c>
      <c r="H73" s="334" t="s">
        <v>2024</v>
      </c>
      <c r="I73" s="336" t="s">
        <v>1650</v>
      </c>
      <c r="J73" s="269">
        <v>11</v>
      </c>
      <c r="K73" s="269">
        <v>1800</v>
      </c>
      <c r="L73" s="269">
        <f>IF(AEL_Protection_Data[[#This Row],[ID]]=A72,MIN(AEL_Protection_Data[[#This Row],[Pickup (A)]],K72),IF(AEL_Protection_Data[[#This Row],[ID]]=A74,MIN(AEL_Protection_Data[[#This Row],[Pickup (A)]],K74),AEL_Protection_Data[[#This Row],[Pickup (A)]]))</f>
        <v>1800</v>
      </c>
    </row>
    <row r="74" spans="1:12" x14ac:dyDescent="0.25">
      <c r="A74" s="336" t="str">
        <f>AEL_Protection_Data[[#This Row],[Zone Sub]]&amp;"-CB"&amp;AEL_Protection_Data[[#This Row],[CB ID]]</f>
        <v>TIM-CB2932</v>
      </c>
      <c r="B74" s="335" t="s">
        <v>82</v>
      </c>
      <c r="C74" s="334" t="s">
        <v>1647</v>
      </c>
      <c r="D74" s="334" t="s">
        <v>75</v>
      </c>
      <c r="E74" s="334" t="s">
        <v>1532</v>
      </c>
      <c r="F74" s="336" t="s">
        <v>1653</v>
      </c>
      <c r="G74" s="334" t="s">
        <v>1654</v>
      </c>
      <c r="H74" s="334" t="s">
        <v>2025</v>
      </c>
      <c r="I74" s="336" t="s">
        <v>1650</v>
      </c>
      <c r="J74" s="269">
        <v>11</v>
      </c>
      <c r="K74" s="269">
        <v>1800</v>
      </c>
      <c r="L74" s="269">
        <f>IF(AEL_Protection_Data[[#This Row],[ID]]=A73,MIN(AEL_Protection_Data[[#This Row],[Pickup (A)]],K73),IF(AEL_Protection_Data[[#This Row],[ID]]=A75,MIN(AEL_Protection_Data[[#This Row],[Pickup (A)]],K75),AEL_Protection_Data[[#This Row],[Pickup (A)]]))</f>
        <v>1800</v>
      </c>
    </row>
    <row r="75" spans="1:12" x14ac:dyDescent="0.25">
      <c r="A75" s="336" t="str">
        <f>AEL_Protection_Data[[#This Row],[Zone Sub]]&amp;"-CB"&amp;AEL_Protection_Data[[#This Row],[CB ID]]</f>
        <v>TIM-CB2728</v>
      </c>
      <c r="B75" s="335" t="s">
        <v>82</v>
      </c>
      <c r="C75" s="334" t="s">
        <v>1647</v>
      </c>
      <c r="D75" s="334" t="s">
        <v>75</v>
      </c>
      <c r="E75" s="334" t="s">
        <v>1532</v>
      </c>
      <c r="F75" s="336" t="s">
        <v>2530</v>
      </c>
      <c r="G75" s="334" t="s">
        <v>746</v>
      </c>
      <c r="H75" s="334" t="s">
        <v>2531</v>
      </c>
      <c r="I75" s="336" t="s">
        <v>1534</v>
      </c>
      <c r="J75" s="269">
        <v>11</v>
      </c>
      <c r="K75" s="269">
        <v>2496</v>
      </c>
      <c r="L75" s="269">
        <f>IF(AEL_Protection_Data[[#This Row],[ID]]=A74,MIN(AEL_Protection_Data[[#This Row],[Pickup (A)]],K74),IF(AEL_Protection_Data[[#This Row],[ID]]=A76,MIN(AEL_Protection_Data[[#This Row],[Pickup (A)]],K76),AEL_Protection_Data[[#This Row],[Pickup (A)]]))</f>
        <v>2496</v>
      </c>
    </row>
    <row r="76" spans="1:12" x14ac:dyDescent="0.25">
      <c r="A76" s="336" t="str">
        <f>AEL_Protection_Data[[#This Row],[Zone Sub]]&amp;"-CB"&amp;AEL_Protection_Data[[#This Row],[CB ID]]</f>
        <v>TIM-CB2968</v>
      </c>
      <c r="B76" s="335" t="s">
        <v>82</v>
      </c>
      <c r="C76" s="334" t="s">
        <v>1647</v>
      </c>
      <c r="D76" s="334" t="s">
        <v>75</v>
      </c>
      <c r="E76" s="334" t="s">
        <v>1532</v>
      </c>
      <c r="F76" s="336" t="s">
        <v>2532</v>
      </c>
      <c r="G76" s="334" t="s">
        <v>746</v>
      </c>
      <c r="H76" s="334" t="s">
        <v>2533</v>
      </c>
      <c r="I76" s="336" t="s">
        <v>1534</v>
      </c>
      <c r="J76" s="269">
        <v>11</v>
      </c>
      <c r="K76" s="269">
        <v>2496</v>
      </c>
      <c r="L76" s="269">
        <f>IF(AEL_Protection_Data[[#This Row],[ID]]=A75,MIN(AEL_Protection_Data[[#This Row],[Pickup (A)]],K75),IF(AEL_Protection_Data[[#This Row],[ID]]=A77,MIN(AEL_Protection_Data[[#This Row],[Pickup (A)]],K77),AEL_Protection_Data[[#This Row],[Pickup (A)]]))</f>
        <v>2496</v>
      </c>
    </row>
    <row r="77" spans="1:12" x14ac:dyDescent="0.25">
      <c r="A77" s="336" t="str">
        <f>AEL_Protection_Data[[#This Row],[Zone Sub]]&amp;"-CB"&amp;AEL_Protection_Data[[#This Row],[CB ID]]</f>
        <v>TIM-CB2788</v>
      </c>
      <c r="B77" s="335" t="s">
        <v>82</v>
      </c>
      <c r="C77" s="334" t="s">
        <v>1647</v>
      </c>
      <c r="D77" s="334" t="s">
        <v>75</v>
      </c>
      <c r="E77" s="334" t="s">
        <v>1532</v>
      </c>
      <c r="F77" s="336" t="s">
        <v>2534</v>
      </c>
      <c r="G77" s="334" t="s">
        <v>746</v>
      </c>
      <c r="H77" s="334" t="s">
        <v>2535</v>
      </c>
      <c r="I77" s="336" t="s">
        <v>1534</v>
      </c>
      <c r="J77" s="269">
        <v>11</v>
      </c>
      <c r="K77" s="269">
        <v>2496</v>
      </c>
      <c r="L77" s="269">
        <f>IF(AEL_Protection_Data[[#This Row],[ID]]=A76,MIN(AEL_Protection_Data[[#This Row],[Pickup (A)]],K76),IF(AEL_Protection_Data[[#This Row],[ID]]=A78,MIN(AEL_Protection_Data[[#This Row],[Pickup (A)]],K78),AEL_Protection_Data[[#This Row],[Pickup (A)]]))</f>
        <v>2496</v>
      </c>
    </row>
    <row r="78" spans="1:12" x14ac:dyDescent="0.25">
      <c r="A78" s="336" t="str">
        <f>AEL_Protection_Data[[#This Row],[Zone Sub]]&amp;"-CB"&amp;AEL_Protection_Data[[#This Row],[CB ID]]</f>
        <v>TIM-CB2878</v>
      </c>
      <c r="B78" s="335" t="s">
        <v>82</v>
      </c>
      <c r="C78" s="334" t="s">
        <v>1647</v>
      </c>
      <c r="D78" s="334" t="s">
        <v>75</v>
      </c>
      <c r="E78" s="334" t="s">
        <v>1532</v>
      </c>
      <c r="F78" s="336" t="s">
        <v>2536</v>
      </c>
      <c r="G78" s="334" t="s">
        <v>746</v>
      </c>
      <c r="H78" s="334" t="s">
        <v>2537</v>
      </c>
      <c r="I78" s="336" t="s">
        <v>1534</v>
      </c>
      <c r="J78" s="269">
        <v>11</v>
      </c>
      <c r="K78" s="269">
        <v>2496</v>
      </c>
      <c r="L78" s="269">
        <f>IF(AEL_Protection_Data[[#This Row],[ID]]=A77,MIN(AEL_Protection_Data[[#This Row],[Pickup (A)]],K77),IF(AEL_Protection_Data[[#This Row],[ID]]=A79,MIN(AEL_Protection_Data[[#This Row],[Pickup (A)]],K79),AEL_Protection_Data[[#This Row],[Pickup (A)]]))</f>
        <v>2496</v>
      </c>
    </row>
    <row r="79" spans="1:12" x14ac:dyDescent="0.25">
      <c r="A79" s="336" t="str">
        <f>AEL_Protection_Data[[#This Row],[Zone Sub]]&amp;"-CB"&amp;AEL_Protection_Data[[#This Row],[CB ID]]</f>
        <v>TIM-CB2682</v>
      </c>
      <c r="B79" s="335" t="s">
        <v>82</v>
      </c>
      <c r="C79" s="334" t="s">
        <v>1647</v>
      </c>
      <c r="D79" s="334" t="s">
        <v>75</v>
      </c>
      <c r="E79" s="334" t="s">
        <v>1532</v>
      </c>
      <c r="F79" s="336" t="s">
        <v>1655</v>
      </c>
      <c r="G79" s="334" t="s">
        <v>1656</v>
      </c>
      <c r="H79" s="334" t="s">
        <v>2026</v>
      </c>
      <c r="I79" s="336" t="s">
        <v>1657</v>
      </c>
      <c r="J79" s="269">
        <v>11</v>
      </c>
      <c r="K79" s="269">
        <v>400</v>
      </c>
      <c r="L79" s="269">
        <f>IF(AEL_Protection_Data[[#This Row],[ID]]=A78,MIN(AEL_Protection_Data[[#This Row],[Pickup (A)]],K78),IF(AEL_Protection_Data[[#This Row],[ID]]=A80,MIN(AEL_Protection_Data[[#This Row],[Pickup (A)]],K80),AEL_Protection_Data[[#This Row],[Pickup (A)]]))</f>
        <v>400</v>
      </c>
    </row>
    <row r="80" spans="1:12" x14ac:dyDescent="0.25">
      <c r="A80" s="336" t="str">
        <f>AEL_Protection_Data[[#This Row],[Zone Sub]]&amp;"-CB"&amp;AEL_Protection_Data[[#This Row],[CB ID]]</f>
        <v>TIM-CB2992</v>
      </c>
      <c r="B80" s="335" t="s">
        <v>82</v>
      </c>
      <c r="C80" s="334" t="s">
        <v>1647</v>
      </c>
      <c r="D80" s="334" t="s">
        <v>75</v>
      </c>
      <c r="E80" s="334" t="s">
        <v>1532</v>
      </c>
      <c r="F80" s="336" t="s">
        <v>1658</v>
      </c>
      <c r="G80" s="334" t="s">
        <v>1659</v>
      </c>
      <c r="H80" s="334" t="s">
        <v>2027</v>
      </c>
      <c r="I80" s="336" t="s">
        <v>1657</v>
      </c>
      <c r="J80" s="269">
        <v>11</v>
      </c>
      <c r="K80" s="269">
        <v>400</v>
      </c>
      <c r="L80" s="269">
        <f>IF(AEL_Protection_Data[[#This Row],[ID]]=A79,MIN(AEL_Protection_Data[[#This Row],[Pickup (A)]],K79),IF(AEL_Protection_Data[[#This Row],[ID]]=A81,MIN(AEL_Protection_Data[[#This Row],[Pickup (A)]],K81),AEL_Protection_Data[[#This Row],[Pickup (A)]]))</f>
        <v>400</v>
      </c>
    </row>
    <row r="81" spans="1:12" x14ac:dyDescent="0.25">
      <c r="A81" s="336" t="str">
        <f>AEL_Protection_Data[[#This Row],[Zone Sub]]&amp;"-CB"&amp;AEL_Protection_Data[[#This Row],[CB ID]]</f>
        <v>TIM-CB2702</v>
      </c>
      <c r="B81" s="335" t="s">
        <v>82</v>
      </c>
      <c r="C81" s="334" t="s">
        <v>1647</v>
      </c>
      <c r="D81" s="334" t="s">
        <v>75</v>
      </c>
      <c r="E81" s="334" t="s">
        <v>1532</v>
      </c>
      <c r="F81" s="336" t="s">
        <v>1660</v>
      </c>
      <c r="G81" s="334" t="s">
        <v>1661</v>
      </c>
      <c r="H81" s="334" t="s">
        <v>2028</v>
      </c>
      <c r="I81" s="336" t="s">
        <v>1657</v>
      </c>
      <c r="J81" s="269">
        <v>11</v>
      </c>
      <c r="K81" s="269">
        <v>400</v>
      </c>
      <c r="L81" s="269">
        <f>IF(AEL_Protection_Data[[#This Row],[ID]]=A80,MIN(AEL_Protection_Data[[#This Row],[Pickup (A)]],K80),IF(AEL_Protection_Data[[#This Row],[ID]]=A82,MIN(AEL_Protection_Data[[#This Row],[Pickup (A)]],K82),AEL_Protection_Data[[#This Row],[Pickup (A)]]))</f>
        <v>400</v>
      </c>
    </row>
    <row r="82" spans="1:12" x14ac:dyDescent="0.25">
      <c r="A82" s="336" t="str">
        <f>AEL_Protection_Data[[#This Row],[Zone Sub]]&amp;"-CB"&amp;AEL_Protection_Data[[#This Row],[CB ID]]</f>
        <v>TIM-CB2712</v>
      </c>
      <c r="B82" s="335" t="s">
        <v>82</v>
      </c>
      <c r="C82" s="334" t="s">
        <v>1647</v>
      </c>
      <c r="D82" s="334" t="s">
        <v>75</v>
      </c>
      <c r="E82" s="334" t="s">
        <v>1532</v>
      </c>
      <c r="F82" s="336" t="s">
        <v>1662</v>
      </c>
      <c r="G82" s="334" t="s">
        <v>1663</v>
      </c>
      <c r="H82" s="334" t="s">
        <v>2029</v>
      </c>
      <c r="I82" s="336" t="s">
        <v>1657</v>
      </c>
      <c r="J82" s="269">
        <v>11</v>
      </c>
      <c r="K82" s="269">
        <v>400</v>
      </c>
      <c r="L82" s="269">
        <f>IF(AEL_Protection_Data[[#This Row],[ID]]=A81,MIN(AEL_Protection_Data[[#This Row],[Pickup (A)]],K81),IF(AEL_Protection_Data[[#This Row],[ID]]=A83,MIN(AEL_Protection_Data[[#This Row],[Pickup (A)]],K83),AEL_Protection_Data[[#This Row],[Pickup (A)]]))</f>
        <v>400</v>
      </c>
    </row>
    <row r="83" spans="1:12" x14ac:dyDescent="0.25">
      <c r="A83" s="336" t="str">
        <f>AEL_Protection_Data[[#This Row],[Zone Sub]]&amp;"-CB"&amp;AEL_Protection_Data[[#This Row],[CB ID]]</f>
        <v>TIM-CB2742</v>
      </c>
      <c r="B83" s="335" t="s">
        <v>82</v>
      </c>
      <c r="C83" s="334" t="s">
        <v>1647</v>
      </c>
      <c r="D83" s="334" t="s">
        <v>75</v>
      </c>
      <c r="E83" s="334" t="s">
        <v>1532</v>
      </c>
      <c r="F83" s="336" t="s">
        <v>1664</v>
      </c>
      <c r="G83" s="334" t="s">
        <v>1665</v>
      </c>
      <c r="H83" s="334" t="s">
        <v>2030</v>
      </c>
      <c r="I83" s="336" t="s">
        <v>1657</v>
      </c>
      <c r="J83" s="269">
        <v>11</v>
      </c>
      <c r="K83" s="269">
        <v>400</v>
      </c>
      <c r="L83" s="269">
        <f>IF(AEL_Protection_Data[[#This Row],[ID]]=A82,MIN(AEL_Protection_Data[[#This Row],[Pickup (A)]],K82),IF(AEL_Protection_Data[[#This Row],[ID]]=A84,MIN(AEL_Protection_Data[[#This Row],[Pickup (A)]],K84),AEL_Protection_Data[[#This Row],[Pickup (A)]]))</f>
        <v>400</v>
      </c>
    </row>
    <row r="84" spans="1:12" x14ac:dyDescent="0.25">
      <c r="A84" s="336" t="str">
        <f>AEL_Protection_Data[[#This Row],[Zone Sub]]&amp;"-CB"&amp;AEL_Protection_Data[[#This Row],[CB ID]]</f>
        <v>TIM-CB2762</v>
      </c>
      <c r="B84" s="335" t="s">
        <v>82</v>
      </c>
      <c r="C84" s="334" t="s">
        <v>1647</v>
      </c>
      <c r="D84" s="334" t="s">
        <v>75</v>
      </c>
      <c r="E84" s="334" t="s">
        <v>1532</v>
      </c>
      <c r="F84" s="336" t="s">
        <v>1666</v>
      </c>
      <c r="G84" s="334" t="s">
        <v>1667</v>
      </c>
      <c r="H84" s="334" t="s">
        <v>2031</v>
      </c>
      <c r="I84" s="336" t="s">
        <v>1657</v>
      </c>
      <c r="J84" s="269">
        <v>11</v>
      </c>
      <c r="K84" s="269">
        <v>400</v>
      </c>
      <c r="L84" s="269">
        <f>IF(AEL_Protection_Data[[#This Row],[ID]]=A83,MIN(AEL_Protection_Data[[#This Row],[Pickup (A)]],K83),IF(AEL_Protection_Data[[#This Row],[ID]]=A85,MIN(AEL_Protection_Data[[#This Row],[Pickup (A)]],K85),AEL_Protection_Data[[#This Row],[Pickup (A)]]))</f>
        <v>400</v>
      </c>
    </row>
    <row r="85" spans="1:12" x14ac:dyDescent="0.25">
      <c r="A85" s="336" t="str">
        <f>AEL_Protection_Data[[#This Row],[Zone Sub]]&amp;"-CB"&amp;AEL_Protection_Data[[#This Row],[CB ID]]</f>
        <v>TIM-CB2832</v>
      </c>
      <c r="B85" s="335" t="s">
        <v>82</v>
      </c>
      <c r="C85" s="334" t="s">
        <v>1647</v>
      </c>
      <c r="D85" s="334" t="s">
        <v>75</v>
      </c>
      <c r="E85" s="334" t="s">
        <v>1532</v>
      </c>
      <c r="F85" s="336" t="s">
        <v>1668</v>
      </c>
      <c r="G85" s="334" t="s">
        <v>1669</v>
      </c>
      <c r="H85" s="334" t="s">
        <v>2032</v>
      </c>
      <c r="I85" s="336" t="s">
        <v>1657</v>
      </c>
      <c r="J85" s="269">
        <v>11</v>
      </c>
      <c r="K85" s="269">
        <v>400</v>
      </c>
      <c r="L85" s="269">
        <f>IF(AEL_Protection_Data[[#This Row],[ID]]=A84,MIN(AEL_Protection_Data[[#This Row],[Pickup (A)]],K84),IF(AEL_Protection_Data[[#This Row],[ID]]=A86,MIN(AEL_Protection_Data[[#This Row],[Pickup (A)]],K86),AEL_Protection_Data[[#This Row],[Pickup (A)]]))</f>
        <v>400</v>
      </c>
    </row>
    <row r="86" spans="1:12" x14ac:dyDescent="0.25">
      <c r="A86" s="336" t="str">
        <f>AEL_Protection_Data[[#This Row],[Zone Sub]]&amp;"-CB"&amp;AEL_Protection_Data[[#This Row],[CB ID]]</f>
        <v>TIM-CB2852</v>
      </c>
      <c r="B86" s="335" t="s">
        <v>82</v>
      </c>
      <c r="C86" s="334" t="s">
        <v>1647</v>
      </c>
      <c r="D86" s="334" t="s">
        <v>75</v>
      </c>
      <c r="E86" s="334" t="s">
        <v>1532</v>
      </c>
      <c r="F86" s="336" t="s">
        <v>1670</v>
      </c>
      <c r="G86" s="334" t="s">
        <v>1671</v>
      </c>
      <c r="H86" s="334" t="s">
        <v>2033</v>
      </c>
      <c r="I86" s="336" t="s">
        <v>1657</v>
      </c>
      <c r="J86" s="269">
        <v>11</v>
      </c>
      <c r="K86" s="269">
        <v>400</v>
      </c>
      <c r="L86" s="269">
        <f>IF(AEL_Protection_Data[[#This Row],[ID]]=A85,MIN(AEL_Protection_Data[[#This Row],[Pickup (A)]],K85),IF(AEL_Protection_Data[[#This Row],[ID]]=A87,MIN(AEL_Protection_Data[[#This Row],[Pickup (A)]],K87),AEL_Protection_Data[[#This Row],[Pickup (A)]]))</f>
        <v>400</v>
      </c>
    </row>
    <row r="87" spans="1:12" x14ac:dyDescent="0.25">
      <c r="A87" s="336" t="str">
        <f>AEL_Protection_Data[[#This Row],[Zone Sub]]&amp;"-CB"&amp;AEL_Protection_Data[[#This Row],[CB ID]]</f>
        <v>TIM-CB2862</v>
      </c>
      <c r="B87" s="335" t="s">
        <v>82</v>
      </c>
      <c r="C87" s="334" t="s">
        <v>1647</v>
      </c>
      <c r="D87" s="334" t="s">
        <v>75</v>
      </c>
      <c r="E87" s="334" t="s">
        <v>1532</v>
      </c>
      <c r="F87" s="336" t="s">
        <v>1672</v>
      </c>
      <c r="G87" s="334" t="s">
        <v>1673</v>
      </c>
      <c r="H87" s="334" t="s">
        <v>2034</v>
      </c>
      <c r="I87" s="336" t="s">
        <v>1657</v>
      </c>
      <c r="J87" s="269">
        <v>11</v>
      </c>
      <c r="K87" s="269">
        <v>400</v>
      </c>
      <c r="L87" s="269">
        <f>IF(AEL_Protection_Data[[#This Row],[ID]]=A86,MIN(AEL_Protection_Data[[#This Row],[Pickup (A)]],K86),IF(AEL_Protection_Data[[#This Row],[ID]]=A88,MIN(AEL_Protection_Data[[#This Row],[Pickup (A)]],K88),AEL_Protection_Data[[#This Row],[Pickup (A)]]))</f>
        <v>400</v>
      </c>
    </row>
    <row r="88" spans="1:12" x14ac:dyDescent="0.25">
      <c r="A88" s="336" t="str">
        <f>AEL_Protection_Data[[#This Row],[Zone Sub]]&amp;"-CB"&amp;AEL_Protection_Data[[#This Row],[CB ID]]</f>
        <v>TIM-CB2942</v>
      </c>
      <c r="B88" s="335" t="s">
        <v>82</v>
      </c>
      <c r="C88" s="334" t="s">
        <v>1647</v>
      </c>
      <c r="D88" s="334" t="s">
        <v>75</v>
      </c>
      <c r="E88" s="334" t="s">
        <v>1532</v>
      </c>
      <c r="F88" s="336" t="s">
        <v>1674</v>
      </c>
      <c r="G88" s="334" t="s">
        <v>1675</v>
      </c>
      <c r="H88" s="334" t="s">
        <v>2035</v>
      </c>
      <c r="I88" s="336" t="s">
        <v>1657</v>
      </c>
      <c r="J88" s="269">
        <v>11</v>
      </c>
      <c r="K88" s="269">
        <v>400</v>
      </c>
      <c r="L88" s="269">
        <f>IF(AEL_Protection_Data[[#This Row],[ID]]=A87,MIN(AEL_Protection_Data[[#This Row],[Pickup (A)]],K87),IF(AEL_Protection_Data[[#This Row],[ID]]=A89,MIN(AEL_Protection_Data[[#This Row],[Pickup (A)]],K89),AEL_Protection_Data[[#This Row],[Pickup (A)]]))</f>
        <v>400</v>
      </c>
    </row>
    <row r="89" spans="1:12" x14ac:dyDescent="0.25">
      <c r="A89" s="336" t="str">
        <f>AEL_Protection_Data[[#This Row],[Zone Sub]]&amp;"-CB"&amp;AEL_Protection_Data[[#This Row],[CB ID]]</f>
        <v>TIM-CB2952</v>
      </c>
      <c r="B89" s="335" t="s">
        <v>82</v>
      </c>
      <c r="C89" s="334" t="s">
        <v>1647</v>
      </c>
      <c r="D89" s="334" t="s">
        <v>75</v>
      </c>
      <c r="E89" s="334" t="s">
        <v>1532</v>
      </c>
      <c r="F89" s="336" t="s">
        <v>1676</v>
      </c>
      <c r="G89" s="334" t="s">
        <v>1677</v>
      </c>
      <c r="H89" s="334" t="s">
        <v>2036</v>
      </c>
      <c r="I89" s="336" t="s">
        <v>1657</v>
      </c>
      <c r="J89" s="269">
        <v>11</v>
      </c>
      <c r="K89" s="269">
        <v>400</v>
      </c>
      <c r="L89" s="269">
        <f>IF(AEL_Protection_Data[[#This Row],[ID]]=A88,MIN(AEL_Protection_Data[[#This Row],[Pickup (A)]],K88),IF(AEL_Protection_Data[[#This Row],[ID]]=A90,MIN(AEL_Protection_Data[[#This Row],[Pickup (A)]],K90),AEL_Protection_Data[[#This Row],[Pickup (A)]]))</f>
        <v>400</v>
      </c>
    </row>
    <row r="90" spans="1:12" x14ac:dyDescent="0.25">
      <c r="A90" s="336" t="str">
        <f>AEL_Protection_Data[[#This Row],[Zone Sub]]&amp;"-CB"&amp;AEL_Protection_Data[[#This Row],[CB ID]]</f>
        <v>TIM-CB2972</v>
      </c>
      <c r="B90" s="335" t="s">
        <v>82</v>
      </c>
      <c r="C90" s="334" t="s">
        <v>1647</v>
      </c>
      <c r="D90" s="334" t="s">
        <v>75</v>
      </c>
      <c r="E90" s="334" t="s">
        <v>1532</v>
      </c>
      <c r="F90" s="336" t="s">
        <v>1678</v>
      </c>
      <c r="G90" s="334" t="s">
        <v>1679</v>
      </c>
      <c r="H90" s="334" t="s">
        <v>2037</v>
      </c>
      <c r="I90" s="336" t="s">
        <v>1657</v>
      </c>
      <c r="J90" s="269">
        <v>11</v>
      </c>
      <c r="K90" s="269">
        <v>400</v>
      </c>
      <c r="L90" s="269">
        <f>IF(AEL_Protection_Data[[#This Row],[ID]]=A89,MIN(AEL_Protection_Data[[#This Row],[Pickup (A)]],K89),IF(AEL_Protection_Data[[#This Row],[ID]]=A91,MIN(AEL_Protection_Data[[#This Row],[Pickup (A)]],K91),AEL_Protection_Data[[#This Row],[Pickup (A)]]))</f>
        <v>400</v>
      </c>
    </row>
    <row r="91" spans="1:12" x14ac:dyDescent="0.25">
      <c r="A91" s="336" t="str">
        <f>AEL_Protection_Data[[#This Row],[Zone Sub]]&amp;"-CB"&amp;AEL_Protection_Data[[#This Row],[CB ID]]</f>
        <v>TIM-CB2732</v>
      </c>
      <c r="B91" s="335" t="s">
        <v>82</v>
      </c>
      <c r="C91" s="334" t="s">
        <v>1647</v>
      </c>
      <c r="D91" s="334" t="s">
        <v>75</v>
      </c>
      <c r="E91" s="334" t="s">
        <v>1532</v>
      </c>
      <c r="F91" s="336" t="s">
        <v>1680</v>
      </c>
      <c r="G91" s="334" t="s">
        <v>1681</v>
      </c>
      <c r="H91" s="334" t="s">
        <v>2038</v>
      </c>
      <c r="I91" s="336" t="s">
        <v>1538</v>
      </c>
      <c r="J91" s="269">
        <v>11</v>
      </c>
      <c r="K91" s="269">
        <v>1068</v>
      </c>
      <c r="L91" s="269">
        <f>IF(AEL_Protection_Data[[#This Row],[ID]]=A90,MIN(AEL_Protection_Data[[#This Row],[Pickup (A)]],K90),IF(AEL_Protection_Data[[#This Row],[ID]]=A92,MIN(AEL_Protection_Data[[#This Row],[Pickup (A)]],K92),AEL_Protection_Data[[#This Row],[Pickup (A)]]))</f>
        <v>1068</v>
      </c>
    </row>
    <row r="92" spans="1:12" x14ac:dyDescent="0.25">
      <c r="A92" s="336" t="str">
        <f>AEL_Protection_Data[[#This Row],[Zone Sub]]&amp;"-CB"&amp;AEL_Protection_Data[[#This Row],[CB ID]]</f>
        <v>TIM-CB2922</v>
      </c>
      <c r="B92" s="335" t="s">
        <v>82</v>
      </c>
      <c r="C92" s="334" t="s">
        <v>1647</v>
      </c>
      <c r="D92" s="334" t="s">
        <v>75</v>
      </c>
      <c r="E92" s="334" t="s">
        <v>1532</v>
      </c>
      <c r="F92" s="336" t="s">
        <v>1682</v>
      </c>
      <c r="G92" s="334" t="s">
        <v>1683</v>
      </c>
      <c r="H92" s="334" t="s">
        <v>2039</v>
      </c>
      <c r="I92" s="336" t="s">
        <v>1538</v>
      </c>
      <c r="J92" s="269">
        <v>11</v>
      </c>
      <c r="K92" s="269">
        <v>1068</v>
      </c>
      <c r="L92" s="269">
        <f>IF(AEL_Protection_Data[[#This Row],[ID]]=A91,MIN(AEL_Protection_Data[[#This Row],[Pickup (A)]],K91),IF(AEL_Protection_Data[[#This Row],[ID]]=A93,MIN(AEL_Protection_Data[[#This Row],[Pickup (A)]],K93),AEL_Protection_Data[[#This Row],[Pickup (A)]]))</f>
        <v>1068</v>
      </c>
    </row>
    <row r="93" spans="1:12" x14ac:dyDescent="0.25">
      <c r="A93" s="336" t="str">
        <f>AEL_Protection_Data[[#This Row],[Zone Sub]]&amp;"-CB"&amp;AEL_Protection_Data[[#This Row],[CB ID]]</f>
        <v>TIM-CB2692</v>
      </c>
      <c r="B93" s="335" t="s">
        <v>82</v>
      </c>
      <c r="C93" s="334" t="s">
        <v>1647</v>
      </c>
      <c r="D93" s="334" t="s">
        <v>75</v>
      </c>
      <c r="E93" s="334" t="s">
        <v>1532</v>
      </c>
      <c r="F93" s="336" t="s">
        <v>1684</v>
      </c>
      <c r="G93" s="334" t="s">
        <v>1685</v>
      </c>
      <c r="H93" s="334" t="s">
        <v>2040</v>
      </c>
      <c r="I93" s="336" t="s">
        <v>1686</v>
      </c>
      <c r="J93" s="269">
        <v>11</v>
      </c>
      <c r="K93" s="269">
        <v>1184</v>
      </c>
      <c r="L93" s="269">
        <f>IF(AEL_Protection_Data[[#This Row],[ID]]=A92,MIN(AEL_Protection_Data[[#This Row],[Pickup (A)]],K92),IF(AEL_Protection_Data[[#This Row],[ID]]=A94,MIN(AEL_Protection_Data[[#This Row],[Pickup (A)]],K94),AEL_Protection_Data[[#This Row],[Pickup (A)]]))</f>
        <v>1184</v>
      </c>
    </row>
    <row r="94" spans="1:12" x14ac:dyDescent="0.25">
      <c r="A94" s="336" t="str">
        <f>AEL_Protection_Data[[#This Row],[Zone Sub]]&amp;"-CB"&amp;AEL_Protection_Data[[#This Row],[CB ID]]</f>
        <v>TIM-CB2982</v>
      </c>
      <c r="B94" s="335" t="s">
        <v>82</v>
      </c>
      <c r="C94" s="334" t="s">
        <v>1647</v>
      </c>
      <c r="D94" s="334" t="s">
        <v>75</v>
      </c>
      <c r="E94" s="334" t="s">
        <v>1532</v>
      </c>
      <c r="F94" s="336" t="s">
        <v>1687</v>
      </c>
      <c r="G94" s="334" t="s">
        <v>1688</v>
      </c>
      <c r="H94" s="334" t="s">
        <v>2041</v>
      </c>
      <c r="I94" s="336" t="s">
        <v>1686</v>
      </c>
      <c r="J94" s="269">
        <v>11</v>
      </c>
      <c r="K94" s="269">
        <v>1184</v>
      </c>
      <c r="L94" s="269">
        <f>IF(AEL_Protection_Data[[#This Row],[ID]]=A93,MIN(AEL_Protection_Data[[#This Row],[Pickup (A)]],K93),IF(AEL_Protection_Data[[#This Row],[ID]]=A95,MIN(AEL_Protection_Data[[#This Row],[Pickup (A)]],K95),AEL_Protection_Data[[#This Row],[Pickup (A)]]))</f>
        <v>1184</v>
      </c>
    </row>
    <row r="95" spans="1:12" x14ac:dyDescent="0.25">
      <c r="A95" s="336" t="str">
        <f>AEL_Protection_Data[[#This Row],[Zone Sub]]&amp;"-CB"&amp;AEL_Protection_Data[[#This Row],[CB ID]]</f>
        <v>TIM-CB2912</v>
      </c>
      <c r="B95" s="335" t="s">
        <v>82</v>
      </c>
      <c r="C95" s="334" t="s">
        <v>1647</v>
      </c>
      <c r="D95" s="334" t="s">
        <v>75</v>
      </c>
      <c r="E95" s="334" t="s">
        <v>1532</v>
      </c>
      <c r="F95" s="336" t="s">
        <v>1689</v>
      </c>
      <c r="G95" s="334" t="s">
        <v>1690</v>
      </c>
      <c r="H95" s="334" t="s">
        <v>2042</v>
      </c>
      <c r="I95" s="336" t="s">
        <v>1686</v>
      </c>
      <c r="J95" s="269">
        <v>11</v>
      </c>
      <c r="K95" s="269">
        <v>600</v>
      </c>
      <c r="L95" s="269">
        <f>IF(AEL_Protection_Data[[#This Row],[ID]]=A94,MIN(AEL_Protection_Data[[#This Row],[Pickup (A)]],K94),IF(AEL_Protection_Data[[#This Row],[ID]]=A96,MIN(AEL_Protection_Data[[#This Row],[Pickup (A)]],K96),AEL_Protection_Data[[#This Row],[Pickup (A)]]))</f>
        <v>600</v>
      </c>
    </row>
    <row r="96" spans="1:12" x14ac:dyDescent="0.25">
      <c r="A96" s="336" t="str">
        <f>AEL_Protection_Data[[#This Row],[Zone Sub]]&amp;"-CB"&amp;AEL_Protection_Data[[#This Row],[CB ID]]</f>
        <v>TIM-CB2822</v>
      </c>
      <c r="B96" s="335" t="s">
        <v>82</v>
      </c>
      <c r="C96" s="334" t="s">
        <v>1647</v>
      </c>
      <c r="D96" s="334" t="s">
        <v>75</v>
      </c>
      <c r="E96" s="334" t="s">
        <v>1532</v>
      </c>
      <c r="F96" s="336" t="s">
        <v>1691</v>
      </c>
      <c r="G96" s="334" t="s">
        <v>1692</v>
      </c>
      <c r="H96" s="334" t="s">
        <v>2043</v>
      </c>
      <c r="I96" s="336" t="s">
        <v>1686</v>
      </c>
      <c r="J96" s="269">
        <v>11</v>
      </c>
      <c r="K96" s="269">
        <v>600</v>
      </c>
      <c r="L96" s="269">
        <f>IF(AEL_Protection_Data[[#This Row],[ID]]=A95,MIN(AEL_Protection_Data[[#This Row],[Pickup (A)]],K95),IF(AEL_Protection_Data[[#This Row],[ID]]=A97,MIN(AEL_Protection_Data[[#This Row],[Pickup (A)]],K97),AEL_Protection_Data[[#This Row],[Pickup (A)]]))</f>
        <v>600</v>
      </c>
    </row>
    <row r="97" spans="1:12" x14ac:dyDescent="0.25">
      <c r="A97" s="336" t="str">
        <f>AEL_Protection_Data[[#This Row],[Zone Sub]]&amp;"-CB"&amp;AEL_Protection_Data[[#This Row],[CB ID]]</f>
        <v>TIM-CB2812</v>
      </c>
      <c r="B97" s="335" t="s">
        <v>82</v>
      </c>
      <c r="C97" s="334" t="s">
        <v>1647</v>
      </c>
      <c r="D97" s="334" t="s">
        <v>75</v>
      </c>
      <c r="E97" s="334" t="s">
        <v>1532</v>
      </c>
      <c r="F97" s="336" t="s">
        <v>1693</v>
      </c>
      <c r="G97" s="334" t="s">
        <v>1694</v>
      </c>
      <c r="H97" s="334" t="s">
        <v>2044</v>
      </c>
      <c r="I97" s="336" t="s">
        <v>1686</v>
      </c>
      <c r="J97" s="269">
        <v>11</v>
      </c>
      <c r="K97" s="269">
        <v>600</v>
      </c>
      <c r="L97" s="269">
        <f>IF(AEL_Protection_Data[[#This Row],[ID]]=A96,MIN(AEL_Protection_Data[[#This Row],[Pickup (A)]],K96),IF(AEL_Protection_Data[[#This Row],[ID]]=A98,MIN(AEL_Protection_Data[[#This Row],[Pickup (A)]],K98),AEL_Protection_Data[[#This Row],[Pickup (A)]]))</f>
        <v>600</v>
      </c>
    </row>
    <row r="98" spans="1:12" x14ac:dyDescent="0.25">
      <c r="A98" s="336" t="str">
        <f>AEL_Protection_Data[[#This Row],[Zone Sub]]&amp;"-CB"&amp;AEL_Protection_Data[[#This Row],[CB ID]]</f>
        <v>TIM-CB2772</v>
      </c>
      <c r="B98" s="335" t="s">
        <v>82</v>
      </c>
      <c r="C98" s="334" t="s">
        <v>1647</v>
      </c>
      <c r="D98" s="334" t="s">
        <v>75</v>
      </c>
      <c r="E98" s="334" t="s">
        <v>1532</v>
      </c>
      <c r="F98" s="336" t="s">
        <v>1695</v>
      </c>
      <c r="G98" s="334" t="s">
        <v>1696</v>
      </c>
      <c r="H98" s="334" t="s">
        <v>2045</v>
      </c>
      <c r="I98" s="336" t="s">
        <v>1686</v>
      </c>
      <c r="J98" s="269">
        <v>11</v>
      </c>
      <c r="K98" s="269">
        <v>600</v>
      </c>
      <c r="L98" s="269">
        <f>IF(AEL_Protection_Data[[#This Row],[ID]]=A97,MIN(AEL_Protection_Data[[#This Row],[Pickup (A)]],K97),IF(AEL_Protection_Data[[#This Row],[ID]]=A99,MIN(AEL_Protection_Data[[#This Row],[Pickup (A)]],K99),AEL_Protection_Data[[#This Row],[Pickup (A)]]))</f>
        <v>600</v>
      </c>
    </row>
    <row r="99" spans="1:12" x14ac:dyDescent="0.25">
      <c r="A99" s="336" t="str">
        <f>AEL_Protection_Data[[#This Row],[Zone Sub]]&amp;"-CB"&amp;AEL_Protection_Data[[#This Row],[CB ID]]</f>
        <v>TIM-CB2662</v>
      </c>
      <c r="B99" s="335" t="s">
        <v>82</v>
      </c>
      <c r="C99" s="334" t="s">
        <v>1647</v>
      </c>
      <c r="D99" s="334" t="s">
        <v>75</v>
      </c>
      <c r="E99" s="334" t="s">
        <v>1532</v>
      </c>
      <c r="F99" s="336" t="s">
        <v>1697</v>
      </c>
      <c r="G99" s="334" t="s">
        <v>1104</v>
      </c>
      <c r="H99" s="334" t="s">
        <v>2046</v>
      </c>
      <c r="I99" s="336" t="s">
        <v>1686</v>
      </c>
      <c r="J99" s="269">
        <v>11</v>
      </c>
      <c r="K99" s="269">
        <v>400</v>
      </c>
      <c r="L99" s="269">
        <f>IF(AEL_Protection_Data[[#This Row],[ID]]=A98,MIN(AEL_Protection_Data[[#This Row],[Pickup (A)]],K98),IF(AEL_Protection_Data[[#This Row],[ID]]=A100,MIN(AEL_Protection_Data[[#This Row],[Pickup (A)]],K100),AEL_Protection_Data[[#This Row],[Pickup (A)]]))</f>
        <v>400</v>
      </c>
    </row>
    <row r="100" spans="1:12" x14ac:dyDescent="0.25">
      <c r="A100" s="336" t="str">
        <f>AEL_Protection_Data[[#This Row],[Zone Sub]]&amp;"-CB"&amp;AEL_Protection_Data[[#This Row],[CB ID]]</f>
        <v>TIM-CB2672</v>
      </c>
      <c r="B100" s="335" t="s">
        <v>82</v>
      </c>
      <c r="C100" s="334" t="s">
        <v>1647</v>
      </c>
      <c r="D100" s="334" t="s">
        <v>75</v>
      </c>
      <c r="E100" s="334" t="s">
        <v>1532</v>
      </c>
      <c r="F100" s="336" t="s">
        <v>1698</v>
      </c>
      <c r="G100" s="334" t="s">
        <v>1107</v>
      </c>
      <c r="H100" s="334" t="s">
        <v>2047</v>
      </c>
      <c r="I100" s="336" t="s">
        <v>1686</v>
      </c>
      <c r="J100" s="269">
        <v>11</v>
      </c>
      <c r="K100" s="269">
        <v>400</v>
      </c>
      <c r="L100" s="269">
        <f>IF(AEL_Protection_Data[[#This Row],[ID]]=A99,MIN(AEL_Protection_Data[[#This Row],[Pickup (A)]],K99),IF(AEL_Protection_Data[[#This Row],[ID]]=A101,MIN(AEL_Protection_Data[[#This Row],[Pickup (A)]],K101),AEL_Protection_Data[[#This Row],[Pickup (A)]]))</f>
        <v>400</v>
      </c>
    </row>
    <row r="101" spans="1:12" x14ac:dyDescent="0.25">
      <c r="A101" s="336" t="str">
        <f>AEL_Protection_Data[[#This Row],[Zone Sub]]&amp;"-CB"&amp;AEL_Protection_Data[[#This Row],[CB ID]]</f>
        <v>TIM-CB3002</v>
      </c>
      <c r="B101" s="335" t="s">
        <v>82</v>
      </c>
      <c r="C101" s="334" t="s">
        <v>1647</v>
      </c>
      <c r="D101" s="334" t="s">
        <v>75</v>
      </c>
      <c r="E101" s="334" t="s">
        <v>1532</v>
      </c>
      <c r="F101" s="336" t="s">
        <v>1699</v>
      </c>
      <c r="G101" s="334" t="s">
        <v>1114</v>
      </c>
      <c r="H101" s="334" t="s">
        <v>2048</v>
      </c>
      <c r="I101" s="336" t="s">
        <v>1686</v>
      </c>
      <c r="J101" s="269">
        <v>11</v>
      </c>
      <c r="K101" s="269">
        <v>400</v>
      </c>
      <c r="L101" s="269">
        <f>IF(AEL_Protection_Data[[#This Row],[ID]]=A100,MIN(AEL_Protection_Data[[#This Row],[Pickup (A)]],K100),IF(AEL_Protection_Data[[#This Row],[ID]]=A102,MIN(AEL_Protection_Data[[#This Row],[Pickup (A)]],K102),AEL_Protection_Data[[#This Row],[Pickup (A)]]))</f>
        <v>400</v>
      </c>
    </row>
    <row r="102" spans="1:12" x14ac:dyDescent="0.25">
      <c r="A102" s="336" t="str">
        <f>AEL_Protection_Data[[#This Row],[Zone Sub]]&amp;"-CB"&amp;AEL_Protection_Data[[#This Row],[CB ID]]</f>
        <v>TIM-CB3012</v>
      </c>
      <c r="B102" s="335" t="s">
        <v>82</v>
      </c>
      <c r="C102" s="334" t="s">
        <v>1647</v>
      </c>
      <c r="D102" s="334" t="s">
        <v>75</v>
      </c>
      <c r="E102" s="334" t="s">
        <v>1532</v>
      </c>
      <c r="F102" s="336" t="s">
        <v>1700</v>
      </c>
      <c r="G102" s="334" t="s">
        <v>1116</v>
      </c>
      <c r="H102" s="334" t="s">
        <v>2049</v>
      </c>
      <c r="I102" s="336" t="s">
        <v>1686</v>
      </c>
      <c r="J102" s="269">
        <v>11</v>
      </c>
      <c r="K102" s="269">
        <v>400</v>
      </c>
      <c r="L102" s="269">
        <f>IF(AEL_Protection_Data[[#This Row],[ID]]=A101,MIN(AEL_Protection_Data[[#This Row],[Pickup (A)]],K101),IF(AEL_Protection_Data[[#This Row],[ID]]=A103,MIN(AEL_Protection_Data[[#This Row],[Pickup (A)]],K103),AEL_Protection_Data[[#This Row],[Pickup (A)]]))</f>
        <v>400</v>
      </c>
    </row>
    <row r="103" spans="1:12" x14ac:dyDescent="0.25">
      <c r="A103" s="336" t="str">
        <f>AEL_Protection_Data[[#This Row],[Zone Sub]]&amp;"-"&amp;AEL_Protection_Data[[#This Row],[CB ID]]</f>
        <v>TIM-L509</v>
      </c>
      <c r="B103" s="335" t="s">
        <v>82</v>
      </c>
      <c r="C103" s="334" t="s">
        <v>1647</v>
      </c>
      <c r="D103" s="334" t="s">
        <v>75</v>
      </c>
      <c r="E103" s="334" t="s">
        <v>1540</v>
      </c>
      <c r="F103" s="336" t="s">
        <v>1701</v>
      </c>
      <c r="G103" s="334" t="s">
        <v>1702</v>
      </c>
      <c r="H103" s="334" t="s">
        <v>2050</v>
      </c>
      <c r="I103" s="336" t="s">
        <v>1546</v>
      </c>
      <c r="J103" s="269">
        <v>11</v>
      </c>
      <c r="K103" s="269">
        <v>280</v>
      </c>
      <c r="L103" s="269">
        <f>IF(AEL_Protection_Data[[#This Row],[ID]]=A102,MIN(AEL_Protection_Data[[#This Row],[Pickup (A)]],K102),IF(AEL_Protection_Data[[#This Row],[ID]]=A104,MIN(AEL_Protection_Data[[#This Row],[Pickup (A)]],K104),AEL_Protection_Data[[#This Row],[Pickup (A)]]))</f>
        <v>280</v>
      </c>
    </row>
    <row r="104" spans="1:12" x14ac:dyDescent="0.25">
      <c r="A104" s="336" t="str">
        <f>AEL_Protection_Data[[#This Row],[Zone Sub]]&amp;"-"&amp;AEL_Protection_Data[[#This Row],[CB ID]]</f>
        <v>TIM-L839</v>
      </c>
      <c r="B104" s="335" t="s">
        <v>82</v>
      </c>
      <c r="C104" s="334" t="s">
        <v>1647</v>
      </c>
      <c r="D104" s="334" t="s">
        <v>75</v>
      </c>
      <c r="E104" s="334" t="s">
        <v>1532</v>
      </c>
      <c r="F104" s="336" t="s">
        <v>1703</v>
      </c>
      <c r="G104" s="334" t="s">
        <v>1704</v>
      </c>
      <c r="H104" s="334" t="s">
        <v>2051</v>
      </c>
      <c r="I104" s="336" t="s">
        <v>1546</v>
      </c>
      <c r="J104" s="269">
        <v>11</v>
      </c>
      <c r="K104" s="269">
        <v>150</v>
      </c>
      <c r="L104" s="269">
        <f>IF(AEL_Protection_Data[[#This Row],[ID]]=A103,MIN(AEL_Protection_Data[[#This Row],[Pickup (A)]],K103),IF(AEL_Protection_Data[[#This Row],[ID]]=A105,MIN(AEL_Protection_Data[[#This Row],[Pickup (A)]],K105),AEL_Protection_Data[[#This Row],[Pickup (A)]]))</f>
        <v>150</v>
      </c>
    </row>
    <row r="105" spans="1:12" x14ac:dyDescent="0.25">
      <c r="A105" s="336" t="str">
        <f>AEL_Protection_Data[[#This Row],[Zone Sub]]&amp;"-"&amp;AEL_Protection_Data[[#This Row],[CB ID]]</f>
        <v>TIM-L811</v>
      </c>
      <c r="B105" s="335" t="s">
        <v>82</v>
      </c>
      <c r="C105" s="334" t="s">
        <v>1647</v>
      </c>
      <c r="D105" s="334" t="s">
        <v>75</v>
      </c>
      <c r="E105" s="334" t="s">
        <v>1540</v>
      </c>
      <c r="F105" s="336" t="s">
        <v>1705</v>
      </c>
      <c r="G105" s="334" t="s">
        <v>1706</v>
      </c>
      <c r="H105" s="334" t="s">
        <v>2052</v>
      </c>
      <c r="I105" s="336" t="s">
        <v>1546</v>
      </c>
      <c r="J105" s="269">
        <v>11</v>
      </c>
      <c r="K105" s="269">
        <v>100</v>
      </c>
      <c r="L105" s="269">
        <f>IF(AEL_Protection_Data[[#This Row],[ID]]=A104,MIN(AEL_Protection_Data[[#This Row],[Pickup (A)]],K104),IF(AEL_Protection_Data[[#This Row],[ID]]=A106,MIN(AEL_Protection_Data[[#This Row],[Pickup (A)]],K106),AEL_Protection_Data[[#This Row],[Pickup (A)]]))</f>
        <v>100</v>
      </c>
    </row>
    <row r="106" spans="1:12" x14ac:dyDescent="0.25">
      <c r="A106" s="336" t="str">
        <f>AEL_Protection_Data[[#This Row],[Zone Sub]]&amp;"-"&amp;AEL_Protection_Data[[#This Row],[CB ID]]</f>
        <v>TIM-L808</v>
      </c>
      <c r="B106" s="335" t="s">
        <v>82</v>
      </c>
      <c r="C106" s="334" t="s">
        <v>1647</v>
      </c>
      <c r="D106" s="334" t="s">
        <v>75</v>
      </c>
      <c r="E106" s="334" t="s">
        <v>1540</v>
      </c>
      <c r="F106" s="336" t="s">
        <v>1707</v>
      </c>
      <c r="G106" s="334" t="s">
        <v>1708</v>
      </c>
      <c r="H106" s="334" t="s">
        <v>2053</v>
      </c>
      <c r="I106" s="336" t="s">
        <v>1600</v>
      </c>
      <c r="J106" s="269">
        <v>11</v>
      </c>
      <c r="K106" s="269">
        <v>140</v>
      </c>
      <c r="L106" s="269">
        <f>IF(AEL_Protection_Data[[#This Row],[ID]]=A105,MIN(AEL_Protection_Data[[#This Row],[Pickup (A)]],K105),IF(AEL_Protection_Data[[#This Row],[ID]]=A107,MIN(AEL_Protection_Data[[#This Row],[Pickup (A)]],K107),AEL_Protection_Data[[#This Row],[Pickup (A)]]))</f>
        <v>140</v>
      </c>
    </row>
    <row r="107" spans="1:12" x14ac:dyDescent="0.25">
      <c r="A107" s="336" t="str">
        <f>AEL_Protection_Data[[#This Row],[Zone Sub]]&amp;"-"&amp;AEL_Protection_Data[[#This Row],[CB ID]]</f>
        <v>TIM-L355</v>
      </c>
      <c r="B107" s="335" t="s">
        <v>82</v>
      </c>
      <c r="C107" s="334" t="s">
        <v>1647</v>
      </c>
      <c r="D107" s="334" t="s">
        <v>75</v>
      </c>
      <c r="E107" s="334" t="s">
        <v>1540</v>
      </c>
      <c r="F107" s="336" t="s">
        <v>1709</v>
      </c>
      <c r="G107" s="334" t="s">
        <v>1710</v>
      </c>
      <c r="H107" s="334" t="s">
        <v>2054</v>
      </c>
      <c r="I107" s="336" t="s">
        <v>1546</v>
      </c>
      <c r="J107" s="269">
        <v>11</v>
      </c>
      <c r="K107" s="269">
        <v>200</v>
      </c>
      <c r="L107" s="269">
        <f>IF(AEL_Protection_Data[[#This Row],[ID]]=A106,MIN(AEL_Protection_Data[[#This Row],[Pickup (A)]],K106),IF(AEL_Protection_Data[[#This Row],[ID]]=A108,MIN(AEL_Protection_Data[[#This Row],[Pickup (A)]],K108),AEL_Protection_Data[[#This Row],[Pickup (A)]]))</f>
        <v>200</v>
      </c>
    </row>
    <row r="108" spans="1:12" x14ac:dyDescent="0.25">
      <c r="A108" s="336" t="str">
        <f>AEL_Protection_Data[[#This Row],[Zone Sub]]&amp;"-"&amp;AEL_Protection_Data[[#This Row],[CB ID]]</f>
        <v>TIM-L287</v>
      </c>
      <c r="B108" s="335" t="s">
        <v>82</v>
      </c>
      <c r="C108" s="334" t="s">
        <v>1647</v>
      </c>
      <c r="D108" s="334" t="s">
        <v>75</v>
      </c>
      <c r="E108" s="334" t="s">
        <v>1540</v>
      </c>
      <c r="F108" s="336" t="s">
        <v>1711</v>
      </c>
      <c r="G108" s="334" t="s">
        <v>1712</v>
      </c>
      <c r="H108" s="334" t="s">
        <v>2055</v>
      </c>
      <c r="I108" s="336" t="s">
        <v>1546</v>
      </c>
      <c r="J108" s="269">
        <v>11</v>
      </c>
      <c r="K108" s="269">
        <v>200</v>
      </c>
      <c r="L108" s="269">
        <f>IF(AEL_Protection_Data[[#This Row],[ID]]=A107,MIN(AEL_Protection_Data[[#This Row],[Pickup (A)]],K107),IF(AEL_Protection_Data[[#This Row],[ID]]=A109,MIN(AEL_Protection_Data[[#This Row],[Pickup (A)]],K109),AEL_Protection_Data[[#This Row],[Pickup (A)]]))</f>
        <v>200</v>
      </c>
    </row>
    <row r="109" spans="1:12" x14ac:dyDescent="0.25">
      <c r="A109" s="336" t="str">
        <f>AEL_Protection_Data[[#This Row],[Zone Sub]]&amp;"-"&amp;AEL_Protection_Data[[#This Row],[CB ID]]</f>
        <v>TIM-L876</v>
      </c>
      <c r="B109" s="335" t="s">
        <v>82</v>
      </c>
      <c r="C109" s="334" t="s">
        <v>1647</v>
      </c>
      <c r="D109" s="334" t="s">
        <v>75</v>
      </c>
      <c r="E109" s="334" t="s">
        <v>1540</v>
      </c>
      <c r="F109" s="336" t="s">
        <v>1462</v>
      </c>
      <c r="G109" s="334" t="s">
        <v>1713</v>
      </c>
      <c r="H109" s="334" t="s">
        <v>2056</v>
      </c>
      <c r="I109" s="336" t="s">
        <v>1546</v>
      </c>
      <c r="J109" s="269">
        <v>11</v>
      </c>
      <c r="K109" s="269">
        <v>200</v>
      </c>
      <c r="L109" s="269">
        <f>IF(AEL_Protection_Data[[#This Row],[ID]]=A108,MIN(AEL_Protection_Data[[#This Row],[Pickup (A)]],K108),IF(AEL_Protection_Data[[#This Row],[ID]]=A110,MIN(AEL_Protection_Data[[#This Row],[Pickup (A)]],K110),AEL_Protection_Data[[#This Row],[Pickup (A)]]))</f>
        <v>200</v>
      </c>
    </row>
    <row r="110" spans="1:12" x14ac:dyDescent="0.25">
      <c r="A110" s="336" t="str">
        <f>AEL_Protection_Data[[#This Row],[Zone Sub]]&amp;"-"&amp;AEL_Protection_Data[[#This Row],[CB ID]]</f>
        <v>TIM-L792</v>
      </c>
      <c r="B110" s="335" t="s">
        <v>82</v>
      </c>
      <c r="C110" s="334" t="s">
        <v>1647</v>
      </c>
      <c r="D110" s="334" t="s">
        <v>75</v>
      </c>
      <c r="E110" s="334" t="s">
        <v>1540</v>
      </c>
      <c r="F110" s="336" t="s">
        <v>1714</v>
      </c>
      <c r="G110" s="334" t="s">
        <v>1715</v>
      </c>
      <c r="H110" s="334" t="s">
        <v>2057</v>
      </c>
      <c r="I110" s="336" t="s">
        <v>1546</v>
      </c>
      <c r="J110" s="269">
        <v>11</v>
      </c>
      <c r="K110" s="269">
        <v>200</v>
      </c>
      <c r="L110" s="269">
        <f>IF(AEL_Protection_Data[[#This Row],[ID]]=A109,MIN(AEL_Protection_Data[[#This Row],[Pickup (A)]],K109),IF(AEL_Protection_Data[[#This Row],[ID]]=A111,MIN(AEL_Protection_Data[[#This Row],[Pickup (A)]],K111),AEL_Protection_Data[[#This Row],[Pickup (A)]]))</f>
        <v>200</v>
      </c>
    </row>
    <row r="111" spans="1:12" x14ac:dyDescent="0.25">
      <c r="A111" s="336" t="str">
        <f>AEL_Protection_Data[[#This Row],[Zone Sub]]&amp;"-CB"&amp;AEL_Protection_Data[[#This Row],[CB ID]]</f>
        <v>PAR-CB2358</v>
      </c>
      <c r="B111" s="335" t="s">
        <v>202</v>
      </c>
      <c r="C111" s="334" t="s">
        <v>1647</v>
      </c>
      <c r="D111" s="334" t="s">
        <v>75</v>
      </c>
      <c r="E111" s="334" t="s">
        <v>1532</v>
      </c>
      <c r="F111" s="336" t="s">
        <v>2514</v>
      </c>
      <c r="G111" s="334" t="s">
        <v>2515</v>
      </c>
      <c r="H111" s="334" t="s">
        <v>2516</v>
      </c>
      <c r="I111" s="336" t="s">
        <v>1539</v>
      </c>
      <c r="J111" s="269">
        <v>33</v>
      </c>
      <c r="K111" s="269">
        <v>320</v>
      </c>
      <c r="L111" s="269">
        <f>IF(AEL_Protection_Data[[#This Row],[ID]]=A110,MIN(AEL_Protection_Data[[#This Row],[Pickup (A)]],K110),IF(AEL_Protection_Data[[#This Row],[ID]]=A112,MIN(AEL_Protection_Data[[#This Row],[Pickup (A)]],K112),AEL_Protection_Data[[#This Row],[Pickup (A)]]))</f>
        <v>320</v>
      </c>
    </row>
    <row r="112" spans="1:12" x14ac:dyDescent="0.25">
      <c r="A112" s="336" t="str">
        <f>AEL_Protection_Data[[#This Row],[Zone Sub]]&amp;"-CB"&amp;AEL_Protection_Data[[#This Row],[CB ID]]</f>
        <v>PAR-CB2368</v>
      </c>
      <c r="B112" s="335" t="s">
        <v>202</v>
      </c>
      <c r="C112" s="334" t="s">
        <v>1647</v>
      </c>
      <c r="D112" s="334" t="s">
        <v>75</v>
      </c>
      <c r="E112" s="334" t="s">
        <v>1532</v>
      </c>
      <c r="F112" s="336" t="s">
        <v>2517</v>
      </c>
      <c r="G112" s="334" t="s">
        <v>2518</v>
      </c>
      <c r="H112" s="334" t="s">
        <v>2519</v>
      </c>
      <c r="I112" s="336" t="s">
        <v>1539</v>
      </c>
      <c r="J112" s="269">
        <v>33</v>
      </c>
      <c r="K112" s="269">
        <v>320</v>
      </c>
      <c r="L112" s="269">
        <f>IF(AEL_Protection_Data[[#This Row],[ID]]=A111,MIN(AEL_Protection_Data[[#This Row],[Pickup (A)]],K111),IF(AEL_Protection_Data[[#This Row],[ID]]=A113,MIN(AEL_Protection_Data[[#This Row],[Pickup (A)]],K113),AEL_Protection_Data[[#This Row],[Pickup (A)]]))</f>
        <v>320</v>
      </c>
    </row>
    <row r="113" spans="1:12" x14ac:dyDescent="0.25">
      <c r="A113" s="336" t="str">
        <f>AEL_Protection_Data[[#This Row],[Zone Sub]]&amp;"-CB"&amp;AEL_Protection_Data[[#This Row],[CB ID]]</f>
        <v>PAR-CB2332</v>
      </c>
      <c r="B113" s="335" t="s">
        <v>202</v>
      </c>
      <c r="C113" s="334" t="s">
        <v>1647</v>
      </c>
      <c r="D113" s="334" t="s">
        <v>75</v>
      </c>
      <c r="E113" s="334" t="s">
        <v>1532</v>
      </c>
      <c r="F113" s="336" t="s">
        <v>1716</v>
      </c>
      <c r="G113" s="334" t="s">
        <v>1717</v>
      </c>
      <c r="H113" s="334" t="s">
        <v>2058</v>
      </c>
      <c r="I113" s="336" t="s">
        <v>1539</v>
      </c>
      <c r="J113" s="269">
        <v>33</v>
      </c>
      <c r="K113" s="269">
        <v>320</v>
      </c>
      <c r="L113" s="269">
        <f>IF(AEL_Protection_Data[[#This Row],[ID]]=A112,MIN(AEL_Protection_Data[[#This Row],[Pickup (A)]],K112),IF(AEL_Protection_Data[[#This Row],[ID]]=A114,MIN(AEL_Protection_Data[[#This Row],[Pickup (A)]],K114),AEL_Protection_Data[[#This Row],[Pickup (A)]]))</f>
        <v>320</v>
      </c>
    </row>
    <row r="114" spans="1:12" x14ac:dyDescent="0.25">
      <c r="A114" s="336" t="str">
        <f>AEL_Protection_Data[[#This Row],[Zone Sub]]&amp;"-CB"&amp;AEL_Protection_Data[[#This Row],[CB ID]]</f>
        <v>PAR-CB2382</v>
      </c>
      <c r="B114" s="335" t="s">
        <v>202</v>
      </c>
      <c r="C114" s="334" t="s">
        <v>1647</v>
      </c>
      <c r="D114" s="334" t="s">
        <v>75</v>
      </c>
      <c r="E114" s="334" t="s">
        <v>1532</v>
      </c>
      <c r="F114" s="336" t="s">
        <v>1718</v>
      </c>
      <c r="G114" s="334" t="s">
        <v>1719</v>
      </c>
      <c r="H114" s="334" t="s">
        <v>2059</v>
      </c>
      <c r="I114" s="336" t="s">
        <v>1539</v>
      </c>
      <c r="J114" s="269">
        <v>33</v>
      </c>
      <c r="K114" s="269">
        <v>320</v>
      </c>
      <c r="L114" s="269">
        <f>IF(AEL_Protection_Data[[#This Row],[ID]]=A113,MIN(AEL_Protection_Data[[#This Row],[Pickup (A)]],K113),IF(AEL_Protection_Data[[#This Row],[ID]]=A115,MIN(AEL_Protection_Data[[#This Row],[Pickup (A)]],K115),AEL_Protection_Data[[#This Row],[Pickup (A)]]))</f>
        <v>320</v>
      </c>
    </row>
    <row r="115" spans="1:12" x14ac:dyDescent="0.25">
      <c r="A115" s="336" t="str">
        <f>AEL_Protection_Data[[#This Row],[Zone Sub]]&amp;"-CB"&amp;AEL_Protection_Data[[#This Row],[CB ID]]</f>
        <v>PAR-CB2342</v>
      </c>
      <c r="B115" s="335" t="s">
        <v>202</v>
      </c>
      <c r="C115" s="334" t="s">
        <v>1647</v>
      </c>
      <c r="D115" s="334" t="s">
        <v>75</v>
      </c>
      <c r="E115" s="334" t="s">
        <v>1532</v>
      </c>
      <c r="F115" s="336" t="s">
        <v>1720</v>
      </c>
      <c r="G115" s="334" t="s">
        <v>1721</v>
      </c>
      <c r="H115" s="334" t="s">
        <v>2060</v>
      </c>
      <c r="I115" s="336" t="s">
        <v>1539</v>
      </c>
      <c r="J115" s="269">
        <v>33</v>
      </c>
      <c r="K115" s="269">
        <v>320</v>
      </c>
      <c r="L115" s="269">
        <f>IF(AEL_Protection_Data[[#This Row],[ID]]=A114,MIN(AEL_Protection_Data[[#This Row],[Pickup (A)]],K114),IF(AEL_Protection_Data[[#This Row],[ID]]=A116,MIN(AEL_Protection_Data[[#This Row],[Pickup (A)]],K116),AEL_Protection_Data[[#This Row],[Pickup (A)]]))</f>
        <v>320</v>
      </c>
    </row>
    <row r="116" spans="1:12" x14ac:dyDescent="0.25">
      <c r="A116" s="336" t="str">
        <f>AEL_Protection_Data[[#This Row],[Zone Sub]]&amp;"-CB"&amp;AEL_Protection_Data[[#This Row],[CB ID]]</f>
        <v>PAR-CB2372</v>
      </c>
      <c r="B116" s="335" t="s">
        <v>202</v>
      </c>
      <c r="C116" s="334" t="s">
        <v>1647</v>
      </c>
      <c r="D116" s="334" t="s">
        <v>75</v>
      </c>
      <c r="E116" s="334" t="s">
        <v>1532</v>
      </c>
      <c r="F116" s="336" t="s">
        <v>1722</v>
      </c>
      <c r="G116" s="334" t="s">
        <v>1723</v>
      </c>
      <c r="H116" s="334" t="s">
        <v>2061</v>
      </c>
      <c r="I116" s="336" t="s">
        <v>1539</v>
      </c>
      <c r="J116" s="269">
        <v>33</v>
      </c>
      <c r="K116" s="269">
        <v>320</v>
      </c>
      <c r="L116" s="269">
        <f>IF(AEL_Protection_Data[[#This Row],[ID]]=A115,MIN(AEL_Protection_Data[[#This Row],[Pickup (A)]],K115),IF(AEL_Protection_Data[[#This Row],[ID]]=A117,MIN(AEL_Protection_Data[[#This Row],[Pickup (A)]],K117),AEL_Protection_Data[[#This Row],[Pickup (A)]]))</f>
        <v>320</v>
      </c>
    </row>
    <row r="117" spans="1:12" x14ac:dyDescent="0.25">
      <c r="A117" s="336" t="str">
        <f>AEL_Protection_Data[[#This Row],[Zone Sub]]&amp;"-"&amp;AEL_Protection_Data[[#This Row],[CB ID]]</f>
        <v>PAR-CB35</v>
      </c>
      <c r="B117" s="335" t="s">
        <v>202</v>
      </c>
      <c r="C117" s="334" t="s">
        <v>1647</v>
      </c>
      <c r="D117" s="334" t="s">
        <v>75</v>
      </c>
      <c r="E117" s="334" t="s">
        <v>1532</v>
      </c>
      <c r="F117" s="336" t="s">
        <v>587</v>
      </c>
      <c r="G117" s="334" t="s">
        <v>1724</v>
      </c>
      <c r="H117" s="334" t="s">
        <v>2062</v>
      </c>
      <c r="I117" s="336" t="s">
        <v>1589</v>
      </c>
      <c r="J117" s="269">
        <v>11</v>
      </c>
      <c r="K117" s="269">
        <v>950</v>
      </c>
      <c r="L117" s="269">
        <f>IF(AEL_Protection_Data[[#This Row],[ID]]=A116,MIN(AEL_Protection_Data[[#This Row],[Pickup (A)]],K116),IF(AEL_Protection_Data[[#This Row],[ID]]=A118,MIN(AEL_Protection_Data[[#This Row],[Pickup (A)]],K118),AEL_Protection_Data[[#This Row],[Pickup (A)]]))</f>
        <v>950</v>
      </c>
    </row>
    <row r="118" spans="1:12" x14ac:dyDescent="0.25">
      <c r="A118" s="336" t="str">
        <f>AEL_Protection_Data[[#This Row],[Zone Sub]]&amp;"-"&amp;AEL_Protection_Data[[#This Row],[CB ID]]</f>
        <v>PAR-CB36</v>
      </c>
      <c r="B118" s="335" t="s">
        <v>202</v>
      </c>
      <c r="C118" s="334" t="s">
        <v>1647</v>
      </c>
      <c r="D118" s="334" t="s">
        <v>75</v>
      </c>
      <c r="E118" s="334" t="s">
        <v>1532</v>
      </c>
      <c r="F118" s="336" t="s">
        <v>588</v>
      </c>
      <c r="G118" s="334" t="s">
        <v>1725</v>
      </c>
      <c r="H118" s="334" t="s">
        <v>2063</v>
      </c>
      <c r="I118" s="336" t="s">
        <v>1589</v>
      </c>
      <c r="J118" s="269">
        <v>11</v>
      </c>
      <c r="K118" s="269">
        <v>950</v>
      </c>
      <c r="L118" s="269">
        <f>IF(AEL_Protection_Data[[#This Row],[ID]]=A117,MIN(AEL_Protection_Data[[#This Row],[Pickup (A)]],K117),IF(AEL_Protection_Data[[#This Row],[ID]]=A119,MIN(AEL_Protection_Data[[#This Row],[Pickup (A)]],K119),AEL_Protection_Data[[#This Row],[Pickup (A)]]))</f>
        <v>950</v>
      </c>
    </row>
    <row r="119" spans="1:12" x14ac:dyDescent="0.25">
      <c r="A119" s="336" t="str">
        <f>AEL_Protection_Data[[#This Row],[Zone Sub]]&amp;"-"&amp;AEL_Protection_Data[[#This Row],[CB ID]]</f>
        <v>PAR-CB31</v>
      </c>
      <c r="B119" s="335" t="s">
        <v>202</v>
      </c>
      <c r="C119" s="334" t="s">
        <v>1647</v>
      </c>
      <c r="D119" s="334" t="s">
        <v>75</v>
      </c>
      <c r="E119" s="334" t="s">
        <v>1532</v>
      </c>
      <c r="F119" s="336" t="s">
        <v>2464</v>
      </c>
      <c r="G119" s="334" t="s">
        <v>746</v>
      </c>
      <c r="H119" s="334" t="s">
        <v>2538</v>
      </c>
      <c r="I119" s="336" t="s">
        <v>1588</v>
      </c>
      <c r="J119" s="269">
        <v>11</v>
      </c>
      <c r="K119" s="269">
        <v>520</v>
      </c>
      <c r="L119" s="269">
        <f>IF(AEL_Protection_Data[[#This Row],[ID]]=A118,MIN(AEL_Protection_Data[[#This Row],[Pickup (A)]],K118),IF(AEL_Protection_Data[[#This Row],[ID]]=A120,MIN(AEL_Protection_Data[[#This Row],[Pickup (A)]],K120),AEL_Protection_Data[[#This Row],[Pickup (A)]]))</f>
        <v>520</v>
      </c>
    </row>
    <row r="120" spans="1:12" x14ac:dyDescent="0.25">
      <c r="A120" s="336" t="str">
        <f>AEL_Protection_Data[[#This Row],[Zone Sub]]&amp;"-"&amp;AEL_Protection_Data[[#This Row],[CB ID]]</f>
        <v>PAR-CB3</v>
      </c>
      <c r="B120" s="335" t="s">
        <v>202</v>
      </c>
      <c r="C120" s="334" t="s">
        <v>1647</v>
      </c>
      <c r="D120" s="334" t="s">
        <v>75</v>
      </c>
      <c r="E120" s="334" t="s">
        <v>1532</v>
      </c>
      <c r="F120" s="336" t="s">
        <v>511</v>
      </c>
      <c r="G120" s="334" t="s">
        <v>1726</v>
      </c>
      <c r="H120" s="334" t="s">
        <v>2064</v>
      </c>
      <c r="I120" s="336" t="s">
        <v>1588</v>
      </c>
      <c r="J120" s="269">
        <v>11</v>
      </c>
      <c r="K120" s="269">
        <v>300</v>
      </c>
      <c r="L120" s="269">
        <f>IF(AEL_Protection_Data[[#This Row],[ID]]=A119,MIN(AEL_Protection_Data[[#This Row],[Pickup (A)]],K119),IF(AEL_Protection_Data[[#This Row],[ID]]=A121,MIN(AEL_Protection_Data[[#This Row],[Pickup (A)]],K121),AEL_Protection_Data[[#This Row],[Pickup (A)]]))</f>
        <v>300</v>
      </c>
    </row>
    <row r="121" spans="1:12" x14ac:dyDescent="0.25">
      <c r="A121" s="336" t="str">
        <f>AEL_Protection_Data[[#This Row],[Zone Sub]]&amp;"-"&amp;AEL_Protection_Data[[#This Row],[CB ID]]</f>
        <v>PAR-CB5</v>
      </c>
      <c r="B121" s="335" t="s">
        <v>202</v>
      </c>
      <c r="C121" s="334" t="s">
        <v>1647</v>
      </c>
      <c r="D121" s="334" t="s">
        <v>75</v>
      </c>
      <c r="E121" s="334" t="s">
        <v>1532</v>
      </c>
      <c r="F121" s="336" t="s">
        <v>592</v>
      </c>
      <c r="G121" s="334" t="s">
        <v>1727</v>
      </c>
      <c r="H121" s="334" t="s">
        <v>2065</v>
      </c>
      <c r="I121" s="336" t="s">
        <v>1588</v>
      </c>
      <c r="J121" s="269">
        <v>11</v>
      </c>
      <c r="K121" s="269">
        <v>300</v>
      </c>
      <c r="L121" s="269">
        <f>IF(AEL_Protection_Data[[#This Row],[ID]]=A120,MIN(AEL_Protection_Data[[#This Row],[Pickup (A)]],K120),IF(AEL_Protection_Data[[#This Row],[ID]]=A122,MIN(AEL_Protection_Data[[#This Row],[Pickup (A)]],K122),AEL_Protection_Data[[#This Row],[Pickup (A)]]))</f>
        <v>300</v>
      </c>
    </row>
    <row r="122" spans="1:12" x14ac:dyDescent="0.25">
      <c r="A122" s="336" t="str">
        <f>AEL_Protection_Data[[#This Row],[Zone Sub]]&amp;"-"&amp;AEL_Protection_Data[[#This Row],[CB ID]]</f>
        <v>PAR-CB4</v>
      </c>
      <c r="B122" s="335" t="s">
        <v>202</v>
      </c>
      <c r="C122" s="334" t="s">
        <v>1647</v>
      </c>
      <c r="D122" s="334" t="s">
        <v>75</v>
      </c>
      <c r="E122" s="334" t="s">
        <v>1540</v>
      </c>
      <c r="F122" s="336" t="s">
        <v>498</v>
      </c>
      <c r="G122" s="334" t="s">
        <v>1728</v>
      </c>
      <c r="H122" s="334" t="s">
        <v>208</v>
      </c>
      <c r="I122" s="336" t="s">
        <v>1588</v>
      </c>
      <c r="J122" s="269">
        <v>11</v>
      </c>
      <c r="K122" s="269">
        <v>252</v>
      </c>
      <c r="L122" s="269">
        <f>IF(AEL_Protection_Data[[#This Row],[ID]]=A121,MIN(AEL_Protection_Data[[#This Row],[Pickup (A)]],K121),IF(AEL_Protection_Data[[#This Row],[ID]]=A123,MIN(AEL_Protection_Data[[#This Row],[Pickup (A)]],K123),AEL_Protection_Data[[#This Row],[Pickup (A)]]))</f>
        <v>252</v>
      </c>
    </row>
    <row r="123" spans="1:12" x14ac:dyDescent="0.25">
      <c r="A123" s="336" t="str">
        <f>AEL_Protection_Data[[#This Row],[Zone Sub]]&amp;"-"&amp;AEL_Protection_Data[[#This Row],[CB ID]]</f>
        <v>PAR-CB6</v>
      </c>
      <c r="B123" s="335" t="s">
        <v>202</v>
      </c>
      <c r="C123" s="334" t="s">
        <v>1647</v>
      </c>
      <c r="D123" s="334" t="s">
        <v>75</v>
      </c>
      <c r="E123" s="334" t="s">
        <v>1532</v>
      </c>
      <c r="F123" s="336" t="s">
        <v>500</v>
      </c>
      <c r="G123" s="334" t="s">
        <v>1729</v>
      </c>
      <c r="H123" s="334" t="s">
        <v>214</v>
      </c>
      <c r="I123" s="336" t="s">
        <v>1588</v>
      </c>
      <c r="J123" s="269">
        <v>11</v>
      </c>
      <c r="K123" s="269">
        <v>252</v>
      </c>
      <c r="L123" s="269">
        <f>IF(AEL_Protection_Data[[#This Row],[ID]]=A122,MIN(AEL_Protection_Data[[#This Row],[Pickup (A)]],K122),IF(AEL_Protection_Data[[#This Row],[ID]]=A124,MIN(AEL_Protection_Data[[#This Row],[Pickup (A)]],K124),AEL_Protection_Data[[#This Row],[Pickup (A)]]))</f>
        <v>252</v>
      </c>
    </row>
    <row r="124" spans="1:12" x14ac:dyDescent="0.25">
      <c r="A124" s="336" t="str">
        <f>AEL_Protection_Data[[#This Row],[Zone Sub]]&amp;"-"&amp;AEL_Protection_Data[[#This Row],[CB ID]]</f>
        <v>PAR-CB7</v>
      </c>
      <c r="B124" s="335" t="s">
        <v>202</v>
      </c>
      <c r="C124" s="334" t="s">
        <v>1647</v>
      </c>
      <c r="D124" s="334" t="s">
        <v>75</v>
      </c>
      <c r="E124" s="334" t="s">
        <v>1532</v>
      </c>
      <c r="F124" s="336" t="s">
        <v>512</v>
      </c>
      <c r="G124" s="334" t="s">
        <v>1730</v>
      </c>
      <c r="H124" s="334" t="s">
        <v>217</v>
      </c>
      <c r="I124" s="336" t="s">
        <v>1588</v>
      </c>
      <c r="J124" s="269">
        <v>11</v>
      </c>
      <c r="K124" s="269">
        <v>252</v>
      </c>
      <c r="L124" s="269">
        <f>IF(AEL_Protection_Data[[#This Row],[ID]]=A123,MIN(AEL_Protection_Data[[#This Row],[Pickup (A)]],K123),IF(AEL_Protection_Data[[#This Row],[ID]]=A125,MIN(AEL_Protection_Data[[#This Row],[Pickup (A)]],K125),AEL_Protection_Data[[#This Row],[Pickup (A)]]))</f>
        <v>252</v>
      </c>
    </row>
    <row r="125" spans="1:12" x14ac:dyDescent="0.25">
      <c r="A125" s="336" t="str">
        <f>AEL_Protection_Data[[#This Row],[Zone Sub]]&amp;"-"&amp;AEL_Protection_Data[[#This Row],[CB ID]]</f>
        <v>PAR-L636</v>
      </c>
      <c r="B125" s="335" t="s">
        <v>202</v>
      </c>
      <c r="C125" s="334" t="s">
        <v>1647</v>
      </c>
      <c r="D125" s="334" t="s">
        <v>75</v>
      </c>
      <c r="E125" s="334" t="s">
        <v>1532</v>
      </c>
      <c r="F125" s="336" t="s">
        <v>1731</v>
      </c>
      <c r="G125" s="334" t="s">
        <v>1732</v>
      </c>
      <c r="H125" s="334" t="s">
        <v>2066</v>
      </c>
      <c r="I125" s="336" t="s">
        <v>1546</v>
      </c>
      <c r="J125" s="269">
        <v>11</v>
      </c>
      <c r="K125" s="269">
        <v>120</v>
      </c>
      <c r="L125" s="269">
        <f>IF(AEL_Protection_Data[[#This Row],[ID]]=A124,MIN(AEL_Protection_Data[[#This Row],[Pickup (A)]],K124),IF(AEL_Protection_Data[[#This Row],[ID]]=A126,MIN(AEL_Protection_Data[[#This Row],[Pickup (A)]],K126),AEL_Protection_Data[[#This Row],[Pickup (A)]]))</f>
        <v>120</v>
      </c>
    </row>
    <row r="126" spans="1:12" x14ac:dyDescent="0.25">
      <c r="A126" s="336" t="str">
        <f>AEL_Protection_Data[[#This Row],[Zone Sub]]&amp;"-"&amp;AEL_Protection_Data[[#This Row],[CB ID]]</f>
        <v>PAR-W470</v>
      </c>
      <c r="B126" s="335" t="s">
        <v>202</v>
      </c>
      <c r="C126" s="334" t="s">
        <v>1647</v>
      </c>
      <c r="D126" s="334" t="s">
        <v>75</v>
      </c>
      <c r="E126" s="334" t="s">
        <v>1532</v>
      </c>
      <c r="F126" s="336" t="s">
        <v>1733</v>
      </c>
      <c r="G126" s="334" t="s">
        <v>1734</v>
      </c>
      <c r="H126" s="334" t="s">
        <v>2067</v>
      </c>
      <c r="I126" s="336" t="s">
        <v>1546</v>
      </c>
      <c r="J126" s="269">
        <v>11</v>
      </c>
      <c r="K126" s="269">
        <v>200</v>
      </c>
      <c r="L126" s="269">
        <f>IF(AEL_Protection_Data[[#This Row],[ID]]=A125,MIN(AEL_Protection_Data[[#This Row],[Pickup (A)]],K125),IF(AEL_Protection_Data[[#This Row],[ID]]=A127,MIN(AEL_Protection_Data[[#This Row],[Pickup (A)]],K127),AEL_Protection_Data[[#This Row],[Pickup (A)]]))</f>
        <v>200</v>
      </c>
    </row>
    <row r="127" spans="1:12" x14ac:dyDescent="0.25">
      <c r="A127" s="336" t="str">
        <f>AEL_Protection_Data[[#This Row],[Zone Sub]]&amp;"-"&amp;AEL_Protection_Data[[#This Row],[CB ID]]</f>
        <v>PAR-L643</v>
      </c>
      <c r="B127" s="335" t="s">
        <v>202</v>
      </c>
      <c r="C127" s="334" t="s">
        <v>1647</v>
      </c>
      <c r="D127" s="334" t="s">
        <v>75</v>
      </c>
      <c r="E127" s="334" t="s">
        <v>1532</v>
      </c>
      <c r="F127" s="336" t="s">
        <v>1735</v>
      </c>
      <c r="G127" s="334" t="s">
        <v>1736</v>
      </c>
      <c r="H127" s="334" t="s">
        <v>2068</v>
      </c>
      <c r="I127" s="336" t="s">
        <v>1603</v>
      </c>
      <c r="J127" s="269">
        <v>11</v>
      </c>
      <c r="K127" s="269">
        <v>110</v>
      </c>
      <c r="L127" s="269">
        <f>IF(AEL_Protection_Data[[#This Row],[ID]]=A126,MIN(AEL_Protection_Data[[#This Row],[Pickup (A)]],K126),IF(AEL_Protection_Data[[#This Row],[ID]]=A128,MIN(AEL_Protection_Data[[#This Row],[Pickup (A)]],K128),AEL_Protection_Data[[#This Row],[Pickup (A)]]))</f>
        <v>110</v>
      </c>
    </row>
    <row r="128" spans="1:12" x14ac:dyDescent="0.25">
      <c r="A128" s="336" t="str">
        <f>AEL_Protection_Data[[#This Row],[Zone Sub]]&amp;"-"&amp;AEL_Protection_Data[[#This Row],[CB ID]]</f>
        <v>PAR-W598</v>
      </c>
      <c r="B128" s="335" t="s">
        <v>202</v>
      </c>
      <c r="C128" s="334" t="s">
        <v>1647</v>
      </c>
      <c r="D128" s="334" t="s">
        <v>75</v>
      </c>
      <c r="E128" s="334" t="s">
        <v>1532</v>
      </c>
      <c r="F128" s="336" t="s">
        <v>1737</v>
      </c>
      <c r="G128" s="334" t="s">
        <v>1738</v>
      </c>
      <c r="H128" s="334" t="s">
        <v>2069</v>
      </c>
      <c r="I128" s="336" t="s">
        <v>1603</v>
      </c>
      <c r="J128" s="269">
        <v>11</v>
      </c>
      <c r="K128" s="269">
        <v>120</v>
      </c>
      <c r="L128" s="269">
        <f>IF(AEL_Protection_Data[[#This Row],[ID]]=A127,MIN(AEL_Protection_Data[[#This Row],[Pickup (A)]],K127),IF(AEL_Protection_Data[[#This Row],[ID]]=A129,MIN(AEL_Protection_Data[[#This Row],[Pickup (A)]],K129),AEL_Protection_Data[[#This Row],[Pickup (A)]]))</f>
        <v>120</v>
      </c>
    </row>
    <row r="129" spans="1:12" x14ac:dyDescent="0.25">
      <c r="A129" s="336" t="str">
        <f>AEL_Protection_Data[[#This Row],[Zone Sub]]&amp;"-"&amp;AEL_Protection_Data[[#This Row],[CB ID]]</f>
        <v>PAR-W599</v>
      </c>
      <c r="B129" s="335" t="s">
        <v>202</v>
      </c>
      <c r="C129" s="334" t="s">
        <v>1647</v>
      </c>
      <c r="D129" s="334" t="s">
        <v>75</v>
      </c>
      <c r="E129" s="334" t="s">
        <v>1532</v>
      </c>
      <c r="F129" s="336" t="s">
        <v>1739</v>
      </c>
      <c r="G129" s="334" t="s">
        <v>1740</v>
      </c>
      <c r="H129" s="334" t="s">
        <v>2070</v>
      </c>
      <c r="I129" s="336" t="s">
        <v>1603</v>
      </c>
      <c r="J129" s="269">
        <v>11</v>
      </c>
      <c r="K129" s="269">
        <v>120</v>
      </c>
      <c r="L129" s="269">
        <f>IF(AEL_Protection_Data[[#This Row],[ID]]=A128,MIN(AEL_Protection_Data[[#This Row],[Pickup (A)]],K128),IF(AEL_Protection_Data[[#This Row],[ID]]=A130,MIN(AEL_Protection_Data[[#This Row],[Pickup (A)]],K130),AEL_Protection_Data[[#This Row],[Pickup (A)]]))</f>
        <v>120</v>
      </c>
    </row>
    <row r="130" spans="1:12" x14ac:dyDescent="0.25">
      <c r="A130" s="336" t="str">
        <f>AEL_Protection_Data[[#This Row],[Zone Sub]]&amp;"-"&amp;AEL_Protection_Data[[#This Row],[CB ID]]</f>
        <v>PAR-L998</v>
      </c>
      <c r="B130" s="335" t="s">
        <v>202</v>
      </c>
      <c r="C130" s="334" t="s">
        <v>1647</v>
      </c>
      <c r="D130" s="334" t="s">
        <v>75</v>
      </c>
      <c r="E130" s="334" t="s">
        <v>1532</v>
      </c>
      <c r="F130" s="336" t="s">
        <v>1741</v>
      </c>
      <c r="G130" s="334" t="s">
        <v>1742</v>
      </c>
      <c r="H130" s="334" t="s">
        <v>2071</v>
      </c>
      <c r="I130" s="336" t="s">
        <v>1603</v>
      </c>
      <c r="J130" s="269">
        <v>11</v>
      </c>
      <c r="K130" s="269">
        <v>200</v>
      </c>
      <c r="L130" s="269">
        <f>IF(AEL_Protection_Data[[#This Row],[ID]]=A129,MIN(AEL_Protection_Data[[#This Row],[Pickup (A)]],K129),IF(AEL_Protection_Data[[#This Row],[ID]]=A131,MIN(AEL_Protection_Data[[#This Row],[Pickup (A)]],K131),AEL_Protection_Data[[#This Row],[Pickup (A)]]))</f>
        <v>200</v>
      </c>
    </row>
    <row r="131" spans="1:12" x14ac:dyDescent="0.25">
      <c r="A131" s="336" t="str">
        <f>AEL_Protection_Data[[#This Row],[Zone Sub]]&amp;"-"&amp;AEL_Protection_Data[[#This Row],[CB ID]]</f>
        <v>PAR-L1220</v>
      </c>
      <c r="B131" s="335" t="s">
        <v>202</v>
      </c>
      <c r="C131" s="334" t="s">
        <v>1647</v>
      </c>
      <c r="D131" s="334" t="s">
        <v>75</v>
      </c>
      <c r="E131" s="334" t="s">
        <v>1532</v>
      </c>
      <c r="F131" s="336" t="s">
        <v>1743</v>
      </c>
      <c r="G131" s="334" t="s">
        <v>1744</v>
      </c>
      <c r="H131" s="334" t="s">
        <v>2072</v>
      </c>
      <c r="I131" s="336" t="s">
        <v>1568</v>
      </c>
      <c r="J131" s="269">
        <v>11</v>
      </c>
      <c r="K131" s="269">
        <v>140</v>
      </c>
      <c r="L131" s="269">
        <f>IF(AEL_Protection_Data[[#This Row],[ID]]=A130,MIN(AEL_Protection_Data[[#This Row],[Pickup (A)]],K130),IF(AEL_Protection_Data[[#This Row],[ID]]=A132,MIN(AEL_Protection_Data[[#This Row],[Pickup (A)]],K132),AEL_Protection_Data[[#This Row],[Pickup (A)]]))</f>
        <v>140</v>
      </c>
    </row>
    <row r="132" spans="1:12" x14ac:dyDescent="0.25">
      <c r="A132" s="336" t="str">
        <f>AEL_Protection_Data[[#This Row],[Zone Sub]]&amp;"-"&amp;AEL_Protection_Data[[#This Row],[CB ID]]</f>
        <v>PLP-L250</v>
      </c>
      <c r="B132" s="335" t="s">
        <v>203</v>
      </c>
      <c r="C132" s="334" t="s">
        <v>1647</v>
      </c>
      <c r="D132" s="334" t="s">
        <v>75</v>
      </c>
      <c r="E132" s="334" t="s">
        <v>1579</v>
      </c>
      <c r="F132" s="336" t="s">
        <v>1091</v>
      </c>
      <c r="G132" s="334" t="s">
        <v>1745</v>
      </c>
      <c r="H132" s="334" t="s">
        <v>2073</v>
      </c>
      <c r="I132" s="336" t="s">
        <v>1746</v>
      </c>
      <c r="J132" s="269">
        <v>33</v>
      </c>
      <c r="K132" s="269">
        <v>134</v>
      </c>
      <c r="L132" s="269">
        <f>IF(AEL_Protection_Data[[#This Row],[ID]]=A131,MIN(AEL_Protection_Data[[#This Row],[Pickup (A)]],K131),IF(AEL_Protection_Data[[#This Row],[ID]]=A133,MIN(AEL_Protection_Data[[#This Row],[Pickup (A)]],K133),AEL_Protection_Data[[#This Row],[Pickup (A)]]))</f>
        <v>134</v>
      </c>
    </row>
    <row r="133" spans="1:12" x14ac:dyDescent="0.25">
      <c r="A133" s="336" t="str">
        <f>AEL_Protection_Data[[#This Row],[Zone Sub]]&amp;"-"&amp;AEL_Protection_Data[[#This Row],[CB ID]]</f>
        <v>PLP-CB3</v>
      </c>
      <c r="B133" s="335" t="s">
        <v>203</v>
      </c>
      <c r="C133" s="334" t="s">
        <v>1647</v>
      </c>
      <c r="D133" s="334" t="s">
        <v>75</v>
      </c>
      <c r="E133" s="334" t="s">
        <v>1582</v>
      </c>
      <c r="F133" s="336" t="s">
        <v>511</v>
      </c>
      <c r="G133" s="334" t="s">
        <v>1747</v>
      </c>
      <c r="H133" s="334" t="s">
        <v>2074</v>
      </c>
      <c r="I133" s="336" t="s">
        <v>1746</v>
      </c>
      <c r="J133" s="269">
        <v>11</v>
      </c>
      <c r="K133" s="269">
        <v>348</v>
      </c>
      <c r="L133" s="269">
        <f>IF(AEL_Protection_Data[[#This Row],[ID]]=A132,MIN(AEL_Protection_Data[[#This Row],[Pickup (A)]],K132),IF(AEL_Protection_Data[[#This Row],[ID]]=A134,MIN(AEL_Protection_Data[[#This Row],[Pickup (A)]],K134),AEL_Protection_Data[[#This Row],[Pickup (A)]]))</f>
        <v>348</v>
      </c>
    </row>
    <row r="134" spans="1:12" x14ac:dyDescent="0.25">
      <c r="A134" s="336" t="str">
        <f>AEL_Protection_Data[[#This Row],[Zone Sub]]&amp;"-"&amp;AEL_Protection_Data[[#This Row],[CB ID]]</f>
        <v>PLP-CB5</v>
      </c>
      <c r="B134" s="335" t="s">
        <v>203</v>
      </c>
      <c r="C134" s="334" t="s">
        <v>1647</v>
      </c>
      <c r="D134" s="334" t="s">
        <v>75</v>
      </c>
      <c r="E134" s="334" t="s">
        <v>1532</v>
      </c>
      <c r="F134" s="336" t="s">
        <v>592</v>
      </c>
      <c r="G134" s="334" t="s">
        <v>1748</v>
      </c>
      <c r="H134" s="334" t="s">
        <v>2075</v>
      </c>
      <c r="I134" s="336" t="s">
        <v>1749</v>
      </c>
      <c r="J134" s="269">
        <v>11</v>
      </c>
      <c r="K134" s="269">
        <v>252</v>
      </c>
      <c r="L134" s="269">
        <f>IF(AEL_Protection_Data[[#This Row],[ID]]=A133,MIN(AEL_Protection_Data[[#This Row],[Pickup (A)]],K133),IF(AEL_Protection_Data[[#This Row],[ID]]=A135,MIN(AEL_Protection_Data[[#This Row],[Pickup (A)]],K135),AEL_Protection_Data[[#This Row],[Pickup (A)]]))</f>
        <v>252</v>
      </c>
    </row>
    <row r="135" spans="1:12" x14ac:dyDescent="0.25">
      <c r="A135" s="336" t="str">
        <f>AEL_Protection_Data[[#This Row],[Zone Sub]]&amp;"-"&amp;AEL_Protection_Data[[#This Row],[CB ID]]</f>
        <v>PLP-CB4</v>
      </c>
      <c r="B135" s="335" t="s">
        <v>203</v>
      </c>
      <c r="C135" s="334" t="s">
        <v>1647</v>
      </c>
      <c r="D135" s="334" t="s">
        <v>75</v>
      </c>
      <c r="E135" s="334" t="s">
        <v>1532</v>
      </c>
      <c r="F135" s="336" t="s">
        <v>498</v>
      </c>
      <c r="G135" s="334" t="s">
        <v>1750</v>
      </c>
      <c r="H135" s="334" t="s">
        <v>212</v>
      </c>
      <c r="I135" s="336" t="s">
        <v>1749</v>
      </c>
      <c r="J135" s="269">
        <v>11</v>
      </c>
      <c r="K135" s="269">
        <v>252</v>
      </c>
      <c r="L135" s="269">
        <f>IF(AEL_Protection_Data[[#This Row],[ID]]=A134,MIN(AEL_Protection_Data[[#This Row],[Pickup (A)]],K134),IF(AEL_Protection_Data[[#This Row],[ID]]=A136,MIN(AEL_Protection_Data[[#This Row],[Pickup (A)]],K136),AEL_Protection_Data[[#This Row],[Pickup (A)]]))</f>
        <v>252</v>
      </c>
    </row>
    <row r="136" spans="1:12" x14ac:dyDescent="0.25">
      <c r="A136" s="336" t="str">
        <f>AEL_Protection_Data[[#This Row],[Zone Sub]]&amp;"-"&amp;AEL_Protection_Data[[#This Row],[CB ID]]</f>
        <v>PLP-CB2</v>
      </c>
      <c r="B136" s="335" t="s">
        <v>203</v>
      </c>
      <c r="C136" s="334" t="s">
        <v>1647</v>
      </c>
      <c r="D136" s="334" t="s">
        <v>75</v>
      </c>
      <c r="E136" s="334" t="s">
        <v>1532</v>
      </c>
      <c r="F136" s="336" t="s">
        <v>507</v>
      </c>
      <c r="G136" s="334" t="s">
        <v>1751</v>
      </c>
      <c r="H136" s="334" t="s">
        <v>209</v>
      </c>
      <c r="I136" s="336" t="s">
        <v>1749</v>
      </c>
      <c r="J136" s="269">
        <v>11</v>
      </c>
      <c r="K136" s="269">
        <v>252</v>
      </c>
      <c r="L136" s="269">
        <f>IF(AEL_Protection_Data[[#This Row],[ID]]=A135,MIN(AEL_Protection_Data[[#This Row],[Pickup (A)]],K135),IF(AEL_Protection_Data[[#This Row],[ID]]=A137,MIN(AEL_Protection_Data[[#This Row],[Pickup (A)]],K137),AEL_Protection_Data[[#This Row],[Pickup (A)]]))</f>
        <v>252</v>
      </c>
    </row>
    <row r="137" spans="1:12" x14ac:dyDescent="0.25">
      <c r="A137" s="336" t="str">
        <f>AEL_Protection_Data[[#This Row],[Zone Sub]]&amp;"-"&amp;AEL_Protection_Data[[#This Row],[CB ID]]</f>
        <v>PLP-CB1</v>
      </c>
      <c r="B137" s="335" t="s">
        <v>203</v>
      </c>
      <c r="C137" s="334" t="s">
        <v>1647</v>
      </c>
      <c r="D137" s="334" t="s">
        <v>75</v>
      </c>
      <c r="E137" s="334" t="s">
        <v>1532</v>
      </c>
      <c r="F137" s="336" t="s">
        <v>502</v>
      </c>
      <c r="G137" s="334" t="s">
        <v>1752</v>
      </c>
      <c r="H137" s="334" t="s">
        <v>206</v>
      </c>
      <c r="I137" s="336" t="s">
        <v>1749</v>
      </c>
      <c r="J137" s="269">
        <v>11</v>
      </c>
      <c r="K137" s="269">
        <v>252</v>
      </c>
      <c r="L137" s="269">
        <f>IF(AEL_Protection_Data[[#This Row],[ID]]=A136,MIN(AEL_Protection_Data[[#This Row],[Pickup (A)]],K136),IF(AEL_Protection_Data[[#This Row],[ID]]=A138,MIN(AEL_Protection_Data[[#This Row],[Pickup (A)]],K138),AEL_Protection_Data[[#This Row],[Pickup (A)]]))</f>
        <v>252</v>
      </c>
    </row>
    <row r="138" spans="1:12" x14ac:dyDescent="0.25">
      <c r="A138" s="336" t="str">
        <f>AEL_Protection_Data[[#This Row],[Zone Sub]]&amp;"-"&amp;AEL_Protection_Data[[#This Row],[CB ID]]</f>
        <v>PLP-L107</v>
      </c>
      <c r="B138" s="335" t="s">
        <v>203</v>
      </c>
      <c r="C138" s="334" t="s">
        <v>1647</v>
      </c>
      <c r="D138" s="334" t="s">
        <v>75</v>
      </c>
      <c r="E138" s="334" t="s">
        <v>1532</v>
      </c>
      <c r="F138" s="336" t="s">
        <v>1753</v>
      </c>
      <c r="G138" s="334" t="s">
        <v>1754</v>
      </c>
      <c r="H138" s="334" t="s">
        <v>2076</v>
      </c>
      <c r="I138" s="336" t="s">
        <v>1603</v>
      </c>
      <c r="J138" s="269">
        <v>11</v>
      </c>
      <c r="K138" s="269">
        <v>150</v>
      </c>
      <c r="L138" s="269">
        <f>IF(AEL_Protection_Data[[#This Row],[ID]]=A137,MIN(AEL_Protection_Data[[#This Row],[Pickup (A)]],K137),IF(AEL_Protection_Data[[#This Row],[ID]]=A139,MIN(AEL_Protection_Data[[#This Row],[Pickup (A)]],K139),AEL_Protection_Data[[#This Row],[Pickup (A)]]))</f>
        <v>150</v>
      </c>
    </row>
    <row r="139" spans="1:12" x14ac:dyDescent="0.25">
      <c r="A139" s="336" t="str">
        <f>AEL_Protection_Data[[#This Row],[Zone Sub]]&amp;"-"&amp;AEL_Protection_Data[[#This Row],[CB ID]]</f>
        <v>PLP-L1159</v>
      </c>
      <c r="B139" s="335" t="s">
        <v>203</v>
      </c>
      <c r="C139" s="334" t="s">
        <v>1647</v>
      </c>
      <c r="D139" s="334" t="s">
        <v>75</v>
      </c>
      <c r="E139" s="334" t="s">
        <v>1532</v>
      </c>
      <c r="F139" s="336" t="s">
        <v>1755</v>
      </c>
      <c r="G139" s="334" t="s">
        <v>1756</v>
      </c>
      <c r="H139" s="334" t="s">
        <v>2077</v>
      </c>
      <c r="I139" s="336" t="s">
        <v>1568</v>
      </c>
      <c r="J139" s="269">
        <v>11</v>
      </c>
      <c r="K139" s="269">
        <v>200</v>
      </c>
      <c r="L139" s="269">
        <f>IF(AEL_Protection_Data[[#This Row],[ID]]=A138,MIN(AEL_Protection_Data[[#This Row],[Pickup (A)]],K138),IF(AEL_Protection_Data[[#This Row],[ID]]=A140,MIN(AEL_Protection_Data[[#This Row],[Pickup (A)]],K140),AEL_Protection_Data[[#This Row],[Pickup (A)]]))</f>
        <v>200</v>
      </c>
    </row>
    <row r="140" spans="1:12" x14ac:dyDescent="0.25">
      <c r="A140" s="336" t="str">
        <f>AEL_Protection_Data[[#This Row],[Zone Sub]]&amp;"-"&amp;AEL_Protection_Data[[#This Row],[CB ID]]</f>
        <v>GRM-CB2</v>
      </c>
      <c r="B140" s="335" t="s">
        <v>161</v>
      </c>
      <c r="C140" s="334" t="s">
        <v>1647</v>
      </c>
      <c r="D140" s="334" t="s">
        <v>75</v>
      </c>
      <c r="E140" s="334" t="s">
        <v>1532</v>
      </c>
      <c r="F140" s="336" t="s">
        <v>507</v>
      </c>
      <c r="G140" s="334" t="s">
        <v>1757</v>
      </c>
      <c r="H140" s="334" t="s">
        <v>2078</v>
      </c>
      <c r="I140" s="336" t="s">
        <v>1539</v>
      </c>
      <c r="J140" s="269">
        <v>11</v>
      </c>
      <c r="K140" s="269">
        <v>304</v>
      </c>
      <c r="L140" s="269">
        <f>IF(AEL_Protection_Data[[#This Row],[ID]]=A139,MIN(AEL_Protection_Data[[#This Row],[Pickup (A)]],K139),IF(AEL_Protection_Data[[#This Row],[ID]]=A141,MIN(AEL_Protection_Data[[#This Row],[Pickup (A)]],K141),AEL_Protection_Data[[#This Row],[Pickup (A)]]))</f>
        <v>304</v>
      </c>
    </row>
    <row r="141" spans="1:12" x14ac:dyDescent="0.25">
      <c r="A141" s="336" t="str">
        <f>AEL_Protection_Data[[#This Row],[Zone Sub]]&amp;"-"&amp;AEL_Protection_Data[[#This Row],[CB ID]]</f>
        <v>GRM-CB2</v>
      </c>
      <c r="B141" s="335" t="s">
        <v>161</v>
      </c>
      <c r="C141" s="334" t="s">
        <v>1647</v>
      </c>
      <c r="D141" s="334" t="s">
        <v>75</v>
      </c>
      <c r="E141" s="334" t="s">
        <v>1532</v>
      </c>
      <c r="F141" s="336" t="s">
        <v>507</v>
      </c>
      <c r="G141" s="334" t="s">
        <v>1757</v>
      </c>
      <c r="H141" s="334" t="s">
        <v>2078</v>
      </c>
      <c r="I141" s="336" t="s">
        <v>1657</v>
      </c>
      <c r="J141" s="269">
        <v>11</v>
      </c>
      <c r="K141" s="269">
        <v>320</v>
      </c>
      <c r="L141" s="269">
        <f>IF(AEL_Protection_Data[[#This Row],[ID]]=A140,MIN(AEL_Protection_Data[[#This Row],[Pickup (A)]],K140),IF(AEL_Protection_Data[[#This Row],[ID]]=A142,MIN(AEL_Protection_Data[[#This Row],[Pickup (A)]],K142),AEL_Protection_Data[[#This Row],[Pickup (A)]]))</f>
        <v>304</v>
      </c>
    </row>
    <row r="142" spans="1:12" x14ac:dyDescent="0.25">
      <c r="A142" s="336" t="str">
        <f>AEL_Protection_Data[[#This Row],[Zone Sub]]&amp;"-"&amp;AEL_Protection_Data[[#This Row],[CB ID]]</f>
        <v>GRM-CB3</v>
      </c>
      <c r="B142" s="335" t="s">
        <v>161</v>
      </c>
      <c r="C142" s="334" t="s">
        <v>1647</v>
      </c>
      <c r="D142" s="334" t="s">
        <v>75</v>
      </c>
      <c r="E142" s="334" t="s">
        <v>1532</v>
      </c>
      <c r="F142" s="336" t="s">
        <v>511</v>
      </c>
      <c r="G142" s="334" t="s">
        <v>1690</v>
      </c>
      <c r="H142" s="334" t="s">
        <v>2079</v>
      </c>
      <c r="I142" s="336" t="s">
        <v>1539</v>
      </c>
      <c r="J142" s="269">
        <v>11</v>
      </c>
      <c r="K142" s="269">
        <v>600</v>
      </c>
      <c r="L142" s="269">
        <f>IF(AEL_Protection_Data[[#This Row],[ID]]=A141,MIN(AEL_Protection_Data[[#This Row],[Pickup (A)]],K141),IF(AEL_Protection_Data[[#This Row],[ID]]=A143,MIN(AEL_Protection_Data[[#This Row],[Pickup (A)]],K143),AEL_Protection_Data[[#This Row],[Pickup (A)]]))</f>
        <v>600</v>
      </c>
    </row>
    <row r="143" spans="1:12" x14ac:dyDescent="0.25">
      <c r="A143" s="336" t="str">
        <f>AEL_Protection_Data[[#This Row],[Zone Sub]]&amp;"-"&amp;AEL_Protection_Data[[#This Row],[CB ID]]</f>
        <v>GRM-CB3</v>
      </c>
      <c r="B143" s="335" t="s">
        <v>161</v>
      </c>
      <c r="C143" s="334" t="s">
        <v>1647</v>
      </c>
      <c r="D143" s="334" t="s">
        <v>75</v>
      </c>
      <c r="E143" s="334" t="s">
        <v>1532</v>
      </c>
      <c r="F143" s="336" t="s">
        <v>511</v>
      </c>
      <c r="G143" s="334" t="s">
        <v>1690</v>
      </c>
      <c r="H143" s="334" t="s">
        <v>2079</v>
      </c>
      <c r="I143" s="336" t="s">
        <v>1686</v>
      </c>
      <c r="J143" s="269">
        <v>11</v>
      </c>
      <c r="K143" s="269">
        <v>600</v>
      </c>
      <c r="L143" s="269">
        <f>IF(AEL_Protection_Data[[#This Row],[ID]]=A142,MIN(AEL_Protection_Data[[#This Row],[Pickup (A)]],K142),IF(AEL_Protection_Data[[#This Row],[ID]]=A144,MIN(AEL_Protection_Data[[#This Row],[Pickup (A)]],K144),AEL_Protection_Data[[#This Row],[Pickup (A)]]))</f>
        <v>600</v>
      </c>
    </row>
    <row r="144" spans="1:12" x14ac:dyDescent="0.25">
      <c r="A144" s="336" t="str">
        <f>AEL_Protection_Data[[#This Row],[Zone Sub]]&amp;"-"&amp;AEL_Protection_Data[[#This Row],[CB ID]]</f>
        <v>GRM-CB4</v>
      </c>
      <c r="B144" s="335" t="s">
        <v>161</v>
      </c>
      <c r="C144" s="334" t="s">
        <v>1647</v>
      </c>
      <c r="D144" s="334" t="s">
        <v>75</v>
      </c>
      <c r="E144" s="334" t="s">
        <v>1532</v>
      </c>
      <c r="F144" s="336" t="s">
        <v>498</v>
      </c>
      <c r="G144" s="334" t="s">
        <v>1758</v>
      </c>
      <c r="H144" s="334" t="s">
        <v>1328</v>
      </c>
      <c r="I144" s="336" t="s">
        <v>1539</v>
      </c>
      <c r="J144" s="269">
        <v>11</v>
      </c>
      <c r="K144" s="269">
        <v>400</v>
      </c>
      <c r="L144" s="269">
        <f>IF(AEL_Protection_Data[[#This Row],[ID]]=A143,MIN(AEL_Protection_Data[[#This Row],[Pickup (A)]],K143),IF(AEL_Protection_Data[[#This Row],[ID]]=A145,MIN(AEL_Protection_Data[[#This Row],[Pickup (A)]],K145),AEL_Protection_Data[[#This Row],[Pickup (A)]]))</f>
        <v>400</v>
      </c>
    </row>
    <row r="145" spans="1:12" x14ac:dyDescent="0.25">
      <c r="A145" s="336" t="str">
        <f>AEL_Protection_Data[[#This Row],[Zone Sub]]&amp;"-"&amp;AEL_Protection_Data[[#This Row],[CB ID]]</f>
        <v>GRM-CB4</v>
      </c>
      <c r="B145" s="335" t="s">
        <v>161</v>
      </c>
      <c r="C145" s="334" t="s">
        <v>1647</v>
      </c>
      <c r="D145" s="334" t="s">
        <v>75</v>
      </c>
      <c r="E145" s="334" t="s">
        <v>1532</v>
      </c>
      <c r="F145" s="336" t="s">
        <v>498</v>
      </c>
      <c r="G145" s="334" t="s">
        <v>1758</v>
      </c>
      <c r="H145" s="334" t="s">
        <v>1328</v>
      </c>
      <c r="I145" s="336" t="s">
        <v>1686</v>
      </c>
      <c r="J145" s="269">
        <v>11</v>
      </c>
      <c r="K145" s="269">
        <v>400</v>
      </c>
      <c r="L145" s="269">
        <f>IF(AEL_Protection_Data[[#This Row],[ID]]=A144,MIN(AEL_Protection_Data[[#This Row],[Pickup (A)]],K144),IF(AEL_Protection_Data[[#This Row],[ID]]=A146,MIN(AEL_Protection_Data[[#This Row],[Pickup (A)]],K146),AEL_Protection_Data[[#This Row],[Pickup (A)]]))</f>
        <v>400</v>
      </c>
    </row>
    <row r="146" spans="1:12" x14ac:dyDescent="0.25">
      <c r="A146" s="336" t="str">
        <f>AEL_Protection_Data[[#This Row],[Zone Sub]]&amp;"-"&amp;AEL_Protection_Data[[#This Row],[CB ID]]</f>
        <v>GRM-CB5</v>
      </c>
      <c r="B146" s="335" t="s">
        <v>161</v>
      </c>
      <c r="C146" s="334" t="s">
        <v>1647</v>
      </c>
      <c r="D146" s="334" t="s">
        <v>75</v>
      </c>
      <c r="E146" s="334" t="s">
        <v>1532</v>
      </c>
      <c r="F146" s="336" t="s">
        <v>592</v>
      </c>
      <c r="G146" s="334" t="s">
        <v>1759</v>
      </c>
      <c r="H146" s="334" t="s">
        <v>2080</v>
      </c>
      <c r="I146" s="336" t="s">
        <v>1539</v>
      </c>
      <c r="J146" s="269">
        <v>11</v>
      </c>
      <c r="K146" s="269">
        <v>304</v>
      </c>
      <c r="L146" s="269">
        <f>IF(AEL_Protection_Data[[#This Row],[ID]]=A145,MIN(AEL_Protection_Data[[#This Row],[Pickup (A)]],K145),IF(AEL_Protection_Data[[#This Row],[ID]]=A147,MIN(AEL_Protection_Data[[#This Row],[Pickup (A)]],K147),AEL_Protection_Data[[#This Row],[Pickup (A)]]))</f>
        <v>304</v>
      </c>
    </row>
    <row r="147" spans="1:12" x14ac:dyDescent="0.25">
      <c r="A147" s="336" t="str">
        <f>AEL_Protection_Data[[#This Row],[Zone Sub]]&amp;"-"&amp;AEL_Protection_Data[[#This Row],[CB ID]]</f>
        <v>GRM-CB5</v>
      </c>
      <c r="B147" s="335" t="s">
        <v>161</v>
      </c>
      <c r="C147" s="334" t="s">
        <v>1647</v>
      </c>
      <c r="D147" s="334" t="s">
        <v>75</v>
      </c>
      <c r="E147" s="334" t="s">
        <v>1532</v>
      </c>
      <c r="F147" s="336" t="s">
        <v>592</v>
      </c>
      <c r="G147" s="334" t="s">
        <v>1759</v>
      </c>
      <c r="H147" s="334" t="s">
        <v>2080</v>
      </c>
      <c r="I147" s="336" t="s">
        <v>1657</v>
      </c>
      <c r="J147" s="269">
        <v>11</v>
      </c>
      <c r="K147" s="269">
        <v>320</v>
      </c>
      <c r="L147" s="269">
        <f>IF(AEL_Protection_Data[[#This Row],[ID]]=A146,MIN(AEL_Protection_Data[[#This Row],[Pickup (A)]],K146),IF(AEL_Protection_Data[[#This Row],[ID]]=A148,MIN(AEL_Protection_Data[[#This Row],[Pickup (A)]],K148),AEL_Protection_Data[[#This Row],[Pickup (A)]]))</f>
        <v>304</v>
      </c>
    </row>
    <row r="148" spans="1:12" x14ac:dyDescent="0.25">
      <c r="A148" s="336" t="str">
        <f>AEL_Protection_Data[[#This Row],[Zone Sub]]&amp;"-"&amp;AEL_Protection_Data[[#This Row],[CB ID]]</f>
        <v>GRM-CB6</v>
      </c>
      <c r="B148" s="335" t="s">
        <v>161</v>
      </c>
      <c r="C148" s="334" t="s">
        <v>1647</v>
      </c>
      <c r="D148" s="334" t="s">
        <v>75</v>
      </c>
      <c r="E148" s="334" t="s">
        <v>1532</v>
      </c>
      <c r="F148" s="336" t="s">
        <v>500</v>
      </c>
      <c r="G148" s="334" t="s">
        <v>1760</v>
      </c>
      <c r="H148" s="334" t="s">
        <v>185</v>
      </c>
      <c r="I148" s="336" t="s">
        <v>1539</v>
      </c>
      <c r="J148" s="269">
        <v>11</v>
      </c>
      <c r="K148" s="269">
        <v>304</v>
      </c>
      <c r="L148" s="269">
        <f>IF(AEL_Protection_Data[[#This Row],[ID]]=A147,MIN(AEL_Protection_Data[[#This Row],[Pickup (A)]],K147),IF(AEL_Protection_Data[[#This Row],[ID]]=A149,MIN(AEL_Protection_Data[[#This Row],[Pickup (A)]],K149),AEL_Protection_Data[[#This Row],[Pickup (A)]]))</f>
        <v>304</v>
      </c>
    </row>
    <row r="149" spans="1:12" x14ac:dyDescent="0.25">
      <c r="A149" s="336" t="str">
        <f>AEL_Protection_Data[[#This Row],[Zone Sub]]&amp;"-"&amp;AEL_Protection_Data[[#This Row],[CB ID]]</f>
        <v>GRM-CB6</v>
      </c>
      <c r="B149" s="335" t="s">
        <v>161</v>
      </c>
      <c r="C149" s="334" t="s">
        <v>1647</v>
      </c>
      <c r="D149" s="334" t="s">
        <v>75</v>
      </c>
      <c r="E149" s="334" t="s">
        <v>1532</v>
      </c>
      <c r="F149" s="336" t="s">
        <v>500</v>
      </c>
      <c r="G149" s="334" t="s">
        <v>1760</v>
      </c>
      <c r="H149" s="334" t="s">
        <v>185</v>
      </c>
      <c r="I149" s="336" t="s">
        <v>1657</v>
      </c>
      <c r="J149" s="269">
        <v>11</v>
      </c>
      <c r="K149" s="269">
        <v>320</v>
      </c>
      <c r="L149" s="269">
        <f>IF(AEL_Protection_Data[[#This Row],[ID]]=A148,MIN(AEL_Protection_Data[[#This Row],[Pickup (A)]],K148),IF(AEL_Protection_Data[[#This Row],[ID]]=A150,MIN(AEL_Protection_Data[[#This Row],[Pickup (A)]],K150),AEL_Protection_Data[[#This Row],[Pickup (A)]]))</f>
        <v>304</v>
      </c>
    </row>
    <row r="150" spans="1:12" x14ac:dyDescent="0.25">
      <c r="A150" s="336" t="str">
        <f>AEL_Protection_Data[[#This Row],[Zone Sub]]&amp;"-"&amp;AEL_Protection_Data[[#This Row],[CB ID]]</f>
        <v>GRM-CB7</v>
      </c>
      <c r="B150" s="335" t="s">
        <v>161</v>
      </c>
      <c r="C150" s="334" t="s">
        <v>1647</v>
      </c>
      <c r="D150" s="334" t="s">
        <v>75</v>
      </c>
      <c r="E150" s="334" t="s">
        <v>1532</v>
      </c>
      <c r="F150" s="336" t="s">
        <v>512</v>
      </c>
      <c r="G150" s="334" t="s">
        <v>1761</v>
      </c>
      <c r="H150" s="334" t="s">
        <v>2081</v>
      </c>
      <c r="I150" s="336" t="s">
        <v>1539</v>
      </c>
      <c r="J150" s="269">
        <v>11</v>
      </c>
      <c r="K150" s="269">
        <v>304</v>
      </c>
      <c r="L150" s="269">
        <f>IF(AEL_Protection_Data[[#This Row],[ID]]=A149,MIN(AEL_Protection_Data[[#This Row],[Pickup (A)]],K149),IF(AEL_Protection_Data[[#This Row],[ID]]=A151,MIN(AEL_Protection_Data[[#This Row],[Pickup (A)]],K151),AEL_Protection_Data[[#This Row],[Pickup (A)]]))</f>
        <v>304</v>
      </c>
    </row>
    <row r="151" spans="1:12" x14ac:dyDescent="0.25">
      <c r="A151" s="336" t="str">
        <f>AEL_Protection_Data[[#This Row],[Zone Sub]]&amp;"-"&amp;AEL_Protection_Data[[#This Row],[CB ID]]</f>
        <v>GRM-CB7</v>
      </c>
      <c r="B151" s="335" t="s">
        <v>161</v>
      </c>
      <c r="C151" s="334" t="s">
        <v>1647</v>
      </c>
      <c r="D151" s="334" t="s">
        <v>75</v>
      </c>
      <c r="E151" s="334" t="s">
        <v>1532</v>
      </c>
      <c r="F151" s="336" t="s">
        <v>512</v>
      </c>
      <c r="G151" s="334" t="s">
        <v>1761</v>
      </c>
      <c r="H151" s="334" t="s">
        <v>2081</v>
      </c>
      <c r="I151" s="336" t="s">
        <v>1657</v>
      </c>
      <c r="J151" s="269">
        <v>11</v>
      </c>
      <c r="K151" s="269">
        <v>320</v>
      </c>
      <c r="L151" s="269">
        <f>IF(AEL_Protection_Data[[#This Row],[ID]]=A150,MIN(AEL_Protection_Data[[#This Row],[Pickup (A)]],K150),IF(AEL_Protection_Data[[#This Row],[ID]]=A152,MIN(AEL_Protection_Data[[#This Row],[Pickup (A)]],K152),AEL_Protection_Data[[#This Row],[Pickup (A)]]))</f>
        <v>304</v>
      </c>
    </row>
    <row r="152" spans="1:12" x14ac:dyDescent="0.25">
      <c r="A152" s="336" t="str">
        <f>AEL_Protection_Data[[#This Row],[Zone Sub]]&amp;"-"&amp;AEL_Protection_Data[[#This Row],[CB ID]]</f>
        <v>GRM-CB8</v>
      </c>
      <c r="B152" s="335" t="s">
        <v>161</v>
      </c>
      <c r="C152" s="334" t="s">
        <v>1647</v>
      </c>
      <c r="D152" s="334" t="s">
        <v>75</v>
      </c>
      <c r="E152" s="334" t="s">
        <v>1532</v>
      </c>
      <c r="F152" s="336" t="s">
        <v>522</v>
      </c>
      <c r="G152" s="334" t="s">
        <v>1692</v>
      </c>
      <c r="H152" s="334" t="s">
        <v>2082</v>
      </c>
      <c r="I152" s="336" t="s">
        <v>1539</v>
      </c>
      <c r="J152" s="269">
        <v>11</v>
      </c>
      <c r="K152" s="269">
        <v>600</v>
      </c>
      <c r="L152" s="269">
        <f>IF(AEL_Protection_Data[[#This Row],[ID]]=A151,MIN(AEL_Protection_Data[[#This Row],[Pickup (A)]],K151),IF(AEL_Protection_Data[[#This Row],[ID]]=A153,MIN(AEL_Protection_Data[[#This Row],[Pickup (A)]],K153),AEL_Protection_Data[[#This Row],[Pickup (A)]]))</f>
        <v>600</v>
      </c>
    </row>
    <row r="153" spans="1:12" x14ac:dyDescent="0.25">
      <c r="A153" s="336" t="str">
        <f>AEL_Protection_Data[[#This Row],[Zone Sub]]&amp;"-"&amp;AEL_Protection_Data[[#This Row],[CB ID]]</f>
        <v>GRM-CB8</v>
      </c>
      <c r="B153" s="335" t="s">
        <v>161</v>
      </c>
      <c r="C153" s="334" t="s">
        <v>1647</v>
      </c>
      <c r="D153" s="334" t="s">
        <v>75</v>
      </c>
      <c r="E153" s="334" t="s">
        <v>1532</v>
      </c>
      <c r="F153" s="336" t="s">
        <v>522</v>
      </c>
      <c r="G153" s="334" t="s">
        <v>1692</v>
      </c>
      <c r="H153" s="334" t="s">
        <v>2082</v>
      </c>
      <c r="I153" s="336" t="s">
        <v>1686</v>
      </c>
      <c r="J153" s="269">
        <v>11</v>
      </c>
      <c r="K153" s="269">
        <v>600</v>
      </c>
      <c r="L153" s="269">
        <f>IF(AEL_Protection_Data[[#This Row],[ID]]=A152,MIN(AEL_Protection_Data[[#This Row],[Pickup (A)]],K152),IF(AEL_Protection_Data[[#This Row],[ID]]=A154,MIN(AEL_Protection_Data[[#This Row],[Pickup (A)]],K154),AEL_Protection_Data[[#This Row],[Pickup (A)]]))</f>
        <v>600</v>
      </c>
    </row>
    <row r="154" spans="1:12" x14ac:dyDescent="0.25">
      <c r="A154" s="336" t="str">
        <f>AEL_Protection_Data[[#This Row],[Zone Sub]]&amp;"-"&amp;AEL_Protection_Data[[#This Row],[CB ID]]</f>
        <v>GRM-CB9</v>
      </c>
      <c r="B154" s="335" t="s">
        <v>161</v>
      </c>
      <c r="C154" s="334" t="s">
        <v>1647</v>
      </c>
      <c r="D154" s="334" t="s">
        <v>75</v>
      </c>
      <c r="E154" s="334" t="s">
        <v>1532</v>
      </c>
      <c r="F154" s="336" t="s">
        <v>526</v>
      </c>
      <c r="G154" s="334" t="s">
        <v>1762</v>
      </c>
      <c r="H154" s="334" t="s">
        <v>1330</v>
      </c>
      <c r="I154" s="336" t="s">
        <v>1539</v>
      </c>
      <c r="J154" s="269">
        <v>11</v>
      </c>
      <c r="K154" s="269">
        <v>400</v>
      </c>
      <c r="L154" s="269">
        <f>IF(AEL_Protection_Data[[#This Row],[ID]]=A153,MIN(AEL_Protection_Data[[#This Row],[Pickup (A)]],K153),IF(AEL_Protection_Data[[#This Row],[ID]]=A155,MIN(AEL_Protection_Data[[#This Row],[Pickup (A)]],K155),AEL_Protection_Data[[#This Row],[Pickup (A)]]))</f>
        <v>400</v>
      </c>
    </row>
    <row r="155" spans="1:12" x14ac:dyDescent="0.25">
      <c r="A155" s="336" t="str">
        <f>AEL_Protection_Data[[#This Row],[Zone Sub]]&amp;"-"&amp;AEL_Protection_Data[[#This Row],[CB ID]]</f>
        <v>GRM-CB9</v>
      </c>
      <c r="B155" s="335" t="s">
        <v>161</v>
      </c>
      <c r="C155" s="334" t="s">
        <v>1647</v>
      </c>
      <c r="D155" s="334" t="s">
        <v>75</v>
      </c>
      <c r="E155" s="334" t="s">
        <v>1532</v>
      </c>
      <c r="F155" s="336" t="s">
        <v>526</v>
      </c>
      <c r="G155" s="334" t="s">
        <v>1762</v>
      </c>
      <c r="H155" s="334" t="s">
        <v>1330</v>
      </c>
      <c r="I155" s="336" t="s">
        <v>1686</v>
      </c>
      <c r="J155" s="269">
        <v>11</v>
      </c>
      <c r="K155" s="269">
        <v>400</v>
      </c>
      <c r="L155" s="269">
        <f>IF(AEL_Protection_Data[[#This Row],[ID]]=A154,MIN(AEL_Protection_Data[[#This Row],[Pickup (A)]],K154),IF(AEL_Protection_Data[[#This Row],[ID]]=A156,MIN(AEL_Protection_Data[[#This Row],[Pickup (A)]],K156),AEL_Protection_Data[[#This Row],[Pickup (A)]]))</f>
        <v>400</v>
      </c>
    </row>
    <row r="156" spans="1:12" x14ac:dyDescent="0.25">
      <c r="A156" s="336" t="str">
        <f>AEL_Protection_Data[[#This Row],[Zone Sub]]&amp;"-"&amp;AEL_Protection_Data[[#This Row],[CB ID]]</f>
        <v>GRM-CB10</v>
      </c>
      <c r="B156" s="335" t="s">
        <v>161</v>
      </c>
      <c r="C156" s="334" t="s">
        <v>1647</v>
      </c>
      <c r="D156" s="334" t="s">
        <v>75</v>
      </c>
      <c r="E156" s="334" t="s">
        <v>1532</v>
      </c>
      <c r="F156" s="336" t="s">
        <v>1763</v>
      </c>
      <c r="G156" s="334" t="s">
        <v>1764</v>
      </c>
      <c r="H156" s="334" t="s">
        <v>189</v>
      </c>
      <c r="I156" s="336" t="s">
        <v>1539</v>
      </c>
      <c r="J156" s="269">
        <v>11</v>
      </c>
      <c r="K156" s="269">
        <v>304</v>
      </c>
      <c r="L156" s="269">
        <f>IF(AEL_Protection_Data[[#This Row],[ID]]=A155,MIN(AEL_Protection_Data[[#This Row],[Pickup (A)]],K155),IF(AEL_Protection_Data[[#This Row],[ID]]=A157,MIN(AEL_Protection_Data[[#This Row],[Pickup (A)]],K157),AEL_Protection_Data[[#This Row],[Pickup (A)]]))</f>
        <v>304</v>
      </c>
    </row>
    <row r="157" spans="1:12" x14ac:dyDescent="0.25">
      <c r="A157" s="336" t="str">
        <f>AEL_Protection_Data[[#This Row],[Zone Sub]]&amp;"-"&amp;AEL_Protection_Data[[#This Row],[CB ID]]</f>
        <v>GRM-CB10</v>
      </c>
      <c r="B157" s="335" t="s">
        <v>161</v>
      </c>
      <c r="C157" s="334" t="s">
        <v>1647</v>
      </c>
      <c r="D157" s="334" t="s">
        <v>75</v>
      </c>
      <c r="E157" s="334" t="s">
        <v>1532</v>
      </c>
      <c r="F157" s="336" t="s">
        <v>1763</v>
      </c>
      <c r="G157" s="334" t="s">
        <v>1764</v>
      </c>
      <c r="H157" s="334" t="s">
        <v>189</v>
      </c>
      <c r="I157" s="336" t="s">
        <v>1657</v>
      </c>
      <c r="J157" s="269">
        <v>11</v>
      </c>
      <c r="K157" s="269">
        <v>320</v>
      </c>
      <c r="L157" s="269">
        <f>IF(AEL_Protection_Data[[#This Row],[ID]]=A156,MIN(AEL_Protection_Data[[#This Row],[Pickup (A)]],K156),IF(AEL_Protection_Data[[#This Row],[ID]]=A158,MIN(AEL_Protection_Data[[#This Row],[Pickup (A)]],K158),AEL_Protection_Data[[#This Row],[Pickup (A)]]))</f>
        <v>304</v>
      </c>
    </row>
    <row r="158" spans="1:12" x14ac:dyDescent="0.25">
      <c r="A158" s="336" t="str">
        <f>AEL_Protection_Data[[#This Row],[Zone Sub]]&amp;"-"&amp;AEL_Protection_Data[[#This Row],[CB ID]]</f>
        <v>GRM-CB12</v>
      </c>
      <c r="B158" s="335" t="s">
        <v>161</v>
      </c>
      <c r="C158" s="334" t="s">
        <v>1647</v>
      </c>
      <c r="D158" s="334" t="s">
        <v>75</v>
      </c>
      <c r="E158" s="334" t="s">
        <v>1532</v>
      </c>
      <c r="F158" s="336" t="s">
        <v>610</v>
      </c>
      <c r="G158" s="334" t="s">
        <v>1765</v>
      </c>
      <c r="H158" s="334" t="s">
        <v>2083</v>
      </c>
      <c r="I158" s="336" t="s">
        <v>1539</v>
      </c>
      <c r="J158" s="269">
        <v>11</v>
      </c>
      <c r="K158" s="269">
        <v>304</v>
      </c>
      <c r="L158" s="269">
        <f>IF(AEL_Protection_Data[[#This Row],[ID]]=A157,MIN(AEL_Protection_Data[[#This Row],[Pickup (A)]],K157),IF(AEL_Protection_Data[[#This Row],[ID]]=A159,MIN(AEL_Protection_Data[[#This Row],[Pickup (A)]],K159),AEL_Protection_Data[[#This Row],[Pickup (A)]]))</f>
        <v>304</v>
      </c>
    </row>
    <row r="159" spans="1:12" x14ac:dyDescent="0.25">
      <c r="A159" s="336" t="str">
        <f>AEL_Protection_Data[[#This Row],[Zone Sub]]&amp;"-"&amp;AEL_Protection_Data[[#This Row],[CB ID]]</f>
        <v>GRM-CB12</v>
      </c>
      <c r="B159" s="335" t="s">
        <v>161</v>
      </c>
      <c r="C159" s="334" t="s">
        <v>1647</v>
      </c>
      <c r="D159" s="334" t="s">
        <v>75</v>
      </c>
      <c r="E159" s="334" t="s">
        <v>1532</v>
      </c>
      <c r="F159" s="336" t="s">
        <v>610</v>
      </c>
      <c r="G159" s="334" t="s">
        <v>1765</v>
      </c>
      <c r="H159" s="334" t="s">
        <v>2083</v>
      </c>
      <c r="I159" s="336" t="s">
        <v>1657</v>
      </c>
      <c r="J159" s="269">
        <v>11</v>
      </c>
      <c r="K159" s="269">
        <v>320</v>
      </c>
      <c r="L159" s="269">
        <f>IF(AEL_Protection_Data[[#This Row],[ID]]=A158,MIN(AEL_Protection_Data[[#This Row],[Pickup (A)]],K158),IF(AEL_Protection_Data[[#This Row],[ID]]=A160,MIN(AEL_Protection_Data[[#This Row],[Pickup (A)]],K160),AEL_Protection_Data[[#This Row],[Pickup (A)]]))</f>
        <v>304</v>
      </c>
    </row>
    <row r="160" spans="1:12" x14ac:dyDescent="0.25">
      <c r="A160" s="336" t="str">
        <f>AEL_Protection_Data[[#This Row],[Zone Sub]]&amp;"-"&amp;AEL_Protection_Data[[#This Row],[CB ID]]</f>
        <v>GRM-CB13</v>
      </c>
      <c r="B160" s="335" t="s">
        <v>161</v>
      </c>
      <c r="C160" s="334" t="s">
        <v>1647</v>
      </c>
      <c r="D160" s="334" t="s">
        <v>75</v>
      </c>
      <c r="E160" s="334" t="s">
        <v>1532</v>
      </c>
      <c r="F160" s="336" t="s">
        <v>611</v>
      </c>
      <c r="G160" s="334" t="s">
        <v>1766</v>
      </c>
      <c r="H160" s="334" t="s">
        <v>1329</v>
      </c>
      <c r="I160" s="336" t="s">
        <v>1539</v>
      </c>
      <c r="J160" s="269">
        <v>11</v>
      </c>
      <c r="K160" s="269">
        <v>400</v>
      </c>
      <c r="L160" s="269">
        <f>IF(AEL_Protection_Data[[#This Row],[ID]]=A159,MIN(AEL_Protection_Data[[#This Row],[Pickup (A)]],K159),IF(AEL_Protection_Data[[#This Row],[ID]]=A161,MIN(AEL_Protection_Data[[#This Row],[Pickup (A)]],K161),AEL_Protection_Data[[#This Row],[Pickup (A)]]))</f>
        <v>400</v>
      </c>
    </row>
    <row r="161" spans="1:12" x14ac:dyDescent="0.25">
      <c r="A161" s="336" t="str">
        <f>AEL_Protection_Data[[#This Row],[Zone Sub]]&amp;"-"&amp;AEL_Protection_Data[[#This Row],[CB ID]]</f>
        <v>GRM-CB13</v>
      </c>
      <c r="B161" s="335" t="s">
        <v>161</v>
      </c>
      <c r="C161" s="334" t="s">
        <v>1647</v>
      </c>
      <c r="D161" s="334" t="s">
        <v>75</v>
      </c>
      <c r="E161" s="334" t="s">
        <v>1532</v>
      </c>
      <c r="F161" s="336" t="s">
        <v>611</v>
      </c>
      <c r="G161" s="334" t="s">
        <v>1766</v>
      </c>
      <c r="H161" s="334" t="s">
        <v>1329</v>
      </c>
      <c r="I161" s="336" t="s">
        <v>1686</v>
      </c>
      <c r="J161" s="269">
        <v>11</v>
      </c>
      <c r="K161" s="269">
        <v>400</v>
      </c>
      <c r="L161" s="269">
        <f>IF(AEL_Protection_Data[[#This Row],[ID]]=A160,MIN(AEL_Protection_Data[[#This Row],[Pickup (A)]],K160),IF(AEL_Protection_Data[[#This Row],[ID]]=A162,MIN(AEL_Protection_Data[[#This Row],[Pickup (A)]],K162),AEL_Protection_Data[[#This Row],[Pickup (A)]]))</f>
        <v>400</v>
      </c>
    </row>
    <row r="162" spans="1:12" x14ac:dyDescent="0.25">
      <c r="A162" s="336" t="str">
        <f>AEL_Protection_Data[[#This Row],[Zone Sub]]&amp;"-"&amp;AEL_Protection_Data[[#This Row],[CB ID]]</f>
        <v>GRM-CB14</v>
      </c>
      <c r="B162" s="335" t="s">
        <v>161</v>
      </c>
      <c r="C162" s="334" t="s">
        <v>1647</v>
      </c>
      <c r="D162" s="334" t="s">
        <v>75</v>
      </c>
      <c r="E162" s="334" t="s">
        <v>1532</v>
      </c>
      <c r="F162" s="336" t="s">
        <v>1594</v>
      </c>
      <c r="G162" s="334" t="s">
        <v>1694</v>
      </c>
      <c r="H162" s="334" t="s">
        <v>2084</v>
      </c>
      <c r="I162" s="336" t="s">
        <v>1539</v>
      </c>
      <c r="J162" s="269">
        <v>11</v>
      </c>
      <c r="K162" s="269">
        <v>600</v>
      </c>
      <c r="L162" s="269">
        <f>IF(AEL_Protection_Data[[#This Row],[ID]]=A161,MIN(AEL_Protection_Data[[#This Row],[Pickup (A)]],K161),IF(AEL_Protection_Data[[#This Row],[ID]]=A163,MIN(AEL_Protection_Data[[#This Row],[Pickup (A)]],K163),AEL_Protection_Data[[#This Row],[Pickup (A)]]))</f>
        <v>600</v>
      </c>
    </row>
    <row r="163" spans="1:12" x14ac:dyDescent="0.25">
      <c r="A163" s="336" t="str">
        <f>AEL_Protection_Data[[#This Row],[Zone Sub]]&amp;"-"&amp;AEL_Protection_Data[[#This Row],[CB ID]]</f>
        <v>GRM-CB14</v>
      </c>
      <c r="B163" s="335" t="s">
        <v>161</v>
      </c>
      <c r="C163" s="334" t="s">
        <v>1647</v>
      </c>
      <c r="D163" s="334" t="s">
        <v>75</v>
      </c>
      <c r="E163" s="334" t="s">
        <v>1532</v>
      </c>
      <c r="F163" s="336" t="s">
        <v>1594</v>
      </c>
      <c r="G163" s="334" t="s">
        <v>1694</v>
      </c>
      <c r="H163" s="334" t="s">
        <v>2084</v>
      </c>
      <c r="I163" s="336" t="s">
        <v>1686</v>
      </c>
      <c r="J163" s="269">
        <v>11</v>
      </c>
      <c r="K163" s="269">
        <v>600</v>
      </c>
      <c r="L163" s="269">
        <f>IF(AEL_Protection_Data[[#This Row],[ID]]=A162,MIN(AEL_Protection_Data[[#This Row],[Pickup (A)]],K162),IF(AEL_Protection_Data[[#This Row],[ID]]=A164,MIN(AEL_Protection_Data[[#This Row],[Pickup (A)]],K164),AEL_Protection_Data[[#This Row],[Pickup (A)]]))</f>
        <v>600</v>
      </c>
    </row>
    <row r="164" spans="1:12" x14ac:dyDescent="0.25">
      <c r="A164" s="336" t="str">
        <f>AEL_Protection_Data[[#This Row],[Zone Sub]]&amp;"-"&amp;AEL_Protection_Data[[#This Row],[CB ID]]</f>
        <v>GRM-CB15</v>
      </c>
      <c r="B164" s="335" t="s">
        <v>161</v>
      </c>
      <c r="C164" s="334" t="s">
        <v>1647</v>
      </c>
      <c r="D164" s="334" t="s">
        <v>75</v>
      </c>
      <c r="E164" s="334" t="s">
        <v>1532</v>
      </c>
      <c r="F164" s="336" t="s">
        <v>1596</v>
      </c>
      <c r="G164" s="334" t="s">
        <v>1767</v>
      </c>
      <c r="H164" s="334" t="s">
        <v>193</v>
      </c>
      <c r="I164" s="336" t="s">
        <v>1539</v>
      </c>
      <c r="J164" s="269">
        <v>11</v>
      </c>
      <c r="K164" s="269">
        <v>304</v>
      </c>
      <c r="L164" s="269">
        <f>IF(AEL_Protection_Data[[#This Row],[ID]]=A163,MIN(AEL_Protection_Data[[#This Row],[Pickup (A)]],K163),IF(AEL_Protection_Data[[#This Row],[ID]]=A165,MIN(AEL_Protection_Data[[#This Row],[Pickup (A)]],K165),AEL_Protection_Data[[#This Row],[Pickup (A)]]))</f>
        <v>304</v>
      </c>
    </row>
    <row r="165" spans="1:12" x14ac:dyDescent="0.25">
      <c r="A165" s="336" t="str">
        <f>AEL_Protection_Data[[#This Row],[Zone Sub]]&amp;"-"&amp;AEL_Protection_Data[[#This Row],[CB ID]]</f>
        <v>GRM-CB15</v>
      </c>
      <c r="B165" s="335" t="s">
        <v>161</v>
      </c>
      <c r="C165" s="334" t="s">
        <v>1647</v>
      </c>
      <c r="D165" s="334" t="s">
        <v>75</v>
      </c>
      <c r="E165" s="334" t="s">
        <v>1532</v>
      </c>
      <c r="F165" s="336" t="s">
        <v>1596</v>
      </c>
      <c r="G165" s="334" t="s">
        <v>1767</v>
      </c>
      <c r="H165" s="334" t="s">
        <v>193</v>
      </c>
      <c r="I165" s="336" t="s">
        <v>1657</v>
      </c>
      <c r="J165" s="269">
        <v>11</v>
      </c>
      <c r="K165" s="269">
        <v>320</v>
      </c>
      <c r="L165" s="269">
        <f>IF(AEL_Protection_Data[[#This Row],[ID]]=A164,MIN(AEL_Protection_Data[[#This Row],[Pickup (A)]],K164),IF(AEL_Protection_Data[[#This Row],[ID]]=A166,MIN(AEL_Protection_Data[[#This Row],[Pickup (A)]],K166),AEL_Protection_Data[[#This Row],[Pickup (A)]]))</f>
        <v>304</v>
      </c>
    </row>
    <row r="166" spans="1:12" x14ac:dyDescent="0.25">
      <c r="A166" s="336" t="str">
        <f>AEL_Protection_Data[[#This Row],[Zone Sub]]&amp;"-"&amp;AEL_Protection_Data[[#This Row],[CB ID]]</f>
        <v>GRM-CB16</v>
      </c>
      <c r="B166" s="335" t="s">
        <v>161</v>
      </c>
      <c r="C166" s="334" t="s">
        <v>1647</v>
      </c>
      <c r="D166" s="334" t="s">
        <v>75</v>
      </c>
      <c r="E166" s="334" t="s">
        <v>1532</v>
      </c>
      <c r="F166" s="336" t="s">
        <v>1768</v>
      </c>
      <c r="G166" s="334" t="s">
        <v>1769</v>
      </c>
      <c r="H166" s="334" t="s">
        <v>2085</v>
      </c>
      <c r="I166" s="336" t="s">
        <v>1539</v>
      </c>
      <c r="J166" s="269">
        <v>11</v>
      </c>
      <c r="K166" s="269">
        <v>304</v>
      </c>
      <c r="L166" s="269">
        <f>IF(AEL_Protection_Data[[#This Row],[ID]]=A165,MIN(AEL_Protection_Data[[#This Row],[Pickup (A)]],K165),IF(AEL_Protection_Data[[#This Row],[ID]]=A167,MIN(AEL_Protection_Data[[#This Row],[Pickup (A)]],K167),AEL_Protection_Data[[#This Row],[Pickup (A)]]))</f>
        <v>304</v>
      </c>
    </row>
    <row r="167" spans="1:12" x14ac:dyDescent="0.25">
      <c r="A167" s="336" t="str">
        <f>AEL_Protection_Data[[#This Row],[Zone Sub]]&amp;"-"&amp;AEL_Protection_Data[[#This Row],[CB ID]]</f>
        <v>GRM-CB16</v>
      </c>
      <c r="B167" s="335" t="s">
        <v>161</v>
      </c>
      <c r="C167" s="334" t="s">
        <v>1647</v>
      </c>
      <c r="D167" s="334" t="s">
        <v>75</v>
      </c>
      <c r="E167" s="334" t="s">
        <v>1532</v>
      </c>
      <c r="F167" s="336" t="s">
        <v>1768</v>
      </c>
      <c r="G167" s="334" t="s">
        <v>1769</v>
      </c>
      <c r="H167" s="334" t="s">
        <v>2085</v>
      </c>
      <c r="I167" s="336" t="s">
        <v>1657</v>
      </c>
      <c r="J167" s="269">
        <v>11</v>
      </c>
      <c r="K167" s="269">
        <v>320</v>
      </c>
      <c r="L167" s="269">
        <f>IF(AEL_Protection_Data[[#This Row],[ID]]=A166,MIN(AEL_Protection_Data[[#This Row],[Pickup (A)]],K166),IF(AEL_Protection_Data[[#This Row],[ID]]=A168,MIN(AEL_Protection_Data[[#This Row],[Pickup (A)]],K168),AEL_Protection_Data[[#This Row],[Pickup (A)]]))</f>
        <v>304</v>
      </c>
    </row>
    <row r="168" spans="1:12" x14ac:dyDescent="0.25">
      <c r="A168" s="336" t="str">
        <f>AEL_Protection_Data[[#This Row],[Zone Sub]]&amp;"-"&amp;AEL_Protection_Data[[#This Row],[CB ID]]</f>
        <v>GRM-CB17</v>
      </c>
      <c r="B168" s="335" t="s">
        <v>161</v>
      </c>
      <c r="C168" s="334" t="s">
        <v>1647</v>
      </c>
      <c r="D168" s="334" t="s">
        <v>75</v>
      </c>
      <c r="E168" s="334" t="s">
        <v>1532</v>
      </c>
      <c r="F168" s="336" t="s">
        <v>1770</v>
      </c>
      <c r="G168" s="334" t="s">
        <v>1771</v>
      </c>
      <c r="H168" s="334" t="s">
        <v>2086</v>
      </c>
      <c r="I168" s="336" t="s">
        <v>1539</v>
      </c>
      <c r="J168" s="269">
        <v>11</v>
      </c>
      <c r="K168" s="269">
        <v>304</v>
      </c>
      <c r="L168" s="269">
        <f>IF(AEL_Protection_Data[[#This Row],[ID]]=A167,MIN(AEL_Protection_Data[[#This Row],[Pickup (A)]],K167),IF(AEL_Protection_Data[[#This Row],[ID]]=A169,MIN(AEL_Protection_Data[[#This Row],[Pickup (A)]],K169),AEL_Protection_Data[[#This Row],[Pickup (A)]]))</f>
        <v>304</v>
      </c>
    </row>
    <row r="169" spans="1:12" x14ac:dyDescent="0.25">
      <c r="A169" s="336" t="str">
        <f>AEL_Protection_Data[[#This Row],[Zone Sub]]&amp;"-"&amp;AEL_Protection_Data[[#This Row],[CB ID]]</f>
        <v>GRM-CB17</v>
      </c>
      <c r="B169" s="335" t="s">
        <v>161</v>
      </c>
      <c r="C169" s="334" t="s">
        <v>1647</v>
      </c>
      <c r="D169" s="334" t="s">
        <v>75</v>
      </c>
      <c r="E169" s="334" t="s">
        <v>1532</v>
      </c>
      <c r="F169" s="336" t="s">
        <v>1770</v>
      </c>
      <c r="G169" s="334" t="s">
        <v>1771</v>
      </c>
      <c r="H169" s="334" t="s">
        <v>2086</v>
      </c>
      <c r="I169" s="336" t="s">
        <v>1657</v>
      </c>
      <c r="J169" s="269">
        <v>11</v>
      </c>
      <c r="K169" s="269">
        <v>320</v>
      </c>
      <c r="L169" s="269">
        <f>IF(AEL_Protection_Data[[#This Row],[ID]]=A168,MIN(AEL_Protection_Data[[#This Row],[Pickup (A)]],K168),IF(AEL_Protection_Data[[#This Row],[ID]]=A170,MIN(AEL_Protection_Data[[#This Row],[Pickup (A)]],K170),AEL_Protection_Data[[#This Row],[Pickup (A)]]))</f>
        <v>304</v>
      </c>
    </row>
    <row r="170" spans="1:12" x14ac:dyDescent="0.25">
      <c r="A170" s="336" t="str">
        <f>AEL_Protection_Data[[#This Row],[Zone Sub]]&amp;"-"&amp;AEL_Protection_Data[[#This Row],[CB ID]]</f>
        <v>GRM-CB18</v>
      </c>
      <c r="B170" s="335" t="s">
        <v>161</v>
      </c>
      <c r="C170" s="334" t="s">
        <v>1647</v>
      </c>
      <c r="D170" s="334" t="s">
        <v>75</v>
      </c>
      <c r="E170" s="334" t="s">
        <v>1532</v>
      </c>
      <c r="F170" s="336" t="s">
        <v>1772</v>
      </c>
      <c r="G170" s="334" t="s">
        <v>1773</v>
      </c>
      <c r="H170" s="334" t="s">
        <v>1331</v>
      </c>
      <c r="I170" s="336" t="s">
        <v>1539</v>
      </c>
      <c r="J170" s="269">
        <v>11</v>
      </c>
      <c r="K170" s="269">
        <v>400</v>
      </c>
      <c r="L170" s="269">
        <f>IF(AEL_Protection_Data[[#This Row],[ID]]=A169,MIN(AEL_Protection_Data[[#This Row],[Pickup (A)]],K169),IF(AEL_Protection_Data[[#This Row],[ID]]=A171,MIN(AEL_Protection_Data[[#This Row],[Pickup (A)]],K171),AEL_Protection_Data[[#This Row],[Pickup (A)]]))</f>
        <v>400</v>
      </c>
    </row>
    <row r="171" spans="1:12" x14ac:dyDescent="0.25">
      <c r="A171" s="336" t="str">
        <f>AEL_Protection_Data[[#This Row],[Zone Sub]]&amp;"-"&amp;AEL_Protection_Data[[#This Row],[CB ID]]</f>
        <v>GRM-CB18</v>
      </c>
      <c r="B171" s="335" t="s">
        <v>161</v>
      </c>
      <c r="C171" s="334" t="s">
        <v>1647</v>
      </c>
      <c r="D171" s="334" t="s">
        <v>75</v>
      </c>
      <c r="E171" s="334" t="s">
        <v>1532</v>
      </c>
      <c r="F171" s="336" t="s">
        <v>1772</v>
      </c>
      <c r="G171" s="334" t="s">
        <v>1773</v>
      </c>
      <c r="H171" s="334" t="s">
        <v>1331</v>
      </c>
      <c r="I171" s="336" t="s">
        <v>1686</v>
      </c>
      <c r="J171" s="269">
        <v>11</v>
      </c>
      <c r="K171" s="269">
        <v>400</v>
      </c>
      <c r="L171" s="269">
        <f>IF(AEL_Protection_Data[[#This Row],[ID]]=A170,MIN(AEL_Protection_Data[[#This Row],[Pickup (A)]],K170),IF(AEL_Protection_Data[[#This Row],[ID]]=A172,MIN(AEL_Protection_Data[[#This Row],[Pickup (A)]],K172),AEL_Protection_Data[[#This Row],[Pickup (A)]]))</f>
        <v>400</v>
      </c>
    </row>
    <row r="172" spans="1:12" x14ac:dyDescent="0.25">
      <c r="A172" s="336" t="str">
        <f>AEL_Protection_Data[[#This Row],[Zone Sub]]&amp;"-"&amp;AEL_Protection_Data[[#This Row],[CB ID]]</f>
        <v>GRM-CB19</v>
      </c>
      <c r="B172" s="335" t="s">
        <v>161</v>
      </c>
      <c r="C172" s="334" t="s">
        <v>1647</v>
      </c>
      <c r="D172" s="334" t="s">
        <v>75</v>
      </c>
      <c r="E172" s="334" t="s">
        <v>1532</v>
      </c>
      <c r="F172" s="336" t="s">
        <v>1774</v>
      </c>
      <c r="G172" s="334" t="s">
        <v>1696</v>
      </c>
      <c r="H172" s="334" t="s">
        <v>2087</v>
      </c>
      <c r="I172" s="336" t="s">
        <v>1539</v>
      </c>
      <c r="J172" s="269">
        <v>11</v>
      </c>
      <c r="K172" s="269">
        <v>600</v>
      </c>
      <c r="L172" s="269">
        <f>IF(AEL_Protection_Data[[#This Row],[ID]]=A171,MIN(AEL_Protection_Data[[#This Row],[Pickup (A)]],K171),IF(AEL_Protection_Data[[#This Row],[ID]]=A173,MIN(AEL_Protection_Data[[#This Row],[Pickup (A)]],K173),AEL_Protection_Data[[#This Row],[Pickup (A)]]))</f>
        <v>600</v>
      </c>
    </row>
    <row r="173" spans="1:12" x14ac:dyDescent="0.25">
      <c r="A173" s="336" t="str">
        <f>AEL_Protection_Data[[#This Row],[Zone Sub]]&amp;"-"&amp;AEL_Protection_Data[[#This Row],[CB ID]]</f>
        <v>GRM-CB19</v>
      </c>
      <c r="B173" s="335" t="s">
        <v>161</v>
      </c>
      <c r="C173" s="334" t="s">
        <v>1647</v>
      </c>
      <c r="D173" s="334" t="s">
        <v>75</v>
      </c>
      <c r="E173" s="334" t="s">
        <v>1532</v>
      </c>
      <c r="F173" s="336" t="s">
        <v>1774</v>
      </c>
      <c r="G173" s="334" t="s">
        <v>1696</v>
      </c>
      <c r="H173" s="334" t="s">
        <v>2087</v>
      </c>
      <c r="I173" s="336" t="s">
        <v>1686</v>
      </c>
      <c r="J173" s="269">
        <v>11</v>
      </c>
      <c r="K173" s="269">
        <v>600</v>
      </c>
      <c r="L173" s="269">
        <f>IF(AEL_Protection_Data[[#This Row],[ID]]=A172,MIN(AEL_Protection_Data[[#This Row],[Pickup (A)]],K172),IF(AEL_Protection_Data[[#This Row],[ID]]=A174,MIN(AEL_Protection_Data[[#This Row],[Pickup (A)]],K174),AEL_Protection_Data[[#This Row],[Pickup (A)]]))</f>
        <v>600</v>
      </c>
    </row>
    <row r="174" spans="1:12" x14ac:dyDescent="0.25">
      <c r="A174" s="336" t="str">
        <f>AEL_Protection_Data[[#This Row],[Zone Sub]]&amp;"-"&amp;AEL_Protection_Data[[#This Row],[CB ID]]</f>
        <v>GRM-CB20</v>
      </c>
      <c r="B174" s="335" t="s">
        <v>161</v>
      </c>
      <c r="C174" s="334" t="s">
        <v>1647</v>
      </c>
      <c r="D174" s="334" t="s">
        <v>75</v>
      </c>
      <c r="E174" s="334" t="s">
        <v>1532</v>
      </c>
      <c r="F174" s="336" t="s">
        <v>1775</v>
      </c>
      <c r="G174" s="334" t="s">
        <v>1776</v>
      </c>
      <c r="H174" s="334" t="s">
        <v>2088</v>
      </c>
      <c r="I174" s="336" t="s">
        <v>1539</v>
      </c>
      <c r="J174" s="269">
        <v>11</v>
      </c>
      <c r="K174" s="269">
        <v>304</v>
      </c>
      <c r="L174" s="269">
        <f>IF(AEL_Protection_Data[[#This Row],[ID]]=A173,MIN(AEL_Protection_Data[[#This Row],[Pickup (A)]],K173),IF(AEL_Protection_Data[[#This Row],[ID]]=A175,MIN(AEL_Protection_Data[[#This Row],[Pickup (A)]],K175),AEL_Protection_Data[[#This Row],[Pickup (A)]]))</f>
        <v>304</v>
      </c>
    </row>
    <row r="175" spans="1:12" x14ac:dyDescent="0.25">
      <c r="A175" s="336" t="str">
        <f>AEL_Protection_Data[[#This Row],[Zone Sub]]&amp;"-"&amp;AEL_Protection_Data[[#This Row],[CB ID]]</f>
        <v>GRM-CB20</v>
      </c>
      <c r="B175" s="335" t="s">
        <v>161</v>
      </c>
      <c r="C175" s="334" t="s">
        <v>1647</v>
      </c>
      <c r="D175" s="334" t="s">
        <v>75</v>
      </c>
      <c r="E175" s="334" t="s">
        <v>1532</v>
      </c>
      <c r="F175" s="336" t="s">
        <v>1775</v>
      </c>
      <c r="G175" s="334" t="s">
        <v>1776</v>
      </c>
      <c r="H175" s="334" t="s">
        <v>2088</v>
      </c>
      <c r="I175" s="336" t="s">
        <v>1657</v>
      </c>
      <c r="J175" s="269">
        <v>11</v>
      </c>
      <c r="K175" s="269">
        <v>320</v>
      </c>
      <c r="L175" s="269">
        <f>IF(AEL_Protection_Data[[#This Row],[ID]]=A174,MIN(AEL_Protection_Data[[#This Row],[Pickup (A)]],K174),IF(AEL_Protection_Data[[#This Row],[ID]]=A176,MIN(AEL_Protection_Data[[#This Row],[Pickup (A)]],K176),AEL_Protection_Data[[#This Row],[Pickup (A)]]))</f>
        <v>304</v>
      </c>
    </row>
    <row r="176" spans="1:12" x14ac:dyDescent="0.25">
      <c r="A176" s="336" t="str">
        <f>AEL_Protection_Data[[#This Row],[Zone Sub]]&amp;"-"&amp;AEL_Protection_Data[[#This Row],[CB ID]]</f>
        <v>HNT-CB1</v>
      </c>
      <c r="B176" s="335" t="s">
        <v>204</v>
      </c>
      <c r="C176" s="334" t="s">
        <v>1647</v>
      </c>
      <c r="D176" s="334" t="s">
        <v>75</v>
      </c>
      <c r="E176" s="334" t="s">
        <v>1532</v>
      </c>
      <c r="F176" s="336" t="s">
        <v>502</v>
      </c>
      <c r="G176" s="334" t="s">
        <v>1777</v>
      </c>
      <c r="H176" s="334" t="s">
        <v>2089</v>
      </c>
      <c r="I176" s="336" t="s">
        <v>1539</v>
      </c>
      <c r="J176" s="269">
        <v>11</v>
      </c>
      <c r="K176" s="269">
        <v>200</v>
      </c>
      <c r="L176" s="269">
        <f>IF(AEL_Protection_Data[[#This Row],[ID]]=A175,MIN(AEL_Protection_Data[[#This Row],[Pickup (A)]],K175),IF(AEL_Protection_Data[[#This Row],[ID]]=A177,MIN(AEL_Protection_Data[[#This Row],[Pickup (A)]],K177),AEL_Protection_Data[[#This Row],[Pickup (A)]]))</f>
        <v>200</v>
      </c>
    </row>
    <row r="177" spans="1:12" x14ac:dyDescent="0.25">
      <c r="A177" s="336" t="str">
        <f>AEL_Protection_Data[[#This Row],[Zone Sub]]&amp;"-"&amp;AEL_Protection_Data[[#This Row],[CB ID]]</f>
        <v>HNT-CB1</v>
      </c>
      <c r="B177" s="335" t="s">
        <v>204</v>
      </c>
      <c r="C177" s="334" t="s">
        <v>1647</v>
      </c>
      <c r="D177" s="334" t="s">
        <v>75</v>
      </c>
      <c r="E177" s="334" t="s">
        <v>1532</v>
      </c>
      <c r="F177" s="336" t="s">
        <v>502</v>
      </c>
      <c r="G177" s="334" t="s">
        <v>1777</v>
      </c>
      <c r="H177" s="334" t="s">
        <v>2089</v>
      </c>
      <c r="I177" s="336" t="s">
        <v>1657</v>
      </c>
      <c r="J177" s="269">
        <v>11</v>
      </c>
      <c r="K177" s="269">
        <v>240</v>
      </c>
      <c r="L177" s="269">
        <f>IF(AEL_Protection_Data[[#This Row],[ID]]=A176,MIN(AEL_Protection_Data[[#This Row],[Pickup (A)]],K176),IF(AEL_Protection_Data[[#This Row],[ID]]=A178,MIN(AEL_Protection_Data[[#This Row],[Pickup (A)]],K178),AEL_Protection_Data[[#This Row],[Pickup (A)]]))</f>
        <v>200</v>
      </c>
    </row>
    <row r="178" spans="1:12" x14ac:dyDescent="0.25">
      <c r="A178" s="336" t="str">
        <f>AEL_Protection_Data[[#This Row],[Zone Sub]]&amp;"-"&amp;AEL_Protection_Data[[#This Row],[CB ID]]</f>
        <v>HNT-CB2</v>
      </c>
      <c r="B178" s="335" t="s">
        <v>204</v>
      </c>
      <c r="C178" s="334" t="s">
        <v>1647</v>
      </c>
      <c r="D178" s="334" t="s">
        <v>75</v>
      </c>
      <c r="E178" s="334" t="s">
        <v>1532</v>
      </c>
      <c r="F178" s="336" t="s">
        <v>507</v>
      </c>
      <c r="G178" s="334" t="s">
        <v>1778</v>
      </c>
      <c r="H178" s="334" t="s">
        <v>210</v>
      </c>
      <c r="I178" s="336" t="s">
        <v>1539</v>
      </c>
      <c r="J178" s="269">
        <v>11</v>
      </c>
      <c r="K178" s="269">
        <v>200</v>
      </c>
      <c r="L178" s="269">
        <f>IF(AEL_Protection_Data[[#This Row],[ID]]=A177,MIN(AEL_Protection_Data[[#This Row],[Pickup (A)]],K177),IF(AEL_Protection_Data[[#This Row],[ID]]=A179,MIN(AEL_Protection_Data[[#This Row],[Pickup (A)]],K179),AEL_Protection_Data[[#This Row],[Pickup (A)]]))</f>
        <v>200</v>
      </c>
    </row>
    <row r="179" spans="1:12" x14ac:dyDescent="0.25">
      <c r="A179" s="336" t="str">
        <f>AEL_Protection_Data[[#This Row],[Zone Sub]]&amp;"-"&amp;AEL_Protection_Data[[#This Row],[CB ID]]</f>
        <v>HNT-CB2</v>
      </c>
      <c r="B179" s="335" t="s">
        <v>204</v>
      </c>
      <c r="C179" s="334" t="s">
        <v>1647</v>
      </c>
      <c r="D179" s="334" t="s">
        <v>75</v>
      </c>
      <c r="E179" s="334" t="s">
        <v>1532</v>
      </c>
      <c r="F179" s="336" t="s">
        <v>507</v>
      </c>
      <c r="G179" s="334" t="s">
        <v>1778</v>
      </c>
      <c r="H179" s="334" t="s">
        <v>210</v>
      </c>
      <c r="I179" s="336" t="s">
        <v>1657</v>
      </c>
      <c r="J179" s="269">
        <v>11</v>
      </c>
      <c r="K179" s="269">
        <v>240</v>
      </c>
      <c r="L179" s="269">
        <f>IF(AEL_Protection_Data[[#This Row],[ID]]=A178,MIN(AEL_Protection_Data[[#This Row],[Pickup (A)]],K178),IF(AEL_Protection_Data[[#This Row],[ID]]=A180,MIN(AEL_Protection_Data[[#This Row],[Pickup (A)]],K180),AEL_Protection_Data[[#This Row],[Pickup (A)]]))</f>
        <v>200</v>
      </c>
    </row>
    <row r="180" spans="1:12" x14ac:dyDescent="0.25">
      <c r="A180" s="336" t="str">
        <f>AEL_Protection_Data[[#This Row],[Zone Sub]]&amp;"-"&amp;AEL_Protection_Data[[#This Row],[CB ID]]</f>
        <v>HNT-CB3</v>
      </c>
      <c r="B180" s="335" t="s">
        <v>204</v>
      </c>
      <c r="C180" s="334" t="s">
        <v>1647</v>
      </c>
      <c r="D180" s="334" t="s">
        <v>75</v>
      </c>
      <c r="E180" s="334" t="s">
        <v>1532</v>
      </c>
      <c r="F180" s="336" t="s">
        <v>511</v>
      </c>
      <c r="G180" s="334" t="s">
        <v>1758</v>
      </c>
      <c r="H180" s="334" t="s">
        <v>2090</v>
      </c>
      <c r="I180" s="336" t="s">
        <v>1539</v>
      </c>
      <c r="J180" s="269">
        <v>11</v>
      </c>
      <c r="K180" s="269">
        <v>400</v>
      </c>
      <c r="L180" s="269">
        <f>IF(AEL_Protection_Data[[#This Row],[ID]]=A179,MIN(AEL_Protection_Data[[#This Row],[Pickup (A)]],K179),IF(AEL_Protection_Data[[#This Row],[ID]]=A181,MIN(AEL_Protection_Data[[#This Row],[Pickup (A)]],K181),AEL_Protection_Data[[#This Row],[Pickup (A)]]))</f>
        <v>400</v>
      </c>
    </row>
    <row r="181" spans="1:12" x14ac:dyDescent="0.25">
      <c r="A181" s="336" t="str">
        <f>AEL_Protection_Data[[#This Row],[Zone Sub]]&amp;"-"&amp;AEL_Protection_Data[[#This Row],[CB ID]]</f>
        <v>HNT-CB3</v>
      </c>
      <c r="B181" s="335" t="s">
        <v>204</v>
      </c>
      <c r="C181" s="334" t="s">
        <v>1647</v>
      </c>
      <c r="D181" s="334" t="s">
        <v>75</v>
      </c>
      <c r="E181" s="334" t="s">
        <v>1532</v>
      </c>
      <c r="F181" s="336" t="s">
        <v>511</v>
      </c>
      <c r="G181" s="334" t="s">
        <v>1758</v>
      </c>
      <c r="H181" s="334" t="s">
        <v>2090</v>
      </c>
      <c r="I181" s="336" t="s">
        <v>1686</v>
      </c>
      <c r="J181" s="269">
        <v>11</v>
      </c>
      <c r="K181" s="269">
        <v>400</v>
      </c>
      <c r="L181" s="269">
        <f>IF(AEL_Protection_Data[[#This Row],[ID]]=A180,MIN(AEL_Protection_Data[[#This Row],[Pickup (A)]],K180),IF(AEL_Protection_Data[[#This Row],[ID]]=A182,MIN(AEL_Protection_Data[[#This Row],[Pickup (A)]],K182),AEL_Protection_Data[[#This Row],[Pickup (A)]]))</f>
        <v>400</v>
      </c>
    </row>
    <row r="182" spans="1:12" x14ac:dyDescent="0.25">
      <c r="A182" s="336" t="str">
        <f>AEL_Protection_Data[[#This Row],[Zone Sub]]&amp;"-"&amp;AEL_Protection_Data[[#This Row],[CB ID]]</f>
        <v>HNT-CB4</v>
      </c>
      <c r="B182" s="335" t="s">
        <v>204</v>
      </c>
      <c r="C182" s="334" t="s">
        <v>1647</v>
      </c>
      <c r="D182" s="334" t="s">
        <v>75</v>
      </c>
      <c r="E182" s="334" t="s">
        <v>1532</v>
      </c>
      <c r="F182" s="336" t="s">
        <v>498</v>
      </c>
      <c r="G182" s="334" t="s">
        <v>1779</v>
      </c>
      <c r="H182" s="334" t="s">
        <v>213</v>
      </c>
      <c r="I182" s="336" t="s">
        <v>1539</v>
      </c>
      <c r="J182" s="269">
        <v>11</v>
      </c>
      <c r="K182" s="269">
        <v>200</v>
      </c>
      <c r="L182" s="269">
        <f>IF(AEL_Protection_Data[[#This Row],[ID]]=A181,MIN(AEL_Protection_Data[[#This Row],[Pickup (A)]],K181),IF(AEL_Protection_Data[[#This Row],[ID]]=A183,MIN(AEL_Protection_Data[[#This Row],[Pickup (A)]],K183),AEL_Protection_Data[[#This Row],[Pickup (A)]]))</f>
        <v>200</v>
      </c>
    </row>
    <row r="183" spans="1:12" x14ac:dyDescent="0.25">
      <c r="A183" s="336" t="str">
        <f>AEL_Protection_Data[[#This Row],[Zone Sub]]&amp;"-"&amp;AEL_Protection_Data[[#This Row],[CB ID]]</f>
        <v>HNT-CB4</v>
      </c>
      <c r="B183" s="335" t="s">
        <v>204</v>
      </c>
      <c r="C183" s="334" t="s">
        <v>1647</v>
      </c>
      <c r="D183" s="334" t="s">
        <v>75</v>
      </c>
      <c r="E183" s="334" t="s">
        <v>1532</v>
      </c>
      <c r="F183" s="336" t="s">
        <v>498</v>
      </c>
      <c r="G183" s="334" t="s">
        <v>1779</v>
      </c>
      <c r="H183" s="334" t="s">
        <v>213</v>
      </c>
      <c r="I183" s="336" t="s">
        <v>1657</v>
      </c>
      <c r="J183" s="269">
        <v>11</v>
      </c>
      <c r="K183" s="269">
        <v>240</v>
      </c>
      <c r="L183" s="269">
        <f>IF(AEL_Protection_Data[[#This Row],[ID]]=A182,MIN(AEL_Protection_Data[[#This Row],[Pickup (A)]],K182),IF(AEL_Protection_Data[[#This Row],[ID]]=A184,MIN(AEL_Protection_Data[[#This Row],[Pickup (A)]],K184),AEL_Protection_Data[[#This Row],[Pickup (A)]]))</f>
        <v>200</v>
      </c>
    </row>
    <row r="184" spans="1:12" x14ac:dyDescent="0.25">
      <c r="A184" s="336" t="str">
        <f>AEL_Protection_Data[[#This Row],[Zone Sub]]&amp;"-"&amp;AEL_Protection_Data[[#This Row],[CB ID]]</f>
        <v>HNT-CB5</v>
      </c>
      <c r="B184" s="335" t="s">
        <v>204</v>
      </c>
      <c r="C184" s="334" t="s">
        <v>1647</v>
      </c>
      <c r="D184" s="334" t="s">
        <v>75</v>
      </c>
      <c r="E184" s="334" t="s">
        <v>1532</v>
      </c>
      <c r="F184" s="336" t="s">
        <v>592</v>
      </c>
      <c r="G184" s="334" t="s">
        <v>1780</v>
      </c>
      <c r="H184" s="334" t="s">
        <v>216</v>
      </c>
      <c r="I184" s="336" t="s">
        <v>1539</v>
      </c>
      <c r="J184" s="269">
        <v>11</v>
      </c>
      <c r="K184" s="269">
        <v>200</v>
      </c>
      <c r="L184" s="269">
        <f>IF(AEL_Protection_Data[[#This Row],[ID]]=A183,MIN(AEL_Protection_Data[[#This Row],[Pickup (A)]],K183),IF(AEL_Protection_Data[[#This Row],[ID]]=A185,MIN(AEL_Protection_Data[[#This Row],[Pickup (A)]],K185),AEL_Protection_Data[[#This Row],[Pickup (A)]]))</f>
        <v>200</v>
      </c>
    </row>
    <row r="185" spans="1:12" x14ac:dyDescent="0.25">
      <c r="A185" s="336" t="str">
        <f>AEL_Protection_Data[[#This Row],[Zone Sub]]&amp;"-"&amp;AEL_Protection_Data[[#This Row],[CB ID]]</f>
        <v>HNT-CB5</v>
      </c>
      <c r="B185" s="335" t="s">
        <v>204</v>
      </c>
      <c r="C185" s="334" t="s">
        <v>1647</v>
      </c>
      <c r="D185" s="334" t="s">
        <v>75</v>
      </c>
      <c r="E185" s="334" t="s">
        <v>1532</v>
      </c>
      <c r="F185" s="336" t="s">
        <v>592</v>
      </c>
      <c r="G185" s="334" t="s">
        <v>1780</v>
      </c>
      <c r="H185" s="334" t="s">
        <v>216</v>
      </c>
      <c r="I185" s="336" t="s">
        <v>1657</v>
      </c>
      <c r="J185" s="269">
        <v>11</v>
      </c>
      <c r="K185" s="269">
        <v>240</v>
      </c>
      <c r="L185" s="269">
        <f>IF(AEL_Protection_Data[[#This Row],[ID]]=A184,MIN(AEL_Protection_Data[[#This Row],[Pickup (A)]],K184),IF(AEL_Protection_Data[[#This Row],[ID]]=A186,MIN(AEL_Protection_Data[[#This Row],[Pickup (A)]],K186),AEL_Protection_Data[[#This Row],[Pickup (A)]]))</f>
        <v>200</v>
      </c>
    </row>
    <row r="186" spans="1:12" x14ac:dyDescent="0.25">
      <c r="A186" s="336" t="str">
        <f>AEL_Protection_Data[[#This Row],[Zone Sub]]&amp;"-"&amp;AEL_Protection_Data[[#This Row],[CB ID]]</f>
        <v>HNT-CB6</v>
      </c>
      <c r="B186" s="335" t="s">
        <v>204</v>
      </c>
      <c r="C186" s="334" t="s">
        <v>1647</v>
      </c>
      <c r="D186" s="334" t="s">
        <v>75</v>
      </c>
      <c r="E186" s="334" t="s">
        <v>1532</v>
      </c>
      <c r="F186" s="336" t="s">
        <v>500</v>
      </c>
      <c r="G186" s="334" t="s">
        <v>1781</v>
      </c>
      <c r="H186" s="334" t="s">
        <v>1332</v>
      </c>
      <c r="I186" s="336" t="s">
        <v>1539</v>
      </c>
      <c r="J186" s="269">
        <v>11</v>
      </c>
      <c r="K186" s="269">
        <v>400</v>
      </c>
      <c r="L186" s="269">
        <f>IF(AEL_Protection_Data[[#This Row],[ID]]=A185,MIN(AEL_Protection_Data[[#This Row],[Pickup (A)]],K185),IF(AEL_Protection_Data[[#This Row],[ID]]=A187,MIN(AEL_Protection_Data[[#This Row],[Pickup (A)]],K187),AEL_Protection_Data[[#This Row],[Pickup (A)]]))</f>
        <v>400</v>
      </c>
    </row>
    <row r="187" spans="1:12" x14ac:dyDescent="0.25">
      <c r="A187" s="336" t="str">
        <f>AEL_Protection_Data[[#This Row],[Zone Sub]]&amp;"-"&amp;AEL_Protection_Data[[#This Row],[CB ID]]</f>
        <v>HNT-CB6</v>
      </c>
      <c r="B187" s="335" t="s">
        <v>204</v>
      </c>
      <c r="C187" s="334" t="s">
        <v>1647</v>
      </c>
      <c r="D187" s="334" t="s">
        <v>75</v>
      </c>
      <c r="E187" s="334" t="s">
        <v>1532</v>
      </c>
      <c r="F187" s="336" t="s">
        <v>500</v>
      </c>
      <c r="G187" s="334" t="s">
        <v>1781</v>
      </c>
      <c r="H187" s="334" t="s">
        <v>1332</v>
      </c>
      <c r="I187" s="336" t="s">
        <v>1686</v>
      </c>
      <c r="J187" s="269">
        <v>11</v>
      </c>
      <c r="K187" s="269">
        <v>400</v>
      </c>
      <c r="L187" s="269">
        <f>IF(AEL_Protection_Data[[#This Row],[ID]]=A186,MIN(AEL_Protection_Data[[#This Row],[Pickup (A)]],K186),IF(AEL_Protection_Data[[#This Row],[ID]]=A188,MIN(AEL_Protection_Data[[#This Row],[Pickup (A)]],K188),AEL_Protection_Data[[#This Row],[Pickup (A)]]))</f>
        <v>400</v>
      </c>
    </row>
    <row r="188" spans="1:12" x14ac:dyDescent="0.25">
      <c r="A188" s="336" t="str">
        <f>AEL_Protection_Data[[#This Row],[Zone Sub]]&amp;"-"&amp;AEL_Protection_Data[[#This Row],[CB ID]]</f>
        <v>HNT-CB7</v>
      </c>
      <c r="B188" s="335" t="s">
        <v>204</v>
      </c>
      <c r="C188" s="334" t="s">
        <v>1647</v>
      </c>
      <c r="D188" s="334" t="s">
        <v>75</v>
      </c>
      <c r="E188" s="334" t="s">
        <v>1532</v>
      </c>
      <c r="F188" s="336" t="s">
        <v>512</v>
      </c>
      <c r="G188" s="334" t="s">
        <v>1782</v>
      </c>
      <c r="H188" s="334" t="s">
        <v>2091</v>
      </c>
      <c r="I188" s="336" t="s">
        <v>1539</v>
      </c>
      <c r="J188" s="269">
        <v>11</v>
      </c>
      <c r="K188" s="269">
        <v>200</v>
      </c>
      <c r="L188" s="269">
        <f>IF(AEL_Protection_Data[[#This Row],[ID]]=A187,MIN(AEL_Protection_Data[[#This Row],[Pickup (A)]],K187),IF(AEL_Protection_Data[[#This Row],[ID]]=A189,MIN(AEL_Protection_Data[[#This Row],[Pickup (A)]],K189),AEL_Protection_Data[[#This Row],[Pickup (A)]]))</f>
        <v>200</v>
      </c>
    </row>
    <row r="189" spans="1:12" x14ac:dyDescent="0.25">
      <c r="A189" s="336" t="str">
        <f>AEL_Protection_Data[[#This Row],[Zone Sub]]&amp;"-"&amp;AEL_Protection_Data[[#This Row],[CB ID]]</f>
        <v>HNT-CB7</v>
      </c>
      <c r="B189" s="335" t="s">
        <v>204</v>
      </c>
      <c r="C189" s="334" t="s">
        <v>1647</v>
      </c>
      <c r="D189" s="334" t="s">
        <v>75</v>
      </c>
      <c r="E189" s="334" t="s">
        <v>1532</v>
      </c>
      <c r="F189" s="336" t="s">
        <v>512</v>
      </c>
      <c r="G189" s="334" t="s">
        <v>1782</v>
      </c>
      <c r="H189" s="334" t="s">
        <v>2091</v>
      </c>
      <c r="I189" s="336" t="s">
        <v>1657</v>
      </c>
      <c r="J189" s="269">
        <v>11</v>
      </c>
      <c r="K189" s="269">
        <v>240</v>
      </c>
      <c r="L189" s="269">
        <f>IF(AEL_Protection_Data[[#This Row],[ID]]=A188,MIN(AEL_Protection_Data[[#This Row],[Pickup (A)]],K188),IF(AEL_Protection_Data[[#This Row],[ID]]=A190,MIN(AEL_Protection_Data[[#This Row],[Pickup (A)]],K190),AEL_Protection_Data[[#This Row],[Pickup (A)]]))</f>
        <v>200</v>
      </c>
    </row>
    <row r="190" spans="1:12" x14ac:dyDescent="0.25">
      <c r="A190" s="336" t="str">
        <f>AEL_Protection_Data[[#This Row],[Zone Sub]]&amp;"-"&amp;AEL_Protection_Data[[#This Row],[CB ID]]</f>
        <v>HNT-CB8</v>
      </c>
      <c r="B190" s="335" t="s">
        <v>204</v>
      </c>
      <c r="C190" s="334" t="s">
        <v>1647</v>
      </c>
      <c r="D190" s="334" t="s">
        <v>75</v>
      </c>
      <c r="E190" s="334" t="s">
        <v>1532</v>
      </c>
      <c r="F190" s="336" t="s">
        <v>522</v>
      </c>
      <c r="G190" s="334" t="s">
        <v>1783</v>
      </c>
      <c r="H190" s="334" t="s">
        <v>2092</v>
      </c>
      <c r="I190" s="336" t="s">
        <v>1539</v>
      </c>
      <c r="J190" s="269">
        <v>11</v>
      </c>
      <c r="K190" s="269">
        <v>200</v>
      </c>
      <c r="L190" s="269">
        <f>IF(AEL_Protection_Data[[#This Row],[ID]]=A189,MIN(AEL_Protection_Data[[#This Row],[Pickup (A)]],K189),IF(AEL_Protection_Data[[#This Row],[ID]]=A191,MIN(AEL_Protection_Data[[#This Row],[Pickup (A)]],K191),AEL_Protection_Data[[#This Row],[Pickup (A)]]))</f>
        <v>200</v>
      </c>
    </row>
    <row r="191" spans="1:12" x14ac:dyDescent="0.25">
      <c r="A191" s="336" t="str">
        <f>AEL_Protection_Data[[#This Row],[Zone Sub]]&amp;"-"&amp;AEL_Protection_Data[[#This Row],[CB ID]]</f>
        <v>HNT-CB8</v>
      </c>
      <c r="B191" s="335" t="s">
        <v>204</v>
      </c>
      <c r="C191" s="334" t="s">
        <v>1647</v>
      </c>
      <c r="D191" s="334" t="s">
        <v>75</v>
      </c>
      <c r="E191" s="334" t="s">
        <v>1532</v>
      </c>
      <c r="F191" s="336" t="s">
        <v>522</v>
      </c>
      <c r="G191" s="334" t="s">
        <v>1783</v>
      </c>
      <c r="H191" s="334" t="s">
        <v>2092</v>
      </c>
      <c r="I191" s="336" t="s">
        <v>1657</v>
      </c>
      <c r="J191" s="269">
        <v>11</v>
      </c>
      <c r="K191" s="269">
        <v>240</v>
      </c>
      <c r="L191" s="269">
        <f>IF(AEL_Protection_Data[[#This Row],[ID]]=A190,MIN(AEL_Protection_Data[[#This Row],[Pickup (A)]],K190),IF(AEL_Protection_Data[[#This Row],[ID]]=A192,MIN(AEL_Protection_Data[[#This Row],[Pickup (A)]],K192),AEL_Protection_Data[[#This Row],[Pickup (A)]]))</f>
        <v>200</v>
      </c>
    </row>
    <row r="192" spans="1:12" x14ac:dyDescent="0.25">
      <c r="A192" s="336" t="str">
        <f>AEL_Protection_Data[[#This Row],[Zone Sub]]&amp;"-"&amp;AEL_Protection_Data[[#This Row],[CB ID]]</f>
        <v>HNT-CB10</v>
      </c>
      <c r="B192" s="335" t="s">
        <v>204</v>
      </c>
      <c r="C192" s="334" t="s">
        <v>1647</v>
      </c>
      <c r="D192" s="334" t="s">
        <v>75</v>
      </c>
      <c r="E192" s="334" t="s">
        <v>1532</v>
      </c>
      <c r="F192" s="336" t="s">
        <v>1763</v>
      </c>
      <c r="G192" s="334" t="s">
        <v>1784</v>
      </c>
      <c r="H192" s="334" t="s">
        <v>219</v>
      </c>
      <c r="I192" s="336" t="s">
        <v>1539</v>
      </c>
      <c r="J192" s="269">
        <v>11</v>
      </c>
      <c r="K192" s="269">
        <v>200</v>
      </c>
      <c r="L192" s="269">
        <f>IF(AEL_Protection_Data[[#This Row],[ID]]=A191,MIN(AEL_Protection_Data[[#This Row],[Pickup (A)]],K191),IF(AEL_Protection_Data[[#This Row],[ID]]=A193,MIN(AEL_Protection_Data[[#This Row],[Pickup (A)]],K193),AEL_Protection_Data[[#This Row],[Pickup (A)]]))</f>
        <v>200</v>
      </c>
    </row>
    <row r="193" spans="1:12" x14ac:dyDescent="0.25">
      <c r="A193" s="336" t="str">
        <f>AEL_Protection_Data[[#This Row],[Zone Sub]]&amp;"-"&amp;AEL_Protection_Data[[#This Row],[CB ID]]</f>
        <v>HNT-CB10</v>
      </c>
      <c r="B193" s="335" t="s">
        <v>204</v>
      </c>
      <c r="C193" s="334" t="s">
        <v>1647</v>
      </c>
      <c r="D193" s="334" t="s">
        <v>75</v>
      </c>
      <c r="E193" s="334" t="s">
        <v>1532</v>
      </c>
      <c r="F193" s="336" t="s">
        <v>1763</v>
      </c>
      <c r="G193" s="334" t="s">
        <v>1784</v>
      </c>
      <c r="H193" s="334" t="s">
        <v>219</v>
      </c>
      <c r="I193" s="336" t="s">
        <v>1657</v>
      </c>
      <c r="J193" s="269">
        <v>11</v>
      </c>
      <c r="K193" s="269">
        <v>240</v>
      </c>
      <c r="L193" s="269">
        <f>IF(AEL_Protection_Data[[#This Row],[ID]]=A192,MIN(AEL_Protection_Data[[#This Row],[Pickup (A)]],K192),IF(AEL_Protection_Data[[#This Row],[ID]]=A194,MIN(AEL_Protection_Data[[#This Row],[Pickup (A)]],K194),AEL_Protection_Data[[#This Row],[Pickup (A)]]))</f>
        <v>200</v>
      </c>
    </row>
    <row r="194" spans="1:12" x14ac:dyDescent="0.25">
      <c r="A194" s="336" t="str">
        <f>AEL_Protection_Data[[#This Row],[Zone Sub]]&amp;"-"&amp;AEL_Protection_Data[[#This Row],[CB ID]]</f>
        <v>HNT-CB11</v>
      </c>
      <c r="B194" s="335" t="s">
        <v>204</v>
      </c>
      <c r="C194" s="334" t="s">
        <v>1647</v>
      </c>
      <c r="D194" s="334" t="s">
        <v>75</v>
      </c>
      <c r="E194" s="334" t="s">
        <v>1532</v>
      </c>
      <c r="F194" s="336" t="s">
        <v>607</v>
      </c>
      <c r="G194" s="334" t="s">
        <v>1785</v>
      </c>
      <c r="H194" s="334" t="s">
        <v>220</v>
      </c>
      <c r="I194" s="336" t="s">
        <v>1539</v>
      </c>
      <c r="J194" s="269">
        <v>11</v>
      </c>
      <c r="K194" s="269">
        <v>200</v>
      </c>
      <c r="L194" s="269">
        <f>IF(AEL_Protection_Data[[#This Row],[ID]]=A193,MIN(AEL_Protection_Data[[#This Row],[Pickup (A)]],K193),IF(AEL_Protection_Data[[#This Row],[ID]]=A195,MIN(AEL_Protection_Data[[#This Row],[Pickup (A)]],K195),AEL_Protection_Data[[#This Row],[Pickup (A)]]))</f>
        <v>200</v>
      </c>
    </row>
    <row r="195" spans="1:12" x14ac:dyDescent="0.25">
      <c r="A195" s="336" t="str">
        <f>AEL_Protection_Data[[#This Row],[Zone Sub]]&amp;"-"&amp;AEL_Protection_Data[[#This Row],[CB ID]]</f>
        <v>HNT-CB11</v>
      </c>
      <c r="B195" s="335" t="s">
        <v>204</v>
      </c>
      <c r="C195" s="334" t="s">
        <v>1647</v>
      </c>
      <c r="D195" s="334" t="s">
        <v>75</v>
      </c>
      <c r="E195" s="334" t="s">
        <v>1532</v>
      </c>
      <c r="F195" s="336" t="s">
        <v>607</v>
      </c>
      <c r="G195" s="334" t="s">
        <v>1785</v>
      </c>
      <c r="H195" s="334" t="s">
        <v>220</v>
      </c>
      <c r="I195" s="336" t="s">
        <v>1657</v>
      </c>
      <c r="J195" s="269">
        <v>11</v>
      </c>
      <c r="K195" s="269">
        <v>240</v>
      </c>
      <c r="L195" s="269">
        <f>IF(AEL_Protection_Data[[#This Row],[ID]]=A194,MIN(AEL_Protection_Data[[#This Row],[Pickup (A)]],K194),IF(AEL_Protection_Data[[#This Row],[ID]]=A196,MIN(AEL_Protection_Data[[#This Row],[Pickup (A)]],K196),AEL_Protection_Data[[#This Row],[Pickup (A)]]))</f>
        <v>200</v>
      </c>
    </row>
    <row r="196" spans="1:12" x14ac:dyDescent="0.25">
      <c r="A196" s="336" t="str">
        <f>AEL_Protection_Data[[#This Row],[Zone Sub]]&amp;"-"&amp;AEL_Protection_Data[[#This Row],[CB ID]]</f>
        <v>HNT-CB12</v>
      </c>
      <c r="B196" s="335" t="s">
        <v>204</v>
      </c>
      <c r="C196" s="334" t="s">
        <v>1647</v>
      </c>
      <c r="D196" s="334" t="s">
        <v>75</v>
      </c>
      <c r="E196" s="334" t="s">
        <v>1532</v>
      </c>
      <c r="F196" s="336" t="s">
        <v>610</v>
      </c>
      <c r="G196" s="334" t="s">
        <v>1766</v>
      </c>
      <c r="H196" s="334" t="s">
        <v>2093</v>
      </c>
      <c r="I196" s="336" t="s">
        <v>1539</v>
      </c>
      <c r="J196" s="269">
        <v>11</v>
      </c>
      <c r="K196" s="269">
        <v>400</v>
      </c>
      <c r="L196" s="269">
        <f>IF(AEL_Protection_Data[[#This Row],[ID]]=A195,MIN(AEL_Protection_Data[[#This Row],[Pickup (A)]],K195),IF(AEL_Protection_Data[[#This Row],[ID]]=A197,MIN(AEL_Protection_Data[[#This Row],[Pickup (A)]],K197),AEL_Protection_Data[[#This Row],[Pickup (A)]]))</f>
        <v>400</v>
      </c>
    </row>
    <row r="197" spans="1:12" x14ac:dyDescent="0.25">
      <c r="A197" s="336" t="str">
        <f>AEL_Protection_Data[[#This Row],[Zone Sub]]&amp;"-"&amp;AEL_Protection_Data[[#This Row],[CB ID]]</f>
        <v>HNT-CB12</v>
      </c>
      <c r="B197" s="335" t="s">
        <v>204</v>
      </c>
      <c r="C197" s="334" t="s">
        <v>1647</v>
      </c>
      <c r="D197" s="334" t="s">
        <v>75</v>
      </c>
      <c r="E197" s="334" t="s">
        <v>1532</v>
      </c>
      <c r="F197" s="336" t="s">
        <v>610</v>
      </c>
      <c r="G197" s="334" t="s">
        <v>1766</v>
      </c>
      <c r="H197" s="334" t="s">
        <v>2093</v>
      </c>
      <c r="I197" s="336" t="s">
        <v>1686</v>
      </c>
      <c r="J197" s="269">
        <v>11</v>
      </c>
      <c r="K197" s="269">
        <v>400</v>
      </c>
      <c r="L197" s="269">
        <f>IF(AEL_Protection_Data[[#This Row],[ID]]=A196,MIN(AEL_Protection_Data[[#This Row],[Pickup (A)]],K196),IF(AEL_Protection_Data[[#This Row],[ID]]=A198,MIN(AEL_Protection_Data[[#This Row],[Pickup (A)]],K198),AEL_Protection_Data[[#This Row],[Pickup (A)]]))</f>
        <v>400</v>
      </c>
    </row>
    <row r="198" spans="1:12" x14ac:dyDescent="0.25">
      <c r="A198" s="336" t="str">
        <f>AEL_Protection_Data[[#This Row],[Zone Sub]]&amp;"-"&amp;AEL_Protection_Data[[#This Row],[CB ID]]</f>
        <v>HNT-CB13</v>
      </c>
      <c r="B198" s="335" t="s">
        <v>204</v>
      </c>
      <c r="C198" s="334" t="s">
        <v>1647</v>
      </c>
      <c r="D198" s="334" t="s">
        <v>75</v>
      </c>
      <c r="E198" s="334" t="s">
        <v>1532</v>
      </c>
      <c r="F198" s="336" t="s">
        <v>611</v>
      </c>
      <c r="G198" s="334" t="s">
        <v>1786</v>
      </c>
      <c r="H198" s="334" t="s">
        <v>2094</v>
      </c>
      <c r="I198" s="336" t="s">
        <v>1539</v>
      </c>
      <c r="J198" s="269">
        <v>11</v>
      </c>
      <c r="K198" s="269">
        <v>200</v>
      </c>
      <c r="L198" s="269">
        <f>IF(AEL_Protection_Data[[#This Row],[ID]]=A197,MIN(AEL_Protection_Data[[#This Row],[Pickup (A)]],K197),IF(AEL_Protection_Data[[#This Row],[ID]]=A199,MIN(AEL_Protection_Data[[#This Row],[Pickup (A)]],K199),AEL_Protection_Data[[#This Row],[Pickup (A)]]))</f>
        <v>200</v>
      </c>
    </row>
    <row r="199" spans="1:12" x14ac:dyDescent="0.25">
      <c r="A199" s="336" t="str">
        <f>AEL_Protection_Data[[#This Row],[Zone Sub]]&amp;"-"&amp;AEL_Protection_Data[[#This Row],[CB ID]]</f>
        <v>HNT-CB13</v>
      </c>
      <c r="B199" s="335" t="s">
        <v>204</v>
      </c>
      <c r="C199" s="334" t="s">
        <v>1647</v>
      </c>
      <c r="D199" s="334" t="s">
        <v>75</v>
      </c>
      <c r="E199" s="334" t="s">
        <v>1532</v>
      </c>
      <c r="F199" s="336" t="s">
        <v>611</v>
      </c>
      <c r="G199" s="334" t="s">
        <v>1786</v>
      </c>
      <c r="H199" s="334" t="s">
        <v>2094</v>
      </c>
      <c r="I199" s="336" t="s">
        <v>1657</v>
      </c>
      <c r="J199" s="269">
        <v>11</v>
      </c>
      <c r="K199" s="269">
        <v>240</v>
      </c>
      <c r="L199" s="269">
        <f>IF(AEL_Protection_Data[[#This Row],[ID]]=A198,MIN(AEL_Protection_Data[[#This Row],[Pickup (A)]],K198),IF(AEL_Protection_Data[[#This Row],[ID]]=A200,MIN(AEL_Protection_Data[[#This Row],[Pickup (A)]],K200),AEL_Protection_Data[[#This Row],[Pickup (A)]]))</f>
        <v>200</v>
      </c>
    </row>
    <row r="200" spans="1:12" x14ac:dyDescent="0.25">
      <c r="A200" s="336" t="str">
        <f>AEL_Protection_Data[[#This Row],[Zone Sub]]&amp;"-"&amp;AEL_Protection_Data[[#This Row],[CB ID]]</f>
        <v>HNT-CB14</v>
      </c>
      <c r="B200" s="335" t="s">
        <v>204</v>
      </c>
      <c r="C200" s="334" t="s">
        <v>1647</v>
      </c>
      <c r="D200" s="334" t="s">
        <v>75</v>
      </c>
      <c r="E200" s="334" t="s">
        <v>1532</v>
      </c>
      <c r="F200" s="336" t="s">
        <v>1594</v>
      </c>
      <c r="G200" s="334" t="s">
        <v>1787</v>
      </c>
      <c r="H200" s="334" t="s">
        <v>2095</v>
      </c>
      <c r="I200" s="336" t="s">
        <v>1539</v>
      </c>
      <c r="J200" s="269">
        <v>11</v>
      </c>
      <c r="K200" s="269">
        <v>200</v>
      </c>
      <c r="L200" s="269">
        <f>IF(AEL_Protection_Data[[#This Row],[ID]]=A199,MIN(AEL_Protection_Data[[#This Row],[Pickup (A)]],K199),IF(AEL_Protection_Data[[#This Row],[ID]]=A201,MIN(AEL_Protection_Data[[#This Row],[Pickup (A)]],K201),AEL_Protection_Data[[#This Row],[Pickup (A)]]))</f>
        <v>200</v>
      </c>
    </row>
    <row r="201" spans="1:12" x14ac:dyDescent="0.25">
      <c r="A201" s="336" t="str">
        <f>AEL_Protection_Data[[#This Row],[Zone Sub]]&amp;"-"&amp;AEL_Protection_Data[[#This Row],[CB ID]]</f>
        <v>HNT-CB14</v>
      </c>
      <c r="B201" s="335" t="s">
        <v>204</v>
      </c>
      <c r="C201" s="334" t="s">
        <v>1647</v>
      </c>
      <c r="D201" s="334" t="s">
        <v>75</v>
      </c>
      <c r="E201" s="334" t="s">
        <v>1532</v>
      </c>
      <c r="F201" s="336" t="s">
        <v>1594</v>
      </c>
      <c r="G201" s="334" t="s">
        <v>1787</v>
      </c>
      <c r="H201" s="334" t="s">
        <v>2095</v>
      </c>
      <c r="I201" s="336" t="s">
        <v>1657</v>
      </c>
      <c r="J201" s="269">
        <v>11</v>
      </c>
      <c r="K201" s="269">
        <v>240</v>
      </c>
      <c r="L201" s="269">
        <f>IF(AEL_Protection_Data[[#This Row],[ID]]=A200,MIN(AEL_Protection_Data[[#This Row],[Pickup (A)]],K200),IF(AEL_Protection_Data[[#This Row],[ID]]=A202,MIN(AEL_Protection_Data[[#This Row],[Pickup (A)]],K202),AEL_Protection_Data[[#This Row],[Pickup (A)]]))</f>
        <v>200</v>
      </c>
    </row>
    <row r="202" spans="1:12" x14ac:dyDescent="0.25">
      <c r="A202" s="336" t="str">
        <f>AEL_Protection_Data[[#This Row],[Zone Sub]]&amp;"-"&amp;AEL_Protection_Data[[#This Row],[CB ID]]</f>
        <v>HNT-CB15</v>
      </c>
      <c r="B202" s="335" t="s">
        <v>204</v>
      </c>
      <c r="C202" s="334" t="s">
        <v>1647</v>
      </c>
      <c r="D202" s="334" t="s">
        <v>75</v>
      </c>
      <c r="E202" s="334" t="s">
        <v>1532</v>
      </c>
      <c r="F202" s="336" t="s">
        <v>1596</v>
      </c>
      <c r="G202" s="334" t="s">
        <v>1788</v>
      </c>
      <c r="H202" s="334" t="s">
        <v>1333</v>
      </c>
      <c r="I202" s="336" t="s">
        <v>1539</v>
      </c>
      <c r="J202" s="269">
        <v>11</v>
      </c>
      <c r="K202" s="269">
        <v>400</v>
      </c>
      <c r="L202" s="269">
        <f>IF(AEL_Protection_Data[[#This Row],[ID]]=A201,MIN(AEL_Protection_Data[[#This Row],[Pickup (A)]],K201),IF(AEL_Protection_Data[[#This Row],[ID]]=A203,MIN(AEL_Protection_Data[[#This Row],[Pickup (A)]],K203),AEL_Protection_Data[[#This Row],[Pickup (A)]]))</f>
        <v>400</v>
      </c>
    </row>
    <row r="203" spans="1:12" x14ac:dyDescent="0.25">
      <c r="A203" s="336" t="str">
        <f>AEL_Protection_Data[[#This Row],[Zone Sub]]&amp;"-"&amp;AEL_Protection_Data[[#This Row],[CB ID]]</f>
        <v>HNT-CB15</v>
      </c>
      <c r="B203" s="335" t="s">
        <v>204</v>
      </c>
      <c r="C203" s="334" t="s">
        <v>1647</v>
      </c>
      <c r="D203" s="334" t="s">
        <v>75</v>
      </c>
      <c r="E203" s="334" t="s">
        <v>1532</v>
      </c>
      <c r="F203" s="336" t="s">
        <v>1596</v>
      </c>
      <c r="G203" s="334" t="s">
        <v>1788</v>
      </c>
      <c r="H203" s="334" t="s">
        <v>1333</v>
      </c>
      <c r="I203" s="336" t="s">
        <v>1686</v>
      </c>
      <c r="J203" s="269">
        <v>11</v>
      </c>
      <c r="K203" s="269">
        <v>400</v>
      </c>
      <c r="L203" s="269">
        <f>IF(AEL_Protection_Data[[#This Row],[ID]]=A202,MIN(AEL_Protection_Data[[#This Row],[Pickup (A)]],K202),IF(AEL_Protection_Data[[#This Row],[ID]]=A204,MIN(AEL_Protection_Data[[#This Row],[Pickup (A)]],K204),AEL_Protection_Data[[#This Row],[Pickup (A)]]))</f>
        <v>400</v>
      </c>
    </row>
    <row r="204" spans="1:12" x14ac:dyDescent="0.25">
      <c r="A204" s="336" t="str">
        <f>AEL_Protection_Data[[#This Row],[Zone Sub]]&amp;"-"&amp;AEL_Protection_Data[[#This Row],[CB ID]]</f>
        <v>HNT-CB16</v>
      </c>
      <c r="B204" s="335" t="s">
        <v>204</v>
      </c>
      <c r="C204" s="334" t="s">
        <v>1647</v>
      </c>
      <c r="D204" s="334" t="s">
        <v>75</v>
      </c>
      <c r="E204" s="334" t="s">
        <v>1532</v>
      </c>
      <c r="F204" s="336" t="s">
        <v>1768</v>
      </c>
      <c r="G204" s="334" t="s">
        <v>1789</v>
      </c>
      <c r="H204" s="334" t="s">
        <v>223</v>
      </c>
      <c r="I204" s="336" t="s">
        <v>1539</v>
      </c>
      <c r="J204" s="269">
        <v>11</v>
      </c>
      <c r="K204" s="269">
        <v>200</v>
      </c>
      <c r="L204" s="269">
        <f>IF(AEL_Protection_Data[[#This Row],[ID]]=A203,MIN(AEL_Protection_Data[[#This Row],[Pickup (A)]],K203),IF(AEL_Protection_Data[[#This Row],[ID]]=A205,MIN(AEL_Protection_Data[[#This Row],[Pickup (A)]],K205),AEL_Protection_Data[[#This Row],[Pickup (A)]]))</f>
        <v>200</v>
      </c>
    </row>
    <row r="205" spans="1:12" x14ac:dyDescent="0.25">
      <c r="A205" s="336" t="str">
        <f>AEL_Protection_Data[[#This Row],[Zone Sub]]&amp;"-"&amp;AEL_Protection_Data[[#This Row],[CB ID]]</f>
        <v>HNT-CB16</v>
      </c>
      <c r="B205" s="335" t="s">
        <v>204</v>
      </c>
      <c r="C205" s="334" t="s">
        <v>1647</v>
      </c>
      <c r="D205" s="334" t="s">
        <v>75</v>
      </c>
      <c r="E205" s="334" t="s">
        <v>1532</v>
      </c>
      <c r="F205" s="336" t="s">
        <v>1768</v>
      </c>
      <c r="G205" s="334" t="s">
        <v>1789</v>
      </c>
      <c r="H205" s="334" t="s">
        <v>223</v>
      </c>
      <c r="I205" s="336" t="s">
        <v>1657</v>
      </c>
      <c r="J205" s="269">
        <v>11</v>
      </c>
      <c r="K205" s="269">
        <v>240</v>
      </c>
      <c r="L205" s="269">
        <f>IF(AEL_Protection_Data[[#This Row],[ID]]=A204,MIN(AEL_Protection_Data[[#This Row],[Pickup (A)]],K204),IF(AEL_Protection_Data[[#This Row],[ID]]=A206,MIN(AEL_Protection_Data[[#This Row],[Pickup (A)]],K206),AEL_Protection_Data[[#This Row],[Pickup (A)]]))</f>
        <v>200</v>
      </c>
    </row>
    <row r="206" spans="1:12" x14ac:dyDescent="0.25">
      <c r="A206" s="336" t="str">
        <f>AEL_Protection_Data[[#This Row],[Zone Sub]]&amp;"-"&amp;AEL_Protection_Data[[#This Row],[CB ID]]</f>
        <v>HNT-CB17</v>
      </c>
      <c r="B206" s="335" t="s">
        <v>204</v>
      </c>
      <c r="C206" s="334" t="s">
        <v>1647</v>
      </c>
      <c r="D206" s="334" t="s">
        <v>75</v>
      </c>
      <c r="E206" s="334" t="s">
        <v>1532</v>
      </c>
      <c r="F206" s="336" t="s">
        <v>1770</v>
      </c>
      <c r="G206" s="334" t="s">
        <v>1405</v>
      </c>
      <c r="H206" s="334" t="s">
        <v>2096</v>
      </c>
      <c r="I206" s="336" t="s">
        <v>1539</v>
      </c>
      <c r="J206" s="269">
        <v>11</v>
      </c>
      <c r="K206" s="269">
        <v>200</v>
      </c>
      <c r="L206" s="269">
        <f>IF(AEL_Protection_Data[[#This Row],[ID]]=A205,MIN(AEL_Protection_Data[[#This Row],[Pickup (A)]],K205),IF(AEL_Protection_Data[[#This Row],[ID]]=A207,MIN(AEL_Protection_Data[[#This Row],[Pickup (A)]],K207),AEL_Protection_Data[[#This Row],[Pickup (A)]]))</f>
        <v>200</v>
      </c>
    </row>
    <row r="207" spans="1:12" x14ac:dyDescent="0.25">
      <c r="A207" s="336" t="str">
        <f>AEL_Protection_Data[[#This Row],[Zone Sub]]&amp;"-"&amp;AEL_Protection_Data[[#This Row],[CB ID]]</f>
        <v>HNT-CB17</v>
      </c>
      <c r="B207" s="335" t="s">
        <v>204</v>
      </c>
      <c r="C207" s="334" t="s">
        <v>1647</v>
      </c>
      <c r="D207" s="334" t="s">
        <v>75</v>
      </c>
      <c r="E207" s="334" t="s">
        <v>1532</v>
      </c>
      <c r="F207" s="336" t="s">
        <v>1770</v>
      </c>
      <c r="G207" s="334" t="s">
        <v>1405</v>
      </c>
      <c r="H207" s="334" t="s">
        <v>2096</v>
      </c>
      <c r="I207" s="336" t="s">
        <v>1657</v>
      </c>
      <c r="J207" s="269">
        <v>11</v>
      </c>
      <c r="K207" s="269">
        <v>240</v>
      </c>
      <c r="L207" s="269">
        <f>IF(AEL_Protection_Data[[#This Row],[ID]]=A206,MIN(AEL_Protection_Data[[#This Row],[Pickup (A)]],K206),IF(AEL_Protection_Data[[#This Row],[ID]]=A208,MIN(AEL_Protection_Data[[#This Row],[Pickup (A)]],K208),AEL_Protection_Data[[#This Row],[Pickup (A)]]))</f>
        <v>200</v>
      </c>
    </row>
    <row r="208" spans="1:12" x14ac:dyDescent="0.25">
      <c r="A208" s="336" t="str">
        <f>AEL_Protection_Data[[#This Row],[Zone Sub]]&amp;"-"&amp;AEL_Protection_Data[[#This Row],[CB ID]]</f>
        <v>NST-CB3</v>
      </c>
      <c r="B208" s="335" t="s">
        <v>162</v>
      </c>
      <c r="C208" s="334" t="s">
        <v>1647</v>
      </c>
      <c r="D208" s="334" t="s">
        <v>75</v>
      </c>
      <c r="E208" s="334" t="s">
        <v>1532</v>
      </c>
      <c r="F208" s="336" t="s">
        <v>511</v>
      </c>
      <c r="G208" s="334" t="s">
        <v>1790</v>
      </c>
      <c r="H208" s="334" t="s">
        <v>171</v>
      </c>
      <c r="I208" s="336" t="s">
        <v>1539</v>
      </c>
      <c r="J208" s="269">
        <v>11</v>
      </c>
      <c r="K208" s="269">
        <v>304</v>
      </c>
      <c r="L208" s="269">
        <f>IF(AEL_Protection_Data[[#This Row],[ID]]=A207,MIN(AEL_Protection_Data[[#This Row],[Pickup (A)]],K207),IF(AEL_Protection_Data[[#This Row],[ID]]=A209,MIN(AEL_Protection_Data[[#This Row],[Pickup (A)]],K209),AEL_Protection_Data[[#This Row],[Pickup (A)]]))</f>
        <v>304</v>
      </c>
    </row>
    <row r="209" spans="1:12" x14ac:dyDescent="0.25">
      <c r="A209" s="336" t="str">
        <f>AEL_Protection_Data[[#This Row],[Zone Sub]]&amp;"-"&amp;AEL_Protection_Data[[#This Row],[CB ID]]</f>
        <v>NST-CB3</v>
      </c>
      <c r="B209" s="335" t="s">
        <v>162</v>
      </c>
      <c r="C209" s="334" t="s">
        <v>1647</v>
      </c>
      <c r="D209" s="334" t="s">
        <v>75</v>
      </c>
      <c r="E209" s="334" t="s">
        <v>1532</v>
      </c>
      <c r="F209" s="336" t="s">
        <v>511</v>
      </c>
      <c r="G209" s="334" t="s">
        <v>1790</v>
      </c>
      <c r="H209" s="334" t="s">
        <v>171</v>
      </c>
      <c r="I209" s="336" t="s">
        <v>1657</v>
      </c>
      <c r="J209" s="269">
        <v>11</v>
      </c>
      <c r="K209" s="269">
        <v>320</v>
      </c>
      <c r="L209" s="269">
        <f>IF(AEL_Protection_Data[[#This Row],[ID]]=A208,MIN(AEL_Protection_Data[[#This Row],[Pickup (A)]],K208),IF(AEL_Protection_Data[[#This Row],[ID]]=A210,MIN(AEL_Protection_Data[[#This Row],[Pickup (A)]],K210),AEL_Protection_Data[[#This Row],[Pickup (A)]]))</f>
        <v>304</v>
      </c>
    </row>
    <row r="210" spans="1:12" x14ac:dyDescent="0.25">
      <c r="A210" s="336" t="str">
        <f>AEL_Protection_Data[[#This Row],[Zone Sub]]&amp;"-"&amp;AEL_Protection_Data[[#This Row],[CB ID]]</f>
        <v>NST-CB4</v>
      </c>
      <c r="B210" s="335" t="s">
        <v>162</v>
      </c>
      <c r="C210" s="334" t="s">
        <v>1647</v>
      </c>
      <c r="D210" s="334" t="s">
        <v>75</v>
      </c>
      <c r="E210" s="334" t="s">
        <v>1532</v>
      </c>
      <c r="F210" s="336" t="s">
        <v>498</v>
      </c>
      <c r="G210" s="334" t="s">
        <v>1791</v>
      </c>
      <c r="H210" s="334" t="s">
        <v>2097</v>
      </c>
      <c r="I210" s="336" t="s">
        <v>1539</v>
      </c>
      <c r="J210" s="269">
        <v>11</v>
      </c>
      <c r="K210" s="269">
        <v>304</v>
      </c>
      <c r="L210" s="269">
        <f>IF(AEL_Protection_Data[[#This Row],[ID]]=A209,MIN(AEL_Protection_Data[[#This Row],[Pickup (A)]],K209),IF(AEL_Protection_Data[[#This Row],[ID]]=A211,MIN(AEL_Protection_Data[[#This Row],[Pickup (A)]],K211),AEL_Protection_Data[[#This Row],[Pickup (A)]]))</f>
        <v>304</v>
      </c>
    </row>
    <row r="211" spans="1:12" x14ac:dyDescent="0.25">
      <c r="A211" s="336" t="str">
        <f>AEL_Protection_Data[[#This Row],[Zone Sub]]&amp;"-"&amp;AEL_Protection_Data[[#This Row],[CB ID]]</f>
        <v>NST-CB4</v>
      </c>
      <c r="B211" s="335" t="s">
        <v>162</v>
      </c>
      <c r="C211" s="334" t="s">
        <v>1647</v>
      </c>
      <c r="D211" s="334" t="s">
        <v>75</v>
      </c>
      <c r="E211" s="334" t="s">
        <v>1532</v>
      </c>
      <c r="F211" s="336" t="s">
        <v>498</v>
      </c>
      <c r="G211" s="334" t="s">
        <v>1791</v>
      </c>
      <c r="H211" s="334" t="s">
        <v>2097</v>
      </c>
      <c r="I211" s="336" t="s">
        <v>1657</v>
      </c>
      <c r="J211" s="269">
        <v>11</v>
      </c>
      <c r="K211" s="269">
        <v>320</v>
      </c>
      <c r="L211" s="269">
        <f>IF(AEL_Protection_Data[[#This Row],[ID]]=A210,MIN(AEL_Protection_Data[[#This Row],[Pickup (A)]],K210),IF(AEL_Protection_Data[[#This Row],[ID]]=A212,MIN(AEL_Protection_Data[[#This Row],[Pickup (A)]],K212),AEL_Protection_Data[[#This Row],[Pickup (A)]]))</f>
        <v>304</v>
      </c>
    </row>
    <row r="212" spans="1:12" x14ac:dyDescent="0.25">
      <c r="A212" s="336" t="str">
        <f>AEL_Protection_Data[[#This Row],[Zone Sub]]&amp;"-"&amp;AEL_Protection_Data[[#This Row],[CB ID]]</f>
        <v>NST-CB5</v>
      </c>
      <c r="B212" s="335" t="s">
        <v>162</v>
      </c>
      <c r="C212" s="334" t="s">
        <v>1647</v>
      </c>
      <c r="D212" s="334" t="s">
        <v>75</v>
      </c>
      <c r="E212" s="334" t="s">
        <v>1532</v>
      </c>
      <c r="F212" s="336" t="s">
        <v>592</v>
      </c>
      <c r="G212" s="334" t="s">
        <v>1792</v>
      </c>
      <c r="H212" s="334" t="s">
        <v>2098</v>
      </c>
      <c r="I212" s="336" t="s">
        <v>1539</v>
      </c>
      <c r="J212" s="269">
        <v>11</v>
      </c>
      <c r="K212" s="269">
        <v>304</v>
      </c>
      <c r="L212" s="269">
        <f>IF(AEL_Protection_Data[[#This Row],[ID]]=A211,MIN(AEL_Protection_Data[[#This Row],[Pickup (A)]],K211),IF(AEL_Protection_Data[[#This Row],[ID]]=A213,MIN(AEL_Protection_Data[[#This Row],[Pickup (A)]],K213),AEL_Protection_Data[[#This Row],[Pickup (A)]]))</f>
        <v>304</v>
      </c>
    </row>
    <row r="213" spans="1:12" x14ac:dyDescent="0.25">
      <c r="A213" s="336" t="str">
        <f>AEL_Protection_Data[[#This Row],[Zone Sub]]&amp;"-"&amp;AEL_Protection_Data[[#This Row],[CB ID]]</f>
        <v>NST-CB5</v>
      </c>
      <c r="B213" s="335" t="s">
        <v>162</v>
      </c>
      <c r="C213" s="334" t="s">
        <v>1647</v>
      </c>
      <c r="D213" s="334" t="s">
        <v>75</v>
      </c>
      <c r="E213" s="334" t="s">
        <v>1532</v>
      </c>
      <c r="F213" s="336" t="s">
        <v>592</v>
      </c>
      <c r="G213" s="334" t="s">
        <v>1792</v>
      </c>
      <c r="H213" s="334" t="s">
        <v>2098</v>
      </c>
      <c r="I213" s="336" t="s">
        <v>1657</v>
      </c>
      <c r="J213" s="269">
        <v>11</v>
      </c>
      <c r="K213" s="269">
        <v>320</v>
      </c>
      <c r="L213" s="269">
        <f>IF(AEL_Protection_Data[[#This Row],[ID]]=A212,MIN(AEL_Protection_Data[[#This Row],[Pickup (A)]],K212),IF(AEL_Protection_Data[[#This Row],[ID]]=A214,MIN(AEL_Protection_Data[[#This Row],[Pickup (A)]],K214),AEL_Protection_Data[[#This Row],[Pickup (A)]]))</f>
        <v>304</v>
      </c>
    </row>
    <row r="214" spans="1:12" x14ac:dyDescent="0.25">
      <c r="A214" s="336" t="str">
        <f>AEL_Protection_Data[[#This Row],[Zone Sub]]&amp;"-"&amp;AEL_Protection_Data[[#This Row],[CB ID]]</f>
        <v>NST-CB6</v>
      </c>
      <c r="B214" s="335" t="s">
        <v>162</v>
      </c>
      <c r="C214" s="334" t="s">
        <v>1647</v>
      </c>
      <c r="D214" s="334" t="s">
        <v>75</v>
      </c>
      <c r="E214" s="334" t="s">
        <v>1532</v>
      </c>
      <c r="F214" s="336" t="s">
        <v>500</v>
      </c>
      <c r="G214" s="334" t="s">
        <v>1793</v>
      </c>
      <c r="H214" s="334" t="s">
        <v>2099</v>
      </c>
      <c r="I214" s="336" t="s">
        <v>1539</v>
      </c>
      <c r="J214" s="269">
        <v>11</v>
      </c>
      <c r="K214" s="269">
        <v>400</v>
      </c>
      <c r="L214" s="269">
        <f>IF(AEL_Protection_Data[[#This Row],[ID]]=A213,MIN(AEL_Protection_Data[[#This Row],[Pickup (A)]],K213),IF(AEL_Protection_Data[[#This Row],[ID]]=A215,MIN(AEL_Protection_Data[[#This Row],[Pickup (A)]],K215),AEL_Protection_Data[[#This Row],[Pickup (A)]]))</f>
        <v>400</v>
      </c>
    </row>
    <row r="215" spans="1:12" x14ac:dyDescent="0.25">
      <c r="A215" s="336" t="str">
        <f>AEL_Protection_Data[[#This Row],[Zone Sub]]&amp;"-"&amp;AEL_Protection_Data[[#This Row],[CB ID]]</f>
        <v>NST-CB6</v>
      </c>
      <c r="B215" s="335" t="s">
        <v>162</v>
      </c>
      <c r="C215" s="334" t="s">
        <v>1647</v>
      </c>
      <c r="D215" s="334" t="s">
        <v>75</v>
      </c>
      <c r="E215" s="334" t="s">
        <v>1532</v>
      </c>
      <c r="F215" s="336" t="s">
        <v>500</v>
      </c>
      <c r="G215" s="334" t="s">
        <v>1793</v>
      </c>
      <c r="H215" s="334" t="s">
        <v>2099</v>
      </c>
      <c r="I215" s="336" t="s">
        <v>1686</v>
      </c>
      <c r="J215" s="269">
        <v>11</v>
      </c>
      <c r="K215" s="269">
        <v>400</v>
      </c>
      <c r="L215" s="269">
        <f>IF(AEL_Protection_Data[[#This Row],[ID]]=A214,MIN(AEL_Protection_Data[[#This Row],[Pickup (A)]],K214),IF(AEL_Protection_Data[[#This Row],[ID]]=A216,MIN(AEL_Protection_Data[[#This Row],[Pickup (A)]],K216),AEL_Protection_Data[[#This Row],[Pickup (A)]]))</f>
        <v>400</v>
      </c>
    </row>
    <row r="216" spans="1:12" x14ac:dyDescent="0.25">
      <c r="A216" s="336" t="str">
        <f>AEL_Protection_Data[[#This Row],[Zone Sub]]&amp;"-"&amp;AEL_Protection_Data[[#This Row],[CB ID]]</f>
        <v>NST-CB35</v>
      </c>
      <c r="B216" s="335" t="s">
        <v>162</v>
      </c>
      <c r="C216" s="334" t="s">
        <v>1647</v>
      </c>
      <c r="D216" s="334" t="s">
        <v>75</v>
      </c>
      <c r="E216" s="334" t="s">
        <v>1532</v>
      </c>
      <c r="F216" s="336" t="s">
        <v>587</v>
      </c>
      <c r="G216" s="334" t="s">
        <v>1685</v>
      </c>
      <c r="H216" s="334" t="s">
        <v>2100</v>
      </c>
      <c r="I216" s="336" t="s">
        <v>1539</v>
      </c>
      <c r="J216" s="269">
        <v>11</v>
      </c>
      <c r="K216" s="269">
        <v>1188</v>
      </c>
      <c r="L216" s="269">
        <f>IF(AEL_Protection_Data[[#This Row],[ID]]=A215,MIN(AEL_Protection_Data[[#This Row],[Pickup (A)]],K215),IF(AEL_Protection_Data[[#This Row],[ID]]=A217,MIN(AEL_Protection_Data[[#This Row],[Pickup (A)]],K217),AEL_Protection_Data[[#This Row],[Pickup (A)]]))</f>
        <v>1188</v>
      </c>
    </row>
    <row r="217" spans="1:12" x14ac:dyDescent="0.25">
      <c r="A217" s="336" t="str">
        <f>AEL_Protection_Data[[#This Row],[Zone Sub]]&amp;"-"&amp;AEL_Protection_Data[[#This Row],[CB ID]]</f>
        <v>NST-CB35</v>
      </c>
      <c r="B217" s="335" t="s">
        <v>162</v>
      </c>
      <c r="C217" s="334" t="s">
        <v>1647</v>
      </c>
      <c r="D217" s="334" t="s">
        <v>75</v>
      </c>
      <c r="E217" s="334" t="s">
        <v>1532</v>
      </c>
      <c r="F217" s="336" t="s">
        <v>587</v>
      </c>
      <c r="G217" s="334" t="s">
        <v>1685</v>
      </c>
      <c r="H217" s="334" t="s">
        <v>2100</v>
      </c>
      <c r="I217" s="336" t="s">
        <v>1686</v>
      </c>
      <c r="J217" s="269">
        <v>11</v>
      </c>
      <c r="K217" s="269">
        <v>1188</v>
      </c>
      <c r="L217" s="269">
        <f>IF(AEL_Protection_Data[[#This Row],[ID]]=A216,MIN(AEL_Protection_Data[[#This Row],[Pickup (A)]],K216),IF(AEL_Protection_Data[[#This Row],[ID]]=A218,MIN(AEL_Protection_Data[[#This Row],[Pickup (A)]],K218),AEL_Protection_Data[[#This Row],[Pickup (A)]]))</f>
        <v>1188</v>
      </c>
    </row>
    <row r="218" spans="1:12" x14ac:dyDescent="0.25">
      <c r="A218" s="336" t="str">
        <f>AEL_Protection_Data[[#This Row],[Zone Sub]]&amp;"-"&amp;AEL_Protection_Data[[#This Row],[CB ID]]</f>
        <v>NST-CB7</v>
      </c>
      <c r="B218" s="335" t="s">
        <v>162</v>
      </c>
      <c r="C218" s="334" t="s">
        <v>1647</v>
      </c>
      <c r="D218" s="334" t="s">
        <v>75</v>
      </c>
      <c r="E218" s="334" t="s">
        <v>1532</v>
      </c>
      <c r="F218" s="336" t="s">
        <v>512</v>
      </c>
      <c r="G218" s="334" t="s">
        <v>1794</v>
      </c>
      <c r="H218" s="334" t="s">
        <v>2101</v>
      </c>
      <c r="I218" s="336" t="s">
        <v>1539</v>
      </c>
      <c r="J218" s="269">
        <v>11</v>
      </c>
      <c r="K218" s="269">
        <v>400</v>
      </c>
      <c r="L218" s="269">
        <f>IF(AEL_Protection_Data[[#This Row],[ID]]=A217,MIN(AEL_Protection_Data[[#This Row],[Pickup (A)]],K217),IF(AEL_Protection_Data[[#This Row],[ID]]=A219,MIN(AEL_Protection_Data[[#This Row],[Pickup (A)]],K219),AEL_Protection_Data[[#This Row],[Pickup (A)]]))</f>
        <v>400</v>
      </c>
    </row>
    <row r="219" spans="1:12" x14ac:dyDescent="0.25">
      <c r="A219" s="336" t="str">
        <f>AEL_Protection_Data[[#This Row],[Zone Sub]]&amp;"-"&amp;AEL_Protection_Data[[#This Row],[CB ID]]</f>
        <v>NST-CB7</v>
      </c>
      <c r="B219" s="335" t="s">
        <v>162</v>
      </c>
      <c r="C219" s="334" t="s">
        <v>1647</v>
      </c>
      <c r="D219" s="334" t="s">
        <v>75</v>
      </c>
      <c r="E219" s="334" t="s">
        <v>1532</v>
      </c>
      <c r="F219" s="336" t="s">
        <v>512</v>
      </c>
      <c r="G219" s="334" t="s">
        <v>1794</v>
      </c>
      <c r="H219" s="334" t="s">
        <v>2101</v>
      </c>
      <c r="I219" s="336" t="s">
        <v>1686</v>
      </c>
      <c r="J219" s="269">
        <v>11</v>
      </c>
      <c r="K219" s="269">
        <v>400</v>
      </c>
      <c r="L219" s="269">
        <f>IF(AEL_Protection_Data[[#This Row],[ID]]=A218,MIN(AEL_Protection_Data[[#This Row],[Pickup (A)]],K218),IF(AEL_Protection_Data[[#This Row],[ID]]=A220,MIN(AEL_Protection_Data[[#This Row],[Pickup (A)]],K220),AEL_Protection_Data[[#This Row],[Pickup (A)]]))</f>
        <v>400</v>
      </c>
    </row>
    <row r="220" spans="1:12" x14ac:dyDescent="0.25">
      <c r="A220" s="336" t="str">
        <f>AEL_Protection_Data[[#This Row],[Zone Sub]]&amp;"-"&amp;AEL_Protection_Data[[#This Row],[CB ID]]</f>
        <v>NST-CB8</v>
      </c>
      <c r="B220" s="335" t="s">
        <v>162</v>
      </c>
      <c r="C220" s="334" t="s">
        <v>1647</v>
      </c>
      <c r="D220" s="334" t="s">
        <v>75</v>
      </c>
      <c r="E220" s="334" t="s">
        <v>1532</v>
      </c>
      <c r="F220" s="336" t="s">
        <v>522</v>
      </c>
      <c r="G220" s="334" t="s">
        <v>1795</v>
      </c>
      <c r="H220" s="334" t="s">
        <v>186</v>
      </c>
      <c r="I220" s="336" t="s">
        <v>1539</v>
      </c>
      <c r="J220" s="269">
        <v>11</v>
      </c>
      <c r="K220" s="269">
        <v>200</v>
      </c>
      <c r="L220" s="269">
        <f>IF(AEL_Protection_Data[[#This Row],[ID]]=A219,MIN(AEL_Protection_Data[[#This Row],[Pickup (A)]],K219),IF(AEL_Protection_Data[[#This Row],[ID]]=A221,MIN(AEL_Protection_Data[[#This Row],[Pickup (A)]],K221),AEL_Protection_Data[[#This Row],[Pickup (A)]]))</f>
        <v>200</v>
      </c>
    </row>
    <row r="221" spans="1:12" x14ac:dyDescent="0.25">
      <c r="A221" s="336" t="str">
        <f>AEL_Protection_Data[[#This Row],[Zone Sub]]&amp;"-"&amp;AEL_Protection_Data[[#This Row],[CB ID]]</f>
        <v>NST-CB8</v>
      </c>
      <c r="B221" s="335" t="s">
        <v>162</v>
      </c>
      <c r="C221" s="334" t="s">
        <v>1647</v>
      </c>
      <c r="D221" s="334" t="s">
        <v>75</v>
      </c>
      <c r="E221" s="334" t="s">
        <v>1532</v>
      </c>
      <c r="F221" s="336" t="s">
        <v>522</v>
      </c>
      <c r="G221" s="334" t="s">
        <v>1795</v>
      </c>
      <c r="H221" s="334" t="s">
        <v>186</v>
      </c>
      <c r="I221" s="336" t="s">
        <v>1657</v>
      </c>
      <c r="J221" s="269">
        <v>11</v>
      </c>
      <c r="K221" s="269">
        <v>240</v>
      </c>
      <c r="L221" s="269">
        <f>IF(AEL_Protection_Data[[#This Row],[ID]]=A220,MIN(AEL_Protection_Data[[#This Row],[Pickup (A)]],K220),IF(AEL_Protection_Data[[#This Row],[ID]]=A222,MIN(AEL_Protection_Data[[#This Row],[Pickup (A)]],K222),AEL_Protection_Data[[#This Row],[Pickup (A)]]))</f>
        <v>200</v>
      </c>
    </row>
    <row r="222" spans="1:12" x14ac:dyDescent="0.25">
      <c r="A222" s="336" t="str">
        <f>AEL_Protection_Data[[#This Row],[Zone Sub]]&amp;"-"&amp;AEL_Protection_Data[[#This Row],[CB ID]]</f>
        <v>NST-CB9</v>
      </c>
      <c r="B222" s="335" t="s">
        <v>162</v>
      </c>
      <c r="C222" s="334" t="s">
        <v>1647</v>
      </c>
      <c r="D222" s="334" t="s">
        <v>75</v>
      </c>
      <c r="E222" s="334" t="s">
        <v>1532</v>
      </c>
      <c r="F222" s="336" t="s">
        <v>526</v>
      </c>
      <c r="G222" s="334" t="s">
        <v>1796</v>
      </c>
      <c r="H222" s="334" t="s">
        <v>188</v>
      </c>
      <c r="I222" s="336" t="s">
        <v>1539</v>
      </c>
      <c r="J222" s="269">
        <v>11</v>
      </c>
      <c r="K222" s="269">
        <v>304</v>
      </c>
      <c r="L222" s="269">
        <f>IF(AEL_Protection_Data[[#This Row],[ID]]=A221,MIN(AEL_Protection_Data[[#This Row],[Pickup (A)]],K221),IF(AEL_Protection_Data[[#This Row],[ID]]=A223,MIN(AEL_Protection_Data[[#This Row],[Pickup (A)]],K223),AEL_Protection_Data[[#This Row],[Pickup (A)]]))</f>
        <v>304</v>
      </c>
    </row>
    <row r="223" spans="1:12" x14ac:dyDescent="0.25">
      <c r="A223" s="336" t="str">
        <f>AEL_Protection_Data[[#This Row],[Zone Sub]]&amp;"-"&amp;AEL_Protection_Data[[#This Row],[CB ID]]</f>
        <v>NST-CB9</v>
      </c>
      <c r="B223" s="335" t="s">
        <v>162</v>
      </c>
      <c r="C223" s="334" t="s">
        <v>1647</v>
      </c>
      <c r="D223" s="334" t="s">
        <v>75</v>
      </c>
      <c r="E223" s="334" t="s">
        <v>1532</v>
      </c>
      <c r="F223" s="336" t="s">
        <v>526</v>
      </c>
      <c r="G223" s="334" t="s">
        <v>1796</v>
      </c>
      <c r="H223" s="334" t="s">
        <v>188</v>
      </c>
      <c r="I223" s="336" t="s">
        <v>1657</v>
      </c>
      <c r="J223" s="269">
        <v>11</v>
      </c>
      <c r="K223" s="269">
        <v>320</v>
      </c>
      <c r="L223" s="269">
        <f>IF(AEL_Protection_Data[[#This Row],[ID]]=A222,MIN(AEL_Protection_Data[[#This Row],[Pickup (A)]],K222),IF(AEL_Protection_Data[[#This Row],[ID]]=A224,MIN(AEL_Protection_Data[[#This Row],[Pickup (A)]],K224),AEL_Protection_Data[[#This Row],[Pickup (A)]]))</f>
        <v>304</v>
      </c>
    </row>
    <row r="224" spans="1:12" x14ac:dyDescent="0.25">
      <c r="A224" s="336" t="str">
        <f>AEL_Protection_Data[[#This Row],[Zone Sub]]&amp;"-"&amp;AEL_Protection_Data[[#This Row],[CB ID]]</f>
        <v>NST-CB10</v>
      </c>
      <c r="B224" s="335" t="s">
        <v>162</v>
      </c>
      <c r="C224" s="334" t="s">
        <v>1647</v>
      </c>
      <c r="D224" s="334" t="s">
        <v>75</v>
      </c>
      <c r="E224" s="334" t="s">
        <v>1532</v>
      </c>
      <c r="F224" s="336" t="s">
        <v>1763</v>
      </c>
      <c r="G224" s="334" t="s">
        <v>1797</v>
      </c>
      <c r="H224" s="334" t="s">
        <v>2102</v>
      </c>
      <c r="I224" s="336" t="s">
        <v>1539</v>
      </c>
      <c r="J224" s="269">
        <v>11</v>
      </c>
      <c r="K224" s="269">
        <v>304</v>
      </c>
      <c r="L224" s="269">
        <f>IF(AEL_Protection_Data[[#This Row],[ID]]=A223,MIN(AEL_Protection_Data[[#This Row],[Pickup (A)]],K223),IF(AEL_Protection_Data[[#This Row],[ID]]=A225,MIN(AEL_Protection_Data[[#This Row],[Pickup (A)]],K225),AEL_Protection_Data[[#This Row],[Pickup (A)]]))</f>
        <v>304</v>
      </c>
    </row>
    <row r="225" spans="1:12" x14ac:dyDescent="0.25">
      <c r="A225" s="336" t="str">
        <f>AEL_Protection_Data[[#This Row],[Zone Sub]]&amp;"-"&amp;AEL_Protection_Data[[#This Row],[CB ID]]</f>
        <v>NST-CB10</v>
      </c>
      <c r="B225" s="335" t="s">
        <v>162</v>
      </c>
      <c r="C225" s="334" t="s">
        <v>1647</v>
      </c>
      <c r="D225" s="334" t="s">
        <v>75</v>
      </c>
      <c r="E225" s="334" t="s">
        <v>1532</v>
      </c>
      <c r="F225" s="336" t="s">
        <v>1763</v>
      </c>
      <c r="G225" s="334" t="s">
        <v>1797</v>
      </c>
      <c r="H225" s="334" t="s">
        <v>2102</v>
      </c>
      <c r="I225" s="336" t="s">
        <v>1657</v>
      </c>
      <c r="J225" s="269">
        <v>11</v>
      </c>
      <c r="K225" s="269">
        <v>320</v>
      </c>
      <c r="L225" s="269">
        <f>IF(AEL_Protection_Data[[#This Row],[ID]]=A224,MIN(AEL_Protection_Data[[#This Row],[Pickup (A)]],K224),IF(AEL_Protection_Data[[#This Row],[ID]]=A226,MIN(AEL_Protection_Data[[#This Row],[Pickup (A)]],K226),AEL_Protection_Data[[#This Row],[Pickup (A)]]))</f>
        <v>304</v>
      </c>
    </row>
    <row r="226" spans="1:12" x14ac:dyDescent="0.25">
      <c r="A226" s="336" t="str">
        <f>AEL_Protection_Data[[#This Row],[Zone Sub]]&amp;"-"&amp;AEL_Protection_Data[[#This Row],[CB ID]]</f>
        <v>NST-CB11</v>
      </c>
      <c r="B226" s="335" t="s">
        <v>162</v>
      </c>
      <c r="C226" s="334" t="s">
        <v>1647</v>
      </c>
      <c r="D226" s="334" t="s">
        <v>75</v>
      </c>
      <c r="E226" s="334" t="s">
        <v>1532</v>
      </c>
      <c r="F226" s="336" t="s">
        <v>607</v>
      </c>
      <c r="G226" s="334" t="s">
        <v>1798</v>
      </c>
      <c r="H226" s="334" t="s">
        <v>2103</v>
      </c>
      <c r="I226" s="336" t="s">
        <v>1539</v>
      </c>
      <c r="J226" s="269">
        <v>11</v>
      </c>
      <c r="K226" s="269">
        <v>304</v>
      </c>
      <c r="L226" s="269">
        <f>IF(AEL_Protection_Data[[#This Row],[ID]]=A225,MIN(AEL_Protection_Data[[#This Row],[Pickup (A)]],K225),IF(AEL_Protection_Data[[#This Row],[ID]]=A227,MIN(AEL_Protection_Data[[#This Row],[Pickup (A)]],K227),AEL_Protection_Data[[#This Row],[Pickup (A)]]))</f>
        <v>304</v>
      </c>
    </row>
    <row r="227" spans="1:12" x14ac:dyDescent="0.25">
      <c r="A227" s="336" t="str">
        <f>AEL_Protection_Data[[#This Row],[Zone Sub]]&amp;"-"&amp;AEL_Protection_Data[[#This Row],[CB ID]]</f>
        <v>NST-CB11</v>
      </c>
      <c r="B227" s="335" t="s">
        <v>162</v>
      </c>
      <c r="C227" s="334" t="s">
        <v>1647</v>
      </c>
      <c r="D227" s="334" t="s">
        <v>75</v>
      </c>
      <c r="E227" s="334" t="s">
        <v>1532</v>
      </c>
      <c r="F227" s="336" t="s">
        <v>607</v>
      </c>
      <c r="G227" s="334" t="s">
        <v>1798</v>
      </c>
      <c r="H227" s="334" t="s">
        <v>2103</v>
      </c>
      <c r="I227" s="336" t="s">
        <v>1657</v>
      </c>
      <c r="J227" s="269">
        <v>11</v>
      </c>
      <c r="K227" s="269">
        <v>320</v>
      </c>
      <c r="L227" s="269">
        <f>IF(AEL_Protection_Data[[#This Row],[ID]]=A226,MIN(AEL_Protection_Data[[#This Row],[Pickup (A)]],K226),IF(AEL_Protection_Data[[#This Row],[ID]]=A228,MIN(AEL_Protection_Data[[#This Row],[Pickup (A)]],K228),AEL_Protection_Data[[#This Row],[Pickup (A)]]))</f>
        <v>304</v>
      </c>
    </row>
    <row r="228" spans="1:12" x14ac:dyDescent="0.25">
      <c r="A228" s="336" t="str">
        <f>AEL_Protection_Data[[#This Row],[Zone Sub]]&amp;"-"&amp;AEL_Protection_Data[[#This Row],[CB ID]]</f>
        <v>NST-CB12</v>
      </c>
      <c r="B228" s="335" t="s">
        <v>162</v>
      </c>
      <c r="C228" s="334" t="s">
        <v>1647</v>
      </c>
      <c r="D228" s="334" t="s">
        <v>75</v>
      </c>
      <c r="E228" s="334" t="s">
        <v>1532</v>
      </c>
      <c r="F228" s="336" t="s">
        <v>610</v>
      </c>
      <c r="G228" s="334" t="s">
        <v>1799</v>
      </c>
      <c r="H228" s="334" t="s">
        <v>2104</v>
      </c>
      <c r="I228" s="336" t="s">
        <v>1539</v>
      </c>
      <c r="J228" s="269">
        <v>11</v>
      </c>
      <c r="K228" s="269">
        <v>304</v>
      </c>
      <c r="L228" s="269">
        <f>IF(AEL_Protection_Data[[#This Row],[ID]]=A227,MIN(AEL_Protection_Data[[#This Row],[Pickup (A)]],K227),IF(AEL_Protection_Data[[#This Row],[ID]]=A229,MIN(AEL_Protection_Data[[#This Row],[Pickup (A)]],K229),AEL_Protection_Data[[#This Row],[Pickup (A)]]))</f>
        <v>304</v>
      </c>
    </row>
    <row r="229" spans="1:12" x14ac:dyDescent="0.25">
      <c r="A229" s="336" t="str">
        <f>AEL_Protection_Data[[#This Row],[Zone Sub]]&amp;"-"&amp;AEL_Protection_Data[[#This Row],[CB ID]]</f>
        <v>NST-CB12</v>
      </c>
      <c r="B229" s="335" t="s">
        <v>162</v>
      </c>
      <c r="C229" s="334" t="s">
        <v>1647</v>
      </c>
      <c r="D229" s="334" t="s">
        <v>75</v>
      </c>
      <c r="E229" s="334" t="s">
        <v>1532</v>
      </c>
      <c r="F229" s="336" t="s">
        <v>610</v>
      </c>
      <c r="G229" s="334" t="s">
        <v>1799</v>
      </c>
      <c r="H229" s="334" t="s">
        <v>2104</v>
      </c>
      <c r="I229" s="336" t="s">
        <v>1657</v>
      </c>
      <c r="J229" s="269">
        <v>11</v>
      </c>
      <c r="K229" s="269">
        <v>320</v>
      </c>
      <c r="L229" s="269">
        <f>IF(AEL_Protection_Data[[#This Row],[ID]]=A228,MIN(AEL_Protection_Data[[#This Row],[Pickup (A)]],K228),IF(AEL_Protection_Data[[#This Row],[ID]]=A230,MIN(AEL_Protection_Data[[#This Row],[Pickup (A)]],K230),AEL_Protection_Data[[#This Row],[Pickup (A)]]))</f>
        <v>304</v>
      </c>
    </row>
    <row r="230" spans="1:12" x14ac:dyDescent="0.25">
      <c r="A230" s="336" t="str">
        <f>AEL_Protection_Data[[#This Row],[Zone Sub]]&amp;"-"&amp;AEL_Protection_Data[[#This Row],[CB ID]]</f>
        <v>NST-CB13</v>
      </c>
      <c r="B230" s="335" t="s">
        <v>162</v>
      </c>
      <c r="C230" s="334" t="s">
        <v>1647</v>
      </c>
      <c r="D230" s="334" t="s">
        <v>75</v>
      </c>
      <c r="E230" s="334" t="s">
        <v>1532</v>
      </c>
      <c r="F230" s="336" t="s">
        <v>611</v>
      </c>
      <c r="G230" s="334" t="s">
        <v>1800</v>
      </c>
      <c r="H230" s="334" t="s">
        <v>196</v>
      </c>
      <c r="I230" s="336" t="s">
        <v>1539</v>
      </c>
      <c r="J230" s="269">
        <v>11</v>
      </c>
      <c r="K230" s="269">
        <v>304</v>
      </c>
      <c r="L230" s="269">
        <f>IF(AEL_Protection_Data[[#This Row],[ID]]=A229,MIN(AEL_Protection_Data[[#This Row],[Pickup (A)]],K229),IF(AEL_Protection_Data[[#This Row],[ID]]=A231,MIN(AEL_Protection_Data[[#This Row],[Pickup (A)]],K231),AEL_Protection_Data[[#This Row],[Pickup (A)]]))</f>
        <v>304</v>
      </c>
    </row>
    <row r="231" spans="1:12" x14ac:dyDescent="0.25">
      <c r="A231" s="336" t="str">
        <f>AEL_Protection_Data[[#This Row],[Zone Sub]]&amp;"-"&amp;AEL_Protection_Data[[#This Row],[CB ID]]</f>
        <v>NST-CB13</v>
      </c>
      <c r="B231" s="335" t="s">
        <v>162</v>
      </c>
      <c r="C231" s="334" t="s">
        <v>1647</v>
      </c>
      <c r="D231" s="334" t="s">
        <v>75</v>
      </c>
      <c r="E231" s="334" t="s">
        <v>1532</v>
      </c>
      <c r="F231" s="336" t="s">
        <v>611</v>
      </c>
      <c r="G231" s="334" t="s">
        <v>1800</v>
      </c>
      <c r="H231" s="334" t="s">
        <v>196</v>
      </c>
      <c r="I231" s="336" t="s">
        <v>1657</v>
      </c>
      <c r="J231" s="269">
        <v>11</v>
      </c>
      <c r="K231" s="269">
        <v>320</v>
      </c>
      <c r="L231" s="269">
        <f>IF(AEL_Protection_Data[[#This Row],[ID]]=A230,MIN(AEL_Protection_Data[[#This Row],[Pickup (A)]],K230),IF(AEL_Protection_Data[[#This Row],[ID]]=A232,MIN(AEL_Protection_Data[[#This Row],[Pickup (A)]],K232),AEL_Protection_Data[[#This Row],[Pickup (A)]]))</f>
        <v>304</v>
      </c>
    </row>
    <row r="232" spans="1:12" x14ac:dyDescent="0.25">
      <c r="A232" s="336" t="str">
        <f>AEL_Protection_Data[[#This Row],[Zone Sub]]&amp;"-"&amp;AEL_Protection_Data[[#This Row],[CB ID]]</f>
        <v>NST-CB14</v>
      </c>
      <c r="B232" s="335" t="s">
        <v>162</v>
      </c>
      <c r="C232" s="334" t="s">
        <v>1647</v>
      </c>
      <c r="D232" s="334" t="s">
        <v>75</v>
      </c>
      <c r="E232" s="334" t="s">
        <v>1532</v>
      </c>
      <c r="F232" s="336" t="s">
        <v>1594</v>
      </c>
      <c r="G232" s="334" t="s">
        <v>1801</v>
      </c>
      <c r="H232" s="334" t="s">
        <v>2105</v>
      </c>
      <c r="I232" s="336" t="s">
        <v>1539</v>
      </c>
      <c r="J232" s="269">
        <v>11</v>
      </c>
      <c r="K232" s="269">
        <v>400</v>
      </c>
      <c r="L232" s="269">
        <f>IF(AEL_Protection_Data[[#This Row],[ID]]=A231,MIN(AEL_Protection_Data[[#This Row],[Pickup (A)]],K231),IF(AEL_Protection_Data[[#This Row],[ID]]=A233,MIN(AEL_Protection_Data[[#This Row],[Pickup (A)]],K233),AEL_Protection_Data[[#This Row],[Pickup (A)]]))</f>
        <v>400</v>
      </c>
    </row>
    <row r="233" spans="1:12" x14ac:dyDescent="0.25">
      <c r="A233" s="336" t="str">
        <f>AEL_Protection_Data[[#This Row],[Zone Sub]]&amp;"-"&amp;AEL_Protection_Data[[#This Row],[CB ID]]</f>
        <v>NST-CB14</v>
      </c>
      <c r="B233" s="335" t="s">
        <v>162</v>
      </c>
      <c r="C233" s="334" t="s">
        <v>1647</v>
      </c>
      <c r="D233" s="334" t="s">
        <v>75</v>
      </c>
      <c r="E233" s="334" t="s">
        <v>1532</v>
      </c>
      <c r="F233" s="336" t="s">
        <v>1594</v>
      </c>
      <c r="G233" s="334" t="s">
        <v>1801</v>
      </c>
      <c r="H233" s="334" t="s">
        <v>2105</v>
      </c>
      <c r="I233" s="336" t="s">
        <v>1686</v>
      </c>
      <c r="J233" s="269">
        <v>11</v>
      </c>
      <c r="K233" s="269">
        <v>400</v>
      </c>
      <c r="L233" s="269">
        <f>IF(AEL_Protection_Data[[#This Row],[ID]]=A232,MIN(AEL_Protection_Data[[#This Row],[Pickup (A)]],K232),IF(AEL_Protection_Data[[#This Row],[ID]]=A234,MIN(AEL_Protection_Data[[#This Row],[Pickup (A)]],K234),AEL_Protection_Data[[#This Row],[Pickup (A)]]))</f>
        <v>400</v>
      </c>
    </row>
    <row r="234" spans="1:12" x14ac:dyDescent="0.25">
      <c r="A234" s="336" t="str">
        <f>AEL_Protection_Data[[#This Row],[Zone Sub]]&amp;"-"&amp;AEL_Protection_Data[[#This Row],[CB ID]]</f>
        <v>NST-CB36</v>
      </c>
      <c r="B234" s="335" t="s">
        <v>162</v>
      </c>
      <c r="C234" s="334" t="s">
        <v>1647</v>
      </c>
      <c r="D234" s="334" t="s">
        <v>75</v>
      </c>
      <c r="E234" s="334" t="s">
        <v>1532</v>
      </c>
      <c r="F234" s="336" t="s">
        <v>588</v>
      </c>
      <c r="G234" s="334" t="s">
        <v>1688</v>
      </c>
      <c r="H234" s="334" t="s">
        <v>2106</v>
      </c>
      <c r="I234" s="336" t="s">
        <v>1539</v>
      </c>
      <c r="J234" s="269">
        <v>11</v>
      </c>
      <c r="K234" s="269">
        <v>1188</v>
      </c>
      <c r="L234" s="269">
        <f>IF(AEL_Protection_Data[[#This Row],[ID]]=A233,MIN(AEL_Protection_Data[[#This Row],[Pickup (A)]],K233),IF(AEL_Protection_Data[[#This Row],[ID]]=A235,MIN(AEL_Protection_Data[[#This Row],[Pickup (A)]],K235),AEL_Protection_Data[[#This Row],[Pickup (A)]]))</f>
        <v>1188</v>
      </c>
    </row>
    <row r="235" spans="1:12" x14ac:dyDescent="0.25">
      <c r="A235" s="336" t="str">
        <f>AEL_Protection_Data[[#This Row],[Zone Sub]]&amp;"-"&amp;AEL_Protection_Data[[#This Row],[CB ID]]</f>
        <v>NST-CB36</v>
      </c>
      <c r="B235" s="335" t="s">
        <v>162</v>
      </c>
      <c r="C235" s="334" t="s">
        <v>1647</v>
      </c>
      <c r="D235" s="334" t="s">
        <v>75</v>
      </c>
      <c r="E235" s="334" t="s">
        <v>1532</v>
      </c>
      <c r="F235" s="336" t="s">
        <v>588</v>
      </c>
      <c r="G235" s="334" t="s">
        <v>1688</v>
      </c>
      <c r="H235" s="334" t="s">
        <v>2106</v>
      </c>
      <c r="I235" s="336" t="s">
        <v>1686</v>
      </c>
      <c r="J235" s="269">
        <v>11</v>
      </c>
      <c r="K235" s="269">
        <v>1188</v>
      </c>
      <c r="L235" s="269">
        <f>IF(AEL_Protection_Data[[#This Row],[ID]]=A234,MIN(AEL_Protection_Data[[#This Row],[Pickup (A)]],K234),IF(AEL_Protection_Data[[#This Row],[ID]]=A236,MIN(AEL_Protection_Data[[#This Row],[Pickup (A)]],K236),AEL_Protection_Data[[#This Row],[Pickup (A)]]))</f>
        <v>1188</v>
      </c>
    </row>
    <row r="236" spans="1:12" x14ac:dyDescent="0.25">
      <c r="A236" s="336" t="str">
        <f>AEL_Protection_Data[[#This Row],[Zone Sub]]&amp;"-"&amp;AEL_Protection_Data[[#This Row],[CB ID]]</f>
        <v>NST-CB15</v>
      </c>
      <c r="B236" s="335" t="s">
        <v>162</v>
      </c>
      <c r="C236" s="334" t="s">
        <v>1647</v>
      </c>
      <c r="D236" s="334" t="s">
        <v>75</v>
      </c>
      <c r="E236" s="334" t="s">
        <v>1532</v>
      </c>
      <c r="F236" s="336" t="s">
        <v>1596</v>
      </c>
      <c r="G236" s="334" t="s">
        <v>1802</v>
      </c>
      <c r="H236" s="334" t="s">
        <v>2107</v>
      </c>
      <c r="I236" s="336" t="s">
        <v>1539</v>
      </c>
      <c r="J236" s="269">
        <v>11</v>
      </c>
      <c r="K236" s="269">
        <v>400</v>
      </c>
      <c r="L236" s="269">
        <f>IF(AEL_Protection_Data[[#This Row],[ID]]=A235,MIN(AEL_Protection_Data[[#This Row],[Pickup (A)]],K235),IF(AEL_Protection_Data[[#This Row],[ID]]=A237,MIN(AEL_Protection_Data[[#This Row],[Pickup (A)]],K237),AEL_Protection_Data[[#This Row],[Pickup (A)]]))</f>
        <v>400</v>
      </c>
    </row>
    <row r="237" spans="1:12" x14ac:dyDescent="0.25">
      <c r="A237" s="336" t="str">
        <f>AEL_Protection_Data[[#This Row],[Zone Sub]]&amp;"-"&amp;AEL_Protection_Data[[#This Row],[CB ID]]</f>
        <v>NST-CB15</v>
      </c>
      <c r="B237" s="335" t="s">
        <v>162</v>
      </c>
      <c r="C237" s="334" t="s">
        <v>1647</v>
      </c>
      <c r="D237" s="334" t="s">
        <v>75</v>
      </c>
      <c r="E237" s="334" t="s">
        <v>1532</v>
      </c>
      <c r="F237" s="336" t="s">
        <v>1596</v>
      </c>
      <c r="G237" s="334" t="s">
        <v>1802</v>
      </c>
      <c r="H237" s="334" t="s">
        <v>2107</v>
      </c>
      <c r="I237" s="336" t="s">
        <v>1686</v>
      </c>
      <c r="J237" s="269">
        <v>11</v>
      </c>
      <c r="K237" s="269">
        <v>400</v>
      </c>
      <c r="L237" s="269">
        <f>IF(AEL_Protection_Data[[#This Row],[ID]]=A236,MIN(AEL_Protection_Data[[#This Row],[Pickup (A)]],K236),IF(AEL_Protection_Data[[#This Row],[ID]]=A238,MIN(AEL_Protection_Data[[#This Row],[Pickup (A)]],K238),AEL_Protection_Data[[#This Row],[Pickup (A)]]))</f>
        <v>400</v>
      </c>
    </row>
    <row r="238" spans="1:12" x14ac:dyDescent="0.25">
      <c r="A238" s="336" t="str">
        <f>AEL_Protection_Data[[#This Row],[Zone Sub]]&amp;"-"&amp;AEL_Protection_Data[[#This Row],[CB ID]]</f>
        <v>NST-CB16</v>
      </c>
      <c r="B238" s="335" t="s">
        <v>162</v>
      </c>
      <c r="C238" s="334" t="s">
        <v>1647</v>
      </c>
      <c r="D238" s="334" t="s">
        <v>75</v>
      </c>
      <c r="E238" s="334" t="s">
        <v>1532</v>
      </c>
      <c r="F238" s="336" t="s">
        <v>1768</v>
      </c>
      <c r="G238" s="334" t="s">
        <v>1803</v>
      </c>
      <c r="H238" s="334" t="s">
        <v>2108</v>
      </c>
      <c r="I238" s="336" t="s">
        <v>1539</v>
      </c>
      <c r="J238" s="269">
        <v>11</v>
      </c>
      <c r="K238" s="269">
        <v>304</v>
      </c>
      <c r="L238" s="269">
        <f>IF(AEL_Protection_Data[[#This Row],[ID]]=A237,MIN(AEL_Protection_Data[[#This Row],[Pickup (A)]],K237),IF(AEL_Protection_Data[[#This Row],[ID]]=A239,MIN(AEL_Protection_Data[[#This Row],[Pickup (A)]],K239),AEL_Protection_Data[[#This Row],[Pickup (A)]]))</f>
        <v>304</v>
      </c>
    </row>
    <row r="239" spans="1:12" x14ac:dyDescent="0.25">
      <c r="A239" s="336" t="str">
        <f>AEL_Protection_Data[[#This Row],[Zone Sub]]&amp;"-"&amp;AEL_Protection_Data[[#This Row],[CB ID]]</f>
        <v>NST-CB16</v>
      </c>
      <c r="B239" s="335" t="s">
        <v>162</v>
      </c>
      <c r="C239" s="334" t="s">
        <v>1647</v>
      </c>
      <c r="D239" s="334" t="s">
        <v>75</v>
      </c>
      <c r="E239" s="334" t="s">
        <v>1532</v>
      </c>
      <c r="F239" s="336" t="s">
        <v>1768</v>
      </c>
      <c r="G239" s="334" t="s">
        <v>1803</v>
      </c>
      <c r="H239" s="334" t="s">
        <v>2108</v>
      </c>
      <c r="I239" s="336" t="s">
        <v>1657</v>
      </c>
      <c r="J239" s="269">
        <v>11</v>
      </c>
      <c r="K239" s="269">
        <v>320</v>
      </c>
      <c r="L239" s="269">
        <f>IF(AEL_Protection_Data[[#This Row],[ID]]=A238,MIN(AEL_Protection_Data[[#This Row],[Pickup (A)]],K238),IF(AEL_Protection_Data[[#This Row],[ID]]=A240,MIN(AEL_Protection_Data[[#This Row],[Pickup (A)]],K240),AEL_Protection_Data[[#This Row],[Pickup (A)]]))</f>
        <v>304</v>
      </c>
    </row>
    <row r="240" spans="1:12" x14ac:dyDescent="0.25">
      <c r="A240" s="336" t="str">
        <f>AEL_Protection_Data[[#This Row],[Zone Sub]]&amp;"-"&amp;AEL_Protection_Data[[#This Row],[CB ID]]</f>
        <v>NST-CB17</v>
      </c>
      <c r="B240" s="335" t="s">
        <v>162</v>
      </c>
      <c r="C240" s="334" t="s">
        <v>1647</v>
      </c>
      <c r="D240" s="334" t="s">
        <v>75</v>
      </c>
      <c r="E240" s="334" t="s">
        <v>1532</v>
      </c>
      <c r="F240" s="336" t="s">
        <v>1770</v>
      </c>
      <c r="G240" s="334" t="s">
        <v>1804</v>
      </c>
      <c r="H240" s="334" t="s">
        <v>2109</v>
      </c>
      <c r="I240" s="336" t="s">
        <v>1539</v>
      </c>
      <c r="J240" s="269">
        <v>11</v>
      </c>
      <c r="K240" s="269">
        <v>200</v>
      </c>
      <c r="L240" s="269">
        <f>IF(AEL_Protection_Data[[#This Row],[ID]]=A239,MIN(AEL_Protection_Data[[#This Row],[Pickup (A)]],K239),IF(AEL_Protection_Data[[#This Row],[ID]]=A241,MIN(AEL_Protection_Data[[#This Row],[Pickup (A)]],K241),AEL_Protection_Data[[#This Row],[Pickup (A)]]))</f>
        <v>200</v>
      </c>
    </row>
    <row r="241" spans="1:12" x14ac:dyDescent="0.25">
      <c r="A241" s="336" t="str">
        <f>AEL_Protection_Data[[#This Row],[Zone Sub]]&amp;"-"&amp;AEL_Protection_Data[[#This Row],[CB ID]]</f>
        <v>NST-CB17</v>
      </c>
      <c r="B241" s="335" t="s">
        <v>162</v>
      </c>
      <c r="C241" s="334" t="s">
        <v>1647</v>
      </c>
      <c r="D241" s="334" t="s">
        <v>75</v>
      </c>
      <c r="E241" s="334" t="s">
        <v>1532</v>
      </c>
      <c r="F241" s="336" t="s">
        <v>1770</v>
      </c>
      <c r="G241" s="334" t="s">
        <v>1804</v>
      </c>
      <c r="H241" s="334" t="s">
        <v>2109</v>
      </c>
      <c r="I241" s="336" t="s">
        <v>1657</v>
      </c>
      <c r="J241" s="269">
        <v>11</v>
      </c>
      <c r="K241" s="269">
        <v>240</v>
      </c>
      <c r="L241" s="269">
        <f>IF(AEL_Protection_Data[[#This Row],[ID]]=A240,MIN(AEL_Protection_Data[[#This Row],[Pickup (A)]],K240),IF(AEL_Protection_Data[[#This Row],[ID]]=A242,MIN(AEL_Protection_Data[[#This Row],[Pickup (A)]],K242),AEL_Protection_Data[[#This Row],[Pickup (A)]]))</f>
        <v>200</v>
      </c>
    </row>
    <row r="242" spans="1:12" x14ac:dyDescent="0.25">
      <c r="A242" s="336" t="str">
        <f>AEL_Protection_Data[[#This Row],[Zone Sub]]&amp;"-"&amp;AEL_Protection_Data[[#This Row],[CB ID]]</f>
        <v>NST-CB18</v>
      </c>
      <c r="B242" s="335" t="s">
        <v>162</v>
      </c>
      <c r="C242" s="334" t="s">
        <v>1647</v>
      </c>
      <c r="D242" s="334" t="s">
        <v>75</v>
      </c>
      <c r="E242" s="334" t="s">
        <v>1532</v>
      </c>
      <c r="F242" s="336" t="s">
        <v>1772</v>
      </c>
      <c r="G242" s="334" t="s">
        <v>1805</v>
      </c>
      <c r="H242" s="334" t="s">
        <v>201</v>
      </c>
      <c r="I242" s="336" t="s">
        <v>1539</v>
      </c>
      <c r="J242" s="269">
        <v>11</v>
      </c>
      <c r="K242" s="269">
        <v>304</v>
      </c>
      <c r="L242" s="269">
        <f>IF(AEL_Protection_Data[[#This Row],[ID]]=A241,MIN(AEL_Protection_Data[[#This Row],[Pickup (A)]],K241),IF(AEL_Protection_Data[[#This Row],[ID]]=A243,MIN(AEL_Protection_Data[[#This Row],[Pickup (A)]],K243),AEL_Protection_Data[[#This Row],[Pickup (A)]]))</f>
        <v>304</v>
      </c>
    </row>
    <row r="243" spans="1:12" x14ac:dyDescent="0.25">
      <c r="A243" s="336" t="str">
        <f>AEL_Protection_Data[[#This Row],[Zone Sub]]&amp;"-"&amp;AEL_Protection_Data[[#This Row],[CB ID]]</f>
        <v>NST-CB18</v>
      </c>
      <c r="B243" s="335" t="s">
        <v>162</v>
      </c>
      <c r="C243" s="334" t="s">
        <v>1647</v>
      </c>
      <c r="D243" s="334" t="s">
        <v>75</v>
      </c>
      <c r="E243" s="334" t="s">
        <v>1532</v>
      </c>
      <c r="F243" s="336" t="s">
        <v>1772</v>
      </c>
      <c r="G243" s="334" t="s">
        <v>1805</v>
      </c>
      <c r="H243" s="334" t="s">
        <v>201</v>
      </c>
      <c r="I243" s="336" t="s">
        <v>1657</v>
      </c>
      <c r="J243" s="269">
        <v>11</v>
      </c>
      <c r="K243" s="269">
        <v>320</v>
      </c>
      <c r="L243" s="269">
        <f>IF(AEL_Protection_Data[[#This Row],[ID]]=A242,MIN(AEL_Protection_Data[[#This Row],[Pickup (A)]],K242),IF(AEL_Protection_Data[[#This Row],[ID]]=A244,MIN(AEL_Protection_Data[[#This Row],[Pickup (A)]],K244),AEL_Protection_Data[[#This Row],[Pickup (A)]]))</f>
        <v>304</v>
      </c>
    </row>
    <row r="244" spans="1:12" x14ac:dyDescent="0.25">
      <c r="A244" s="336" t="str">
        <f>AEL_Protection_Data[[#This Row],[Zone Sub]]&amp;"-"&amp;AEL_Protection_Data[[#This Row],[CB ID]]</f>
        <v>TEK-M167</v>
      </c>
      <c r="B244" s="335" t="s">
        <v>83</v>
      </c>
      <c r="C244" s="334" t="s">
        <v>1806</v>
      </c>
      <c r="D244" s="334" t="s">
        <v>76</v>
      </c>
      <c r="E244" s="334" t="s">
        <v>1532</v>
      </c>
      <c r="F244" s="336" t="s">
        <v>390</v>
      </c>
      <c r="G244" s="334" t="s">
        <v>1807</v>
      </c>
      <c r="H244" s="334" t="s">
        <v>2110</v>
      </c>
      <c r="I244" s="336" t="s">
        <v>1538</v>
      </c>
      <c r="J244" s="269">
        <v>33</v>
      </c>
      <c r="K244" s="269">
        <v>150</v>
      </c>
      <c r="L244" s="269">
        <f>IF(AEL_Protection_Data[[#This Row],[ID]]=A243,MIN(AEL_Protection_Data[[#This Row],[Pickup (A)]],K243),IF(AEL_Protection_Data[[#This Row],[ID]]=A245,MIN(AEL_Protection_Data[[#This Row],[Pickup (A)]],K245),AEL_Protection_Data[[#This Row],[Pickup (A)]]))</f>
        <v>150</v>
      </c>
    </row>
    <row r="245" spans="1:12" x14ac:dyDescent="0.25">
      <c r="A245" s="336" t="str">
        <f>AEL_Protection_Data[[#This Row],[Zone Sub]]&amp;"-"&amp;AEL_Protection_Data[[#This Row],[CB ID]]</f>
        <v>TEK-M202</v>
      </c>
      <c r="B245" s="335" t="s">
        <v>83</v>
      </c>
      <c r="C245" s="334" t="s">
        <v>1806</v>
      </c>
      <c r="D245" s="334" t="s">
        <v>76</v>
      </c>
      <c r="E245" s="334" t="s">
        <v>1532</v>
      </c>
      <c r="F245" s="336" t="s">
        <v>395</v>
      </c>
      <c r="G245" s="334" t="s">
        <v>1808</v>
      </c>
      <c r="H245" s="334" t="s">
        <v>2111</v>
      </c>
      <c r="I245" s="336" t="s">
        <v>1539</v>
      </c>
      <c r="J245" s="269">
        <v>11</v>
      </c>
      <c r="K245" s="269">
        <v>400</v>
      </c>
      <c r="L245" s="269">
        <f>IF(AEL_Protection_Data[[#This Row],[ID]]=A244,MIN(AEL_Protection_Data[[#This Row],[Pickup (A)]],K244),IF(AEL_Protection_Data[[#This Row],[ID]]=A246,MIN(AEL_Protection_Data[[#This Row],[Pickup (A)]],K246),AEL_Protection_Data[[#This Row],[Pickup (A)]]))</f>
        <v>400</v>
      </c>
    </row>
    <row r="246" spans="1:12" x14ac:dyDescent="0.25">
      <c r="A246" s="336" t="str">
        <f>AEL_Protection_Data[[#This Row],[Zone Sub]]&amp;"-"&amp;AEL_Protection_Data[[#This Row],[CB ID]]</f>
        <v>TEK-M204</v>
      </c>
      <c r="B246" s="335" t="s">
        <v>83</v>
      </c>
      <c r="C246" s="334" t="s">
        <v>1806</v>
      </c>
      <c r="D246" s="334" t="s">
        <v>76</v>
      </c>
      <c r="E246" s="334" t="s">
        <v>1532</v>
      </c>
      <c r="F246" s="336" t="s">
        <v>1809</v>
      </c>
      <c r="G246" s="334" t="s">
        <v>1810</v>
      </c>
      <c r="H246" s="334" t="s">
        <v>2112</v>
      </c>
      <c r="I246" s="336" t="s">
        <v>1539</v>
      </c>
      <c r="J246" s="269">
        <v>11</v>
      </c>
      <c r="K246" s="269">
        <v>400</v>
      </c>
      <c r="L246" s="269">
        <f>IF(AEL_Protection_Data[[#This Row],[ID]]=A245,MIN(AEL_Protection_Data[[#This Row],[Pickup (A)]],K245),IF(AEL_Protection_Data[[#This Row],[ID]]=A247,MIN(AEL_Protection_Data[[#This Row],[Pickup (A)]],K247),AEL_Protection_Data[[#This Row],[Pickup (A)]]))</f>
        <v>400</v>
      </c>
    </row>
    <row r="247" spans="1:12" x14ac:dyDescent="0.25">
      <c r="A247" s="336" t="str">
        <f>AEL_Protection_Data[[#This Row],[Zone Sub]]&amp;"-"&amp;AEL_Protection_Data[[#This Row],[CB ID]]</f>
        <v>TEK-M205</v>
      </c>
      <c r="B247" s="335" t="s">
        <v>83</v>
      </c>
      <c r="C247" s="334" t="s">
        <v>1806</v>
      </c>
      <c r="D247" s="334" t="s">
        <v>76</v>
      </c>
      <c r="E247" s="334" t="s">
        <v>1532</v>
      </c>
      <c r="F247" s="336" t="s">
        <v>420</v>
      </c>
      <c r="G247" s="334" t="s">
        <v>1811</v>
      </c>
      <c r="H247" s="334" t="s">
        <v>2113</v>
      </c>
      <c r="I247" s="336" t="s">
        <v>1539</v>
      </c>
      <c r="J247" s="269">
        <v>11</v>
      </c>
      <c r="K247" s="269">
        <v>200</v>
      </c>
      <c r="L247" s="269">
        <f>IF(AEL_Protection_Data[[#This Row],[ID]]=A246,MIN(AEL_Protection_Data[[#This Row],[Pickup (A)]],K246),IF(AEL_Protection_Data[[#This Row],[ID]]=A248,MIN(AEL_Protection_Data[[#This Row],[Pickup (A)]],K248),AEL_Protection_Data[[#This Row],[Pickup (A)]]))</f>
        <v>200</v>
      </c>
    </row>
    <row r="248" spans="1:12" x14ac:dyDescent="0.25">
      <c r="A248" s="336" t="str">
        <f>AEL_Protection_Data[[#This Row],[Zone Sub]]&amp;"-"&amp;AEL_Protection_Data[[#This Row],[CB ID]]</f>
        <v>TEK-M201</v>
      </c>
      <c r="B248" s="335" t="s">
        <v>83</v>
      </c>
      <c r="C248" s="334" t="s">
        <v>1806</v>
      </c>
      <c r="D248" s="334" t="s">
        <v>76</v>
      </c>
      <c r="E248" s="334" t="s">
        <v>1532</v>
      </c>
      <c r="F248" s="336" t="s">
        <v>419</v>
      </c>
      <c r="G248" s="334" t="s">
        <v>1812</v>
      </c>
      <c r="H248" s="334" t="s">
        <v>2114</v>
      </c>
      <c r="I248" s="336" t="s">
        <v>1539</v>
      </c>
      <c r="J248" s="269">
        <v>11</v>
      </c>
      <c r="K248" s="269">
        <v>250</v>
      </c>
      <c r="L248" s="269">
        <f>IF(AEL_Protection_Data[[#This Row],[ID]]=A247,MIN(AEL_Protection_Data[[#This Row],[Pickup (A)]],K247),IF(AEL_Protection_Data[[#This Row],[ID]]=A249,MIN(AEL_Protection_Data[[#This Row],[Pickup (A)]],K249),AEL_Protection_Data[[#This Row],[Pickup (A)]]))</f>
        <v>250</v>
      </c>
    </row>
    <row r="249" spans="1:12" x14ac:dyDescent="0.25">
      <c r="A249" s="336" t="str">
        <f>AEL_Protection_Data[[#This Row],[Zone Sub]]&amp;"-"&amp;AEL_Protection_Data[[#This Row],[CB ID]]</f>
        <v>TEK-M206</v>
      </c>
      <c r="B249" s="335" t="s">
        <v>83</v>
      </c>
      <c r="C249" s="334" t="s">
        <v>1806</v>
      </c>
      <c r="D249" s="334" t="s">
        <v>76</v>
      </c>
      <c r="E249" s="334" t="s">
        <v>1532</v>
      </c>
      <c r="F249" s="336" t="s">
        <v>421</v>
      </c>
      <c r="G249" s="334" t="s">
        <v>1813</v>
      </c>
      <c r="H249" s="334" t="s">
        <v>2115</v>
      </c>
      <c r="I249" s="336" t="s">
        <v>1539</v>
      </c>
      <c r="J249" s="269">
        <v>11</v>
      </c>
      <c r="K249" s="269">
        <v>276</v>
      </c>
      <c r="L249" s="269">
        <f>IF(AEL_Protection_Data[[#This Row],[ID]]=A248,MIN(AEL_Protection_Data[[#This Row],[Pickup (A)]],K248),IF(AEL_Protection_Data[[#This Row],[ID]]=A250,MIN(AEL_Protection_Data[[#This Row],[Pickup (A)]],K250),AEL_Protection_Data[[#This Row],[Pickup (A)]]))</f>
        <v>276</v>
      </c>
    </row>
    <row r="250" spans="1:12" x14ac:dyDescent="0.25">
      <c r="A250" s="336" t="str">
        <f>AEL_Protection_Data[[#This Row],[Zone Sub]]&amp;"-"&amp;AEL_Protection_Data[[#This Row],[CB ID]]</f>
        <v>TEK-M200</v>
      </c>
      <c r="B250" s="335" t="s">
        <v>83</v>
      </c>
      <c r="C250" s="334" t="s">
        <v>1806</v>
      </c>
      <c r="D250" s="334" t="s">
        <v>76</v>
      </c>
      <c r="E250" s="334" t="s">
        <v>1532</v>
      </c>
      <c r="F250" s="336" t="s">
        <v>417</v>
      </c>
      <c r="G250" s="334" t="s">
        <v>1814</v>
      </c>
      <c r="H250" s="334" t="s">
        <v>2116</v>
      </c>
      <c r="I250" s="336" t="s">
        <v>1539</v>
      </c>
      <c r="J250" s="269">
        <v>11</v>
      </c>
      <c r="K250" s="269">
        <v>276</v>
      </c>
      <c r="L250" s="269">
        <f>IF(AEL_Protection_Data[[#This Row],[ID]]=A249,MIN(AEL_Protection_Data[[#This Row],[Pickup (A)]],K249),IF(AEL_Protection_Data[[#This Row],[ID]]=A251,MIN(AEL_Protection_Data[[#This Row],[Pickup (A)]],K251),AEL_Protection_Data[[#This Row],[Pickup (A)]]))</f>
        <v>276</v>
      </c>
    </row>
    <row r="251" spans="1:12" x14ac:dyDescent="0.25">
      <c r="A251" s="336" t="str">
        <f>AEL_Protection_Data[[#This Row],[Zone Sub]]&amp;"-"&amp;AEL_Protection_Data[[#This Row],[CB ID]]</f>
        <v>TKA_M11-M346</v>
      </c>
      <c r="B251" s="335" t="s">
        <v>84</v>
      </c>
      <c r="C251" s="334" t="s">
        <v>1806</v>
      </c>
      <c r="D251" s="334" t="s">
        <v>76</v>
      </c>
      <c r="E251" s="334" t="s">
        <v>1532</v>
      </c>
      <c r="F251" s="336" t="s">
        <v>1417</v>
      </c>
      <c r="G251" s="334" t="s">
        <v>1815</v>
      </c>
      <c r="H251" s="334" t="s">
        <v>2117</v>
      </c>
      <c r="I251" s="336" t="s">
        <v>1583</v>
      </c>
      <c r="J251" s="269">
        <v>33</v>
      </c>
      <c r="K251" s="269">
        <v>150</v>
      </c>
      <c r="L251" s="269">
        <f>IF(AEL_Protection_Data[[#This Row],[ID]]=A250,MIN(AEL_Protection_Data[[#This Row],[Pickup (A)]],K250),IF(AEL_Protection_Data[[#This Row],[ID]]=A252,MIN(AEL_Protection_Data[[#This Row],[Pickup (A)]],K252),AEL_Protection_Data[[#This Row],[Pickup (A)]]))</f>
        <v>150</v>
      </c>
    </row>
    <row r="252" spans="1:12" x14ac:dyDescent="0.25">
      <c r="A252" s="336" t="str">
        <f>AEL_Protection_Data[[#This Row],[Zone Sub]]&amp;"-"&amp;AEL_Protection_Data[[#This Row],[CB ID]]</f>
        <v>OMR-M216</v>
      </c>
      <c r="B252" s="335" t="s">
        <v>1443</v>
      </c>
      <c r="C252" s="334" t="s">
        <v>1806</v>
      </c>
      <c r="D252" s="334" t="s">
        <v>76</v>
      </c>
      <c r="E252" s="334" t="s">
        <v>1532</v>
      </c>
      <c r="F252" s="336" t="s">
        <v>1816</v>
      </c>
      <c r="G252" s="334" t="s">
        <v>1817</v>
      </c>
      <c r="H252" s="334" t="s">
        <v>2118</v>
      </c>
      <c r="I252" s="336" t="s">
        <v>1818</v>
      </c>
      <c r="J252" s="269">
        <v>22</v>
      </c>
      <c r="K252" s="269">
        <v>15</v>
      </c>
      <c r="L252" s="269">
        <f>IF(AEL_Protection_Data[[#This Row],[ID]]=A251,MIN(AEL_Protection_Data[[#This Row],[Pickup (A)]],K251),IF(AEL_Protection_Data[[#This Row],[ID]]=A253,MIN(AEL_Protection_Data[[#This Row],[Pickup (A)]],K253),AEL_Protection_Data[[#This Row],[Pickup (A)]]))</f>
        <v>15</v>
      </c>
    </row>
    <row r="253" spans="1:12" x14ac:dyDescent="0.25">
      <c r="A253" s="336" t="str">
        <f>AEL_Protection_Data[[#This Row],[Zone Sub]]&amp;"-"&amp;AEL_Protection_Data[[#This Row],[CB ID]]</f>
        <v>OMR-M331</v>
      </c>
      <c r="B253" s="335" t="s">
        <v>1443</v>
      </c>
      <c r="C253" s="334" t="s">
        <v>1806</v>
      </c>
      <c r="D253" s="334" t="s">
        <v>76</v>
      </c>
      <c r="E253" s="334" t="s">
        <v>1532</v>
      </c>
      <c r="F253" s="336" t="s">
        <v>1336</v>
      </c>
      <c r="G253" s="334" t="s">
        <v>1808</v>
      </c>
      <c r="H253" s="334" t="s">
        <v>2119</v>
      </c>
      <c r="I253" s="336" t="s">
        <v>1583</v>
      </c>
      <c r="J253" s="269">
        <v>11</v>
      </c>
      <c r="K253" s="269">
        <v>120</v>
      </c>
      <c r="L253" s="269">
        <f>IF(AEL_Protection_Data[[#This Row],[ID]]=A252,MIN(AEL_Protection_Data[[#This Row],[Pickup (A)]],K252),IF(AEL_Protection_Data[[#This Row],[ID]]=A254,MIN(AEL_Protection_Data[[#This Row],[Pickup (A)]],K254),AEL_Protection_Data[[#This Row],[Pickup (A)]]))</f>
        <v>120</v>
      </c>
    </row>
    <row r="254" spans="1:12" x14ac:dyDescent="0.25">
      <c r="A254" s="336" t="str">
        <f>AEL_Protection_Data[[#This Row],[Zone Sub]]&amp;"-"&amp;AEL_Protection_Data[[#This Row],[CB ID]]</f>
        <v>OMR-M338</v>
      </c>
      <c r="B254" s="335" t="s">
        <v>1443</v>
      </c>
      <c r="C254" s="334" t="s">
        <v>1806</v>
      </c>
      <c r="D254" s="334" t="s">
        <v>76</v>
      </c>
      <c r="E254" s="334" t="s">
        <v>1532</v>
      </c>
      <c r="F254" s="336" t="s">
        <v>1344</v>
      </c>
      <c r="G254" s="334" t="s">
        <v>1819</v>
      </c>
      <c r="H254" s="334" t="s">
        <v>2120</v>
      </c>
      <c r="I254" s="336" t="s">
        <v>1583</v>
      </c>
      <c r="J254" s="269">
        <v>22</v>
      </c>
      <c r="K254" s="269">
        <v>60</v>
      </c>
      <c r="L254" s="269">
        <f>IF(AEL_Protection_Data[[#This Row],[ID]]=A253,MIN(AEL_Protection_Data[[#This Row],[Pickup (A)]],K253),IF(AEL_Protection_Data[[#This Row],[ID]]=A255,MIN(AEL_Protection_Data[[#This Row],[Pickup (A)]],K255),AEL_Protection_Data[[#This Row],[Pickup (A)]]))</f>
        <v>60</v>
      </c>
    </row>
    <row r="255" spans="1:12" x14ac:dyDescent="0.25">
      <c r="A255" s="336" t="str">
        <f>AEL_Protection_Data[[#This Row],[Zone Sub]]&amp;"-"&amp;AEL_Protection_Data[[#This Row],[CB ID]]</f>
        <v>UHT-M302</v>
      </c>
      <c r="B255" s="335" t="s">
        <v>163</v>
      </c>
      <c r="C255" s="334" t="s">
        <v>1806</v>
      </c>
      <c r="D255" s="334" t="s">
        <v>76</v>
      </c>
      <c r="E255" s="334" t="s">
        <v>1532</v>
      </c>
      <c r="F255" s="336" t="s">
        <v>1347</v>
      </c>
      <c r="G255" s="334" t="s">
        <v>1820</v>
      </c>
      <c r="H255" s="334" t="s">
        <v>2121</v>
      </c>
      <c r="I255" s="336" t="s">
        <v>1821</v>
      </c>
      <c r="J255" s="269">
        <v>33</v>
      </c>
      <c r="K255" s="269">
        <v>50</v>
      </c>
      <c r="L255" s="269">
        <f>IF(AEL_Protection_Data[[#This Row],[ID]]=A254,MIN(AEL_Protection_Data[[#This Row],[Pickup (A)]],K254),IF(AEL_Protection_Data[[#This Row],[ID]]=A256,MIN(AEL_Protection_Data[[#This Row],[Pickup (A)]],K256),AEL_Protection_Data[[#This Row],[Pickup (A)]]))</f>
        <v>50</v>
      </c>
    </row>
    <row r="256" spans="1:12" x14ac:dyDescent="0.25">
      <c r="A256" s="336" t="str">
        <f>AEL_Protection_Data[[#This Row],[Zone Sub]]&amp;"-"&amp;AEL_Protection_Data[[#This Row],[CB ID]]</f>
        <v>UHT-M158</v>
      </c>
      <c r="B256" s="335" t="s">
        <v>163</v>
      </c>
      <c r="C256" s="334" t="s">
        <v>1806</v>
      </c>
      <c r="D256" s="334" t="s">
        <v>76</v>
      </c>
      <c r="E256" s="334" t="s">
        <v>1532</v>
      </c>
      <c r="F256" s="336" t="s">
        <v>413</v>
      </c>
      <c r="G256" s="334" t="s">
        <v>1822</v>
      </c>
      <c r="H256" s="334" t="s">
        <v>2122</v>
      </c>
      <c r="I256" s="336" t="s">
        <v>1821</v>
      </c>
      <c r="J256" s="269">
        <v>11</v>
      </c>
      <c r="K256" s="269">
        <v>100</v>
      </c>
      <c r="L256" s="269">
        <f>IF(AEL_Protection_Data[[#This Row],[ID]]=A255,MIN(AEL_Protection_Data[[#This Row],[Pickup (A)]],K255),IF(AEL_Protection_Data[[#This Row],[ID]]=A257,MIN(AEL_Protection_Data[[#This Row],[Pickup (A)]],K257),AEL_Protection_Data[[#This Row],[Pickup (A)]]))</f>
        <v>100</v>
      </c>
    </row>
    <row r="257" spans="1:12" x14ac:dyDescent="0.25">
      <c r="A257" s="336" t="str">
        <f>AEL_Protection_Data[[#This Row],[Zone Sub]]&amp;"-"&amp;AEL_Protection_Data[[#This Row],[CB ID]]</f>
        <v>UHT-M159</v>
      </c>
      <c r="B257" s="335" t="s">
        <v>163</v>
      </c>
      <c r="C257" s="334" t="s">
        <v>1806</v>
      </c>
      <c r="D257" s="334" t="s">
        <v>76</v>
      </c>
      <c r="E257" s="334" t="s">
        <v>1532</v>
      </c>
      <c r="F257" s="336" t="s">
        <v>416</v>
      </c>
      <c r="G257" s="334" t="s">
        <v>1822</v>
      </c>
      <c r="H257" s="334" t="s">
        <v>2123</v>
      </c>
      <c r="I257" s="336" t="s">
        <v>1821</v>
      </c>
      <c r="J257" s="269">
        <v>11</v>
      </c>
      <c r="K257" s="269">
        <v>100</v>
      </c>
      <c r="L257" s="269">
        <f>IF(AEL_Protection_Data[[#This Row],[ID]]=A256,MIN(AEL_Protection_Data[[#This Row],[Pickup (A)]],K256),IF(AEL_Protection_Data[[#This Row],[ID]]=A258,MIN(AEL_Protection_Data[[#This Row],[Pickup (A)]],K258),AEL_Protection_Data[[#This Row],[Pickup (A)]]))</f>
        <v>100</v>
      </c>
    </row>
    <row r="258" spans="1:12" x14ac:dyDescent="0.25">
      <c r="A258" s="336" t="str">
        <f>AEL_Protection_Data[[#This Row],[Zone Sub]]&amp;"-"&amp;AEL_Protection_Data[[#This Row],[CB ID]]</f>
        <v>HLB-M82</v>
      </c>
      <c r="B258" s="335" t="s">
        <v>164</v>
      </c>
      <c r="C258" s="334" t="s">
        <v>1806</v>
      </c>
      <c r="D258" s="334" t="s">
        <v>76</v>
      </c>
      <c r="E258" s="334" t="s">
        <v>1532</v>
      </c>
      <c r="F258" s="336" t="s">
        <v>432</v>
      </c>
      <c r="G258" s="334" t="s">
        <v>1823</v>
      </c>
      <c r="H258" s="334" t="s">
        <v>2124</v>
      </c>
      <c r="I258" s="336" t="s">
        <v>1824</v>
      </c>
      <c r="J258" s="269">
        <v>11</v>
      </c>
      <c r="K258" s="269">
        <v>60</v>
      </c>
      <c r="L258" s="269">
        <f>IF(AEL_Protection_Data[[#This Row],[ID]]=A257,MIN(AEL_Protection_Data[[#This Row],[Pickup (A)]],K257),IF(AEL_Protection_Data[[#This Row],[ID]]=A259,MIN(AEL_Protection_Data[[#This Row],[Pickup (A)]],K259),AEL_Protection_Data[[#This Row],[Pickup (A)]]))</f>
        <v>60</v>
      </c>
    </row>
    <row r="259" spans="1:12" x14ac:dyDescent="0.25">
      <c r="A259" s="336" t="str">
        <f>AEL_Protection_Data[[#This Row],[Zone Sub]]&amp;"-"&amp;AEL_Protection_Data[[#This Row],[CB ID]]</f>
        <v>HLB-M86</v>
      </c>
      <c r="B259" s="335" t="s">
        <v>164</v>
      </c>
      <c r="C259" s="334" t="s">
        <v>1806</v>
      </c>
      <c r="D259" s="334" t="s">
        <v>76</v>
      </c>
      <c r="E259" s="334" t="s">
        <v>1532</v>
      </c>
      <c r="F259" s="336" t="s">
        <v>435</v>
      </c>
      <c r="G259" s="334" t="s">
        <v>1825</v>
      </c>
      <c r="H259" s="334" t="s">
        <v>2125</v>
      </c>
      <c r="I259" s="336" t="s">
        <v>1824</v>
      </c>
      <c r="J259" s="269">
        <v>22</v>
      </c>
      <c r="K259" s="269">
        <v>30</v>
      </c>
      <c r="L259" s="269">
        <f>IF(AEL_Protection_Data[[#This Row],[ID]]=A258,MIN(AEL_Protection_Data[[#This Row],[Pickup (A)]],K258),IF(AEL_Protection_Data[[#This Row],[ID]]=A260,MIN(AEL_Protection_Data[[#This Row],[Pickup (A)]],K260),AEL_Protection_Data[[#This Row],[Pickup (A)]]))</f>
        <v>30</v>
      </c>
    </row>
    <row r="260" spans="1:12" x14ac:dyDescent="0.25">
      <c r="A260" s="336" t="str">
        <f>AEL_Protection_Data[[#This Row],[Zone Sub]]&amp;"-"&amp;AEL_Protection_Data[[#This Row],[CB ID]]</f>
        <v>SBT_33kV-M24</v>
      </c>
      <c r="B260" s="335" t="s">
        <v>95</v>
      </c>
      <c r="C260" s="334" t="s">
        <v>1806</v>
      </c>
      <c r="D260" s="334" t="s">
        <v>76</v>
      </c>
      <c r="E260" s="334" t="s">
        <v>1532</v>
      </c>
      <c r="F260" s="336" t="s">
        <v>1826</v>
      </c>
      <c r="G260" s="334" t="s">
        <v>1827</v>
      </c>
      <c r="H260" s="334" t="s">
        <v>2126</v>
      </c>
      <c r="I260" s="336" t="s">
        <v>1828</v>
      </c>
      <c r="J260" s="269">
        <v>33</v>
      </c>
      <c r="K260" s="269">
        <v>100</v>
      </c>
      <c r="L260" s="269">
        <f>IF(AEL_Protection_Data[[#This Row],[ID]]=A259,MIN(AEL_Protection_Data[[#This Row],[Pickup (A)]],K259),IF(AEL_Protection_Data[[#This Row],[ID]]=A261,MIN(AEL_Protection_Data[[#This Row],[Pickup (A)]],K261),AEL_Protection_Data[[#This Row],[Pickup (A)]]))</f>
        <v>100</v>
      </c>
    </row>
    <row r="261" spans="1:12" x14ac:dyDescent="0.25">
      <c r="A261" s="336" t="str">
        <f>AEL_Protection_Data[[#This Row],[Zone Sub]]&amp;"-"&amp;AEL_Protection_Data[[#This Row],[CB ID]]</f>
        <v>SBT_33kV-M357</v>
      </c>
      <c r="B261" s="335" t="s">
        <v>95</v>
      </c>
      <c r="C261" s="334" t="s">
        <v>1806</v>
      </c>
      <c r="D261" s="334" t="s">
        <v>76</v>
      </c>
      <c r="E261" s="334" t="s">
        <v>1540</v>
      </c>
      <c r="F261" s="336" t="s">
        <v>1829</v>
      </c>
      <c r="G261" s="334" t="s">
        <v>1830</v>
      </c>
      <c r="H261" s="334" t="s">
        <v>2127</v>
      </c>
      <c r="I261" s="336" t="s">
        <v>1828</v>
      </c>
      <c r="J261" s="269">
        <v>33</v>
      </c>
      <c r="K261" s="269">
        <v>15</v>
      </c>
      <c r="L261" s="269">
        <f>IF(AEL_Protection_Data[[#This Row],[ID]]=A260,MIN(AEL_Protection_Data[[#This Row],[Pickup (A)]],K260),IF(AEL_Protection_Data[[#This Row],[ID]]=A262,MIN(AEL_Protection_Data[[#This Row],[Pickup (A)]],K262),AEL_Protection_Data[[#This Row],[Pickup (A)]]))</f>
        <v>15</v>
      </c>
    </row>
    <row r="262" spans="1:12" x14ac:dyDescent="0.25">
      <c r="A262" s="336" t="str">
        <f>AEL_Protection_Data[[#This Row],[Zone Sub]]&amp;"-"&amp;AEL_Protection_Data[[#This Row],[CB ID]]</f>
        <v>SBT_33kV-M272</v>
      </c>
      <c r="B262" s="335" t="s">
        <v>95</v>
      </c>
      <c r="C262" s="334" t="s">
        <v>1806</v>
      </c>
      <c r="D262" s="334" t="s">
        <v>76</v>
      </c>
      <c r="E262" s="334" t="s">
        <v>1540</v>
      </c>
      <c r="F262" s="336" t="s">
        <v>405</v>
      </c>
      <c r="G262" s="334" t="s">
        <v>1831</v>
      </c>
      <c r="H262" s="334" t="s">
        <v>2128</v>
      </c>
      <c r="I262" s="336" t="s">
        <v>1828</v>
      </c>
      <c r="J262" s="269">
        <v>33</v>
      </c>
      <c r="K262" s="269">
        <v>80</v>
      </c>
      <c r="L262" s="269">
        <f>IF(AEL_Protection_Data[[#This Row],[ID]]=A261,MIN(AEL_Protection_Data[[#This Row],[Pickup (A)]],K261),IF(AEL_Protection_Data[[#This Row],[ID]]=A263,MIN(AEL_Protection_Data[[#This Row],[Pickup (A)]],K263),AEL_Protection_Data[[#This Row],[Pickup (A)]]))</f>
        <v>80</v>
      </c>
    </row>
    <row r="263" spans="1:12" x14ac:dyDescent="0.25">
      <c r="A263" s="336" t="str">
        <f>AEL_Protection_Data[[#This Row],[Zone Sub]]&amp;"-"&amp;AEL_Protection_Data[[#This Row],[CB ID]]</f>
        <v>SBT_33kV-M318</v>
      </c>
      <c r="B263" s="335" t="s">
        <v>95</v>
      </c>
      <c r="C263" s="334" t="s">
        <v>1806</v>
      </c>
      <c r="D263" s="334" t="s">
        <v>76</v>
      </c>
      <c r="E263" s="334" t="s">
        <v>1540</v>
      </c>
      <c r="F263" s="336" t="s">
        <v>398</v>
      </c>
      <c r="G263" s="334" t="s">
        <v>1832</v>
      </c>
      <c r="H263" s="334" t="s">
        <v>2129</v>
      </c>
      <c r="I263" s="336" t="s">
        <v>1828</v>
      </c>
      <c r="J263" s="269">
        <v>33</v>
      </c>
      <c r="K263" s="269">
        <v>80</v>
      </c>
      <c r="L263" s="269">
        <f>IF(AEL_Protection_Data[[#This Row],[ID]]=A262,MIN(AEL_Protection_Data[[#This Row],[Pickup (A)]],K262),IF(AEL_Protection_Data[[#This Row],[ID]]=A264,MIN(AEL_Protection_Data[[#This Row],[Pickup (A)]],K264),AEL_Protection_Data[[#This Row],[Pickup (A)]]))</f>
        <v>80</v>
      </c>
    </row>
    <row r="264" spans="1:12" x14ac:dyDescent="0.25">
      <c r="A264" s="336" t="str">
        <f>AEL_Protection_Data[[#This Row],[Zone Sub]]&amp;"-"&amp;AEL_Protection_Data[[#This Row],[CB ID]]</f>
        <v>TMK-CB1212</v>
      </c>
      <c r="B264" s="335" t="s">
        <v>1138</v>
      </c>
      <c r="C264" s="334" t="s">
        <v>1833</v>
      </c>
      <c r="D264" s="334" t="s">
        <v>77</v>
      </c>
      <c r="E264" s="334" t="s">
        <v>1532</v>
      </c>
      <c r="F264" s="336" t="s">
        <v>1834</v>
      </c>
      <c r="G264" s="334" t="s">
        <v>1835</v>
      </c>
      <c r="H264" s="334" t="s">
        <v>2130</v>
      </c>
      <c r="I264" s="336" t="s">
        <v>1836</v>
      </c>
      <c r="J264" s="269">
        <v>33</v>
      </c>
      <c r="K264" s="269">
        <v>582</v>
      </c>
      <c r="L264" s="269">
        <f>IF(AEL_Protection_Data[[#This Row],[ID]]=A263,MIN(AEL_Protection_Data[[#This Row],[Pickup (A)]],K263),IF(AEL_Protection_Data[[#This Row],[ID]]=A265,MIN(AEL_Protection_Data[[#This Row],[Pickup (A)]],K265),AEL_Protection_Data[[#This Row],[Pickup (A)]]))</f>
        <v>582</v>
      </c>
    </row>
    <row r="265" spans="1:12" x14ac:dyDescent="0.25">
      <c r="A265" s="336" t="str">
        <f>AEL_Protection_Data[[#This Row],[Zone Sub]]&amp;"-"&amp;AEL_Protection_Data[[#This Row],[CB ID]]</f>
        <v>TMK-CB1222</v>
      </c>
      <c r="B265" s="335" t="s">
        <v>1138</v>
      </c>
      <c r="C265" s="334" t="s">
        <v>1833</v>
      </c>
      <c r="D265" s="334" t="s">
        <v>77</v>
      </c>
      <c r="E265" s="334" t="s">
        <v>1532</v>
      </c>
      <c r="F265" s="336" t="s">
        <v>1837</v>
      </c>
      <c r="G265" s="334" t="s">
        <v>1838</v>
      </c>
      <c r="H265" s="334" t="s">
        <v>2131</v>
      </c>
      <c r="I265" s="336" t="s">
        <v>1836</v>
      </c>
      <c r="J265" s="269">
        <v>33</v>
      </c>
      <c r="K265" s="269">
        <v>540</v>
      </c>
      <c r="L265" s="269">
        <f>IF(AEL_Protection_Data[[#This Row],[ID]]=A264,MIN(AEL_Protection_Data[[#This Row],[Pickup (A)]],K264),IF(AEL_Protection_Data[[#This Row],[ID]]=A266,MIN(AEL_Protection_Data[[#This Row],[Pickup (A)]],K266),AEL_Protection_Data[[#This Row],[Pickup (A)]]))</f>
        <v>540</v>
      </c>
    </row>
    <row r="266" spans="1:12" x14ac:dyDescent="0.25">
      <c r="A266" s="336" t="str">
        <f>AEL_Protection_Data[[#This Row],[Zone Sub]]&amp;"-"&amp;AEL_Protection_Data[[#This Row],[CB ID]]</f>
        <v>TMK-CB1262</v>
      </c>
      <c r="B266" s="335" t="s">
        <v>1138</v>
      </c>
      <c r="C266" s="334" t="s">
        <v>1833</v>
      </c>
      <c r="D266" s="334" t="s">
        <v>77</v>
      </c>
      <c r="E266" s="334" t="s">
        <v>1532</v>
      </c>
      <c r="F266" s="336" t="s">
        <v>1839</v>
      </c>
      <c r="G266" s="334" t="s">
        <v>1840</v>
      </c>
      <c r="H266" s="334" t="s">
        <v>2132</v>
      </c>
      <c r="I266" s="336" t="s">
        <v>1836</v>
      </c>
      <c r="J266" s="269">
        <v>33</v>
      </c>
      <c r="K266" s="269">
        <v>582</v>
      </c>
      <c r="L266" s="269">
        <f>IF(AEL_Protection_Data[[#This Row],[ID]]=A265,MIN(AEL_Protection_Data[[#This Row],[Pickup (A)]],K265),IF(AEL_Protection_Data[[#This Row],[ID]]=A267,MIN(AEL_Protection_Data[[#This Row],[Pickup (A)]],K267),AEL_Protection_Data[[#This Row],[Pickup (A)]]))</f>
        <v>582</v>
      </c>
    </row>
    <row r="267" spans="1:12" x14ac:dyDescent="0.25">
      <c r="A267" s="336" t="str">
        <f>AEL_Protection_Data[[#This Row],[Zone Sub]]&amp;"-"&amp;AEL_Protection_Data[[#This Row],[CB ID]]</f>
        <v>TMK-CB1272</v>
      </c>
      <c r="B267" s="335" t="s">
        <v>1138</v>
      </c>
      <c r="C267" s="334" t="s">
        <v>1833</v>
      </c>
      <c r="D267" s="334" t="s">
        <v>77</v>
      </c>
      <c r="E267" s="334" t="s">
        <v>1532</v>
      </c>
      <c r="F267" s="336" t="s">
        <v>1841</v>
      </c>
      <c r="G267" s="334" t="s">
        <v>1842</v>
      </c>
      <c r="H267" s="334" t="s">
        <v>2133</v>
      </c>
      <c r="I267" s="336" t="s">
        <v>1836</v>
      </c>
      <c r="J267" s="269">
        <v>33</v>
      </c>
      <c r="K267" s="269">
        <v>510</v>
      </c>
      <c r="L267" s="269">
        <f>IF(AEL_Protection_Data[[#This Row],[ID]]=A266,MIN(AEL_Protection_Data[[#This Row],[Pickup (A)]],K266),IF(AEL_Protection_Data[[#This Row],[ID]]=A268,MIN(AEL_Protection_Data[[#This Row],[Pickup (A)]],K268),AEL_Protection_Data[[#This Row],[Pickup (A)]]))</f>
        <v>510</v>
      </c>
    </row>
    <row r="268" spans="1:12" x14ac:dyDescent="0.25">
      <c r="A268" s="336" t="str">
        <f>AEL_Protection_Data[[#This Row],[Zone Sub]]&amp;"-"&amp;AEL_Protection_Data[[#This Row],[CB ID]]</f>
        <v>TMK-CB1202</v>
      </c>
      <c r="B268" s="335" t="s">
        <v>1138</v>
      </c>
      <c r="C268" s="334" t="s">
        <v>1833</v>
      </c>
      <c r="D268" s="334" t="s">
        <v>77</v>
      </c>
      <c r="E268" s="334" t="s">
        <v>1532</v>
      </c>
      <c r="F268" s="336" t="s">
        <v>1843</v>
      </c>
      <c r="G268" s="334" t="s">
        <v>1844</v>
      </c>
      <c r="H268" s="334" t="s">
        <v>2134</v>
      </c>
      <c r="I268" s="336" t="s">
        <v>1836</v>
      </c>
      <c r="J268" s="269">
        <v>33</v>
      </c>
      <c r="K268" s="269">
        <v>462</v>
      </c>
      <c r="L268" s="269">
        <f>IF(AEL_Protection_Data[[#This Row],[ID]]=A267,MIN(AEL_Protection_Data[[#This Row],[Pickup (A)]],K267),IF(AEL_Protection_Data[[#This Row],[ID]]=A269,MIN(AEL_Protection_Data[[#This Row],[Pickup (A)]],K269),AEL_Protection_Data[[#This Row],[Pickup (A)]]))</f>
        <v>462</v>
      </c>
    </row>
    <row r="269" spans="1:12" x14ac:dyDescent="0.25">
      <c r="A269" s="336" t="str">
        <f>AEL_Protection_Data[[#This Row],[Zone Sub]]&amp;"-"&amp;AEL_Protection_Data[[#This Row],[CB ID]]</f>
        <v>TMK-CB1192</v>
      </c>
      <c r="B269" s="335" t="s">
        <v>1138</v>
      </c>
      <c r="C269" s="334" t="s">
        <v>1833</v>
      </c>
      <c r="D269" s="334" t="s">
        <v>77</v>
      </c>
      <c r="E269" s="334" t="s">
        <v>1532</v>
      </c>
      <c r="F269" s="336" t="s">
        <v>1845</v>
      </c>
      <c r="G269" s="334" t="s">
        <v>1846</v>
      </c>
      <c r="H269" s="334" t="s">
        <v>2135</v>
      </c>
      <c r="I269" s="336" t="s">
        <v>1836</v>
      </c>
      <c r="J269" s="269">
        <v>33</v>
      </c>
      <c r="K269" s="269">
        <v>510</v>
      </c>
      <c r="L269" s="269">
        <f>IF(AEL_Protection_Data[[#This Row],[ID]]=A268,MIN(AEL_Protection_Data[[#This Row],[Pickup (A)]],K268),IF(AEL_Protection_Data[[#This Row],[ID]]=A270,MIN(AEL_Protection_Data[[#This Row],[Pickup (A)]],K270),AEL_Protection_Data[[#This Row],[Pickup (A)]]))</f>
        <v>510</v>
      </c>
    </row>
    <row r="270" spans="1:12" x14ac:dyDescent="0.25">
      <c r="A270" s="336" t="str">
        <f>AEL_Protection_Data[[#This Row],[Zone Sub]]&amp;"-"&amp;AEL_Protection_Data[[#This Row],[CB ID]]</f>
        <v>TMK-CB1282</v>
      </c>
      <c r="B270" s="335" t="s">
        <v>1138</v>
      </c>
      <c r="C270" s="334" t="s">
        <v>1833</v>
      </c>
      <c r="D270" s="334" t="s">
        <v>77</v>
      </c>
      <c r="E270" s="334" t="s">
        <v>1532</v>
      </c>
      <c r="F270" s="336" t="s">
        <v>1847</v>
      </c>
      <c r="G270" s="334" t="s">
        <v>1848</v>
      </c>
      <c r="H270" s="334" t="s">
        <v>2136</v>
      </c>
      <c r="I270" s="336" t="s">
        <v>1836</v>
      </c>
      <c r="J270" s="269">
        <v>33</v>
      </c>
      <c r="K270" s="269">
        <v>660</v>
      </c>
      <c r="L270" s="269">
        <f>IF(AEL_Protection_Data[[#This Row],[ID]]=A269,MIN(AEL_Protection_Data[[#This Row],[Pickup (A)]],K269),IF(AEL_Protection_Data[[#This Row],[ID]]=A271,MIN(AEL_Protection_Data[[#This Row],[Pickup (A)]],K271),AEL_Protection_Data[[#This Row],[Pickup (A)]]))</f>
        <v>660</v>
      </c>
    </row>
    <row r="271" spans="1:12" x14ac:dyDescent="0.25">
      <c r="A271" s="336" t="str">
        <f>AEL_Protection_Data[[#This Row],[Zone Sub]]&amp;"-"&amp;AEL_Protection_Data[[#This Row],[CB ID]]</f>
        <v>TMK-CB1292</v>
      </c>
      <c r="B271" s="335" t="s">
        <v>1138</v>
      </c>
      <c r="C271" s="334" t="s">
        <v>1833</v>
      </c>
      <c r="D271" s="334" t="s">
        <v>77</v>
      </c>
      <c r="E271" s="334" t="s">
        <v>1532</v>
      </c>
      <c r="F271" s="336" t="s">
        <v>1849</v>
      </c>
      <c r="G271" s="334" t="s">
        <v>1850</v>
      </c>
      <c r="H271" s="334" t="s">
        <v>2137</v>
      </c>
      <c r="I271" s="336" t="s">
        <v>1836</v>
      </c>
      <c r="J271" s="269">
        <v>33</v>
      </c>
      <c r="K271" s="269">
        <v>462</v>
      </c>
      <c r="L271" s="269">
        <f>IF(AEL_Protection_Data[[#This Row],[ID]]=A270,MIN(AEL_Protection_Data[[#This Row],[Pickup (A)]],K270),IF(AEL_Protection_Data[[#This Row],[ID]]=A272,MIN(AEL_Protection_Data[[#This Row],[Pickup (A)]],K272),AEL_Protection_Data[[#This Row],[Pickup (A)]]))</f>
        <v>462</v>
      </c>
    </row>
    <row r="272" spans="1:12" x14ac:dyDescent="0.25">
      <c r="A272" s="336" t="str">
        <f>AEL_Protection_Data[[#This Row],[Zone Sub]]&amp;"-"&amp;AEL_Protection_Data[[#This Row],[CB ID]]</f>
        <v>TMK-CB1</v>
      </c>
      <c r="B272" s="335" t="s">
        <v>1138</v>
      </c>
      <c r="C272" s="334" t="s">
        <v>1833</v>
      </c>
      <c r="D272" s="334" t="s">
        <v>77</v>
      </c>
      <c r="E272" s="334" t="s">
        <v>1532</v>
      </c>
      <c r="F272" s="336" t="s">
        <v>502</v>
      </c>
      <c r="G272" s="334" t="s">
        <v>1851</v>
      </c>
      <c r="H272" s="334" t="s">
        <v>2138</v>
      </c>
      <c r="I272" s="336" t="s">
        <v>1852</v>
      </c>
      <c r="J272" s="269">
        <v>11</v>
      </c>
      <c r="K272" s="269">
        <v>402</v>
      </c>
      <c r="L272" s="269">
        <f>IF(AEL_Protection_Data[[#This Row],[ID]]=A271,MIN(AEL_Protection_Data[[#This Row],[Pickup (A)]],K271),IF(AEL_Protection_Data[[#This Row],[ID]]=A273,MIN(AEL_Protection_Data[[#This Row],[Pickup (A)]],K273),AEL_Protection_Data[[#This Row],[Pickup (A)]]))</f>
        <v>402</v>
      </c>
    </row>
    <row r="273" spans="1:12" x14ac:dyDescent="0.25">
      <c r="A273" s="336" t="str">
        <f>AEL_Protection_Data[[#This Row],[Zone Sub]]&amp;"-"&amp;AEL_Protection_Data[[#This Row],[CB ID]]</f>
        <v>TMK-CB2</v>
      </c>
      <c r="B273" s="335" t="s">
        <v>1138</v>
      </c>
      <c r="C273" s="334" t="s">
        <v>1833</v>
      </c>
      <c r="D273" s="334" t="s">
        <v>77</v>
      </c>
      <c r="E273" s="334" t="s">
        <v>1532</v>
      </c>
      <c r="F273" s="336" t="s">
        <v>507</v>
      </c>
      <c r="G273" s="334" t="s">
        <v>1853</v>
      </c>
      <c r="H273" s="334" t="s">
        <v>2139</v>
      </c>
      <c r="I273" s="336" t="s">
        <v>1852</v>
      </c>
      <c r="J273" s="269">
        <v>11</v>
      </c>
      <c r="K273" s="269">
        <v>402</v>
      </c>
      <c r="L273" s="269">
        <f>IF(AEL_Protection_Data[[#This Row],[ID]]=A272,MIN(AEL_Protection_Data[[#This Row],[Pickup (A)]],K272),IF(AEL_Protection_Data[[#This Row],[ID]]=A274,MIN(AEL_Protection_Data[[#This Row],[Pickup (A)]],K274),AEL_Protection_Data[[#This Row],[Pickup (A)]]))</f>
        <v>402</v>
      </c>
    </row>
    <row r="274" spans="1:12" x14ac:dyDescent="0.25">
      <c r="A274" s="336" t="str">
        <f>AEL_Protection_Data[[#This Row],[Zone Sub]]&amp;"-"&amp;AEL_Protection_Data[[#This Row],[CB ID]]</f>
        <v>TMK-CB3</v>
      </c>
      <c r="B274" s="335" t="s">
        <v>1138</v>
      </c>
      <c r="C274" s="334" t="s">
        <v>1833</v>
      </c>
      <c r="D274" s="334" t="s">
        <v>77</v>
      </c>
      <c r="E274" s="334" t="s">
        <v>1532</v>
      </c>
      <c r="F274" s="336" t="s">
        <v>511</v>
      </c>
      <c r="G274" s="334" t="s">
        <v>1854</v>
      </c>
      <c r="H274" s="334" t="s">
        <v>2140</v>
      </c>
      <c r="I274" s="336" t="s">
        <v>1852</v>
      </c>
      <c r="J274" s="269">
        <v>11</v>
      </c>
      <c r="K274" s="269">
        <v>402</v>
      </c>
      <c r="L274" s="269">
        <f>IF(AEL_Protection_Data[[#This Row],[ID]]=A273,MIN(AEL_Protection_Data[[#This Row],[Pickup (A)]],K273),IF(AEL_Protection_Data[[#This Row],[ID]]=A275,MIN(AEL_Protection_Data[[#This Row],[Pickup (A)]],K275),AEL_Protection_Data[[#This Row],[Pickup (A)]]))</f>
        <v>402</v>
      </c>
    </row>
    <row r="275" spans="1:12" x14ac:dyDescent="0.25">
      <c r="A275" s="336" t="str">
        <f>AEL_Protection_Data[[#This Row],[Zone Sub]]&amp;"-"&amp;AEL_Protection_Data[[#This Row],[CB ID]]</f>
        <v>TMK-CB4</v>
      </c>
      <c r="B275" s="335" t="s">
        <v>1138</v>
      </c>
      <c r="C275" s="334" t="s">
        <v>1833</v>
      </c>
      <c r="D275" s="334" t="s">
        <v>77</v>
      </c>
      <c r="E275" s="334" t="s">
        <v>1855</v>
      </c>
      <c r="F275" s="336" t="s">
        <v>498</v>
      </c>
      <c r="G275" s="334" t="s">
        <v>1856</v>
      </c>
      <c r="H275" s="334" t="s">
        <v>2141</v>
      </c>
      <c r="I275" s="336" t="s">
        <v>1852</v>
      </c>
      <c r="J275" s="269">
        <v>11</v>
      </c>
      <c r="K275" s="269">
        <v>1080</v>
      </c>
      <c r="L275" s="269">
        <f>IF(AEL_Protection_Data[[#This Row],[ID]]=A274,MIN(AEL_Protection_Data[[#This Row],[Pickup (A)]],K274),IF(AEL_Protection_Data[[#This Row],[ID]]=A276,MIN(AEL_Protection_Data[[#This Row],[Pickup (A)]],K276),AEL_Protection_Data[[#This Row],[Pickup (A)]]))</f>
        <v>1080</v>
      </c>
    </row>
    <row r="276" spans="1:12" x14ac:dyDescent="0.25">
      <c r="A276" s="336" t="str">
        <f>AEL_Protection_Data[[#This Row],[Zone Sub]]&amp;"-"&amp;AEL_Protection_Data[[#This Row],[CB ID]]</f>
        <v>TMK-CB5</v>
      </c>
      <c r="B276" s="335" t="s">
        <v>1138</v>
      </c>
      <c r="C276" s="334" t="s">
        <v>1833</v>
      </c>
      <c r="D276" s="334" t="s">
        <v>77</v>
      </c>
      <c r="E276" s="334" t="s">
        <v>1532</v>
      </c>
      <c r="F276" s="336" t="s">
        <v>592</v>
      </c>
      <c r="G276" s="334" t="s">
        <v>746</v>
      </c>
      <c r="H276" s="334" t="s">
        <v>2529</v>
      </c>
      <c r="I276" s="336" t="s">
        <v>1852</v>
      </c>
      <c r="J276" s="269">
        <v>11</v>
      </c>
      <c r="K276" s="269">
        <v>983.99999999999989</v>
      </c>
      <c r="L276" s="269">
        <f>IF(AEL_Protection_Data[[#This Row],[ID]]=A275,MIN(AEL_Protection_Data[[#This Row],[Pickup (A)]],K275),IF(AEL_Protection_Data[[#This Row],[ID]]=A277,MIN(AEL_Protection_Data[[#This Row],[Pickup (A)]],K277),AEL_Protection_Data[[#This Row],[Pickup (A)]]))</f>
        <v>983.99999999999989</v>
      </c>
    </row>
    <row r="277" spans="1:12" x14ac:dyDescent="0.25">
      <c r="A277" s="336" t="str">
        <f>AEL_Protection_Data[[#This Row],[Zone Sub]]&amp;"-"&amp;AEL_Protection_Data[[#This Row],[CB ID]]</f>
        <v>TMK-CB6</v>
      </c>
      <c r="B277" s="335" t="s">
        <v>1138</v>
      </c>
      <c r="C277" s="334" t="s">
        <v>1833</v>
      </c>
      <c r="D277" s="334" t="s">
        <v>77</v>
      </c>
      <c r="E277" s="334" t="s">
        <v>1855</v>
      </c>
      <c r="F277" s="336" t="s">
        <v>500</v>
      </c>
      <c r="G277" s="334" t="s">
        <v>1857</v>
      </c>
      <c r="H277" s="334" t="s">
        <v>2142</v>
      </c>
      <c r="I277" s="336" t="s">
        <v>1852</v>
      </c>
      <c r="J277" s="269">
        <v>11</v>
      </c>
      <c r="K277" s="269">
        <v>1080</v>
      </c>
      <c r="L277" s="269">
        <f>IF(AEL_Protection_Data[[#This Row],[ID]]=A276,MIN(AEL_Protection_Data[[#This Row],[Pickup (A)]],K276),IF(AEL_Protection_Data[[#This Row],[ID]]=A278,MIN(AEL_Protection_Data[[#This Row],[Pickup (A)]],K278),AEL_Protection_Data[[#This Row],[Pickup (A)]]))</f>
        <v>1080</v>
      </c>
    </row>
    <row r="278" spans="1:12" x14ac:dyDescent="0.25">
      <c r="A278" s="336" t="str">
        <f>AEL_Protection_Data[[#This Row],[Zone Sub]]&amp;"-"&amp;AEL_Protection_Data[[#This Row],[CB ID]]</f>
        <v>TMK-CB7</v>
      </c>
      <c r="B278" s="335" t="s">
        <v>1138</v>
      </c>
      <c r="C278" s="334" t="s">
        <v>1833</v>
      </c>
      <c r="D278" s="334" t="s">
        <v>77</v>
      </c>
      <c r="E278" s="334" t="s">
        <v>1532</v>
      </c>
      <c r="F278" s="336" t="s">
        <v>512</v>
      </c>
      <c r="G278" s="334" t="s">
        <v>1858</v>
      </c>
      <c r="H278" s="334" t="s">
        <v>2143</v>
      </c>
      <c r="I278" s="336" t="s">
        <v>1852</v>
      </c>
      <c r="J278" s="269">
        <v>11</v>
      </c>
      <c r="K278" s="269">
        <v>402</v>
      </c>
      <c r="L278" s="269">
        <f>IF(AEL_Protection_Data[[#This Row],[ID]]=A277,MIN(AEL_Protection_Data[[#This Row],[Pickup (A)]],K277),IF(AEL_Protection_Data[[#This Row],[ID]]=A279,MIN(AEL_Protection_Data[[#This Row],[Pickup (A)]],K279),AEL_Protection_Data[[#This Row],[Pickup (A)]]))</f>
        <v>402</v>
      </c>
    </row>
    <row r="279" spans="1:12" x14ac:dyDescent="0.25">
      <c r="A279" s="336" t="str">
        <f>AEL_Protection_Data[[#This Row],[Zone Sub]]&amp;"-"&amp;AEL_Protection_Data[[#This Row],[CB ID]]</f>
        <v>TMK-CB8</v>
      </c>
      <c r="B279" s="335" t="s">
        <v>1138</v>
      </c>
      <c r="C279" s="334" t="s">
        <v>1833</v>
      </c>
      <c r="D279" s="334" t="s">
        <v>77</v>
      </c>
      <c r="E279" s="334" t="s">
        <v>1532</v>
      </c>
      <c r="F279" s="336" t="s">
        <v>522</v>
      </c>
      <c r="G279" s="334" t="s">
        <v>1859</v>
      </c>
      <c r="H279" s="334" t="s">
        <v>2144</v>
      </c>
      <c r="I279" s="336" t="s">
        <v>1852</v>
      </c>
      <c r="J279" s="269">
        <v>11</v>
      </c>
      <c r="K279" s="269">
        <v>402</v>
      </c>
      <c r="L279" s="269">
        <f>IF(AEL_Protection_Data[[#This Row],[ID]]=A278,MIN(AEL_Protection_Data[[#This Row],[Pickup (A)]],K278),IF(AEL_Protection_Data[[#This Row],[ID]]=A280,MIN(AEL_Protection_Data[[#This Row],[Pickup (A)]],K280),AEL_Protection_Data[[#This Row],[Pickup (A)]]))</f>
        <v>402</v>
      </c>
    </row>
    <row r="280" spans="1:12" x14ac:dyDescent="0.25">
      <c r="A280" s="336" t="str">
        <f>AEL_Protection_Data[[#This Row],[Zone Sub]]&amp;"-"&amp;AEL_Protection_Data[[#This Row],[CB ID]]</f>
        <v>TMK-CB9</v>
      </c>
      <c r="B280" s="335" t="s">
        <v>1138</v>
      </c>
      <c r="C280" s="334" t="s">
        <v>1833</v>
      </c>
      <c r="D280" s="334" t="s">
        <v>77</v>
      </c>
      <c r="E280" s="334" t="s">
        <v>1532</v>
      </c>
      <c r="F280" s="336" t="s">
        <v>526</v>
      </c>
      <c r="G280" s="334" t="s">
        <v>1860</v>
      </c>
      <c r="H280" s="334" t="s">
        <v>2145</v>
      </c>
      <c r="I280" s="336" t="s">
        <v>1852</v>
      </c>
      <c r="J280" s="269">
        <v>11</v>
      </c>
      <c r="K280" s="269">
        <v>402</v>
      </c>
      <c r="L280" s="269">
        <f>IF(AEL_Protection_Data[[#This Row],[ID]]=A279,MIN(AEL_Protection_Data[[#This Row],[Pickup (A)]],K279),IF(AEL_Protection_Data[[#This Row],[ID]]=A281,MIN(AEL_Protection_Data[[#This Row],[Pickup (A)]],K281),AEL_Protection_Data[[#This Row],[Pickup (A)]]))</f>
        <v>402</v>
      </c>
    </row>
    <row r="281" spans="1:12" x14ac:dyDescent="0.25">
      <c r="A281" s="336" t="str">
        <f>AEL_Protection_Data[[#This Row],[Zone Sub]]&amp;"-"&amp;AEL_Protection_Data[[#This Row],[CB ID]]</f>
        <v>TMK-G297</v>
      </c>
      <c r="B281" s="335" t="s">
        <v>1138</v>
      </c>
      <c r="C281" s="334" t="s">
        <v>1833</v>
      </c>
      <c r="D281" s="334" t="s">
        <v>77</v>
      </c>
      <c r="E281" s="334" t="s">
        <v>1532</v>
      </c>
      <c r="F281" s="336" t="s">
        <v>1861</v>
      </c>
      <c r="G281" s="334" t="s">
        <v>1862</v>
      </c>
      <c r="H281" s="334" t="s">
        <v>2146</v>
      </c>
      <c r="I281" s="336" t="s">
        <v>1863</v>
      </c>
      <c r="J281" s="269">
        <v>11</v>
      </c>
      <c r="K281" s="269">
        <v>200</v>
      </c>
      <c r="L281" s="269">
        <f>IF(AEL_Protection_Data[[#This Row],[ID]]=A280,MIN(AEL_Protection_Data[[#This Row],[Pickup (A)]],K280),IF(AEL_Protection_Data[[#This Row],[ID]]=A282,MIN(AEL_Protection_Data[[#This Row],[Pickup (A)]],K282),AEL_Protection_Data[[#This Row],[Pickup (A)]]))</f>
        <v>200</v>
      </c>
    </row>
    <row r="282" spans="1:12" x14ac:dyDescent="0.25">
      <c r="A282" s="336" t="str">
        <f>AEL_Protection_Data[[#This Row],[Zone Sub]]&amp;"-"&amp;AEL_Protection_Data[[#This Row],[CB ID]]</f>
        <v>TMK-G300</v>
      </c>
      <c r="B282" s="335" t="s">
        <v>1138</v>
      </c>
      <c r="C282" s="334" t="s">
        <v>1833</v>
      </c>
      <c r="D282" s="334" t="s">
        <v>77</v>
      </c>
      <c r="E282" s="334" t="s">
        <v>1532</v>
      </c>
      <c r="F282" s="336" t="s">
        <v>1864</v>
      </c>
      <c r="G282" s="334" t="s">
        <v>1865</v>
      </c>
      <c r="H282" s="334" t="s">
        <v>2147</v>
      </c>
      <c r="I282" s="336" t="s">
        <v>1863</v>
      </c>
      <c r="J282" s="269">
        <v>11</v>
      </c>
      <c r="K282" s="269">
        <v>200</v>
      </c>
      <c r="L282" s="269">
        <f>IF(AEL_Protection_Data[[#This Row],[ID]]=A281,MIN(AEL_Protection_Data[[#This Row],[Pickup (A)]],K281),IF(AEL_Protection_Data[[#This Row],[ID]]=A283,MIN(AEL_Protection_Data[[#This Row],[Pickup (A)]],K283),AEL_Protection_Data[[#This Row],[Pickup (A)]]))</f>
        <v>200</v>
      </c>
    </row>
    <row r="283" spans="1:12" x14ac:dyDescent="0.25">
      <c r="A283" s="336" t="str">
        <f>AEL_Protection_Data[[#This Row],[Zone Sub]]&amp;"-"&amp;AEL_Protection_Data[[#This Row],[CB ID]]</f>
        <v>CD1-T615</v>
      </c>
      <c r="B283" s="335" t="s">
        <v>2205</v>
      </c>
      <c r="C283" s="334" t="s">
        <v>1833</v>
      </c>
      <c r="D283" s="334" t="s">
        <v>77</v>
      </c>
      <c r="E283" s="334" t="s">
        <v>1866</v>
      </c>
      <c r="F283" s="336" t="s">
        <v>620</v>
      </c>
      <c r="G283" s="334" t="s">
        <v>1867</v>
      </c>
      <c r="H283" s="334" t="s">
        <v>2148</v>
      </c>
      <c r="I283" s="336" t="s">
        <v>1746</v>
      </c>
      <c r="J283" s="269">
        <v>33</v>
      </c>
      <c r="K283" s="269">
        <v>512</v>
      </c>
      <c r="L283" s="269">
        <f>IF(AEL_Protection_Data[[#This Row],[ID]]=A282,MIN(AEL_Protection_Data[[#This Row],[Pickup (A)]],K282),IF(AEL_Protection_Data[[#This Row],[ID]]=A284,MIN(AEL_Protection_Data[[#This Row],[Pickup (A)]],K284),AEL_Protection_Data[[#This Row],[Pickup (A)]]))</f>
        <v>512</v>
      </c>
    </row>
    <row r="284" spans="1:12" x14ac:dyDescent="0.25">
      <c r="A284" s="336" t="str">
        <f>AEL_Protection_Data[[#This Row],[Zone Sub]]&amp;"-"&amp;AEL_Protection_Data[[#This Row],[CB ID]]</f>
        <v>CD1-T616</v>
      </c>
      <c r="B284" s="335" t="s">
        <v>2205</v>
      </c>
      <c r="C284" s="334" t="s">
        <v>1833</v>
      </c>
      <c r="D284" s="334" t="s">
        <v>77</v>
      </c>
      <c r="E284" s="334" t="s">
        <v>1866</v>
      </c>
      <c r="F284" s="336" t="s">
        <v>627</v>
      </c>
      <c r="G284" s="334" t="s">
        <v>1868</v>
      </c>
      <c r="H284" s="334" t="s">
        <v>2149</v>
      </c>
      <c r="I284" s="336" t="s">
        <v>1746</v>
      </c>
      <c r="J284" s="269">
        <v>33</v>
      </c>
      <c r="K284" s="269">
        <v>512</v>
      </c>
      <c r="L284" s="269">
        <f>IF(AEL_Protection_Data[[#This Row],[ID]]=A283,MIN(AEL_Protection_Data[[#This Row],[Pickup (A)]],K283),IF(AEL_Protection_Data[[#This Row],[ID]]=A285,MIN(AEL_Protection_Data[[#This Row],[Pickup (A)]],K285),AEL_Protection_Data[[#This Row],[Pickup (A)]]))</f>
        <v>512</v>
      </c>
    </row>
    <row r="285" spans="1:12" x14ac:dyDescent="0.25">
      <c r="A285" s="336" t="str">
        <f>AEL_Protection_Data[[#This Row],[Zone Sub]]&amp;"-"&amp;AEL_Protection_Data[[#This Row],[CB ID]]</f>
        <v>CD1-T600</v>
      </c>
      <c r="B285" s="335" t="s">
        <v>2205</v>
      </c>
      <c r="C285" s="334" t="s">
        <v>1833</v>
      </c>
      <c r="D285" s="334" t="s">
        <v>77</v>
      </c>
      <c r="E285" s="334" t="s">
        <v>1611</v>
      </c>
      <c r="F285" s="336" t="s">
        <v>643</v>
      </c>
      <c r="G285" s="334" t="s">
        <v>1869</v>
      </c>
      <c r="H285" s="334" t="s">
        <v>2150</v>
      </c>
      <c r="I285" s="336" t="s">
        <v>1539</v>
      </c>
      <c r="J285" s="269">
        <v>11</v>
      </c>
      <c r="K285" s="269">
        <v>1200</v>
      </c>
      <c r="L285" s="269">
        <f>IF(AEL_Protection_Data[[#This Row],[ID]]=A284,MIN(AEL_Protection_Data[[#This Row],[Pickup (A)]],K284),IF(AEL_Protection_Data[[#This Row],[ID]]=A286,MIN(AEL_Protection_Data[[#This Row],[Pickup (A)]],K286),AEL_Protection_Data[[#This Row],[Pickup (A)]]))</f>
        <v>480</v>
      </c>
    </row>
    <row r="286" spans="1:12" x14ac:dyDescent="0.25">
      <c r="A286" s="336" t="str">
        <f>AEL_Protection_Data[[#This Row],[Zone Sub]]&amp;"-"&amp;AEL_Protection_Data[[#This Row],[CB ID]]</f>
        <v>CD1-T600</v>
      </c>
      <c r="B286" s="335" t="s">
        <v>2205</v>
      </c>
      <c r="C286" s="334" t="s">
        <v>1833</v>
      </c>
      <c r="D286" s="334" t="s">
        <v>77</v>
      </c>
      <c r="E286" s="334" t="s">
        <v>1870</v>
      </c>
      <c r="F286" s="336" t="s">
        <v>643</v>
      </c>
      <c r="G286" s="334" t="s">
        <v>1869</v>
      </c>
      <c r="H286" s="334" t="s">
        <v>2150</v>
      </c>
      <c r="I286" s="336" t="s">
        <v>1539</v>
      </c>
      <c r="J286" s="269">
        <v>11</v>
      </c>
      <c r="K286" s="269">
        <v>480</v>
      </c>
      <c r="L286" s="269">
        <f>IF(AEL_Protection_Data[[#This Row],[ID]]=A285,MIN(AEL_Protection_Data[[#This Row],[Pickup (A)]],K285),IF(AEL_Protection_Data[[#This Row],[ID]]=A287,MIN(AEL_Protection_Data[[#This Row],[Pickup (A)]],K287),AEL_Protection_Data[[#This Row],[Pickup (A)]]))</f>
        <v>480</v>
      </c>
    </row>
    <row r="287" spans="1:12" x14ac:dyDescent="0.25">
      <c r="A287" s="336" t="str">
        <f>AEL_Protection_Data[[#This Row],[Zone Sub]]&amp;"-"&amp;AEL_Protection_Data[[#This Row],[CB ID]]</f>
        <v>CD1-T601</v>
      </c>
      <c r="B287" s="335" t="s">
        <v>2205</v>
      </c>
      <c r="C287" s="334" t="s">
        <v>1833</v>
      </c>
      <c r="D287" s="334" t="s">
        <v>77</v>
      </c>
      <c r="E287" s="334" t="s">
        <v>1611</v>
      </c>
      <c r="F287" s="336" t="s">
        <v>644</v>
      </c>
      <c r="G287" s="334" t="s">
        <v>1871</v>
      </c>
      <c r="H287" s="334" t="s">
        <v>112</v>
      </c>
      <c r="I287" s="336" t="s">
        <v>1539</v>
      </c>
      <c r="J287" s="269">
        <v>11</v>
      </c>
      <c r="K287" s="269">
        <v>1200</v>
      </c>
      <c r="L287" s="269">
        <f>IF(AEL_Protection_Data[[#This Row],[ID]]=A286,MIN(AEL_Protection_Data[[#This Row],[Pickup (A)]],K286),IF(AEL_Protection_Data[[#This Row],[ID]]=A288,MIN(AEL_Protection_Data[[#This Row],[Pickup (A)]],K288),AEL_Protection_Data[[#This Row],[Pickup (A)]]))</f>
        <v>480</v>
      </c>
    </row>
    <row r="288" spans="1:12" x14ac:dyDescent="0.25">
      <c r="A288" s="336" t="str">
        <f>AEL_Protection_Data[[#This Row],[Zone Sub]]&amp;"-"&amp;AEL_Protection_Data[[#This Row],[CB ID]]</f>
        <v>CD1-T601</v>
      </c>
      <c r="B288" s="335" t="s">
        <v>2205</v>
      </c>
      <c r="C288" s="334" t="s">
        <v>1833</v>
      </c>
      <c r="D288" s="334" t="s">
        <v>77</v>
      </c>
      <c r="E288" s="334" t="s">
        <v>1870</v>
      </c>
      <c r="F288" s="336" t="s">
        <v>644</v>
      </c>
      <c r="G288" s="334" t="s">
        <v>1871</v>
      </c>
      <c r="H288" s="334" t="s">
        <v>112</v>
      </c>
      <c r="I288" s="336" t="s">
        <v>1539</v>
      </c>
      <c r="J288" s="269">
        <v>11</v>
      </c>
      <c r="K288" s="269">
        <v>480</v>
      </c>
      <c r="L288" s="269">
        <f>IF(AEL_Protection_Data[[#This Row],[ID]]=A287,MIN(AEL_Protection_Data[[#This Row],[Pickup (A)]],K287),IF(AEL_Protection_Data[[#This Row],[ID]]=A289,MIN(AEL_Protection_Data[[#This Row],[Pickup (A)]],K289),AEL_Protection_Data[[#This Row],[Pickup (A)]]))</f>
        <v>480</v>
      </c>
    </row>
    <row r="289" spans="1:12" x14ac:dyDescent="0.25">
      <c r="A289" s="336" t="str">
        <f>AEL_Protection_Data[[#This Row],[Zone Sub]]&amp;"-"&amp;AEL_Protection_Data[[#This Row],[CB ID]]</f>
        <v>CD1-T602</v>
      </c>
      <c r="B289" s="335" t="s">
        <v>2205</v>
      </c>
      <c r="C289" s="334" t="s">
        <v>1833</v>
      </c>
      <c r="D289" s="334" t="s">
        <v>77</v>
      </c>
      <c r="E289" s="334" t="s">
        <v>1611</v>
      </c>
      <c r="F289" s="336" t="s">
        <v>645</v>
      </c>
      <c r="G289" s="334" t="s">
        <v>1872</v>
      </c>
      <c r="H289" s="334" t="s">
        <v>123</v>
      </c>
      <c r="I289" s="336" t="s">
        <v>1539</v>
      </c>
      <c r="J289" s="269">
        <v>11</v>
      </c>
      <c r="K289" s="269">
        <v>1200</v>
      </c>
      <c r="L289" s="269">
        <f>IF(AEL_Protection_Data[[#This Row],[ID]]=A288,MIN(AEL_Protection_Data[[#This Row],[Pickup (A)]],K288),IF(AEL_Protection_Data[[#This Row],[ID]]=A290,MIN(AEL_Protection_Data[[#This Row],[Pickup (A)]],K290),AEL_Protection_Data[[#This Row],[Pickup (A)]]))</f>
        <v>480</v>
      </c>
    </row>
    <row r="290" spans="1:12" x14ac:dyDescent="0.25">
      <c r="A290" s="336" t="str">
        <f>AEL_Protection_Data[[#This Row],[Zone Sub]]&amp;"-"&amp;AEL_Protection_Data[[#This Row],[CB ID]]</f>
        <v>CD1-T602</v>
      </c>
      <c r="B290" s="335" t="s">
        <v>2205</v>
      </c>
      <c r="C290" s="334" t="s">
        <v>1833</v>
      </c>
      <c r="D290" s="334" t="s">
        <v>77</v>
      </c>
      <c r="E290" s="334" t="s">
        <v>1870</v>
      </c>
      <c r="F290" s="336" t="s">
        <v>645</v>
      </c>
      <c r="G290" s="334" t="s">
        <v>1872</v>
      </c>
      <c r="H290" s="334" t="s">
        <v>123</v>
      </c>
      <c r="I290" s="336" t="s">
        <v>1539</v>
      </c>
      <c r="J290" s="269">
        <v>11</v>
      </c>
      <c r="K290" s="269">
        <v>480</v>
      </c>
      <c r="L290" s="269">
        <f>IF(AEL_Protection_Data[[#This Row],[ID]]=A289,MIN(AEL_Protection_Data[[#This Row],[Pickup (A)]],K289),IF(AEL_Protection_Data[[#This Row],[ID]]=A291,MIN(AEL_Protection_Data[[#This Row],[Pickup (A)]],K291),AEL_Protection_Data[[#This Row],[Pickup (A)]]))</f>
        <v>480</v>
      </c>
    </row>
    <row r="291" spans="1:12" x14ac:dyDescent="0.25">
      <c r="A291" s="336" t="str">
        <f>AEL_Protection_Data[[#This Row],[Zone Sub]]&amp;"-"&amp;AEL_Protection_Data[[#This Row],[CB ID]]</f>
        <v>CD1-T603</v>
      </c>
      <c r="B291" s="335" t="s">
        <v>2205</v>
      </c>
      <c r="C291" s="334" t="s">
        <v>1833</v>
      </c>
      <c r="D291" s="334" t="s">
        <v>77</v>
      </c>
      <c r="E291" s="334" t="s">
        <v>1611</v>
      </c>
      <c r="F291" s="336" t="s">
        <v>646</v>
      </c>
      <c r="G291" s="334" t="s">
        <v>1873</v>
      </c>
      <c r="H291" s="334" t="s">
        <v>131</v>
      </c>
      <c r="I291" s="336" t="s">
        <v>1539</v>
      </c>
      <c r="J291" s="269">
        <v>11</v>
      </c>
      <c r="K291" s="269">
        <v>1200</v>
      </c>
      <c r="L291" s="269">
        <f>IF(AEL_Protection_Data[[#This Row],[ID]]=A290,MIN(AEL_Protection_Data[[#This Row],[Pickup (A)]],K290),IF(AEL_Protection_Data[[#This Row],[ID]]=A292,MIN(AEL_Protection_Data[[#This Row],[Pickup (A)]],K292),AEL_Protection_Data[[#This Row],[Pickup (A)]]))</f>
        <v>480</v>
      </c>
    </row>
    <row r="292" spans="1:12" x14ac:dyDescent="0.25">
      <c r="A292" s="336" t="str">
        <f>AEL_Protection_Data[[#This Row],[Zone Sub]]&amp;"-"&amp;AEL_Protection_Data[[#This Row],[CB ID]]</f>
        <v>CD1-T603</v>
      </c>
      <c r="B292" s="335" t="s">
        <v>2205</v>
      </c>
      <c r="C292" s="334" t="s">
        <v>1833</v>
      </c>
      <c r="D292" s="334" t="s">
        <v>77</v>
      </c>
      <c r="E292" s="334" t="s">
        <v>1870</v>
      </c>
      <c r="F292" s="336" t="s">
        <v>646</v>
      </c>
      <c r="G292" s="334" t="s">
        <v>1873</v>
      </c>
      <c r="H292" s="334" t="s">
        <v>131</v>
      </c>
      <c r="I292" s="336" t="s">
        <v>1539</v>
      </c>
      <c r="J292" s="269">
        <v>11</v>
      </c>
      <c r="K292" s="269">
        <v>480</v>
      </c>
      <c r="L292" s="269">
        <f>IF(AEL_Protection_Data[[#This Row],[ID]]=A291,MIN(AEL_Protection_Data[[#This Row],[Pickup (A)]],K291),IF(AEL_Protection_Data[[#This Row],[ID]]=A293,MIN(AEL_Protection_Data[[#This Row],[Pickup (A)]],K293),AEL_Protection_Data[[#This Row],[Pickup (A)]]))</f>
        <v>480</v>
      </c>
    </row>
    <row r="293" spans="1:12" x14ac:dyDescent="0.25">
      <c r="A293" s="336" t="str">
        <f>AEL_Protection_Data[[#This Row],[Zone Sub]]&amp;"-"&amp;AEL_Protection_Data[[#This Row],[CB ID]]</f>
        <v>CD1-T604</v>
      </c>
      <c r="B293" s="335" t="s">
        <v>2205</v>
      </c>
      <c r="C293" s="334" t="s">
        <v>1833</v>
      </c>
      <c r="D293" s="334" t="s">
        <v>77</v>
      </c>
      <c r="E293" s="334" t="s">
        <v>1611</v>
      </c>
      <c r="F293" s="336" t="s">
        <v>1874</v>
      </c>
      <c r="G293" s="334" t="s">
        <v>1405</v>
      </c>
      <c r="H293" s="334" t="s">
        <v>2151</v>
      </c>
      <c r="I293" s="336" t="s">
        <v>1539</v>
      </c>
      <c r="J293" s="269">
        <v>11</v>
      </c>
      <c r="K293" s="269">
        <v>1200</v>
      </c>
      <c r="L293" s="269">
        <f>IF(AEL_Protection_Data[[#This Row],[ID]]=A292,MIN(AEL_Protection_Data[[#This Row],[Pickup (A)]],K292),IF(AEL_Protection_Data[[#This Row],[ID]]=A294,MIN(AEL_Protection_Data[[#This Row],[Pickup (A)]],K294),AEL_Protection_Data[[#This Row],[Pickup (A)]]))</f>
        <v>480</v>
      </c>
    </row>
    <row r="294" spans="1:12" x14ac:dyDescent="0.25">
      <c r="A294" s="336" t="str">
        <f>AEL_Protection_Data[[#This Row],[Zone Sub]]&amp;"-"&amp;AEL_Protection_Data[[#This Row],[CB ID]]</f>
        <v>CD1-T604</v>
      </c>
      <c r="B294" s="335" t="s">
        <v>2205</v>
      </c>
      <c r="C294" s="334" t="s">
        <v>1833</v>
      </c>
      <c r="D294" s="334" t="s">
        <v>77</v>
      </c>
      <c r="E294" s="334" t="s">
        <v>1870</v>
      </c>
      <c r="F294" s="336" t="s">
        <v>1874</v>
      </c>
      <c r="G294" s="334" t="s">
        <v>1405</v>
      </c>
      <c r="H294" s="334" t="s">
        <v>2151</v>
      </c>
      <c r="I294" s="336" t="s">
        <v>1539</v>
      </c>
      <c r="J294" s="269">
        <v>11</v>
      </c>
      <c r="K294" s="269">
        <v>480</v>
      </c>
      <c r="L294" s="269">
        <f>IF(AEL_Protection_Data[[#This Row],[ID]]=A293,MIN(AEL_Protection_Data[[#This Row],[Pickup (A)]],K293),IF(AEL_Protection_Data[[#This Row],[ID]]=A295,MIN(AEL_Protection_Data[[#This Row],[Pickup (A)]],K295),AEL_Protection_Data[[#This Row],[Pickup (A)]]))</f>
        <v>480</v>
      </c>
    </row>
    <row r="295" spans="1:12" x14ac:dyDescent="0.25">
      <c r="A295" s="336" t="str">
        <f>AEL_Protection_Data[[#This Row],[Zone Sub]]&amp;"-"&amp;AEL_Protection_Data[[#This Row],[CB ID]]</f>
        <v>CD1-T605</v>
      </c>
      <c r="B295" s="335" t="s">
        <v>2205</v>
      </c>
      <c r="C295" s="334" t="s">
        <v>1833</v>
      </c>
      <c r="D295" s="334" t="s">
        <v>77</v>
      </c>
      <c r="E295" s="334" t="s">
        <v>1532</v>
      </c>
      <c r="F295" s="336" t="s">
        <v>647</v>
      </c>
      <c r="G295" s="334" t="s">
        <v>1875</v>
      </c>
      <c r="H295" s="334" t="s">
        <v>2152</v>
      </c>
      <c r="I295" s="336" t="s">
        <v>1539</v>
      </c>
      <c r="J295" s="269">
        <v>11</v>
      </c>
      <c r="K295" s="269">
        <v>252</v>
      </c>
      <c r="L295" s="269">
        <f>IF(AEL_Protection_Data[[#This Row],[ID]]=A294,MIN(AEL_Protection_Data[[#This Row],[Pickup (A)]],K294),IF(AEL_Protection_Data[[#This Row],[ID]]=A296,MIN(AEL_Protection_Data[[#This Row],[Pickup (A)]],K296),AEL_Protection_Data[[#This Row],[Pickup (A)]]))</f>
        <v>252</v>
      </c>
    </row>
    <row r="296" spans="1:12" x14ac:dyDescent="0.25">
      <c r="A296" s="336" t="str">
        <f>AEL_Protection_Data[[#This Row],[Zone Sub]]&amp;"-"&amp;AEL_Protection_Data[[#This Row],[CB ID]]</f>
        <v>CD1-T606</v>
      </c>
      <c r="B296" s="335" t="s">
        <v>2205</v>
      </c>
      <c r="C296" s="334" t="s">
        <v>1833</v>
      </c>
      <c r="D296" s="334" t="s">
        <v>77</v>
      </c>
      <c r="E296" s="334" t="s">
        <v>1532</v>
      </c>
      <c r="F296" s="336" t="s">
        <v>622</v>
      </c>
      <c r="G296" s="334" t="s">
        <v>1876</v>
      </c>
      <c r="H296" s="334" t="s">
        <v>2153</v>
      </c>
      <c r="I296" s="336" t="s">
        <v>1746</v>
      </c>
      <c r="J296" s="269">
        <v>11</v>
      </c>
      <c r="K296" s="269">
        <v>1440</v>
      </c>
      <c r="L296" s="269">
        <f>IF(AEL_Protection_Data[[#This Row],[ID]]=A295,MIN(AEL_Protection_Data[[#This Row],[Pickup (A)]],K295),IF(AEL_Protection_Data[[#This Row],[ID]]=A297,MIN(AEL_Protection_Data[[#This Row],[Pickup (A)]],K297),AEL_Protection_Data[[#This Row],[Pickup (A)]]))</f>
        <v>1440</v>
      </c>
    </row>
    <row r="297" spans="1:12" x14ac:dyDescent="0.25">
      <c r="A297" s="336" t="str">
        <f>AEL_Protection_Data[[#This Row],[Zone Sub]]&amp;"-"&amp;AEL_Protection_Data[[#This Row],[CB ID]]</f>
        <v>CD1-T607</v>
      </c>
      <c r="B297" s="335" t="s">
        <v>2205</v>
      </c>
      <c r="C297" s="334" t="s">
        <v>1833</v>
      </c>
      <c r="D297" s="334" t="s">
        <v>77</v>
      </c>
      <c r="E297" s="334" t="s">
        <v>1532</v>
      </c>
      <c r="F297" s="336" t="s">
        <v>2539</v>
      </c>
      <c r="G297" s="334" t="s">
        <v>746</v>
      </c>
      <c r="H297" s="334" t="s">
        <v>2540</v>
      </c>
      <c r="I297" s="336" t="s">
        <v>1539</v>
      </c>
      <c r="J297" s="269">
        <v>11</v>
      </c>
      <c r="K297" s="269">
        <v>1440</v>
      </c>
      <c r="L297" s="269">
        <f>IF(AEL_Protection_Data[[#This Row],[ID]]=A296,MIN(AEL_Protection_Data[[#This Row],[Pickup (A)]],K296),IF(AEL_Protection_Data[[#This Row],[ID]]=A298,MIN(AEL_Protection_Data[[#This Row],[Pickup (A)]],K298),AEL_Protection_Data[[#This Row],[Pickup (A)]]))</f>
        <v>1440</v>
      </c>
    </row>
    <row r="298" spans="1:12" x14ac:dyDescent="0.25">
      <c r="A298" s="336" t="str">
        <f>AEL_Protection_Data[[#This Row],[Zone Sub]]&amp;"-"&amp;AEL_Protection_Data[[#This Row],[CB ID]]</f>
        <v>CD1-T608</v>
      </c>
      <c r="B298" s="335" t="s">
        <v>2205</v>
      </c>
      <c r="C298" s="334" t="s">
        <v>1833</v>
      </c>
      <c r="D298" s="334" t="s">
        <v>77</v>
      </c>
      <c r="E298" s="334" t="s">
        <v>1532</v>
      </c>
      <c r="F298" s="336" t="s">
        <v>631</v>
      </c>
      <c r="G298" s="334" t="s">
        <v>1877</v>
      </c>
      <c r="H298" s="334" t="s">
        <v>2154</v>
      </c>
      <c r="I298" s="336" t="s">
        <v>1746</v>
      </c>
      <c r="J298" s="269">
        <v>11</v>
      </c>
      <c r="K298" s="269">
        <v>1440</v>
      </c>
      <c r="L298" s="269">
        <f>IF(AEL_Protection_Data[[#This Row],[ID]]=A297,MIN(AEL_Protection_Data[[#This Row],[Pickup (A)]],K297),IF(AEL_Protection_Data[[#This Row],[ID]]=A299,MIN(AEL_Protection_Data[[#This Row],[Pickup (A)]],K299),AEL_Protection_Data[[#This Row],[Pickup (A)]]))</f>
        <v>1440</v>
      </c>
    </row>
    <row r="299" spans="1:12" x14ac:dyDescent="0.25">
      <c r="A299" s="336" t="str">
        <f>AEL_Protection_Data[[#This Row],[Zone Sub]]&amp;"-"&amp;AEL_Protection_Data[[#This Row],[CB ID]]</f>
        <v>CD1-T609</v>
      </c>
      <c r="B299" s="335" t="s">
        <v>2205</v>
      </c>
      <c r="C299" s="334" t="s">
        <v>1833</v>
      </c>
      <c r="D299" s="334" t="s">
        <v>77</v>
      </c>
      <c r="E299" s="334" t="s">
        <v>1611</v>
      </c>
      <c r="F299" s="336" t="s">
        <v>648</v>
      </c>
      <c r="G299" s="334" t="s">
        <v>1878</v>
      </c>
      <c r="H299" s="334" t="s">
        <v>141</v>
      </c>
      <c r="I299" s="336" t="s">
        <v>1539</v>
      </c>
      <c r="J299" s="269">
        <v>11</v>
      </c>
      <c r="K299" s="269">
        <v>1200</v>
      </c>
      <c r="L299" s="269">
        <f>IF(AEL_Protection_Data[[#This Row],[ID]]=A298,MIN(AEL_Protection_Data[[#This Row],[Pickup (A)]],K298),IF(AEL_Protection_Data[[#This Row],[ID]]=A300,MIN(AEL_Protection_Data[[#This Row],[Pickup (A)]],K300),AEL_Protection_Data[[#This Row],[Pickup (A)]]))</f>
        <v>480</v>
      </c>
    </row>
    <row r="300" spans="1:12" x14ac:dyDescent="0.25">
      <c r="A300" s="336" t="str">
        <f>AEL_Protection_Data[[#This Row],[Zone Sub]]&amp;"-"&amp;AEL_Protection_Data[[#This Row],[CB ID]]</f>
        <v>CD1-T609</v>
      </c>
      <c r="B300" s="335" t="s">
        <v>2205</v>
      </c>
      <c r="C300" s="334" t="s">
        <v>1833</v>
      </c>
      <c r="D300" s="334" t="s">
        <v>77</v>
      </c>
      <c r="E300" s="334" t="s">
        <v>1870</v>
      </c>
      <c r="F300" s="336" t="s">
        <v>648</v>
      </c>
      <c r="G300" s="334" t="s">
        <v>1878</v>
      </c>
      <c r="H300" s="334" t="s">
        <v>141</v>
      </c>
      <c r="I300" s="336" t="s">
        <v>1539</v>
      </c>
      <c r="J300" s="269">
        <v>11</v>
      </c>
      <c r="K300" s="269">
        <v>480</v>
      </c>
      <c r="L300" s="269">
        <f>IF(AEL_Protection_Data[[#This Row],[ID]]=A299,MIN(AEL_Protection_Data[[#This Row],[Pickup (A)]],K299),IF(AEL_Protection_Data[[#This Row],[ID]]=A301,MIN(AEL_Protection_Data[[#This Row],[Pickup (A)]],K301),AEL_Protection_Data[[#This Row],[Pickup (A)]]))</f>
        <v>480</v>
      </c>
    </row>
    <row r="301" spans="1:12" x14ac:dyDescent="0.25">
      <c r="A301" s="336" t="str">
        <f>AEL_Protection_Data[[#This Row],[Zone Sub]]&amp;"-"&amp;AEL_Protection_Data[[#This Row],[CB ID]]</f>
        <v>CD1-T610</v>
      </c>
      <c r="B301" s="335" t="s">
        <v>2205</v>
      </c>
      <c r="C301" s="334" t="s">
        <v>1833</v>
      </c>
      <c r="D301" s="334" t="s">
        <v>77</v>
      </c>
      <c r="E301" s="334" t="s">
        <v>1611</v>
      </c>
      <c r="F301" s="336" t="s">
        <v>649</v>
      </c>
      <c r="G301" s="334" t="s">
        <v>1879</v>
      </c>
      <c r="H301" s="334" t="s">
        <v>2155</v>
      </c>
      <c r="I301" s="336" t="s">
        <v>1539</v>
      </c>
      <c r="J301" s="269">
        <v>11</v>
      </c>
      <c r="K301" s="269">
        <v>1200</v>
      </c>
      <c r="L301" s="269">
        <f>IF(AEL_Protection_Data[[#This Row],[ID]]=A300,MIN(AEL_Protection_Data[[#This Row],[Pickup (A)]],K300),IF(AEL_Protection_Data[[#This Row],[ID]]=A302,MIN(AEL_Protection_Data[[#This Row],[Pickup (A)]],K302),AEL_Protection_Data[[#This Row],[Pickup (A)]]))</f>
        <v>480</v>
      </c>
    </row>
    <row r="302" spans="1:12" x14ac:dyDescent="0.25">
      <c r="A302" s="336" t="str">
        <f>AEL_Protection_Data[[#This Row],[Zone Sub]]&amp;"-"&amp;AEL_Protection_Data[[#This Row],[CB ID]]</f>
        <v>CD1-T610</v>
      </c>
      <c r="B302" s="335" t="s">
        <v>2205</v>
      </c>
      <c r="C302" s="334" t="s">
        <v>1833</v>
      </c>
      <c r="D302" s="334" t="s">
        <v>77</v>
      </c>
      <c r="E302" s="334" t="s">
        <v>1870</v>
      </c>
      <c r="F302" s="336" t="s">
        <v>649</v>
      </c>
      <c r="G302" s="334" t="s">
        <v>1879</v>
      </c>
      <c r="H302" s="334" t="s">
        <v>2155</v>
      </c>
      <c r="I302" s="336" t="s">
        <v>1539</v>
      </c>
      <c r="J302" s="269">
        <v>11</v>
      </c>
      <c r="K302" s="269">
        <v>480</v>
      </c>
      <c r="L302" s="269">
        <f>IF(AEL_Protection_Data[[#This Row],[ID]]=A301,MIN(AEL_Protection_Data[[#This Row],[Pickup (A)]],K301),IF(AEL_Protection_Data[[#This Row],[ID]]=A303,MIN(AEL_Protection_Data[[#This Row],[Pickup (A)]],K303),AEL_Protection_Data[[#This Row],[Pickup (A)]]))</f>
        <v>480</v>
      </c>
    </row>
    <row r="303" spans="1:12" x14ac:dyDescent="0.25">
      <c r="A303" s="336" t="str">
        <f>AEL_Protection_Data[[#This Row],[Zone Sub]]&amp;"-"&amp;AEL_Protection_Data[[#This Row],[CB ID]]</f>
        <v>CD1-T611</v>
      </c>
      <c r="B303" s="335" t="s">
        <v>2205</v>
      </c>
      <c r="C303" s="334" t="s">
        <v>1833</v>
      </c>
      <c r="D303" s="334" t="s">
        <v>77</v>
      </c>
      <c r="E303" s="334" t="s">
        <v>1611</v>
      </c>
      <c r="F303" s="336" t="s">
        <v>650</v>
      </c>
      <c r="G303" s="334" t="s">
        <v>1880</v>
      </c>
      <c r="H303" s="334" t="s">
        <v>147</v>
      </c>
      <c r="I303" s="336" t="s">
        <v>1539</v>
      </c>
      <c r="J303" s="269">
        <v>11</v>
      </c>
      <c r="K303" s="269">
        <v>1200</v>
      </c>
      <c r="L303" s="269">
        <f>IF(AEL_Protection_Data[[#This Row],[ID]]=A302,MIN(AEL_Protection_Data[[#This Row],[Pickup (A)]],K302),IF(AEL_Protection_Data[[#This Row],[ID]]=A304,MIN(AEL_Protection_Data[[#This Row],[Pickup (A)]],K304),AEL_Protection_Data[[#This Row],[Pickup (A)]]))</f>
        <v>480</v>
      </c>
    </row>
    <row r="304" spans="1:12" x14ac:dyDescent="0.25">
      <c r="A304" s="336" t="str">
        <f>AEL_Protection_Data[[#This Row],[Zone Sub]]&amp;"-"&amp;AEL_Protection_Data[[#This Row],[CB ID]]</f>
        <v>CD1-T611</v>
      </c>
      <c r="B304" s="335" t="s">
        <v>2205</v>
      </c>
      <c r="C304" s="334" t="s">
        <v>1833</v>
      </c>
      <c r="D304" s="334" t="s">
        <v>77</v>
      </c>
      <c r="E304" s="334" t="s">
        <v>1870</v>
      </c>
      <c r="F304" s="336" t="s">
        <v>650</v>
      </c>
      <c r="G304" s="334" t="s">
        <v>1880</v>
      </c>
      <c r="H304" s="334" t="s">
        <v>147</v>
      </c>
      <c r="I304" s="336" t="s">
        <v>1539</v>
      </c>
      <c r="J304" s="269">
        <v>11</v>
      </c>
      <c r="K304" s="269">
        <v>480</v>
      </c>
      <c r="L304" s="269">
        <f>IF(AEL_Protection_Data[[#This Row],[ID]]=A303,MIN(AEL_Protection_Data[[#This Row],[Pickup (A)]],K303),IF(AEL_Protection_Data[[#This Row],[ID]]=A305,MIN(AEL_Protection_Data[[#This Row],[Pickup (A)]],K305),AEL_Protection_Data[[#This Row],[Pickup (A)]]))</f>
        <v>480</v>
      </c>
    </row>
    <row r="305" spans="1:12" x14ac:dyDescent="0.25">
      <c r="A305" s="336" t="str">
        <f>AEL_Protection_Data[[#This Row],[Zone Sub]]&amp;"-"&amp;AEL_Protection_Data[[#This Row],[CB ID]]</f>
        <v>CD1-T612</v>
      </c>
      <c r="B305" s="335" t="s">
        <v>2205</v>
      </c>
      <c r="C305" s="334" t="s">
        <v>1833</v>
      </c>
      <c r="D305" s="334" t="s">
        <v>77</v>
      </c>
      <c r="E305" s="334" t="s">
        <v>1611</v>
      </c>
      <c r="F305" s="336" t="s">
        <v>651</v>
      </c>
      <c r="G305" s="334" t="s">
        <v>1881</v>
      </c>
      <c r="H305" s="334" t="s">
        <v>149</v>
      </c>
      <c r="I305" s="336" t="s">
        <v>1539</v>
      </c>
      <c r="J305" s="269">
        <v>11</v>
      </c>
      <c r="K305" s="269">
        <v>1200</v>
      </c>
      <c r="L305" s="269">
        <f>IF(AEL_Protection_Data[[#This Row],[ID]]=A304,MIN(AEL_Protection_Data[[#This Row],[Pickup (A)]],K304),IF(AEL_Protection_Data[[#This Row],[ID]]=A306,MIN(AEL_Protection_Data[[#This Row],[Pickup (A)]],K306),AEL_Protection_Data[[#This Row],[Pickup (A)]]))</f>
        <v>480</v>
      </c>
    </row>
    <row r="306" spans="1:12" x14ac:dyDescent="0.25">
      <c r="A306" s="336" t="str">
        <f>AEL_Protection_Data[[#This Row],[Zone Sub]]&amp;"-"&amp;AEL_Protection_Data[[#This Row],[CB ID]]</f>
        <v>CD1-T612</v>
      </c>
      <c r="B306" s="335" t="s">
        <v>2205</v>
      </c>
      <c r="C306" s="334" t="s">
        <v>1833</v>
      </c>
      <c r="D306" s="334" t="s">
        <v>77</v>
      </c>
      <c r="E306" s="334" t="s">
        <v>1870</v>
      </c>
      <c r="F306" s="336" t="s">
        <v>651</v>
      </c>
      <c r="G306" s="334" t="s">
        <v>1881</v>
      </c>
      <c r="H306" s="334" t="s">
        <v>149</v>
      </c>
      <c r="I306" s="336" t="s">
        <v>1539</v>
      </c>
      <c r="J306" s="269">
        <v>11</v>
      </c>
      <c r="K306" s="269">
        <v>480</v>
      </c>
      <c r="L306" s="269">
        <f>IF(AEL_Protection_Data[[#This Row],[ID]]=A305,MIN(AEL_Protection_Data[[#This Row],[Pickup (A)]],K305),IF(AEL_Protection_Data[[#This Row],[ID]]=A307,MIN(AEL_Protection_Data[[#This Row],[Pickup (A)]],K307),AEL_Protection_Data[[#This Row],[Pickup (A)]]))</f>
        <v>480</v>
      </c>
    </row>
    <row r="307" spans="1:12" x14ac:dyDescent="0.25">
      <c r="A307" s="336" t="str">
        <f>AEL_Protection_Data[[#This Row],[Zone Sub]]&amp;"-"&amp;AEL_Protection_Data[[#This Row],[CB ID]]</f>
        <v>CD1-T613</v>
      </c>
      <c r="B307" s="335" t="s">
        <v>2205</v>
      </c>
      <c r="C307" s="334" t="s">
        <v>1833</v>
      </c>
      <c r="D307" s="334" t="s">
        <v>77</v>
      </c>
      <c r="E307" s="334" t="s">
        <v>1532</v>
      </c>
      <c r="F307" s="336" t="s">
        <v>652</v>
      </c>
      <c r="G307" s="334" t="s">
        <v>1882</v>
      </c>
      <c r="H307" s="334" t="s">
        <v>152</v>
      </c>
      <c r="I307" s="336" t="s">
        <v>1539</v>
      </c>
      <c r="J307" s="269">
        <v>11</v>
      </c>
      <c r="K307" s="269">
        <v>360</v>
      </c>
      <c r="L307" s="269">
        <f>IF(AEL_Protection_Data[[#This Row],[ID]]=A306,MIN(AEL_Protection_Data[[#This Row],[Pickup (A)]],K306),IF(AEL_Protection_Data[[#This Row],[ID]]=A308,MIN(AEL_Protection_Data[[#This Row],[Pickup (A)]],K308),AEL_Protection_Data[[#This Row],[Pickup (A)]]))</f>
        <v>360</v>
      </c>
    </row>
    <row r="308" spans="1:12" x14ac:dyDescent="0.25">
      <c r="A308" s="336" t="str">
        <f>AEL_Protection_Data[[#This Row],[Zone Sub]]&amp;"-"&amp;AEL_Protection_Data[[#This Row],[CB ID]]</f>
        <v>CD1-T614</v>
      </c>
      <c r="B308" s="335" t="s">
        <v>2205</v>
      </c>
      <c r="C308" s="334" t="s">
        <v>1833</v>
      </c>
      <c r="D308" s="334" t="s">
        <v>77</v>
      </c>
      <c r="E308" s="334" t="s">
        <v>1611</v>
      </c>
      <c r="F308" s="336" t="s">
        <v>653</v>
      </c>
      <c r="G308" s="334" t="s">
        <v>1883</v>
      </c>
      <c r="H308" s="334" t="s">
        <v>2156</v>
      </c>
      <c r="I308" s="336" t="s">
        <v>1539</v>
      </c>
      <c r="J308" s="269">
        <v>11</v>
      </c>
      <c r="K308" s="269">
        <v>1200</v>
      </c>
      <c r="L308" s="269">
        <f>IF(AEL_Protection_Data[[#This Row],[ID]]=A307,MIN(AEL_Protection_Data[[#This Row],[Pickup (A)]],K307),IF(AEL_Protection_Data[[#This Row],[ID]]=A309,MIN(AEL_Protection_Data[[#This Row],[Pickup (A)]],K309),AEL_Protection_Data[[#This Row],[Pickup (A)]]))</f>
        <v>480</v>
      </c>
    </row>
    <row r="309" spans="1:12" x14ac:dyDescent="0.25">
      <c r="A309" s="336" t="str">
        <f>AEL_Protection_Data[[#This Row],[Zone Sub]]&amp;"-"&amp;AEL_Protection_Data[[#This Row],[CB ID]]</f>
        <v>CD1-T614</v>
      </c>
      <c r="B309" s="335" t="s">
        <v>2205</v>
      </c>
      <c r="C309" s="334" t="s">
        <v>1833</v>
      </c>
      <c r="D309" s="334" t="s">
        <v>77</v>
      </c>
      <c r="E309" s="334" t="s">
        <v>1870</v>
      </c>
      <c r="F309" s="336" t="s">
        <v>653</v>
      </c>
      <c r="G309" s="334" t="s">
        <v>1883</v>
      </c>
      <c r="H309" s="334" t="s">
        <v>2156</v>
      </c>
      <c r="I309" s="336" t="s">
        <v>1539</v>
      </c>
      <c r="J309" s="269">
        <v>11</v>
      </c>
      <c r="K309" s="269">
        <v>480</v>
      </c>
      <c r="L309" s="269">
        <f>IF(AEL_Protection_Data[[#This Row],[ID]]=A308,MIN(AEL_Protection_Data[[#This Row],[Pickup (A)]],K308),IF(AEL_Protection_Data[[#This Row],[ID]]=A310,MIN(AEL_Protection_Data[[#This Row],[Pickup (A)]],K310),AEL_Protection_Data[[#This Row],[Pickup (A)]]))</f>
        <v>480</v>
      </c>
    </row>
    <row r="310" spans="1:12" x14ac:dyDescent="0.25">
      <c r="A310" s="336" t="str">
        <f>AEL_Protection_Data[[#This Row],[Zone Sub]]&amp;"-"&amp;AEL_Protection_Data[[#This Row],[CB ID]]</f>
        <v>CD2-T662</v>
      </c>
      <c r="B310" s="335" t="s">
        <v>2206</v>
      </c>
      <c r="C310" s="334" t="s">
        <v>1833</v>
      </c>
      <c r="D310" s="334" t="s">
        <v>77</v>
      </c>
      <c r="E310" s="334" t="s">
        <v>1866</v>
      </c>
      <c r="F310" s="336" t="s">
        <v>635</v>
      </c>
      <c r="G310" s="334" t="s">
        <v>1884</v>
      </c>
      <c r="H310" s="334" t="s">
        <v>2157</v>
      </c>
      <c r="I310" s="336" t="s">
        <v>1746</v>
      </c>
      <c r="J310" s="269">
        <v>33</v>
      </c>
      <c r="K310" s="269">
        <v>540</v>
      </c>
      <c r="L310" s="269">
        <f>IF(AEL_Protection_Data[[#This Row],[ID]]=A309,MIN(AEL_Protection_Data[[#This Row],[Pickup (A)]],K309),IF(AEL_Protection_Data[[#This Row],[ID]]=A311,MIN(AEL_Protection_Data[[#This Row],[Pickup (A)]],K311),AEL_Protection_Data[[#This Row],[Pickup (A)]]))</f>
        <v>540</v>
      </c>
    </row>
    <row r="311" spans="1:12" x14ac:dyDescent="0.25">
      <c r="A311" s="336" t="str">
        <f>AEL_Protection_Data[[#This Row],[Zone Sub]]&amp;"-"&amp;AEL_Protection_Data[[#This Row],[CB ID]]</f>
        <v>CD2-T663</v>
      </c>
      <c r="B311" s="335" t="s">
        <v>2206</v>
      </c>
      <c r="C311" s="334" t="s">
        <v>1833</v>
      </c>
      <c r="D311" s="334" t="s">
        <v>77</v>
      </c>
      <c r="E311" s="334" t="s">
        <v>1866</v>
      </c>
      <c r="F311" s="336" t="s">
        <v>638</v>
      </c>
      <c r="G311" s="334" t="s">
        <v>1885</v>
      </c>
      <c r="H311" s="334" t="s">
        <v>2158</v>
      </c>
      <c r="I311" s="336" t="s">
        <v>1746</v>
      </c>
      <c r="J311" s="269">
        <v>33</v>
      </c>
      <c r="K311" s="269">
        <v>660</v>
      </c>
      <c r="L311" s="269">
        <f>IF(AEL_Protection_Data[[#This Row],[ID]]=A310,MIN(AEL_Protection_Data[[#This Row],[Pickup (A)]],K310),IF(AEL_Protection_Data[[#This Row],[ID]]=A312,MIN(AEL_Protection_Data[[#This Row],[Pickup (A)]],K312),AEL_Protection_Data[[#This Row],[Pickup (A)]]))</f>
        <v>660</v>
      </c>
    </row>
    <row r="312" spans="1:12" x14ac:dyDescent="0.25">
      <c r="A312" s="336" t="str">
        <f>AEL_Protection_Data[[#This Row],[Zone Sub]]&amp;"-"&amp;AEL_Protection_Data[[#This Row],[CB ID]]</f>
        <v>CD2-CB2</v>
      </c>
      <c r="B312" s="335" t="s">
        <v>2206</v>
      </c>
      <c r="C312" s="334" t="s">
        <v>1833</v>
      </c>
      <c r="D312" s="334" t="s">
        <v>77</v>
      </c>
      <c r="E312" s="334" t="s">
        <v>1611</v>
      </c>
      <c r="F312" s="336" t="s">
        <v>507</v>
      </c>
      <c r="G312" s="334" t="s">
        <v>1886</v>
      </c>
      <c r="H312" s="334" t="s">
        <v>2159</v>
      </c>
      <c r="I312" s="336" t="s">
        <v>1539</v>
      </c>
      <c r="J312" s="269">
        <v>11</v>
      </c>
      <c r="K312" s="269">
        <v>600</v>
      </c>
      <c r="L312" s="269">
        <f>IF(AEL_Protection_Data[[#This Row],[ID]]=A311,MIN(AEL_Protection_Data[[#This Row],[Pickup (A)]],K311),IF(AEL_Protection_Data[[#This Row],[ID]]=A313,MIN(AEL_Protection_Data[[#This Row],[Pickup (A)]],K313),AEL_Protection_Data[[#This Row],[Pickup (A)]]))</f>
        <v>600</v>
      </c>
    </row>
    <row r="313" spans="1:12" x14ac:dyDescent="0.25">
      <c r="A313" s="336" t="str">
        <f>AEL_Protection_Data[[#This Row],[Zone Sub]]&amp;"-"&amp;AEL_Protection_Data[[#This Row],[CB ID]]</f>
        <v>CD2-CB2</v>
      </c>
      <c r="B313" s="335" t="s">
        <v>2206</v>
      </c>
      <c r="C313" s="334" t="s">
        <v>1833</v>
      </c>
      <c r="D313" s="334" t="s">
        <v>77</v>
      </c>
      <c r="E313" s="334" t="s">
        <v>1870</v>
      </c>
      <c r="F313" s="336" t="s">
        <v>507</v>
      </c>
      <c r="G313" s="334" t="s">
        <v>1886</v>
      </c>
      <c r="H313" s="334" t="s">
        <v>2159</v>
      </c>
      <c r="I313" s="336" t="s">
        <v>1539</v>
      </c>
      <c r="J313" s="269">
        <v>11</v>
      </c>
      <c r="K313" s="269">
        <v>1200</v>
      </c>
      <c r="L313" s="269">
        <f>IF(AEL_Protection_Data[[#This Row],[ID]]=A312,MIN(AEL_Protection_Data[[#This Row],[Pickup (A)]],K312),IF(AEL_Protection_Data[[#This Row],[ID]]=A314,MIN(AEL_Protection_Data[[#This Row],[Pickup (A)]],K314),AEL_Protection_Data[[#This Row],[Pickup (A)]]))</f>
        <v>600</v>
      </c>
    </row>
    <row r="314" spans="1:12" x14ac:dyDescent="0.25">
      <c r="A314" s="336" t="str">
        <f>AEL_Protection_Data[[#This Row],[Zone Sub]]&amp;"-"&amp;AEL_Protection_Data[[#This Row],[CB ID]]</f>
        <v>CD2-T650</v>
      </c>
      <c r="B314" s="335" t="s">
        <v>2206</v>
      </c>
      <c r="C314" s="334" t="s">
        <v>1833</v>
      </c>
      <c r="D314" s="334" t="s">
        <v>77</v>
      </c>
      <c r="E314" s="334" t="s">
        <v>1611</v>
      </c>
      <c r="F314" s="336" t="s">
        <v>654</v>
      </c>
      <c r="G314" s="334" t="s">
        <v>1887</v>
      </c>
      <c r="H314" s="334" t="s">
        <v>101</v>
      </c>
      <c r="I314" s="336" t="s">
        <v>1888</v>
      </c>
      <c r="J314" s="269">
        <v>11</v>
      </c>
      <c r="K314" s="269">
        <v>1200</v>
      </c>
      <c r="L314" s="269">
        <f>IF(AEL_Protection_Data[[#This Row],[ID]]=A313,MIN(AEL_Protection_Data[[#This Row],[Pickup (A)]],K313),IF(AEL_Protection_Data[[#This Row],[ID]]=A315,MIN(AEL_Protection_Data[[#This Row],[Pickup (A)]],K315),AEL_Protection_Data[[#This Row],[Pickup (A)]]))</f>
        <v>480</v>
      </c>
    </row>
    <row r="315" spans="1:12" x14ac:dyDescent="0.25">
      <c r="A315" s="336" t="str">
        <f>AEL_Protection_Data[[#This Row],[Zone Sub]]&amp;"-"&amp;AEL_Protection_Data[[#This Row],[CB ID]]</f>
        <v>CD2-T650</v>
      </c>
      <c r="B315" s="335" t="s">
        <v>2206</v>
      </c>
      <c r="C315" s="334" t="s">
        <v>1833</v>
      </c>
      <c r="D315" s="334" t="s">
        <v>77</v>
      </c>
      <c r="E315" s="334" t="s">
        <v>1870</v>
      </c>
      <c r="F315" s="336" t="s">
        <v>654</v>
      </c>
      <c r="G315" s="334" t="s">
        <v>1887</v>
      </c>
      <c r="H315" s="334" t="s">
        <v>101</v>
      </c>
      <c r="I315" s="336" t="s">
        <v>1888</v>
      </c>
      <c r="J315" s="269">
        <v>11</v>
      </c>
      <c r="K315" s="269">
        <v>480</v>
      </c>
      <c r="L315" s="269">
        <f>IF(AEL_Protection_Data[[#This Row],[ID]]=A314,MIN(AEL_Protection_Data[[#This Row],[Pickup (A)]],K314),IF(AEL_Protection_Data[[#This Row],[ID]]=A316,MIN(AEL_Protection_Data[[#This Row],[Pickup (A)]],K316),AEL_Protection_Data[[#This Row],[Pickup (A)]]))</f>
        <v>480</v>
      </c>
    </row>
    <row r="316" spans="1:12" x14ac:dyDescent="0.25">
      <c r="A316" s="336" t="str">
        <f>AEL_Protection_Data[[#This Row],[Zone Sub]]&amp;"-"&amp;AEL_Protection_Data[[#This Row],[CB ID]]</f>
        <v>CD2-T651</v>
      </c>
      <c r="B316" s="335" t="s">
        <v>2206</v>
      </c>
      <c r="C316" s="334" t="s">
        <v>1833</v>
      </c>
      <c r="D316" s="334" t="s">
        <v>77</v>
      </c>
      <c r="E316" s="334" t="s">
        <v>1611</v>
      </c>
      <c r="F316" s="336" t="s">
        <v>655</v>
      </c>
      <c r="G316" s="334" t="s">
        <v>1889</v>
      </c>
      <c r="H316" s="334" t="s">
        <v>113</v>
      </c>
      <c r="I316" s="336" t="s">
        <v>1888</v>
      </c>
      <c r="J316" s="269">
        <v>11</v>
      </c>
      <c r="K316" s="269">
        <v>1200</v>
      </c>
      <c r="L316" s="269">
        <f>IF(AEL_Protection_Data[[#This Row],[ID]]=A315,MIN(AEL_Protection_Data[[#This Row],[Pickup (A)]],K315),IF(AEL_Protection_Data[[#This Row],[ID]]=A317,MIN(AEL_Protection_Data[[#This Row],[Pickup (A)]],K317),AEL_Protection_Data[[#This Row],[Pickup (A)]]))</f>
        <v>480</v>
      </c>
    </row>
    <row r="317" spans="1:12" x14ac:dyDescent="0.25">
      <c r="A317" s="336" t="str">
        <f>AEL_Protection_Data[[#This Row],[Zone Sub]]&amp;"-"&amp;AEL_Protection_Data[[#This Row],[CB ID]]</f>
        <v>CD2-T651</v>
      </c>
      <c r="B317" s="335" t="s">
        <v>2206</v>
      </c>
      <c r="C317" s="334" t="s">
        <v>1833</v>
      </c>
      <c r="D317" s="334" t="s">
        <v>77</v>
      </c>
      <c r="E317" s="334" t="s">
        <v>1870</v>
      </c>
      <c r="F317" s="336" t="s">
        <v>655</v>
      </c>
      <c r="G317" s="334" t="s">
        <v>1889</v>
      </c>
      <c r="H317" s="334" t="s">
        <v>113</v>
      </c>
      <c r="I317" s="336" t="s">
        <v>1888</v>
      </c>
      <c r="J317" s="269">
        <v>11</v>
      </c>
      <c r="K317" s="269">
        <v>480</v>
      </c>
      <c r="L317" s="269">
        <f>IF(AEL_Protection_Data[[#This Row],[ID]]=A316,MIN(AEL_Protection_Data[[#This Row],[Pickup (A)]],K316),IF(AEL_Protection_Data[[#This Row],[ID]]=A318,MIN(AEL_Protection_Data[[#This Row],[Pickup (A)]],K318),AEL_Protection_Data[[#This Row],[Pickup (A)]]))</f>
        <v>480</v>
      </c>
    </row>
    <row r="318" spans="1:12" x14ac:dyDescent="0.25">
      <c r="A318" s="336" t="str">
        <f>AEL_Protection_Data[[#This Row],[Zone Sub]]&amp;"-"&amp;AEL_Protection_Data[[#This Row],[CB ID]]</f>
        <v>CD2-T652</v>
      </c>
      <c r="B318" s="335" t="s">
        <v>2206</v>
      </c>
      <c r="C318" s="334" t="s">
        <v>1833</v>
      </c>
      <c r="D318" s="334" t="s">
        <v>77</v>
      </c>
      <c r="E318" s="334" t="s">
        <v>1611</v>
      </c>
      <c r="F318" s="336" t="s">
        <v>656</v>
      </c>
      <c r="G318" s="334" t="s">
        <v>1890</v>
      </c>
      <c r="H318" s="334" t="s">
        <v>124</v>
      </c>
      <c r="I318" s="336" t="s">
        <v>1888</v>
      </c>
      <c r="J318" s="269">
        <v>11</v>
      </c>
      <c r="K318" s="269">
        <v>1200</v>
      </c>
      <c r="L318" s="269">
        <f>IF(AEL_Protection_Data[[#This Row],[ID]]=A317,MIN(AEL_Protection_Data[[#This Row],[Pickup (A)]],K317),IF(AEL_Protection_Data[[#This Row],[ID]]=A319,MIN(AEL_Protection_Data[[#This Row],[Pickup (A)]],K319),AEL_Protection_Data[[#This Row],[Pickup (A)]]))</f>
        <v>1200</v>
      </c>
    </row>
    <row r="319" spans="1:12" x14ac:dyDescent="0.25">
      <c r="A319" s="336" t="str">
        <f>AEL_Protection_Data[[#This Row],[Zone Sub]]&amp;"-"&amp;AEL_Protection_Data[[#This Row],[CB ID]]</f>
        <v>CD2-T653</v>
      </c>
      <c r="B319" s="335" t="s">
        <v>2206</v>
      </c>
      <c r="C319" s="334" t="s">
        <v>1833</v>
      </c>
      <c r="D319" s="334" t="s">
        <v>77</v>
      </c>
      <c r="E319" s="334" t="s">
        <v>1611</v>
      </c>
      <c r="F319" s="336" t="s">
        <v>657</v>
      </c>
      <c r="G319" s="334" t="s">
        <v>1891</v>
      </c>
      <c r="H319" s="334" t="s">
        <v>132</v>
      </c>
      <c r="I319" s="336" t="s">
        <v>1888</v>
      </c>
      <c r="J319" s="269">
        <v>11</v>
      </c>
      <c r="K319" s="269">
        <v>1200</v>
      </c>
      <c r="L319" s="269">
        <f>IF(AEL_Protection_Data[[#This Row],[ID]]=A318,MIN(AEL_Protection_Data[[#This Row],[Pickup (A)]],K318),IF(AEL_Protection_Data[[#This Row],[ID]]=A320,MIN(AEL_Protection_Data[[#This Row],[Pickup (A)]],K320),AEL_Protection_Data[[#This Row],[Pickup (A)]]))</f>
        <v>480</v>
      </c>
    </row>
    <row r="320" spans="1:12" x14ac:dyDescent="0.25">
      <c r="A320" s="336" t="str">
        <f>AEL_Protection_Data[[#This Row],[Zone Sub]]&amp;"-"&amp;AEL_Protection_Data[[#This Row],[CB ID]]</f>
        <v>CD2-T653</v>
      </c>
      <c r="B320" s="335" t="s">
        <v>2206</v>
      </c>
      <c r="C320" s="334" t="s">
        <v>1833</v>
      </c>
      <c r="D320" s="334" t="s">
        <v>77</v>
      </c>
      <c r="E320" s="334" t="s">
        <v>1870</v>
      </c>
      <c r="F320" s="336" t="s">
        <v>657</v>
      </c>
      <c r="G320" s="334" t="s">
        <v>1891</v>
      </c>
      <c r="H320" s="334" t="s">
        <v>132</v>
      </c>
      <c r="I320" s="336" t="s">
        <v>1888</v>
      </c>
      <c r="J320" s="269">
        <v>11</v>
      </c>
      <c r="K320" s="269">
        <v>480</v>
      </c>
      <c r="L320" s="269">
        <f>IF(AEL_Protection_Data[[#This Row],[ID]]=A319,MIN(AEL_Protection_Data[[#This Row],[Pickup (A)]],K319),IF(AEL_Protection_Data[[#This Row],[ID]]=A321,MIN(AEL_Protection_Data[[#This Row],[Pickup (A)]],K321),AEL_Protection_Data[[#This Row],[Pickup (A)]]))</f>
        <v>480</v>
      </c>
    </row>
    <row r="321" spans="1:12" x14ac:dyDescent="0.25">
      <c r="A321" s="336" t="str">
        <f>AEL_Protection_Data[[#This Row],[Zone Sub]]&amp;"-"&amp;AEL_Protection_Data[[#This Row],[CB ID]]</f>
        <v>CD2-T654</v>
      </c>
      <c r="B321" s="335" t="s">
        <v>2206</v>
      </c>
      <c r="C321" s="334" t="s">
        <v>1833</v>
      </c>
      <c r="D321" s="334" t="s">
        <v>77</v>
      </c>
      <c r="E321" s="334" t="s">
        <v>1611</v>
      </c>
      <c r="F321" s="336" t="s">
        <v>658</v>
      </c>
      <c r="G321" s="334" t="s">
        <v>1892</v>
      </c>
      <c r="H321" s="334" t="s">
        <v>138</v>
      </c>
      <c r="I321" s="336" t="s">
        <v>1888</v>
      </c>
      <c r="J321" s="269">
        <v>11</v>
      </c>
      <c r="K321" s="269">
        <v>1200</v>
      </c>
      <c r="L321" s="269">
        <f>IF(AEL_Protection_Data[[#This Row],[ID]]=A320,MIN(AEL_Protection_Data[[#This Row],[Pickup (A)]],K320),IF(AEL_Protection_Data[[#This Row],[ID]]=A322,MIN(AEL_Protection_Data[[#This Row],[Pickup (A)]],K322),AEL_Protection_Data[[#This Row],[Pickup (A)]]))</f>
        <v>480</v>
      </c>
    </row>
    <row r="322" spans="1:12" x14ac:dyDescent="0.25">
      <c r="A322" s="336" t="str">
        <f>AEL_Protection_Data[[#This Row],[Zone Sub]]&amp;"-"&amp;AEL_Protection_Data[[#This Row],[CB ID]]</f>
        <v>CD2-T654</v>
      </c>
      <c r="B322" s="335" t="s">
        <v>2206</v>
      </c>
      <c r="C322" s="334" t="s">
        <v>1833</v>
      </c>
      <c r="D322" s="334" t="s">
        <v>77</v>
      </c>
      <c r="E322" s="334" t="s">
        <v>1870</v>
      </c>
      <c r="F322" s="336" t="s">
        <v>658</v>
      </c>
      <c r="G322" s="334" t="s">
        <v>1892</v>
      </c>
      <c r="H322" s="334" t="s">
        <v>138</v>
      </c>
      <c r="I322" s="336" t="s">
        <v>1888</v>
      </c>
      <c r="J322" s="269">
        <v>11</v>
      </c>
      <c r="K322" s="269">
        <v>480</v>
      </c>
      <c r="L322" s="269">
        <f>IF(AEL_Protection_Data[[#This Row],[ID]]=A321,MIN(AEL_Protection_Data[[#This Row],[Pickup (A)]],K321),IF(AEL_Protection_Data[[#This Row],[ID]]=A323,MIN(AEL_Protection_Data[[#This Row],[Pickup (A)]],K323),AEL_Protection_Data[[#This Row],[Pickup (A)]]))</f>
        <v>480</v>
      </c>
    </row>
    <row r="323" spans="1:12" x14ac:dyDescent="0.25">
      <c r="A323" s="336" t="str">
        <f>AEL_Protection_Data[[#This Row],[Zone Sub]]&amp;"-"&amp;AEL_Protection_Data[[#This Row],[CB ID]]</f>
        <v>CD2-T655</v>
      </c>
      <c r="B323" s="335" t="s">
        <v>2206</v>
      </c>
      <c r="C323" s="334" t="s">
        <v>1833</v>
      </c>
      <c r="D323" s="334" t="s">
        <v>77</v>
      </c>
      <c r="E323" s="334" t="s">
        <v>1532</v>
      </c>
      <c r="F323" s="336" t="s">
        <v>640</v>
      </c>
      <c r="G323" s="334" t="s">
        <v>1893</v>
      </c>
      <c r="H323" s="334" t="s">
        <v>2160</v>
      </c>
      <c r="I323" s="336" t="s">
        <v>1894</v>
      </c>
      <c r="J323" s="269">
        <v>11</v>
      </c>
      <c r="K323" s="269">
        <v>1600</v>
      </c>
      <c r="L323" s="269">
        <f>IF(AEL_Protection_Data[[#This Row],[ID]]=A322,MIN(AEL_Protection_Data[[#This Row],[Pickup (A)]],K322),IF(AEL_Protection_Data[[#This Row],[ID]]=A324,MIN(AEL_Protection_Data[[#This Row],[Pickup (A)]],K324),AEL_Protection_Data[[#This Row],[Pickup (A)]]))</f>
        <v>1600</v>
      </c>
    </row>
    <row r="324" spans="1:12" x14ac:dyDescent="0.25">
      <c r="A324" s="336" t="str">
        <f>AEL_Protection_Data[[#This Row],[Zone Sub]]&amp;"-"&amp;AEL_Protection_Data[[#This Row],[CB ID]]</f>
        <v>CD2-T656</v>
      </c>
      <c r="B324" s="335" t="s">
        <v>2206</v>
      </c>
      <c r="C324" s="334" t="s">
        <v>1833</v>
      </c>
      <c r="D324" s="334" t="s">
        <v>77</v>
      </c>
      <c r="E324" s="334" t="s">
        <v>1532</v>
      </c>
      <c r="F324" s="336" t="s">
        <v>2541</v>
      </c>
      <c r="G324" s="334" t="s">
        <v>746</v>
      </c>
      <c r="H324" s="334" t="s">
        <v>2542</v>
      </c>
      <c r="I324" s="336" t="s">
        <v>1894</v>
      </c>
      <c r="J324" s="269">
        <v>11</v>
      </c>
      <c r="K324" s="269">
        <v>1400</v>
      </c>
      <c r="L324" s="269">
        <f>IF(AEL_Protection_Data[[#This Row],[ID]]=A323,MIN(AEL_Protection_Data[[#This Row],[Pickup (A)]],K323),IF(AEL_Protection_Data[[#This Row],[ID]]=A325,MIN(AEL_Protection_Data[[#This Row],[Pickup (A)]],K325),AEL_Protection_Data[[#This Row],[Pickup (A)]]))</f>
        <v>1400</v>
      </c>
    </row>
    <row r="325" spans="1:12" x14ac:dyDescent="0.25">
      <c r="A325" s="336" t="str">
        <f>AEL_Protection_Data[[#This Row],[Zone Sub]]&amp;"-"&amp;AEL_Protection_Data[[#This Row],[CB ID]]</f>
        <v>CD2-T657</v>
      </c>
      <c r="B325" s="335" t="s">
        <v>2206</v>
      </c>
      <c r="C325" s="334" t="s">
        <v>1833</v>
      </c>
      <c r="D325" s="334" t="s">
        <v>77</v>
      </c>
      <c r="E325" s="334" t="s">
        <v>1532</v>
      </c>
      <c r="F325" s="336" t="s">
        <v>637</v>
      </c>
      <c r="G325" s="334" t="s">
        <v>1895</v>
      </c>
      <c r="H325" s="334" t="s">
        <v>2161</v>
      </c>
      <c r="I325" s="336" t="s">
        <v>1894</v>
      </c>
      <c r="J325" s="269">
        <v>11</v>
      </c>
      <c r="K325" s="269">
        <v>1400</v>
      </c>
      <c r="L325" s="269">
        <f>IF(AEL_Protection_Data[[#This Row],[ID]]=A324,MIN(AEL_Protection_Data[[#This Row],[Pickup (A)]],K324),IF(AEL_Protection_Data[[#This Row],[ID]]=A326,MIN(AEL_Protection_Data[[#This Row],[Pickup (A)]],K326),AEL_Protection_Data[[#This Row],[Pickup (A)]]))</f>
        <v>1400</v>
      </c>
    </row>
    <row r="326" spans="1:12" x14ac:dyDescent="0.25">
      <c r="A326" s="336" t="str">
        <f>AEL_Protection_Data[[#This Row],[Zone Sub]]&amp;"-"&amp;AEL_Protection_Data[[#This Row],[CB ID]]</f>
        <v>CD2-T658</v>
      </c>
      <c r="B326" s="335" t="s">
        <v>2206</v>
      </c>
      <c r="C326" s="334" t="s">
        <v>1833</v>
      </c>
      <c r="D326" s="334" t="s">
        <v>77</v>
      </c>
      <c r="E326" s="334" t="s">
        <v>1611</v>
      </c>
      <c r="F326" s="336" t="s">
        <v>659</v>
      </c>
      <c r="G326" s="334" t="s">
        <v>1869</v>
      </c>
      <c r="H326" s="334" t="s">
        <v>142</v>
      </c>
      <c r="I326" s="336" t="s">
        <v>1888</v>
      </c>
      <c r="J326" s="269">
        <v>11</v>
      </c>
      <c r="K326" s="269">
        <v>1200</v>
      </c>
      <c r="L326" s="269">
        <f>IF(AEL_Protection_Data[[#This Row],[ID]]=A325,MIN(AEL_Protection_Data[[#This Row],[Pickup (A)]],K325),IF(AEL_Protection_Data[[#This Row],[ID]]=A327,MIN(AEL_Protection_Data[[#This Row],[Pickup (A)]],K327),AEL_Protection_Data[[#This Row],[Pickup (A)]]))</f>
        <v>480</v>
      </c>
    </row>
    <row r="327" spans="1:12" x14ac:dyDescent="0.25">
      <c r="A327" s="336" t="str">
        <f>AEL_Protection_Data[[#This Row],[Zone Sub]]&amp;"-"&amp;AEL_Protection_Data[[#This Row],[CB ID]]</f>
        <v>CD2-T658</v>
      </c>
      <c r="B327" s="335" t="s">
        <v>2206</v>
      </c>
      <c r="C327" s="334" t="s">
        <v>1833</v>
      </c>
      <c r="D327" s="334" t="s">
        <v>77</v>
      </c>
      <c r="E327" s="334" t="s">
        <v>1870</v>
      </c>
      <c r="F327" s="336" t="s">
        <v>659</v>
      </c>
      <c r="G327" s="334" t="s">
        <v>1869</v>
      </c>
      <c r="H327" s="334" t="s">
        <v>142</v>
      </c>
      <c r="I327" s="336" t="s">
        <v>1888</v>
      </c>
      <c r="J327" s="269">
        <v>11</v>
      </c>
      <c r="K327" s="269">
        <v>480</v>
      </c>
      <c r="L327" s="269">
        <f>IF(AEL_Protection_Data[[#This Row],[ID]]=A326,MIN(AEL_Protection_Data[[#This Row],[Pickup (A)]],K326),IF(AEL_Protection_Data[[#This Row],[ID]]=A328,MIN(AEL_Protection_Data[[#This Row],[Pickup (A)]],K328),AEL_Protection_Data[[#This Row],[Pickup (A)]]))</f>
        <v>480</v>
      </c>
    </row>
    <row r="328" spans="1:12" x14ac:dyDescent="0.25">
      <c r="A328" s="336" t="str">
        <f>AEL_Protection_Data[[#This Row],[Zone Sub]]&amp;"-"&amp;AEL_Protection_Data[[#This Row],[CB ID]]</f>
        <v>CD2-T659</v>
      </c>
      <c r="B328" s="335" t="s">
        <v>2206</v>
      </c>
      <c r="C328" s="334" t="s">
        <v>1833</v>
      </c>
      <c r="D328" s="334" t="s">
        <v>77</v>
      </c>
      <c r="E328" s="334" t="s">
        <v>1611</v>
      </c>
      <c r="F328" s="336" t="s">
        <v>660</v>
      </c>
      <c r="G328" s="334" t="s">
        <v>1896</v>
      </c>
      <c r="H328" s="334" t="s">
        <v>2162</v>
      </c>
      <c r="I328" s="336" t="s">
        <v>1888</v>
      </c>
      <c r="J328" s="269">
        <v>11</v>
      </c>
      <c r="K328" s="269">
        <v>1200</v>
      </c>
      <c r="L328" s="269">
        <f>IF(AEL_Protection_Data[[#This Row],[ID]]=A327,MIN(AEL_Protection_Data[[#This Row],[Pickup (A)]],K327),IF(AEL_Protection_Data[[#This Row],[ID]]=A329,MIN(AEL_Protection_Data[[#This Row],[Pickup (A)]],K329),AEL_Protection_Data[[#This Row],[Pickup (A)]]))</f>
        <v>480</v>
      </c>
    </row>
    <row r="329" spans="1:12" x14ac:dyDescent="0.25">
      <c r="A329" s="336" t="str">
        <f>AEL_Protection_Data[[#This Row],[Zone Sub]]&amp;"-"&amp;AEL_Protection_Data[[#This Row],[CB ID]]</f>
        <v>CD2-T659</v>
      </c>
      <c r="B329" s="335" t="s">
        <v>2206</v>
      </c>
      <c r="C329" s="334" t="s">
        <v>1833</v>
      </c>
      <c r="D329" s="334" t="s">
        <v>77</v>
      </c>
      <c r="E329" s="334" t="s">
        <v>1870</v>
      </c>
      <c r="F329" s="336" t="s">
        <v>660</v>
      </c>
      <c r="G329" s="334" t="s">
        <v>1896</v>
      </c>
      <c r="H329" s="334" t="s">
        <v>2162</v>
      </c>
      <c r="I329" s="336" t="s">
        <v>1888</v>
      </c>
      <c r="J329" s="269">
        <v>11</v>
      </c>
      <c r="K329" s="269">
        <v>480</v>
      </c>
      <c r="L329" s="269">
        <f>IF(AEL_Protection_Data[[#This Row],[ID]]=A328,MIN(AEL_Protection_Data[[#This Row],[Pickup (A)]],K328),IF(AEL_Protection_Data[[#This Row],[ID]]=A330,MIN(AEL_Protection_Data[[#This Row],[Pickup (A)]],K330),AEL_Protection_Data[[#This Row],[Pickup (A)]]))</f>
        <v>480</v>
      </c>
    </row>
    <row r="330" spans="1:12" x14ac:dyDescent="0.25">
      <c r="A330" s="336" t="str">
        <f>AEL_Protection_Data[[#This Row],[Zone Sub]]&amp;"-"&amp;AEL_Protection_Data[[#This Row],[CB ID]]</f>
        <v>CD2-T660</v>
      </c>
      <c r="B330" s="335" t="s">
        <v>2206</v>
      </c>
      <c r="C330" s="334" t="s">
        <v>1833</v>
      </c>
      <c r="D330" s="334" t="s">
        <v>77</v>
      </c>
      <c r="E330" s="334" t="s">
        <v>1611</v>
      </c>
      <c r="F330" s="336" t="s">
        <v>661</v>
      </c>
      <c r="G330" s="334" t="s">
        <v>1897</v>
      </c>
      <c r="H330" s="334" t="s">
        <v>148</v>
      </c>
      <c r="I330" s="336" t="s">
        <v>1888</v>
      </c>
      <c r="J330" s="269">
        <v>11</v>
      </c>
      <c r="K330" s="269">
        <v>1200</v>
      </c>
      <c r="L330" s="269">
        <f>IF(AEL_Protection_Data[[#This Row],[ID]]=A329,MIN(AEL_Protection_Data[[#This Row],[Pickup (A)]],K329),IF(AEL_Protection_Data[[#This Row],[ID]]=A331,MIN(AEL_Protection_Data[[#This Row],[Pickup (A)]],K331),AEL_Protection_Data[[#This Row],[Pickup (A)]]))</f>
        <v>480</v>
      </c>
    </row>
    <row r="331" spans="1:12" x14ac:dyDescent="0.25">
      <c r="A331" s="336" t="str">
        <f>AEL_Protection_Data[[#This Row],[Zone Sub]]&amp;"-"&amp;AEL_Protection_Data[[#This Row],[CB ID]]</f>
        <v>CD2-T660</v>
      </c>
      <c r="B331" s="335" t="s">
        <v>2206</v>
      </c>
      <c r="C331" s="334" t="s">
        <v>1833</v>
      </c>
      <c r="D331" s="334" t="s">
        <v>77</v>
      </c>
      <c r="E331" s="334" t="s">
        <v>1870</v>
      </c>
      <c r="F331" s="336" t="s">
        <v>661</v>
      </c>
      <c r="G331" s="334" t="s">
        <v>1897</v>
      </c>
      <c r="H331" s="334" t="s">
        <v>148</v>
      </c>
      <c r="I331" s="336" t="s">
        <v>1888</v>
      </c>
      <c r="J331" s="269">
        <v>11</v>
      </c>
      <c r="K331" s="269">
        <v>480</v>
      </c>
      <c r="L331" s="269">
        <f>IF(AEL_Protection_Data[[#This Row],[ID]]=A330,MIN(AEL_Protection_Data[[#This Row],[Pickup (A)]],K330),IF(AEL_Protection_Data[[#This Row],[ID]]=A332,MIN(AEL_Protection_Data[[#This Row],[Pickup (A)]],K332),AEL_Protection_Data[[#This Row],[Pickup (A)]]))</f>
        <v>480</v>
      </c>
    </row>
    <row r="332" spans="1:12" x14ac:dyDescent="0.25">
      <c r="A332" s="336" t="str">
        <f>AEL_Protection_Data[[#This Row],[Zone Sub]]&amp;"-"&amp;AEL_Protection_Data[[#This Row],[CB ID]]</f>
        <v>CD2-T661</v>
      </c>
      <c r="B332" s="335" t="s">
        <v>2206</v>
      </c>
      <c r="C332" s="334" t="s">
        <v>1833</v>
      </c>
      <c r="D332" s="334" t="s">
        <v>77</v>
      </c>
      <c r="E332" s="334" t="s">
        <v>1611</v>
      </c>
      <c r="F332" s="336" t="s">
        <v>662</v>
      </c>
      <c r="G332" s="334" t="s">
        <v>1898</v>
      </c>
      <c r="H332" s="334" t="s">
        <v>150</v>
      </c>
      <c r="I332" s="336" t="s">
        <v>1888</v>
      </c>
      <c r="J332" s="269">
        <v>11</v>
      </c>
      <c r="K332" s="269">
        <v>1200</v>
      </c>
      <c r="L332" s="269">
        <f>IF(AEL_Protection_Data[[#This Row],[ID]]=A331,MIN(AEL_Protection_Data[[#This Row],[Pickup (A)]],K331),IF(AEL_Protection_Data[[#This Row],[ID]]=A333,MIN(AEL_Protection_Data[[#This Row],[Pickup (A)]],K333),AEL_Protection_Data[[#This Row],[Pickup (A)]]))</f>
        <v>480</v>
      </c>
    </row>
    <row r="333" spans="1:12" x14ac:dyDescent="0.25">
      <c r="A333" s="336" t="str">
        <f>AEL_Protection_Data[[#This Row],[Zone Sub]]&amp;"-"&amp;AEL_Protection_Data[[#This Row],[CB ID]]</f>
        <v>CD2-T661</v>
      </c>
      <c r="B333" s="335" t="s">
        <v>2206</v>
      </c>
      <c r="C333" s="334" t="s">
        <v>1833</v>
      </c>
      <c r="D333" s="334" t="s">
        <v>77</v>
      </c>
      <c r="E333" s="334" t="s">
        <v>1870</v>
      </c>
      <c r="F333" s="336" t="s">
        <v>662</v>
      </c>
      <c r="G333" s="334" t="s">
        <v>1898</v>
      </c>
      <c r="H333" s="334" t="s">
        <v>150</v>
      </c>
      <c r="I333" s="336" t="s">
        <v>1888</v>
      </c>
      <c r="J333" s="269">
        <v>11</v>
      </c>
      <c r="K333" s="269">
        <v>480</v>
      </c>
      <c r="L333" s="269">
        <f>IF(AEL_Protection_Data[[#This Row],[ID]]=A332,MIN(AEL_Protection_Data[[#This Row],[Pickup (A)]],K332),IF(AEL_Protection_Data[[#This Row],[ID]]=A334,MIN(AEL_Protection_Data[[#This Row],[Pickup (A)]],K334),AEL_Protection_Data[[#This Row],[Pickup (A)]]))</f>
        <v>480</v>
      </c>
    </row>
    <row r="334" spans="1:12" x14ac:dyDescent="0.25">
      <c r="A334" s="336" t="str">
        <f>AEL_Protection_Data[[#This Row],[Zone Sub]]&amp;"-"&amp;AEL_Protection_Data[[#This Row],[CB ID]]</f>
        <v>CD2-CB15</v>
      </c>
      <c r="B334" s="335" t="s">
        <v>2206</v>
      </c>
      <c r="C334" s="334" t="s">
        <v>1833</v>
      </c>
      <c r="D334" s="334" t="s">
        <v>77</v>
      </c>
      <c r="E334" s="334" t="s">
        <v>1611</v>
      </c>
      <c r="F334" s="336" t="s">
        <v>1596</v>
      </c>
      <c r="G334" s="334" t="s">
        <v>1899</v>
      </c>
      <c r="H334" s="334" t="s">
        <v>2163</v>
      </c>
      <c r="I334" s="336" t="s">
        <v>1539</v>
      </c>
      <c r="J334" s="269">
        <v>11</v>
      </c>
      <c r="K334" s="269">
        <v>600</v>
      </c>
      <c r="L334" s="269">
        <f>IF(AEL_Protection_Data[[#This Row],[ID]]=A333,MIN(AEL_Protection_Data[[#This Row],[Pickup (A)]],K333),IF(AEL_Protection_Data[[#This Row],[ID]]=A335,MIN(AEL_Protection_Data[[#This Row],[Pickup (A)]],K335),AEL_Protection_Data[[#This Row],[Pickup (A)]]))</f>
        <v>600</v>
      </c>
    </row>
    <row r="335" spans="1:12" x14ac:dyDescent="0.25">
      <c r="A335" s="336" t="str">
        <f>AEL_Protection_Data[[#This Row],[Zone Sub]]&amp;"-"&amp;AEL_Protection_Data[[#This Row],[CB ID]]</f>
        <v>CD2-CB15</v>
      </c>
      <c r="B335" s="335" t="s">
        <v>2206</v>
      </c>
      <c r="C335" s="334" t="s">
        <v>1833</v>
      </c>
      <c r="D335" s="334" t="s">
        <v>77</v>
      </c>
      <c r="E335" s="334" t="s">
        <v>1870</v>
      </c>
      <c r="F335" s="336" t="s">
        <v>1596</v>
      </c>
      <c r="G335" s="334" t="s">
        <v>1899</v>
      </c>
      <c r="H335" s="334" t="s">
        <v>2163</v>
      </c>
      <c r="I335" s="336" t="s">
        <v>1539</v>
      </c>
      <c r="J335" s="269">
        <v>11</v>
      </c>
      <c r="K335" s="269">
        <v>1200</v>
      </c>
      <c r="L335" s="269">
        <f>IF(AEL_Protection_Data[[#This Row],[ID]]=A334,MIN(AEL_Protection_Data[[#This Row],[Pickup (A)]],K334),IF(AEL_Protection_Data[[#This Row],[ID]]=A336,MIN(AEL_Protection_Data[[#This Row],[Pickup (A)]],K336),AEL_Protection_Data[[#This Row],[Pickup (A)]]))</f>
        <v>600</v>
      </c>
    </row>
    <row r="336" spans="1:12" x14ac:dyDescent="0.25">
      <c r="A336" s="336" t="str">
        <f>AEL_Protection_Data[[#This Row],[Zone Sub]]&amp;"-"&amp;AEL_Protection_Data[[#This Row],[CB ID]]</f>
        <v>GLD-T127</v>
      </c>
      <c r="B336" s="335" t="s">
        <v>85</v>
      </c>
      <c r="C336" s="334" t="s">
        <v>1833</v>
      </c>
      <c r="D336" s="334" t="s">
        <v>77</v>
      </c>
      <c r="E336" s="334" t="s">
        <v>1532</v>
      </c>
      <c r="F336" s="336" t="s">
        <v>1900</v>
      </c>
      <c r="G336" s="334" t="s">
        <v>1901</v>
      </c>
      <c r="H336" s="334" t="s">
        <v>2164</v>
      </c>
      <c r="I336" s="336" t="s">
        <v>1572</v>
      </c>
      <c r="J336" s="269">
        <v>11</v>
      </c>
      <c r="K336" s="269">
        <v>200</v>
      </c>
      <c r="L336" s="269">
        <f>IF(AEL_Protection_Data[[#This Row],[ID]]=A335,MIN(AEL_Protection_Data[[#This Row],[Pickup (A)]],K335),IF(AEL_Protection_Data[[#This Row],[ID]]=A337,MIN(AEL_Protection_Data[[#This Row],[Pickup (A)]],K337),AEL_Protection_Data[[#This Row],[Pickup (A)]]))</f>
        <v>200</v>
      </c>
    </row>
    <row r="337" spans="1:12" x14ac:dyDescent="0.25">
      <c r="A337" s="336" t="str">
        <f>AEL_Protection_Data[[#This Row],[Zone Sub]]&amp;"-"&amp;AEL_Protection_Data[[#This Row],[CB ID]]</f>
        <v>GLD-T685</v>
      </c>
      <c r="B337" s="335" t="s">
        <v>85</v>
      </c>
      <c r="C337" s="334" t="s">
        <v>1833</v>
      </c>
      <c r="D337" s="334" t="s">
        <v>77</v>
      </c>
      <c r="E337" s="334" t="s">
        <v>1532</v>
      </c>
      <c r="F337" s="336" t="s">
        <v>1902</v>
      </c>
      <c r="G337" s="334" t="s">
        <v>1903</v>
      </c>
      <c r="H337" s="334" t="s">
        <v>2165</v>
      </c>
      <c r="I337" s="336" t="s">
        <v>1904</v>
      </c>
      <c r="J337" s="269">
        <v>11</v>
      </c>
      <c r="K337" s="269">
        <v>100</v>
      </c>
      <c r="L337" s="269">
        <f>IF(AEL_Protection_Data[[#This Row],[ID]]=A336,MIN(AEL_Protection_Data[[#This Row],[Pickup (A)]],K336),IF(AEL_Protection_Data[[#This Row],[ID]]=A338,MIN(AEL_Protection_Data[[#This Row],[Pickup (A)]],K338),AEL_Protection_Data[[#This Row],[Pickup (A)]]))</f>
        <v>100</v>
      </c>
    </row>
    <row r="338" spans="1:12" x14ac:dyDescent="0.25">
      <c r="A338" s="336" t="str">
        <f>AEL_Protection_Data[[#This Row],[Zone Sub]]&amp;"-"&amp;AEL_Protection_Data[[#This Row],[CB ID]]</f>
        <v>GLD-G259</v>
      </c>
      <c r="B338" s="335" t="s">
        <v>85</v>
      </c>
      <c r="C338" s="334" t="s">
        <v>1833</v>
      </c>
      <c r="D338" s="334" t="s">
        <v>77</v>
      </c>
      <c r="E338" s="334" t="s">
        <v>1579</v>
      </c>
      <c r="F338" s="336" t="s">
        <v>537</v>
      </c>
      <c r="G338" s="334" t="s">
        <v>1905</v>
      </c>
      <c r="H338" s="334" t="s">
        <v>2166</v>
      </c>
      <c r="I338" s="336" t="s">
        <v>1572</v>
      </c>
      <c r="J338" s="269">
        <v>33</v>
      </c>
      <c r="K338" s="269">
        <v>350</v>
      </c>
      <c r="L338" s="269">
        <f>IF(AEL_Protection_Data[[#This Row],[ID]]=A337,MIN(AEL_Protection_Data[[#This Row],[Pickup (A)]],K337),IF(AEL_Protection_Data[[#This Row],[ID]]=A339,MIN(AEL_Protection_Data[[#This Row],[Pickup (A)]],K339),AEL_Protection_Data[[#This Row],[Pickup (A)]]))</f>
        <v>350</v>
      </c>
    </row>
    <row r="339" spans="1:12" x14ac:dyDescent="0.25">
      <c r="A339" s="336" t="str">
        <f>AEL_Protection_Data[[#This Row],[Zone Sub]]&amp;"-"&amp;AEL_Protection_Data[[#This Row],[CB ID]]</f>
        <v>GLD-G260</v>
      </c>
      <c r="B339" s="335" t="s">
        <v>85</v>
      </c>
      <c r="C339" s="334" t="s">
        <v>1833</v>
      </c>
      <c r="D339" s="334" t="s">
        <v>77</v>
      </c>
      <c r="E339" s="334" t="s">
        <v>1584</v>
      </c>
      <c r="F339" s="336" t="s">
        <v>539</v>
      </c>
      <c r="G339" s="334" t="s">
        <v>1906</v>
      </c>
      <c r="H339" s="334" t="s">
        <v>2167</v>
      </c>
      <c r="I339" s="336" t="s">
        <v>1746</v>
      </c>
      <c r="J339" s="269">
        <v>11</v>
      </c>
      <c r="K339" s="269">
        <v>948</v>
      </c>
      <c r="L339" s="269">
        <f>IF(AEL_Protection_Data[[#This Row],[ID]]=A338,MIN(AEL_Protection_Data[[#This Row],[Pickup (A)]],K338),IF(AEL_Protection_Data[[#This Row],[ID]]=A340,MIN(AEL_Protection_Data[[#This Row],[Pickup (A)]],K340),AEL_Protection_Data[[#This Row],[Pickup (A)]]))</f>
        <v>948</v>
      </c>
    </row>
    <row r="340" spans="1:12" x14ac:dyDescent="0.25">
      <c r="A340" s="336" t="str">
        <f>AEL_Protection_Data[[#This Row],[Zone Sub]]&amp;"-"&amp;AEL_Protection_Data[[#This Row],[CB ID]]</f>
        <v>GLD-G260</v>
      </c>
      <c r="B340" s="335" t="s">
        <v>85</v>
      </c>
      <c r="C340" s="334" t="s">
        <v>1833</v>
      </c>
      <c r="D340" s="334" t="s">
        <v>77</v>
      </c>
      <c r="E340" s="334" t="s">
        <v>1584</v>
      </c>
      <c r="F340" s="336" t="s">
        <v>539</v>
      </c>
      <c r="G340" s="334" t="s">
        <v>1906</v>
      </c>
      <c r="H340" s="334" t="s">
        <v>2167</v>
      </c>
      <c r="I340" s="336" t="s">
        <v>1907</v>
      </c>
      <c r="J340" s="269">
        <v>11</v>
      </c>
      <c r="K340" s="269">
        <v>950</v>
      </c>
      <c r="L340" s="269">
        <f>IF(AEL_Protection_Data[[#This Row],[ID]]=A339,MIN(AEL_Protection_Data[[#This Row],[Pickup (A)]],K339),IF(AEL_Protection_Data[[#This Row],[ID]]=A341,MIN(AEL_Protection_Data[[#This Row],[Pickup (A)]],K341),AEL_Protection_Data[[#This Row],[Pickup (A)]]))</f>
        <v>948</v>
      </c>
    </row>
    <row r="341" spans="1:12" x14ac:dyDescent="0.25">
      <c r="A341" s="336" t="str">
        <f>AEL_Protection_Data[[#This Row],[Zone Sub]]&amp;"-"&amp;AEL_Protection_Data[[#This Row],[CB ID]]</f>
        <v>GLD-G194</v>
      </c>
      <c r="B341" s="335" t="s">
        <v>85</v>
      </c>
      <c r="C341" s="334" t="s">
        <v>1833</v>
      </c>
      <c r="D341" s="334" t="s">
        <v>77</v>
      </c>
      <c r="E341" s="334" t="s">
        <v>1532</v>
      </c>
      <c r="F341" s="336" t="s">
        <v>542</v>
      </c>
      <c r="G341" s="334" t="s">
        <v>1908</v>
      </c>
      <c r="H341" s="334" t="s">
        <v>2168</v>
      </c>
      <c r="I341" s="336" t="s">
        <v>1907</v>
      </c>
      <c r="J341" s="269">
        <v>11</v>
      </c>
      <c r="K341" s="269">
        <v>350</v>
      </c>
      <c r="L341" s="269">
        <f>IF(AEL_Protection_Data[[#This Row],[ID]]=A340,MIN(AEL_Protection_Data[[#This Row],[Pickup (A)]],K340),IF(AEL_Protection_Data[[#This Row],[ID]]=A342,MIN(AEL_Protection_Data[[#This Row],[Pickup (A)]],K342),AEL_Protection_Data[[#This Row],[Pickup (A)]]))</f>
        <v>350</v>
      </c>
    </row>
    <row r="342" spans="1:12" x14ac:dyDescent="0.25">
      <c r="A342" s="336" t="str">
        <f>AEL_Protection_Data[[#This Row],[Zone Sub]]&amp;"-"&amp;AEL_Protection_Data[[#This Row],[CB ID]]</f>
        <v>GLD-G156</v>
      </c>
      <c r="B342" s="335" t="s">
        <v>85</v>
      </c>
      <c r="C342" s="334" t="s">
        <v>1833</v>
      </c>
      <c r="D342" s="334" t="s">
        <v>77</v>
      </c>
      <c r="E342" s="334" t="s">
        <v>1532</v>
      </c>
      <c r="F342" s="336" t="s">
        <v>554</v>
      </c>
      <c r="G342" s="334" t="s">
        <v>1909</v>
      </c>
      <c r="H342" s="334" t="s">
        <v>2169</v>
      </c>
      <c r="I342" s="336" t="s">
        <v>1907</v>
      </c>
      <c r="J342" s="269">
        <v>11</v>
      </c>
      <c r="K342" s="269">
        <v>350</v>
      </c>
      <c r="L342" s="269">
        <f>IF(AEL_Protection_Data[[#This Row],[ID]]=A341,MIN(AEL_Protection_Data[[#This Row],[Pickup (A)]],K341),IF(AEL_Protection_Data[[#This Row],[ID]]=A343,MIN(AEL_Protection_Data[[#This Row],[Pickup (A)]],K343),AEL_Protection_Data[[#This Row],[Pickup (A)]]))</f>
        <v>350</v>
      </c>
    </row>
    <row r="343" spans="1:12" x14ac:dyDescent="0.25">
      <c r="A343" s="336" t="str">
        <f>AEL_Protection_Data[[#This Row],[Zone Sub]]&amp;"-"&amp;AEL_Protection_Data[[#This Row],[CB ID]]</f>
        <v>GLD-G191</v>
      </c>
      <c r="B343" s="335" t="s">
        <v>85</v>
      </c>
      <c r="C343" s="334" t="s">
        <v>1833</v>
      </c>
      <c r="D343" s="334" t="s">
        <v>77</v>
      </c>
      <c r="E343" s="334" t="s">
        <v>1532</v>
      </c>
      <c r="F343" s="336" t="s">
        <v>547</v>
      </c>
      <c r="G343" s="334" t="s">
        <v>1910</v>
      </c>
      <c r="H343" s="334" t="s">
        <v>2170</v>
      </c>
      <c r="I343" s="336" t="s">
        <v>1907</v>
      </c>
      <c r="J343" s="269">
        <v>11</v>
      </c>
      <c r="K343" s="269">
        <v>350</v>
      </c>
      <c r="L343" s="269">
        <f>IF(AEL_Protection_Data[[#This Row],[ID]]=A342,MIN(AEL_Protection_Data[[#This Row],[Pickup (A)]],K342),IF(AEL_Protection_Data[[#This Row],[ID]]=A344,MIN(AEL_Protection_Data[[#This Row],[Pickup (A)]],K344),AEL_Protection_Data[[#This Row],[Pickup (A)]]))</f>
        <v>350</v>
      </c>
    </row>
    <row r="344" spans="1:12" x14ac:dyDescent="0.25">
      <c r="A344" s="336" t="str">
        <f>AEL_Protection_Data[[#This Row],[Zone Sub]]&amp;"-"&amp;AEL_Protection_Data[[#This Row],[CB ID]]</f>
        <v>GLD-G249</v>
      </c>
      <c r="B344" s="335" t="s">
        <v>85</v>
      </c>
      <c r="C344" s="334" t="s">
        <v>1833</v>
      </c>
      <c r="D344" s="334" t="s">
        <v>77</v>
      </c>
      <c r="E344" s="334" t="s">
        <v>1532</v>
      </c>
      <c r="F344" s="336" t="s">
        <v>1911</v>
      </c>
      <c r="G344" s="334" t="s">
        <v>1912</v>
      </c>
      <c r="H344" s="334" t="s">
        <v>2171</v>
      </c>
      <c r="I344" s="336" t="s">
        <v>1546</v>
      </c>
      <c r="J344" s="269">
        <v>11</v>
      </c>
      <c r="K344" s="269">
        <v>165</v>
      </c>
      <c r="L344" s="269">
        <f>IF(AEL_Protection_Data[[#This Row],[ID]]=A343,MIN(AEL_Protection_Data[[#This Row],[Pickup (A)]],K343),IF(AEL_Protection_Data[[#This Row],[ID]]=A345,MIN(AEL_Protection_Data[[#This Row],[Pickup (A)]],K345),AEL_Protection_Data[[#This Row],[Pickup (A)]]))</f>
        <v>165</v>
      </c>
    </row>
    <row r="345" spans="1:12" x14ac:dyDescent="0.25">
      <c r="A345" s="336" t="str">
        <f>AEL_Protection_Data[[#This Row],[Zone Sub]]&amp;"-"&amp;AEL_Protection_Data[[#This Row],[CB ID]]</f>
        <v>GLD-G251</v>
      </c>
      <c r="B345" s="335" t="s">
        <v>85</v>
      </c>
      <c r="C345" s="334" t="s">
        <v>1833</v>
      </c>
      <c r="D345" s="334" t="s">
        <v>77</v>
      </c>
      <c r="E345" s="334" t="s">
        <v>1532</v>
      </c>
      <c r="F345" s="336" t="s">
        <v>1913</v>
      </c>
      <c r="G345" s="334" t="s">
        <v>1914</v>
      </c>
      <c r="H345" s="334" t="s">
        <v>2172</v>
      </c>
      <c r="I345" s="336" t="s">
        <v>1546</v>
      </c>
      <c r="J345" s="269">
        <v>11</v>
      </c>
      <c r="K345" s="269">
        <v>165</v>
      </c>
      <c r="L345" s="269">
        <f>IF(AEL_Protection_Data[[#This Row],[ID]]=A344,MIN(AEL_Protection_Data[[#This Row],[Pickup (A)]],K344),IF(AEL_Protection_Data[[#This Row],[ID]]=A346,MIN(AEL_Protection_Data[[#This Row],[Pickup (A)]],K346),AEL_Protection_Data[[#This Row],[Pickup (A)]]))</f>
        <v>165</v>
      </c>
    </row>
    <row r="346" spans="1:12" x14ac:dyDescent="0.25">
      <c r="A346" s="336" t="str">
        <f>AEL_Protection_Data[[#This Row],[Zone Sub]]&amp;"-"&amp;AEL_Protection_Data[[#This Row],[CB ID]]</f>
        <v>GLD-T565</v>
      </c>
      <c r="B346" s="335" t="s">
        <v>85</v>
      </c>
      <c r="C346" s="334" t="s">
        <v>1833</v>
      </c>
      <c r="D346" s="334" t="s">
        <v>77</v>
      </c>
      <c r="E346" s="334" t="s">
        <v>1532</v>
      </c>
      <c r="F346" s="336" t="s">
        <v>1915</v>
      </c>
      <c r="G346" s="334" t="s">
        <v>1916</v>
      </c>
      <c r="H346" s="334" t="s">
        <v>2173</v>
      </c>
      <c r="I346" s="336" t="s">
        <v>1917</v>
      </c>
      <c r="J346" s="269">
        <v>11</v>
      </c>
      <c r="K346" s="269">
        <v>100</v>
      </c>
      <c r="L346" s="269">
        <f>IF(AEL_Protection_Data[[#This Row],[ID]]=A345,MIN(AEL_Protection_Data[[#This Row],[Pickup (A)]],K345),IF(AEL_Protection_Data[[#This Row],[ID]]=A347,MIN(AEL_Protection_Data[[#This Row],[Pickup (A)]],K347),AEL_Protection_Data[[#This Row],[Pickup (A)]]))</f>
        <v>100</v>
      </c>
    </row>
    <row r="347" spans="1:12" x14ac:dyDescent="0.25">
      <c r="A347" s="336" t="str">
        <f>AEL_Protection_Data[[#This Row],[Zone Sub]]&amp;"-"&amp;AEL_Protection_Data[[#This Row],[CB ID]]</f>
        <v>GLD-G295</v>
      </c>
      <c r="B347" s="335" t="s">
        <v>85</v>
      </c>
      <c r="C347" s="334" t="s">
        <v>1833</v>
      </c>
      <c r="D347" s="334" t="s">
        <v>77</v>
      </c>
      <c r="E347" s="334" t="s">
        <v>1532</v>
      </c>
      <c r="F347" s="336" t="s">
        <v>1918</v>
      </c>
      <c r="G347" s="334" t="s">
        <v>1919</v>
      </c>
      <c r="H347" s="334" t="s">
        <v>2174</v>
      </c>
      <c r="I347" s="336" t="s">
        <v>1917</v>
      </c>
      <c r="J347" s="269">
        <v>11</v>
      </c>
      <c r="K347" s="269">
        <v>120</v>
      </c>
      <c r="L347" s="269">
        <f>IF(AEL_Protection_Data[[#This Row],[ID]]=A346,MIN(AEL_Protection_Data[[#This Row],[Pickup (A)]],K346),IF(AEL_Protection_Data[[#This Row],[ID]]=A348,MIN(AEL_Protection_Data[[#This Row],[Pickup (A)]],K348),AEL_Protection_Data[[#This Row],[Pickup (A)]]))</f>
        <v>120</v>
      </c>
    </row>
    <row r="348" spans="1:12" x14ac:dyDescent="0.25">
      <c r="A348" s="336" t="str">
        <f>AEL_Protection_Data[[#This Row],[Zone Sub]]&amp;"-"&amp;AEL_Protection_Data[[#This Row],[CB ID]]</f>
        <v>GLD-G305</v>
      </c>
      <c r="B348" s="335" t="s">
        <v>85</v>
      </c>
      <c r="C348" s="334" t="s">
        <v>1833</v>
      </c>
      <c r="D348" s="334" t="s">
        <v>77</v>
      </c>
      <c r="E348" s="334" t="s">
        <v>1532</v>
      </c>
      <c r="F348" s="336" t="s">
        <v>1920</v>
      </c>
      <c r="G348" s="334" t="s">
        <v>1921</v>
      </c>
      <c r="H348" s="334" t="s">
        <v>2175</v>
      </c>
      <c r="I348" s="336" t="s">
        <v>1922</v>
      </c>
      <c r="J348" s="269">
        <v>11</v>
      </c>
      <c r="K348" s="269">
        <v>120</v>
      </c>
      <c r="L348" s="269">
        <f>IF(AEL_Protection_Data[[#This Row],[ID]]=A347,MIN(AEL_Protection_Data[[#This Row],[Pickup (A)]],K347),IF(AEL_Protection_Data[[#This Row],[ID]]=A349,MIN(AEL_Protection_Data[[#This Row],[Pickup (A)]],K349),AEL_Protection_Data[[#This Row],[Pickup (A)]]))</f>
        <v>120</v>
      </c>
    </row>
    <row r="349" spans="1:12" x14ac:dyDescent="0.25">
      <c r="A349" s="336" t="str">
        <f>AEL_Protection_Data[[#This Row],[Zone Sub]]&amp;"-"&amp;AEL_Protection_Data[[#This Row],[CB ID]]</f>
        <v>RGA-G332</v>
      </c>
      <c r="B349" s="335" t="s">
        <v>1193</v>
      </c>
      <c r="C349" s="334" t="s">
        <v>1833</v>
      </c>
      <c r="D349" s="334" t="s">
        <v>77</v>
      </c>
      <c r="E349" s="334" t="s">
        <v>1532</v>
      </c>
      <c r="F349" s="336" t="s">
        <v>1923</v>
      </c>
      <c r="G349" s="334" t="s">
        <v>1924</v>
      </c>
      <c r="H349" s="334" t="s">
        <v>2176</v>
      </c>
      <c r="I349" s="336" t="s">
        <v>1925</v>
      </c>
      <c r="J349" s="269">
        <v>11</v>
      </c>
      <c r="K349" s="269">
        <v>90</v>
      </c>
      <c r="L349" s="269">
        <f>IF(AEL_Protection_Data[[#This Row],[ID]]=A348,MIN(AEL_Protection_Data[[#This Row],[Pickup (A)]],K348),IF(AEL_Protection_Data[[#This Row],[ID]]=A350,MIN(AEL_Protection_Data[[#This Row],[Pickup (A)]],K350),AEL_Protection_Data[[#This Row],[Pickup (A)]]))</f>
        <v>90</v>
      </c>
    </row>
    <row r="350" spans="1:12" x14ac:dyDescent="0.25">
      <c r="A350" s="336" t="str">
        <f>AEL_Protection_Data[[#This Row],[Zone Sub]]&amp;"-"&amp;AEL_Protection_Data[[#This Row],[CB ID]]</f>
        <v>RGA-T550</v>
      </c>
      <c r="B350" s="335" t="s">
        <v>1193</v>
      </c>
      <c r="C350" s="334" t="s">
        <v>1833</v>
      </c>
      <c r="D350" s="334" t="s">
        <v>77</v>
      </c>
      <c r="E350" s="334" t="s">
        <v>1532</v>
      </c>
      <c r="F350" s="336" t="s">
        <v>1926</v>
      </c>
      <c r="G350" s="334" t="s">
        <v>1927</v>
      </c>
      <c r="H350" s="334" t="s">
        <v>2177</v>
      </c>
      <c r="I350" s="336" t="s">
        <v>1928</v>
      </c>
      <c r="J350" s="269">
        <v>33</v>
      </c>
      <c r="K350" s="269">
        <v>220.00000000000003</v>
      </c>
      <c r="L350" s="269">
        <f>IF(AEL_Protection_Data[[#This Row],[ID]]=A349,MIN(AEL_Protection_Data[[#This Row],[Pickup (A)]],K349),IF(AEL_Protection_Data[[#This Row],[ID]]=A351,MIN(AEL_Protection_Data[[#This Row],[Pickup (A)]],K351),AEL_Protection_Data[[#This Row],[Pickup (A)]]))</f>
        <v>220.00000000000003</v>
      </c>
    </row>
    <row r="351" spans="1:12" x14ac:dyDescent="0.25">
      <c r="A351" s="336" t="str">
        <f>AEL_Protection_Data[[#This Row],[Zone Sub]]&amp;"-"&amp;AEL_Protection_Data[[#This Row],[CB ID]]</f>
        <v>RGA-T551</v>
      </c>
      <c r="B351" s="335" t="s">
        <v>1193</v>
      </c>
      <c r="C351" s="334" t="s">
        <v>1833</v>
      </c>
      <c r="D351" s="334" t="s">
        <v>77</v>
      </c>
      <c r="E351" s="334" t="s">
        <v>1540</v>
      </c>
      <c r="F351" s="336" t="s">
        <v>1929</v>
      </c>
      <c r="G351" s="334" t="s">
        <v>1930</v>
      </c>
      <c r="H351" s="334" t="s">
        <v>2178</v>
      </c>
      <c r="I351" s="336" t="s">
        <v>1931</v>
      </c>
      <c r="J351" s="269">
        <v>11</v>
      </c>
      <c r="K351" s="269">
        <v>540</v>
      </c>
      <c r="L351" s="269">
        <f>IF(AEL_Protection_Data[[#This Row],[ID]]=A350,MIN(AEL_Protection_Data[[#This Row],[Pickup (A)]],K350),IF(AEL_Protection_Data[[#This Row],[ID]]=A352,MIN(AEL_Protection_Data[[#This Row],[Pickup (A)]],K352),AEL_Protection_Data[[#This Row],[Pickup (A)]]))</f>
        <v>540</v>
      </c>
    </row>
    <row r="352" spans="1:12" x14ac:dyDescent="0.25">
      <c r="A352" s="336" t="str">
        <f>AEL_Protection_Data[[#This Row],[Zone Sub]]&amp;"-"&amp;AEL_Protection_Data[[#This Row],[CB ID]]</f>
        <v>RGA-T552</v>
      </c>
      <c r="B352" s="335" t="s">
        <v>1193</v>
      </c>
      <c r="C352" s="334" t="s">
        <v>1833</v>
      </c>
      <c r="D352" s="334" t="s">
        <v>77</v>
      </c>
      <c r="E352" s="334" t="s">
        <v>1532</v>
      </c>
      <c r="F352" s="336" t="s">
        <v>1932</v>
      </c>
      <c r="G352" s="334" t="s">
        <v>1933</v>
      </c>
      <c r="H352" s="334" t="s">
        <v>2179</v>
      </c>
      <c r="I352" s="336" t="s">
        <v>1928</v>
      </c>
      <c r="J352" s="269">
        <v>11</v>
      </c>
      <c r="K352" s="269">
        <v>300</v>
      </c>
      <c r="L352" s="269">
        <f>IF(AEL_Protection_Data[[#This Row],[ID]]=A351,MIN(AEL_Protection_Data[[#This Row],[Pickup (A)]],K351),IF(AEL_Protection_Data[[#This Row],[ID]]=A353,MIN(AEL_Protection_Data[[#This Row],[Pickup (A)]],K353),AEL_Protection_Data[[#This Row],[Pickup (A)]]))</f>
        <v>300</v>
      </c>
    </row>
    <row r="353" spans="1:12" x14ac:dyDescent="0.25">
      <c r="A353" s="336" t="str">
        <f>AEL_Protection_Data[[#This Row],[Zone Sub]]&amp;"-"&amp;AEL_Protection_Data[[#This Row],[CB ID]]</f>
        <v>RGA-T553</v>
      </c>
      <c r="B353" s="335" t="s">
        <v>1193</v>
      </c>
      <c r="C353" s="334" t="s">
        <v>1833</v>
      </c>
      <c r="D353" s="334" t="s">
        <v>77</v>
      </c>
      <c r="E353" s="334" t="s">
        <v>1532</v>
      </c>
      <c r="F353" s="336" t="s">
        <v>1934</v>
      </c>
      <c r="G353" s="334" t="s">
        <v>1935</v>
      </c>
      <c r="H353" s="334" t="s">
        <v>2180</v>
      </c>
      <c r="I353" s="336" t="s">
        <v>1928</v>
      </c>
      <c r="J353" s="269">
        <v>11</v>
      </c>
      <c r="K353" s="269">
        <v>300</v>
      </c>
      <c r="L353" s="269">
        <f>IF(AEL_Protection_Data[[#This Row],[ID]]=A352,MIN(AEL_Protection_Data[[#This Row],[Pickup (A)]],K352),IF(AEL_Protection_Data[[#This Row],[ID]]=A354,MIN(AEL_Protection_Data[[#This Row],[Pickup (A)]],K354),AEL_Protection_Data[[#This Row],[Pickup (A)]]))</f>
        <v>300</v>
      </c>
    </row>
    <row r="354" spans="1:12" x14ac:dyDescent="0.25">
      <c r="A354" s="336" t="str">
        <f>AEL_Protection_Data[[#This Row],[Zone Sub]]&amp;"-"&amp;AEL_Protection_Data[[#This Row],[CB ID]]</f>
        <v>RGA-T554</v>
      </c>
      <c r="B354" s="335" t="s">
        <v>1193</v>
      </c>
      <c r="C354" s="334" t="s">
        <v>1833</v>
      </c>
      <c r="D354" s="334" t="s">
        <v>77</v>
      </c>
      <c r="E354" s="334" t="s">
        <v>1532</v>
      </c>
      <c r="F354" s="336" t="s">
        <v>1936</v>
      </c>
      <c r="G354" s="334" t="s">
        <v>1937</v>
      </c>
      <c r="H354" s="334" t="s">
        <v>2181</v>
      </c>
      <c r="I354" s="336" t="s">
        <v>1928</v>
      </c>
      <c r="J354" s="269">
        <v>11</v>
      </c>
      <c r="K354" s="269">
        <v>300</v>
      </c>
      <c r="L354" s="269">
        <f>IF(AEL_Protection_Data[[#This Row],[ID]]=A353,MIN(AEL_Protection_Data[[#This Row],[Pickup (A)]],K353),IF(AEL_Protection_Data[[#This Row],[ID]]=A355,MIN(AEL_Protection_Data[[#This Row],[Pickup (A)]],K355),AEL_Protection_Data[[#This Row],[Pickup (A)]]))</f>
        <v>300</v>
      </c>
    </row>
    <row r="355" spans="1:12" x14ac:dyDescent="0.25">
      <c r="A355" s="336" t="str">
        <f>AEL_Protection_Data[[#This Row],[Zone Sub]]&amp;"-CB"&amp;AEL_Protection_Data[[#This Row],[CB ID]]</f>
        <v>RGA_T1-CBT555</v>
      </c>
      <c r="B355" s="335" t="s">
        <v>86</v>
      </c>
      <c r="C355" s="334" t="s">
        <v>1833</v>
      </c>
      <c r="D355" s="334" t="s">
        <v>77</v>
      </c>
      <c r="E355" s="334" t="s">
        <v>1532</v>
      </c>
      <c r="F355" s="336" t="s">
        <v>1938</v>
      </c>
      <c r="G355" s="334" t="s">
        <v>1939</v>
      </c>
      <c r="H355" s="334" t="s">
        <v>2182</v>
      </c>
      <c r="I355" s="336" t="s">
        <v>1928</v>
      </c>
      <c r="J355" s="269">
        <v>11</v>
      </c>
      <c r="K355" s="269">
        <v>300</v>
      </c>
      <c r="L355" s="269">
        <f>IF(AEL_Protection_Data[[#This Row],[ID]]=A354,MIN(AEL_Protection_Data[[#This Row],[Pickup (A)]],K354),IF(AEL_Protection_Data[[#This Row],[ID]]=A356,MIN(AEL_Protection_Data[[#This Row],[Pickup (A)]],K356),AEL_Protection_Data[[#This Row],[Pickup (A)]]))</f>
        <v>300</v>
      </c>
    </row>
    <row r="356" spans="1:12" x14ac:dyDescent="0.25">
      <c r="A356" s="336" t="str">
        <f>AEL_Protection_Data[[#This Row],[Zone Sub]]&amp;"-CB"&amp;AEL_Protection_Data[[#This Row],[CB ID]]</f>
        <v>RGA_T1-CB1522</v>
      </c>
      <c r="B356" s="335" t="s">
        <v>86</v>
      </c>
      <c r="C356" s="334" t="s">
        <v>1833</v>
      </c>
      <c r="D356" s="334" t="s">
        <v>77</v>
      </c>
      <c r="E356" s="334" t="s">
        <v>1532</v>
      </c>
      <c r="F356" s="336" t="s">
        <v>1940</v>
      </c>
      <c r="G356" s="334" t="s">
        <v>1941</v>
      </c>
      <c r="H356" s="334" t="s">
        <v>2183</v>
      </c>
      <c r="I356" s="336" t="s">
        <v>1581</v>
      </c>
      <c r="J356" s="269">
        <v>33</v>
      </c>
      <c r="K356" s="269">
        <v>402</v>
      </c>
      <c r="L356" s="269">
        <f>IF(AEL_Protection_Data[[#This Row],[ID]]=A355,MIN(AEL_Protection_Data[[#This Row],[Pickup (A)]],K355),IF(AEL_Protection_Data[[#This Row],[ID]]=A357,MIN(AEL_Protection_Data[[#This Row],[Pickup (A)]],K357),AEL_Protection_Data[[#This Row],[Pickup (A)]]))</f>
        <v>402</v>
      </c>
    </row>
    <row r="357" spans="1:12" x14ac:dyDescent="0.25">
      <c r="A357" s="336" t="str">
        <f>AEL_Protection_Data[[#This Row],[Zone Sub]]&amp;"-CB"&amp;AEL_Protection_Data[[#This Row],[CB ID]]</f>
        <v>RGA_T2-CB1522</v>
      </c>
      <c r="B357" s="335" t="s">
        <v>87</v>
      </c>
      <c r="C357" s="334" t="s">
        <v>1833</v>
      </c>
      <c r="D357" s="334" t="s">
        <v>77</v>
      </c>
      <c r="E357" s="334" t="s">
        <v>1532</v>
      </c>
      <c r="F357" s="336" t="s">
        <v>1940</v>
      </c>
      <c r="G357" s="334" t="s">
        <v>1941</v>
      </c>
      <c r="H357" s="334" t="s">
        <v>2183</v>
      </c>
      <c r="I357" s="336" t="s">
        <v>1746</v>
      </c>
      <c r="J357" s="269">
        <v>33</v>
      </c>
      <c r="K357" s="269">
        <v>402</v>
      </c>
      <c r="L357" s="269">
        <f>IF(AEL_Protection_Data[[#This Row],[ID]]=A356,MIN(AEL_Protection_Data[[#This Row],[Pickup (A)]],K356),IF(AEL_Protection_Data[[#This Row],[ID]]=A358,MIN(AEL_Protection_Data[[#This Row],[Pickup (A)]],K358),AEL_Protection_Data[[#This Row],[Pickup (A)]]))</f>
        <v>402</v>
      </c>
    </row>
    <row r="358" spans="1:12" x14ac:dyDescent="0.25">
      <c r="A358" s="336" t="str">
        <f>AEL_Protection_Data[[#This Row],[Zone Sub]]&amp;"-CB"&amp;AEL_Protection_Data[[#This Row],[CB ID]]</f>
        <v>RGA_T2-CB1562</v>
      </c>
      <c r="B358" s="335" t="s">
        <v>87</v>
      </c>
      <c r="C358" s="334" t="s">
        <v>1833</v>
      </c>
      <c r="D358" s="334" t="s">
        <v>77</v>
      </c>
      <c r="E358" s="334" t="s">
        <v>1532</v>
      </c>
      <c r="F358" s="336" t="s">
        <v>1942</v>
      </c>
      <c r="G358" s="334" t="s">
        <v>1943</v>
      </c>
      <c r="H358" s="334" t="s">
        <v>2184</v>
      </c>
      <c r="I358" s="336" t="s">
        <v>1581</v>
      </c>
      <c r="J358" s="269">
        <v>33</v>
      </c>
      <c r="K358" s="269">
        <v>402</v>
      </c>
      <c r="L358" s="269">
        <f>IF(AEL_Protection_Data[[#This Row],[ID]]=A357,MIN(AEL_Protection_Data[[#This Row],[Pickup (A)]],K357),IF(AEL_Protection_Data[[#This Row],[ID]]=A359,MIN(AEL_Protection_Data[[#This Row],[Pickup (A)]],K359),AEL_Protection_Data[[#This Row],[Pickup (A)]]))</f>
        <v>402</v>
      </c>
    </row>
    <row r="359" spans="1:12" x14ac:dyDescent="0.25">
      <c r="A359" s="336" t="str">
        <f>AEL_Protection_Data[[#This Row],[Zone Sub]]&amp;"-CB"&amp;AEL_Protection_Data[[#This Row],[CB ID]]</f>
        <v>RGA_T1-CB1562</v>
      </c>
      <c r="B359" s="335" t="s">
        <v>86</v>
      </c>
      <c r="C359" s="334" t="s">
        <v>1833</v>
      </c>
      <c r="D359" s="334" t="s">
        <v>77</v>
      </c>
      <c r="E359" s="334" t="s">
        <v>1532</v>
      </c>
      <c r="F359" s="336" t="s">
        <v>1942</v>
      </c>
      <c r="G359" s="334" t="s">
        <v>1943</v>
      </c>
      <c r="H359" s="334" t="s">
        <v>2184</v>
      </c>
      <c r="I359" s="336" t="s">
        <v>1746</v>
      </c>
      <c r="J359" s="269">
        <v>33</v>
      </c>
      <c r="K359" s="269">
        <v>402</v>
      </c>
      <c r="L359" s="269">
        <f>IF(AEL_Protection_Data[[#This Row],[ID]]=A358,MIN(AEL_Protection_Data[[#This Row],[Pickup (A)]],K358),IF(AEL_Protection_Data[[#This Row],[ID]]=A360,MIN(AEL_Protection_Data[[#This Row],[Pickup (A)]],K360),AEL_Protection_Data[[#This Row],[Pickup (A)]]))</f>
        <v>402</v>
      </c>
    </row>
    <row r="360" spans="1:12" x14ac:dyDescent="0.25">
      <c r="A360" s="336" t="str">
        <f>AEL_Protection_Data[[#This Row],[Zone Sub]]&amp;"-CB"&amp;AEL_Protection_Data[[#This Row],[CB ID]]</f>
        <v>RGA_T1-CB35</v>
      </c>
      <c r="B360" s="335" t="s">
        <v>86</v>
      </c>
      <c r="C360" s="334" t="s">
        <v>1833</v>
      </c>
      <c r="D360" s="334" t="s">
        <v>77</v>
      </c>
      <c r="E360" s="334" t="s">
        <v>1532</v>
      </c>
      <c r="F360" s="336" t="s">
        <v>1944</v>
      </c>
      <c r="G360" s="334" t="s">
        <v>1945</v>
      </c>
      <c r="H360" s="334" t="s">
        <v>2185</v>
      </c>
      <c r="I360" s="336" t="s">
        <v>1539</v>
      </c>
      <c r="J360" s="269">
        <v>11</v>
      </c>
      <c r="K360" s="269">
        <v>1048</v>
      </c>
      <c r="L360" s="269">
        <f>IF(AEL_Protection_Data[[#This Row],[ID]]=A359,MIN(AEL_Protection_Data[[#This Row],[Pickup (A)]],K359),IF(AEL_Protection_Data[[#This Row],[ID]]=A382,MIN(AEL_Protection_Data[[#This Row],[Pickup (A)]],K382),AEL_Protection_Data[[#This Row],[Pickup (A)]]))</f>
        <v>1048</v>
      </c>
    </row>
    <row r="361" spans="1:12" x14ac:dyDescent="0.25">
      <c r="A361" s="336" t="str">
        <f>AEL_Protection_Data[[#This Row],[Zone Sub]]&amp;"-CB"&amp;AEL_Protection_Data[[#This Row],[CB ID]]</f>
        <v>RGA_T2-CB35</v>
      </c>
      <c r="B361" s="335" t="s">
        <v>87</v>
      </c>
      <c r="C361" s="334" t="s">
        <v>1833</v>
      </c>
      <c r="D361" s="334" t="s">
        <v>77</v>
      </c>
      <c r="E361" s="334" t="s">
        <v>1532</v>
      </c>
      <c r="F361" s="336" t="s">
        <v>1944</v>
      </c>
      <c r="G361" s="334" t="s">
        <v>1946</v>
      </c>
      <c r="H361" s="334" t="s">
        <v>2186</v>
      </c>
      <c r="I361" s="336" t="s">
        <v>1746</v>
      </c>
      <c r="J361" s="269">
        <v>11</v>
      </c>
      <c r="K361" s="269">
        <v>1048</v>
      </c>
      <c r="L361" s="269">
        <f>IF(AEL_Protection_Data[[#This Row],[ID]]=A360,MIN(AEL_Protection_Data[[#This Row],[Pickup (A)]],K360),IF(AEL_Protection_Data[[#This Row],[ID]]=A383,MIN(AEL_Protection_Data[[#This Row],[Pickup (A)]],K383),AEL_Protection_Data[[#This Row],[Pickup (A)]]))</f>
        <v>1048</v>
      </c>
    </row>
    <row r="362" spans="1:12" x14ac:dyDescent="0.25">
      <c r="A362" s="336" t="str">
        <f>AEL_Protection_Data[[#This Row],[Zone Sub]]&amp;"-CB"&amp;AEL_Protection_Data[[#This Row],[CB ID]]</f>
        <v>RGA_T2-CB36</v>
      </c>
      <c r="B362" s="335" t="s">
        <v>87</v>
      </c>
      <c r="C362" s="334" t="s">
        <v>1833</v>
      </c>
      <c r="D362" s="334" t="s">
        <v>77</v>
      </c>
      <c r="E362" s="334" t="s">
        <v>1532</v>
      </c>
      <c r="F362" s="336" t="s">
        <v>1947</v>
      </c>
      <c r="G362" s="334" t="s">
        <v>1948</v>
      </c>
      <c r="H362" s="334" t="s">
        <v>2187</v>
      </c>
      <c r="I362" s="336" t="s">
        <v>1539</v>
      </c>
      <c r="J362" s="269">
        <v>11</v>
      </c>
      <c r="K362" s="269">
        <v>1048</v>
      </c>
      <c r="L362" s="269">
        <f>IF(AEL_Protection_Data[[#This Row],[ID]]=A361,MIN(AEL_Protection_Data[[#This Row],[Pickup (A)]],K361),IF(AEL_Protection_Data[[#This Row],[ID]]=A384,MIN(AEL_Protection_Data[[#This Row],[Pickup (A)]],K384),AEL_Protection_Data[[#This Row],[Pickup (A)]]))</f>
        <v>1048</v>
      </c>
    </row>
    <row r="363" spans="1:12" x14ac:dyDescent="0.25">
      <c r="A363" s="336" t="str">
        <f>AEL_Protection_Data[[#This Row],[Zone Sub]]&amp;"-CB"&amp;AEL_Protection_Data[[#This Row],[CB ID]]</f>
        <v>RGA_T1-CB36</v>
      </c>
      <c r="B363" s="335" t="s">
        <v>86</v>
      </c>
      <c r="C363" s="334" t="s">
        <v>1833</v>
      </c>
      <c r="D363" s="334" t="s">
        <v>77</v>
      </c>
      <c r="E363" s="334" t="s">
        <v>1532</v>
      </c>
      <c r="F363" s="336" t="s">
        <v>1947</v>
      </c>
      <c r="G363" s="334" t="s">
        <v>1949</v>
      </c>
      <c r="H363" s="334" t="s">
        <v>2188</v>
      </c>
      <c r="I363" s="336" t="s">
        <v>1746</v>
      </c>
      <c r="J363" s="269">
        <v>11</v>
      </c>
      <c r="K363" s="269">
        <v>1048</v>
      </c>
      <c r="L363" s="269">
        <f>IF(AEL_Protection_Data[[#This Row],[ID]]=A362,MIN(AEL_Protection_Data[[#This Row],[Pickup (A)]],K362),IF(AEL_Protection_Data[[#This Row],[ID]]=A385,MIN(AEL_Protection_Data[[#This Row],[Pickup (A)]],K385),AEL_Protection_Data[[#This Row],[Pickup (A)]]))</f>
        <v>1048</v>
      </c>
    </row>
    <row r="364" spans="1:12" x14ac:dyDescent="0.25">
      <c r="A364" s="336" t="str">
        <f>AEL_Protection_Data[[#This Row],[Zone Sub]]&amp;"-CB"&amp;AEL_Protection_Data[[#This Row],[CB ID]]</f>
        <v>RGA_T2-CB31</v>
      </c>
      <c r="B364" s="335" t="s">
        <v>87</v>
      </c>
      <c r="C364" s="334" t="s">
        <v>1833</v>
      </c>
      <c r="D364" s="334" t="s">
        <v>77</v>
      </c>
      <c r="E364" s="334" t="s">
        <v>1532</v>
      </c>
      <c r="F364" s="336" t="s">
        <v>2842</v>
      </c>
      <c r="G364" s="334" t="s">
        <v>2543</v>
      </c>
      <c r="H364" s="334" t="s">
        <v>2544</v>
      </c>
      <c r="I364" s="336" t="s">
        <v>1539</v>
      </c>
      <c r="J364" s="269">
        <v>11</v>
      </c>
      <c r="K364" s="269">
        <v>600</v>
      </c>
      <c r="L364" s="269">
        <f>IF(AEL_Protection_Data[[#This Row],[ID]]=A363,MIN(AEL_Protection_Data[[#This Row],[Pickup (A)]],K363),IF(AEL_Protection_Data[[#This Row],[ID]]=A386,MIN(AEL_Protection_Data[[#This Row],[Pickup (A)]],K386),AEL_Protection_Data[[#This Row],[Pickup (A)]]))</f>
        <v>600</v>
      </c>
    </row>
    <row r="365" spans="1:12" x14ac:dyDescent="0.25">
      <c r="A365" s="336" t="str">
        <f>AEL_Protection_Data[[#This Row],[Zone Sub]]&amp;"-CB"&amp;AEL_Protection_Data[[#This Row],[CB ID]]</f>
        <v>RGA_T2-CB32</v>
      </c>
      <c r="B365" s="335" t="s">
        <v>87</v>
      </c>
      <c r="C365" s="334" t="s">
        <v>1833</v>
      </c>
      <c r="D365" s="334" t="s">
        <v>77</v>
      </c>
      <c r="E365" s="334" t="s">
        <v>1532</v>
      </c>
      <c r="F365" s="336" t="s">
        <v>2545</v>
      </c>
      <c r="G365" s="334" t="s">
        <v>2546</v>
      </c>
      <c r="H365" s="334" t="s">
        <v>2547</v>
      </c>
      <c r="I365" s="336" t="s">
        <v>1539</v>
      </c>
      <c r="J365" s="269">
        <v>11</v>
      </c>
      <c r="K365" s="269">
        <v>600</v>
      </c>
      <c r="L365" s="269">
        <f>IF(AEL_Protection_Data[[#This Row],[ID]]=A364,MIN(AEL_Protection_Data[[#This Row],[Pickup (A)]],K364),IF(AEL_Protection_Data[[#This Row],[ID]]=A387,MIN(AEL_Protection_Data[[#This Row],[Pickup (A)]],K387),AEL_Protection_Data[[#This Row],[Pickup (A)]]))</f>
        <v>600</v>
      </c>
    </row>
    <row r="366" spans="1:12" x14ac:dyDescent="0.25">
      <c r="A366" s="336" t="str">
        <f>AEL_Protection_Data[[#This Row],[Zone Sub]]&amp;"-CB"&amp;AEL_Protection_Data[[#This Row],[CB ID]]</f>
        <v>RGA_T1-CB32</v>
      </c>
      <c r="B366" s="335" t="s">
        <v>86</v>
      </c>
      <c r="C366" s="334" t="s">
        <v>1833</v>
      </c>
      <c r="D366" s="334" t="s">
        <v>77</v>
      </c>
      <c r="E366" s="334" t="s">
        <v>1532</v>
      </c>
      <c r="F366" s="336" t="s">
        <v>2545</v>
      </c>
      <c r="G366" s="334" t="s">
        <v>2546</v>
      </c>
      <c r="H366" s="334" t="s">
        <v>2547</v>
      </c>
      <c r="I366" s="336" t="s">
        <v>2548</v>
      </c>
      <c r="J366" s="269">
        <v>11</v>
      </c>
      <c r="K366" s="269">
        <v>600</v>
      </c>
      <c r="L366" s="269">
        <f>IF(AEL_Protection_Data[[#This Row],[ID]]=A365,MIN(AEL_Protection_Data[[#This Row],[Pickup (A)]],K365),IF(AEL_Protection_Data[[#This Row],[ID]]=A388,MIN(AEL_Protection_Data[[#This Row],[Pickup (A)]],K388),AEL_Protection_Data[[#This Row],[Pickup (A)]]))</f>
        <v>600</v>
      </c>
    </row>
    <row r="367" spans="1:12" x14ac:dyDescent="0.25">
      <c r="A367" s="336" t="str">
        <f>AEL_Protection_Data[[#This Row],[Zone Sub]]&amp;"-CB"&amp;AEL_Protection_Data[[#This Row],[CB ID]]</f>
        <v>RGA_T1-CB2</v>
      </c>
      <c r="B367" s="335" t="s">
        <v>86</v>
      </c>
      <c r="C367" s="334" t="s">
        <v>1833</v>
      </c>
      <c r="D367" s="334" t="s">
        <v>77</v>
      </c>
      <c r="E367" s="334" t="s">
        <v>1532</v>
      </c>
      <c r="F367" s="336" t="s">
        <v>1950</v>
      </c>
      <c r="G367" s="334" t="s">
        <v>1933</v>
      </c>
      <c r="H367" s="334" t="s">
        <v>2189</v>
      </c>
      <c r="I367" s="336" t="s">
        <v>1581</v>
      </c>
      <c r="J367" s="269">
        <v>11</v>
      </c>
      <c r="K367" s="269">
        <v>300</v>
      </c>
      <c r="L367" s="269">
        <f>IF(AEL_Protection_Data[[#This Row],[ID]]=A366,MIN(AEL_Protection_Data[[#This Row],[Pickup (A)]],K366),IF(AEL_Protection_Data[[#This Row],[ID]]=A389,MIN(AEL_Protection_Data[[#This Row],[Pickup (A)]],K389),AEL_Protection_Data[[#This Row],[Pickup (A)]]))</f>
        <v>300</v>
      </c>
    </row>
    <row r="368" spans="1:12" x14ac:dyDescent="0.25">
      <c r="A368" s="336" t="str">
        <f>AEL_Protection_Data[[#This Row],[Zone Sub]]&amp;"-CB"&amp;AEL_Protection_Data[[#This Row],[CB ID]]</f>
        <v>RGA_T1-CB3</v>
      </c>
      <c r="B368" s="335" t="s">
        <v>86</v>
      </c>
      <c r="C368" s="334" t="s">
        <v>1833</v>
      </c>
      <c r="D368" s="334" t="s">
        <v>77</v>
      </c>
      <c r="E368" s="334" t="s">
        <v>1532</v>
      </c>
      <c r="F368" s="336" t="s">
        <v>1951</v>
      </c>
      <c r="G368" s="334" t="s">
        <v>1937</v>
      </c>
      <c r="H368" s="334" t="s">
        <v>2190</v>
      </c>
      <c r="I368" s="336" t="s">
        <v>1581</v>
      </c>
      <c r="J368" s="269">
        <v>11</v>
      </c>
      <c r="K368" s="269">
        <v>300</v>
      </c>
      <c r="L368" s="269">
        <f>IF(AEL_Protection_Data[[#This Row],[ID]]=A367,MIN(AEL_Protection_Data[[#This Row],[Pickup (A)]],K367),IF(AEL_Protection_Data[[#This Row],[ID]]=A390,MIN(AEL_Protection_Data[[#This Row],[Pickup (A)]],K390),AEL_Protection_Data[[#This Row],[Pickup (A)]]))</f>
        <v>300</v>
      </c>
    </row>
    <row r="369" spans="1:12" x14ac:dyDescent="0.25">
      <c r="A369" s="336" t="str">
        <f>AEL_Protection_Data[[#This Row],[Zone Sub]]&amp;"-CB"&amp;AEL_Protection_Data[[#This Row],[CB ID]]</f>
        <v>RGA_T2-CB4</v>
      </c>
      <c r="B369" s="335" t="s">
        <v>87</v>
      </c>
      <c r="C369" s="334" t="s">
        <v>1833</v>
      </c>
      <c r="D369" s="334" t="s">
        <v>77</v>
      </c>
      <c r="E369" s="334" t="s">
        <v>1532</v>
      </c>
      <c r="F369" s="336" t="s">
        <v>1952</v>
      </c>
      <c r="G369" s="334" t="s">
        <v>1953</v>
      </c>
      <c r="H369" s="334" t="s">
        <v>2191</v>
      </c>
      <c r="I369" s="336" t="s">
        <v>1581</v>
      </c>
      <c r="J369" s="269">
        <v>11</v>
      </c>
      <c r="K369" s="269">
        <v>300</v>
      </c>
      <c r="L369" s="269">
        <f>IF(AEL_Protection_Data[[#This Row],[ID]]=A368,MIN(AEL_Protection_Data[[#This Row],[Pickup (A)]],K368),IF(AEL_Protection_Data[[#This Row],[ID]]=A391,MIN(AEL_Protection_Data[[#This Row],[Pickup (A)]],K391),AEL_Protection_Data[[#This Row],[Pickup (A)]]))</f>
        <v>300</v>
      </c>
    </row>
    <row r="370" spans="1:12" x14ac:dyDescent="0.25">
      <c r="A370" s="336" t="str">
        <f>AEL_Protection_Data[[#This Row],[Zone Sub]]&amp;"-CB"&amp;AEL_Protection_Data[[#This Row],[CB ID]]</f>
        <v>RGA_T2-CB11</v>
      </c>
      <c r="B370" s="335" t="s">
        <v>87</v>
      </c>
      <c r="C370" s="334" t="s">
        <v>1833</v>
      </c>
      <c r="D370" s="334" t="s">
        <v>77</v>
      </c>
      <c r="E370" s="334" t="s">
        <v>1532</v>
      </c>
      <c r="F370" s="336" t="s">
        <v>1954</v>
      </c>
      <c r="G370" s="334" t="s">
        <v>1955</v>
      </c>
      <c r="H370" s="334" t="s">
        <v>2192</v>
      </c>
      <c r="I370" s="336" t="s">
        <v>1581</v>
      </c>
      <c r="J370" s="269">
        <v>11</v>
      </c>
      <c r="K370" s="269">
        <v>300</v>
      </c>
      <c r="L370" s="269">
        <f>IF(AEL_Protection_Data[[#This Row],[ID]]=A369,MIN(AEL_Protection_Data[[#This Row],[Pickup (A)]],K369),IF(AEL_Protection_Data[[#This Row],[ID]]=A392,MIN(AEL_Protection_Data[[#This Row],[Pickup (A)]],K392),AEL_Protection_Data[[#This Row],[Pickup (A)]]))</f>
        <v>300</v>
      </c>
    </row>
    <row r="371" spans="1:12" x14ac:dyDescent="0.25">
      <c r="A371" s="336" t="str">
        <f>AEL_Protection_Data[[#This Row],[Zone Sub]]&amp;"-CB"&amp;AEL_Protection_Data[[#This Row],[CB ID]]</f>
        <v>RGA_T2-CB12</v>
      </c>
      <c r="B371" s="335" t="s">
        <v>87</v>
      </c>
      <c r="C371" s="334" t="s">
        <v>1833</v>
      </c>
      <c r="D371" s="334" t="s">
        <v>77</v>
      </c>
      <c r="E371" s="334" t="s">
        <v>1532</v>
      </c>
      <c r="F371" s="336" t="s">
        <v>1956</v>
      </c>
      <c r="G371" s="334" t="s">
        <v>1957</v>
      </c>
      <c r="H371" s="334" t="s">
        <v>2193</v>
      </c>
      <c r="I371" s="336" t="s">
        <v>1581</v>
      </c>
      <c r="J371" s="269">
        <v>11</v>
      </c>
      <c r="K371" s="269">
        <v>300</v>
      </c>
      <c r="L371" s="269">
        <f>IF(AEL_Protection_Data[[#This Row],[ID]]=A370,MIN(AEL_Protection_Data[[#This Row],[Pickup (A)]],K370),IF(AEL_Protection_Data[[#This Row],[ID]]=A393,MIN(AEL_Protection_Data[[#This Row],[Pickup (A)]],K393),AEL_Protection_Data[[#This Row],[Pickup (A)]]))</f>
        <v>300</v>
      </c>
    </row>
    <row r="372" spans="1:12" x14ac:dyDescent="0.25">
      <c r="A372" s="336" t="str">
        <f>AEL_Protection_Data[[#This Row],[Zone Sub]]&amp;"-CB"&amp;AEL_Protection_Data[[#This Row],[CB ID]]</f>
        <v>RGA_T2-CB13</v>
      </c>
      <c r="B372" s="335" t="s">
        <v>87</v>
      </c>
      <c r="C372" s="334" t="s">
        <v>1833</v>
      </c>
      <c r="D372" s="334" t="s">
        <v>77</v>
      </c>
      <c r="E372" s="334" t="s">
        <v>1532</v>
      </c>
      <c r="F372" s="336" t="s">
        <v>1958</v>
      </c>
      <c r="G372" s="334" t="s">
        <v>1959</v>
      </c>
      <c r="H372" s="334" t="s">
        <v>2194</v>
      </c>
      <c r="I372" s="336" t="s">
        <v>1581</v>
      </c>
      <c r="J372" s="269">
        <v>11</v>
      </c>
      <c r="K372" s="269">
        <v>300</v>
      </c>
      <c r="L372" s="269">
        <f>IF(AEL_Protection_Data[[#This Row],[ID]]=A371,MIN(AEL_Protection_Data[[#This Row],[Pickup (A)]],K371),IF(AEL_Protection_Data[[#This Row],[ID]]=A394,MIN(AEL_Protection_Data[[#This Row],[Pickup (A)]],K394),AEL_Protection_Data[[#This Row],[Pickup (A)]]))</f>
        <v>300</v>
      </c>
    </row>
    <row r="373" spans="1:12" x14ac:dyDescent="0.25">
      <c r="A373" s="336" t="str">
        <f>AEL_Protection_Data[[#This Row],[Zone Sub]]&amp;"-CB"&amp;AEL_Protection_Data[[#This Row],[CB ID]]</f>
        <v>CNL-RGA-CB1412</v>
      </c>
      <c r="B373" s="335" t="s">
        <v>2708</v>
      </c>
      <c r="C373" s="334" t="s">
        <v>1833</v>
      </c>
      <c r="D373" s="334" t="s">
        <v>77</v>
      </c>
      <c r="E373" s="334" t="s">
        <v>1532</v>
      </c>
      <c r="F373" s="336" t="s">
        <v>2843</v>
      </c>
      <c r="G373" s="334" t="s">
        <v>1960</v>
      </c>
      <c r="H373" s="334" t="s">
        <v>2195</v>
      </c>
      <c r="I373" s="336" t="s">
        <v>1581</v>
      </c>
      <c r="J373" s="269">
        <v>33</v>
      </c>
      <c r="K373" s="269">
        <v>423</v>
      </c>
      <c r="L373" s="269">
        <f>IF(AEL_Protection_Data[[#This Row],[ID]]=A372,MIN(AEL_Protection_Data[[#This Row],[Pickup (A)]],K372),IF(AEL_Protection_Data[[#This Row],[ID]]=A395,MIN(AEL_Protection_Data[[#This Row],[Pickup (A)]],K395),AEL_Protection_Data[[#This Row],[Pickup (A)]]))</f>
        <v>423</v>
      </c>
    </row>
    <row r="374" spans="1:12" x14ac:dyDescent="0.25">
      <c r="A374" s="336" t="str">
        <f>AEL_Protection_Data[[#This Row],[Zone Sub]]&amp;"-"&amp;AEL_Protection_Data[[#This Row],[CB ID]]</f>
        <v>CNL-RGA-1412</v>
      </c>
      <c r="B374" s="335" t="s">
        <v>2708</v>
      </c>
      <c r="C374" s="334" t="s">
        <v>1833</v>
      </c>
      <c r="D374" s="334" t="s">
        <v>77</v>
      </c>
      <c r="E374" s="334" t="s">
        <v>1532</v>
      </c>
      <c r="F374" s="336" t="s">
        <v>2843</v>
      </c>
      <c r="G374" s="334" t="s">
        <v>1960</v>
      </c>
      <c r="H374" s="334" t="s">
        <v>2195</v>
      </c>
      <c r="I374" s="336" t="s">
        <v>1539</v>
      </c>
      <c r="J374" s="269">
        <v>33</v>
      </c>
      <c r="K374" s="269">
        <v>423</v>
      </c>
      <c r="L374" s="269">
        <f>IF(AEL_Protection_Data[[#This Row],[ID]]=A373,MIN(AEL_Protection_Data[[#This Row],[Pickup (A)]],K373),IF(AEL_Protection_Data[[#This Row],[ID]]=A396,MIN(AEL_Protection_Data[[#This Row],[Pickup (A)]],K396),AEL_Protection_Data[[#This Row],[Pickup (A)]]))</f>
        <v>423</v>
      </c>
    </row>
    <row r="375" spans="1:12" x14ac:dyDescent="0.25">
      <c r="A375" s="336" t="str">
        <f>AEL_Protection_Data[[#This Row],[Zone Sub]]&amp;"-"&amp;AEL_Protection_Data[[#This Row],[CB ID]]</f>
        <v>TWZ-CB6312</v>
      </c>
      <c r="B375" s="335" t="s">
        <v>70</v>
      </c>
      <c r="C375" s="334" t="s">
        <v>1961</v>
      </c>
      <c r="D375" s="334" t="s">
        <v>78</v>
      </c>
      <c r="E375" s="334" t="s">
        <v>1532</v>
      </c>
      <c r="F375" s="336" t="s">
        <v>5</v>
      </c>
      <c r="G375" s="334" t="s">
        <v>1962</v>
      </c>
      <c r="H375" s="334" t="s">
        <v>2196</v>
      </c>
      <c r="I375" s="336" t="s">
        <v>1836</v>
      </c>
      <c r="J375" s="269">
        <v>33</v>
      </c>
      <c r="K375" s="269">
        <v>252</v>
      </c>
      <c r="L375" s="269">
        <f>IF(AEL_Protection_Data[[#This Row],[ID]]=A374,MIN(AEL_Protection_Data[[#This Row],[Pickup (A)]],K374),IF(AEL_Protection_Data[[#This Row],[ID]]=A397,MIN(AEL_Protection_Data[[#This Row],[Pickup (A)]],K397),AEL_Protection_Data[[#This Row],[Pickup (A)]]))</f>
        <v>252</v>
      </c>
    </row>
    <row r="376" spans="1:12" x14ac:dyDescent="0.25">
      <c r="A376" s="336" t="str">
        <f>AEL_Protection_Data[[#This Row],[Zone Sub]]&amp;"-"&amp;AEL_Protection_Data[[#This Row],[CB ID]]</f>
        <v>TWZ-CB6372</v>
      </c>
      <c r="B376" s="335" t="s">
        <v>70</v>
      </c>
      <c r="C376" s="334" t="s">
        <v>1961</v>
      </c>
      <c r="D376" s="334" t="s">
        <v>78</v>
      </c>
      <c r="E376" s="334" t="s">
        <v>1532</v>
      </c>
      <c r="F376" s="336" t="s">
        <v>1963</v>
      </c>
      <c r="G376" s="334" t="s">
        <v>1962</v>
      </c>
      <c r="H376" s="334" t="s">
        <v>2197</v>
      </c>
      <c r="I376" s="336" t="s">
        <v>1836</v>
      </c>
      <c r="J376" s="269">
        <v>33</v>
      </c>
      <c r="K376" s="269">
        <v>250</v>
      </c>
      <c r="L376" s="269">
        <f>IF(AEL_Protection_Data[[#This Row],[ID]]=A375,MIN(AEL_Protection_Data[[#This Row],[Pickup (A)]],K375),IF(AEL_Protection_Data[[#This Row],[ID]]=A398,MIN(AEL_Protection_Data[[#This Row],[Pickup (A)]],K398),AEL_Protection_Data[[#This Row],[Pickup (A)]]))</f>
        <v>250</v>
      </c>
    </row>
    <row r="377" spans="1:12" x14ac:dyDescent="0.25">
      <c r="A377" s="336" t="str">
        <f>AEL_Protection_Data[[#This Row],[Zone Sub]]&amp;"-"&amp;AEL_Protection_Data[[#This Row],[CB ID]]</f>
        <v>TVS-Z68</v>
      </c>
      <c r="B377" s="335" t="s">
        <v>236</v>
      </c>
      <c r="C377" s="334" t="s">
        <v>1961</v>
      </c>
      <c r="D377" s="334" t="s">
        <v>78</v>
      </c>
      <c r="E377" s="334" t="s">
        <v>1532</v>
      </c>
      <c r="F377" s="336" t="s">
        <v>241</v>
      </c>
      <c r="G377" s="334" t="s">
        <v>1964</v>
      </c>
      <c r="H377" s="334" t="s">
        <v>2198</v>
      </c>
      <c r="I377" s="336" t="s">
        <v>1965</v>
      </c>
      <c r="J377" s="269">
        <v>33</v>
      </c>
      <c r="K377" s="269">
        <v>150</v>
      </c>
      <c r="L377" s="269">
        <f>IF(AEL_Protection_Data[[#This Row],[ID]]=A376,MIN(AEL_Protection_Data[[#This Row],[Pickup (A)]],K376),IF(AEL_Protection_Data[[#This Row],[ID]]=A399,MIN(AEL_Protection_Data[[#This Row],[Pickup (A)]],K399),AEL_Protection_Data[[#This Row],[Pickup (A)]]))</f>
        <v>150</v>
      </c>
    </row>
    <row r="378" spans="1:12" x14ac:dyDescent="0.25">
      <c r="A378" s="336" t="str">
        <f>AEL_Protection_Data[[#This Row],[Zone Sub]]&amp;"-"&amp;AEL_Protection_Data[[#This Row],[CB ID]]</f>
        <v>TVS-Z1</v>
      </c>
      <c r="B378" s="335" t="s">
        <v>236</v>
      </c>
      <c r="C378" s="334" t="s">
        <v>1961</v>
      </c>
      <c r="D378" s="334" t="s">
        <v>78</v>
      </c>
      <c r="E378" s="334" t="s">
        <v>1532</v>
      </c>
      <c r="F378" s="336" t="s">
        <v>268</v>
      </c>
      <c r="G378" s="334" t="s">
        <v>1966</v>
      </c>
      <c r="H378" s="334" t="s">
        <v>2199</v>
      </c>
      <c r="I378" s="336" t="s">
        <v>1657</v>
      </c>
      <c r="J378" s="269">
        <v>11</v>
      </c>
      <c r="K378" s="269">
        <v>152</v>
      </c>
      <c r="L378" s="269">
        <f>IF(AEL_Protection_Data[[#This Row],[ID]]=A377,MIN(AEL_Protection_Data[[#This Row],[Pickup (A)]],K377),IF(AEL_Protection_Data[[#This Row],[ID]]=A400,MIN(AEL_Protection_Data[[#This Row],[Pickup (A)]],K400),AEL_Protection_Data[[#This Row],[Pickup (A)]]))</f>
        <v>152</v>
      </c>
    </row>
    <row r="379" spans="1:12" x14ac:dyDescent="0.25">
      <c r="A379" s="336" t="str">
        <f>AEL_Protection_Data[[#This Row],[Zone Sub]]&amp;"-"&amp;AEL_Protection_Data[[#This Row],[CB ID]]</f>
        <v>TVS-Z2</v>
      </c>
      <c r="B379" s="335" t="s">
        <v>236</v>
      </c>
      <c r="C379" s="334" t="s">
        <v>1961</v>
      </c>
      <c r="D379" s="334" t="s">
        <v>78</v>
      </c>
      <c r="E379" s="334" t="s">
        <v>1532</v>
      </c>
      <c r="F379" s="336" t="s">
        <v>280</v>
      </c>
      <c r="G379" s="334" t="s">
        <v>1967</v>
      </c>
      <c r="H379" s="334" t="s">
        <v>2200</v>
      </c>
      <c r="I379" s="336" t="s">
        <v>1657</v>
      </c>
      <c r="J379" s="269">
        <v>11</v>
      </c>
      <c r="K379" s="269">
        <v>152</v>
      </c>
      <c r="L379" s="269">
        <f>IF(AEL_Protection_Data[[#This Row],[ID]]=A378,MIN(AEL_Protection_Data[[#This Row],[Pickup (A)]],K378),IF(AEL_Protection_Data[[#This Row],[ID]]=A401,MIN(AEL_Protection_Data[[#This Row],[Pickup (A)]],K401),AEL_Protection_Data[[#This Row],[Pickup (A)]]))</f>
        <v>152</v>
      </c>
    </row>
    <row r="380" spans="1:12" x14ac:dyDescent="0.25">
      <c r="A380" s="336" t="str">
        <f>AEL_Protection_Data[[#This Row],[Zone Sub]]&amp;"-"&amp;AEL_Protection_Data[[#This Row],[CB ID]]</f>
        <v>TVS-Z3</v>
      </c>
      <c r="B380" s="335" t="s">
        <v>236</v>
      </c>
      <c r="C380" s="334" t="s">
        <v>1961</v>
      </c>
      <c r="D380" s="334" t="s">
        <v>78</v>
      </c>
      <c r="E380" s="334" t="s">
        <v>1532</v>
      </c>
      <c r="F380" s="336" t="s">
        <v>284</v>
      </c>
      <c r="G380" s="334" t="s">
        <v>1968</v>
      </c>
      <c r="H380" s="334" t="s">
        <v>2201</v>
      </c>
      <c r="I380" s="336" t="s">
        <v>1657</v>
      </c>
      <c r="J380" s="269">
        <v>11</v>
      </c>
      <c r="K380" s="269">
        <v>150</v>
      </c>
      <c r="L380" s="269">
        <f>IF(AEL_Protection_Data[[#This Row],[ID]]=A379,MIN(AEL_Protection_Data[[#This Row],[Pickup (A)]],K379),IF(AEL_Protection_Data[[#This Row],[ID]]=A402,MIN(AEL_Protection_Data[[#This Row],[Pickup (A)]],K402),AEL_Protection_Data[[#This Row],[Pickup (A)]]))</f>
        <v>150</v>
      </c>
    </row>
    <row r="381" spans="1:12" x14ac:dyDescent="0.25">
      <c r="A381" s="336" t="str">
        <f>AEL_Protection_Data[[#This Row],[Zone Sub]]&amp;"-"&amp;AEL_Protection_Data[[#This Row],[CB ID]]</f>
        <v>TVS-Z4</v>
      </c>
      <c r="B381" s="335" t="s">
        <v>236</v>
      </c>
      <c r="C381" s="334" t="s">
        <v>1961</v>
      </c>
      <c r="D381" s="334" t="s">
        <v>78</v>
      </c>
      <c r="E381" s="334" t="s">
        <v>1532</v>
      </c>
      <c r="F381" s="336" t="s">
        <v>286</v>
      </c>
      <c r="G381" s="334" t="s">
        <v>1969</v>
      </c>
      <c r="H381" s="334" t="s">
        <v>2202</v>
      </c>
      <c r="I381" s="336" t="s">
        <v>1657</v>
      </c>
      <c r="J381" s="269">
        <v>11</v>
      </c>
      <c r="K381" s="269">
        <v>152</v>
      </c>
    </row>
    <row r="382" spans="1:12" x14ac:dyDescent="0.25">
      <c r="A382" t="str">
        <f>AEL_Protection_Data[[#This Row],[Zone Sub]]&amp;"-"&amp;AEL_Protection_Data[[#This Row],[CB ID]]</f>
        <v>TVS-Z9</v>
      </c>
      <c r="B382" s="41" t="s">
        <v>236</v>
      </c>
      <c r="C382" t="s">
        <v>1961</v>
      </c>
      <c r="D382" t="s">
        <v>78</v>
      </c>
      <c r="E382" t="s">
        <v>1532</v>
      </c>
      <c r="F382" t="s">
        <v>1367</v>
      </c>
      <c r="G382" t="s">
        <v>1970</v>
      </c>
      <c r="H382" t="s">
        <v>2203</v>
      </c>
      <c r="I382" t="s">
        <v>1657</v>
      </c>
      <c r="J382">
        <v>11</v>
      </c>
      <c r="K382">
        <v>30</v>
      </c>
      <c r="L382">
        <f>IF(AEL_Protection_Data[[#This Row],[ID]]=A360,MIN(AEL_Protection_Data[[#This Row],[Pickup (A)]],K360),IF(AEL_Protection_Data[[#This Row],[ID]]=A383,MIN(AEL_Protection_Data[[#This Row],[Pickup (A)]],K383),AEL_Protection_Data[[#This Row],[Pickup (A)]]))</f>
        <v>30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DBCDF3-A614-4634-A9FA-2103B9B910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</vt:i4>
      </vt:variant>
    </vt:vector>
  </HeadingPairs>
  <TitlesOfParts>
    <vt:vector size="20" baseType="lpstr">
      <vt:lpstr>Source of Data</vt:lpstr>
      <vt:lpstr>Summary</vt:lpstr>
      <vt:lpstr>Security of Supply Summary</vt:lpstr>
      <vt:lpstr>Switching Diagram Tables-Major</vt:lpstr>
      <vt:lpstr>Switching Diagram Tables-Field</vt:lpstr>
      <vt:lpstr> </vt:lpstr>
      <vt:lpstr>ABY_Region</vt:lpstr>
      <vt:lpstr>BPD_Region</vt:lpstr>
      <vt:lpstr>STU_Region</vt:lpstr>
      <vt:lpstr>TIM_Region</vt:lpstr>
      <vt:lpstr>TKA_Region</vt:lpstr>
      <vt:lpstr>TMK_Region</vt:lpstr>
      <vt:lpstr>TWZ_Region</vt:lpstr>
      <vt:lpstr>  </vt:lpstr>
      <vt:lpstr>Dropdown List</vt:lpstr>
      <vt:lpstr>Protection Data</vt:lpstr>
      <vt:lpstr>DistributionFeeder</vt:lpstr>
      <vt:lpstr>'Switching Diagram Tables-Major'!Print_Area</vt:lpstr>
      <vt:lpstr>SubTransmission</vt:lpstr>
      <vt:lpstr>ZoneSubstation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2022-12-08T02:33:07Z</dcterms:modified>
</cp:coreProperties>
</file>